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updateLinks="always"/>
  <mc:AlternateContent xmlns:mc="http://schemas.openxmlformats.org/markup-compatibility/2006">
    <mc:Choice Requires="x15">
      <x15ac:absPath xmlns:x15ac="http://schemas.microsoft.com/office/spreadsheetml/2010/11/ac" url="https://raeburnfinewines-my.sharepoint.com/personal/julia_raeburnfinewines_com/Documents/RAE-Julia-Cloud/List/Customer Copies/"/>
    </mc:Choice>
  </mc:AlternateContent>
  <xr:revisionPtr revIDLastSave="10" documentId="8_{EC610007-254F-4435-B996-4E56DC6689B5}" xr6:coauthVersionLast="47" xr6:coauthVersionMax="47" xr10:uidLastSave="{B203F06B-F58A-422E-A68B-51FB1FEFD082}"/>
  <bookViews>
    <workbookView xWindow="-110" yWindow="-110" windowWidth="23260" windowHeight="14860" tabRatio="430" activeTab="1" xr2:uid="{00000000-000D-0000-FFFF-FFFF00000000}"/>
  </bookViews>
  <sheets>
    <sheet name="Contents" sheetId="3" r:id="rId1"/>
    <sheet name="Main_Tariff" sheetId="1" r:id="rId2"/>
    <sheet name="Plain_Tariff" sheetId="5" r:id="rId3"/>
  </sheets>
  <definedNames>
    <definedName name="_xlnm._FilterDatabase" localSheetId="0" hidden="1">Contents!$A$1:$E$557</definedName>
    <definedName name="_xlnm._FilterDatabase" localSheetId="1" hidden="1">Main_Tariff!$A$2:$M$15603</definedName>
    <definedName name="_xlnm.Print_Area" localSheetId="1">Main_Tariff!$A$1:$H$16003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5" l="1"/>
  <c r="B3" i="5"/>
  <c r="B4" i="5"/>
  <c r="B5" i="5"/>
  <c r="B6" i="5"/>
  <c r="B7" i="5"/>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43" i="5"/>
  <c r="B44" i="5"/>
  <c r="B45" i="5"/>
  <c r="B46" i="5"/>
  <c r="B47" i="5"/>
  <c r="B48" i="5"/>
  <c r="B49" i="5"/>
  <c r="B50" i="5"/>
  <c r="B51" i="5"/>
  <c r="B52" i="5"/>
  <c r="B53" i="5"/>
  <c r="B54" i="5"/>
  <c r="B55" i="5"/>
  <c r="B56" i="5"/>
  <c r="B57" i="5"/>
  <c r="B58" i="5"/>
  <c r="B59" i="5"/>
  <c r="B60" i="5"/>
  <c r="B61" i="5"/>
  <c r="B62" i="5"/>
  <c r="B63" i="5"/>
  <c r="B64" i="5"/>
  <c r="B65" i="5"/>
  <c r="B66" i="5"/>
  <c r="B67" i="5"/>
  <c r="B68" i="5"/>
  <c r="B69" i="5"/>
  <c r="B70" i="5"/>
  <c r="B71" i="5"/>
  <c r="B72" i="5"/>
  <c r="B73" i="5"/>
  <c r="B74" i="5"/>
  <c r="B75" i="5"/>
  <c r="B76" i="5"/>
  <c r="B77" i="5"/>
  <c r="B78" i="5"/>
  <c r="B79" i="5"/>
  <c r="B80" i="5"/>
  <c r="B81" i="5"/>
  <c r="B82" i="5"/>
  <c r="B83" i="5"/>
  <c r="B84" i="5"/>
  <c r="B85" i="5"/>
  <c r="B86" i="5"/>
  <c r="B87" i="5"/>
  <c r="B88" i="5"/>
  <c r="B89" i="5"/>
  <c r="B90" i="5"/>
  <c r="B91" i="5"/>
  <c r="B92" i="5"/>
  <c r="B93" i="5"/>
  <c r="B94" i="5"/>
  <c r="B95" i="5"/>
  <c r="B96" i="5"/>
  <c r="B97" i="5"/>
  <c r="B98" i="5"/>
  <c r="B99" i="5"/>
  <c r="B100" i="5"/>
  <c r="B101" i="5"/>
  <c r="B102" i="5"/>
  <c r="B103" i="5"/>
  <c r="B104" i="5"/>
  <c r="B105" i="5"/>
  <c r="B106" i="5"/>
  <c r="B107" i="5"/>
  <c r="B108" i="5"/>
  <c r="B109" i="5"/>
  <c r="B110" i="5"/>
  <c r="B111" i="5"/>
  <c r="B112" i="5"/>
  <c r="B113" i="5"/>
  <c r="B114" i="5"/>
  <c r="B115" i="5"/>
  <c r="B116" i="5"/>
  <c r="B117" i="5"/>
  <c r="B118" i="5"/>
  <c r="B119" i="5"/>
  <c r="B120" i="5"/>
  <c r="B121" i="5"/>
  <c r="B122" i="5"/>
  <c r="B123" i="5"/>
  <c r="B124" i="5"/>
  <c r="B125" i="5"/>
  <c r="B126" i="5"/>
  <c r="B127" i="5"/>
  <c r="B128" i="5"/>
  <c r="B129" i="5"/>
  <c r="B130" i="5"/>
  <c r="B131" i="5"/>
  <c r="B132" i="5"/>
  <c r="B133" i="5"/>
  <c r="B134" i="5"/>
  <c r="B135" i="5"/>
  <c r="B136" i="5"/>
  <c r="B137" i="5"/>
  <c r="B138" i="5"/>
  <c r="B139" i="5"/>
  <c r="B140" i="5"/>
  <c r="B141" i="5"/>
  <c r="B142" i="5"/>
  <c r="B143" i="5"/>
  <c r="B144" i="5"/>
  <c r="B145" i="5"/>
  <c r="B146" i="5"/>
  <c r="B147" i="5"/>
  <c r="B148" i="5"/>
  <c r="B149" i="5"/>
  <c r="B150" i="5"/>
  <c r="B151" i="5"/>
  <c r="B152" i="5"/>
  <c r="B153" i="5"/>
  <c r="B154" i="5"/>
  <c r="B155" i="5"/>
  <c r="B156" i="5"/>
  <c r="B157" i="5"/>
  <c r="B158" i="5"/>
  <c r="B159" i="5"/>
  <c r="B160" i="5"/>
  <c r="B161" i="5"/>
  <c r="B162" i="5"/>
  <c r="B163" i="5"/>
  <c r="B164" i="5"/>
  <c r="B165" i="5"/>
  <c r="B166" i="5"/>
  <c r="B167" i="5"/>
  <c r="B168" i="5"/>
  <c r="B169" i="5"/>
  <c r="B170" i="5"/>
  <c r="B171" i="5"/>
  <c r="B172" i="5"/>
  <c r="B173" i="5"/>
  <c r="B174" i="5"/>
  <c r="B175" i="5"/>
  <c r="B176" i="5"/>
  <c r="B177" i="5"/>
  <c r="B178" i="5"/>
  <c r="B179" i="5"/>
  <c r="B180" i="5"/>
  <c r="B181" i="5"/>
  <c r="B182" i="5"/>
  <c r="B183" i="5"/>
  <c r="B184" i="5"/>
  <c r="B185" i="5"/>
  <c r="B186" i="5"/>
  <c r="B187" i="5"/>
  <c r="B188" i="5"/>
  <c r="B189" i="5"/>
  <c r="B190" i="5"/>
  <c r="B191" i="5"/>
  <c r="B192" i="5"/>
  <c r="B193" i="5"/>
  <c r="B194" i="5"/>
  <c r="B195" i="5"/>
  <c r="B196" i="5"/>
  <c r="B197" i="5"/>
  <c r="B198" i="5"/>
  <c r="B199" i="5"/>
  <c r="B200" i="5"/>
  <c r="B201" i="5"/>
  <c r="B202" i="5"/>
  <c r="B203" i="5"/>
  <c r="B204" i="5"/>
  <c r="B205" i="5"/>
  <c r="B206" i="5"/>
  <c r="B207" i="5"/>
  <c r="B208" i="5"/>
  <c r="B209" i="5"/>
  <c r="B210" i="5"/>
  <c r="B211" i="5"/>
  <c r="B212" i="5"/>
  <c r="B213" i="5"/>
  <c r="B214" i="5"/>
  <c r="B215" i="5"/>
  <c r="B216" i="5"/>
  <c r="B217" i="5"/>
  <c r="B218" i="5"/>
  <c r="B219" i="5"/>
  <c r="B220" i="5"/>
  <c r="B221" i="5"/>
  <c r="B222" i="5"/>
  <c r="B223" i="5"/>
  <c r="B224" i="5"/>
  <c r="B225" i="5"/>
  <c r="B226" i="5"/>
  <c r="B227" i="5"/>
  <c r="B228" i="5"/>
  <c r="B229" i="5"/>
  <c r="B230" i="5"/>
  <c r="B231" i="5"/>
  <c r="B232" i="5"/>
  <c r="B233" i="5"/>
  <c r="B234" i="5"/>
  <c r="B235" i="5"/>
  <c r="B236" i="5"/>
  <c r="B237" i="5"/>
  <c r="B238" i="5"/>
  <c r="B239" i="5"/>
  <c r="B240" i="5"/>
  <c r="B241" i="5"/>
  <c r="B242" i="5"/>
  <c r="B243" i="5"/>
  <c r="B244" i="5"/>
  <c r="B245" i="5"/>
  <c r="B246" i="5"/>
  <c r="B247" i="5"/>
  <c r="B248" i="5"/>
  <c r="B249" i="5"/>
  <c r="B250" i="5"/>
  <c r="B251" i="5"/>
  <c r="B252" i="5"/>
  <c r="B253" i="5"/>
  <c r="B254" i="5"/>
  <c r="B255" i="5"/>
  <c r="B256" i="5"/>
  <c r="B257" i="5"/>
  <c r="B258" i="5"/>
  <c r="B259" i="5"/>
  <c r="B260" i="5"/>
  <c r="B261" i="5"/>
  <c r="B262" i="5"/>
  <c r="B263" i="5"/>
  <c r="B264" i="5"/>
  <c r="B265" i="5"/>
  <c r="B266" i="5"/>
  <c r="B267" i="5"/>
  <c r="B268" i="5"/>
  <c r="B269" i="5"/>
  <c r="B270" i="5"/>
  <c r="B271" i="5"/>
  <c r="B272" i="5"/>
  <c r="B273" i="5"/>
  <c r="B274" i="5"/>
  <c r="B275" i="5"/>
  <c r="B276" i="5"/>
  <c r="B277" i="5"/>
  <c r="B278" i="5"/>
  <c r="B279" i="5"/>
  <c r="B280" i="5"/>
  <c r="B281" i="5"/>
  <c r="B282" i="5"/>
  <c r="B283" i="5"/>
  <c r="B284" i="5"/>
  <c r="B285" i="5"/>
  <c r="B286" i="5"/>
  <c r="B287" i="5"/>
  <c r="B288" i="5"/>
  <c r="B289" i="5"/>
  <c r="B290" i="5"/>
  <c r="B291" i="5"/>
  <c r="B292" i="5"/>
  <c r="B293" i="5"/>
  <c r="B294" i="5"/>
  <c r="B295" i="5"/>
  <c r="B296" i="5"/>
  <c r="B297" i="5"/>
  <c r="B298" i="5"/>
  <c r="B299" i="5"/>
  <c r="B300" i="5"/>
  <c r="B301" i="5"/>
  <c r="B302" i="5"/>
  <c r="B303" i="5"/>
  <c r="B304" i="5"/>
  <c r="B305" i="5"/>
  <c r="B306" i="5"/>
  <c r="B307" i="5"/>
  <c r="B308" i="5"/>
  <c r="B309" i="5"/>
  <c r="B310" i="5"/>
  <c r="B311" i="5"/>
  <c r="B312" i="5"/>
  <c r="B313" i="5"/>
  <c r="B314" i="5"/>
  <c r="B315" i="5"/>
  <c r="B316" i="5"/>
  <c r="B317" i="5"/>
  <c r="B318" i="5"/>
  <c r="B319" i="5"/>
  <c r="B320" i="5"/>
  <c r="B321" i="5"/>
  <c r="B322" i="5"/>
  <c r="B323" i="5"/>
  <c r="B324" i="5"/>
  <c r="B325" i="5"/>
  <c r="B326" i="5"/>
  <c r="B327" i="5"/>
  <c r="B328" i="5"/>
  <c r="B329" i="5"/>
  <c r="B330" i="5"/>
  <c r="B331" i="5"/>
  <c r="B332" i="5"/>
  <c r="B333" i="5"/>
  <c r="B334" i="5"/>
  <c r="B335" i="5"/>
  <c r="B336" i="5"/>
  <c r="B337" i="5"/>
  <c r="B338" i="5"/>
  <c r="B339" i="5"/>
  <c r="B340" i="5"/>
  <c r="B341" i="5"/>
  <c r="B342" i="5"/>
  <c r="B343" i="5"/>
  <c r="B344" i="5"/>
  <c r="B345" i="5"/>
  <c r="B346" i="5"/>
  <c r="B347" i="5"/>
  <c r="B348" i="5"/>
  <c r="B349" i="5"/>
  <c r="B350" i="5"/>
  <c r="B351" i="5"/>
  <c r="B352" i="5"/>
  <c r="B353" i="5"/>
  <c r="B354" i="5"/>
  <c r="B355" i="5"/>
  <c r="B356" i="5"/>
  <c r="B357" i="5"/>
  <c r="B358" i="5"/>
  <c r="B359" i="5"/>
  <c r="B360" i="5"/>
  <c r="B361" i="5"/>
  <c r="B362" i="5"/>
  <c r="B363" i="5"/>
  <c r="B364" i="5"/>
  <c r="B365" i="5"/>
  <c r="B366" i="5"/>
  <c r="B367" i="5"/>
  <c r="B368" i="5"/>
  <c r="B369" i="5"/>
  <c r="B370" i="5"/>
  <c r="B371" i="5"/>
  <c r="B372" i="5"/>
  <c r="B373" i="5"/>
  <c r="B374" i="5"/>
  <c r="B375" i="5"/>
  <c r="B376" i="5"/>
  <c r="B377" i="5"/>
  <c r="B378" i="5"/>
  <c r="B379" i="5"/>
  <c r="B380" i="5"/>
  <c r="B381" i="5"/>
  <c r="B382" i="5"/>
  <c r="B383" i="5"/>
  <c r="B384" i="5"/>
  <c r="B385" i="5"/>
  <c r="B386" i="5"/>
  <c r="B387" i="5"/>
  <c r="B388" i="5"/>
  <c r="B389" i="5"/>
  <c r="B390" i="5"/>
  <c r="B391" i="5"/>
  <c r="B392" i="5"/>
  <c r="B393" i="5"/>
  <c r="B394" i="5"/>
  <c r="B395" i="5"/>
  <c r="B396" i="5"/>
  <c r="B397" i="5"/>
  <c r="B398" i="5"/>
  <c r="B399" i="5"/>
  <c r="B400" i="5"/>
  <c r="B401" i="5"/>
  <c r="B402" i="5"/>
  <c r="B403" i="5"/>
  <c r="B404" i="5"/>
  <c r="B405" i="5"/>
  <c r="B406" i="5"/>
  <c r="B407" i="5"/>
  <c r="B408" i="5"/>
  <c r="B409" i="5"/>
  <c r="B410" i="5"/>
  <c r="B411" i="5"/>
  <c r="B412" i="5"/>
  <c r="B413" i="5"/>
  <c r="B414" i="5"/>
  <c r="B415" i="5"/>
  <c r="B416" i="5"/>
  <c r="B417" i="5"/>
  <c r="B418" i="5"/>
  <c r="B419" i="5"/>
  <c r="B420" i="5"/>
  <c r="B421" i="5"/>
  <c r="B422" i="5"/>
  <c r="B423" i="5"/>
  <c r="B424" i="5"/>
  <c r="B425" i="5"/>
  <c r="B426" i="5"/>
  <c r="B427" i="5"/>
  <c r="B428" i="5"/>
  <c r="B429" i="5"/>
  <c r="B430" i="5"/>
  <c r="B431" i="5"/>
  <c r="B432" i="5"/>
  <c r="B433" i="5"/>
  <c r="B434" i="5"/>
  <c r="B435" i="5"/>
  <c r="B436" i="5"/>
  <c r="B437" i="5"/>
  <c r="B438" i="5"/>
  <c r="B439" i="5"/>
  <c r="B440" i="5"/>
  <c r="B441" i="5"/>
  <c r="B442" i="5"/>
  <c r="B443" i="5"/>
  <c r="B444" i="5"/>
  <c r="B445" i="5"/>
  <c r="B446" i="5"/>
  <c r="B447" i="5"/>
  <c r="B448" i="5"/>
  <c r="B449" i="5"/>
  <c r="B450" i="5"/>
  <c r="B451" i="5"/>
  <c r="B452" i="5"/>
  <c r="B453" i="5"/>
  <c r="B454" i="5"/>
  <c r="B455" i="5"/>
  <c r="B456" i="5"/>
  <c r="B457" i="5"/>
  <c r="B458" i="5"/>
  <c r="B459" i="5"/>
  <c r="B460" i="5"/>
  <c r="B461" i="5"/>
  <c r="B462" i="5"/>
  <c r="B463" i="5"/>
  <c r="B464" i="5"/>
  <c r="B465" i="5"/>
  <c r="B466" i="5"/>
  <c r="B467" i="5"/>
  <c r="B468" i="5"/>
  <c r="B469" i="5"/>
  <c r="B470" i="5"/>
  <c r="B471" i="5"/>
  <c r="B472" i="5"/>
  <c r="B473" i="5"/>
  <c r="B474" i="5"/>
  <c r="B475" i="5"/>
  <c r="B476" i="5"/>
  <c r="B477" i="5"/>
  <c r="B478" i="5"/>
  <c r="B479" i="5"/>
  <c r="B480" i="5"/>
  <c r="B481" i="5"/>
  <c r="B482" i="5"/>
  <c r="B483" i="5"/>
  <c r="B484" i="5"/>
  <c r="B485" i="5"/>
  <c r="B486" i="5"/>
  <c r="B487" i="5"/>
  <c r="B488" i="5"/>
  <c r="B489" i="5"/>
  <c r="B490" i="5"/>
  <c r="B491" i="5"/>
  <c r="B492" i="5"/>
  <c r="B493" i="5"/>
  <c r="B494" i="5"/>
  <c r="B495" i="5"/>
  <c r="B496" i="5"/>
  <c r="B497" i="5"/>
  <c r="B498" i="5"/>
  <c r="B499" i="5"/>
  <c r="B500" i="5"/>
  <c r="B501" i="5"/>
  <c r="B502" i="5"/>
  <c r="B503" i="5"/>
  <c r="B504" i="5"/>
  <c r="B505" i="5"/>
  <c r="B506" i="5"/>
  <c r="B507" i="5"/>
  <c r="B508" i="5"/>
  <c r="B509" i="5"/>
  <c r="B510" i="5"/>
  <c r="B511" i="5"/>
  <c r="B512" i="5"/>
  <c r="B513" i="5"/>
  <c r="B514" i="5"/>
  <c r="B515" i="5"/>
  <c r="B516" i="5"/>
  <c r="B517" i="5"/>
  <c r="B518" i="5"/>
  <c r="B519" i="5"/>
  <c r="B520" i="5"/>
  <c r="B521" i="5"/>
  <c r="B522" i="5"/>
  <c r="B523" i="5"/>
  <c r="B524" i="5"/>
  <c r="B525" i="5"/>
  <c r="B526" i="5"/>
  <c r="B527" i="5"/>
  <c r="B528" i="5"/>
  <c r="B529" i="5"/>
  <c r="B530" i="5"/>
  <c r="B531" i="5"/>
  <c r="B532" i="5"/>
  <c r="B533" i="5"/>
  <c r="B534" i="5"/>
  <c r="B535" i="5"/>
  <c r="B536" i="5"/>
  <c r="B537" i="5"/>
  <c r="B538" i="5"/>
  <c r="B539" i="5"/>
  <c r="B540" i="5"/>
  <c r="B541" i="5"/>
  <c r="B542" i="5"/>
  <c r="B543" i="5"/>
  <c r="B544" i="5"/>
  <c r="B545" i="5"/>
  <c r="B546" i="5"/>
  <c r="B547" i="5"/>
  <c r="B548" i="5"/>
  <c r="B549" i="5"/>
  <c r="B550" i="5"/>
  <c r="B551" i="5"/>
  <c r="B552" i="5"/>
  <c r="B553" i="5"/>
  <c r="B554" i="5"/>
  <c r="B555" i="5"/>
  <c r="B556" i="5"/>
  <c r="B557" i="5"/>
  <c r="B558" i="5"/>
  <c r="B559" i="5"/>
  <c r="B560" i="5"/>
  <c r="B561" i="5"/>
  <c r="B562" i="5"/>
  <c r="B563" i="5"/>
  <c r="B564" i="5"/>
  <c r="B565" i="5"/>
  <c r="B566" i="5"/>
  <c r="B567" i="5"/>
  <c r="B568" i="5"/>
  <c r="B569" i="5"/>
  <c r="B570" i="5"/>
  <c r="B571" i="5"/>
  <c r="B572" i="5"/>
  <c r="B573" i="5"/>
  <c r="B574" i="5"/>
  <c r="B575" i="5"/>
  <c r="B576" i="5"/>
  <c r="B577" i="5"/>
  <c r="B578" i="5"/>
  <c r="B579" i="5"/>
  <c r="B580" i="5"/>
  <c r="B581" i="5"/>
  <c r="B582" i="5"/>
  <c r="B583" i="5"/>
  <c r="B584" i="5"/>
  <c r="B585" i="5"/>
  <c r="B586" i="5"/>
  <c r="B587" i="5"/>
  <c r="B588" i="5"/>
  <c r="B589" i="5"/>
  <c r="B590" i="5"/>
  <c r="B591" i="5"/>
  <c r="B592" i="5"/>
  <c r="B593" i="5"/>
  <c r="B594" i="5"/>
  <c r="B595" i="5"/>
  <c r="B596" i="5"/>
  <c r="B597" i="5"/>
  <c r="B598" i="5"/>
  <c r="B599" i="5"/>
  <c r="B600" i="5"/>
  <c r="B601" i="5"/>
  <c r="B602" i="5"/>
  <c r="B603" i="5"/>
  <c r="B604" i="5"/>
  <c r="B605" i="5"/>
  <c r="B606" i="5"/>
  <c r="B607" i="5"/>
  <c r="B608" i="5"/>
  <c r="B609" i="5"/>
  <c r="B610" i="5"/>
  <c r="B611" i="5"/>
  <c r="B612" i="5"/>
  <c r="B613" i="5"/>
  <c r="B614" i="5"/>
  <c r="B615" i="5"/>
  <c r="B616" i="5"/>
  <c r="B617" i="5"/>
  <c r="B618" i="5"/>
  <c r="B619" i="5"/>
  <c r="B620" i="5"/>
  <c r="B621" i="5"/>
  <c r="B622" i="5"/>
  <c r="B623" i="5"/>
  <c r="B624" i="5"/>
  <c r="B625" i="5"/>
  <c r="B626" i="5"/>
  <c r="B627" i="5"/>
  <c r="B628" i="5"/>
  <c r="B629" i="5"/>
  <c r="B630" i="5"/>
  <c r="B631" i="5"/>
  <c r="B632" i="5"/>
  <c r="B633" i="5"/>
  <c r="B634" i="5"/>
  <c r="B635" i="5"/>
  <c r="B636" i="5"/>
  <c r="B637" i="5"/>
  <c r="B638" i="5"/>
  <c r="B639" i="5"/>
  <c r="B640" i="5"/>
  <c r="B641" i="5"/>
  <c r="B642" i="5"/>
  <c r="B643" i="5"/>
  <c r="B644" i="5"/>
  <c r="B645" i="5"/>
  <c r="B646" i="5"/>
  <c r="B647" i="5"/>
  <c r="B648" i="5"/>
  <c r="B649" i="5"/>
  <c r="B650" i="5"/>
  <c r="B651" i="5"/>
  <c r="B652" i="5"/>
  <c r="B653" i="5"/>
  <c r="B654" i="5"/>
  <c r="B655" i="5"/>
  <c r="B656" i="5"/>
  <c r="B657" i="5"/>
  <c r="B658" i="5"/>
  <c r="B659" i="5"/>
  <c r="B660" i="5"/>
  <c r="B661" i="5"/>
  <c r="B662" i="5"/>
  <c r="B663" i="5"/>
  <c r="B664" i="5"/>
  <c r="B665" i="5"/>
  <c r="B666" i="5"/>
  <c r="B667" i="5"/>
  <c r="B668" i="5"/>
  <c r="B669" i="5"/>
  <c r="B670" i="5"/>
  <c r="B671" i="5"/>
  <c r="B672" i="5"/>
  <c r="B673" i="5"/>
  <c r="B674" i="5"/>
  <c r="B675" i="5"/>
  <c r="B676" i="5"/>
  <c r="B677" i="5"/>
  <c r="B678" i="5"/>
  <c r="B679" i="5"/>
  <c r="B680" i="5"/>
  <c r="B681" i="5"/>
  <c r="B682" i="5"/>
  <c r="B683" i="5"/>
  <c r="B684" i="5"/>
  <c r="B685" i="5"/>
  <c r="B686" i="5"/>
  <c r="B687" i="5"/>
  <c r="B688" i="5"/>
  <c r="B689" i="5"/>
  <c r="B690" i="5"/>
  <c r="B691" i="5"/>
  <c r="B692" i="5"/>
  <c r="B693" i="5"/>
  <c r="B694" i="5"/>
  <c r="B695" i="5"/>
  <c r="B696" i="5"/>
  <c r="B697" i="5"/>
  <c r="B698" i="5"/>
  <c r="B699" i="5"/>
  <c r="B700" i="5"/>
  <c r="B701" i="5"/>
  <c r="B702" i="5"/>
  <c r="B703" i="5"/>
  <c r="B704" i="5"/>
  <c r="B705" i="5"/>
  <c r="B706" i="5"/>
  <c r="B707" i="5"/>
  <c r="B708" i="5"/>
  <c r="B709" i="5"/>
  <c r="B710" i="5"/>
  <c r="B711" i="5"/>
  <c r="B712" i="5"/>
  <c r="B713" i="5"/>
  <c r="B714" i="5"/>
  <c r="B715" i="5"/>
  <c r="B716" i="5"/>
  <c r="B717" i="5"/>
  <c r="B718" i="5"/>
  <c r="B719" i="5"/>
  <c r="B720" i="5"/>
  <c r="B721" i="5"/>
  <c r="B722" i="5"/>
  <c r="B723" i="5"/>
  <c r="B724" i="5"/>
  <c r="B725" i="5"/>
  <c r="B726" i="5"/>
  <c r="B727" i="5"/>
  <c r="B728" i="5"/>
  <c r="B729" i="5"/>
  <c r="B730" i="5"/>
  <c r="B731" i="5"/>
  <c r="B732" i="5"/>
  <c r="B733" i="5"/>
  <c r="B734" i="5"/>
  <c r="B735" i="5"/>
  <c r="B736" i="5"/>
  <c r="B737" i="5"/>
  <c r="B738" i="5"/>
  <c r="B739" i="5"/>
  <c r="B740" i="5"/>
  <c r="B741" i="5"/>
  <c r="B742" i="5"/>
  <c r="B743" i="5"/>
  <c r="B744" i="5"/>
  <c r="B745" i="5"/>
  <c r="B746" i="5"/>
  <c r="B747" i="5"/>
  <c r="B748" i="5"/>
  <c r="B749" i="5"/>
  <c r="B750" i="5"/>
  <c r="B751" i="5"/>
  <c r="B752" i="5"/>
  <c r="B753" i="5"/>
  <c r="B754" i="5"/>
  <c r="B755" i="5"/>
  <c r="B756" i="5"/>
  <c r="B757" i="5"/>
  <c r="B758" i="5"/>
  <c r="B759" i="5"/>
  <c r="B760" i="5"/>
  <c r="B761" i="5"/>
  <c r="B762" i="5"/>
  <c r="B763" i="5"/>
  <c r="B764" i="5"/>
  <c r="B765" i="5"/>
  <c r="B766" i="5"/>
  <c r="B767" i="5"/>
  <c r="B768" i="5"/>
  <c r="B769" i="5"/>
  <c r="B770" i="5"/>
  <c r="B771" i="5"/>
  <c r="B772" i="5"/>
  <c r="B773" i="5"/>
  <c r="B774" i="5"/>
  <c r="B775" i="5"/>
  <c r="B776" i="5"/>
  <c r="B777" i="5"/>
  <c r="B778" i="5"/>
  <c r="B779" i="5"/>
  <c r="B780" i="5"/>
  <c r="B781" i="5"/>
  <c r="B782" i="5"/>
  <c r="B783" i="5"/>
  <c r="B784" i="5"/>
  <c r="B785" i="5"/>
  <c r="B786" i="5"/>
  <c r="B787" i="5"/>
  <c r="B788" i="5"/>
  <c r="B789" i="5"/>
  <c r="B790" i="5"/>
  <c r="B791" i="5"/>
  <c r="B792" i="5"/>
  <c r="B793" i="5"/>
  <c r="B794" i="5"/>
  <c r="B795" i="5"/>
  <c r="B796" i="5"/>
  <c r="B797" i="5"/>
  <c r="B798" i="5"/>
  <c r="B799" i="5"/>
  <c r="B800" i="5"/>
  <c r="B801" i="5"/>
  <c r="B802" i="5"/>
  <c r="B803" i="5"/>
  <c r="B804" i="5"/>
  <c r="B805" i="5"/>
  <c r="B806" i="5"/>
  <c r="B807" i="5"/>
  <c r="B808" i="5"/>
  <c r="B809" i="5"/>
  <c r="B810" i="5"/>
  <c r="B811" i="5"/>
  <c r="B812" i="5"/>
  <c r="B813" i="5"/>
  <c r="B814" i="5"/>
  <c r="B815" i="5"/>
  <c r="B816" i="5"/>
  <c r="B817" i="5"/>
  <c r="B818" i="5"/>
  <c r="B819" i="5"/>
  <c r="B820" i="5"/>
  <c r="B821" i="5"/>
  <c r="B822" i="5"/>
  <c r="B823" i="5"/>
  <c r="B824" i="5"/>
  <c r="B825" i="5"/>
  <c r="B826" i="5"/>
  <c r="B827" i="5"/>
  <c r="B828" i="5"/>
  <c r="B829" i="5"/>
  <c r="B830" i="5"/>
  <c r="B831" i="5"/>
  <c r="B832" i="5"/>
  <c r="B833" i="5"/>
  <c r="B834" i="5"/>
  <c r="B835" i="5"/>
  <c r="B836" i="5"/>
  <c r="B837" i="5"/>
  <c r="B838" i="5"/>
  <c r="B839" i="5"/>
  <c r="B840" i="5"/>
  <c r="B841" i="5"/>
  <c r="B842" i="5"/>
  <c r="B843" i="5"/>
  <c r="B844" i="5"/>
  <c r="B845" i="5"/>
  <c r="B846" i="5"/>
  <c r="B847" i="5"/>
  <c r="B848" i="5"/>
  <c r="B849" i="5"/>
  <c r="B850" i="5"/>
  <c r="B851" i="5"/>
  <c r="B852" i="5"/>
  <c r="B853" i="5"/>
  <c r="B854" i="5"/>
  <c r="B855" i="5"/>
  <c r="B856" i="5"/>
  <c r="B857" i="5"/>
  <c r="B858" i="5"/>
  <c r="B859" i="5"/>
  <c r="B860" i="5"/>
  <c r="B861" i="5"/>
  <c r="B862" i="5"/>
  <c r="B863" i="5"/>
  <c r="B864" i="5"/>
  <c r="B865" i="5"/>
  <c r="B866" i="5"/>
  <c r="B867" i="5"/>
  <c r="B868" i="5"/>
  <c r="B869" i="5"/>
  <c r="B870" i="5"/>
  <c r="B871" i="5"/>
  <c r="B872" i="5"/>
  <c r="B873" i="5"/>
  <c r="B874" i="5"/>
  <c r="B875" i="5"/>
  <c r="B876" i="5"/>
  <c r="B877" i="5"/>
  <c r="B878" i="5"/>
  <c r="B879" i="5"/>
  <c r="B880" i="5"/>
  <c r="B881" i="5"/>
  <c r="B882" i="5"/>
  <c r="B883" i="5"/>
  <c r="B884" i="5"/>
  <c r="B885" i="5"/>
  <c r="B886" i="5"/>
  <c r="B887" i="5"/>
  <c r="B888" i="5"/>
  <c r="B889" i="5"/>
  <c r="B890" i="5"/>
  <c r="B891" i="5"/>
  <c r="B892" i="5"/>
  <c r="B893" i="5"/>
  <c r="B894" i="5"/>
  <c r="B895" i="5"/>
  <c r="B896" i="5"/>
  <c r="B897" i="5"/>
  <c r="B898" i="5"/>
  <c r="B899" i="5"/>
  <c r="B900" i="5"/>
  <c r="B901" i="5"/>
  <c r="B902" i="5"/>
  <c r="B903" i="5"/>
  <c r="B904" i="5"/>
  <c r="B905" i="5"/>
  <c r="B906" i="5"/>
  <c r="B907" i="5"/>
  <c r="B908" i="5"/>
  <c r="B909" i="5"/>
  <c r="B910" i="5"/>
  <c r="B911" i="5"/>
  <c r="B912" i="5"/>
  <c r="B913" i="5"/>
  <c r="B914" i="5"/>
  <c r="B915" i="5"/>
  <c r="B916" i="5"/>
  <c r="B917" i="5"/>
  <c r="B918" i="5"/>
  <c r="B919" i="5"/>
  <c r="B920" i="5"/>
  <c r="B921" i="5"/>
  <c r="B922" i="5"/>
  <c r="B923" i="5"/>
  <c r="B924" i="5"/>
  <c r="B925" i="5"/>
  <c r="B926" i="5"/>
  <c r="B927" i="5"/>
  <c r="B928" i="5"/>
  <c r="B929" i="5"/>
  <c r="B930" i="5"/>
  <c r="B931" i="5"/>
  <c r="B932" i="5"/>
  <c r="B933" i="5"/>
  <c r="B934" i="5"/>
  <c r="B935" i="5"/>
  <c r="B936" i="5"/>
  <c r="B937" i="5"/>
  <c r="B938" i="5"/>
  <c r="B939" i="5"/>
  <c r="B940" i="5"/>
  <c r="B941" i="5"/>
  <c r="B942" i="5"/>
  <c r="B943" i="5"/>
  <c r="B944" i="5"/>
  <c r="B945" i="5"/>
  <c r="B946" i="5"/>
  <c r="B947" i="5"/>
  <c r="B948" i="5"/>
  <c r="B949" i="5"/>
  <c r="B950" i="5"/>
  <c r="B951" i="5"/>
  <c r="B952" i="5"/>
  <c r="B953" i="5"/>
  <c r="B954" i="5"/>
  <c r="B955" i="5"/>
  <c r="B956" i="5"/>
  <c r="B957" i="5"/>
  <c r="B958" i="5"/>
  <c r="B959" i="5"/>
  <c r="B960" i="5"/>
  <c r="B961" i="5"/>
  <c r="B962" i="5"/>
  <c r="B963" i="5"/>
  <c r="B964" i="5"/>
  <c r="B965" i="5"/>
  <c r="B966" i="5"/>
  <c r="B967" i="5"/>
  <c r="B968" i="5"/>
  <c r="B969" i="5"/>
  <c r="B970" i="5"/>
  <c r="B971" i="5"/>
  <c r="B972" i="5"/>
  <c r="B973" i="5"/>
  <c r="B974" i="5"/>
  <c r="B975" i="5"/>
  <c r="B976" i="5"/>
  <c r="B977" i="5"/>
  <c r="B978" i="5"/>
  <c r="B979" i="5"/>
  <c r="B980" i="5"/>
  <c r="B981" i="5"/>
  <c r="B982" i="5"/>
  <c r="B983" i="5"/>
  <c r="B984" i="5"/>
  <c r="B985" i="5"/>
  <c r="B986" i="5"/>
  <c r="B987" i="5"/>
  <c r="B988" i="5"/>
  <c r="B989" i="5"/>
  <c r="B990" i="5"/>
  <c r="B991" i="5"/>
  <c r="B992" i="5"/>
  <c r="B993" i="5"/>
  <c r="B994" i="5"/>
  <c r="B995" i="5"/>
  <c r="B996" i="5"/>
  <c r="B997" i="5"/>
  <c r="B998" i="5"/>
  <c r="B999" i="5"/>
  <c r="B1000" i="5"/>
  <c r="B1001" i="5"/>
  <c r="B1002" i="5"/>
  <c r="B1003" i="5"/>
  <c r="B1004" i="5"/>
  <c r="B1005" i="5"/>
  <c r="B1006" i="5"/>
  <c r="B1007" i="5"/>
  <c r="B1008" i="5"/>
  <c r="B1009" i="5"/>
  <c r="B1010" i="5"/>
  <c r="B1011" i="5"/>
  <c r="B1012" i="5"/>
  <c r="B1013" i="5"/>
  <c r="B1014" i="5"/>
  <c r="B1015" i="5"/>
  <c r="B1016" i="5"/>
  <c r="B1017" i="5"/>
  <c r="B1018" i="5"/>
  <c r="B1019" i="5"/>
  <c r="B1020" i="5"/>
  <c r="B1021" i="5"/>
  <c r="B1022" i="5"/>
  <c r="B1023" i="5"/>
  <c r="B1024" i="5"/>
  <c r="B1025" i="5"/>
  <c r="B1026" i="5"/>
  <c r="B1027" i="5"/>
  <c r="B1028" i="5"/>
  <c r="B1029" i="5"/>
  <c r="B1030" i="5"/>
  <c r="B1031" i="5"/>
  <c r="B1032" i="5"/>
  <c r="B1033" i="5"/>
  <c r="B1034" i="5"/>
  <c r="B1035" i="5"/>
  <c r="B1036" i="5"/>
  <c r="B1037" i="5"/>
  <c r="B1038" i="5"/>
  <c r="B1039" i="5"/>
  <c r="B1040" i="5"/>
  <c r="B1041" i="5"/>
  <c r="B1042" i="5"/>
  <c r="B1043" i="5"/>
  <c r="B1044" i="5"/>
  <c r="B1045" i="5"/>
  <c r="B1046" i="5"/>
  <c r="B1047" i="5"/>
  <c r="B1048" i="5"/>
  <c r="B1049" i="5"/>
  <c r="B1050" i="5"/>
  <c r="B1051" i="5"/>
  <c r="B1052" i="5"/>
  <c r="B1053" i="5"/>
  <c r="B1054" i="5"/>
  <c r="B1055" i="5"/>
  <c r="B1056" i="5"/>
  <c r="B1057" i="5"/>
  <c r="B1058" i="5"/>
  <c r="B1059" i="5"/>
  <c r="B1060" i="5"/>
  <c r="B1061" i="5"/>
  <c r="B1062" i="5"/>
  <c r="B1063" i="5"/>
  <c r="B1064" i="5"/>
  <c r="B1065" i="5"/>
  <c r="B1066" i="5"/>
  <c r="B1067" i="5"/>
  <c r="B1068" i="5"/>
  <c r="B1069" i="5"/>
  <c r="B1070" i="5"/>
  <c r="B1071" i="5"/>
  <c r="B1072" i="5"/>
  <c r="B1073" i="5"/>
  <c r="B1074" i="5"/>
  <c r="B1075" i="5"/>
  <c r="B1076" i="5"/>
  <c r="B1077" i="5"/>
  <c r="B1078" i="5"/>
  <c r="B1079" i="5"/>
  <c r="B1080" i="5"/>
  <c r="B1081" i="5"/>
  <c r="B1082" i="5"/>
  <c r="B1083" i="5"/>
  <c r="B1084" i="5"/>
  <c r="B1085" i="5"/>
  <c r="B1086" i="5"/>
  <c r="B1087" i="5"/>
  <c r="B1088" i="5"/>
  <c r="B1089" i="5"/>
  <c r="B1090" i="5"/>
  <c r="B1091" i="5"/>
  <c r="B1092" i="5"/>
  <c r="B1093" i="5"/>
  <c r="B1094" i="5"/>
  <c r="B1095" i="5"/>
  <c r="B1096" i="5"/>
  <c r="B1097" i="5"/>
  <c r="B1098" i="5"/>
  <c r="B1099" i="5"/>
  <c r="B1100" i="5"/>
  <c r="B1101" i="5"/>
  <c r="B1102" i="5"/>
  <c r="B1103" i="5"/>
  <c r="B1104" i="5"/>
  <c r="B1105" i="5"/>
  <c r="B1106" i="5"/>
  <c r="B1107" i="5"/>
  <c r="B1108" i="5"/>
  <c r="B1109" i="5"/>
  <c r="B1110" i="5"/>
  <c r="B1111" i="5"/>
  <c r="B1112" i="5"/>
  <c r="B1113" i="5"/>
  <c r="B1114" i="5"/>
  <c r="B1115" i="5"/>
  <c r="B1116" i="5"/>
  <c r="B1117" i="5"/>
  <c r="B1118" i="5"/>
  <c r="B1119" i="5"/>
  <c r="B1120" i="5"/>
  <c r="B1121" i="5"/>
  <c r="B1122" i="5"/>
  <c r="B1123" i="5"/>
  <c r="B1124" i="5"/>
  <c r="B1125" i="5"/>
  <c r="B1126" i="5"/>
  <c r="B1127" i="5"/>
  <c r="B1128" i="5"/>
  <c r="B1129" i="5"/>
  <c r="B1130" i="5"/>
  <c r="B1131" i="5"/>
  <c r="B1132" i="5"/>
  <c r="B1133" i="5"/>
  <c r="B1134" i="5"/>
  <c r="B1135" i="5"/>
  <c r="B1136" i="5"/>
  <c r="B1137" i="5"/>
  <c r="B1138" i="5"/>
  <c r="B1139" i="5"/>
  <c r="B1140" i="5"/>
  <c r="B1141" i="5"/>
  <c r="B1142" i="5"/>
  <c r="B1143" i="5"/>
  <c r="B1144" i="5"/>
  <c r="B1145" i="5"/>
  <c r="B1146" i="5"/>
  <c r="B1147" i="5"/>
  <c r="B1148" i="5"/>
  <c r="B1149" i="5"/>
  <c r="B1150" i="5"/>
  <c r="B1151" i="5"/>
  <c r="B1152" i="5"/>
  <c r="B1153" i="5"/>
  <c r="B1154" i="5"/>
  <c r="B1155" i="5"/>
  <c r="B1156" i="5"/>
  <c r="B1157" i="5"/>
  <c r="B1158" i="5"/>
  <c r="B1159" i="5"/>
  <c r="B1160" i="5"/>
  <c r="B1161" i="5"/>
  <c r="B1162" i="5"/>
  <c r="B1163" i="5"/>
  <c r="B1164" i="5"/>
  <c r="B1165" i="5"/>
  <c r="B1166" i="5"/>
  <c r="B1167" i="5"/>
  <c r="B1168" i="5"/>
  <c r="B1169" i="5"/>
  <c r="B1170" i="5"/>
  <c r="B1171" i="5"/>
  <c r="B1172" i="5"/>
  <c r="B1173" i="5"/>
  <c r="B1174" i="5"/>
  <c r="B1175" i="5"/>
  <c r="B1176" i="5"/>
  <c r="B1177" i="5"/>
  <c r="B1178" i="5"/>
  <c r="B1179" i="5"/>
  <c r="B1180" i="5"/>
  <c r="B1181" i="5"/>
  <c r="B1182" i="5"/>
  <c r="B1183" i="5"/>
  <c r="B1184" i="5"/>
  <c r="B1185" i="5"/>
  <c r="B1186" i="5"/>
  <c r="B1187" i="5"/>
  <c r="B1188" i="5"/>
  <c r="B1189" i="5"/>
  <c r="B1190" i="5"/>
  <c r="B1191" i="5"/>
  <c r="B1192" i="5"/>
  <c r="B1193" i="5"/>
  <c r="B1194" i="5"/>
  <c r="B1195" i="5"/>
  <c r="B1196" i="5"/>
  <c r="B1197" i="5"/>
  <c r="B1198" i="5"/>
  <c r="B1199" i="5"/>
  <c r="B1200" i="5"/>
  <c r="B1201" i="5"/>
  <c r="B1202" i="5"/>
  <c r="B1203" i="5"/>
  <c r="B1204" i="5"/>
  <c r="B1205" i="5"/>
  <c r="B1206" i="5"/>
  <c r="B1207" i="5"/>
  <c r="B1208" i="5"/>
  <c r="B1209" i="5"/>
  <c r="B1210" i="5"/>
  <c r="B1211" i="5"/>
  <c r="B1212" i="5"/>
  <c r="B1213" i="5"/>
  <c r="B1214" i="5"/>
  <c r="B1215" i="5"/>
  <c r="B1216" i="5"/>
  <c r="B1217" i="5"/>
  <c r="B1218" i="5"/>
  <c r="B1219" i="5"/>
  <c r="B1220" i="5"/>
  <c r="B1221" i="5"/>
  <c r="B1222" i="5"/>
  <c r="B1223" i="5"/>
  <c r="B1224" i="5"/>
  <c r="B1225" i="5"/>
  <c r="B1226" i="5"/>
  <c r="B1227" i="5"/>
  <c r="B1228" i="5"/>
  <c r="B1229" i="5"/>
  <c r="B1230" i="5"/>
  <c r="B1231" i="5"/>
  <c r="B1232" i="5"/>
  <c r="B1233" i="5"/>
  <c r="B1234" i="5"/>
  <c r="B1235" i="5"/>
  <c r="B1236" i="5"/>
  <c r="B1237" i="5"/>
  <c r="B1238" i="5"/>
  <c r="B1239" i="5"/>
  <c r="B1240" i="5"/>
  <c r="B1241" i="5"/>
  <c r="B1242" i="5"/>
  <c r="B1243" i="5"/>
  <c r="B1244" i="5"/>
  <c r="B1245" i="5"/>
  <c r="B1246" i="5"/>
  <c r="B1247" i="5"/>
  <c r="B1248" i="5"/>
  <c r="B1249" i="5"/>
  <c r="B1250" i="5"/>
  <c r="B1251" i="5"/>
  <c r="B1252" i="5"/>
  <c r="B1253" i="5"/>
  <c r="B1254" i="5"/>
  <c r="B1255" i="5"/>
  <c r="B1256" i="5"/>
  <c r="B1257" i="5"/>
  <c r="B1258" i="5"/>
  <c r="B1259" i="5"/>
  <c r="B1260" i="5"/>
  <c r="B1261" i="5"/>
  <c r="B1262" i="5"/>
  <c r="B1263" i="5"/>
  <c r="B1264" i="5"/>
  <c r="B1265" i="5"/>
  <c r="B1266" i="5"/>
  <c r="B1267" i="5"/>
  <c r="B1268" i="5"/>
  <c r="B1269" i="5"/>
  <c r="B1270" i="5"/>
  <c r="B1271" i="5"/>
  <c r="B1272" i="5"/>
  <c r="B1273" i="5"/>
  <c r="B1274" i="5"/>
  <c r="B1275" i="5"/>
  <c r="B1276" i="5"/>
  <c r="B1277" i="5"/>
  <c r="B1278" i="5"/>
  <c r="B1279" i="5"/>
  <c r="B1280" i="5"/>
  <c r="B1281" i="5"/>
  <c r="B1282" i="5"/>
  <c r="B1283" i="5"/>
  <c r="B1284" i="5"/>
  <c r="B1285" i="5"/>
  <c r="B1286" i="5"/>
  <c r="B1287" i="5"/>
  <c r="B1288" i="5"/>
  <c r="B1289" i="5"/>
  <c r="B1290" i="5"/>
  <c r="B1291" i="5"/>
  <c r="B1292" i="5"/>
  <c r="B1293" i="5"/>
  <c r="B1294" i="5"/>
  <c r="B1295" i="5"/>
  <c r="B1296" i="5"/>
  <c r="B1297" i="5"/>
  <c r="B1298" i="5"/>
  <c r="B1299" i="5"/>
  <c r="B1300" i="5"/>
  <c r="B1301" i="5"/>
  <c r="B1302" i="5"/>
  <c r="B1303" i="5"/>
  <c r="B1304" i="5"/>
  <c r="B1305" i="5"/>
  <c r="B1306" i="5"/>
  <c r="B1307" i="5"/>
  <c r="B1308" i="5"/>
  <c r="B1309" i="5"/>
  <c r="B1310" i="5"/>
  <c r="B1311" i="5"/>
  <c r="B1312" i="5"/>
  <c r="B1313" i="5"/>
  <c r="B1314" i="5"/>
  <c r="B1315" i="5"/>
  <c r="B1316" i="5"/>
  <c r="B1317" i="5"/>
  <c r="B1318" i="5"/>
  <c r="B1319" i="5"/>
  <c r="B1320" i="5"/>
  <c r="B1321" i="5"/>
  <c r="B1322" i="5"/>
  <c r="B1323" i="5"/>
  <c r="B1324" i="5"/>
  <c r="B1325" i="5"/>
  <c r="B1326" i="5"/>
  <c r="B1327" i="5"/>
  <c r="B1328" i="5"/>
  <c r="B1329" i="5"/>
  <c r="B1330" i="5"/>
  <c r="B1331" i="5"/>
  <c r="B1332" i="5"/>
  <c r="B1333" i="5"/>
  <c r="B1334" i="5"/>
  <c r="B1335" i="5"/>
  <c r="B1336" i="5"/>
  <c r="B1337" i="5"/>
  <c r="B1338" i="5"/>
  <c r="B1339" i="5"/>
  <c r="B1340" i="5"/>
  <c r="B1341" i="5"/>
  <c r="B1342" i="5"/>
  <c r="B1343" i="5"/>
  <c r="B1344" i="5"/>
  <c r="B1345" i="5"/>
  <c r="B1346" i="5"/>
  <c r="B1347" i="5"/>
  <c r="B1348" i="5"/>
  <c r="B1349" i="5"/>
  <c r="B1350" i="5"/>
  <c r="B1351" i="5"/>
  <c r="B1352" i="5"/>
  <c r="B1353" i="5"/>
  <c r="B1354" i="5"/>
  <c r="B1355" i="5"/>
  <c r="B1356" i="5"/>
  <c r="B1357" i="5"/>
  <c r="B1358" i="5"/>
  <c r="B1359" i="5"/>
  <c r="B1360" i="5"/>
  <c r="B1361" i="5"/>
  <c r="B1362" i="5"/>
  <c r="B1363" i="5"/>
  <c r="B1364" i="5"/>
  <c r="B1365" i="5"/>
  <c r="B1366" i="5"/>
  <c r="B1367" i="5"/>
  <c r="B1368" i="5"/>
  <c r="B1369" i="5"/>
  <c r="B1370" i="5"/>
  <c r="B1371" i="5"/>
  <c r="B1372" i="5"/>
  <c r="B1373" i="5"/>
  <c r="B1374" i="5"/>
  <c r="B1375" i="5"/>
  <c r="B1376" i="5"/>
  <c r="B1377" i="5"/>
  <c r="B1378" i="5"/>
  <c r="B1379" i="5"/>
  <c r="B1380" i="5"/>
  <c r="B1381" i="5"/>
  <c r="B1382" i="5"/>
  <c r="B1383" i="5"/>
  <c r="B1384" i="5"/>
  <c r="B1385" i="5"/>
  <c r="B1386" i="5"/>
  <c r="B1387" i="5"/>
  <c r="B1388" i="5"/>
  <c r="B1389" i="5"/>
  <c r="B1390" i="5"/>
  <c r="B1391" i="5"/>
  <c r="B1392" i="5"/>
  <c r="B1393" i="5"/>
  <c r="B1394" i="5"/>
  <c r="B1395" i="5"/>
  <c r="B1396" i="5"/>
  <c r="B1397" i="5"/>
  <c r="B1398" i="5"/>
  <c r="B1399" i="5"/>
  <c r="B1400" i="5"/>
  <c r="B1401" i="5"/>
  <c r="B1402" i="5"/>
  <c r="B1403" i="5"/>
  <c r="B1404" i="5"/>
  <c r="B1405" i="5"/>
  <c r="B1406" i="5"/>
  <c r="B1407" i="5"/>
  <c r="B1408" i="5"/>
  <c r="B1409" i="5"/>
  <c r="B1410" i="5"/>
  <c r="B1411" i="5"/>
  <c r="B1412" i="5"/>
  <c r="B1413" i="5"/>
  <c r="B1414" i="5"/>
  <c r="B1415" i="5"/>
  <c r="B1416" i="5"/>
  <c r="B1417" i="5"/>
  <c r="B1418" i="5"/>
  <c r="B1419" i="5"/>
  <c r="B1420" i="5"/>
  <c r="B1421" i="5"/>
  <c r="B1422" i="5"/>
  <c r="B1423" i="5"/>
  <c r="B1424" i="5"/>
  <c r="B1425" i="5"/>
  <c r="B1426" i="5"/>
  <c r="B1427" i="5"/>
  <c r="B1428" i="5"/>
  <c r="B1429" i="5"/>
  <c r="B1430" i="5"/>
  <c r="B1431" i="5"/>
  <c r="B1432" i="5"/>
  <c r="B1433" i="5"/>
  <c r="B1434" i="5"/>
  <c r="B1435" i="5"/>
  <c r="B1436" i="5"/>
  <c r="B1437" i="5"/>
  <c r="B1438" i="5"/>
  <c r="B1439" i="5"/>
  <c r="B1440" i="5"/>
  <c r="B1441" i="5"/>
  <c r="B1442" i="5"/>
  <c r="B1443" i="5"/>
  <c r="B1444" i="5"/>
  <c r="B1445" i="5"/>
  <c r="B1446" i="5"/>
  <c r="B1447" i="5"/>
  <c r="B1448" i="5"/>
  <c r="B1449" i="5"/>
  <c r="B1450" i="5"/>
  <c r="B1451" i="5"/>
  <c r="B1452" i="5"/>
  <c r="B1453" i="5"/>
  <c r="B1454" i="5"/>
  <c r="B1455" i="5"/>
  <c r="B1456" i="5"/>
  <c r="B1457" i="5"/>
  <c r="B1458" i="5"/>
  <c r="B1459" i="5"/>
  <c r="B1460" i="5"/>
  <c r="B1461" i="5"/>
  <c r="B1462" i="5"/>
  <c r="B1463" i="5"/>
  <c r="B1464" i="5"/>
  <c r="B1465" i="5"/>
  <c r="B1466" i="5"/>
  <c r="B1467" i="5"/>
  <c r="B1468" i="5"/>
  <c r="B1469" i="5"/>
  <c r="B1470" i="5"/>
  <c r="B1471" i="5"/>
  <c r="B1472" i="5"/>
  <c r="B1473" i="5"/>
  <c r="B1474" i="5"/>
  <c r="B1475" i="5"/>
  <c r="B1476" i="5"/>
  <c r="B1477" i="5"/>
  <c r="B1478" i="5"/>
  <c r="B1479" i="5"/>
  <c r="B1480" i="5"/>
  <c r="B1481" i="5"/>
  <c r="B1482" i="5"/>
  <c r="B1483" i="5"/>
  <c r="B1484" i="5"/>
  <c r="B1485" i="5"/>
  <c r="B1486" i="5"/>
  <c r="B1487" i="5"/>
  <c r="B1488" i="5"/>
  <c r="B1489" i="5"/>
  <c r="B1490" i="5"/>
  <c r="B1491" i="5"/>
  <c r="B1492" i="5"/>
  <c r="B1493" i="5"/>
  <c r="B1494" i="5"/>
  <c r="B1495" i="5"/>
  <c r="B1496" i="5"/>
  <c r="B1497" i="5"/>
  <c r="B1498" i="5"/>
  <c r="B1499" i="5"/>
  <c r="B1500" i="5"/>
  <c r="B1501" i="5"/>
  <c r="B1502" i="5"/>
  <c r="B1503" i="5"/>
  <c r="B1504" i="5"/>
  <c r="B1505" i="5"/>
  <c r="B1506" i="5"/>
  <c r="B1507" i="5"/>
  <c r="B1508" i="5"/>
  <c r="B1509" i="5"/>
  <c r="B1510" i="5"/>
  <c r="B1511" i="5"/>
  <c r="B1512" i="5"/>
  <c r="B1513" i="5"/>
  <c r="B1514" i="5"/>
  <c r="B1515" i="5"/>
  <c r="B1516" i="5"/>
  <c r="B1517" i="5"/>
  <c r="B1518" i="5"/>
  <c r="B1519" i="5"/>
  <c r="B1520" i="5"/>
  <c r="B1521" i="5"/>
  <c r="B1522" i="5"/>
  <c r="B1523" i="5"/>
  <c r="B1524" i="5"/>
  <c r="B1525" i="5"/>
  <c r="B1526" i="5"/>
  <c r="B1527" i="5"/>
  <c r="B1528" i="5"/>
  <c r="B1529" i="5"/>
  <c r="B1530" i="5"/>
  <c r="B1531" i="5"/>
  <c r="B1532" i="5"/>
  <c r="B1533" i="5"/>
  <c r="B1534" i="5"/>
  <c r="B1535" i="5"/>
  <c r="B1536" i="5"/>
  <c r="B1537" i="5"/>
  <c r="B1538" i="5"/>
  <c r="B1539" i="5"/>
  <c r="B1540" i="5"/>
  <c r="B1541" i="5"/>
  <c r="B1542" i="5"/>
  <c r="B1543" i="5"/>
  <c r="B1544" i="5"/>
  <c r="B1545" i="5"/>
  <c r="B1546" i="5"/>
  <c r="B1547" i="5"/>
  <c r="B1548" i="5"/>
  <c r="B1549" i="5"/>
  <c r="B1550" i="5"/>
  <c r="B1551" i="5"/>
  <c r="B1552" i="5"/>
  <c r="B1553" i="5"/>
  <c r="B1554" i="5"/>
  <c r="B1555" i="5"/>
  <c r="B1556" i="5"/>
  <c r="B1557" i="5"/>
  <c r="B1558" i="5"/>
  <c r="B1559" i="5"/>
  <c r="B1560" i="5"/>
  <c r="B1561" i="5"/>
  <c r="B1562" i="5"/>
  <c r="B1563" i="5"/>
  <c r="B1564" i="5"/>
  <c r="B1565" i="5"/>
  <c r="B1566" i="5"/>
  <c r="B1567" i="5"/>
  <c r="B1568" i="5"/>
  <c r="B1569" i="5"/>
  <c r="B1570" i="5"/>
  <c r="B1571" i="5"/>
  <c r="B1572" i="5"/>
  <c r="B1573" i="5"/>
  <c r="B1574" i="5"/>
  <c r="B1575" i="5"/>
  <c r="B1576" i="5"/>
  <c r="B1577" i="5"/>
  <c r="B1578" i="5"/>
  <c r="B1579" i="5"/>
  <c r="B1580" i="5"/>
  <c r="B1581" i="5"/>
  <c r="B1582" i="5"/>
  <c r="B1583" i="5"/>
  <c r="B1584" i="5"/>
  <c r="B1585" i="5"/>
  <c r="B1586" i="5"/>
  <c r="B1587" i="5"/>
  <c r="B1588" i="5"/>
  <c r="B1589" i="5"/>
  <c r="B1590" i="5"/>
  <c r="B1591" i="5"/>
  <c r="B1592" i="5"/>
  <c r="B1593" i="5"/>
  <c r="B1594" i="5"/>
  <c r="B1595" i="5"/>
  <c r="B1596" i="5"/>
  <c r="B1597" i="5"/>
  <c r="B1598" i="5"/>
  <c r="B1599" i="5"/>
  <c r="B1600" i="5"/>
  <c r="B1601" i="5"/>
  <c r="B1602" i="5"/>
  <c r="B1603" i="5"/>
  <c r="B1604" i="5"/>
  <c r="B1605" i="5"/>
  <c r="B1606" i="5"/>
  <c r="B1607" i="5"/>
  <c r="B1608" i="5"/>
  <c r="B1609" i="5"/>
  <c r="B1610" i="5"/>
  <c r="B1611" i="5"/>
  <c r="B1612" i="5"/>
  <c r="B1613" i="5"/>
  <c r="B1614" i="5"/>
  <c r="B1615" i="5"/>
  <c r="B1616" i="5"/>
  <c r="B1617" i="5"/>
  <c r="B1618" i="5"/>
  <c r="B1619" i="5"/>
  <c r="B1620" i="5"/>
  <c r="B1621" i="5"/>
  <c r="B1622" i="5"/>
  <c r="B1623" i="5"/>
  <c r="B1624" i="5"/>
  <c r="B1625" i="5"/>
  <c r="B1626" i="5"/>
  <c r="B1627" i="5"/>
  <c r="B1628" i="5"/>
  <c r="B1629" i="5"/>
  <c r="B1630" i="5"/>
  <c r="B1631" i="5"/>
  <c r="B1632" i="5"/>
  <c r="B1633" i="5"/>
  <c r="B1634" i="5"/>
  <c r="B1635" i="5"/>
  <c r="B1636" i="5"/>
  <c r="B1637" i="5"/>
  <c r="B1638" i="5"/>
  <c r="B1639" i="5"/>
  <c r="B1640" i="5"/>
  <c r="B1641" i="5"/>
  <c r="B1642" i="5"/>
  <c r="B1643" i="5"/>
  <c r="B1644" i="5"/>
  <c r="B1645" i="5"/>
  <c r="B1646" i="5"/>
  <c r="B1647" i="5"/>
  <c r="B1648" i="5"/>
  <c r="B1649" i="5"/>
  <c r="B1650" i="5"/>
  <c r="B1651" i="5"/>
  <c r="B1652" i="5"/>
  <c r="B1653" i="5"/>
  <c r="B1654" i="5"/>
  <c r="B1655" i="5"/>
  <c r="B1656" i="5"/>
  <c r="B1657" i="5"/>
  <c r="B1658" i="5"/>
  <c r="B1659" i="5"/>
  <c r="B1660" i="5"/>
  <c r="B1661" i="5"/>
  <c r="B1662" i="5"/>
  <c r="B1663" i="5"/>
  <c r="B1664" i="5"/>
  <c r="B1665" i="5"/>
  <c r="B1666" i="5"/>
  <c r="B1667" i="5"/>
  <c r="B1668" i="5"/>
  <c r="B1669" i="5"/>
  <c r="B1670" i="5"/>
  <c r="B1671" i="5"/>
  <c r="B1672" i="5"/>
  <c r="B1673" i="5"/>
  <c r="B1674" i="5"/>
  <c r="B1675" i="5"/>
  <c r="B1676" i="5"/>
  <c r="B1677" i="5"/>
  <c r="B1678" i="5"/>
  <c r="B1679" i="5"/>
  <c r="B1680" i="5"/>
  <c r="B1681" i="5"/>
  <c r="B1682" i="5"/>
  <c r="B1683" i="5"/>
  <c r="B1684" i="5"/>
  <c r="B1685" i="5"/>
  <c r="B1686" i="5"/>
  <c r="B1687" i="5"/>
  <c r="B1688" i="5"/>
  <c r="B1689" i="5"/>
  <c r="B1690" i="5"/>
  <c r="B1691" i="5"/>
  <c r="B1692" i="5"/>
  <c r="B1693" i="5"/>
  <c r="B1694" i="5"/>
  <c r="B1695" i="5"/>
  <c r="B1696" i="5"/>
  <c r="B1697" i="5"/>
  <c r="B1698" i="5"/>
  <c r="B1699" i="5"/>
  <c r="B1700" i="5"/>
  <c r="B1701" i="5"/>
  <c r="B1702" i="5"/>
  <c r="B1703" i="5"/>
  <c r="B1704" i="5"/>
  <c r="B1705" i="5"/>
  <c r="B1706" i="5"/>
  <c r="B1707" i="5"/>
  <c r="B1708" i="5"/>
  <c r="B1709" i="5"/>
  <c r="B1710" i="5"/>
  <c r="B1711" i="5"/>
  <c r="B1712" i="5"/>
  <c r="B1713" i="5"/>
  <c r="B1714" i="5"/>
  <c r="B1715" i="5"/>
  <c r="B1716" i="5"/>
  <c r="B1717" i="5"/>
  <c r="B1718" i="5"/>
  <c r="B1719" i="5"/>
  <c r="B1720" i="5"/>
  <c r="B1721" i="5"/>
  <c r="B1722" i="5"/>
  <c r="B1723" i="5"/>
  <c r="B1724" i="5"/>
  <c r="B1725" i="5"/>
  <c r="B1726" i="5"/>
  <c r="B1727" i="5"/>
  <c r="B1728" i="5"/>
  <c r="B1729" i="5"/>
  <c r="B1730" i="5"/>
  <c r="B1731" i="5"/>
  <c r="B1732" i="5"/>
  <c r="B1733" i="5"/>
  <c r="B1734" i="5"/>
  <c r="B1735" i="5"/>
  <c r="B1736" i="5"/>
  <c r="B1737" i="5"/>
  <c r="B1738" i="5"/>
  <c r="B1739" i="5"/>
  <c r="B1740" i="5"/>
  <c r="B1741" i="5"/>
  <c r="B1742" i="5"/>
  <c r="B1743" i="5"/>
  <c r="B1744" i="5"/>
  <c r="B1745" i="5"/>
  <c r="B1746" i="5"/>
  <c r="B1747" i="5"/>
  <c r="B1748" i="5"/>
  <c r="B1749" i="5"/>
  <c r="B1750" i="5"/>
  <c r="B1751" i="5"/>
  <c r="B1752" i="5"/>
  <c r="B1753" i="5"/>
  <c r="B1754" i="5"/>
  <c r="B1755" i="5"/>
  <c r="B1756" i="5"/>
  <c r="B1757" i="5"/>
  <c r="B1758" i="5"/>
  <c r="B1759" i="5"/>
  <c r="B1760" i="5"/>
  <c r="B1761" i="5"/>
  <c r="B1762" i="5"/>
  <c r="B1763" i="5"/>
  <c r="B1764" i="5"/>
  <c r="B1765" i="5"/>
  <c r="B1766" i="5"/>
  <c r="B1767" i="5"/>
  <c r="B1768" i="5"/>
  <c r="B1769" i="5"/>
  <c r="B1770" i="5"/>
  <c r="B1771" i="5"/>
  <c r="B1772" i="5"/>
  <c r="B1773" i="5"/>
  <c r="B1774" i="5"/>
  <c r="B1775" i="5"/>
  <c r="B1776" i="5"/>
  <c r="B1777" i="5"/>
  <c r="B1778" i="5"/>
  <c r="B1779" i="5"/>
  <c r="B1780" i="5"/>
  <c r="B1781" i="5"/>
  <c r="B1782" i="5"/>
  <c r="B1783" i="5"/>
  <c r="B1784" i="5"/>
  <c r="B1785" i="5"/>
  <c r="B1786" i="5"/>
  <c r="B1787" i="5"/>
  <c r="B1788" i="5"/>
  <c r="B1789" i="5"/>
  <c r="B1790" i="5"/>
  <c r="B1791" i="5"/>
  <c r="B1792" i="5"/>
  <c r="B1793" i="5"/>
  <c r="B1794" i="5"/>
  <c r="B1795" i="5"/>
  <c r="B1796" i="5"/>
  <c r="B1797" i="5"/>
  <c r="B1798" i="5"/>
  <c r="B1799" i="5"/>
  <c r="B1800" i="5"/>
  <c r="B1801" i="5"/>
  <c r="B1802" i="5"/>
  <c r="B1803" i="5"/>
  <c r="B1804" i="5"/>
  <c r="B1805" i="5"/>
  <c r="B1806" i="5"/>
  <c r="B1807" i="5"/>
  <c r="B1808" i="5"/>
  <c r="B1809" i="5"/>
  <c r="B1810" i="5"/>
  <c r="B1811" i="5"/>
  <c r="B1812" i="5"/>
  <c r="B1813" i="5"/>
  <c r="B1814" i="5"/>
  <c r="B1815" i="5"/>
  <c r="B1816" i="5"/>
  <c r="B1817" i="5"/>
  <c r="B1818" i="5"/>
  <c r="B1819" i="5"/>
  <c r="B1820" i="5"/>
  <c r="B1821" i="5"/>
  <c r="B1822" i="5"/>
  <c r="B1823" i="5"/>
  <c r="B1824" i="5"/>
  <c r="B1825" i="5"/>
  <c r="B1826" i="5"/>
  <c r="B1827" i="5"/>
  <c r="B1828" i="5"/>
  <c r="B1829" i="5"/>
  <c r="B1830" i="5"/>
  <c r="B1831" i="5"/>
  <c r="B1832" i="5"/>
  <c r="B1833" i="5"/>
  <c r="B1834" i="5"/>
  <c r="B1835" i="5"/>
  <c r="B1836" i="5"/>
  <c r="B1837" i="5"/>
  <c r="B1838" i="5"/>
  <c r="B1839" i="5"/>
  <c r="B1840" i="5"/>
  <c r="B1841" i="5"/>
  <c r="B1842" i="5"/>
  <c r="B1843" i="5"/>
  <c r="B1844" i="5"/>
  <c r="B1845" i="5"/>
  <c r="B1846" i="5"/>
  <c r="B1847" i="5"/>
  <c r="B1848" i="5"/>
  <c r="B1849" i="5"/>
  <c r="B1850" i="5"/>
  <c r="B1851" i="5"/>
  <c r="B1852" i="5"/>
  <c r="B1853" i="5"/>
  <c r="B1854" i="5"/>
  <c r="B1855" i="5"/>
  <c r="B1856" i="5"/>
  <c r="B1857" i="5"/>
  <c r="B1858" i="5"/>
  <c r="B1859" i="5"/>
  <c r="B1860" i="5"/>
  <c r="B1861" i="5"/>
  <c r="B1862" i="5"/>
  <c r="B1863" i="5"/>
  <c r="B1864" i="5"/>
  <c r="B1865" i="5"/>
  <c r="B1866" i="5"/>
  <c r="B1867" i="5"/>
  <c r="B1868" i="5"/>
  <c r="B1869" i="5"/>
  <c r="B1870" i="5"/>
  <c r="B1871" i="5"/>
  <c r="B1872" i="5"/>
  <c r="B1873" i="5"/>
  <c r="B1874" i="5"/>
  <c r="B1875" i="5"/>
  <c r="B1876" i="5"/>
  <c r="B1877" i="5"/>
  <c r="B1878" i="5"/>
  <c r="B1879" i="5"/>
  <c r="B1880" i="5"/>
  <c r="B1881" i="5"/>
  <c r="B1882" i="5"/>
  <c r="B1883" i="5"/>
  <c r="B1884" i="5"/>
  <c r="B1885" i="5"/>
  <c r="B1886" i="5"/>
  <c r="B1887" i="5"/>
  <c r="B1888" i="5"/>
  <c r="B1889" i="5"/>
  <c r="B1890" i="5"/>
  <c r="B1891" i="5"/>
  <c r="B1892" i="5"/>
  <c r="B1893" i="5"/>
  <c r="B1894" i="5"/>
  <c r="B1895" i="5"/>
  <c r="B1896" i="5"/>
  <c r="B1897" i="5"/>
  <c r="B1898" i="5"/>
  <c r="B1899" i="5"/>
  <c r="B1900" i="5"/>
  <c r="B1901" i="5"/>
  <c r="B1902" i="5"/>
  <c r="B1903" i="5"/>
  <c r="B1904" i="5"/>
  <c r="B1905" i="5"/>
  <c r="B1906" i="5"/>
  <c r="B1907" i="5"/>
  <c r="B1908" i="5"/>
  <c r="B1909" i="5"/>
  <c r="B1910" i="5"/>
  <c r="B1911" i="5"/>
  <c r="B1912" i="5"/>
  <c r="B1913" i="5"/>
  <c r="B1914" i="5"/>
  <c r="B1915" i="5"/>
  <c r="B1916" i="5"/>
  <c r="B1917" i="5"/>
  <c r="B1918" i="5"/>
  <c r="B1919" i="5"/>
  <c r="B1920" i="5"/>
  <c r="B1921" i="5"/>
  <c r="B1922" i="5"/>
  <c r="B1923" i="5"/>
  <c r="B1924" i="5"/>
  <c r="B1925" i="5"/>
  <c r="B1926" i="5"/>
  <c r="B1927" i="5"/>
  <c r="B1928" i="5"/>
  <c r="B1929" i="5"/>
  <c r="B1930" i="5"/>
  <c r="B1931" i="5"/>
  <c r="B1932" i="5"/>
  <c r="B1933" i="5"/>
  <c r="B1934" i="5"/>
  <c r="B1935" i="5"/>
  <c r="B1936" i="5"/>
  <c r="B1937" i="5"/>
  <c r="B1938" i="5"/>
  <c r="B1939" i="5"/>
  <c r="B1940" i="5"/>
  <c r="B1941" i="5"/>
  <c r="B1942" i="5"/>
  <c r="B1943" i="5"/>
  <c r="B1944" i="5"/>
  <c r="B1945" i="5"/>
  <c r="B1946" i="5"/>
  <c r="B1947" i="5"/>
  <c r="B1948" i="5"/>
  <c r="B1949" i="5"/>
  <c r="B1950" i="5"/>
  <c r="B1951" i="5"/>
  <c r="B1952" i="5"/>
  <c r="B1953" i="5"/>
  <c r="B1954" i="5"/>
  <c r="B1955" i="5"/>
  <c r="B1956" i="5"/>
  <c r="B1957" i="5"/>
  <c r="B1958" i="5"/>
  <c r="B1959" i="5"/>
  <c r="B1960" i="5"/>
  <c r="B1961" i="5"/>
  <c r="B1962" i="5"/>
  <c r="B1963" i="5"/>
  <c r="B1964" i="5"/>
  <c r="B1965" i="5"/>
  <c r="B1966" i="5"/>
  <c r="B1967" i="5"/>
  <c r="B1968" i="5"/>
  <c r="B1969" i="5"/>
  <c r="B1970" i="5"/>
  <c r="B1971" i="5"/>
  <c r="B1972" i="5"/>
  <c r="B1973" i="5"/>
  <c r="B1974" i="5"/>
  <c r="B1975" i="5"/>
  <c r="B1976" i="5"/>
  <c r="B1977" i="5"/>
  <c r="B1978" i="5"/>
  <c r="B1979" i="5"/>
  <c r="B1980" i="5"/>
  <c r="B1981" i="5"/>
  <c r="B1982" i="5"/>
  <c r="B1983" i="5"/>
  <c r="B1984" i="5"/>
  <c r="B1985" i="5"/>
  <c r="B1986" i="5"/>
  <c r="B1987" i="5"/>
  <c r="B1988" i="5"/>
  <c r="B1989" i="5"/>
  <c r="B1990" i="5"/>
  <c r="B1991" i="5"/>
  <c r="B1992" i="5"/>
  <c r="B1993" i="5"/>
  <c r="B1994" i="5"/>
  <c r="B1995" i="5"/>
  <c r="B1996" i="5"/>
  <c r="B1997" i="5"/>
  <c r="B1998" i="5"/>
  <c r="B1999" i="5"/>
  <c r="B2000" i="5"/>
  <c r="B2001" i="5"/>
  <c r="B2002" i="5"/>
  <c r="B2003" i="5"/>
  <c r="B2004" i="5"/>
  <c r="B2005" i="5"/>
  <c r="B2006" i="5"/>
  <c r="B2007" i="5"/>
  <c r="B2008" i="5"/>
  <c r="B2009" i="5"/>
  <c r="B2010" i="5"/>
  <c r="B2011" i="5"/>
  <c r="B2012" i="5"/>
  <c r="B2013" i="5"/>
  <c r="B2014" i="5"/>
  <c r="B2015" i="5"/>
  <c r="B2016" i="5"/>
  <c r="B2017" i="5"/>
  <c r="B2018" i="5"/>
  <c r="B2019" i="5"/>
  <c r="B2020" i="5"/>
  <c r="B2021" i="5"/>
  <c r="B2022" i="5"/>
  <c r="B2023" i="5"/>
  <c r="B2024" i="5"/>
  <c r="B2025" i="5"/>
  <c r="B2026" i="5"/>
  <c r="B2027" i="5"/>
  <c r="B2028" i="5"/>
  <c r="B2029" i="5"/>
  <c r="B2030" i="5"/>
  <c r="B2031" i="5"/>
  <c r="B2032" i="5"/>
  <c r="B2033" i="5"/>
  <c r="B2034" i="5"/>
  <c r="B2035" i="5"/>
  <c r="B2036" i="5"/>
  <c r="B2037" i="5"/>
  <c r="B2038" i="5"/>
  <c r="B2039" i="5"/>
  <c r="B2040" i="5"/>
  <c r="B2041" i="5"/>
  <c r="B2042" i="5"/>
  <c r="B2043" i="5"/>
  <c r="B2044" i="5"/>
  <c r="B2045" i="5"/>
  <c r="B2046" i="5"/>
  <c r="B2047" i="5"/>
  <c r="B2048" i="5"/>
  <c r="B2049" i="5"/>
  <c r="B2050" i="5"/>
  <c r="B2051" i="5"/>
  <c r="B2052" i="5"/>
  <c r="B2053" i="5"/>
  <c r="B2054" i="5"/>
  <c r="B2055" i="5"/>
  <c r="B2056" i="5"/>
  <c r="B2057" i="5"/>
  <c r="B2058" i="5"/>
  <c r="B2059" i="5"/>
  <c r="B2060" i="5"/>
  <c r="B2061" i="5"/>
  <c r="B2062" i="5"/>
  <c r="B2063" i="5"/>
  <c r="B2064" i="5"/>
  <c r="B2065" i="5"/>
  <c r="B2066" i="5"/>
  <c r="B2067" i="5"/>
  <c r="B2068" i="5"/>
  <c r="B2069" i="5"/>
  <c r="B2070" i="5"/>
  <c r="B2071" i="5"/>
  <c r="B2072" i="5"/>
  <c r="B2073" i="5"/>
  <c r="B2074" i="5"/>
  <c r="B2075" i="5"/>
  <c r="B2076" i="5"/>
  <c r="B2077" i="5"/>
  <c r="B2078" i="5"/>
  <c r="B2079" i="5"/>
  <c r="B2080" i="5"/>
  <c r="B2081" i="5"/>
  <c r="B2082" i="5"/>
  <c r="B2083" i="5"/>
  <c r="B2084" i="5"/>
  <c r="B2085" i="5"/>
  <c r="B2086" i="5"/>
  <c r="B2087" i="5"/>
  <c r="B2088" i="5"/>
  <c r="B2089" i="5"/>
  <c r="B2090" i="5"/>
  <c r="B2091" i="5"/>
  <c r="B2092" i="5"/>
  <c r="B2093" i="5"/>
  <c r="B2094" i="5"/>
  <c r="B2095" i="5"/>
  <c r="B2096" i="5"/>
  <c r="B2097" i="5"/>
  <c r="B2098" i="5"/>
  <c r="B2099" i="5"/>
  <c r="B2100" i="5"/>
  <c r="B2101" i="5"/>
  <c r="B2102" i="5"/>
  <c r="B2103" i="5"/>
  <c r="B2104" i="5"/>
  <c r="B2105" i="5"/>
  <c r="B2106" i="5"/>
  <c r="B2107" i="5"/>
  <c r="B2108" i="5"/>
  <c r="B2109" i="5"/>
  <c r="B2110" i="5"/>
  <c r="B2111" i="5"/>
  <c r="B2112" i="5"/>
  <c r="B2113" i="5"/>
  <c r="B2114" i="5"/>
  <c r="B2115" i="5"/>
  <c r="B2116" i="5"/>
  <c r="B2117" i="5"/>
  <c r="B2118" i="5"/>
  <c r="B2119" i="5"/>
  <c r="B2120" i="5"/>
  <c r="B2121" i="5"/>
  <c r="B2122" i="5"/>
  <c r="B2123" i="5"/>
  <c r="B2124" i="5"/>
  <c r="B2125" i="5"/>
  <c r="B2126" i="5"/>
  <c r="B2127" i="5"/>
  <c r="B2128" i="5"/>
  <c r="B2129" i="5"/>
  <c r="B2130" i="5"/>
  <c r="B2131" i="5"/>
  <c r="B2132" i="5"/>
  <c r="B2133" i="5"/>
  <c r="B2134" i="5"/>
  <c r="B2135" i="5"/>
  <c r="B2136" i="5"/>
  <c r="B2137" i="5"/>
  <c r="B2138" i="5"/>
  <c r="B2139" i="5"/>
  <c r="B2140" i="5"/>
  <c r="B2141" i="5"/>
  <c r="B2142" i="5"/>
  <c r="B2143" i="5"/>
  <c r="B2144" i="5"/>
  <c r="B2145" i="5"/>
  <c r="B2146" i="5"/>
  <c r="B2147" i="5"/>
  <c r="B2148" i="5"/>
  <c r="B2149" i="5"/>
  <c r="B2150" i="5"/>
  <c r="B2151" i="5"/>
  <c r="B2152" i="5"/>
  <c r="B2153" i="5"/>
  <c r="B2154" i="5"/>
  <c r="B2155" i="5"/>
  <c r="B2156" i="5"/>
  <c r="B2157" i="5"/>
  <c r="B2158" i="5"/>
  <c r="B2159" i="5"/>
  <c r="B2160" i="5"/>
  <c r="B2161" i="5"/>
  <c r="B2162" i="5"/>
  <c r="B2163" i="5"/>
  <c r="B2164" i="5"/>
  <c r="B2165" i="5"/>
  <c r="B2166" i="5"/>
  <c r="B2167" i="5"/>
  <c r="B2168" i="5"/>
  <c r="B2169" i="5"/>
  <c r="B2170" i="5"/>
  <c r="B2171" i="5"/>
  <c r="B2172" i="5"/>
  <c r="B2173" i="5"/>
  <c r="B2174" i="5"/>
  <c r="B2175" i="5"/>
  <c r="B2176" i="5"/>
  <c r="B2177" i="5"/>
  <c r="B2178" i="5"/>
  <c r="B2179" i="5"/>
  <c r="B2180" i="5"/>
  <c r="B2181" i="5"/>
  <c r="B2182" i="5"/>
  <c r="B2183" i="5"/>
  <c r="B2184" i="5"/>
  <c r="B2185" i="5"/>
  <c r="B2186" i="5"/>
  <c r="B2187" i="5"/>
  <c r="B2188" i="5"/>
  <c r="B2189" i="5"/>
  <c r="B2190" i="5"/>
  <c r="B2191" i="5"/>
  <c r="B2192" i="5"/>
  <c r="B2193" i="5"/>
  <c r="B2194" i="5"/>
  <c r="B2195" i="5"/>
  <c r="B2196" i="5"/>
  <c r="B2197" i="5"/>
  <c r="B2198" i="5"/>
  <c r="B2199" i="5"/>
  <c r="B2200" i="5"/>
  <c r="B2201" i="5"/>
  <c r="B2202" i="5"/>
  <c r="B2203" i="5"/>
  <c r="B2204" i="5"/>
  <c r="B2205" i="5"/>
  <c r="B2206" i="5"/>
  <c r="B2207" i="5"/>
  <c r="B2208" i="5"/>
  <c r="B2209" i="5"/>
  <c r="B2210" i="5"/>
  <c r="B2211" i="5"/>
  <c r="B2212" i="5"/>
  <c r="B2213" i="5"/>
  <c r="B2214" i="5"/>
  <c r="B2215" i="5"/>
  <c r="B2216" i="5"/>
  <c r="B2217" i="5"/>
  <c r="B2218" i="5"/>
  <c r="B2219" i="5"/>
  <c r="B2220" i="5"/>
  <c r="B2221" i="5"/>
  <c r="B2222" i="5"/>
  <c r="B2223" i="5"/>
  <c r="B2224" i="5"/>
  <c r="B2225" i="5"/>
  <c r="B2226" i="5"/>
  <c r="B2227" i="5"/>
  <c r="B2228" i="5"/>
  <c r="B2229" i="5"/>
  <c r="B2230" i="5"/>
  <c r="B2231" i="5"/>
  <c r="B2232" i="5"/>
  <c r="B2233" i="5"/>
  <c r="B2234" i="5"/>
  <c r="B2235" i="5"/>
  <c r="B2236" i="5"/>
  <c r="B2237" i="5"/>
  <c r="B2238" i="5"/>
  <c r="B2239" i="5"/>
  <c r="B2240" i="5"/>
  <c r="B2241" i="5"/>
  <c r="B2242" i="5"/>
  <c r="B2243" i="5"/>
  <c r="B2244" i="5"/>
  <c r="B2245" i="5"/>
  <c r="B2246" i="5"/>
  <c r="B2247" i="5"/>
  <c r="B2248" i="5"/>
  <c r="B2249" i="5"/>
  <c r="B2250" i="5"/>
  <c r="B2251" i="5"/>
  <c r="B2252" i="5"/>
  <c r="B2253" i="5"/>
  <c r="B2254" i="5"/>
  <c r="B2255" i="5"/>
  <c r="B2256" i="5"/>
  <c r="B2257" i="5"/>
  <c r="B2258" i="5"/>
  <c r="B2259" i="5"/>
  <c r="B2260" i="5"/>
  <c r="B2261" i="5"/>
  <c r="B2262" i="5"/>
  <c r="B2263" i="5"/>
  <c r="B2264" i="5"/>
  <c r="B2265" i="5"/>
  <c r="B2266" i="5"/>
  <c r="B2267" i="5"/>
  <c r="B2268" i="5"/>
  <c r="B2269" i="5"/>
  <c r="B2270" i="5"/>
  <c r="B2271" i="5"/>
  <c r="B2272" i="5"/>
  <c r="B2273" i="5"/>
  <c r="B2274" i="5"/>
  <c r="B2275" i="5"/>
  <c r="B2276" i="5"/>
  <c r="B2277" i="5"/>
  <c r="B2278" i="5"/>
  <c r="B2279" i="5"/>
  <c r="B2280" i="5"/>
  <c r="B2281" i="5"/>
  <c r="B2282" i="5"/>
  <c r="B2283" i="5"/>
  <c r="B2284" i="5"/>
  <c r="B2285" i="5"/>
  <c r="B2286" i="5"/>
  <c r="B2287" i="5"/>
  <c r="B2288" i="5"/>
  <c r="B2289" i="5"/>
  <c r="B2290" i="5"/>
  <c r="B2291" i="5"/>
  <c r="B2292" i="5"/>
  <c r="B2293" i="5"/>
  <c r="B2294" i="5"/>
  <c r="B2295" i="5"/>
  <c r="B2296" i="5"/>
  <c r="B2297" i="5"/>
  <c r="B2298" i="5"/>
  <c r="B2299" i="5"/>
  <c r="B2300" i="5"/>
  <c r="B2301" i="5"/>
  <c r="B2302" i="5"/>
  <c r="B2303" i="5"/>
  <c r="B2304" i="5"/>
  <c r="B2305" i="5"/>
  <c r="B2306" i="5"/>
  <c r="B2307" i="5"/>
  <c r="B2308" i="5"/>
  <c r="B2309" i="5"/>
  <c r="B2310" i="5"/>
  <c r="B2311" i="5"/>
  <c r="B2312" i="5"/>
  <c r="B2313" i="5"/>
  <c r="B2314" i="5"/>
  <c r="B2315" i="5"/>
  <c r="B2316" i="5"/>
  <c r="B2317" i="5"/>
  <c r="B2318" i="5"/>
  <c r="B2319" i="5"/>
  <c r="B2320" i="5"/>
  <c r="B2321" i="5"/>
  <c r="B2322" i="5"/>
  <c r="B2323" i="5"/>
  <c r="B2324" i="5"/>
  <c r="B2325" i="5"/>
  <c r="B2326" i="5"/>
  <c r="B2327" i="5"/>
  <c r="B2328" i="5"/>
  <c r="B2329" i="5"/>
  <c r="B2330" i="5"/>
  <c r="B2331" i="5"/>
  <c r="B2332" i="5"/>
  <c r="B2333" i="5"/>
  <c r="B2334" i="5"/>
  <c r="B2335" i="5"/>
  <c r="B2336" i="5"/>
  <c r="B2337" i="5"/>
  <c r="B2338" i="5"/>
  <c r="B2339" i="5"/>
  <c r="B2340" i="5"/>
  <c r="B2341" i="5"/>
  <c r="B2342" i="5"/>
  <c r="B2343" i="5"/>
  <c r="B2344" i="5"/>
  <c r="B2345" i="5"/>
  <c r="B2346" i="5"/>
  <c r="B2347" i="5"/>
  <c r="B2348" i="5"/>
  <c r="B2349" i="5"/>
  <c r="B2350" i="5"/>
  <c r="B2351" i="5"/>
  <c r="B2352" i="5"/>
  <c r="B2353" i="5"/>
  <c r="B2354" i="5"/>
  <c r="B2355" i="5"/>
  <c r="B2356" i="5"/>
  <c r="B2357" i="5"/>
  <c r="B2358" i="5"/>
  <c r="B2359" i="5"/>
  <c r="B2360" i="5"/>
  <c r="B2361" i="5"/>
  <c r="B2362" i="5"/>
  <c r="B2363" i="5"/>
  <c r="B2364" i="5"/>
  <c r="B2365" i="5"/>
  <c r="B2366" i="5"/>
  <c r="B2367" i="5"/>
  <c r="B2368" i="5"/>
  <c r="B2369" i="5"/>
  <c r="B2370" i="5"/>
  <c r="B2371" i="5"/>
  <c r="B2372" i="5"/>
  <c r="B2373" i="5"/>
  <c r="B2374" i="5"/>
  <c r="B2375" i="5"/>
  <c r="B2376" i="5"/>
  <c r="B2377" i="5"/>
  <c r="B2378" i="5"/>
  <c r="B2379" i="5"/>
  <c r="B2380" i="5"/>
  <c r="B2381" i="5"/>
  <c r="B2382" i="5"/>
  <c r="B2383" i="5"/>
  <c r="B2384" i="5"/>
  <c r="B2385" i="5"/>
  <c r="B2386" i="5"/>
  <c r="B2387" i="5"/>
  <c r="B2388" i="5"/>
  <c r="B2389" i="5"/>
  <c r="B2390" i="5"/>
  <c r="B2391" i="5"/>
  <c r="B2392" i="5"/>
  <c r="B2393" i="5"/>
  <c r="B2394" i="5"/>
  <c r="B2395" i="5"/>
  <c r="B2396" i="5"/>
  <c r="B2397" i="5"/>
  <c r="B2398" i="5"/>
  <c r="B2399" i="5"/>
  <c r="B2400" i="5"/>
  <c r="B2401" i="5"/>
  <c r="B2402" i="5"/>
  <c r="B2403" i="5"/>
  <c r="B2404" i="5"/>
  <c r="B2405" i="5"/>
  <c r="B2406" i="5"/>
  <c r="B2407" i="5"/>
  <c r="B2408" i="5"/>
  <c r="B2409" i="5"/>
  <c r="B2410" i="5"/>
  <c r="B2411" i="5"/>
  <c r="B2412" i="5"/>
  <c r="B2413" i="5"/>
  <c r="B2414" i="5"/>
  <c r="B2415" i="5"/>
  <c r="B2416" i="5"/>
  <c r="B2417" i="5"/>
  <c r="B2418" i="5"/>
  <c r="B2419" i="5"/>
  <c r="B2420" i="5"/>
  <c r="B2421" i="5"/>
  <c r="B2422" i="5"/>
  <c r="B2423" i="5"/>
  <c r="B2424" i="5"/>
  <c r="B2425" i="5"/>
  <c r="B2426" i="5"/>
  <c r="B2427" i="5"/>
  <c r="B2428" i="5"/>
  <c r="B2429" i="5"/>
  <c r="B2430" i="5"/>
  <c r="B2431" i="5"/>
  <c r="B2432" i="5"/>
  <c r="B2433" i="5"/>
  <c r="B2434" i="5"/>
  <c r="B2435" i="5"/>
  <c r="B2436" i="5"/>
  <c r="B2437" i="5"/>
  <c r="B2438" i="5"/>
  <c r="B2439" i="5"/>
  <c r="B2440" i="5"/>
  <c r="B2441" i="5"/>
  <c r="B2442" i="5"/>
  <c r="B2443" i="5"/>
  <c r="B2444" i="5"/>
  <c r="B2445" i="5"/>
  <c r="B2446" i="5"/>
  <c r="B2447" i="5"/>
  <c r="B2448" i="5"/>
  <c r="B2449" i="5"/>
  <c r="B2450" i="5"/>
  <c r="B2451" i="5"/>
  <c r="B2452" i="5"/>
  <c r="B2453" i="5"/>
  <c r="B2454" i="5"/>
  <c r="B2455" i="5"/>
  <c r="B2456" i="5"/>
  <c r="B2457" i="5"/>
  <c r="B2458" i="5"/>
  <c r="B2459" i="5"/>
  <c r="B2460" i="5"/>
  <c r="B2461" i="5"/>
  <c r="B2462" i="5"/>
  <c r="B2463" i="5"/>
  <c r="B2464" i="5"/>
  <c r="B2465" i="5"/>
  <c r="B2466" i="5"/>
  <c r="B2467" i="5"/>
  <c r="B2468" i="5"/>
  <c r="B2469" i="5"/>
  <c r="B2470" i="5"/>
  <c r="B2471" i="5"/>
  <c r="B2472" i="5"/>
  <c r="B2473" i="5"/>
  <c r="B2474" i="5"/>
  <c r="B2475" i="5"/>
  <c r="B2476" i="5"/>
  <c r="B2477" i="5"/>
  <c r="B2478" i="5"/>
  <c r="B2479" i="5"/>
  <c r="B2480" i="5"/>
  <c r="B2481" i="5"/>
  <c r="B2482" i="5"/>
  <c r="B2483" i="5"/>
  <c r="B2484" i="5"/>
  <c r="B2485" i="5"/>
  <c r="B2486" i="5"/>
  <c r="B2487" i="5"/>
  <c r="B2488" i="5"/>
  <c r="B2489" i="5"/>
  <c r="B2490" i="5"/>
  <c r="B2491" i="5"/>
  <c r="B2492" i="5"/>
  <c r="B2493" i="5"/>
  <c r="B2494" i="5"/>
  <c r="B2495" i="5"/>
  <c r="B2496" i="5"/>
  <c r="B2497" i="5"/>
  <c r="B2498" i="5"/>
  <c r="B2499" i="5"/>
  <c r="B2500" i="5"/>
  <c r="B2501" i="5"/>
  <c r="B2502" i="5"/>
  <c r="B2503" i="5"/>
  <c r="B2504" i="5"/>
  <c r="B2505" i="5"/>
  <c r="B2506" i="5"/>
  <c r="B2507" i="5"/>
  <c r="B2508" i="5"/>
  <c r="B2509" i="5"/>
  <c r="B2510" i="5"/>
  <c r="B2511" i="5"/>
  <c r="B2512" i="5"/>
  <c r="B2513" i="5"/>
  <c r="B2514" i="5"/>
  <c r="B2515" i="5"/>
  <c r="B2516" i="5"/>
  <c r="B2517" i="5"/>
  <c r="B2518" i="5"/>
  <c r="B2519" i="5"/>
  <c r="B2520" i="5"/>
  <c r="B2521" i="5"/>
  <c r="B2522" i="5"/>
  <c r="B2523" i="5"/>
  <c r="B2524" i="5"/>
  <c r="B2525" i="5"/>
  <c r="B2526" i="5"/>
  <c r="B2527" i="5"/>
  <c r="B2528" i="5"/>
  <c r="B2529" i="5"/>
  <c r="B2530" i="5"/>
  <c r="B2531" i="5"/>
  <c r="B2532" i="5"/>
  <c r="B2533" i="5"/>
  <c r="B2534" i="5"/>
  <c r="B2535" i="5"/>
  <c r="B2536" i="5"/>
  <c r="B2537" i="5"/>
  <c r="B2538" i="5"/>
  <c r="B2539" i="5"/>
  <c r="B2540" i="5"/>
  <c r="B2541" i="5"/>
  <c r="B2542" i="5"/>
  <c r="B2543" i="5"/>
  <c r="B2544" i="5"/>
  <c r="B2545" i="5"/>
  <c r="B2546" i="5"/>
  <c r="B2547" i="5"/>
  <c r="B2548" i="5"/>
  <c r="B2549" i="5"/>
  <c r="B2550" i="5"/>
  <c r="B2551" i="5"/>
  <c r="B2552" i="5"/>
  <c r="B2553" i="5"/>
  <c r="B2554" i="5"/>
  <c r="B2555" i="5"/>
  <c r="B2556" i="5"/>
  <c r="B2557" i="5"/>
  <c r="B2558" i="5"/>
  <c r="B2559" i="5"/>
  <c r="B2560" i="5"/>
  <c r="B2561" i="5"/>
  <c r="B2562" i="5"/>
  <c r="B2563" i="5"/>
  <c r="B2564" i="5"/>
  <c r="B2565" i="5"/>
  <c r="B2566" i="5"/>
  <c r="B2567" i="5"/>
  <c r="B2568" i="5"/>
  <c r="B2569" i="5"/>
  <c r="B2570" i="5"/>
  <c r="B2571" i="5"/>
  <c r="B2572" i="5"/>
  <c r="B2573" i="5"/>
  <c r="B2574" i="5"/>
  <c r="B2575" i="5"/>
  <c r="B2576" i="5"/>
  <c r="B2577" i="5"/>
  <c r="B2578" i="5"/>
  <c r="B2579" i="5"/>
  <c r="B2580" i="5"/>
  <c r="B2581" i="5"/>
  <c r="B2582" i="5"/>
  <c r="B2583" i="5"/>
  <c r="B2584" i="5"/>
  <c r="B2585" i="5"/>
  <c r="B2586" i="5"/>
  <c r="B2587" i="5"/>
  <c r="B2588" i="5"/>
  <c r="B2589" i="5"/>
  <c r="B2590" i="5"/>
  <c r="B2591" i="5"/>
  <c r="B2592" i="5"/>
  <c r="B2593" i="5"/>
  <c r="B2594" i="5"/>
  <c r="B2595" i="5"/>
  <c r="B2596" i="5"/>
  <c r="B2597" i="5"/>
  <c r="B2598" i="5"/>
  <c r="B2599" i="5"/>
  <c r="B2600" i="5"/>
  <c r="B2601" i="5"/>
  <c r="B2602" i="5"/>
  <c r="B2603" i="5"/>
  <c r="B2604" i="5"/>
  <c r="B2605" i="5"/>
  <c r="B2606" i="5"/>
  <c r="B2607" i="5"/>
  <c r="B2608" i="5"/>
  <c r="B2609" i="5"/>
  <c r="B2610" i="5"/>
  <c r="B2611" i="5"/>
  <c r="B2612" i="5"/>
  <c r="B2613" i="5"/>
  <c r="B2614" i="5"/>
  <c r="B2615" i="5"/>
  <c r="B2616" i="5"/>
  <c r="B2617" i="5"/>
  <c r="B2618" i="5"/>
  <c r="B2619" i="5"/>
  <c r="B2620" i="5"/>
  <c r="B2621" i="5"/>
  <c r="B2622" i="5"/>
  <c r="B2623" i="5"/>
  <c r="B2624" i="5"/>
  <c r="B2625" i="5"/>
  <c r="B2626" i="5"/>
  <c r="B2627" i="5"/>
  <c r="B2628" i="5"/>
  <c r="B2629" i="5"/>
  <c r="B2630" i="5"/>
  <c r="B2631" i="5"/>
  <c r="B2632" i="5"/>
  <c r="B2633" i="5"/>
  <c r="B2634" i="5"/>
  <c r="B2635" i="5"/>
  <c r="B2636" i="5"/>
  <c r="B2637" i="5"/>
  <c r="B2638" i="5"/>
  <c r="B2639" i="5"/>
  <c r="B2640" i="5"/>
  <c r="B2641" i="5"/>
  <c r="B2642" i="5"/>
  <c r="B2643" i="5"/>
  <c r="B2644" i="5"/>
  <c r="B2645" i="5"/>
  <c r="B2646" i="5"/>
  <c r="B2647" i="5"/>
  <c r="B2648" i="5"/>
  <c r="B2649" i="5"/>
  <c r="B2650" i="5"/>
  <c r="B2651" i="5"/>
  <c r="B2652" i="5"/>
  <c r="B2653" i="5"/>
  <c r="B2654" i="5"/>
  <c r="B2655" i="5"/>
  <c r="B2656" i="5"/>
  <c r="B2657" i="5"/>
  <c r="B2658" i="5"/>
  <c r="B2659" i="5"/>
  <c r="B2660" i="5"/>
  <c r="B2661" i="5"/>
  <c r="B2662" i="5"/>
  <c r="B2663" i="5"/>
  <c r="B2664" i="5"/>
  <c r="B2665" i="5"/>
  <c r="B2666" i="5"/>
  <c r="B2667" i="5"/>
  <c r="B2668" i="5"/>
  <c r="B2669" i="5"/>
  <c r="B2670" i="5"/>
  <c r="B2671" i="5"/>
  <c r="B2672" i="5"/>
  <c r="B2673" i="5"/>
  <c r="B2674" i="5"/>
  <c r="B2675" i="5"/>
  <c r="B2676" i="5"/>
  <c r="B2677" i="5"/>
  <c r="B2678" i="5"/>
  <c r="B2679" i="5"/>
  <c r="B2680" i="5"/>
  <c r="B2681" i="5"/>
  <c r="B2682" i="5"/>
  <c r="B2683" i="5"/>
  <c r="B2684" i="5"/>
  <c r="B2685" i="5"/>
  <c r="B2686" i="5"/>
  <c r="B2687" i="5"/>
  <c r="B2688" i="5"/>
  <c r="B2689" i="5"/>
  <c r="B2690" i="5"/>
  <c r="B2691" i="5"/>
  <c r="B2692" i="5"/>
  <c r="B2693" i="5"/>
  <c r="B2694" i="5"/>
  <c r="B2695" i="5"/>
  <c r="B2696" i="5"/>
  <c r="B2697" i="5"/>
  <c r="B2698" i="5"/>
  <c r="B2699" i="5"/>
  <c r="B2700" i="5"/>
  <c r="B2701" i="5"/>
  <c r="B2702" i="5"/>
  <c r="B2703" i="5"/>
  <c r="B2704" i="5"/>
  <c r="B2705" i="5"/>
  <c r="B2706" i="5"/>
  <c r="B2707" i="5"/>
  <c r="B2708" i="5"/>
  <c r="B2709" i="5"/>
  <c r="B2710" i="5"/>
  <c r="B2711" i="5"/>
  <c r="B2712" i="5"/>
  <c r="B2713" i="5"/>
  <c r="B2714" i="5"/>
  <c r="B2715" i="5"/>
  <c r="B2716" i="5"/>
  <c r="B2717" i="5"/>
  <c r="B2718" i="5"/>
  <c r="B2719" i="5"/>
  <c r="B2720" i="5"/>
  <c r="B2721" i="5"/>
  <c r="B2722" i="5"/>
  <c r="B2723" i="5"/>
  <c r="B2724" i="5"/>
  <c r="B2725" i="5"/>
  <c r="B2726" i="5"/>
  <c r="B2727" i="5"/>
  <c r="B2728" i="5"/>
  <c r="B2729" i="5"/>
  <c r="B2730" i="5"/>
  <c r="B2731" i="5"/>
  <c r="B2732" i="5"/>
  <c r="B2733" i="5"/>
  <c r="B2734" i="5"/>
  <c r="B2735" i="5"/>
  <c r="B2736" i="5"/>
  <c r="B2737" i="5"/>
  <c r="B2738" i="5"/>
  <c r="B2739" i="5"/>
  <c r="B2740" i="5"/>
  <c r="B2741" i="5"/>
  <c r="B2742" i="5"/>
  <c r="B2743" i="5"/>
  <c r="B2744" i="5"/>
  <c r="B2745" i="5"/>
  <c r="B2746" i="5"/>
  <c r="B2747" i="5"/>
  <c r="B2748" i="5"/>
  <c r="B2749" i="5"/>
  <c r="B2750" i="5"/>
  <c r="B2751" i="5"/>
  <c r="B2752" i="5"/>
  <c r="B2753" i="5"/>
  <c r="B2754" i="5"/>
  <c r="B2755" i="5"/>
  <c r="B2756" i="5"/>
  <c r="B2757" i="5"/>
  <c r="B2758" i="5"/>
  <c r="B2759" i="5"/>
  <c r="B2760" i="5"/>
  <c r="B2761" i="5"/>
  <c r="B2762" i="5"/>
  <c r="B2763" i="5"/>
  <c r="B2764" i="5"/>
  <c r="B2765" i="5"/>
  <c r="B2766" i="5"/>
  <c r="B2767" i="5"/>
  <c r="B2768" i="5"/>
  <c r="B2769" i="5"/>
  <c r="B2770" i="5"/>
  <c r="B2771" i="5"/>
  <c r="B2772" i="5"/>
  <c r="B2773" i="5"/>
  <c r="B2774" i="5"/>
  <c r="B2775" i="5"/>
  <c r="B2776" i="5"/>
  <c r="B2777" i="5"/>
  <c r="B2778" i="5"/>
  <c r="B2779" i="5"/>
  <c r="B2780" i="5"/>
  <c r="B2781" i="5"/>
  <c r="B2782" i="5"/>
  <c r="B2783" i="5"/>
  <c r="B2784" i="5"/>
  <c r="B2785" i="5"/>
  <c r="B2786" i="5"/>
  <c r="B2787" i="5"/>
  <c r="B2788" i="5"/>
  <c r="B2789" i="5"/>
  <c r="B2790" i="5"/>
  <c r="B2791" i="5"/>
  <c r="B2792" i="5"/>
  <c r="B2793" i="5"/>
  <c r="B2794" i="5"/>
  <c r="B2795" i="5"/>
  <c r="B2796" i="5"/>
  <c r="B2797" i="5"/>
  <c r="B2798" i="5"/>
  <c r="B2799" i="5"/>
  <c r="B2800" i="5"/>
  <c r="B2801" i="5"/>
  <c r="B2802" i="5"/>
  <c r="B2803" i="5"/>
  <c r="B2804" i="5"/>
  <c r="B2805" i="5"/>
  <c r="B2806" i="5"/>
  <c r="B2807" i="5"/>
  <c r="B2808" i="5"/>
  <c r="B2809" i="5"/>
  <c r="B2810" i="5"/>
  <c r="B2811" i="5"/>
  <c r="B2812" i="5"/>
  <c r="B2813" i="5"/>
  <c r="B2814" i="5"/>
  <c r="B2815" i="5"/>
  <c r="B2816" i="5"/>
  <c r="B2817" i="5"/>
  <c r="B2818" i="5"/>
  <c r="B2819" i="5"/>
  <c r="B2820" i="5"/>
  <c r="B2821" i="5"/>
  <c r="B2822" i="5"/>
  <c r="B2823" i="5"/>
  <c r="B2824" i="5"/>
  <c r="B2825" i="5"/>
  <c r="B2826" i="5"/>
  <c r="B2827" i="5"/>
  <c r="B2828" i="5"/>
  <c r="B2829" i="5"/>
  <c r="B2830" i="5"/>
  <c r="B2831" i="5"/>
  <c r="B2832" i="5"/>
  <c r="B2833" i="5"/>
  <c r="B2834" i="5"/>
  <c r="B2835" i="5"/>
  <c r="B2836" i="5"/>
  <c r="B2837" i="5"/>
  <c r="B2838" i="5"/>
  <c r="B2839" i="5"/>
  <c r="B2840" i="5"/>
  <c r="B2841" i="5"/>
  <c r="B2842" i="5"/>
  <c r="B2843" i="5"/>
  <c r="B2844" i="5"/>
  <c r="B2845" i="5"/>
  <c r="B2846" i="5"/>
  <c r="B2847" i="5"/>
  <c r="B2848" i="5"/>
  <c r="B2849" i="5"/>
  <c r="B2850" i="5"/>
  <c r="B2851" i="5"/>
  <c r="B2852" i="5"/>
  <c r="B2853" i="5"/>
  <c r="B2854" i="5"/>
  <c r="B2855" i="5"/>
  <c r="B2856" i="5"/>
  <c r="B2857" i="5"/>
  <c r="B2858" i="5"/>
  <c r="B2859" i="5"/>
  <c r="B2860" i="5"/>
  <c r="B2861" i="5"/>
  <c r="B2862" i="5"/>
  <c r="B2863" i="5"/>
  <c r="B2864" i="5"/>
  <c r="B2865" i="5"/>
  <c r="B2866" i="5"/>
  <c r="B2867" i="5"/>
  <c r="B2868" i="5"/>
  <c r="B2869" i="5"/>
  <c r="B2870" i="5"/>
  <c r="B2871" i="5"/>
  <c r="B2872" i="5"/>
  <c r="B2873" i="5"/>
  <c r="B2874" i="5"/>
  <c r="B2875" i="5"/>
  <c r="B2876" i="5"/>
  <c r="B2877" i="5"/>
  <c r="B2878" i="5"/>
  <c r="B2879" i="5"/>
  <c r="B2880" i="5"/>
  <c r="B2881" i="5"/>
  <c r="B2882" i="5"/>
  <c r="B2883" i="5"/>
  <c r="B2884" i="5"/>
  <c r="B2885" i="5"/>
  <c r="B2886" i="5"/>
  <c r="B2887" i="5"/>
  <c r="B2888" i="5"/>
  <c r="B2889" i="5"/>
  <c r="B2890" i="5"/>
  <c r="B2891" i="5"/>
  <c r="B2892" i="5"/>
  <c r="B2893" i="5"/>
  <c r="B2894" i="5"/>
  <c r="B2895" i="5"/>
  <c r="B2896" i="5"/>
  <c r="B2897" i="5"/>
  <c r="B2898" i="5"/>
  <c r="B2899" i="5"/>
  <c r="B2900" i="5"/>
  <c r="B2901" i="5"/>
  <c r="B2902" i="5"/>
  <c r="B2903" i="5"/>
  <c r="B2904" i="5"/>
  <c r="B2905" i="5"/>
  <c r="B2906" i="5"/>
  <c r="B2907" i="5"/>
  <c r="B2908" i="5"/>
  <c r="B2909" i="5"/>
  <c r="B2910" i="5"/>
  <c r="B2911" i="5"/>
  <c r="B2912" i="5"/>
  <c r="B2913" i="5"/>
  <c r="B2914" i="5"/>
  <c r="B2915" i="5"/>
  <c r="B2916" i="5"/>
  <c r="B2917" i="5"/>
  <c r="B2918" i="5"/>
  <c r="B2919" i="5"/>
  <c r="B2920" i="5"/>
  <c r="B2921" i="5"/>
  <c r="B2922" i="5"/>
  <c r="B2923" i="5"/>
  <c r="B2924" i="5"/>
  <c r="B2925" i="5"/>
  <c r="B2926" i="5"/>
  <c r="B2927" i="5"/>
  <c r="B2928" i="5"/>
  <c r="B2929" i="5"/>
  <c r="B2930" i="5"/>
  <c r="B2931" i="5"/>
  <c r="B2932" i="5"/>
  <c r="B2933" i="5"/>
  <c r="B2934" i="5"/>
  <c r="B2935" i="5"/>
  <c r="B2936" i="5"/>
  <c r="B2937" i="5"/>
  <c r="B2938" i="5"/>
  <c r="B2939" i="5"/>
  <c r="B2940" i="5"/>
  <c r="B2941" i="5"/>
  <c r="B2942" i="5"/>
  <c r="B2943" i="5"/>
  <c r="B2944" i="5"/>
  <c r="B2945" i="5"/>
  <c r="B2946" i="5"/>
  <c r="B2947" i="5"/>
  <c r="B2948" i="5"/>
  <c r="B2949" i="5"/>
  <c r="B2950" i="5"/>
  <c r="B2951" i="5"/>
  <c r="B2952" i="5"/>
  <c r="B2953" i="5"/>
  <c r="B2954" i="5"/>
  <c r="B2955" i="5"/>
  <c r="B2956" i="5"/>
  <c r="B2957" i="5"/>
  <c r="B2958" i="5"/>
  <c r="B2959" i="5"/>
  <c r="B2960" i="5"/>
  <c r="B2961" i="5"/>
  <c r="B2962" i="5"/>
  <c r="B2963" i="5"/>
  <c r="B2964" i="5"/>
  <c r="B2965" i="5"/>
  <c r="B2966" i="5"/>
  <c r="B2967" i="5"/>
  <c r="B2968" i="5"/>
  <c r="B2969" i="5"/>
  <c r="B2970" i="5"/>
  <c r="B2971" i="5"/>
  <c r="B2972" i="5"/>
  <c r="B2973" i="5"/>
  <c r="B2974" i="5"/>
  <c r="B2975" i="5"/>
  <c r="B2976" i="5"/>
  <c r="B2977" i="5"/>
  <c r="B2978" i="5"/>
  <c r="B2979" i="5"/>
  <c r="B2980" i="5"/>
  <c r="B2981" i="5"/>
  <c r="B2982" i="5"/>
  <c r="B2983" i="5"/>
  <c r="B2984" i="5"/>
  <c r="B2985" i="5"/>
  <c r="B2986" i="5"/>
  <c r="B2987" i="5"/>
  <c r="B2988" i="5"/>
  <c r="B2989" i="5"/>
  <c r="B2990" i="5"/>
  <c r="B2991" i="5"/>
  <c r="B2992" i="5"/>
  <c r="B2993" i="5"/>
  <c r="B2994" i="5"/>
  <c r="B2995" i="5"/>
  <c r="B2996" i="5"/>
  <c r="B2997" i="5"/>
  <c r="B2998" i="5"/>
  <c r="B2999" i="5"/>
  <c r="B3000" i="5"/>
  <c r="B3001" i="5"/>
  <c r="B3002" i="5"/>
  <c r="B3003" i="5"/>
  <c r="B3004" i="5"/>
  <c r="B3005" i="5"/>
  <c r="B3006" i="5"/>
  <c r="B3007" i="5"/>
  <c r="B3008" i="5"/>
  <c r="B3009" i="5"/>
  <c r="B3010" i="5"/>
  <c r="B3011" i="5"/>
  <c r="B3012" i="5"/>
  <c r="B3013" i="5"/>
  <c r="B3014" i="5"/>
  <c r="B3015" i="5"/>
  <c r="B3016" i="5"/>
  <c r="B3017" i="5"/>
  <c r="B3018" i="5"/>
  <c r="B3019" i="5"/>
  <c r="B3020" i="5"/>
  <c r="B3021" i="5"/>
  <c r="B3022" i="5"/>
  <c r="B3023" i="5"/>
  <c r="B3024" i="5"/>
  <c r="B3025" i="5"/>
  <c r="B3026" i="5"/>
  <c r="B3027" i="5"/>
  <c r="B3028" i="5"/>
  <c r="B3029" i="5"/>
  <c r="B3030" i="5"/>
  <c r="B3031" i="5"/>
  <c r="B3032" i="5"/>
  <c r="B3033" i="5"/>
  <c r="B3034" i="5"/>
  <c r="B3035" i="5"/>
  <c r="B3036" i="5"/>
  <c r="B3037" i="5"/>
  <c r="B3038" i="5"/>
  <c r="B3039" i="5"/>
  <c r="B3040" i="5"/>
  <c r="B3041" i="5"/>
  <c r="B3042" i="5"/>
  <c r="B3043" i="5"/>
  <c r="B3044" i="5"/>
  <c r="B3045" i="5"/>
  <c r="B3046" i="5"/>
  <c r="B3047" i="5"/>
  <c r="B3048" i="5"/>
  <c r="B3049" i="5"/>
  <c r="B3050" i="5"/>
  <c r="B3051" i="5"/>
  <c r="B3052" i="5"/>
  <c r="B3053" i="5"/>
  <c r="B3054" i="5"/>
  <c r="B3055" i="5"/>
  <c r="B3056" i="5"/>
  <c r="B3057" i="5"/>
  <c r="B3058" i="5"/>
  <c r="B3059" i="5"/>
  <c r="B3060" i="5"/>
  <c r="B3061" i="5"/>
  <c r="B3062" i="5"/>
  <c r="B3063" i="5"/>
  <c r="B3064" i="5"/>
  <c r="B3065" i="5"/>
  <c r="B3066" i="5"/>
  <c r="B3067" i="5"/>
  <c r="B3068" i="5"/>
  <c r="B3069" i="5"/>
  <c r="B3070" i="5"/>
  <c r="B3071" i="5"/>
  <c r="B3072" i="5"/>
  <c r="B3073" i="5"/>
  <c r="B3074" i="5"/>
  <c r="B3075" i="5"/>
  <c r="B3076" i="5"/>
  <c r="B3077" i="5"/>
  <c r="B3078" i="5"/>
  <c r="B3079" i="5"/>
  <c r="B3080" i="5"/>
  <c r="B3081" i="5"/>
  <c r="B3082" i="5"/>
  <c r="B3083" i="5"/>
  <c r="B3084" i="5"/>
  <c r="B3085" i="5"/>
  <c r="B3086" i="5"/>
  <c r="B3087" i="5"/>
  <c r="B3088" i="5"/>
  <c r="B3089" i="5"/>
  <c r="B3090" i="5"/>
  <c r="B3091" i="5"/>
  <c r="B3092" i="5"/>
  <c r="B3093" i="5"/>
  <c r="B3094" i="5"/>
  <c r="B3095" i="5"/>
  <c r="B3096" i="5"/>
  <c r="B3097" i="5"/>
  <c r="B3098" i="5"/>
  <c r="B3099" i="5"/>
  <c r="B3100" i="5"/>
  <c r="B3101" i="5"/>
  <c r="B3102" i="5"/>
  <c r="B3103" i="5"/>
  <c r="B3104" i="5"/>
  <c r="B3105" i="5"/>
  <c r="B3106" i="5"/>
  <c r="B3107" i="5"/>
  <c r="B3108" i="5"/>
  <c r="B3109" i="5"/>
  <c r="B3110" i="5"/>
  <c r="B3111" i="5"/>
  <c r="B3112" i="5"/>
  <c r="B3113" i="5"/>
  <c r="B3114" i="5"/>
  <c r="B3115" i="5"/>
  <c r="B3116" i="5"/>
  <c r="B3117" i="5"/>
  <c r="B3118" i="5"/>
  <c r="B3119" i="5"/>
  <c r="B3120" i="5"/>
  <c r="B3121" i="5"/>
  <c r="B3122" i="5"/>
  <c r="B3123" i="5"/>
  <c r="B3124" i="5"/>
  <c r="B3125" i="5"/>
  <c r="B3126" i="5"/>
  <c r="B3127" i="5"/>
  <c r="B3128" i="5"/>
  <c r="B3129" i="5"/>
  <c r="B3130" i="5"/>
  <c r="B3131" i="5"/>
  <c r="B3132" i="5"/>
  <c r="B3133" i="5"/>
  <c r="B3134" i="5"/>
  <c r="B3135" i="5"/>
  <c r="B3136" i="5"/>
  <c r="B3137" i="5"/>
  <c r="B3138" i="5"/>
  <c r="B3139" i="5"/>
  <c r="B3140" i="5"/>
  <c r="B3141" i="5"/>
  <c r="B3142" i="5"/>
  <c r="B3143" i="5"/>
  <c r="B3144" i="5"/>
  <c r="B3145" i="5"/>
  <c r="B3146" i="5"/>
  <c r="B3147" i="5"/>
  <c r="B3148" i="5"/>
  <c r="B3149" i="5"/>
  <c r="B3150" i="5"/>
  <c r="B3151" i="5"/>
  <c r="B3152" i="5"/>
  <c r="B3153" i="5"/>
  <c r="B3154" i="5"/>
  <c r="B3155" i="5"/>
  <c r="B3156" i="5"/>
  <c r="B3157" i="5"/>
  <c r="B3158" i="5"/>
  <c r="B3159" i="5"/>
  <c r="B3160" i="5"/>
  <c r="B3161" i="5"/>
  <c r="B3162" i="5"/>
  <c r="B3163" i="5"/>
  <c r="B3164" i="5"/>
  <c r="B3165" i="5"/>
  <c r="B3166" i="5"/>
  <c r="B3167" i="5"/>
  <c r="B3168" i="5"/>
  <c r="B3169" i="5"/>
  <c r="B3170" i="5"/>
  <c r="B3171" i="5"/>
  <c r="B3172" i="5"/>
  <c r="B3173" i="5"/>
  <c r="B3174" i="5"/>
  <c r="B3175" i="5"/>
  <c r="B3176" i="5"/>
  <c r="B3177" i="5"/>
  <c r="B3178" i="5"/>
  <c r="B3179" i="5"/>
  <c r="B3180" i="5"/>
  <c r="B3181" i="5"/>
  <c r="B3182" i="5"/>
  <c r="B3183" i="5"/>
  <c r="B3184" i="5"/>
  <c r="B3185" i="5"/>
  <c r="B3186" i="5"/>
  <c r="B3187" i="5"/>
  <c r="B3188" i="5"/>
  <c r="B3189" i="5"/>
  <c r="B3190" i="5"/>
  <c r="B3191" i="5"/>
  <c r="B3192" i="5"/>
  <c r="B3193" i="5"/>
  <c r="B3194" i="5"/>
  <c r="B3195" i="5"/>
  <c r="B3196" i="5"/>
  <c r="B3197" i="5"/>
  <c r="B3198" i="5"/>
  <c r="B3199" i="5"/>
  <c r="B3200" i="5"/>
  <c r="B3201" i="5"/>
  <c r="B3202" i="5"/>
  <c r="B3203" i="5"/>
  <c r="B3204" i="5"/>
  <c r="B3205" i="5"/>
  <c r="B3206" i="5"/>
  <c r="B3207" i="5"/>
  <c r="B3208" i="5"/>
  <c r="B3209" i="5"/>
  <c r="B3210" i="5"/>
  <c r="B3211" i="5"/>
  <c r="B3212" i="5"/>
  <c r="B3213" i="5"/>
  <c r="B3214" i="5"/>
  <c r="B3215" i="5"/>
  <c r="B3216" i="5"/>
  <c r="B3217" i="5"/>
  <c r="B3218" i="5"/>
  <c r="B3219" i="5"/>
  <c r="B3220" i="5"/>
  <c r="B3221" i="5"/>
  <c r="B3222" i="5"/>
  <c r="B3223" i="5"/>
  <c r="B3224" i="5"/>
  <c r="B3225" i="5"/>
  <c r="B3226" i="5"/>
  <c r="B3227" i="5"/>
  <c r="B3228" i="5"/>
  <c r="B3229" i="5"/>
  <c r="B3230" i="5"/>
  <c r="B3231" i="5"/>
  <c r="B3232" i="5"/>
  <c r="B3233" i="5"/>
  <c r="B3234" i="5"/>
  <c r="B3235" i="5"/>
  <c r="B3236" i="5"/>
  <c r="B3237" i="5"/>
  <c r="B3238" i="5"/>
  <c r="B3239" i="5"/>
  <c r="B3240" i="5"/>
  <c r="B3241" i="5"/>
  <c r="B3242" i="5"/>
  <c r="B3243" i="5"/>
  <c r="B3244" i="5"/>
  <c r="B3245" i="5"/>
  <c r="B3246" i="5"/>
  <c r="B3247" i="5"/>
  <c r="B3248" i="5"/>
  <c r="B3249" i="5"/>
  <c r="B3250" i="5"/>
  <c r="B3251" i="5"/>
  <c r="B3252" i="5"/>
  <c r="B3253" i="5"/>
  <c r="B3254" i="5"/>
  <c r="B3255" i="5"/>
  <c r="B3256" i="5"/>
  <c r="B3257" i="5"/>
  <c r="B3258" i="5"/>
  <c r="B3259" i="5"/>
  <c r="B3260" i="5"/>
  <c r="B3261" i="5"/>
  <c r="B3262" i="5"/>
  <c r="B3263" i="5"/>
  <c r="B3264" i="5"/>
  <c r="B3265" i="5"/>
  <c r="B3266" i="5"/>
  <c r="B3267" i="5"/>
  <c r="B3268" i="5"/>
  <c r="B3269" i="5"/>
  <c r="B3270" i="5"/>
  <c r="B3271" i="5"/>
  <c r="B3272" i="5"/>
  <c r="B3273" i="5"/>
  <c r="B3274" i="5"/>
  <c r="B3275" i="5"/>
  <c r="B3276" i="5"/>
  <c r="B3277" i="5"/>
  <c r="B3278" i="5"/>
  <c r="B3279" i="5"/>
  <c r="B3280" i="5"/>
  <c r="B3281" i="5"/>
  <c r="B3282" i="5"/>
  <c r="B3283" i="5"/>
  <c r="B3284" i="5"/>
  <c r="B3285" i="5"/>
  <c r="B3286" i="5"/>
  <c r="B3287" i="5"/>
  <c r="B3288" i="5"/>
  <c r="B3289" i="5"/>
  <c r="B3290" i="5"/>
  <c r="B3291" i="5"/>
  <c r="B3292" i="5"/>
  <c r="B3293" i="5"/>
  <c r="B3294" i="5"/>
  <c r="B3295" i="5"/>
  <c r="B3296" i="5"/>
  <c r="B3297" i="5"/>
  <c r="B3298" i="5"/>
  <c r="B3299" i="5"/>
  <c r="B3300" i="5"/>
  <c r="B3301" i="5"/>
  <c r="B3302" i="5"/>
  <c r="B3303" i="5"/>
  <c r="B3304" i="5"/>
  <c r="B3305" i="5"/>
  <c r="B3306" i="5"/>
  <c r="B3307" i="5"/>
  <c r="B3308" i="5"/>
  <c r="B3309" i="5"/>
  <c r="B3310" i="5"/>
  <c r="B3311" i="5"/>
  <c r="B3312" i="5"/>
  <c r="B3313" i="5"/>
  <c r="B3314" i="5"/>
  <c r="B3315" i="5"/>
  <c r="B3316" i="5"/>
  <c r="B3317" i="5"/>
  <c r="B3318" i="5"/>
  <c r="B3319" i="5"/>
  <c r="B3320" i="5"/>
  <c r="B3321" i="5"/>
  <c r="B3322" i="5"/>
  <c r="B3323" i="5"/>
  <c r="B3324" i="5"/>
  <c r="B3325" i="5"/>
  <c r="B3326" i="5"/>
  <c r="B3327" i="5"/>
  <c r="B3328" i="5"/>
  <c r="B3329" i="5"/>
  <c r="B3330" i="5"/>
  <c r="B3331" i="5"/>
  <c r="B3332" i="5"/>
  <c r="B3333" i="5"/>
  <c r="B3334" i="5"/>
  <c r="B3335" i="5"/>
  <c r="B3336" i="5"/>
  <c r="B3337" i="5"/>
  <c r="B3338" i="5"/>
  <c r="B3339" i="5"/>
  <c r="B3340" i="5"/>
  <c r="B3341" i="5"/>
  <c r="B3342" i="5"/>
  <c r="B3343" i="5"/>
  <c r="B3344" i="5"/>
  <c r="B3345" i="5"/>
  <c r="B3346" i="5"/>
  <c r="B3347" i="5"/>
  <c r="B3348" i="5"/>
  <c r="B3349" i="5"/>
  <c r="B3350" i="5"/>
  <c r="B3351" i="5"/>
  <c r="B3352" i="5"/>
  <c r="B3353" i="5"/>
  <c r="B3354" i="5"/>
  <c r="B3355" i="5"/>
  <c r="B3356" i="5"/>
  <c r="B3357" i="5"/>
  <c r="B3358" i="5"/>
  <c r="B3359" i="5"/>
  <c r="B3360" i="5"/>
  <c r="B3361" i="5"/>
  <c r="B3362" i="5"/>
  <c r="B3363" i="5"/>
  <c r="B3364" i="5"/>
  <c r="B3365" i="5"/>
  <c r="B3366" i="5"/>
  <c r="B3367" i="5"/>
  <c r="B3368" i="5"/>
  <c r="B3369" i="5"/>
  <c r="B3370" i="5"/>
  <c r="B3371" i="5"/>
  <c r="B3372" i="5"/>
  <c r="B3373" i="5"/>
  <c r="B3374" i="5"/>
  <c r="B3375" i="5"/>
  <c r="B3376" i="5"/>
  <c r="B3377" i="5"/>
  <c r="B3378" i="5"/>
  <c r="B3379" i="5"/>
  <c r="B3380" i="5"/>
  <c r="B3381" i="5"/>
  <c r="B3382" i="5"/>
  <c r="B3383" i="5"/>
  <c r="B3384" i="5"/>
  <c r="B3385" i="5"/>
  <c r="B3386" i="5"/>
  <c r="B3387" i="5"/>
  <c r="B3388" i="5"/>
  <c r="B3389" i="5"/>
  <c r="B3390" i="5"/>
  <c r="B3391" i="5"/>
  <c r="B3392" i="5"/>
  <c r="B3393" i="5"/>
  <c r="B3394" i="5"/>
  <c r="B3395" i="5"/>
  <c r="B3396" i="5"/>
  <c r="B3397" i="5"/>
  <c r="B3398" i="5"/>
  <c r="B3399" i="5"/>
  <c r="B3400" i="5"/>
  <c r="B3401" i="5"/>
  <c r="B3402" i="5"/>
  <c r="B3403" i="5"/>
  <c r="B3404" i="5"/>
  <c r="B3405" i="5"/>
  <c r="B3406" i="5"/>
  <c r="B3407" i="5"/>
  <c r="B3408" i="5"/>
  <c r="B3409" i="5"/>
  <c r="B3410" i="5"/>
  <c r="B3411" i="5"/>
  <c r="B3412" i="5"/>
  <c r="B3413" i="5"/>
  <c r="B3414" i="5"/>
  <c r="B3415" i="5"/>
  <c r="B3416" i="5"/>
  <c r="B3417" i="5"/>
  <c r="B3418" i="5"/>
  <c r="B3419" i="5"/>
  <c r="B3420" i="5"/>
  <c r="B3421" i="5"/>
  <c r="B3422" i="5"/>
  <c r="B3423" i="5"/>
  <c r="B3424" i="5"/>
  <c r="B3425" i="5"/>
  <c r="B3426" i="5"/>
  <c r="B3427" i="5"/>
  <c r="B3428" i="5"/>
  <c r="B3429" i="5"/>
  <c r="B3430" i="5"/>
  <c r="B3431" i="5"/>
  <c r="B3432" i="5"/>
  <c r="B3433" i="5"/>
  <c r="B3434" i="5"/>
  <c r="B3435" i="5"/>
  <c r="B3436" i="5"/>
  <c r="B3437" i="5"/>
  <c r="B3438" i="5"/>
  <c r="B3439" i="5"/>
  <c r="B3440" i="5"/>
  <c r="B3441" i="5"/>
  <c r="B3442" i="5"/>
  <c r="B3443" i="5"/>
  <c r="B3444" i="5"/>
  <c r="B3445" i="5"/>
  <c r="B3446" i="5"/>
  <c r="B3447" i="5"/>
  <c r="B3448" i="5"/>
  <c r="B3449" i="5"/>
  <c r="B3450" i="5"/>
  <c r="B3451" i="5"/>
  <c r="B3452" i="5"/>
  <c r="B3453" i="5"/>
  <c r="B3454" i="5"/>
  <c r="B3455" i="5"/>
  <c r="B3456" i="5"/>
  <c r="B3457" i="5"/>
  <c r="B3458" i="5"/>
  <c r="B3459" i="5"/>
  <c r="B3460" i="5"/>
  <c r="B3461" i="5"/>
  <c r="B3462" i="5"/>
  <c r="B3463" i="5"/>
  <c r="B3464" i="5"/>
  <c r="B3465" i="5"/>
  <c r="B3466" i="5"/>
  <c r="B3467" i="5"/>
  <c r="B3468" i="5"/>
  <c r="B3469" i="5"/>
  <c r="B3470" i="5"/>
  <c r="B3471" i="5"/>
  <c r="B3472" i="5"/>
  <c r="B3473" i="5"/>
  <c r="B3474" i="5"/>
  <c r="B3475" i="5"/>
  <c r="B3476" i="5"/>
  <c r="B3477" i="5"/>
  <c r="B3478" i="5"/>
  <c r="B3479" i="5"/>
  <c r="B3480" i="5"/>
  <c r="B3481" i="5"/>
  <c r="B3482" i="5"/>
  <c r="B3483" i="5"/>
  <c r="B3484" i="5"/>
  <c r="B3485" i="5"/>
  <c r="B3486" i="5"/>
  <c r="B3487" i="5"/>
  <c r="B3488" i="5"/>
  <c r="B3489" i="5"/>
  <c r="B3490" i="5"/>
  <c r="B3491" i="5"/>
  <c r="B3492" i="5"/>
  <c r="B3493" i="5"/>
  <c r="B3494" i="5"/>
  <c r="B3495" i="5"/>
  <c r="B3496" i="5"/>
  <c r="B3497" i="5"/>
  <c r="B3498" i="5"/>
  <c r="B3499" i="5"/>
  <c r="B3500" i="5"/>
  <c r="B3501" i="5"/>
  <c r="B3502" i="5"/>
  <c r="B3503" i="5"/>
  <c r="B3504" i="5"/>
  <c r="B3505" i="5"/>
  <c r="B3506" i="5"/>
  <c r="B3507" i="5"/>
  <c r="B3508" i="5"/>
  <c r="B3509" i="5"/>
  <c r="B3510" i="5"/>
  <c r="B3511" i="5"/>
  <c r="B3512" i="5"/>
  <c r="B3513" i="5"/>
  <c r="B3514" i="5"/>
  <c r="B3515" i="5"/>
  <c r="B3516" i="5"/>
  <c r="B3517" i="5"/>
  <c r="B3518" i="5"/>
  <c r="B3519" i="5"/>
  <c r="B3520" i="5"/>
  <c r="B3521" i="5"/>
  <c r="B3522" i="5"/>
  <c r="B3523" i="5"/>
  <c r="B3524" i="5"/>
  <c r="B3525" i="5"/>
  <c r="B3526" i="5"/>
  <c r="B3527" i="5"/>
  <c r="B3528" i="5"/>
  <c r="B3529" i="5"/>
  <c r="B3530" i="5"/>
  <c r="B3531" i="5"/>
  <c r="B3532" i="5"/>
  <c r="B3533" i="5"/>
  <c r="B3534" i="5"/>
  <c r="B3535" i="5"/>
  <c r="B3536" i="5"/>
  <c r="B3537" i="5"/>
  <c r="B3538" i="5"/>
  <c r="B3539" i="5"/>
  <c r="B3540" i="5"/>
  <c r="B3541" i="5"/>
  <c r="B3542" i="5"/>
  <c r="B3543" i="5"/>
  <c r="B3544" i="5"/>
  <c r="B3545" i="5"/>
  <c r="B3546" i="5"/>
  <c r="B3547" i="5"/>
  <c r="B3548" i="5"/>
  <c r="B3549" i="5"/>
  <c r="B3550" i="5"/>
  <c r="B3551" i="5"/>
  <c r="B3552" i="5"/>
  <c r="B3553" i="5"/>
  <c r="B3554" i="5"/>
  <c r="B3555" i="5"/>
  <c r="B3556" i="5"/>
  <c r="B3557" i="5"/>
  <c r="B3558" i="5"/>
  <c r="B3559" i="5"/>
  <c r="B3560" i="5"/>
  <c r="B3561" i="5"/>
  <c r="B3562" i="5"/>
  <c r="B3563" i="5"/>
  <c r="B3564" i="5"/>
  <c r="B3565" i="5"/>
  <c r="B3566" i="5"/>
  <c r="B3567" i="5"/>
  <c r="B3568" i="5"/>
  <c r="B3569" i="5"/>
  <c r="B3570" i="5"/>
  <c r="B3571" i="5"/>
  <c r="B3572" i="5"/>
  <c r="B3573" i="5"/>
  <c r="B3574" i="5"/>
  <c r="B3575" i="5"/>
  <c r="B3576" i="5"/>
  <c r="B3577" i="5"/>
  <c r="B3578" i="5"/>
  <c r="B3579" i="5"/>
  <c r="B3580" i="5"/>
  <c r="B3581" i="5"/>
  <c r="B3582" i="5"/>
  <c r="B3583" i="5"/>
  <c r="B3584" i="5"/>
  <c r="B3585" i="5"/>
  <c r="B3586" i="5"/>
  <c r="B3587" i="5"/>
  <c r="B3588" i="5"/>
  <c r="B3589" i="5"/>
  <c r="B3590" i="5"/>
  <c r="B3591" i="5"/>
  <c r="B3592" i="5"/>
  <c r="B3593" i="5"/>
  <c r="B3594" i="5"/>
  <c r="B3595" i="5"/>
  <c r="B3596" i="5"/>
  <c r="B3597" i="5"/>
  <c r="B3598" i="5"/>
  <c r="B3599" i="5"/>
  <c r="B3600" i="5"/>
  <c r="B3601" i="5"/>
  <c r="B3602" i="5"/>
  <c r="B3603" i="5"/>
  <c r="B3604" i="5"/>
  <c r="B3605" i="5"/>
  <c r="B3606" i="5"/>
  <c r="B3607" i="5"/>
  <c r="B3608" i="5"/>
  <c r="B3609" i="5"/>
  <c r="B3610" i="5"/>
  <c r="B3611" i="5"/>
  <c r="B3612" i="5"/>
  <c r="B3613" i="5"/>
  <c r="B3614" i="5"/>
  <c r="B3615" i="5"/>
  <c r="B3616" i="5"/>
  <c r="B3617" i="5"/>
  <c r="B3618" i="5"/>
  <c r="B3619" i="5"/>
  <c r="B3620" i="5"/>
  <c r="B3621" i="5"/>
  <c r="B3622" i="5"/>
  <c r="B3623" i="5"/>
  <c r="B3624" i="5"/>
  <c r="B3625" i="5"/>
  <c r="B3626" i="5"/>
  <c r="B3627" i="5"/>
  <c r="B3628" i="5"/>
  <c r="B3629" i="5"/>
  <c r="B3630" i="5"/>
  <c r="B3631" i="5"/>
  <c r="B3632" i="5"/>
  <c r="B3633" i="5"/>
  <c r="B3634" i="5"/>
  <c r="B3635" i="5"/>
  <c r="B3636" i="5"/>
  <c r="B3637" i="5"/>
  <c r="B3638" i="5"/>
  <c r="B3639" i="5"/>
  <c r="B3640" i="5"/>
  <c r="B3641" i="5"/>
  <c r="B3642" i="5"/>
  <c r="B3643" i="5"/>
  <c r="B3644" i="5"/>
  <c r="B3645" i="5"/>
  <c r="B3646" i="5"/>
  <c r="B3647" i="5"/>
  <c r="B3648" i="5"/>
  <c r="B3649" i="5"/>
  <c r="B3650" i="5"/>
  <c r="B3651" i="5"/>
  <c r="B3652" i="5"/>
  <c r="B3653" i="5"/>
  <c r="B3654" i="5"/>
  <c r="B3655" i="5"/>
  <c r="B3656" i="5"/>
  <c r="B3657" i="5"/>
  <c r="B3658" i="5"/>
  <c r="B3659" i="5"/>
  <c r="B3660" i="5"/>
  <c r="B3661" i="5"/>
  <c r="B3662" i="5"/>
  <c r="B3663" i="5"/>
  <c r="B3664" i="5"/>
  <c r="B3665" i="5"/>
  <c r="B3666" i="5"/>
  <c r="B3667" i="5"/>
  <c r="B3668" i="5"/>
  <c r="B3669" i="5"/>
  <c r="B3670" i="5"/>
  <c r="B3671" i="5"/>
  <c r="B3672" i="5"/>
  <c r="B3673" i="5"/>
  <c r="B3674" i="5"/>
  <c r="B3675" i="5"/>
  <c r="B3676" i="5"/>
  <c r="B3677" i="5"/>
  <c r="B3678" i="5"/>
  <c r="B3679" i="5"/>
  <c r="B3680" i="5"/>
  <c r="B3681" i="5"/>
  <c r="B3682" i="5"/>
  <c r="B3683" i="5"/>
  <c r="B3684" i="5"/>
  <c r="B3685" i="5"/>
  <c r="B3686" i="5"/>
  <c r="B3687" i="5"/>
  <c r="B3688" i="5"/>
  <c r="B3689" i="5"/>
  <c r="B3690" i="5"/>
  <c r="B3691" i="5"/>
  <c r="B3692" i="5"/>
  <c r="B3693" i="5"/>
  <c r="B3694" i="5"/>
  <c r="B3695" i="5"/>
  <c r="B3696" i="5"/>
  <c r="B3697" i="5"/>
  <c r="B3698" i="5"/>
  <c r="B3699" i="5"/>
  <c r="B3700" i="5"/>
  <c r="B3701" i="5"/>
  <c r="B3702" i="5"/>
  <c r="B3703" i="5"/>
  <c r="B3704" i="5"/>
  <c r="B3705" i="5"/>
  <c r="B3706" i="5"/>
  <c r="B3707" i="5"/>
  <c r="B3708" i="5"/>
  <c r="B3709" i="5"/>
  <c r="B3710" i="5"/>
  <c r="B3711" i="5"/>
  <c r="B3712" i="5"/>
  <c r="B3713" i="5"/>
  <c r="B3714" i="5"/>
  <c r="B3715" i="5"/>
  <c r="B3716" i="5"/>
  <c r="B3717" i="5"/>
  <c r="B3718" i="5"/>
  <c r="B3719" i="5"/>
  <c r="B3720" i="5"/>
  <c r="B3721" i="5"/>
  <c r="B3722" i="5"/>
  <c r="B3723" i="5"/>
  <c r="B3724" i="5"/>
  <c r="B3725" i="5"/>
  <c r="B3726" i="5"/>
  <c r="B3727" i="5"/>
  <c r="B3728" i="5"/>
  <c r="B3729" i="5"/>
  <c r="B3730" i="5"/>
  <c r="B3731" i="5"/>
  <c r="B3732" i="5"/>
  <c r="B3733" i="5"/>
  <c r="B3734" i="5"/>
  <c r="B3735" i="5"/>
  <c r="B3736" i="5"/>
  <c r="B3737" i="5"/>
  <c r="B3738" i="5"/>
  <c r="B3739" i="5"/>
  <c r="B3740" i="5"/>
  <c r="B3741" i="5"/>
  <c r="B3742" i="5"/>
  <c r="B3743" i="5"/>
  <c r="B3744" i="5"/>
  <c r="B3745" i="5"/>
  <c r="B3746" i="5"/>
  <c r="B3747" i="5"/>
  <c r="B3748" i="5"/>
  <c r="B3749" i="5"/>
  <c r="B3750" i="5"/>
  <c r="B3751" i="5"/>
  <c r="B3752" i="5"/>
  <c r="B3753" i="5"/>
  <c r="B3754" i="5"/>
  <c r="B3755" i="5"/>
  <c r="B3756" i="5"/>
  <c r="B3757" i="5"/>
  <c r="B3758" i="5"/>
  <c r="B3759" i="5"/>
  <c r="B3760" i="5"/>
  <c r="B3761" i="5"/>
  <c r="B3762" i="5"/>
  <c r="B3763" i="5"/>
  <c r="B3764" i="5"/>
  <c r="B3765" i="5"/>
  <c r="B3766" i="5"/>
  <c r="B3767" i="5"/>
  <c r="B3768" i="5"/>
  <c r="B3769" i="5"/>
  <c r="B3770" i="5"/>
  <c r="B3771" i="5"/>
  <c r="B3772" i="5"/>
  <c r="B3773" i="5"/>
  <c r="B3774" i="5"/>
  <c r="B3775" i="5"/>
  <c r="B3776" i="5"/>
  <c r="B3777" i="5"/>
  <c r="B3778" i="5"/>
  <c r="B3779" i="5"/>
  <c r="B3780" i="5"/>
  <c r="B3781" i="5"/>
  <c r="B3782" i="5"/>
  <c r="B3783" i="5"/>
  <c r="B3784" i="5"/>
  <c r="B3785" i="5"/>
  <c r="B3786" i="5"/>
  <c r="B3787" i="5"/>
  <c r="B3788" i="5"/>
  <c r="B3789" i="5"/>
  <c r="B3790" i="5"/>
  <c r="B3791" i="5"/>
  <c r="B3792" i="5"/>
  <c r="B3793" i="5"/>
  <c r="B3794" i="5"/>
  <c r="B3795" i="5"/>
  <c r="B3796" i="5"/>
  <c r="B3797" i="5"/>
  <c r="B3798" i="5"/>
  <c r="B3799" i="5"/>
  <c r="B3800" i="5"/>
  <c r="B3801" i="5"/>
  <c r="B3802" i="5"/>
  <c r="B3803" i="5"/>
  <c r="B3804" i="5"/>
  <c r="B3805" i="5"/>
  <c r="B3806" i="5"/>
  <c r="B3807" i="5"/>
  <c r="B3808" i="5"/>
  <c r="B3809" i="5"/>
  <c r="B3810" i="5"/>
  <c r="B3811" i="5"/>
  <c r="B3812" i="5"/>
  <c r="B3813" i="5"/>
  <c r="B3814" i="5"/>
  <c r="B3815" i="5"/>
  <c r="B3816" i="5"/>
  <c r="B3817" i="5"/>
  <c r="B3818" i="5"/>
  <c r="B3819" i="5"/>
  <c r="B3820" i="5"/>
  <c r="B3821" i="5"/>
  <c r="B3822" i="5"/>
  <c r="B3823" i="5"/>
  <c r="B3824" i="5"/>
  <c r="B3825" i="5"/>
  <c r="B3826" i="5"/>
  <c r="B3827" i="5"/>
  <c r="B3828" i="5"/>
  <c r="B3829" i="5"/>
  <c r="B3830" i="5"/>
  <c r="B3831" i="5"/>
  <c r="B3832" i="5"/>
  <c r="B3833" i="5"/>
  <c r="B3834" i="5"/>
  <c r="B3835" i="5"/>
  <c r="B3836" i="5"/>
  <c r="B3837" i="5"/>
  <c r="B3838" i="5"/>
  <c r="B3839" i="5"/>
  <c r="B3840" i="5"/>
  <c r="B3841" i="5"/>
  <c r="B3842" i="5"/>
  <c r="B3843" i="5"/>
  <c r="B3844" i="5"/>
  <c r="B3845" i="5"/>
  <c r="B3846" i="5"/>
  <c r="B3847" i="5"/>
  <c r="B3848" i="5"/>
  <c r="B3849" i="5"/>
  <c r="B3850" i="5"/>
  <c r="B3851" i="5"/>
  <c r="B3852" i="5"/>
  <c r="B3853" i="5"/>
  <c r="B3854" i="5"/>
  <c r="B3855" i="5"/>
  <c r="B3856" i="5"/>
  <c r="B3857" i="5"/>
  <c r="B3858" i="5"/>
  <c r="B3859" i="5"/>
  <c r="B3860" i="5"/>
  <c r="B3861" i="5"/>
  <c r="B3862" i="5"/>
  <c r="B3863" i="5"/>
  <c r="B3864" i="5"/>
  <c r="B3865" i="5"/>
  <c r="B3866" i="5"/>
  <c r="B3867" i="5"/>
  <c r="B3868" i="5"/>
  <c r="B3869" i="5"/>
  <c r="B3870" i="5"/>
  <c r="B3871" i="5"/>
  <c r="B3872" i="5"/>
  <c r="B3873" i="5"/>
  <c r="B3874" i="5"/>
  <c r="B3875" i="5"/>
  <c r="B3876" i="5"/>
  <c r="B3877" i="5"/>
  <c r="B3878" i="5"/>
  <c r="B3879" i="5"/>
  <c r="B3880" i="5"/>
  <c r="B3881" i="5"/>
  <c r="B3882" i="5"/>
  <c r="B3883" i="5"/>
  <c r="B3884" i="5"/>
  <c r="B3885" i="5"/>
  <c r="B3886" i="5"/>
  <c r="B3887" i="5"/>
  <c r="B3888" i="5"/>
  <c r="B3889" i="5"/>
  <c r="B3890" i="5"/>
  <c r="B3891" i="5"/>
  <c r="B3892" i="5"/>
  <c r="B3893" i="5"/>
  <c r="B3894" i="5"/>
  <c r="B3895" i="5"/>
  <c r="B3896" i="5"/>
  <c r="B3897" i="5"/>
  <c r="B3898" i="5"/>
  <c r="B3899" i="5"/>
  <c r="B3900" i="5"/>
  <c r="B3901" i="5"/>
  <c r="B3902" i="5"/>
  <c r="B3903" i="5"/>
  <c r="B3904" i="5"/>
  <c r="B3905" i="5"/>
  <c r="B3906" i="5"/>
  <c r="B3907" i="5"/>
  <c r="B3908" i="5"/>
  <c r="B3909" i="5"/>
  <c r="B3910" i="5"/>
  <c r="B3911" i="5"/>
  <c r="B3912" i="5"/>
  <c r="B3913" i="5"/>
  <c r="B3914" i="5"/>
  <c r="B3915" i="5"/>
  <c r="B3916" i="5"/>
  <c r="B3917" i="5"/>
  <c r="B3918" i="5"/>
  <c r="B3919" i="5"/>
  <c r="B3920" i="5"/>
  <c r="B3921" i="5"/>
  <c r="B3922" i="5"/>
  <c r="B3923" i="5"/>
  <c r="B3924" i="5"/>
  <c r="B3925" i="5"/>
  <c r="B3926" i="5"/>
  <c r="B3927" i="5"/>
  <c r="B3928" i="5"/>
  <c r="B3929" i="5"/>
  <c r="B3930" i="5"/>
  <c r="B3931" i="5"/>
  <c r="B3932" i="5"/>
  <c r="B3933" i="5"/>
  <c r="B3934" i="5"/>
  <c r="B3935" i="5"/>
  <c r="B3936" i="5"/>
  <c r="B3937" i="5"/>
  <c r="B3938" i="5"/>
  <c r="B3939" i="5"/>
  <c r="B3940" i="5"/>
  <c r="B3941" i="5"/>
  <c r="B3942" i="5"/>
  <c r="B3943" i="5"/>
  <c r="B3944" i="5"/>
  <c r="B3945" i="5"/>
  <c r="B3946" i="5"/>
  <c r="B3947" i="5"/>
  <c r="B3948" i="5"/>
  <c r="B3949" i="5"/>
  <c r="B3950" i="5"/>
  <c r="B3951" i="5"/>
  <c r="B3952" i="5"/>
  <c r="B3953" i="5"/>
  <c r="B3954" i="5"/>
  <c r="B3955" i="5"/>
  <c r="B3956" i="5"/>
  <c r="B3957" i="5"/>
  <c r="B3958" i="5"/>
  <c r="B3959" i="5"/>
  <c r="B3960" i="5"/>
  <c r="B3961" i="5"/>
  <c r="B3962" i="5"/>
  <c r="B3963" i="5"/>
  <c r="B3964" i="5"/>
  <c r="B3965" i="5"/>
  <c r="B3966" i="5"/>
  <c r="B3967" i="5"/>
  <c r="B3968" i="5"/>
  <c r="B3969" i="5"/>
  <c r="B3970" i="5"/>
  <c r="B3971" i="5"/>
  <c r="B3972" i="5"/>
  <c r="B3973" i="5"/>
  <c r="B3974" i="5"/>
  <c r="B3975" i="5"/>
  <c r="B3976" i="5"/>
  <c r="B3977" i="5"/>
  <c r="B3978" i="5"/>
  <c r="B3979" i="5"/>
  <c r="B3980" i="5"/>
  <c r="B3981" i="5"/>
  <c r="B3982" i="5"/>
  <c r="B3983" i="5"/>
  <c r="B3984" i="5"/>
  <c r="B3985" i="5"/>
  <c r="B3986" i="5"/>
  <c r="B3987" i="5"/>
  <c r="B3988" i="5"/>
  <c r="B3989" i="5"/>
  <c r="B3990" i="5"/>
  <c r="B3991" i="5"/>
  <c r="B3992" i="5"/>
  <c r="B3993" i="5"/>
  <c r="B3994" i="5"/>
  <c r="B3995" i="5"/>
  <c r="B3996" i="5"/>
  <c r="B3997" i="5"/>
  <c r="B3998" i="5"/>
  <c r="B3999" i="5"/>
  <c r="B4000" i="5"/>
  <c r="B4001" i="5"/>
  <c r="B4002" i="5"/>
  <c r="B4003" i="5"/>
  <c r="B4004" i="5"/>
  <c r="B4005" i="5"/>
  <c r="B4006" i="5"/>
  <c r="B4007" i="5"/>
  <c r="B4008" i="5"/>
  <c r="B4009" i="5"/>
  <c r="B4010" i="5"/>
  <c r="B4011" i="5"/>
  <c r="B4012" i="5"/>
  <c r="B4013" i="5"/>
  <c r="B4014" i="5"/>
  <c r="B4015" i="5"/>
  <c r="B4016" i="5"/>
  <c r="B4017" i="5"/>
  <c r="B4018" i="5"/>
  <c r="B4019" i="5"/>
  <c r="B4020" i="5"/>
  <c r="B4021" i="5"/>
  <c r="B4022" i="5"/>
  <c r="B4023" i="5"/>
  <c r="B4024" i="5"/>
  <c r="B4025" i="5"/>
  <c r="B4026" i="5"/>
  <c r="B4027" i="5"/>
  <c r="B4028" i="5"/>
  <c r="B4029" i="5"/>
  <c r="B4030" i="5"/>
  <c r="B4031" i="5"/>
  <c r="B4032" i="5"/>
  <c r="B4033" i="5"/>
  <c r="B4034" i="5"/>
  <c r="B4035" i="5"/>
  <c r="B4036" i="5"/>
  <c r="B4037" i="5"/>
  <c r="B4038" i="5"/>
  <c r="B4039" i="5"/>
  <c r="B4040" i="5"/>
  <c r="B4041" i="5"/>
  <c r="B4042" i="5"/>
  <c r="B4043" i="5"/>
  <c r="B4044" i="5"/>
  <c r="B4045" i="5"/>
  <c r="B4046" i="5"/>
  <c r="B4047" i="5"/>
  <c r="B4048" i="5"/>
  <c r="B4049" i="5"/>
  <c r="B4050" i="5"/>
  <c r="B4051" i="5"/>
  <c r="B4052" i="5"/>
  <c r="B4053" i="5"/>
  <c r="B4054" i="5"/>
  <c r="B4055" i="5"/>
  <c r="B4056" i="5"/>
  <c r="B4057" i="5"/>
  <c r="B4058" i="5"/>
  <c r="B4059" i="5"/>
  <c r="B4060" i="5"/>
  <c r="B4061" i="5"/>
  <c r="B4062" i="5"/>
  <c r="B4063" i="5"/>
  <c r="B4064" i="5"/>
  <c r="B4065" i="5"/>
  <c r="B4066" i="5"/>
  <c r="B4067" i="5"/>
  <c r="B4068" i="5"/>
  <c r="B4069" i="5"/>
  <c r="B4070" i="5"/>
  <c r="B4071" i="5"/>
  <c r="B4072" i="5"/>
  <c r="B4073" i="5"/>
  <c r="B4074" i="5"/>
  <c r="B4075" i="5"/>
  <c r="B4076" i="5"/>
  <c r="B4077" i="5"/>
  <c r="B4078" i="5"/>
  <c r="B4079" i="5"/>
  <c r="B4080" i="5"/>
  <c r="B4081" i="5"/>
  <c r="B4082" i="5"/>
  <c r="B4083" i="5"/>
  <c r="B4084" i="5"/>
  <c r="B4085" i="5"/>
  <c r="B4086" i="5"/>
  <c r="B4087" i="5"/>
  <c r="B4088" i="5"/>
  <c r="B4089" i="5"/>
  <c r="B4090" i="5"/>
  <c r="B4091" i="5"/>
  <c r="B4092" i="5"/>
  <c r="B4093" i="5"/>
  <c r="B4094" i="5"/>
  <c r="B4095" i="5"/>
  <c r="B4096" i="5"/>
  <c r="B4097" i="5"/>
  <c r="B4098" i="5"/>
  <c r="B4099" i="5"/>
  <c r="B4100" i="5"/>
  <c r="B4101" i="5"/>
  <c r="B4102" i="5"/>
  <c r="B4103" i="5"/>
  <c r="B4104" i="5"/>
  <c r="B4105" i="5"/>
  <c r="B4106" i="5"/>
  <c r="B4107" i="5"/>
  <c r="B4108" i="5"/>
  <c r="B4109" i="5"/>
  <c r="B4110" i="5"/>
  <c r="B4111" i="5"/>
  <c r="B4112" i="5"/>
  <c r="B4113" i="5"/>
  <c r="B4114" i="5"/>
  <c r="B4115" i="5"/>
  <c r="B4116" i="5"/>
  <c r="B4117" i="5"/>
  <c r="B4118" i="5"/>
  <c r="B4119" i="5"/>
  <c r="B4120" i="5"/>
  <c r="B4121" i="5"/>
  <c r="B4122" i="5"/>
  <c r="B4123" i="5"/>
  <c r="B4124" i="5"/>
  <c r="B4125" i="5"/>
  <c r="B4126" i="5"/>
  <c r="B4127" i="5"/>
  <c r="B4128" i="5"/>
  <c r="B4129" i="5"/>
  <c r="B4130" i="5"/>
  <c r="B4131" i="5"/>
  <c r="B4132" i="5"/>
  <c r="B4133" i="5"/>
  <c r="B4134" i="5"/>
  <c r="B4135" i="5"/>
  <c r="B4136" i="5"/>
  <c r="B4137" i="5"/>
  <c r="B4138" i="5"/>
  <c r="B4139" i="5"/>
  <c r="B4140" i="5"/>
  <c r="B4141" i="5"/>
  <c r="B4142" i="5"/>
  <c r="B4143" i="5"/>
  <c r="B4144" i="5"/>
  <c r="B4145" i="5"/>
  <c r="B4146" i="5"/>
  <c r="B4147" i="5"/>
  <c r="B4148" i="5"/>
  <c r="B4149" i="5"/>
  <c r="B4150" i="5"/>
  <c r="B4151" i="5"/>
  <c r="B4152" i="5"/>
  <c r="B4153" i="5"/>
  <c r="B4154" i="5"/>
  <c r="B4155" i="5"/>
  <c r="B4156" i="5"/>
  <c r="B4157" i="5"/>
  <c r="B4158" i="5"/>
  <c r="B4159" i="5"/>
  <c r="B4160" i="5"/>
  <c r="B4161" i="5"/>
  <c r="B4162" i="5"/>
  <c r="B4163" i="5"/>
  <c r="B4164" i="5"/>
  <c r="B4165" i="5"/>
  <c r="B4166" i="5"/>
  <c r="B4167" i="5"/>
  <c r="B4168" i="5"/>
  <c r="B4169" i="5"/>
  <c r="B4170" i="5"/>
  <c r="B4171" i="5"/>
  <c r="B4172" i="5"/>
  <c r="B4173" i="5"/>
  <c r="B4174" i="5"/>
  <c r="B4175" i="5"/>
  <c r="B4176" i="5"/>
  <c r="B4177" i="5"/>
  <c r="B4178" i="5"/>
  <c r="B4179" i="5"/>
  <c r="B4180" i="5"/>
  <c r="B4181" i="5"/>
  <c r="B4182" i="5"/>
  <c r="B4183" i="5"/>
  <c r="B4184" i="5"/>
  <c r="B4185" i="5"/>
  <c r="B4186" i="5"/>
  <c r="B4187" i="5"/>
  <c r="B4188" i="5"/>
  <c r="B4189" i="5"/>
  <c r="B4190" i="5"/>
  <c r="B4191" i="5"/>
  <c r="B4192" i="5"/>
  <c r="B4193" i="5"/>
  <c r="B4194" i="5"/>
  <c r="B4195" i="5"/>
  <c r="B4196" i="5"/>
  <c r="B4197" i="5"/>
  <c r="B4198" i="5"/>
  <c r="B4199" i="5"/>
  <c r="B4200" i="5"/>
  <c r="B4201" i="5"/>
  <c r="B4202" i="5"/>
  <c r="B4203" i="5"/>
  <c r="B4204" i="5"/>
  <c r="B4205" i="5"/>
  <c r="B4206" i="5"/>
  <c r="B4207" i="5"/>
  <c r="B4208" i="5"/>
  <c r="B4209" i="5"/>
  <c r="B4210" i="5"/>
  <c r="B4211" i="5"/>
  <c r="B4212" i="5"/>
  <c r="B4213" i="5"/>
  <c r="B4214" i="5"/>
  <c r="B4215" i="5"/>
  <c r="B4216" i="5"/>
  <c r="B4217" i="5"/>
  <c r="B4218" i="5"/>
  <c r="B4219" i="5"/>
  <c r="B4220" i="5"/>
  <c r="B4221" i="5"/>
  <c r="B4222" i="5"/>
  <c r="B4223" i="5"/>
  <c r="B4224" i="5"/>
  <c r="B4225" i="5"/>
  <c r="B4226" i="5"/>
  <c r="B4227" i="5"/>
  <c r="B4228" i="5"/>
  <c r="B4229" i="5"/>
  <c r="B4230" i="5"/>
  <c r="B4231" i="5"/>
  <c r="B4232" i="5"/>
  <c r="B4233" i="5"/>
  <c r="B4234" i="5"/>
  <c r="B4235" i="5"/>
  <c r="B4236" i="5"/>
  <c r="B4237" i="5"/>
  <c r="B4238" i="5"/>
  <c r="B4239" i="5"/>
  <c r="B4240" i="5"/>
  <c r="B4241" i="5"/>
  <c r="B4242" i="5"/>
  <c r="B4243" i="5"/>
  <c r="B4244" i="5"/>
  <c r="B4245" i="5"/>
  <c r="B4246" i="5"/>
  <c r="B4247" i="5"/>
  <c r="B4248" i="5"/>
  <c r="B4249" i="5"/>
  <c r="B4250" i="5"/>
  <c r="B4251" i="5"/>
  <c r="B4252" i="5"/>
  <c r="B4253" i="5"/>
  <c r="B4254" i="5"/>
  <c r="B4255" i="5"/>
  <c r="B4256" i="5"/>
  <c r="B4257" i="5"/>
  <c r="B4258" i="5"/>
  <c r="B4259" i="5"/>
  <c r="B4260" i="5"/>
  <c r="B4261" i="5"/>
  <c r="B4262" i="5"/>
  <c r="B4263" i="5"/>
  <c r="B4264" i="5"/>
  <c r="B4265" i="5"/>
  <c r="B4266" i="5"/>
  <c r="B4267" i="5"/>
  <c r="B4268" i="5"/>
  <c r="B4269" i="5"/>
  <c r="B4270" i="5"/>
  <c r="B4271" i="5"/>
  <c r="B4272" i="5"/>
  <c r="B4273" i="5"/>
  <c r="B4274" i="5"/>
  <c r="B4275" i="5"/>
  <c r="B4276" i="5"/>
  <c r="B4277" i="5"/>
  <c r="B4278" i="5"/>
  <c r="B4279" i="5"/>
  <c r="B4280" i="5"/>
  <c r="B4281" i="5"/>
  <c r="B4282" i="5"/>
  <c r="B4283" i="5"/>
  <c r="B4284" i="5"/>
  <c r="B4285" i="5"/>
  <c r="B4286" i="5"/>
  <c r="B4287" i="5"/>
  <c r="B4288" i="5"/>
  <c r="B4289" i="5"/>
  <c r="B4290" i="5"/>
  <c r="B4291" i="5"/>
  <c r="B4292" i="5"/>
  <c r="B4293" i="5"/>
  <c r="B4294" i="5"/>
  <c r="B4295" i="5"/>
  <c r="B4296" i="5"/>
  <c r="B4297" i="5"/>
  <c r="B4298" i="5"/>
  <c r="B4299" i="5"/>
  <c r="B4300" i="5"/>
  <c r="B4301" i="5"/>
  <c r="B4302" i="5"/>
  <c r="B4303" i="5"/>
  <c r="B4304" i="5"/>
  <c r="B4305" i="5"/>
  <c r="B4306" i="5"/>
  <c r="B4307" i="5"/>
  <c r="B4308" i="5"/>
  <c r="B4309" i="5"/>
  <c r="B4310" i="5"/>
  <c r="B4311" i="5"/>
  <c r="B4312" i="5"/>
  <c r="B4313" i="5"/>
  <c r="B4314" i="5"/>
  <c r="B4315" i="5"/>
  <c r="B4316" i="5"/>
  <c r="B4317" i="5"/>
  <c r="B4318" i="5"/>
  <c r="B4319" i="5"/>
  <c r="B4320" i="5"/>
  <c r="B4321" i="5"/>
  <c r="B4322" i="5"/>
  <c r="B4323" i="5"/>
  <c r="B4324" i="5"/>
  <c r="B4325" i="5"/>
  <c r="B4326" i="5"/>
  <c r="B4327" i="5"/>
  <c r="B4328" i="5"/>
  <c r="B4329" i="5"/>
  <c r="B4330" i="5"/>
  <c r="B4331" i="5"/>
  <c r="B4332" i="5"/>
  <c r="B4333" i="5"/>
  <c r="B4334" i="5"/>
  <c r="B4335" i="5"/>
  <c r="B4336" i="5"/>
  <c r="B4337" i="5"/>
  <c r="B4338" i="5"/>
  <c r="B4339" i="5"/>
  <c r="B4340" i="5"/>
  <c r="B4341" i="5"/>
  <c r="B4342" i="5"/>
  <c r="B4343" i="5"/>
  <c r="B4344" i="5"/>
  <c r="B4345" i="5"/>
  <c r="B4346" i="5"/>
  <c r="B4347" i="5"/>
  <c r="B4348" i="5"/>
  <c r="B4349" i="5"/>
  <c r="B4350" i="5"/>
  <c r="B4351" i="5"/>
  <c r="B4352" i="5"/>
  <c r="B4353" i="5"/>
  <c r="B4354" i="5"/>
  <c r="B4355" i="5"/>
  <c r="B4356" i="5"/>
  <c r="B4357" i="5"/>
  <c r="B4358" i="5"/>
  <c r="B4359" i="5"/>
  <c r="B4360" i="5"/>
  <c r="B4361" i="5"/>
  <c r="B4362" i="5"/>
  <c r="B4363" i="5"/>
  <c r="B4364" i="5"/>
  <c r="B4365" i="5"/>
  <c r="B4366" i="5"/>
  <c r="B4367" i="5"/>
  <c r="B4368" i="5"/>
  <c r="B4369" i="5"/>
  <c r="B4370" i="5"/>
  <c r="B4371" i="5"/>
  <c r="B4372" i="5"/>
  <c r="B4373" i="5"/>
  <c r="B4374" i="5"/>
  <c r="B4375" i="5"/>
  <c r="B4376" i="5"/>
  <c r="B4377" i="5"/>
  <c r="B4378" i="5"/>
  <c r="B4379" i="5"/>
  <c r="B4380" i="5"/>
  <c r="B4381" i="5"/>
  <c r="B4382" i="5"/>
  <c r="B4383" i="5"/>
  <c r="B4384" i="5"/>
  <c r="B4385" i="5"/>
  <c r="B4386" i="5"/>
  <c r="B4387" i="5"/>
  <c r="B4388" i="5"/>
  <c r="B4389" i="5"/>
  <c r="B4390" i="5"/>
  <c r="B4391" i="5"/>
  <c r="B4392" i="5"/>
  <c r="B4393" i="5"/>
  <c r="B4394" i="5"/>
  <c r="B4395" i="5"/>
  <c r="B4396" i="5"/>
  <c r="B4397" i="5"/>
  <c r="B4398" i="5"/>
  <c r="B4399" i="5"/>
  <c r="B4400" i="5"/>
  <c r="B4401" i="5"/>
  <c r="B4402" i="5"/>
  <c r="B4403" i="5"/>
  <c r="B4404" i="5"/>
  <c r="B4405" i="5"/>
  <c r="B4406" i="5"/>
  <c r="B4407" i="5"/>
  <c r="B4408" i="5"/>
  <c r="B4409" i="5"/>
  <c r="B4410" i="5"/>
  <c r="B4411" i="5"/>
  <c r="B4412" i="5"/>
  <c r="B4413" i="5"/>
  <c r="B4414" i="5"/>
  <c r="B4415" i="5"/>
  <c r="B4416" i="5"/>
  <c r="B4417" i="5"/>
  <c r="B4418" i="5"/>
  <c r="B4419" i="5"/>
  <c r="B4420" i="5"/>
  <c r="B4421" i="5"/>
  <c r="B4422" i="5"/>
  <c r="B4423" i="5"/>
  <c r="B4424" i="5"/>
  <c r="B4425" i="5"/>
  <c r="B4426" i="5"/>
  <c r="B4427" i="5"/>
  <c r="B4428" i="5"/>
  <c r="B4429" i="5"/>
  <c r="B4430" i="5"/>
  <c r="B4431" i="5"/>
  <c r="B4432" i="5"/>
  <c r="B4433" i="5"/>
  <c r="B4434" i="5"/>
  <c r="B4435" i="5"/>
  <c r="B4436" i="5"/>
  <c r="B4437" i="5"/>
  <c r="B4438" i="5"/>
  <c r="B4439" i="5"/>
  <c r="B4440" i="5"/>
  <c r="B4441" i="5"/>
  <c r="B4442" i="5"/>
  <c r="B4443" i="5"/>
  <c r="B4444" i="5"/>
  <c r="B4445" i="5"/>
  <c r="B4446" i="5"/>
  <c r="B4447" i="5"/>
  <c r="B4448" i="5"/>
  <c r="B4449" i="5"/>
  <c r="B4450" i="5"/>
  <c r="B4451" i="5"/>
  <c r="B4452" i="5"/>
  <c r="B4453" i="5"/>
  <c r="B4454" i="5"/>
  <c r="B4455" i="5"/>
  <c r="B4456" i="5"/>
  <c r="B4457" i="5"/>
  <c r="B4458" i="5"/>
  <c r="B4459" i="5"/>
  <c r="B4460" i="5"/>
  <c r="B4461" i="5"/>
  <c r="B4462" i="5"/>
  <c r="B4463" i="5"/>
  <c r="B4464" i="5"/>
  <c r="B4465" i="5"/>
  <c r="B4466" i="5"/>
  <c r="B4467" i="5"/>
  <c r="B4468" i="5"/>
  <c r="B4469" i="5"/>
  <c r="B4470" i="5"/>
  <c r="B4471" i="5"/>
  <c r="B4472" i="5"/>
  <c r="B4473" i="5"/>
  <c r="B4474" i="5"/>
  <c r="B4475" i="5"/>
  <c r="B4476" i="5"/>
  <c r="B4477" i="5"/>
  <c r="B4478" i="5"/>
  <c r="B4479" i="5"/>
  <c r="B4480" i="5"/>
  <c r="B4481" i="5"/>
  <c r="B4482" i="5"/>
  <c r="B4483" i="5"/>
  <c r="B4484" i="5"/>
  <c r="B4485" i="5"/>
  <c r="B4486" i="5"/>
  <c r="B4487" i="5"/>
  <c r="B4488" i="5"/>
  <c r="B4489" i="5"/>
  <c r="B4490" i="5"/>
  <c r="B4491" i="5"/>
  <c r="B4492" i="5"/>
  <c r="B4493" i="5"/>
  <c r="B4494" i="5"/>
  <c r="B4495" i="5"/>
  <c r="B4496" i="5"/>
  <c r="B4497" i="5"/>
  <c r="B4498" i="5"/>
  <c r="B4499" i="5"/>
  <c r="B4500" i="5"/>
  <c r="B4501" i="5"/>
  <c r="B4502" i="5"/>
  <c r="B4503" i="5"/>
  <c r="B4504" i="5"/>
  <c r="B4505" i="5"/>
  <c r="B4506" i="5"/>
  <c r="B4507" i="5"/>
  <c r="B4508" i="5"/>
  <c r="B4509" i="5"/>
  <c r="B4510" i="5"/>
  <c r="B4511" i="5"/>
  <c r="B4512" i="5"/>
  <c r="B4513" i="5"/>
  <c r="B4514" i="5"/>
  <c r="B4515" i="5"/>
  <c r="B4516" i="5"/>
  <c r="B4517" i="5"/>
  <c r="B4518" i="5"/>
  <c r="B4519" i="5"/>
  <c r="B4520" i="5"/>
  <c r="B4521" i="5"/>
  <c r="B4522" i="5"/>
  <c r="B4523" i="5"/>
  <c r="B4524" i="5"/>
  <c r="B4525" i="5"/>
  <c r="B4526" i="5"/>
  <c r="B4527" i="5"/>
  <c r="B4528" i="5"/>
  <c r="B4529" i="5"/>
  <c r="B4530" i="5"/>
  <c r="B4531" i="5"/>
  <c r="B4532" i="5"/>
  <c r="B4533" i="5"/>
  <c r="B4534" i="5"/>
  <c r="B4535" i="5"/>
  <c r="B4536" i="5"/>
  <c r="B4537" i="5"/>
  <c r="B4538" i="5"/>
  <c r="B4539" i="5"/>
  <c r="B4540" i="5"/>
  <c r="B4541" i="5"/>
  <c r="B4542" i="5"/>
  <c r="B4543" i="5"/>
  <c r="B4544" i="5"/>
  <c r="B4545" i="5"/>
  <c r="B4546" i="5"/>
  <c r="B4547" i="5"/>
  <c r="B4548" i="5"/>
  <c r="B4549" i="5"/>
  <c r="B4550" i="5"/>
  <c r="B4551" i="5"/>
  <c r="B4552" i="5"/>
  <c r="B4553" i="5"/>
  <c r="B4554" i="5"/>
  <c r="B4555" i="5"/>
  <c r="B4556" i="5"/>
  <c r="B4557" i="5"/>
  <c r="B4558" i="5"/>
  <c r="B4559" i="5"/>
  <c r="B4560" i="5"/>
  <c r="B4561" i="5"/>
  <c r="B4562" i="5"/>
  <c r="B4563" i="5"/>
  <c r="B4564" i="5"/>
  <c r="B4565" i="5"/>
  <c r="B4566" i="5"/>
  <c r="B4567" i="5"/>
  <c r="B4568" i="5"/>
  <c r="B4569" i="5"/>
  <c r="B4570" i="5"/>
  <c r="B4571" i="5"/>
  <c r="B4572" i="5"/>
  <c r="B4573" i="5"/>
  <c r="B4574" i="5"/>
  <c r="B4575" i="5"/>
  <c r="B4576" i="5"/>
  <c r="B4577" i="5"/>
  <c r="B4578" i="5"/>
  <c r="B4579" i="5"/>
  <c r="B4580" i="5"/>
  <c r="B4581" i="5"/>
  <c r="B4582" i="5"/>
  <c r="B4583" i="5"/>
  <c r="B4584" i="5"/>
  <c r="B4585" i="5"/>
  <c r="B4586" i="5"/>
  <c r="B4587" i="5"/>
  <c r="B4588" i="5"/>
  <c r="B4589" i="5"/>
  <c r="B4590" i="5"/>
  <c r="B4591" i="5"/>
  <c r="B4592" i="5"/>
  <c r="B4593" i="5"/>
  <c r="B4594" i="5"/>
  <c r="B4595" i="5"/>
  <c r="B4596" i="5"/>
  <c r="B4597" i="5"/>
  <c r="B4598" i="5"/>
  <c r="B4599" i="5"/>
  <c r="B4600" i="5"/>
  <c r="B4601" i="5"/>
  <c r="B4602" i="5"/>
  <c r="B4603" i="5"/>
  <c r="B4604" i="5"/>
  <c r="B4605" i="5"/>
  <c r="B4606" i="5"/>
  <c r="B4607" i="5"/>
  <c r="B4608" i="5"/>
  <c r="B4609" i="5"/>
  <c r="B4610" i="5"/>
  <c r="B4611" i="5"/>
  <c r="B4612" i="5"/>
  <c r="B4613" i="5"/>
  <c r="B4614" i="5"/>
  <c r="B4615" i="5"/>
  <c r="B4616" i="5"/>
  <c r="B4617" i="5"/>
  <c r="B4618" i="5"/>
  <c r="B4619" i="5"/>
  <c r="B4620" i="5"/>
  <c r="B4621" i="5"/>
  <c r="B4622" i="5"/>
  <c r="B4623" i="5"/>
  <c r="B4624" i="5"/>
  <c r="B4625" i="5"/>
  <c r="B4626" i="5"/>
  <c r="B4627" i="5"/>
  <c r="B4628" i="5"/>
  <c r="B4629" i="5"/>
  <c r="B4630" i="5"/>
  <c r="B4631" i="5"/>
  <c r="B4632" i="5"/>
  <c r="B4633" i="5"/>
  <c r="B4634" i="5"/>
  <c r="B4635" i="5"/>
  <c r="B4636" i="5"/>
  <c r="B4637" i="5"/>
  <c r="B4638" i="5"/>
  <c r="B4639" i="5"/>
  <c r="B4640" i="5"/>
  <c r="B4641" i="5"/>
  <c r="B4642" i="5"/>
  <c r="B4643" i="5"/>
  <c r="B4644" i="5"/>
  <c r="B4645" i="5"/>
  <c r="B4646" i="5"/>
  <c r="B4647" i="5"/>
  <c r="B4648" i="5"/>
  <c r="B4649" i="5"/>
  <c r="B4650" i="5"/>
  <c r="B4651" i="5"/>
  <c r="B4652" i="5"/>
  <c r="B4653" i="5"/>
  <c r="B4654" i="5"/>
  <c r="B4655" i="5"/>
  <c r="B4656" i="5"/>
  <c r="B4657" i="5"/>
  <c r="B4658" i="5"/>
  <c r="B4659" i="5"/>
  <c r="B4660" i="5"/>
  <c r="B4661" i="5"/>
  <c r="B4662" i="5"/>
  <c r="B4663" i="5"/>
  <c r="B4664" i="5"/>
  <c r="B4665" i="5"/>
  <c r="B4666" i="5"/>
  <c r="B4667" i="5"/>
  <c r="B4668" i="5"/>
  <c r="B4669" i="5"/>
  <c r="B4670" i="5"/>
  <c r="B4671" i="5"/>
  <c r="B4672" i="5"/>
  <c r="B4673" i="5"/>
  <c r="B4674" i="5"/>
  <c r="B4675" i="5"/>
  <c r="B4676" i="5"/>
  <c r="B4677" i="5"/>
  <c r="B4678" i="5"/>
  <c r="B4679" i="5"/>
  <c r="B4680" i="5"/>
  <c r="B4681" i="5"/>
  <c r="B4682" i="5"/>
  <c r="B4683" i="5"/>
  <c r="B4684" i="5"/>
  <c r="B4685" i="5"/>
  <c r="B4686" i="5"/>
  <c r="B4687" i="5"/>
  <c r="B4688" i="5"/>
  <c r="B4689" i="5"/>
  <c r="B4690" i="5"/>
  <c r="B4691" i="5"/>
  <c r="B4692" i="5"/>
  <c r="B4693" i="5"/>
  <c r="B4694" i="5"/>
  <c r="B4695" i="5"/>
  <c r="B4696" i="5"/>
  <c r="B4697" i="5"/>
  <c r="B4698" i="5"/>
  <c r="B4699" i="5"/>
  <c r="B4700" i="5"/>
  <c r="B4701" i="5"/>
  <c r="B4702" i="5"/>
  <c r="B4703" i="5"/>
  <c r="B4704" i="5"/>
  <c r="B4705" i="5"/>
  <c r="B4706" i="5"/>
  <c r="B4707" i="5"/>
  <c r="B4708" i="5"/>
  <c r="B4709" i="5"/>
  <c r="B4710" i="5"/>
  <c r="B4711" i="5"/>
  <c r="B4712" i="5"/>
  <c r="B4713" i="5"/>
  <c r="B4714" i="5"/>
  <c r="B4715" i="5"/>
  <c r="B4716" i="5"/>
  <c r="B4717" i="5"/>
  <c r="B4718" i="5"/>
  <c r="B4719" i="5"/>
  <c r="B4720" i="5"/>
  <c r="B4721" i="5"/>
  <c r="B4722" i="5"/>
  <c r="B4723" i="5"/>
  <c r="B4724" i="5"/>
  <c r="B4725" i="5"/>
  <c r="B4726" i="5"/>
  <c r="B4727" i="5"/>
  <c r="B4728" i="5"/>
  <c r="B4729" i="5"/>
  <c r="B4730" i="5"/>
  <c r="B4731" i="5"/>
  <c r="B4732" i="5"/>
  <c r="B4733" i="5"/>
  <c r="B4734" i="5"/>
  <c r="B4735" i="5"/>
  <c r="B4736" i="5"/>
  <c r="B4737" i="5"/>
  <c r="B4738" i="5"/>
  <c r="B4739" i="5"/>
  <c r="B4740" i="5"/>
  <c r="B4741" i="5"/>
  <c r="B4742" i="5"/>
  <c r="B4743" i="5"/>
  <c r="B4744" i="5"/>
  <c r="B4745" i="5"/>
  <c r="B4746" i="5"/>
  <c r="B4747" i="5"/>
  <c r="B4748" i="5"/>
  <c r="B4749" i="5"/>
  <c r="B4750" i="5"/>
  <c r="B4751" i="5"/>
  <c r="B4752" i="5"/>
  <c r="B4753" i="5"/>
  <c r="B4754" i="5"/>
  <c r="B4755" i="5"/>
  <c r="B4756" i="5"/>
  <c r="B4757" i="5"/>
  <c r="B4758" i="5"/>
  <c r="B4759" i="5"/>
  <c r="B4760" i="5"/>
  <c r="B4761" i="5"/>
  <c r="B4762" i="5"/>
  <c r="B4763" i="5"/>
  <c r="B4764" i="5"/>
  <c r="B4765" i="5"/>
  <c r="B4766" i="5"/>
  <c r="B4767" i="5"/>
  <c r="B4768" i="5"/>
  <c r="B4769" i="5"/>
  <c r="B4770" i="5"/>
  <c r="B4771" i="5"/>
  <c r="B4772" i="5"/>
  <c r="B4773" i="5"/>
  <c r="B4774" i="5"/>
  <c r="B4775" i="5"/>
  <c r="B4776" i="5"/>
  <c r="B4777" i="5"/>
  <c r="B4778" i="5"/>
  <c r="B4779" i="5"/>
  <c r="B4780" i="5"/>
  <c r="B4781" i="5"/>
  <c r="B4782" i="5"/>
  <c r="B4783" i="5"/>
  <c r="B4784" i="5"/>
  <c r="B4785" i="5"/>
  <c r="B4786" i="5"/>
  <c r="B4787" i="5"/>
  <c r="B4788" i="5"/>
  <c r="B4789" i="5"/>
  <c r="B4790" i="5"/>
  <c r="B4791" i="5"/>
  <c r="B4792" i="5"/>
  <c r="B4793" i="5"/>
  <c r="B4794" i="5"/>
  <c r="B4795" i="5"/>
  <c r="B4796" i="5"/>
  <c r="B4797" i="5"/>
  <c r="B4798" i="5"/>
  <c r="B4799" i="5"/>
  <c r="B4800" i="5"/>
  <c r="B4801" i="5"/>
  <c r="B4802" i="5"/>
  <c r="B4803" i="5"/>
  <c r="B4804" i="5"/>
  <c r="B4805" i="5"/>
  <c r="B4806" i="5"/>
  <c r="B4807" i="5"/>
  <c r="B4808" i="5"/>
  <c r="B4809" i="5"/>
  <c r="B4810" i="5"/>
  <c r="B4811" i="5"/>
  <c r="B4812" i="5"/>
  <c r="B4813" i="5"/>
  <c r="B4814" i="5"/>
  <c r="B4815" i="5"/>
  <c r="B4816" i="5"/>
  <c r="B4817" i="5"/>
  <c r="B4818" i="5"/>
  <c r="B4819" i="5"/>
  <c r="B4820" i="5"/>
  <c r="B4821" i="5"/>
  <c r="B4822" i="5"/>
  <c r="B4823" i="5"/>
  <c r="B4824" i="5"/>
  <c r="B4825" i="5"/>
  <c r="B4826" i="5"/>
  <c r="B4827" i="5"/>
  <c r="B4828" i="5"/>
  <c r="B4829" i="5"/>
  <c r="B4830" i="5"/>
  <c r="B4831" i="5"/>
  <c r="B4832" i="5"/>
  <c r="B4833" i="5"/>
  <c r="B4834" i="5"/>
  <c r="B4835" i="5"/>
  <c r="B4836" i="5"/>
  <c r="B4837" i="5"/>
  <c r="B4838" i="5"/>
  <c r="B4839" i="5"/>
  <c r="B4840" i="5"/>
  <c r="B4841" i="5"/>
  <c r="B4842" i="5"/>
  <c r="B4843" i="5"/>
  <c r="B4844" i="5"/>
  <c r="B4845" i="5"/>
  <c r="B4846" i="5"/>
  <c r="B4847" i="5"/>
  <c r="B4848" i="5"/>
  <c r="B4849" i="5"/>
  <c r="B4850" i="5"/>
  <c r="B4851" i="5"/>
  <c r="B4852" i="5"/>
  <c r="B4853" i="5"/>
  <c r="B4854" i="5"/>
  <c r="B4855" i="5"/>
  <c r="B4856" i="5"/>
  <c r="B4857" i="5"/>
  <c r="B4858" i="5"/>
  <c r="B4859" i="5"/>
  <c r="B4860" i="5"/>
  <c r="B4861" i="5"/>
  <c r="B4862" i="5"/>
  <c r="B4863" i="5"/>
  <c r="B4864" i="5"/>
  <c r="B4865" i="5"/>
  <c r="B4866" i="5"/>
  <c r="B4867" i="5"/>
  <c r="B4868" i="5"/>
  <c r="B4869" i="5"/>
  <c r="B4870" i="5"/>
  <c r="B4871" i="5"/>
  <c r="B4872" i="5"/>
  <c r="B4873" i="5"/>
  <c r="B4874" i="5"/>
  <c r="B4875" i="5"/>
  <c r="B4876" i="5"/>
  <c r="B4877" i="5"/>
  <c r="B4878" i="5"/>
  <c r="B4879" i="5"/>
  <c r="B4880" i="5"/>
  <c r="B4881" i="5"/>
  <c r="B4882" i="5"/>
  <c r="B4883" i="5"/>
  <c r="B4884" i="5"/>
  <c r="B4885" i="5"/>
  <c r="B4886" i="5"/>
  <c r="B4887" i="5"/>
  <c r="B4888" i="5"/>
  <c r="B4889" i="5"/>
  <c r="B4890" i="5"/>
  <c r="B4891" i="5"/>
  <c r="B4892" i="5"/>
  <c r="B4893" i="5"/>
  <c r="B4894" i="5"/>
  <c r="B4895" i="5"/>
  <c r="B4896" i="5"/>
  <c r="B4897" i="5"/>
  <c r="B4898" i="5"/>
  <c r="B4899" i="5"/>
  <c r="B4900" i="5"/>
  <c r="B4901" i="5"/>
  <c r="B4902" i="5"/>
  <c r="B4903" i="5"/>
  <c r="B4904" i="5"/>
  <c r="B4905" i="5"/>
  <c r="B4906" i="5"/>
  <c r="B4907" i="5"/>
  <c r="B4908" i="5"/>
  <c r="B4909" i="5"/>
  <c r="B4910" i="5"/>
  <c r="B4911" i="5"/>
  <c r="B4912" i="5"/>
  <c r="B4913" i="5"/>
  <c r="B4914" i="5"/>
  <c r="B4915" i="5"/>
  <c r="B4916" i="5"/>
  <c r="B4917" i="5"/>
  <c r="B4918" i="5"/>
  <c r="B4919" i="5"/>
  <c r="B4920" i="5"/>
  <c r="B4921" i="5"/>
  <c r="B4922" i="5"/>
  <c r="B4923" i="5"/>
  <c r="B4924" i="5"/>
  <c r="B4925" i="5"/>
  <c r="B4926" i="5"/>
  <c r="B4927" i="5"/>
  <c r="B4928" i="5"/>
  <c r="B4929" i="5"/>
  <c r="B4930" i="5"/>
  <c r="B4931" i="5"/>
  <c r="B4932" i="5"/>
  <c r="B4933" i="5"/>
  <c r="B4934" i="5"/>
  <c r="B4935" i="5"/>
  <c r="B4936" i="5"/>
  <c r="B4937" i="5"/>
  <c r="B4938" i="5"/>
  <c r="B4939" i="5"/>
  <c r="B4940" i="5"/>
  <c r="B4941" i="5"/>
  <c r="B4942" i="5"/>
  <c r="B4943" i="5"/>
  <c r="B4944" i="5"/>
  <c r="B4945" i="5"/>
  <c r="B4946" i="5"/>
  <c r="B4947" i="5"/>
  <c r="B4948" i="5"/>
  <c r="B4949" i="5"/>
  <c r="B4950" i="5"/>
  <c r="B4951" i="5"/>
  <c r="B4952" i="5"/>
  <c r="B4953" i="5"/>
  <c r="B4954" i="5"/>
  <c r="B4955" i="5"/>
  <c r="B4956" i="5"/>
  <c r="B4957" i="5"/>
  <c r="B4958" i="5"/>
  <c r="B4959" i="5"/>
  <c r="B4960" i="5"/>
  <c r="B4961" i="5"/>
  <c r="B4962" i="5"/>
  <c r="B4963" i="5"/>
  <c r="B4964" i="5"/>
  <c r="B4965" i="5"/>
  <c r="B4966" i="5"/>
  <c r="B4967" i="5"/>
  <c r="B4968" i="5"/>
  <c r="B4969" i="5"/>
  <c r="B4970" i="5"/>
  <c r="B4971" i="5"/>
  <c r="B4972" i="5"/>
  <c r="B4973" i="5"/>
  <c r="B4974" i="5"/>
  <c r="B4975" i="5"/>
  <c r="B4976" i="5"/>
  <c r="B4977" i="5"/>
  <c r="B4978" i="5"/>
  <c r="B4979" i="5"/>
  <c r="B4980" i="5"/>
  <c r="B4981" i="5"/>
  <c r="B4982" i="5"/>
  <c r="B4983" i="5"/>
  <c r="B4984" i="5"/>
  <c r="B4985" i="5"/>
  <c r="B4986" i="5"/>
  <c r="B4987" i="5"/>
  <c r="B4988" i="5"/>
  <c r="B4989" i="5"/>
  <c r="B4990" i="5"/>
  <c r="B4991" i="5"/>
  <c r="B4992" i="5"/>
  <c r="B4993" i="5"/>
  <c r="B4994" i="5"/>
  <c r="B4995" i="5"/>
  <c r="B4996" i="5"/>
  <c r="B4997" i="5"/>
  <c r="B4998" i="5"/>
  <c r="B4999" i="5"/>
  <c r="B5000" i="5"/>
  <c r="B5001" i="5"/>
  <c r="B5002" i="5"/>
  <c r="B5003" i="5"/>
  <c r="B5004" i="5"/>
  <c r="B5005" i="5"/>
  <c r="B5006" i="5"/>
  <c r="B5007" i="5"/>
  <c r="B5008" i="5"/>
  <c r="B5009" i="5"/>
  <c r="B5010" i="5"/>
  <c r="B5011" i="5"/>
  <c r="B5012" i="5"/>
  <c r="B5013" i="5"/>
  <c r="B5014" i="5"/>
  <c r="B5015" i="5"/>
  <c r="B5016" i="5"/>
  <c r="B5017" i="5"/>
  <c r="B5018" i="5"/>
  <c r="B5019" i="5"/>
  <c r="B5020" i="5"/>
  <c r="B5021" i="5"/>
  <c r="B5022" i="5"/>
  <c r="B5023" i="5"/>
  <c r="B5024" i="5"/>
  <c r="B5025" i="5"/>
  <c r="B5026" i="5"/>
  <c r="B5027" i="5"/>
  <c r="B5028" i="5"/>
  <c r="B5029" i="5"/>
  <c r="B5030" i="5"/>
  <c r="B5031" i="5"/>
  <c r="B5032" i="5"/>
  <c r="B5033" i="5"/>
  <c r="B5034" i="5"/>
  <c r="B5035" i="5"/>
  <c r="B5036" i="5"/>
  <c r="B5037" i="5"/>
  <c r="B5038" i="5"/>
  <c r="B5039" i="5"/>
  <c r="B5040" i="5"/>
  <c r="B5041" i="5"/>
  <c r="B5042" i="5"/>
  <c r="B5043" i="5"/>
  <c r="B5044" i="5"/>
  <c r="B5045" i="5"/>
  <c r="B5046" i="5"/>
  <c r="B5047" i="5"/>
  <c r="B5048" i="5"/>
  <c r="B5049" i="5"/>
  <c r="B5050" i="5"/>
  <c r="B5051" i="5"/>
  <c r="B5052" i="5"/>
  <c r="B5053" i="5"/>
  <c r="B5054" i="5"/>
  <c r="B5055" i="5"/>
  <c r="B5056" i="5"/>
  <c r="B5057" i="5"/>
  <c r="B5058" i="5"/>
  <c r="B5059" i="5"/>
  <c r="B5060" i="5"/>
  <c r="B5061" i="5"/>
  <c r="B5062" i="5"/>
  <c r="B5063" i="5"/>
  <c r="B5064" i="5"/>
  <c r="B5065" i="5"/>
  <c r="B5066" i="5"/>
  <c r="B5067" i="5"/>
  <c r="B5068" i="5"/>
  <c r="B5069" i="5"/>
  <c r="B5070" i="5"/>
  <c r="B5071" i="5"/>
  <c r="B5072" i="5"/>
  <c r="B5073" i="5"/>
  <c r="B5074" i="5"/>
  <c r="B5075" i="5"/>
  <c r="B5076" i="5"/>
  <c r="B5077" i="5"/>
  <c r="B5078" i="5"/>
  <c r="B5079" i="5"/>
  <c r="B5080" i="5"/>
  <c r="B5081" i="5"/>
  <c r="B5082" i="5"/>
  <c r="B5083" i="5"/>
  <c r="B5084" i="5"/>
  <c r="B5085" i="5"/>
  <c r="B5086" i="5"/>
  <c r="B5087" i="5"/>
  <c r="B5088" i="5"/>
  <c r="B5089" i="5"/>
  <c r="B5090" i="5"/>
  <c r="B5091" i="5"/>
  <c r="B5092" i="5"/>
  <c r="B5093" i="5"/>
  <c r="B5094" i="5"/>
  <c r="B5095" i="5"/>
  <c r="B5096" i="5"/>
  <c r="B5097" i="5"/>
  <c r="B5098" i="5"/>
  <c r="B5099" i="5"/>
  <c r="B5100" i="5"/>
  <c r="B5101" i="5"/>
  <c r="B5102" i="5"/>
  <c r="B5103" i="5"/>
  <c r="B5104" i="5"/>
  <c r="B5105" i="5"/>
  <c r="B5106" i="5"/>
  <c r="B5107" i="5"/>
  <c r="B5108" i="5"/>
  <c r="B5109" i="5"/>
  <c r="B5110" i="5"/>
  <c r="B5111" i="5"/>
  <c r="B5112" i="5"/>
  <c r="B5113" i="5"/>
  <c r="B5114" i="5"/>
  <c r="B5115" i="5"/>
  <c r="B5116" i="5"/>
  <c r="B5117" i="5"/>
  <c r="B5118" i="5"/>
  <c r="B5119" i="5"/>
  <c r="B5120" i="5"/>
  <c r="B5121" i="5"/>
  <c r="B5122" i="5"/>
  <c r="B5123" i="5"/>
  <c r="B5124" i="5"/>
  <c r="B5125" i="5"/>
  <c r="B5126" i="5"/>
  <c r="B5127" i="5"/>
  <c r="B5128" i="5"/>
  <c r="B5129" i="5"/>
  <c r="B5130" i="5"/>
  <c r="B5131" i="5"/>
  <c r="B5132" i="5"/>
  <c r="B5133" i="5"/>
  <c r="B5134" i="5"/>
  <c r="B5135" i="5"/>
  <c r="B5136" i="5"/>
  <c r="B5137" i="5"/>
  <c r="B5138" i="5"/>
  <c r="B5139" i="5"/>
  <c r="B5140" i="5"/>
  <c r="B5141" i="5"/>
  <c r="B5142" i="5"/>
  <c r="B5143" i="5"/>
  <c r="B5144" i="5"/>
  <c r="B5145" i="5"/>
  <c r="B5146" i="5"/>
  <c r="B5147" i="5"/>
  <c r="B5148" i="5"/>
  <c r="B5149" i="5"/>
  <c r="B5150" i="5"/>
  <c r="B5151" i="5"/>
  <c r="B5152" i="5"/>
  <c r="B5153" i="5"/>
  <c r="B5154" i="5"/>
  <c r="B5155" i="5"/>
  <c r="B5156" i="5"/>
  <c r="B5157" i="5"/>
  <c r="B5158" i="5"/>
  <c r="B5159" i="5"/>
  <c r="B5160" i="5"/>
  <c r="B5161" i="5"/>
  <c r="B5162" i="5"/>
  <c r="B5163" i="5"/>
  <c r="B5164" i="5"/>
  <c r="B5165" i="5"/>
  <c r="B5166" i="5"/>
  <c r="B5167" i="5"/>
  <c r="B5168" i="5"/>
  <c r="B5169" i="5"/>
  <c r="B5170" i="5"/>
  <c r="B5171" i="5"/>
  <c r="B5172" i="5"/>
  <c r="B5173" i="5"/>
  <c r="B5174" i="5"/>
  <c r="B5175" i="5"/>
  <c r="B5176" i="5"/>
  <c r="B5177" i="5"/>
  <c r="B5178" i="5"/>
  <c r="B5179" i="5"/>
  <c r="B5180" i="5"/>
  <c r="B5181" i="5"/>
  <c r="B5182" i="5"/>
  <c r="B5183" i="5"/>
  <c r="B5184" i="5"/>
  <c r="B5185" i="5"/>
  <c r="B5186" i="5"/>
  <c r="B5187" i="5"/>
  <c r="B5188" i="5"/>
  <c r="B5189" i="5"/>
  <c r="B5190" i="5"/>
  <c r="B5191" i="5"/>
  <c r="B5192" i="5"/>
  <c r="B5193" i="5"/>
  <c r="B5194" i="5"/>
  <c r="B5195" i="5"/>
  <c r="B5196" i="5"/>
  <c r="B5197" i="5"/>
  <c r="B5198" i="5"/>
  <c r="B5199" i="5"/>
  <c r="B5200" i="5"/>
  <c r="B5201" i="5"/>
  <c r="B5202" i="5"/>
  <c r="B5203" i="5"/>
  <c r="B5204" i="5"/>
  <c r="B5205" i="5"/>
  <c r="B5206" i="5"/>
  <c r="B5207" i="5"/>
  <c r="B5208" i="5"/>
  <c r="B5209" i="5"/>
  <c r="B5210" i="5"/>
  <c r="B5211" i="5"/>
  <c r="B5212" i="5"/>
  <c r="B5213" i="5"/>
  <c r="B5214" i="5"/>
  <c r="B5215" i="5"/>
  <c r="B5216" i="5"/>
  <c r="B5217" i="5"/>
  <c r="B5218" i="5"/>
  <c r="B5219" i="5"/>
  <c r="B5220" i="5"/>
  <c r="B5221" i="5"/>
  <c r="B5222" i="5"/>
  <c r="B5223" i="5"/>
  <c r="B5224" i="5"/>
  <c r="B5225" i="5"/>
  <c r="B5226" i="5"/>
  <c r="B5227" i="5"/>
  <c r="B5228" i="5"/>
  <c r="B5229" i="5"/>
  <c r="B5230" i="5"/>
  <c r="B5231" i="5"/>
  <c r="B5232" i="5"/>
  <c r="B5233" i="5"/>
  <c r="B5234" i="5"/>
  <c r="B5235" i="5"/>
  <c r="B5236" i="5"/>
  <c r="B5237" i="5"/>
  <c r="B5238" i="5"/>
  <c r="B5239" i="5"/>
  <c r="B5240" i="5"/>
  <c r="B5241" i="5"/>
  <c r="B5242" i="5"/>
  <c r="B5243" i="5"/>
  <c r="B5244" i="5"/>
  <c r="B5245" i="5"/>
  <c r="B5246" i="5"/>
  <c r="B5247" i="5"/>
  <c r="B5248" i="5"/>
  <c r="B5249" i="5"/>
  <c r="B5250" i="5"/>
  <c r="B5251" i="5"/>
  <c r="B5252" i="5"/>
  <c r="B5253" i="5"/>
  <c r="B5254" i="5"/>
  <c r="B5255" i="5"/>
  <c r="B5256" i="5"/>
  <c r="B5257" i="5"/>
  <c r="B5258" i="5"/>
  <c r="B5259" i="5"/>
  <c r="B5260" i="5"/>
  <c r="B5261" i="5"/>
  <c r="B5262" i="5"/>
  <c r="B5263" i="5"/>
  <c r="B5264" i="5"/>
  <c r="B5265" i="5"/>
  <c r="B5266" i="5"/>
  <c r="B5267" i="5"/>
  <c r="B5268" i="5"/>
  <c r="B5269" i="5"/>
  <c r="B5270" i="5"/>
  <c r="B5271" i="5"/>
  <c r="B5272" i="5"/>
  <c r="B5273" i="5"/>
  <c r="B5274" i="5"/>
  <c r="B5275" i="5"/>
  <c r="B5276" i="5"/>
  <c r="B5277" i="5"/>
  <c r="B5278" i="5"/>
  <c r="B5279" i="5"/>
  <c r="B5280" i="5"/>
  <c r="B5281" i="5"/>
  <c r="B5282" i="5"/>
  <c r="B5283" i="5"/>
  <c r="B5284" i="5"/>
  <c r="B5285" i="5"/>
  <c r="B5286" i="5"/>
  <c r="B5287" i="5"/>
  <c r="B5288" i="5"/>
  <c r="B5289" i="5"/>
  <c r="B5290" i="5"/>
  <c r="B5291" i="5"/>
  <c r="B5292" i="5"/>
  <c r="B5293" i="5"/>
  <c r="B5294" i="5"/>
  <c r="B5295" i="5"/>
  <c r="B5296" i="5"/>
  <c r="B5297" i="5"/>
  <c r="B5298" i="5"/>
  <c r="B5299" i="5"/>
  <c r="B5300" i="5"/>
  <c r="B5301" i="5"/>
  <c r="B5302" i="5"/>
  <c r="B5303" i="5"/>
  <c r="B5304" i="5"/>
  <c r="B5305" i="5"/>
  <c r="B5306" i="5"/>
  <c r="B5307" i="5"/>
  <c r="B5308" i="5"/>
  <c r="B5309" i="5"/>
  <c r="B5310" i="5"/>
  <c r="B5311" i="5"/>
  <c r="B5312" i="5"/>
  <c r="B5313" i="5"/>
  <c r="B5314" i="5"/>
  <c r="B5315" i="5"/>
  <c r="B5316" i="5"/>
  <c r="B5317" i="5"/>
  <c r="B5318" i="5"/>
  <c r="B5319" i="5"/>
  <c r="B5320" i="5"/>
  <c r="B5321" i="5"/>
  <c r="B5322" i="5"/>
  <c r="B5323" i="5"/>
  <c r="B5324" i="5"/>
  <c r="B5325" i="5"/>
  <c r="B5326" i="5"/>
  <c r="B5327" i="5"/>
  <c r="B5328" i="5"/>
  <c r="B5329" i="5"/>
  <c r="B5330" i="5"/>
  <c r="B5331" i="5"/>
  <c r="B5332" i="5"/>
  <c r="B5333" i="5"/>
  <c r="B5334" i="5"/>
  <c r="B5335" i="5"/>
  <c r="B5336" i="5"/>
  <c r="B5337" i="5"/>
  <c r="B5338" i="5"/>
  <c r="B5339" i="5"/>
  <c r="B5340" i="5"/>
  <c r="B5341" i="5"/>
  <c r="B5342" i="5"/>
  <c r="B5343" i="5"/>
  <c r="B5344" i="5"/>
  <c r="B5345" i="5"/>
  <c r="B5346" i="5"/>
  <c r="B5347" i="5"/>
  <c r="B5348" i="5"/>
  <c r="B5349" i="5"/>
  <c r="B5350" i="5"/>
  <c r="B5351" i="5"/>
  <c r="B5352" i="5"/>
  <c r="B5353" i="5"/>
  <c r="B5354" i="5"/>
  <c r="B5355" i="5"/>
  <c r="B5356" i="5"/>
  <c r="B5357" i="5"/>
  <c r="B5358" i="5"/>
  <c r="B5359" i="5"/>
  <c r="B5360" i="5"/>
  <c r="B5361" i="5"/>
  <c r="B5362" i="5"/>
  <c r="B5363" i="5"/>
  <c r="B5364" i="5"/>
  <c r="B5365" i="5"/>
  <c r="B5366" i="5"/>
  <c r="B5367" i="5"/>
  <c r="B5368" i="5"/>
  <c r="B5369" i="5"/>
  <c r="B5370" i="5"/>
  <c r="B5371" i="5"/>
  <c r="B5372" i="5"/>
  <c r="B5373" i="5"/>
  <c r="B5374" i="5"/>
  <c r="B5375" i="5"/>
  <c r="B5376" i="5"/>
  <c r="B5377" i="5"/>
  <c r="B5378" i="5"/>
  <c r="B5379" i="5"/>
  <c r="B5380" i="5"/>
  <c r="B5381" i="5"/>
  <c r="B5382" i="5"/>
  <c r="B5383" i="5"/>
  <c r="B5384" i="5"/>
  <c r="B5385" i="5"/>
  <c r="B5386" i="5"/>
  <c r="B5387" i="5"/>
  <c r="B5388" i="5"/>
  <c r="B5389" i="5"/>
  <c r="B5390" i="5"/>
  <c r="B5391" i="5"/>
  <c r="B5392" i="5"/>
  <c r="B5393" i="5"/>
  <c r="B5394" i="5"/>
  <c r="B5395" i="5"/>
  <c r="B5396" i="5"/>
  <c r="B5397" i="5"/>
  <c r="B5398" i="5"/>
  <c r="B5399" i="5"/>
  <c r="B5400" i="5"/>
  <c r="B5401" i="5"/>
  <c r="B5402" i="5"/>
  <c r="B5403" i="5"/>
  <c r="B5404" i="5"/>
  <c r="B5405" i="5"/>
  <c r="B5406" i="5"/>
  <c r="B5407" i="5"/>
  <c r="B5408" i="5"/>
  <c r="B5409" i="5"/>
  <c r="B5410" i="5"/>
  <c r="B5411" i="5"/>
  <c r="B5412" i="5"/>
  <c r="B5413" i="5"/>
  <c r="B5414" i="5"/>
  <c r="B5415" i="5"/>
  <c r="B5416" i="5"/>
  <c r="B5417" i="5"/>
  <c r="B5418" i="5"/>
  <c r="B5419" i="5"/>
  <c r="B5420" i="5"/>
  <c r="B5421" i="5"/>
  <c r="B5422" i="5"/>
  <c r="B5423" i="5"/>
  <c r="B5424" i="5"/>
  <c r="B5425" i="5"/>
  <c r="B5426" i="5"/>
  <c r="B5427" i="5"/>
  <c r="B5428" i="5"/>
  <c r="B5429" i="5"/>
  <c r="B5430" i="5"/>
  <c r="B5431" i="5"/>
  <c r="B5432" i="5"/>
  <c r="B5433" i="5"/>
  <c r="B5434" i="5"/>
  <c r="B5435" i="5"/>
  <c r="B5436" i="5"/>
  <c r="B5437" i="5"/>
  <c r="B5438" i="5"/>
  <c r="B5439" i="5"/>
  <c r="B5440" i="5"/>
  <c r="B5441" i="5"/>
  <c r="B5442" i="5"/>
  <c r="B5443" i="5"/>
  <c r="B5444" i="5"/>
  <c r="B5445" i="5"/>
  <c r="B5446" i="5"/>
  <c r="B5447" i="5"/>
  <c r="B5448" i="5"/>
  <c r="B5449" i="5"/>
  <c r="B5450" i="5"/>
  <c r="B5451" i="5"/>
  <c r="B5452" i="5"/>
  <c r="B5453" i="5"/>
  <c r="B5454" i="5"/>
  <c r="B5455" i="5"/>
  <c r="B5456" i="5"/>
  <c r="B5457" i="5"/>
  <c r="B5458" i="5"/>
  <c r="B5459" i="5"/>
  <c r="B5460" i="5"/>
  <c r="B5461" i="5"/>
  <c r="B5462" i="5"/>
  <c r="B5463" i="5"/>
  <c r="B5464" i="5"/>
  <c r="B5465" i="5"/>
  <c r="B5466" i="5"/>
  <c r="B5467" i="5"/>
  <c r="B5468" i="5"/>
  <c r="B5469" i="5"/>
  <c r="B5470" i="5"/>
  <c r="B5471" i="5"/>
  <c r="B5472" i="5"/>
  <c r="B5473" i="5"/>
  <c r="B5474" i="5"/>
  <c r="B5475" i="5"/>
  <c r="B5476" i="5"/>
  <c r="B5477" i="5"/>
  <c r="B5478" i="5"/>
  <c r="B5479" i="5"/>
  <c r="B5480" i="5"/>
  <c r="B5481" i="5"/>
  <c r="B5482" i="5"/>
  <c r="B5483" i="5"/>
  <c r="B5484" i="5"/>
  <c r="B5485" i="5"/>
  <c r="B5486" i="5"/>
  <c r="B5487" i="5"/>
  <c r="B5488" i="5"/>
  <c r="B5489" i="5"/>
  <c r="B5490" i="5"/>
  <c r="B5491" i="5"/>
  <c r="B5492" i="5"/>
  <c r="B5493" i="5"/>
  <c r="B5494" i="5"/>
  <c r="B5495" i="5"/>
  <c r="B5496" i="5"/>
  <c r="B5497" i="5"/>
  <c r="B5498" i="5"/>
  <c r="B5499" i="5"/>
  <c r="B5500" i="5"/>
  <c r="B5501" i="5"/>
  <c r="B5502" i="5"/>
  <c r="B5503" i="5"/>
  <c r="B5504" i="5"/>
  <c r="B5505" i="5"/>
  <c r="B5506" i="5"/>
  <c r="B5507" i="5"/>
  <c r="B5508" i="5"/>
  <c r="B5509" i="5"/>
  <c r="B5510" i="5"/>
  <c r="B5511" i="5"/>
  <c r="B5512" i="5"/>
  <c r="B5513" i="5"/>
  <c r="B5514" i="5"/>
  <c r="B5515" i="5"/>
  <c r="B5516" i="5"/>
  <c r="B5517" i="5"/>
  <c r="B5518" i="5"/>
  <c r="B5519" i="5"/>
  <c r="B5520" i="5"/>
  <c r="B5521" i="5"/>
  <c r="B5522" i="5"/>
  <c r="B5523" i="5"/>
  <c r="B5524" i="5"/>
  <c r="B5525" i="5"/>
  <c r="B5526" i="5"/>
  <c r="B5527" i="5"/>
  <c r="B5528" i="5"/>
  <c r="B5529" i="5"/>
  <c r="B5530" i="5"/>
  <c r="B5531" i="5"/>
  <c r="B5532" i="5"/>
  <c r="B5533" i="5"/>
  <c r="B5534" i="5"/>
  <c r="B5535" i="5"/>
  <c r="B5536" i="5"/>
  <c r="B5537" i="5"/>
  <c r="B5538" i="5"/>
  <c r="B5539" i="5"/>
  <c r="B5540" i="5"/>
  <c r="B5541" i="5"/>
  <c r="B5542" i="5"/>
  <c r="B5543" i="5"/>
  <c r="B5544" i="5"/>
  <c r="B5545" i="5"/>
  <c r="B5546" i="5"/>
  <c r="B5547" i="5"/>
  <c r="B5548" i="5"/>
  <c r="B5549" i="5"/>
  <c r="B5550" i="5"/>
  <c r="B5551" i="5"/>
  <c r="B5552" i="5"/>
  <c r="B5553" i="5"/>
  <c r="B5554" i="5"/>
  <c r="B5555" i="5"/>
  <c r="B5556" i="5"/>
  <c r="B5557" i="5"/>
  <c r="B5558" i="5"/>
  <c r="B5559" i="5"/>
  <c r="B5560" i="5"/>
  <c r="B5561" i="5"/>
  <c r="B5562" i="5"/>
  <c r="B5563" i="5"/>
  <c r="B5564" i="5"/>
  <c r="B5565" i="5"/>
  <c r="B5566" i="5"/>
  <c r="B5567" i="5"/>
  <c r="B5568" i="5"/>
  <c r="B5569" i="5"/>
  <c r="B5570" i="5"/>
  <c r="B5571" i="5"/>
  <c r="B5572" i="5"/>
  <c r="B5573" i="5"/>
  <c r="B5574" i="5"/>
  <c r="B5575" i="5"/>
  <c r="B5576" i="5"/>
  <c r="B5577" i="5"/>
  <c r="B5578" i="5"/>
  <c r="B5579" i="5"/>
  <c r="B5580" i="5"/>
  <c r="B5581" i="5"/>
  <c r="B5582" i="5"/>
  <c r="B5583" i="5"/>
  <c r="B5584" i="5"/>
  <c r="B5585" i="5"/>
  <c r="B5586" i="5"/>
  <c r="B5587" i="5"/>
  <c r="B5588" i="5"/>
  <c r="B5589" i="5"/>
  <c r="B5590" i="5"/>
  <c r="B5591" i="5"/>
  <c r="B5592" i="5"/>
  <c r="B5593" i="5"/>
  <c r="B5594" i="5"/>
  <c r="B5595" i="5"/>
  <c r="B5596" i="5"/>
  <c r="B5597" i="5"/>
  <c r="B5598" i="5"/>
  <c r="B5599" i="5"/>
  <c r="B5600" i="5"/>
  <c r="B5601" i="5"/>
  <c r="B5602" i="5"/>
  <c r="B5603" i="5"/>
  <c r="B5604" i="5"/>
  <c r="B5605" i="5"/>
  <c r="B5606" i="5"/>
  <c r="B5607" i="5"/>
  <c r="B5608" i="5"/>
  <c r="B5609" i="5"/>
  <c r="B5610" i="5"/>
  <c r="B5611" i="5"/>
  <c r="B5612" i="5"/>
  <c r="B5613" i="5"/>
  <c r="B5614" i="5"/>
  <c r="B5615" i="5"/>
  <c r="B5616" i="5"/>
  <c r="B5617" i="5"/>
  <c r="B5618" i="5"/>
  <c r="B5619" i="5"/>
  <c r="B5620" i="5"/>
  <c r="B5621" i="5"/>
  <c r="B5622" i="5"/>
  <c r="B5623" i="5"/>
  <c r="B5624" i="5"/>
  <c r="B5625" i="5"/>
  <c r="B5626" i="5"/>
  <c r="B5627" i="5"/>
  <c r="B5628" i="5"/>
  <c r="B5629" i="5"/>
  <c r="B5630" i="5"/>
  <c r="B5631" i="5"/>
  <c r="B5632" i="5"/>
  <c r="B5633" i="5"/>
  <c r="B5634" i="5"/>
  <c r="B5635" i="5"/>
  <c r="B5636" i="5"/>
  <c r="B5637" i="5"/>
  <c r="B5638" i="5"/>
  <c r="B5639" i="5"/>
  <c r="B5640" i="5"/>
  <c r="B5641" i="5"/>
  <c r="B5642" i="5"/>
  <c r="B5643" i="5"/>
  <c r="B5644" i="5"/>
  <c r="B5645" i="5"/>
  <c r="B5646" i="5"/>
  <c r="B5647" i="5"/>
  <c r="B5648" i="5"/>
  <c r="B5649" i="5"/>
  <c r="B5650" i="5"/>
  <c r="B5651" i="5"/>
  <c r="B5652" i="5"/>
  <c r="B5653" i="5"/>
  <c r="B5654" i="5"/>
  <c r="B5655" i="5"/>
  <c r="B5656" i="5"/>
  <c r="B5657" i="5"/>
  <c r="B5658" i="5"/>
  <c r="B5659" i="5"/>
  <c r="B5660" i="5"/>
  <c r="B5661" i="5"/>
  <c r="B5662" i="5"/>
  <c r="B5663" i="5"/>
  <c r="B5664" i="5"/>
  <c r="B5665" i="5"/>
  <c r="B5666" i="5"/>
  <c r="B5667" i="5"/>
  <c r="B5668" i="5"/>
  <c r="B5669" i="5"/>
  <c r="B5670" i="5"/>
  <c r="B5671" i="5"/>
  <c r="B5672" i="5"/>
  <c r="B5673" i="5"/>
  <c r="B5674" i="5"/>
  <c r="B5675" i="5"/>
  <c r="B5676" i="5"/>
  <c r="B5677" i="5"/>
  <c r="B5678" i="5"/>
  <c r="B5679" i="5"/>
  <c r="B5680" i="5"/>
  <c r="B5681" i="5"/>
  <c r="B5682" i="5"/>
  <c r="B5683" i="5"/>
  <c r="B5684" i="5"/>
  <c r="B5685" i="5"/>
  <c r="B5686" i="5"/>
  <c r="B5687" i="5"/>
  <c r="B5688" i="5"/>
  <c r="B5689" i="5"/>
  <c r="B5690" i="5"/>
  <c r="B5691" i="5"/>
  <c r="B5692" i="5"/>
  <c r="B5693" i="5"/>
  <c r="B5694" i="5"/>
  <c r="B5695" i="5"/>
  <c r="B5696" i="5"/>
  <c r="B5697" i="5"/>
  <c r="B5698" i="5"/>
  <c r="B5699" i="5"/>
  <c r="B5700" i="5"/>
  <c r="B5701" i="5"/>
  <c r="B5702" i="5"/>
  <c r="B5703" i="5"/>
  <c r="B5704" i="5"/>
  <c r="B5705" i="5"/>
  <c r="B5706" i="5"/>
  <c r="B5707" i="5"/>
  <c r="B5708" i="5"/>
  <c r="B5709" i="5"/>
  <c r="B5710" i="5"/>
  <c r="B5711" i="5"/>
  <c r="B5712" i="5"/>
  <c r="B5713" i="5"/>
  <c r="B5714" i="5"/>
  <c r="B5715" i="5"/>
  <c r="B5716" i="5"/>
  <c r="B5717" i="5"/>
  <c r="B5718" i="5"/>
  <c r="B5719" i="5"/>
  <c r="B5720" i="5"/>
  <c r="B5721" i="5"/>
  <c r="B5722" i="5"/>
  <c r="B5723" i="5"/>
  <c r="B5724" i="5"/>
  <c r="B5725" i="5"/>
  <c r="B5726" i="5"/>
  <c r="B5727" i="5"/>
  <c r="B5728" i="5"/>
  <c r="B5729" i="5"/>
  <c r="B5730" i="5"/>
  <c r="B5731" i="5"/>
  <c r="B5732" i="5"/>
  <c r="B5733" i="5"/>
  <c r="B5734" i="5"/>
  <c r="B5735" i="5"/>
  <c r="B5736" i="5"/>
  <c r="B5737" i="5"/>
  <c r="B5738" i="5"/>
  <c r="B5739" i="5"/>
  <c r="B5740" i="5"/>
  <c r="B5741" i="5"/>
  <c r="B5742" i="5"/>
  <c r="B5743" i="5"/>
  <c r="B5744" i="5"/>
  <c r="B5745" i="5"/>
  <c r="B5746" i="5"/>
  <c r="B5747" i="5"/>
  <c r="B5748" i="5"/>
  <c r="B5749" i="5"/>
  <c r="B5750" i="5"/>
  <c r="B5751" i="5"/>
  <c r="B5752" i="5"/>
  <c r="B5753" i="5"/>
  <c r="B5754" i="5"/>
  <c r="B5755" i="5"/>
  <c r="B5756" i="5"/>
  <c r="B5757" i="5"/>
  <c r="B5758" i="5"/>
  <c r="B5759" i="5"/>
  <c r="B5760" i="5"/>
  <c r="B5761" i="5"/>
  <c r="B5762" i="5"/>
  <c r="B5763" i="5"/>
  <c r="B5764" i="5"/>
  <c r="B5765" i="5"/>
  <c r="B5766" i="5"/>
  <c r="B5767" i="5"/>
  <c r="B5768" i="5"/>
  <c r="B5769" i="5"/>
  <c r="B5770" i="5"/>
  <c r="B5771" i="5"/>
  <c r="B5772" i="5"/>
  <c r="B5773" i="5"/>
  <c r="B5774" i="5"/>
  <c r="B5775" i="5"/>
  <c r="B5776" i="5"/>
  <c r="B5777" i="5"/>
  <c r="B5778" i="5"/>
  <c r="B5779" i="5"/>
  <c r="B5780" i="5"/>
  <c r="B5781" i="5"/>
  <c r="B5782" i="5"/>
  <c r="B5783" i="5"/>
  <c r="B5784" i="5"/>
  <c r="B5785" i="5"/>
  <c r="B5786" i="5"/>
  <c r="B5787" i="5"/>
  <c r="B5788" i="5"/>
  <c r="B5789" i="5"/>
  <c r="B5790" i="5"/>
  <c r="B5791" i="5"/>
  <c r="B5792" i="5"/>
  <c r="B5793" i="5"/>
  <c r="B5794" i="5"/>
  <c r="B5795" i="5"/>
  <c r="B5796" i="5"/>
  <c r="B5797" i="5"/>
  <c r="B5798" i="5"/>
  <c r="B5799" i="5"/>
  <c r="B5800" i="5"/>
  <c r="B5801" i="5"/>
  <c r="B5802" i="5"/>
  <c r="B5803" i="5"/>
  <c r="B5804" i="5"/>
  <c r="B5805" i="5"/>
  <c r="B5806" i="5"/>
  <c r="B5807" i="5"/>
  <c r="B5808" i="5"/>
  <c r="B5809" i="5"/>
  <c r="B5810" i="5"/>
  <c r="B5811" i="5"/>
  <c r="B5812" i="5"/>
  <c r="B5813" i="5"/>
  <c r="B5814" i="5"/>
  <c r="B5815" i="5"/>
  <c r="B5816" i="5"/>
  <c r="B5817" i="5"/>
  <c r="B5818" i="5"/>
  <c r="B5819" i="5"/>
  <c r="B5820" i="5"/>
  <c r="B5821" i="5"/>
  <c r="B5822" i="5"/>
  <c r="B5823" i="5"/>
  <c r="B5824" i="5"/>
  <c r="B5825" i="5"/>
  <c r="B5826" i="5"/>
  <c r="B5827" i="5"/>
  <c r="B5828" i="5"/>
  <c r="B5829" i="5"/>
  <c r="B5830" i="5"/>
  <c r="B5831" i="5"/>
  <c r="B5832" i="5"/>
  <c r="B5833" i="5"/>
  <c r="B5834" i="5"/>
  <c r="B5835" i="5"/>
  <c r="B5836" i="5"/>
  <c r="B5837" i="5"/>
  <c r="B5838" i="5"/>
  <c r="B5839" i="5"/>
  <c r="B5840" i="5"/>
  <c r="B5841" i="5"/>
  <c r="E248" i="3" l="1"/>
  <c r="E453" i="3" l="1" a="1"/>
  <c r="E453" i="3" s="1"/>
  <c r="E176" i="3" l="1" a="1"/>
  <c r="E176" i="3" s="1"/>
  <c r="E399" i="3" l="1" a="1"/>
  <c r="E399" i="3" s="1"/>
  <c r="C508" i="3" l="1"/>
  <c r="C509" i="3" s="1"/>
  <c r="C510" i="3" s="1"/>
  <c r="C511" i="3" s="1"/>
  <c r="C518" i="3"/>
  <c r="C519" i="3" s="1"/>
  <c r="C520" i="3" s="1"/>
  <c r="C521" i="3" s="1"/>
  <c r="C522" i="3" s="1"/>
  <c r="C523" i="3" s="1"/>
  <c r="C524" i="3" s="1"/>
  <c r="C512" i="3" l="1"/>
  <c r="C513" i="3" l="1"/>
  <c r="E497" i="3" a="1"/>
  <c r="E497" i="3" s="1"/>
  <c r="E494" i="3" a="1"/>
  <c r="E494" i="3" s="1"/>
  <c r="E493" i="3" a="1"/>
  <c r="E493" i="3" s="1"/>
  <c r="E492" i="3"/>
  <c r="E491" i="3" a="1"/>
  <c r="E491" i="3" s="1"/>
  <c r="E489" i="3" a="1"/>
  <c r="E489" i="3" s="1"/>
  <c r="E488" i="3" a="1"/>
  <c r="E488" i="3" s="1"/>
  <c r="E487" i="3" a="1"/>
  <c r="E487" i="3" s="1"/>
  <c r="E486" i="3" a="1"/>
  <c r="E486" i="3" s="1"/>
  <c r="E485" i="3" a="1"/>
  <c r="E485" i="3" s="1"/>
  <c r="E484" i="3" a="1"/>
  <c r="E484" i="3" s="1"/>
  <c r="E483" i="3" a="1"/>
  <c r="E483" i="3" s="1"/>
  <c r="E482" i="3" a="1"/>
  <c r="E482" i="3" s="1"/>
  <c r="E481" i="3" a="1"/>
  <c r="E481" i="3" s="1"/>
  <c r="E465" i="3" a="1"/>
  <c r="E465" i="3" s="1"/>
  <c r="E464" i="3" a="1"/>
  <c r="E464" i="3" s="1"/>
  <c r="E463" i="3" a="1"/>
  <c r="E463" i="3" s="1"/>
  <c r="E462" i="3" a="1"/>
  <c r="E462" i="3" s="1"/>
  <c r="E461" i="3" a="1"/>
  <c r="E461" i="3" s="1"/>
  <c r="E460" i="3" a="1"/>
  <c r="E460" i="3" s="1"/>
  <c r="E459" i="3" a="1"/>
  <c r="E459" i="3" s="1"/>
  <c r="E458" i="3" a="1"/>
  <c r="E458" i="3" s="1"/>
  <c r="E457" i="3" a="1"/>
  <c r="E457" i="3" s="1"/>
  <c r="E456" i="3" a="1"/>
  <c r="E456" i="3" s="1"/>
  <c r="E455" i="3" a="1"/>
  <c r="E455" i="3" s="1"/>
  <c r="E454" i="3" a="1"/>
  <c r="E454" i="3" s="1"/>
  <c r="E452" i="3" a="1"/>
  <c r="E452" i="3" s="1"/>
  <c r="E451" i="3" a="1"/>
  <c r="E451" i="3" s="1"/>
  <c r="E450" i="3" a="1"/>
  <c r="E450" i="3" s="1"/>
  <c r="E449" i="3" a="1"/>
  <c r="E449" i="3" s="1"/>
  <c r="E448" i="3" a="1"/>
  <c r="E448" i="3" s="1"/>
  <c r="E447" i="3" a="1"/>
  <c r="E447" i="3" s="1"/>
  <c r="E446" i="3" a="1"/>
  <c r="E446" i="3" s="1"/>
  <c r="E445" i="3" a="1"/>
  <c r="E445" i="3" s="1"/>
  <c r="E444" i="3" a="1"/>
  <c r="E444" i="3" s="1"/>
  <c r="E443" i="3" a="1"/>
  <c r="E443" i="3" s="1"/>
  <c r="E442" i="3" a="1"/>
  <c r="E442" i="3" s="1"/>
  <c r="E441" i="3" a="1"/>
  <c r="E441" i="3" s="1"/>
  <c r="E440" i="3" a="1"/>
  <c r="E440" i="3" s="1"/>
  <c r="E439" i="3" a="1"/>
  <c r="E439" i="3" s="1"/>
  <c r="E438" i="3" a="1"/>
  <c r="E438" i="3" s="1"/>
  <c r="E437" i="3" a="1"/>
  <c r="E437" i="3" s="1"/>
  <c r="E436" i="3" a="1"/>
  <c r="E436" i="3" s="1"/>
  <c r="E435" i="3" a="1"/>
  <c r="E435" i="3" s="1"/>
  <c r="E434" i="3" a="1"/>
  <c r="E434" i="3" s="1"/>
  <c r="E433" i="3" a="1"/>
  <c r="E433" i="3" s="1"/>
  <c r="E432" i="3" a="1"/>
  <c r="E432" i="3" s="1"/>
  <c r="E431" i="3" a="1"/>
  <c r="E431" i="3" s="1"/>
  <c r="E430" i="3" a="1"/>
  <c r="E430" i="3" s="1"/>
  <c r="E429" i="3" a="1"/>
  <c r="E429" i="3" s="1"/>
  <c r="E428" i="3" a="1"/>
  <c r="E428" i="3" s="1"/>
  <c r="E427" i="3" a="1"/>
  <c r="E427" i="3" s="1"/>
  <c r="E426" i="3" a="1"/>
  <c r="E426" i="3" s="1"/>
  <c r="E425" i="3" a="1"/>
  <c r="E425" i="3" s="1"/>
  <c r="E424" i="3" a="1"/>
  <c r="E424" i="3" s="1"/>
  <c r="E423" i="3" a="1"/>
  <c r="E423" i="3" s="1"/>
  <c r="E422" i="3" a="1"/>
  <c r="E422" i="3" s="1"/>
  <c r="E421" i="3" a="1"/>
  <c r="E421" i="3" s="1"/>
  <c r="E420" i="3" a="1"/>
  <c r="E420" i="3" s="1"/>
  <c r="E419" i="3" a="1"/>
  <c r="E419" i="3" s="1"/>
  <c r="E418" i="3" a="1"/>
  <c r="E418" i="3" s="1"/>
  <c r="E417" i="3" a="1"/>
  <c r="E417" i="3" s="1"/>
  <c r="E416" i="3" a="1"/>
  <c r="E416" i="3" s="1"/>
  <c r="E415" i="3" a="1"/>
  <c r="E415" i="3" s="1"/>
  <c r="E414" i="3" a="1"/>
  <c r="E414" i="3" s="1"/>
  <c r="E413" i="3" a="1"/>
  <c r="E413" i="3" s="1"/>
  <c r="E412" i="3" a="1"/>
  <c r="E412" i="3" s="1"/>
  <c r="E411" i="3" a="1"/>
  <c r="E411" i="3" s="1"/>
  <c r="E410" i="3" a="1"/>
  <c r="E410" i="3" s="1"/>
  <c r="E409" i="3" a="1"/>
  <c r="E409" i="3" s="1"/>
  <c r="E408" i="3" a="1"/>
  <c r="E408" i="3" s="1"/>
  <c r="E407" i="3" a="1"/>
  <c r="E407" i="3" s="1"/>
  <c r="E406" i="3" a="1"/>
  <c r="E406" i="3" s="1"/>
  <c r="E405" i="3" a="1"/>
  <c r="E405" i="3" s="1"/>
  <c r="E404" i="3" a="1"/>
  <c r="E404" i="3" s="1"/>
  <c r="E403" i="3" a="1"/>
  <c r="E403" i="3" s="1"/>
  <c r="E402" i="3" a="1"/>
  <c r="E402" i="3" s="1"/>
  <c r="E401" i="3" a="1"/>
  <c r="E401" i="3" s="1"/>
  <c r="E400" i="3" a="1"/>
  <c r="E400" i="3" s="1"/>
  <c r="E398" i="3" a="1"/>
  <c r="E398" i="3" s="1"/>
  <c r="E397" i="3" a="1"/>
  <c r="E397" i="3" s="1"/>
  <c r="E396" i="3" a="1"/>
  <c r="E396" i="3" s="1"/>
  <c r="E395" i="3" a="1"/>
  <c r="E395" i="3" s="1"/>
  <c r="E394" i="3" a="1"/>
  <c r="E394" i="3" s="1"/>
  <c r="E393" i="3" a="1"/>
  <c r="E393" i="3" s="1"/>
  <c r="E392" i="3" a="1"/>
  <c r="E392" i="3" s="1"/>
  <c r="E391" i="3" a="1"/>
  <c r="E391" i="3" s="1"/>
  <c r="E390" i="3" a="1"/>
  <c r="E390" i="3" s="1"/>
  <c r="E389" i="3" a="1"/>
  <c r="E389" i="3" s="1"/>
  <c r="E388" i="3" a="1"/>
  <c r="E388" i="3" s="1"/>
  <c r="E387" i="3" a="1"/>
  <c r="E387" i="3" s="1"/>
  <c r="E386" i="3" a="1"/>
  <c r="E386" i="3" s="1"/>
  <c r="E385" i="3" a="1"/>
  <c r="E385" i="3" s="1"/>
  <c r="E384" i="3" a="1"/>
  <c r="E384" i="3" s="1"/>
  <c r="E383" i="3" a="1"/>
  <c r="E383" i="3" s="1"/>
  <c r="E382" i="3" a="1"/>
  <c r="E382" i="3" s="1"/>
  <c r="E381" i="3" a="1"/>
  <c r="E381" i="3" s="1"/>
  <c r="E380" i="3" a="1"/>
  <c r="E380" i="3" s="1"/>
  <c r="E379" i="3" a="1"/>
  <c r="E379" i="3" s="1"/>
  <c r="E378" i="3" a="1"/>
  <c r="E378" i="3" s="1"/>
  <c r="E377" i="3" a="1"/>
  <c r="E377" i="3" s="1"/>
  <c r="E376" i="3" a="1"/>
  <c r="E376" i="3" s="1"/>
  <c r="E375" i="3" a="1"/>
  <c r="E375" i="3" s="1"/>
  <c r="E374" i="3" a="1"/>
  <c r="E374" i="3" s="1"/>
  <c r="E373" i="3" a="1"/>
  <c r="E373" i="3" s="1"/>
  <c r="E372" i="3" a="1"/>
  <c r="E372" i="3" s="1"/>
  <c r="E371" i="3" a="1"/>
  <c r="E371" i="3" s="1"/>
  <c r="E370" i="3" a="1"/>
  <c r="E370" i="3" s="1"/>
  <c r="E369" i="3" a="1"/>
  <c r="E369" i="3" s="1"/>
  <c r="E368" i="3" a="1"/>
  <c r="E368" i="3" s="1"/>
  <c r="E367" i="3" a="1"/>
  <c r="E367" i="3" s="1"/>
  <c r="E366" i="3" a="1"/>
  <c r="E366" i="3" s="1"/>
  <c r="E365" i="3" a="1"/>
  <c r="E365" i="3" s="1"/>
  <c r="E364" i="3" a="1"/>
  <c r="E364" i="3" s="1"/>
  <c r="E363" i="3" a="1"/>
  <c r="E363" i="3" s="1"/>
  <c r="E362" i="3" a="1"/>
  <c r="E362" i="3" s="1"/>
  <c r="E361" i="3" a="1"/>
  <c r="E361" i="3" s="1"/>
  <c r="E360" i="3" a="1"/>
  <c r="E360" i="3" s="1"/>
  <c r="E359" i="3" a="1"/>
  <c r="E359" i="3" s="1"/>
  <c r="E358" i="3" a="1"/>
  <c r="E358" i="3" s="1"/>
  <c r="E357" i="3" a="1"/>
  <c r="E357" i="3" s="1"/>
  <c r="E356" i="3" a="1"/>
  <c r="E356" i="3" s="1"/>
  <c r="E355" i="3" a="1"/>
  <c r="E355" i="3" s="1"/>
  <c r="E354" i="3" a="1"/>
  <c r="E354" i="3" s="1"/>
  <c r="E353" i="3" a="1"/>
  <c r="E353" i="3" s="1"/>
  <c r="E352" i="3" a="1"/>
  <c r="E352" i="3" s="1"/>
  <c r="E351" i="3" a="1"/>
  <c r="E351" i="3" s="1"/>
  <c r="E350" i="3" a="1"/>
  <c r="E350" i="3" s="1"/>
  <c r="E349" i="3" a="1"/>
  <c r="E349" i="3" s="1"/>
  <c r="E348" i="3" a="1"/>
  <c r="E348" i="3" s="1"/>
  <c r="E347" i="3" a="1"/>
  <c r="E347" i="3" s="1"/>
  <c r="E346" i="3" a="1"/>
  <c r="E346" i="3" s="1"/>
  <c r="E345" i="3" a="1"/>
  <c r="E345" i="3" s="1"/>
  <c r="E344" i="3" a="1"/>
  <c r="E344" i="3" s="1"/>
  <c r="E343" i="3" a="1"/>
  <c r="E343" i="3" s="1"/>
  <c r="E342" i="3" a="1"/>
  <c r="E342" i="3" s="1"/>
  <c r="E341" i="3" a="1"/>
  <c r="E341" i="3" s="1"/>
  <c r="E340" i="3" a="1"/>
  <c r="E340" i="3" s="1"/>
  <c r="E339" i="3" a="1"/>
  <c r="E339" i="3" s="1"/>
  <c r="E338" i="3" a="1"/>
  <c r="E338" i="3" s="1"/>
  <c r="E337" i="3" a="1"/>
  <c r="E337" i="3" s="1"/>
  <c r="E336" i="3" a="1"/>
  <c r="E336" i="3" s="1"/>
  <c r="E335" i="3" a="1"/>
  <c r="E335" i="3" s="1"/>
  <c r="E334" i="3" a="1"/>
  <c r="E334" i="3" s="1"/>
  <c r="E333" i="3" a="1"/>
  <c r="E333" i="3" s="1"/>
  <c r="E332" i="3" a="1"/>
  <c r="E332" i="3" s="1"/>
  <c r="E331" i="3" a="1"/>
  <c r="E331" i="3" s="1"/>
  <c r="E330" i="3" a="1"/>
  <c r="E330" i="3" s="1"/>
  <c r="E329" i="3" a="1"/>
  <c r="E329" i="3" s="1"/>
  <c r="E328" i="3" a="1"/>
  <c r="E328" i="3" s="1"/>
  <c r="E327" i="3" a="1"/>
  <c r="E327" i="3" s="1"/>
  <c r="E326" i="3" a="1"/>
  <c r="E326" i="3" s="1"/>
  <c r="E325" i="3" a="1"/>
  <c r="E325" i="3" s="1"/>
  <c r="E324" i="3" a="1"/>
  <c r="E324" i="3" s="1"/>
  <c r="E323" i="3" a="1"/>
  <c r="E323" i="3" s="1"/>
  <c r="E322" i="3" a="1"/>
  <c r="E322" i="3" s="1"/>
  <c r="E321" i="3" a="1"/>
  <c r="E321" i="3" s="1"/>
  <c r="E320" i="3" a="1"/>
  <c r="E320" i="3" s="1"/>
  <c r="E319" i="3" a="1"/>
  <c r="E319" i="3" s="1"/>
  <c r="E318" i="3" a="1"/>
  <c r="E318" i="3" s="1"/>
  <c r="E317" i="3" a="1"/>
  <c r="E317" i="3" s="1"/>
  <c r="E316" i="3" a="1"/>
  <c r="E316" i="3" s="1"/>
  <c r="E315" i="3" a="1"/>
  <c r="E315" i="3" s="1"/>
  <c r="E314" i="3" a="1"/>
  <c r="E314" i="3" s="1"/>
  <c r="E313" i="3" a="1"/>
  <c r="E313" i="3" s="1"/>
  <c r="E312" i="3" a="1"/>
  <c r="E312" i="3" s="1"/>
  <c r="E311" i="3" a="1"/>
  <c r="E311" i="3" s="1"/>
  <c r="E310" i="3" a="1"/>
  <c r="E310" i="3" s="1"/>
  <c r="E309" i="3" a="1"/>
  <c r="E309" i="3" s="1"/>
  <c r="E308" i="3" a="1"/>
  <c r="E308" i="3" s="1"/>
  <c r="E307" i="3" a="1"/>
  <c r="E307" i="3" s="1"/>
  <c r="E306" i="3" a="1"/>
  <c r="E306" i="3" s="1"/>
  <c r="E305" i="3" a="1"/>
  <c r="E305" i="3" s="1"/>
  <c r="E304" i="3" a="1"/>
  <c r="E304" i="3" s="1"/>
  <c r="E303" i="3" a="1"/>
  <c r="E303" i="3" s="1"/>
  <c r="E302" i="3" a="1"/>
  <c r="E302" i="3" s="1"/>
  <c r="E301" i="3" a="1"/>
  <c r="E301" i="3" s="1"/>
  <c r="E300" i="3" a="1"/>
  <c r="E300" i="3" s="1"/>
  <c r="E299" i="3" a="1"/>
  <c r="E299" i="3" s="1"/>
  <c r="E298" i="3" a="1"/>
  <c r="E298" i="3" s="1"/>
  <c r="E297" i="3" a="1"/>
  <c r="E297" i="3" s="1"/>
  <c r="E296" i="3" a="1"/>
  <c r="E296" i="3" s="1"/>
  <c r="E295" i="3" a="1"/>
  <c r="E295" i="3" s="1"/>
  <c r="E294" i="3" a="1"/>
  <c r="E294" i="3" s="1"/>
  <c r="E293" i="3" a="1"/>
  <c r="E293" i="3" s="1"/>
  <c r="E292" i="3" a="1"/>
  <c r="E292" i="3" s="1"/>
  <c r="E291" i="3" a="1"/>
  <c r="E291" i="3" s="1"/>
  <c r="E290" i="3" a="1"/>
  <c r="E290" i="3" s="1"/>
  <c r="E289" i="3" a="1"/>
  <c r="E289" i="3" s="1"/>
  <c r="E288" i="3" a="1"/>
  <c r="E288" i="3" s="1"/>
  <c r="E287" i="3" a="1"/>
  <c r="E287" i="3" s="1"/>
  <c r="E286" i="3" a="1"/>
  <c r="E286" i="3" s="1"/>
  <c r="E285" i="3" a="1"/>
  <c r="E285" i="3" s="1"/>
  <c r="E284" i="3" a="1"/>
  <c r="E284" i="3" s="1"/>
  <c r="E283" i="3" a="1"/>
  <c r="E283" i="3" s="1"/>
  <c r="E282" i="3" a="1"/>
  <c r="E282" i="3" s="1"/>
  <c r="E281" i="3" a="1"/>
  <c r="E281" i="3" s="1"/>
  <c r="E280" i="3" a="1"/>
  <c r="E280" i="3" s="1"/>
  <c r="E279" i="3" a="1"/>
  <c r="E279" i="3" s="1"/>
  <c r="E278" i="3" a="1"/>
  <c r="E278" i="3" s="1"/>
  <c r="E277" i="3" a="1"/>
  <c r="E277" i="3" s="1"/>
  <c r="E276" i="3" a="1"/>
  <c r="E276" i="3" s="1"/>
  <c r="E275" i="3" a="1"/>
  <c r="E275" i="3" s="1"/>
  <c r="E274" i="3" a="1"/>
  <c r="E274" i="3" s="1"/>
  <c r="E273" i="3" a="1"/>
  <c r="E273" i="3" s="1"/>
  <c r="E272" i="3" a="1"/>
  <c r="E272" i="3" s="1"/>
  <c r="E271" i="3" a="1"/>
  <c r="E271" i="3" s="1"/>
  <c r="E270" i="3" a="1"/>
  <c r="E270" i="3" s="1"/>
  <c r="E269" i="3" a="1"/>
  <c r="E269" i="3" s="1"/>
  <c r="E268" i="3" a="1"/>
  <c r="E268" i="3" s="1"/>
  <c r="E267" i="3" a="1"/>
  <c r="E267" i="3" s="1"/>
  <c r="E266" i="3" a="1"/>
  <c r="E266" i="3" s="1"/>
  <c r="E265" i="3" a="1"/>
  <c r="E265" i="3" s="1"/>
  <c r="E264" i="3" a="1"/>
  <c r="E264" i="3" s="1"/>
  <c r="E263" i="3" a="1"/>
  <c r="E263" i="3" s="1"/>
  <c r="E262" i="3" a="1"/>
  <c r="E262" i="3" s="1"/>
  <c r="E261" i="3" a="1"/>
  <c r="E261" i="3" s="1"/>
  <c r="E260" i="3" a="1"/>
  <c r="E260" i="3" s="1"/>
  <c r="E259" i="3" a="1"/>
  <c r="E259" i="3" s="1"/>
  <c r="E258" i="3" a="1"/>
  <c r="E258" i="3" s="1"/>
  <c r="E257" i="3" a="1"/>
  <c r="E257" i="3" s="1"/>
  <c r="E256" i="3" a="1"/>
  <c r="E256" i="3" s="1"/>
  <c r="E255" i="3" a="1"/>
  <c r="E255" i="3" s="1"/>
  <c r="E254" i="3" a="1"/>
  <c r="E254" i="3" s="1"/>
  <c r="E253" i="3" a="1"/>
  <c r="E253" i="3" s="1"/>
  <c r="E252" i="3" a="1"/>
  <c r="E252" i="3" s="1"/>
  <c r="E251" i="3" a="1"/>
  <c r="E251" i="3" s="1"/>
  <c r="E250" i="3" a="1"/>
  <c r="E250" i="3" s="1"/>
  <c r="E249" i="3" a="1"/>
  <c r="E249" i="3" s="1"/>
  <c r="E247" i="3" a="1"/>
  <c r="E247" i="3" s="1"/>
  <c r="E246" i="3" a="1"/>
  <c r="E246" i="3" s="1"/>
  <c r="E245" i="3" a="1"/>
  <c r="E245" i="3" s="1"/>
  <c r="E244" i="3" a="1"/>
  <c r="E244" i="3" s="1"/>
  <c r="E243" i="3" a="1"/>
  <c r="E243" i="3" s="1"/>
  <c r="E242" i="3" a="1"/>
  <c r="E242" i="3" s="1"/>
  <c r="E241" i="3" a="1"/>
  <c r="E241" i="3" s="1"/>
  <c r="E240" i="3" a="1"/>
  <c r="E240" i="3" s="1"/>
  <c r="E239" i="3" a="1"/>
  <c r="E239" i="3" s="1"/>
  <c r="E238" i="3" a="1"/>
  <c r="E238" i="3" s="1"/>
  <c r="E237" i="3" a="1"/>
  <c r="E237" i="3" s="1"/>
  <c r="E236" i="3" a="1"/>
  <c r="E236" i="3" s="1"/>
  <c r="E235" i="3" a="1"/>
  <c r="E235" i="3" s="1"/>
  <c r="E234" i="3" a="1"/>
  <c r="E234" i="3" s="1"/>
  <c r="E233" i="3" a="1"/>
  <c r="E233" i="3" s="1"/>
  <c r="E232" i="3" a="1"/>
  <c r="E232" i="3" s="1"/>
  <c r="E231" i="3" a="1"/>
  <c r="E231" i="3" s="1"/>
  <c r="E230" i="3" a="1"/>
  <c r="E230" i="3" s="1"/>
  <c r="E229" i="3" a="1"/>
  <c r="E229" i="3" s="1"/>
  <c r="E228" i="3" a="1"/>
  <c r="E228" i="3" s="1"/>
  <c r="E227" i="3" a="1"/>
  <c r="E227" i="3" s="1"/>
  <c r="E226" i="3" a="1"/>
  <c r="E226" i="3" s="1"/>
  <c r="E225" i="3" a="1"/>
  <c r="E225" i="3" s="1"/>
  <c r="E224" i="3" a="1"/>
  <c r="E224" i="3" s="1"/>
  <c r="E223" i="3" a="1"/>
  <c r="E223" i="3" s="1"/>
  <c r="E222" i="3" a="1"/>
  <c r="E222" i="3" s="1"/>
  <c r="E221" i="3" a="1"/>
  <c r="E221" i="3" s="1"/>
  <c r="E220" i="3" a="1"/>
  <c r="E220" i="3" s="1"/>
  <c r="E219" i="3" a="1"/>
  <c r="E219" i="3" s="1"/>
  <c r="E218" i="3" a="1"/>
  <c r="E218" i="3" s="1"/>
  <c r="E217" i="3" a="1"/>
  <c r="E217" i="3" s="1"/>
  <c r="E216" i="3" a="1"/>
  <c r="E216" i="3" s="1"/>
  <c r="E215" i="3" a="1"/>
  <c r="E215" i="3" s="1"/>
  <c r="E214" i="3" a="1"/>
  <c r="E214" i="3" s="1"/>
  <c r="E213" i="3" a="1"/>
  <c r="E213" i="3" s="1"/>
  <c r="E212" i="3" a="1"/>
  <c r="E212" i="3" s="1"/>
  <c r="E211" i="3" a="1"/>
  <c r="E211" i="3" s="1"/>
  <c r="E210" i="3" a="1"/>
  <c r="E210" i="3" s="1"/>
  <c r="E209" i="3" a="1"/>
  <c r="E209" i="3" s="1"/>
  <c r="E208" i="3" a="1"/>
  <c r="E208" i="3" s="1"/>
  <c r="E207" i="3" a="1"/>
  <c r="E207" i="3" s="1"/>
  <c r="E206" i="3" a="1"/>
  <c r="E206" i="3" s="1"/>
  <c r="E204" i="3" a="1"/>
  <c r="E204" i="3" s="1"/>
  <c r="E203" i="3" a="1"/>
  <c r="E203" i="3" s="1"/>
  <c r="E202" i="3" a="1"/>
  <c r="E202" i="3" s="1"/>
  <c r="E201" i="3" a="1"/>
  <c r="E201" i="3" s="1"/>
  <c r="E200" i="3" a="1"/>
  <c r="E200" i="3" s="1"/>
  <c r="E199" i="3" a="1"/>
  <c r="E199" i="3" s="1"/>
  <c r="E198" i="3" a="1"/>
  <c r="E198" i="3" s="1"/>
  <c r="E197" i="3" a="1"/>
  <c r="E197" i="3" s="1"/>
  <c r="E196" i="3" a="1"/>
  <c r="E196" i="3" s="1"/>
  <c r="E195" i="3" a="1"/>
  <c r="E195" i="3" s="1"/>
  <c r="E194" i="3" a="1"/>
  <c r="E194" i="3" s="1"/>
  <c r="E193" i="3" a="1"/>
  <c r="E193" i="3" s="1"/>
  <c r="E192" i="3" a="1"/>
  <c r="E192" i="3" s="1"/>
  <c r="E191" i="3" a="1"/>
  <c r="E191" i="3" s="1"/>
  <c r="E190" i="3" a="1"/>
  <c r="E190" i="3" s="1"/>
  <c r="E189" i="3" a="1"/>
  <c r="E189" i="3" s="1"/>
  <c r="E188" i="3" a="1"/>
  <c r="E188" i="3" s="1"/>
  <c r="E187" i="3" a="1"/>
  <c r="E187" i="3" s="1"/>
  <c r="E186" i="3" a="1"/>
  <c r="E186" i="3" s="1"/>
  <c r="E185" i="3" a="1"/>
  <c r="E185" i="3" s="1"/>
  <c r="E184" i="3" a="1"/>
  <c r="E184" i="3" s="1"/>
  <c r="E183" i="3" a="1"/>
  <c r="E183" i="3" s="1"/>
  <c r="E182" i="3" a="1"/>
  <c r="E182" i="3" s="1"/>
  <c r="E181" i="3" a="1"/>
  <c r="E181" i="3" s="1"/>
  <c r="E180" i="3" a="1"/>
  <c r="E180" i="3" s="1"/>
  <c r="E179" i="3" a="1"/>
  <c r="E179" i="3" s="1"/>
  <c r="E178" i="3" a="1"/>
  <c r="E178" i="3" s="1"/>
  <c r="E177" i="3" a="1"/>
  <c r="E177" i="3" s="1"/>
  <c r="E174" i="3" a="1"/>
  <c r="E174" i="3" s="1"/>
  <c r="E173" i="3" a="1"/>
  <c r="E173" i="3" s="1"/>
  <c r="E172" i="3" a="1"/>
  <c r="E172" i="3" s="1"/>
  <c r="E171" i="3" a="1"/>
  <c r="E171" i="3" s="1"/>
  <c r="E170" i="3" a="1"/>
  <c r="E170" i="3" s="1"/>
  <c r="E169" i="3" a="1"/>
  <c r="E169" i="3" s="1"/>
  <c r="E168" i="3" a="1"/>
  <c r="E168" i="3" s="1"/>
  <c r="E167" i="3" a="1"/>
  <c r="E167" i="3" s="1"/>
  <c r="E166" i="3" a="1"/>
  <c r="E166" i="3" s="1"/>
  <c r="E165" i="3" a="1"/>
  <c r="E165" i="3" s="1"/>
  <c r="E164" i="3" a="1"/>
  <c r="E164" i="3" s="1"/>
  <c r="E163" i="3" a="1"/>
  <c r="E163" i="3" s="1"/>
  <c r="E162" i="3" a="1"/>
  <c r="E162" i="3" s="1"/>
  <c r="E161" i="3" a="1"/>
  <c r="E161" i="3" s="1"/>
  <c r="E160" i="3" a="1"/>
  <c r="E160" i="3" s="1"/>
  <c r="E159" i="3" a="1"/>
  <c r="E159" i="3" s="1"/>
  <c r="E158" i="3" a="1"/>
  <c r="E158" i="3" s="1"/>
  <c r="E157" i="3" a="1"/>
  <c r="E157" i="3" s="1"/>
  <c r="E156" i="3" a="1"/>
  <c r="E156" i="3" s="1"/>
  <c r="E155" i="3" a="1"/>
  <c r="E155" i="3" s="1"/>
  <c r="E154" i="3" a="1"/>
  <c r="E154" i="3" s="1"/>
  <c r="E153" i="3" a="1"/>
  <c r="E153" i="3" s="1"/>
  <c r="E152" i="3" a="1"/>
  <c r="E152" i="3" s="1"/>
  <c r="E151" i="3" a="1"/>
  <c r="E151" i="3" s="1"/>
  <c r="E150" i="3" a="1"/>
  <c r="E150" i="3" s="1"/>
  <c r="E149" i="3" a="1"/>
  <c r="E149" i="3" s="1"/>
  <c r="E148" i="3" a="1"/>
  <c r="E148" i="3" s="1"/>
  <c r="E147" i="3" a="1"/>
  <c r="E147" i="3" s="1"/>
  <c r="E146" i="3" a="1"/>
  <c r="E146" i="3" s="1"/>
  <c r="E145" i="3" a="1"/>
  <c r="E145" i="3" s="1"/>
  <c r="E144" i="3" a="1"/>
  <c r="E144" i="3" s="1"/>
  <c r="E143" i="3" a="1"/>
  <c r="E143" i="3" s="1"/>
  <c r="E142" i="3" a="1"/>
  <c r="E142" i="3" s="1"/>
  <c r="E141" i="3" a="1"/>
  <c r="E141" i="3" s="1"/>
  <c r="E140" i="3" a="1"/>
  <c r="E140" i="3" s="1"/>
  <c r="E139" i="3" a="1"/>
  <c r="E139" i="3" s="1"/>
  <c r="E138" i="3" a="1"/>
  <c r="E138" i="3" s="1"/>
  <c r="E137" i="3" a="1"/>
  <c r="E137" i="3" s="1"/>
  <c r="E136" i="3" a="1"/>
  <c r="E136" i="3" s="1"/>
  <c r="E135" i="3" a="1"/>
  <c r="E135" i="3" s="1"/>
  <c r="E134" i="3" a="1"/>
  <c r="E134" i="3" s="1"/>
  <c r="E133" i="3" a="1"/>
  <c r="E133" i="3" s="1"/>
  <c r="E132" i="3" a="1"/>
  <c r="E132" i="3" s="1"/>
  <c r="E131" i="3" a="1"/>
  <c r="E131" i="3" s="1"/>
  <c r="E130" i="3" a="1"/>
  <c r="E130" i="3" s="1"/>
  <c r="E129" i="3" a="1"/>
  <c r="E129" i="3" s="1"/>
  <c r="E128" i="3" a="1"/>
  <c r="E128" i="3" s="1"/>
  <c r="E127" i="3"/>
  <c r="E126" i="3" a="1"/>
  <c r="E126" i="3" s="1"/>
  <c r="E125" i="3"/>
  <c r="E124" i="3"/>
  <c r="E123" i="3"/>
  <c r="E122" i="3"/>
  <c r="E121" i="3"/>
  <c r="E120" i="3" a="1"/>
  <c r="E120" i="3" s="1"/>
  <c r="E119" i="3"/>
  <c r="E118" i="3"/>
  <c r="E117" i="3"/>
  <c r="E116" i="3" a="1"/>
  <c r="E116" i="3" s="1"/>
  <c r="E115" i="3"/>
  <c r="E114" i="3" a="1"/>
  <c r="E114" i="3" s="1"/>
  <c r="E113" i="3" a="1"/>
  <c r="E113" i="3" s="1"/>
  <c r="E112" i="3"/>
  <c r="E111" i="3" a="1"/>
  <c r="E111" i="3" s="1"/>
  <c r="E110" i="3"/>
  <c r="E109" i="3" a="1"/>
  <c r="E109" i="3" s="1"/>
  <c r="E108" i="3"/>
  <c r="E107" i="3"/>
  <c r="E106" i="3"/>
  <c r="E105" i="3"/>
  <c r="E104" i="3"/>
  <c r="E103" i="3"/>
  <c r="E102" i="3"/>
  <c r="E101" i="3"/>
  <c r="E100" i="3"/>
  <c r="E99" i="3"/>
  <c r="E98" i="3"/>
  <c r="E97" i="3" a="1"/>
  <c r="E97" i="3" s="1"/>
  <c r="E96" i="3" a="1"/>
  <c r="E96" i="3" s="1"/>
  <c r="E95" i="3"/>
  <c r="E94" i="3"/>
  <c r="E93" i="3" a="1"/>
  <c r="E93" i="3" s="1"/>
  <c r="E92" i="3" a="1"/>
  <c r="E92" i="3" s="1"/>
  <c r="E91" i="3"/>
  <c r="E90" i="3" a="1"/>
  <c r="E90" i="3" s="1"/>
  <c r="E89" i="3" a="1"/>
  <c r="E89" i="3" s="1"/>
  <c r="E88" i="3"/>
  <c r="E87" i="3" a="1"/>
  <c r="E87" i="3" s="1"/>
  <c r="E86" i="3"/>
  <c r="E85" i="3" a="1"/>
  <c r="E85" i="3" s="1"/>
  <c r="E84" i="3" a="1"/>
  <c r="E84" i="3" s="1"/>
  <c r="E83" i="3" a="1"/>
  <c r="E83" i="3" s="1"/>
  <c r="E82" i="3"/>
  <c r="E81" i="3" a="1"/>
  <c r="E81" i="3" s="1"/>
  <c r="E80" i="3"/>
  <c r="E79" i="3"/>
  <c r="E78" i="3"/>
  <c r="E77" i="3"/>
  <c r="E76" i="3"/>
  <c r="E75" i="3"/>
  <c r="E74" i="3"/>
  <c r="E73" i="3"/>
  <c r="E72" i="3"/>
  <c r="E71" i="3" a="1"/>
  <c r="E71" i="3" s="1"/>
  <c r="E70" i="3" a="1"/>
  <c r="E70" i="3" s="1"/>
  <c r="E69" i="3" a="1"/>
  <c r="E69" i="3" s="1"/>
  <c r="E68" i="3"/>
  <c r="E67" i="3"/>
  <c r="E66" i="3" a="1"/>
  <c r="E66" i="3" s="1"/>
  <c r="E65" i="3"/>
  <c r="E64" i="3" a="1"/>
  <c r="E64" i="3" s="1"/>
  <c r="E63" i="3"/>
  <c r="E62" i="3"/>
  <c r="E61" i="3" a="1"/>
  <c r="E61" i="3" s="1"/>
  <c r="E60" i="3"/>
  <c r="E59" i="3"/>
  <c r="E58" i="3"/>
  <c r="E57" i="3"/>
  <c r="E56" i="3"/>
  <c r="E55" i="3"/>
  <c r="E54" i="3"/>
  <c r="E53" i="3"/>
  <c r="E52" i="3" a="1"/>
  <c r="E52" i="3" s="1"/>
  <c r="E51" i="3" a="1"/>
  <c r="E51" i="3" s="1"/>
  <c r="E50" i="3" a="1"/>
  <c r="E50" i="3" s="1"/>
  <c r="E49" i="3" a="1"/>
  <c r="E49" i="3" s="1"/>
  <c r="E48" i="3" a="1"/>
  <c r="E48" i="3" s="1"/>
  <c r="E47" i="3"/>
  <c r="E46" i="3"/>
  <c r="E45" i="3" a="1"/>
  <c r="E45" i="3" s="1"/>
  <c r="E44" i="3"/>
  <c r="E43" i="3"/>
  <c r="E42" i="3"/>
  <c r="E41" i="3"/>
  <c r="E40" i="3"/>
  <c r="E39" i="3"/>
  <c r="E38" i="3"/>
  <c r="E37" i="3" a="1"/>
  <c r="E37" i="3" s="1"/>
  <c r="E36" i="3"/>
  <c r="E35" i="3"/>
  <c r="E34" i="3"/>
  <c r="E33" i="3"/>
  <c r="E32" i="3"/>
  <c r="E31" i="3"/>
  <c r="E30" i="3" a="1"/>
  <c r="E30" i="3" s="1"/>
  <c r="E29" i="3"/>
  <c r="E28" i="3"/>
  <c r="E27" i="3"/>
  <c r="E26" i="3"/>
  <c r="E25" i="3"/>
  <c r="E24" i="3" a="1"/>
  <c r="E24" i="3" s="1"/>
  <c r="E23" i="3"/>
  <c r="E22" i="3"/>
  <c r="E21" i="3" a="1"/>
  <c r="E21" i="3" s="1"/>
  <c r="E20" i="3"/>
  <c r="E19" i="3"/>
  <c r="E18" i="3"/>
  <c r="E17" i="3"/>
  <c r="E15" i="3"/>
  <c r="E14" i="3"/>
  <c r="E13" i="3"/>
  <c r="E12" i="3"/>
  <c r="E11" i="3"/>
  <c r="E10" i="3"/>
  <c r="E9" i="3"/>
  <c r="E8" i="3"/>
  <c r="E7" i="3"/>
  <c r="E6" i="3"/>
  <c r="E5" i="3"/>
  <c r="E4" i="3"/>
  <c r="E3" i="3"/>
  <c r="E2" i="3"/>
  <c r="C514" i="3" l="1"/>
  <c r="E495" i="3" l="1" a="1"/>
  <c r="E495" i="3" s="1"/>
  <c r="E516" i="3" a="1"/>
  <c r="E516" i="3" s="1"/>
  <c r="E504" i="3" a="1"/>
  <c r="E504" i="3" s="1"/>
  <c r="E501" i="3" l="1"/>
  <c r="E528" i="3" l="1" a="1"/>
  <c r="E528" i="3" s="1"/>
  <c r="E549" i="3"/>
  <c r="E205" i="3" a="1"/>
  <c r="E205" i="3" s="1"/>
  <c r="E522" i="3" a="1"/>
  <c r="E522" i="3" s="1"/>
  <c r="E544" i="3"/>
  <c r="E175" i="3" a="1"/>
  <c r="E175" i="3" s="1"/>
  <c r="E16" i="3" a="1"/>
  <c r="E16" i="3" s="1"/>
  <c r="E554" i="3"/>
  <c r="E550" i="3"/>
  <c r="E556" i="3"/>
  <c r="E507" i="3" a="1"/>
  <c r="E507" i="3" s="1"/>
  <c r="E505" i="3" a="1"/>
  <c r="E505" i="3" s="1"/>
  <c r="E546" i="3"/>
  <c r="E519" i="3" a="1"/>
  <c r="E519" i="3" s="1"/>
  <c r="E512" i="3" a="1"/>
  <c r="E512" i="3" s="1"/>
  <c r="E520" i="3" a="1"/>
  <c r="E520" i="3" s="1"/>
  <c r="E480" i="3"/>
  <c r="E477" i="3"/>
  <c r="E490" i="3" a="1"/>
  <c r="E490" i="3" s="1"/>
  <c r="E527" i="3" a="1"/>
  <c r="E527" i="3" s="1"/>
  <c r="E500" i="3"/>
  <c r="E557" i="3"/>
  <c r="E545" i="3"/>
  <c r="E521" i="3" a="1"/>
  <c r="E521" i="3" s="1"/>
  <c r="E511" i="3" a="1"/>
  <c r="E511" i="3" s="1"/>
  <c r="E526" i="3" a="1"/>
  <c r="E526" i="3" s="1"/>
  <c r="E547" i="3"/>
  <c r="E475" i="3"/>
  <c r="E469" i="3"/>
  <c r="E478" i="3"/>
  <c r="E472" i="3"/>
  <c r="E471" i="3"/>
  <c r="E473" i="3"/>
  <c r="E466" i="3" a="1"/>
  <c r="E466" i="3" s="1"/>
  <c r="E515" i="3" a="1"/>
  <c r="E515" i="3" s="1"/>
  <c r="E555" i="3"/>
  <c r="E523" i="3" a="1"/>
  <c r="E523" i="3" s="1"/>
  <c r="E553" i="3"/>
  <c r="E524" i="3"/>
  <c r="E503" i="3" a="1"/>
  <c r="E503" i="3" s="1"/>
  <c r="E508" i="3" a="1"/>
  <c r="E508" i="3" s="1"/>
  <c r="E506" i="3"/>
  <c r="E552" i="3"/>
  <c r="E517" i="3" a="1"/>
  <c r="E517" i="3" s="1"/>
  <c r="E510" i="3" a="1"/>
  <c r="E510" i="3" s="1"/>
  <c r="E513" i="3" a="1"/>
  <c r="E513" i="3" s="1"/>
  <c r="E525" i="3"/>
  <c r="E548" i="3"/>
  <c r="E542" i="3"/>
  <c r="E502" i="3" a="1"/>
  <c r="E502" i="3" s="1"/>
  <c r="E518" i="3" a="1"/>
  <c r="E518" i="3" s="1"/>
  <c r="E479" i="3"/>
  <c r="E474" i="3"/>
  <c r="E470" i="3"/>
  <c r="E476" i="3"/>
  <c r="E499" i="3" a="1"/>
  <c r="E499" i="3" s="1"/>
  <c r="E468" i="3"/>
  <c r="E498" i="3" a="1"/>
  <c r="E498" i="3" s="1"/>
  <c r="E551" i="3"/>
  <c r="E467" i="3"/>
  <c r="E496" i="3" a="1"/>
  <c r="E496" i="3" s="1"/>
  <c r="E509" i="3" a="1"/>
  <c r="E509" i="3" s="1"/>
  <c r="E543" i="3"/>
  <c r="E514" i="3"/>
  <c r="E531" i="3" l="1" a="1"/>
  <c r="E531" i="3" s="1"/>
  <c r="E540" i="3" a="1"/>
  <c r="E540" i="3" s="1"/>
  <c r="E541" i="3" a="1"/>
  <c r="E541" i="3" s="1"/>
  <c r="E537" i="3" a="1"/>
  <c r="E537" i="3" s="1"/>
  <c r="E538" i="3" a="1"/>
  <c r="E538" i="3" s="1"/>
  <c r="E536" i="3" a="1"/>
  <c r="E536" i="3" s="1"/>
  <c r="E539" i="3" a="1"/>
  <c r="E539" i="3" s="1"/>
  <c r="E534" i="3" a="1"/>
  <c r="E534" i="3" s="1"/>
  <c r="E532" i="3" a="1"/>
  <c r="E532" i="3" s="1"/>
  <c r="E530" i="3" a="1"/>
  <c r="E530" i="3" s="1"/>
  <c r="E533" i="3" a="1"/>
  <c r="E533" i="3" s="1"/>
  <c r="E529" i="3" a="1"/>
  <c r="E529" i="3" s="1"/>
  <c r="E535" i="3" a="1"/>
  <c r="E535" i="3"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<sst xmlns="http://schemas.openxmlformats.org/spreadsheetml/2006/main" count="114511" uniqueCount="23737">
  <si>
    <t>Country</t>
  </si>
  <si>
    <t>Region</t>
  </si>
  <si>
    <t>Sub-region</t>
  </si>
  <si>
    <t>Producer</t>
  </si>
  <si>
    <t>ENGLAND</t>
  </si>
  <si>
    <t>Charles Palmer</t>
  </si>
  <si>
    <t>FRANCE</t>
  </si>
  <si>
    <t>Champagne</t>
  </si>
  <si>
    <t>André Beaufort</t>
  </si>
  <si>
    <t>Albert Beerens</t>
  </si>
  <si>
    <t>Champagne Augustin Coeurviticulture</t>
  </si>
  <si>
    <t>Henri Billiot by Laetitia Billiot</t>
  </si>
  <si>
    <t>Benoit Dehu</t>
  </si>
  <si>
    <t>Gonet-Sulcova</t>
  </si>
  <si>
    <t>Gyejacquot</t>
  </si>
  <si>
    <t>David Leclapart</t>
  </si>
  <si>
    <t>Lilbert &amp; Fils</t>
  </si>
  <si>
    <t>La Parcelle, Chevreaux-Bournazel</t>
  </si>
  <si>
    <t>Les Vertus d'Elise by Cedric Guyot</t>
  </si>
  <si>
    <t>Clos Lanson</t>
  </si>
  <si>
    <t>Alsace</t>
  </si>
  <si>
    <t>Kirrenbourg (ex Martin Schaetzel)</t>
  </si>
  <si>
    <t>Bordeaux - Right Bank</t>
  </si>
  <si>
    <t>Bordeaux Blanc Focus</t>
  </si>
  <si>
    <t>Pomerol</t>
  </si>
  <si>
    <t>Clinet</t>
  </si>
  <si>
    <t>Clos de la Vieille École</t>
  </si>
  <si>
    <t>Clos du Clocher</t>
  </si>
  <si>
    <t>La Conseillante</t>
  </si>
  <si>
    <t>L'Eglise-Clinet</t>
  </si>
  <si>
    <t>L'Evangile</t>
  </si>
  <si>
    <t>Feytit-Clinet</t>
  </si>
  <si>
    <t>La Fleur-Petrus</t>
  </si>
  <si>
    <t>Guillot-Clauzel</t>
  </si>
  <si>
    <t>Mayne-Réné</t>
  </si>
  <si>
    <t>Lafleur</t>
  </si>
  <si>
    <t>Latour a Pomerol</t>
  </si>
  <si>
    <t>Le Pin</t>
  </si>
  <si>
    <t>Trotanoy</t>
  </si>
  <si>
    <t>Vieux Chateau Certan</t>
  </si>
  <si>
    <t>La Violette</t>
  </si>
  <si>
    <t>Vray Croix de Gay</t>
  </si>
  <si>
    <t>St Emilion</t>
  </si>
  <si>
    <t>Angelus</t>
  </si>
  <si>
    <t>Ausone</t>
  </si>
  <si>
    <t>Beau-Séjour Bécot</t>
  </si>
  <si>
    <t>Beauséjour (Duffau-Lagarrosse)</t>
  </si>
  <si>
    <t>Belair-Monange</t>
  </si>
  <si>
    <t>Berliquet</t>
  </si>
  <si>
    <t>Canon</t>
  </si>
  <si>
    <t>du Cauze</t>
  </si>
  <si>
    <t>Cheval Blanc</t>
  </si>
  <si>
    <t>Clos Fourtet</t>
  </si>
  <si>
    <t>Clos Saint Martin</t>
  </si>
  <si>
    <t>Figeac</t>
  </si>
  <si>
    <t>Fonplegade</t>
  </si>
  <si>
    <t>Clos la Gaffeliere</t>
  </si>
  <si>
    <t>La Gaffeliere</t>
  </si>
  <si>
    <t>Les Giraudels de Milon</t>
  </si>
  <si>
    <t>La Gomerie</t>
  </si>
  <si>
    <t>Grand Corbin Despagne</t>
  </si>
  <si>
    <t>L'If</t>
  </si>
  <si>
    <t>Laroque</t>
  </si>
  <si>
    <t>Lassegue</t>
  </si>
  <si>
    <t>Mangot</t>
  </si>
  <si>
    <t>Matignon</t>
  </si>
  <si>
    <t>Moulin du Jura</t>
  </si>
  <si>
    <t>Pavie-Macquin</t>
  </si>
  <si>
    <t>Peby Faugeres</t>
  </si>
  <si>
    <t>Petit Gravet Aine</t>
  </si>
  <si>
    <t>Puy Blanquet</t>
  </si>
  <si>
    <t>Quintus</t>
  </si>
  <si>
    <t>Rochebelle</t>
  </si>
  <si>
    <t>Saintem/Saintayme</t>
  </si>
  <si>
    <t>Tertre Roteboeuf</t>
  </si>
  <si>
    <t>Troplong Mondot</t>
  </si>
  <si>
    <t>Trottevieille</t>
  </si>
  <si>
    <t>Valandraud</t>
  </si>
  <si>
    <t>Cotes de Bourg</t>
  </si>
  <si>
    <t>Roc de Cambes</t>
  </si>
  <si>
    <t>Fronsac</t>
  </si>
  <si>
    <t>Grand Village</t>
  </si>
  <si>
    <t>Les Perrieres</t>
  </si>
  <si>
    <t>Canon-Fronsac</t>
  </si>
  <si>
    <t>Moulin Pey-Labrie</t>
  </si>
  <si>
    <t>Lalande de Pomerol</t>
  </si>
  <si>
    <t>Belles-Graves</t>
  </si>
  <si>
    <t>Les Cruzelles</t>
  </si>
  <si>
    <t>Lussac St Emilion</t>
  </si>
  <si>
    <t>Bel Air</t>
  </si>
  <si>
    <t>Puisseguin St Emilion</t>
  </si>
  <si>
    <t>Guibeau</t>
  </si>
  <si>
    <t>Francs - Cotes de Bordeaux</t>
  </si>
  <si>
    <t>Clos Fontaine</t>
  </si>
  <si>
    <t>Castillon - Cotes de Bordeaux</t>
  </si>
  <si>
    <t>d'Aiguilhe</t>
  </si>
  <si>
    <t>Alcée</t>
  </si>
  <si>
    <t>Clos Louie</t>
  </si>
  <si>
    <t>Joanin-Bécot</t>
  </si>
  <si>
    <t>Thienpont Cousins</t>
  </si>
  <si>
    <t>L'Hêtre</t>
  </si>
  <si>
    <t>Montlandrie</t>
  </si>
  <si>
    <t>Robin</t>
  </si>
  <si>
    <t>Entre Deux Meres</t>
  </si>
  <si>
    <t>Valrose/Grand Bireau</t>
  </si>
  <si>
    <t>Premieres Cotes de Bordeaux</t>
  </si>
  <si>
    <t>La Gontrie</t>
  </si>
  <si>
    <t>Bordeaux - Graves &amp; Pessac-Leognan</t>
  </si>
  <si>
    <t>Graves</t>
  </si>
  <si>
    <t>Massereau</t>
  </si>
  <si>
    <t>Pessac-Leognan</t>
  </si>
  <si>
    <t>Bouscaut</t>
  </si>
  <si>
    <t>Carbonnieux</t>
  </si>
  <si>
    <t>Les Carmes Haut Brion</t>
  </si>
  <si>
    <t>Domaine de Chevalier</t>
  </si>
  <si>
    <t>de Fieuzal</t>
  </si>
  <si>
    <t>Haut Bailly</t>
  </si>
  <si>
    <t>Haut Bergey</t>
  </si>
  <si>
    <t>Haut Brion</t>
  </si>
  <si>
    <t>La Mission Haut Brion</t>
  </si>
  <si>
    <t>Malartic-Lagraviere</t>
  </si>
  <si>
    <t>Pape Clément</t>
  </si>
  <si>
    <t>Smith-Haut Lafitte</t>
  </si>
  <si>
    <t>Bordeaux - Left Bank</t>
  </si>
  <si>
    <t>Southern Haut-Medoc</t>
  </si>
  <si>
    <t>Cantemerle</t>
  </si>
  <si>
    <t>La Lagune</t>
  </si>
  <si>
    <t>Villegeorge</t>
  </si>
  <si>
    <t>Margaux</t>
  </si>
  <si>
    <t>Bel-Air Marquis d-Aligre (Margaux Defendu)</t>
  </si>
  <si>
    <t>Brane-Cantenac</t>
  </si>
  <si>
    <t>Dauzac</t>
  </si>
  <si>
    <t>Desmirail</t>
  </si>
  <si>
    <t>Durfort Vivens</t>
  </si>
  <si>
    <t>Ferriere</t>
  </si>
  <si>
    <t>Giscours</t>
  </si>
  <si>
    <t>Malescot St. Exupéry</t>
  </si>
  <si>
    <t>Palmer</t>
  </si>
  <si>
    <t>Rauzan-Segla</t>
  </si>
  <si>
    <t>du Tertre</t>
  </si>
  <si>
    <t>Moulis</t>
  </si>
  <si>
    <t>Chasse-Spleen</t>
  </si>
  <si>
    <t>Duplessis</t>
  </si>
  <si>
    <t>Mauvesin-Barton</t>
  </si>
  <si>
    <t>Poujeaux</t>
  </si>
  <si>
    <t>St Julien</t>
  </si>
  <si>
    <t>Beychevelle</t>
  </si>
  <si>
    <t>Branaire Ducru</t>
  </si>
  <si>
    <t>Clos du Marquis</t>
  </si>
  <si>
    <t>Ducru-Beaucaillou</t>
  </si>
  <si>
    <t>Gloria</t>
  </si>
  <si>
    <t>Gruaud Larose</t>
  </si>
  <si>
    <t>Lagrange</t>
  </si>
  <si>
    <t>Langoa-Barton</t>
  </si>
  <si>
    <t>Léoville-Barton</t>
  </si>
  <si>
    <t>Léoville las Cases</t>
  </si>
  <si>
    <t>Léoville-Poyferre</t>
  </si>
  <si>
    <t>Saint-Pierre</t>
  </si>
  <si>
    <t>Talbot</t>
  </si>
  <si>
    <t>Pauillac</t>
  </si>
  <si>
    <t>d'Armailhac</t>
  </si>
  <si>
    <t>Clerc Milon</t>
  </si>
  <si>
    <t>Duhart-Milon</t>
  </si>
  <si>
    <t>Grand-Puy Lacoste</t>
  </si>
  <si>
    <t>Haut-Bages Liberal</t>
  </si>
  <si>
    <t>Lafite Rothschild</t>
  </si>
  <si>
    <t>Lynch-Bages</t>
  </si>
  <si>
    <t>Mouton Rothschild</t>
  </si>
  <si>
    <t>Pichon-Longueville Comtesse de Lalande</t>
  </si>
  <si>
    <t>Pontet Canet</t>
  </si>
  <si>
    <t>St Estephe</t>
  </si>
  <si>
    <t>Calon-Segur</t>
  </si>
  <si>
    <t>Capbern (Gasqueton)</t>
  </si>
  <si>
    <t>Cos d'Estournel</t>
  </si>
  <si>
    <t>Domeyne</t>
  </si>
  <si>
    <t>Lafon-Rochet</t>
  </si>
  <si>
    <t>Lilian-Ladouys</t>
  </si>
  <si>
    <t>Meyney</t>
  </si>
  <si>
    <t>Montrose</t>
  </si>
  <si>
    <t>de Pez</t>
  </si>
  <si>
    <t>Phelan-Segur</t>
  </si>
  <si>
    <t>Northern Haut-Medoc &amp; Medoc</t>
  </si>
  <si>
    <t>Clos Manou</t>
  </si>
  <si>
    <t>Potensac</t>
  </si>
  <si>
    <t>Sociando-Mallet</t>
  </si>
  <si>
    <t>Tour Haut-Caussan</t>
  </si>
  <si>
    <t>Bordeaux - Sauternes</t>
  </si>
  <si>
    <t>Domaine de l'Alliance</t>
  </si>
  <si>
    <t>Barsac</t>
  </si>
  <si>
    <t>Climens</t>
  </si>
  <si>
    <t>Coutet</t>
  </si>
  <si>
    <t>de Fargues</t>
  </si>
  <si>
    <t>Guiraud</t>
  </si>
  <si>
    <t>du Mayne</t>
  </si>
  <si>
    <t>Rayne Vigneau</t>
  </si>
  <si>
    <t>Rieussec</t>
  </si>
  <si>
    <t>Suduiraut</t>
  </si>
  <si>
    <t>d'Yquem</t>
  </si>
  <si>
    <t>South-West</t>
  </si>
  <si>
    <t>Monbazillac</t>
  </si>
  <si>
    <t>Tirecul la Graviere</t>
  </si>
  <si>
    <t>Cahors</t>
  </si>
  <si>
    <t>Clos de Gamot</t>
  </si>
  <si>
    <t>Burgundy - Yonne</t>
  </si>
  <si>
    <t>Chablis</t>
  </si>
  <si>
    <t>de Chantemerle</t>
  </si>
  <si>
    <t>Chaude Écuelle</t>
  </si>
  <si>
    <t>Thierry Laffay</t>
  </si>
  <si>
    <t>St Bris</t>
  </si>
  <si>
    <t>Goisot (Domaine Corps du Garde)</t>
  </si>
  <si>
    <t>Burgundy - Cote d'Or</t>
  </si>
  <si>
    <t>Cote de Nuits</t>
  </si>
  <si>
    <t>Cote de Nuits Blanc focus</t>
  </si>
  <si>
    <t>Archambaud</t>
  </si>
  <si>
    <t>Arlaud</t>
  </si>
  <si>
    <t>Cyprien Arlaud</t>
  </si>
  <si>
    <t>Boigey Freres</t>
  </si>
  <si>
    <t>Ghislaine Barthod</t>
  </si>
  <si>
    <t>Louis Boillot</t>
  </si>
  <si>
    <t>Sylvain Cathiard</t>
  </si>
  <si>
    <t>Jean Chauvenet</t>
  </si>
  <si>
    <t>Faiveley</t>
  </si>
  <si>
    <t>Jean Fournier</t>
  </si>
  <si>
    <t>Henri Gouges</t>
  </si>
  <si>
    <t>Jean Grivot</t>
  </si>
  <si>
    <t>Guillard</t>
  </si>
  <si>
    <t>J.P. Guyon</t>
  </si>
  <si>
    <t>Olivier Jouan</t>
  </si>
  <si>
    <t>Nicole Lamarche (ex Francois Lamarche)</t>
  </si>
  <si>
    <t>des Lambrays</t>
  </si>
  <si>
    <t>Réné Leclerc</t>
  </si>
  <si>
    <t>Francois Legros &amp; Filles</t>
  </si>
  <si>
    <t>Hubert Lignier</t>
  </si>
  <si>
    <t>Maume-Siblas (ex Maume)</t>
  </si>
  <si>
    <t>Marchand-Tawse (Nuits)</t>
  </si>
  <si>
    <t>Méo-Camuzet</t>
  </si>
  <si>
    <t>A&amp;JM Molin</t>
  </si>
  <si>
    <t>J.F. Mugnier</t>
  </si>
  <si>
    <t>Chantal Remy (ex Louis Remy)</t>
  </si>
  <si>
    <t>Cecile Tremblay</t>
  </si>
  <si>
    <t>Natalie Vigot</t>
  </si>
  <si>
    <t>de la Vougeraie</t>
  </si>
  <si>
    <t>Cote de Beaune</t>
  </si>
  <si>
    <t>Auxey Duresses focus</t>
  </si>
  <si>
    <t>AMI</t>
  </si>
  <si>
    <t>Jean-Claude Bachelet</t>
  </si>
  <si>
    <t>Henri Boillot</t>
  </si>
  <si>
    <t>Camus-Bruchon</t>
  </si>
  <si>
    <t>Chandon de Briailles</t>
  </si>
  <si>
    <t>Maison Francois de Nicolay</t>
  </si>
  <si>
    <t>Yvon Clerget</t>
  </si>
  <si>
    <t>Marc Colin</t>
  </si>
  <si>
    <t>Follin-Arbelet</t>
  </si>
  <si>
    <t>Francois Gaunoux</t>
  </si>
  <si>
    <t>Michel Gaunoux</t>
  </si>
  <si>
    <t>Thierry Glantenay (ex Bernard &amp; Thierry)</t>
  </si>
  <si>
    <t>Alain Gras</t>
  </si>
  <si>
    <t>Michel Lafarge</t>
  </si>
  <si>
    <t>Marchand-Tawse (Beaune)</t>
  </si>
  <si>
    <t>Bernard/Alex Moreau</t>
  </si>
  <si>
    <t>Moulin aux Moines</t>
  </si>
  <si>
    <t>Potinet-Ampeau</t>
  </si>
  <si>
    <t>Henri Prudhon</t>
  </si>
  <si>
    <t>Rémi Rollin</t>
  </si>
  <si>
    <t>Serrigny</t>
  </si>
  <si>
    <t>Terres de Velle</t>
  </si>
  <si>
    <t>Jean-Marc, Anne-Marie &amp; Anais Vincent</t>
  </si>
  <si>
    <t>Burgundy</t>
  </si>
  <si>
    <t>Cote Chalonnaise</t>
  </si>
  <si>
    <t>G&amp;X Besson</t>
  </si>
  <si>
    <t>Michel Briday</t>
  </si>
  <si>
    <t>Alain &amp; Isabelle Hasard, Les Champs de l'Abbaye</t>
  </si>
  <si>
    <t>Maconnais</t>
  </si>
  <si>
    <t>de l'Échelette</t>
  </si>
  <si>
    <t>Réné Michel</t>
  </si>
  <si>
    <t>Cornin</t>
  </si>
  <si>
    <t>Saumaize-Michelin</t>
  </si>
  <si>
    <t>Beaujolais</t>
  </si>
  <si>
    <t>Boillot-Barthod</t>
  </si>
  <si>
    <t>Jean-Paul Brun, Terres Dorees</t>
  </si>
  <si>
    <t>Marc Delienne</t>
  </si>
  <si>
    <t>de la Grand'Cour, Dutraive</t>
  </si>
  <si>
    <t>La Grange Cochard</t>
  </si>
  <si>
    <t>Paul Janin</t>
  </si>
  <si>
    <t>Christophe Pacalet</t>
  </si>
  <si>
    <t>Jura</t>
  </si>
  <si>
    <t>Buronfosse</t>
  </si>
  <si>
    <t>Pignier</t>
  </si>
  <si>
    <t>Rolet P&amp;F</t>
  </si>
  <si>
    <t>Ain</t>
  </si>
  <si>
    <t>Renardat-Fache</t>
  </si>
  <si>
    <t>Loire</t>
  </si>
  <si>
    <t>Sancerre</t>
  </si>
  <si>
    <t>Bizet</t>
  </si>
  <si>
    <t>Francois Cotat</t>
  </si>
  <si>
    <t>Pouilly-Fume</t>
  </si>
  <si>
    <t>de la Loge, David et Herve Millet</t>
  </si>
  <si>
    <t>Patrick Noel</t>
  </si>
  <si>
    <t>Saumur</t>
  </si>
  <si>
    <t>Bruno Dubois</t>
  </si>
  <si>
    <t>Arnaud Lambert (ex St Just/Ch. De Breze)</t>
  </si>
  <si>
    <t>Vouvray</t>
  </si>
  <si>
    <t>Pichot</t>
  </si>
  <si>
    <t>Chinon</t>
  </si>
  <si>
    <t>Caroi Porter, Johann Spelty</t>
  </si>
  <si>
    <t>Muscadet</t>
  </si>
  <si>
    <t>Bonnet-Huteau</t>
  </si>
  <si>
    <t>Rhone - North</t>
  </si>
  <si>
    <t>Thierry Allemand</t>
  </si>
  <si>
    <t>J.L. Chave Selection</t>
  </si>
  <si>
    <t>Domaine J.L. Chave</t>
  </si>
  <si>
    <t>Cuchet-Beliando</t>
  </si>
  <si>
    <t>Famille Tardieu (North)</t>
  </si>
  <si>
    <t>Yves Gangloff</t>
  </si>
  <si>
    <t>Jean-Claude Marsanne</t>
  </si>
  <si>
    <t>M&amp;S Ogier d'Ampuis</t>
  </si>
  <si>
    <t>Remizieres</t>
  </si>
  <si>
    <t>Rhone - South</t>
  </si>
  <si>
    <t>Barrillon</t>
  </si>
  <si>
    <t>Henri Bonneau</t>
  </si>
  <si>
    <t>Charvin</t>
  </si>
  <si>
    <t>Clos des Papes</t>
  </si>
  <si>
    <t>L'Argnée Gigondas</t>
  </si>
  <si>
    <t>de Beaucastel</t>
  </si>
  <si>
    <t>Famille Tardieu (South)</t>
  </si>
  <si>
    <t>de la Mordorée</t>
  </si>
  <si>
    <t>Same River Twice</t>
  </si>
  <si>
    <t>des Pallieres</t>
  </si>
  <si>
    <t>Piedlong</t>
  </si>
  <si>
    <t>Vieux Telegraphe</t>
  </si>
  <si>
    <t>Villeneuve</t>
  </si>
  <si>
    <t>South</t>
  </si>
  <si>
    <t>Roussillon</t>
  </si>
  <si>
    <t>Calvet</t>
  </si>
  <si>
    <t>Clot de l'Origine</t>
  </si>
  <si>
    <t>Le Soula</t>
  </si>
  <si>
    <t>Languedoc</t>
  </si>
  <si>
    <t>Montmarin</t>
  </si>
  <si>
    <t>Les Pierres Seches</t>
  </si>
  <si>
    <t>Gilbert &amp; Gaillard</t>
  </si>
  <si>
    <t>Roc d'Anglade</t>
  </si>
  <si>
    <t>Provence</t>
  </si>
  <si>
    <t>Ray-Jane</t>
  </si>
  <si>
    <t>Famille Tardieu (Provence)</t>
  </si>
  <si>
    <t>Tempier</t>
  </si>
  <si>
    <t>ITALY</t>
  </si>
  <si>
    <t>Aosta</t>
  </si>
  <si>
    <t>Albert Vevey</t>
  </si>
  <si>
    <t>Liguria</t>
  </si>
  <si>
    <t>Tenuta Anfosso</t>
  </si>
  <si>
    <t>Piedmont</t>
  </si>
  <si>
    <t>Barolo</t>
  </si>
  <si>
    <t>Bel Colle</t>
  </si>
  <si>
    <t>Claudio Boggione</t>
  </si>
  <si>
    <t>Brovia</t>
  </si>
  <si>
    <t>Giovanni Canonica</t>
  </si>
  <si>
    <t>Castello di Perno</t>
  </si>
  <si>
    <t>Poderi Colla</t>
  </si>
  <si>
    <t>Giacomo Conterno</t>
  </si>
  <si>
    <t>Fratelli Alessandria</t>
  </si>
  <si>
    <t>Cascina Gramolere</t>
  </si>
  <si>
    <t>La Briccolina</t>
  </si>
  <si>
    <t>Marcarini</t>
  </si>
  <si>
    <t>Bartolo Mascarello</t>
  </si>
  <si>
    <t>Renato Molino</t>
  </si>
  <si>
    <t>Stefano Oreste</t>
  </si>
  <si>
    <t>Giuseppe Rinaldi</t>
  </si>
  <si>
    <t>Arnaldo Rivera</t>
  </si>
  <si>
    <t>Roagna</t>
  </si>
  <si>
    <t>Sandrone</t>
  </si>
  <si>
    <t>Barbaresco</t>
  </si>
  <si>
    <t>Cascina Luisin</t>
  </si>
  <si>
    <t>Cecilia Monte</t>
  </si>
  <si>
    <t>Runchet</t>
  </si>
  <si>
    <t>Serafino Rivella</t>
  </si>
  <si>
    <t>Socré</t>
  </si>
  <si>
    <t>Gattinara</t>
  </si>
  <si>
    <t>Conterno-Nervi (ex Cantina Nervi)</t>
  </si>
  <si>
    <t>Marco Petterino</t>
  </si>
  <si>
    <t>Tortona</t>
  </si>
  <si>
    <t>La Colombera</t>
  </si>
  <si>
    <t>Nizza</t>
  </si>
  <si>
    <t>Bronda</t>
  </si>
  <si>
    <t>Gavi</t>
  </si>
  <si>
    <t>La Mesma</t>
  </si>
  <si>
    <t>Rugra</t>
  </si>
  <si>
    <t>Daniele Coutandin</t>
  </si>
  <si>
    <t>Lombardy</t>
  </si>
  <si>
    <t>Barbacan</t>
  </si>
  <si>
    <t>Mezzacane</t>
  </si>
  <si>
    <t>Podere il Santo</t>
  </si>
  <si>
    <t>Alto-Adige</t>
  </si>
  <si>
    <t>Nusserhof</t>
  </si>
  <si>
    <t>Cantina Caldaro/Kellerei Kaltern</t>
  </si>
  <si>
    <t>Trentino</t>
  </si>
  <si>
    <t>Elisabetta Dalzocchio</t>
  </si>
  <si>
    <t>Veneto</t>
  </si>
  <si>
    <t>Valpolicella</t>
  </si>
  <si>
    <t>Corte Lenguin</t>
  </si>
  <si>
    <t>Corte Lavel</t>
  </si>
  <si>
    <t>Marion</t>
  </si>
  <si>
    <t>Dal’Forno</t>
  </si>
  <si>
    <t>Lugana</t>
  </si>
  <si>
    <t>Corte Sermana</t>
  </si>
  <si>
    <t>Bardolino</t>
  </si>
  <si>
    <t>Raval</t>
  </si>
  <si>
    <t>Soave</t>
  </si>
  <si>
    <t>Alessandro Filippi (Soave)</t>
  </si>
  <si>
    <t>Gambellara</t>
  </si>
  <si>
    <t>Meggiolaro</t>
  </si>
  <si>
    <t>La Biancara</t>
  </si>
  <si>
    <t>Sant'Erasmo</t>
  </si>
  <si>
    <t>Orto</t>
  </si>
  <si>
    <t>Prosecco</t>
  </si>
  <si>
    <t>Borgo Frare/Il Colle</t>
  </si>
  <si>
    <t>Ca'dei Zago</t>
  </si>
  <si>
    <t>Casa Coste Piane</t>
  </si>
  <si>
    <t>Friuli</t>
  </si>
  <si>
    <t>Collio</t>
  </si>
  <si>
    <t>Vignai da Duline</t>
  </si>
  <si>
    <t>Gravner</t>
  </si>
  <si>
    <t>Carso</t>
  </si>
  <si>
    <t>Edi Kante</t>
  </si>
  <si>
    <t>Rado Kocjancic</t>
  </si>
  <si>
    <t>Vigna del Lauro</t>
  </si>
  <si>
    <t>Tuscany</t>
  </si>
  <si>
    <t>Val d'Arno di Sopra</t>
  </si>
  <si>
    <t>Il Carnasciale</t>
  </si>
  <si>
    <t>San Gimignano</t>
  </si>
  <si>
    <t>Casale Falchini</t>
  </si>
  <si>
    <t>Poggio al Sole/Brogioni</t>
  </si>
  <si>
    <t>Chianti-shire</t>
  </si>
  <si>
    <t>Vigna Barbischio</t>
  </si>
  <si>
    <t>Villa del Cigliano</t>
  </si>
  <si>
    <t>Montellori</t>
  </si>
  <si>
    <t>La Porta di Vertine</t>
  </si>
  <si>
    <t>Torre alle Tolfe</t>
  </si>
  <si>
    <t>Vallone di Cecione</t>
  </si>
  <si>
    <t>Montalcino</t>
  </si>
  <si>
    <t>Baricci</t>
  </si>
  <si>
    <t>Case Basse/Soldera</t>
  </si>
  <si>
    <t>J. G. Benda</t>
  </si>
  <si>
    <t>Le Chiuse</t>
  </si>
  <si>
    <t>Giuseppe Gorelli</t>
  </si>
  <si>
    <t>Lisini</t>
  </si>
  <si>
    <t>Stella di Campalto</t>
  </si>
  <si>
    <t>Montepulciano</t>
  </si>
  <si>
    <t>Poderi Sanguineto I &amp; II</t>
  </si>
  <si>
    <t>Maremma</t>
  </si>
  <si>
    <t>Amiata</t>
  </si>
  <si>
    <t>Emilia Romagna</t>
  </si>
  <si>
    <t>Tenuta la Piccola</t>
  </si>
  <si>
    <t>Terre di Macerato</t>
  </si>
  <si>
    <t>Lazio</t>
  </si>
  <si>
    <t>Abbia Nova (ex Costa Graia)</t>
  </si>
  <si>
    <t>Marche</t>
  </si>
  <si>
    <t>Marca di San Michele</t>
  </si>
  <si>
    <t>Abruzzo</t>
  </si>
  <si>
    <t>d'Alesio/Tenuta del Professore</t>
  </si>
  <si>
    <t>Praesidium</t>
  </si>
  <si>
    <t>De Sanctis</t>
  </si>
  <si>
    <t>San Lorenzo</t>
  </si>
  <si>
    <t>Umbria</t>
  </si>
  <si>
    <t>Tabarrini</t>
  </si>
  <si>
    <t>Campania</t>
  </si>
  <si>
    <t>Morigerati</t>
  </si>
  <si>
    <t>de Conciliis</t>
  </si>
  <si>
    <t>Cantina Lonardo/Contrade di Taurasi</t>
  </si>
  <si>
    <t>Puglia</t>
  </si>
  <si>
    <t>Attanasio</t>
  </si>
  <si>
    <t>Il Gusto della Costa</t>
  </si>
  <si>
    <t>Elba</t>
  </si>
  <si>
    <t>Tenuta la Chiusa</t>
  </si>
  <si>
    <t>Sardinia</t>
  </si>
  <si>
    <t>Gungui</t>
  </si>
  <si>
    <t>Enrico Esu</t>
  </si>
  <si>
    <t>Sicily</t>
  </si>
  <si>
    <t>Etna</t>
  </si>
  <si>
    <t>Calabretta</t>
  </si>
  <si>
    <t>Eredi di Maio</t>
  </si>
  <si>
    <t>Frank Cornelissen</t>
  </si>
  <si>
    <t>Alessandro Filippi (Erice)</t>
  </si>
  <si>
    <t>Pantelleria</t>
  </si>
  <si>
    <t>Salvatore Ferrandes</t>
  </si>
  <si>
    <t>Savino</t>
  </si>
  <si>
    <t>Do Zenner &amp; Friends</t>
  </si>
  <si>
    <t>SPAIN</t>
  </si>
  <si>
    <t>North-West</t>
  </si>
  <si>
    <t>Rias Baixas</t>
  </si>
  <si>
    <t>Bodegas Pascual (Rias Baixas)</t>
  </si>
  <si>
    <t>Ribera Sacra</t>
  </si>
  <si>
    <t>Niepoort Projectos</t>
  </si>
  <si>
    <t>Bierzo</t>
  </si>
  <si>
    <t>Legado de Farro</t>
  </si>
  <si>
    <t>Rueda</t>
  </si>
  <si>
    <t>Bodegas Pascual (Rueda)</t>
  </si>
  <si>
    <t>North</t>
  </si>
  <si>
    <t>Ribera del Duero</t>
  </si>
  <si>
    <t>Lopez Cristobal</t>
  </si>
  <si>
    <t>Rioja</t>
  </si>
  <si>
    <t>Oxer Bastegieta</t>
  </si>
  <si>
    <t>Dominio de Berzal</t>
  </si>
  <si>
    <t>Lopez de Heredia</t>
  </si>
  <si>
    <t>Torre San Millan/Gorrebusto</t>
  </si>
  <si>
    <t>Bodegas Tritium</t>
  </si>
  <si>
    <t>Navarra</t>
  </si>
  <si>
    <t xml:space="preserve">Vina Zorzal X Niepoort </t>
  </si>
  <si>
    <t>North-East</t>
  </si>
  <si>
    <t>Penedes</t>
  </si>
  <si>
    <t>Celler Via</t>
  </si>
  <si>
    <t>Conca de Barbera</t>
  </si>
  <si>
    <t>Mas de la Pansa</t>
  </si>
  <si>
    <t>Priorat</t>
  </si>
  <si>
    <t>Clos Berenguer</t>
  </si>
  <si>
    <t>Terra Alta</t>
  </si>
  <si>
    <t>Clos Pinell</t>
  </si>
  <si>
    <t>Cellers Tarrone</t>
  </si>
  <si>
    <t>Gandesa</t>
  </si>
  <si>
    <t>Montsant</t>
  </si>
  <si>
    <t>Les Tallades</t>
  </si>
  <si>
    <t>East</t>
  </si>
  <si>
    <t>Valencia</t>
  </si>
  <si>
    <t>Hispano+Suizas</t>
  </si>
  <si>
    <t>Castilla-La Mancha</t>
  </si>
  <si>
    <t>Esencia Rural</t>
  </si>
  <si>
    <t>PORTUGAL</t>
  </si>
  <si>
    <t>Acores</t>
  </si>
  <si>
    <t>Niepoort (Acores)</t>
  </si>
  <si>
    <t>Minho</t>
  </si>
  <si>
    <t>Quinta do Monhinho</t>
  </si>
  <si>
    <t>Niepoort (Minho)</t>
  </si>
  <si>
    <t>Douro</t>
  </si>
  <si>
    <t>Quinta de Napoles, Niepoort</t>
  </si>
  <si>
    <t>Bairrada</t>
  </si>
  <si>
    <t>Quinta do Baixo, Niepoort</t>
  </si>
  <si>
    <t>Bussaco Palace Hotel</t>
  </si>
  <si>
    <t>Gonçalves Faria, Niepoort</t>
  </si>
  <si>
    <t>Dao</t>
  </si>
  <si>
    <t>Quinta da Lomba, Niepoort</t>
  </si>
  <si>
    <t>Colares</t>
  </si>
  <si>
    <t>Baias e Enseadas</t>
  </si>
  <si>
    <t>Viuva Gomes</t>
  </si>
  <si>
    <t>Alentejo</t>
  </si>
  <si>
    <t>Vitor &amp; Rita Claro</t>
  </si>
  <si>
    <t>Sempar, Niepoort</t>
  </si>
  <si>
    <t>AUSTRIA</t>
  </si>
  <si>
    <t>Wachau</t>
  </si>
  <si>
    <t>Pichler-Krutzler</t>
  </si>
  <si>
    <t>Emmerich Knoll</t>
  </si>
  <si>
    <t>Nikolaihof</t>
  </si>
  <si>
    <t>F.X. Pichler</t>
  </si>
  <si>
    <t>Prager</t>
  </si>
  <si>
    <t>Kamptal</t>
  </si>
  <si>
    <t>Brundlmayer</t>
  </si>
  <si>
    <t>Wagram</t>
  </si>
  <si>
    <t>Ehmoser</t>
  </si>
  <si>
    <t>Burgenland</t>
  </si>
  <si>
    <t>Uwe Schiefer</t>
  </si>
  <si>
    <t>GERMANY</t>
  </si>
  <si>
    <t>Mosel</t>
  </si>
  <si>
    <t>Carl Loewen</t>
  </si>
  <si>
    <t>A.J. Adam</t>
  </si>
  <si>
    <t>Fritz Haag</t>
  </si>
  <si>
    <t>Meulenhof</t>
  </si>
  <si>
    <t>J.J. Prüm</t>
  </si>
  <si>
    <t>Maximin Grunhaus</t>
  </si>
  <si>
    <t>Willi Schaefer</t>
  </si>
  <si>
    <t>Selbach-Oster</t>
  </si>
  <si>
    <t>Franken</t>
  </si>
  <si>
    <t>Luckert/Zenthof</t>
  </si>
  <si>
    <t>Nahe</t>
  </si>
  <si>
    <t>Donnhoff</t>
  </si>
  <si>
    <t>Rheingau</t>
  </si>
  <si>
    <t>Leitz</t>
  </si>
  <si>
    <t>LEBANON</t>
  </si>
  <si>
    <t>Bekaa Valley</t>
  </si>
  <si>
    <t>Musar Jeune</t>
  </si>
  <si>
    <t>Chateau Musar</t>
  </si>
  <si>
    <t>ARGENTINA</t>
  </si>
  <si>
    <t>Salta</t>
  </si>
  <si>
    <t>Finca Tacuil</t>
  </si>
  <si>
    <t>CHILE</t>
  </si>
  <si>
    <t>Colchagua</t>
  </si>
  <si>
    <t>Los Vascos</t>
  </si>
  <si>
    <t>U.S.A.</t>
  </si>
  <si>
    <t>California</t>
  </si>
  <si>
    <t>Russian River Valley</t>
  </si>
  <si>
    <t>DuMOL</t>
  </si>
  <si>
    <t>Swan Estate</t>
  </si>
  <si>
    <t>Napa Valley</t>
  </si>
  <si>
    <t>Eisele Vineyard</t>
  </si>
  <si>
    <t>Dominus</t>
  </si>
  <si>
    <t>Shafer</t>
  </si>
  <si>
    <t>Oregon</t>
  </si>
  <si>
    <t>Dundee Hills</t>
  </si>
  <si>
    <t>Cameron</t>
  </si>
  <si>
    <t>Virginia</t>
  </si>
  <si>
    <t>Ramiiisol</t>
  </si>
  <si>
    <t>NEW ZEALAND</t>
  </si>
  <si>
    <t>North Island</t>
  </si>
  <si>
    <t>Martinborough</t>
  </si>
  <si>
    <t>Dry River</t>
  </si>
  <si>
    <t>Kidnappers Cliffs</t>
  </si>
  <si>
    <t>South Island</t>
  </si>
  <si>
    <t>Nelson</t>
  </si>
  <si>
    <t>Wingspan</t>
  </si>
  <si>
    <t>Central Otago</t>
  </si>
  <si>
    <t>Kahiwi</t>
  </si>
  <si>
    <t>Felton Road</t>
  </si>
  <si>
    <t>AUSTRALIA</t>
  </si>
  <si>
    <t>Victoria</t>
  </si>
  <si>
    <t>King Valley</t>
  </si>
  <si>
    <t>Gapsted Wines</t>
  </si>
  <si>
    <t>South Australia</t>
  </si>
  <si>
    <t>Barossa</t>
  </si>
  <si>
    <t>'Kin' by Alkina</t>
  </si>
  <si>
    <t>Alkina</t>
  </si>
  <si>
    <t>Powell &amp; Son</t>
  </si>
  <si>
    <t>Adelaide Hills</t>
  </si>
  <si>
    <t>Ashton Hills</t>
  </si>
  <si>
    <t>SOUTH AFRICA</t>
  </si>
  <si>
    <t>Franschoek</t>
  </si>
  <si>
    <t>Chamonix</t>
  </si>
  <si>
    <t>Swartland</t>
  </si>
  <si>
    <t>Die Kluise by Raeburn Fine Wines</t>
  </si>
  <si>
    <t>Leeuwenkuil</t>
  </si>
  <si>
    <t>Sadie Family</t>
  </si>
  <si>
    <t>Malgas</t>
  </si>
  <si>
    <t>Sijnn Wines</t>
  </si>
  <si>
    <t>Stellenbosch</t>
  </si>
  <si>
    <t>Warwick Estate</t>
  </si>
  <si>
    <t>JAPAN</t>
  </si>
  <si>
    <t>Sake</t>
  </si>
  <si>
    <t>Glossary</t>
  </si>
  <si>
    <t>Aperitif</t>
  </si>
  <si>
    <t>Fruity/Classic</t>
  </si>
  <si>
    <t>Super-Polished</t>
  </si>
  <si>
    <t>Off-Dry</t>
  </si>
  <si>
    <t>Dry</t>
  </si>
  <si>
    <t>Midweight</t>
  </si>
  <si>
    <t>Liquid Rice</t>
  </si>
  <si>
    <t>Full Body Full Taste</t>
  </si>
  <si>
    <t>Cedar Cask</t>
  </si>
  <si>
    <t>Matured</t>
  </si>
  <si>
    <t>Seawater Brewed</t>
  </si>
  <si>
    <t>Hyper-Aged</t>
  </si>
  <si>
    <t>Plum Wine</t>
  </si>
  <si>
    <t>Yuzu Citrus Infused</t>
  </si>
  <si>
    <t>FORTIFIED</t>
  </si>
  <si>
    <t>Port</t>
  </si>
  <si>
    <t>Niepoort</t>
  </si>
  <si>
    <t>Quinta do Noval</t>
  </si>
  <si>
    <t>Quinta do Passadouro</t>
  </si>
  <si>
    <t>Taylor-Fonseca</t>
  </si>
  <si>
    <t>Sherry</t>
  </si>
  <si>
    <t>Juan Pinero</t>
  </si>
  <si>
    <t>Bodegas Tradicion</t>
  </si>
  <si>
    <t>Fernando de Castilla</t>
  </si>
  <si>
    <t>SPIRITS</t>
  </si>
  <si>
    <t>Scotland</t>
  </si>
  <si>
    <t>The Bottlers</t>
  </si>
  <si>
    <t>Raasay Distillery</t>
  </si>
  <si>
    <t>France</t>
  </si>
  <si>
    <t>Normandy</t>
  </si>
  <si>
    <t>Distillerie Dupont</t>
  </si>
  <si>
    <t>G. Miclo</t>
  </si>
  <si>
    <t>Armagnac</t>
  </si>
  <si>
    <t>St. Christeau</t>
  </si>
  <si>
    <t>Italy</t>
  </si>
  <si>
    <t>Carlo Gobetti</t>
  </si>
  <si>
    <t>Japan</t>
  </si>
  <si>
    <t>Kagoshima</t>
  </si>
  <si>
    <t>Manzen Shuzo</t>
  </si>
  <si>
    <t>ADDENDA</t>
  </si>
  <si>
    <t>New Listings</t>
  </si>
  <si>
    <t>Pre-Mixed Cases</t>
  </si>
  <si>
    <t>End of Line</t>
  </si>
  <si>
    <t>Sparkling</t>
  </si>
  <si>
    <t>White</t>
  </si>
  <si>
    <t>Rosé</t>
  </si>
  <si>
    <t>Red</t>
  </si>
  <si>
    <t>Running Wine</t>
  </si>
  <si>
    <t>French</t>
  </si>
  <si>
    <t>Iberian</t>
  </si>
  <si>
    <t>North Italian</t>
  </si>
  <si>
    <t>Central &amp; South Italian</t>
  </si>
  <si>
    <t>Riesling etc</t>
  </si>
  <si>
    <t>Beyond Europe</t>
  </si>
  <si>
    <t>Fish Restaurant Classics</t>
  </si>
  <si>
    <t>Edinburgh Vaults</t>
  </si>
  <si>
    <t>Orange</t>
  </si>
  <si>
    <t>Piedmontese</t>
  </si>
  <si>
    <t>Rest of Italy</t>
  </si>
  <si>
    <t>Red Restaurant Classics</t>
  </si>
  <si>
    <t>Fish Friendly</t>
  </si>
  <si>
    <t>Sweet &amp; Fortified</t>
  </si>
  <si>
    <t>Special Attributes</t>
  </si>
  <si>
    <t>Focus on White</t>
  </si>
  <si>
    <t>Wholly ungrafted vines</t>
  </si>
  <si>
    <t>TVV, vines &gt;100yrs</t>
  </si>
  <si>
    <t>Higher altitude vineyards</t>
  </si>
  <si>
    <t>With longer elevage</t>
  </si>
  <si>
    <t>Longer in-bottle maturation</t>
  </si>
  <si>
    <t>Rarer grape varieties</t>
  </si>
  <si>
    <t>Unsulphited</t>
  </si>
  <si>
    <t>Focus on Orange</t>
  </si>
  <si>
    <t>Focus on Red</t>
  </si>
  <si>
    <t>With lightness</t>
  </si>
  <si>
    <t>Supertuscans</t>
  </si>
  <si>
    <t>Superlatives</t>
  </si>
  <si>
    <t>Art Labels</t>
  </si>
  <si>
    <t>Hommage Focus</t>
  </si>
  <si>
    <t>Geological Names</t>
  </si>
  <si>
    <t>Flora Focus</t>
  </si>
  <si>
    <t>Ownership Focus</t>
  </si>
  <si>
    <t>Monopoles in Burgundy</t>
  </si>
  <si>
    <t>Female owned/run</t>
  </si>
  <si>
    <t>Female co-owned/run</t>
  </si>
  <si>
    <t>Wine Celebration Calendar</t>
  </si>
  <si>
    <t>Chinese Zodiac Vintages</t>
  </si>
  <si>
    <t>French Appellation Big Birthdays</t>
  </si>
  <si>
    <t>Grower Groups</t>
  </si>
  <si>
    <t>Publications' Terminology</t>
  </si>
  <si>
    <t>Levi Dalton's 'I'll Drink to That' Podcast Episodes</t>
  </si>
  <si>
    <t>TERMS &amp; CONDITIONS</t>
  </si>
  <si>
    <t>Raeburn Fine Wines</t>
  </si>
  <si>
    <t>Product Code</t>
  </si>
  <si>
    <t>Quote:</t>
  </si>
  <si>
    <t>Basics:</t>
  </si>
  <si>
    <t>Key:</t>
  </si>
  <si>
    <t>Eve Balfour, at the 1st IFOAM conference</t>
  </si>
  <si>
    <t>Prices are DPD per unit, ex-VAT, including delivery/transfer.</t>
  </si>
  <si>
    <r>
      <t xml:space="preserve">VAULTS = </t>
    </r>
    <r>
      <rPr>
        <b/>
        <i/>
        <sz val="8"/>
        <color theme="1" tint="0.14999847407452621"/>
        <rFont val="Noto Sans"/>
        <family val="2"/>
      </rPr>
      <t>only</t>
    </r>
    <r>
      <rPr>
        <b/>
        <sz val="8"/>
        <color theme="1" tint="0.14999847407452621"/>
        <rFont val="Noto Sans"/>
        <family val="2"/>
      </rPr>
      <t xml:space="preserve"> in Edinburgh</t>
    </r>
  </si>
  <si>
    <t>of 1977 re agricultural ambition, quoting</t>
  </si>
  <si>
    <t>Min. order 2cases for free delivery within M25, ex-LCB Tilbury.</t>
  </si>
  <si>
    <r>
      <t xml:space="preserve">f  </t>
    </r>
    <r>
      <rPr>
        <sz val="8"/>
        <color theme="1" tint="0.14999847407452621"/>
        <rFont val="Noto Sans"/>
        <family val="2"/>
      </rPr>
      <t>= fortified</t>
    </r>
  </si>
  <si>
    <t>Aldo Leopold's book, with which we agree:</t>
  </si>
  <si>
    <t>Min. order 2cases for free delivery to all UK, ex-Edinburgh.</t>
  </si>
  <si>
    <r>
      <t xml:space="preserve">sp </t>
    </r>
    <r>
      <rPr>
        <sz val="8"/>
        <color theme="1" tint="0.14999847407452621"/>
        <rFont val="Noto Sans"/>
        <family val="2"/>
      </rPr>
      <t>= sparkling</t>
    </r>
  </si>
  <si>
    <t>Min. order for free UK delivery on application, ex-LCB Tilbury.</t>
  </si>
  <si>
    <t>o  = orange</t>
  </si>
  <si>
    <t>'…we cannot escape from the ethical and</t>
  </si>
  <si>
    <t>10 cse rate, IB and ex-cellars prices upon request.</t>
  </si>
  <si>
    <t>p  = pink</t>
  </si>
  <si>
    <t>spiritual values of life, for they are part of</t>
  </si>
  <si>
    <t>A 'case' is 9litres, i.e. 12 BTLS, 24 HVS, 6 MAGS, 3 DBL MAGS</t>
  </si>
  <si>
    <t>r  = red</t>
  </si>
  <si>
    <t>the wholeness."A thing is right when it</t>
  </si>
  <si>
    <t>Cases can be mixed.</t>
  </si>
  <si>
    <t>w  = white</t>
  </si>
  <si>
    <t xml:space="preserve">tends to preserve the integrity,stability </t>
  </si>
  <si>
    <r>
      <t>Prices include UK duty at prevailing rate when issued.</t>
    </r>
    <r>
      <rPr>
        <sz val="7"/>
        <color theme="1" tint="0.14999847407452621"/>
        <rFont val="Noto Sans"/>
        <family val="2"/>
      </rPr>
      <t xml:space="preserve"> (</t>
    </r>
    <r>
      <rPr>
        <i/>
        <sz val="7"/>
        <color theme="1" tint="0.14999847407452621"/>
        <rFont val="Noto Sans"/>
        <family val="2"/>
      </rPr>
      <t>Not</t>
    </r>
    <r>
      <rPr>
        <sz val="7"/>
        <color theme="1" tint="0.14999847407452621"/>
        <rFont val="Noto Sans"/>
        <family val="2"/>
      </rPr>
      <t xml:space="preserve"> E.P.)</t>
    </r>
  </si>
  <si>
    <t>sw = sweet</t>
  </si>
  <si>
    <t>and beauty of the biotic community. It</t>
  </si>
  <si>
    <t>Size is updated as: unit size in cl / number units per pack.</t>
  </si>
  <si>
    <r>
      <t>GG</t>
    </r>
    <r>
      <rPr>
        <sz val="8"/>
        <color theme="1" tint="0.14999847407452621"/>
        <rFont val="Noto Sans"/>
        <family val="2"/>
      </rPr>
      <t xml:space="preserve"> = Grosses Gewächs</t>
    </r>
  </si>
  <si>
    <t>is wrong when it tends otherwise."</t>
  </si>
  <si>
    <t>Our main tariffs are agency, main, en primeur, etc.</t>
  </si>
  <si>
    <r>
      <t>GL</t>
    </r>
    <r>
      <rPr>
        <sz val="8"/>
        <color theme="1" tint="0.14999847407452621"/>
        <rFont val="Noto Sans"/>
        <family val="2"/>
      </rPr>
      <t xml:space="preserve"> = VDP Grosse Lage</t>
    </r>
  </si>
  <si>
    <t>That quotation expresses what I</t>
  </si>
  <si>
    <t>Subject to Terms &amp; Conditions, as per the last page of this list.</t>
  </si>
  <si>
    <r>
      <t xml:space="preserve">1C </t>
    </r>
    <r>
      <rPr>
        <sz val="8"/>
        <color theme="1" tint="0.14999847407452621"/>
        <rFont val="Noto Sans"/>
        <family val="2"/>
      </rPr>
      <t>= Premier Cru</t>
    </r>
  </si>
  <si>
    <t>believe should be our guidelines.'</t>
  </si>
  <si>
    <t>All wines are offered subject to availability.</t>
  </si>
  <si>
    <r>
      <t xml:space="preserve">GC </t>
    </r>
    <r>
      <rPr>
        <sz val="8"/>
        <color theme="1" tint="0.14999847407452621"/>
        <rFont val="Noto Sans"/>
        <family val="2"/>
      </rPr>
      <t>= Grand Cru</t>
    </r>
  </si>
  <si>
    <r>
      <t>This list cancels all previous lists.</t>
    </r>
    <r>
      <rPr>
        <b/>
        <sz val="8"/>
        <color theme="1" tint="0.14999847407452621"/>
        <rFont val="Noto Sans"/>
        <family val="2"/>
      </rPr>
      <t xml:space="preserve"> E&amp;OE</t>
    </r>
  </si>
  <si>
    <t>Contact details:</t>
  </si>
  <si>
    <t>LONDON OFFICE</t>
  </si>
  <si>
    <t>www.raeburnfinewines.com</t>
  </si>
  <si>
    <t>ROLES:</t>
  </si>
  <si>
    <t>David Harvey  |  07977 939 680</t>
  </si>
  <si>
    <t>Trade sales. Wine advice. Buying</t>
  </si>
  <si>
    <t>Richard Rotti  |  07952 052 606</t>
  </si>
  <si>
    <t>Trade sales. Wine advice.</t>
  </si>
  <si>
    <t>Liam Colucci  |  07903 330 457</t>
  </si>
  <si>
    <t>Julia Sewell  |  07836 682 442</t>
  </si>
  <si>
    <t>London Office. List. Sake</t>
  </si>
  <si>
    <t>EDINBURGH HEAD OFFICE</t>
  </si>
  <si>
    <t>General contact  |  0131 343 1159</t>
  </si>
  <si>
    <t>Orders. Enquiries.</t>
  </si>
  <si>
    <t>Ben Fawcett  |  07747 638 728</t>
  </si>
  <si>
    <t>Scotland trade sales</t>
  </si>
  <si>
    <t>Murray McDougal |  07817 073 633</t>
  </si>
  <si>
    <t>Liliana Angelo  |  0131 343 1159</t>
  </si>
  <si>
    <t>Office administrator.</t>
  </si>
  <si>
    <t>Humair Mahmud  |  0131 343 1159</t>
  </si>
  <si>
    <t>Orders desk. Accounts.</t>
  </si>
  <si>
    <t>Zubair Mohamed  |  0131 343 1159</t>
  </si>
  <si>
    <t>Director. Buyer. Wine advice.</t>
  </si>
  <si>
    <t>Taher Mahmud</t>
  </si>
  <si>
    <t xml:space="preserve">Director. Accounts. </t>
  </si>
  <si>
    <t>Introduction to Raeburn, 2025:</t>
  </si>
  <si>
    <t>Our clients:</t>
  </si>
  <si>
    <t>Raeburn Fine Wines:</t>
  </si>
  <si>
    <t>The Raeburn tariffs:</t>
  </si>
  <si>
    <t>List searchability:</t>
  </si>
  <si>
    <t>Introduction, (continued):</t>
  </si>
  <si>
    <t>The list in names:</t>
  </si>
  <si>
    <t>The list in numbers (A-Z):</t>
  </si>
  <si>
    <t>'Running Wines' &amp; 'Special Attributes':</t>
  </si>
  <si>
    <t>A note on agricultural nomenclature:</t>
  </si>
  <si>
    <t>Vegan compatible Ⓥ:</t>
  </si>
  <si>
    <t>Two warehouses:</t>
  </si>
  <si>
    <t>The Porterstone:</t>
  </si>
  <si>
    <t>Thanks:</t>
  </si>
  <si>
    <t>Contents:</t>
  </si>
  <si>
    <t>Intro:</t>
  </si>
  <si>
    <t>An Introduction to Raeburn</t>
  </si>
  <si>
    <t>Contents</t>
  </si>
  <si>
    <t>The tariff:</t>
  </si>
  <si>
    <t>Bordeaux - Right Bank INCL. BORDEAUX BLANC FOCUS</t>
  </si>
  <si>
    <t>Bordeaux - Pessac-Leognan</t>
  </si>
  <si>
    <t>Burgundy - Cote de Nuits INCLUDES CDN BLANC FOCUS</t>
  </si>
  <si>
    <t>Burgundy - Cote de Beaune INCLUDES AUXEY FOCUS</t>
  </si>
  <si>
    <t>Burgundy - Chalonnaise &amp; Maconnais</t>
  </si>
  <si>
    <t>Burgundy - Beaujolais</t>
  </si>
  <si>
    <t>Savoie &amp; Ain</t>
  </si>
  <si>
    <t>South: Roussillon, Languedoc, Provence</t>
  </si>
  <si>
    <t>Aosta &amp; Liguria</t>
  </si>
  <si>
    <t>Piedmont - Barolo based cellars</t>
  </si>
  <si>
    <t>Piedmont - Barbaresco based cellars</t>
  </si>
  <si>
    <t>Piedmont - Alto Piedmont</t>
  </si>
  <si>
    <t>Piedmont - Gavi &amp; Monferrato</t>
  </si>
  <si>
    <t>Alto-Adige &amp; Trentino</t>
  </si>
  <si>
    <t>Collio, Collio Orientali &amp; Carso</t>
  </si>
  <si>
    <t>Tuscany - Chianti, etc.</t>
  </si>
  <si>
    <t>Tuscany - Montalcino &amp; Montepulciano</t>
  </si>
  <si>
    <t>'Central': Emilia Romagna, Lazio, Marche, Abruzzo, Umbria</t>
  </si>
  <si>
    <t>'South': Campania, Calabria, Puglia</t>
  </si>
  <si>
    <t xml:space="preserve">'Islands': Elba &amp; Sardinia </t>
  </si>
  <si>
    <t>Sicily's Mt.Etna</t>
  </si>
  <si>
    <t>Sicily &amp; Pantelleria</t>
  </si>
  <si>
    <t>North-West: Rueda &amp; Rias Baixas, Ribeira Sacra, Bierzo</t>
  </si>
  <si>
    <t>North: Ribera del Duero, Pais Vasco, Rioja, Navarra</t>
  </si>
  <si>
    <t>East: Catalonia &amp; Valencia</t>
  </si>
  <si>
    <t>South: La Mancha, Andalucia</t>
  </si>
  <si>
    <t>Minho, Douro, Bairrada, Dao, Colares, Alentejo</t>
  </si>
  <si>
    <t>Danube zones: Wachau &amp; Kamptal</t>
  </si>
  <si>
    <t>Mosel &amp; Ruwer</t>
  </si>
  <si>
    <t>Franken, Nahe, Rheingau</t>
  </si>
  <si>
    <t>California: RRV, Napa</t>
  </si>
  <si>
    <t>Oregon, Virginia</t>
  </si>
  <si>
    <t>North Island: Martinborough</t>
  </si>
  <si>
    <t>South Island: Nelson, Central Otago</t>
  </si>
  <si>
    <t>Barossa &amp; Eden Valleys</t>
  </si>
  <si>
    <t>Sake, fortified wine &amp; spirits:</t>
  </si>
  <si>
    <t>Junmai Sake</t>
  </si>
  <si>
    <t>Port, Sherry</t>
  </si>
  <si>
    <t>Scotland, France, Italy, Japan</t>
  </si>
  <si>
    <t>Addenda:</t>
  </si>
  <si>
    <t>SELECTIONS OF:</t>
  </si>
  <si>
    <t>New listings by year</t>
  </si>
  <si>
    <t>Pre-mixed cases</t>
  </si>
  <si>
    <t>End of line: white, rosé, red</t>
  </si>
  <si>
    <t>'Running wines': sparkling, white, rosé, red, sweet</t>
  </si>
  <si>
    <t>SPECIAL ATTRIBUTE FOCUS:</t>
  </si>
  <si>
    <t>White: ungrafted, tvv, higher altitude, long elevage, long in-bottle maturation, NSA, orange</t>
  </si>
  <si>
    <t>Red: lightness, ungrafted, tvv, higher altitude, long elevage, long in-bottle maturation, NSA</t>
  </si>
  <si>
    <t xml:space="preserve">Superlatives, art labels, hommages, geological names, flora-inspired names, Burg monopoles, </t>
  </si>
  <si>
    <t>female ownership; wine celebration calendar; Chinese zodiac vintages; AOC birthdays</t>
  </si>
  <si>
    <t>GROWERS' GROUPS INFO, &amp; PUBLICATIONS' TERMINOLOGY</t>
  </si>
  <si>
    <t>LEVI DALTON'S 'I'LL DRINK TO THAT' INTERVIEW LIST</t>
  </si>
  <si>
    <t>TRADE SALES TERMS AND CONDITIONS</t>
  </si>
  <si>
    <t>Winery info.</t>
  </si>
  <si>
    <t>Wine</t>
  </si>
  <si>
    <t>Org Cert</t>
  </si>
  <si>
    <t>Type</t>
  </si>
  <si>
    <t>Year</t>
  </si>
  <si>
    <t>Size/Pack</t>
  </si>
  <si>
    <t>Trade £DPD</t>
  </si>
  <si>
    <t>Stock  Level</t>
  </si>
  <si>
    <t>England</t>
  </si>
  <si>
    <t>KIND WORDS ON CHARLES PALMER:</t>
  </si>
  <si>
    <t>from Judgement of Parson's Green 2013, on Charles Palmer 2009</t>
  </si>
  <si>
    <r>
      <rPr>
        <b/>
        <sz val="7"/>
        <color theme="1" tint="0.499984740745262"/>
        <rFont val="Noto Sans"/>
        <family val="2"/>
      </rPr>
      <t xml:space="preserve">Tom Stevenson </t>
    </r>
    <r>
      <rPr>
        <sz val="7"/>
        <color theme="1" tint="0.499984740745262"/>
        <rFont val="Noto Sans"/>
        <family val="2"/>
      </rPr>
      <t>'Quite remarkable for a first vintage...equal fourth' (best English sparkling wine)</t>
    </r>
  </si>
  <si>
    <r>
      <rPr>
        <b/>
        <sz val="7"/>
        <color theme="1" tint="0.499984740745262"/>
        <rFont val="Noto Sans"/>
        <family val="2"/>
      </rPr>
      <t>Tom Stevenson</t>
    </r>
    <r>
      <rPr>
        <sz val="7"/>
        <color theme="1" tint="0.499984740745262"/>
        <rFont val="Noto Sans"/>
        <family val="2"/>
      </rPr>
      <t xml:space="preserve"> 'a lovely smooth mousse, which I found particularly impressive, a slow-building, gentle richness of fruit.'</t>
    </r>
  </si>
  <si>
    <t>CHARLES PALMER</t>
  </si>
  <si>
    <t>METHODE TRADITIONELLE ROSÉ:</t>
  </si>
  <si>
    <t>VINEYARDS</t>
  </si>
  <si>
    <t>sp.p</t>
  </si>
  <si>
    <t>25CPALMER02</t>
  </si>
  <si>
    <t>Wickham Manor, Winchelsea, East Sussex</t>
  </si>
  <si>
    <t>METHODE TRADITIONELLE BLANC:</t>
  </si>
  <si>
    <t>Palmer family w.Will Davenport, consultant</t>
  </si>
  <si>
    <t>sp</t>
  </si>
  <si>
    <t>23CPALMER01</t>
  </si>
  <si>
    <t>300ha polycultural farm; 10ha vines</t>
  </si>
  <si>
    <t>22CPALMER01</t>
  </si>
  <si>
    <t>Kimmeridgian clay, 5 masl, 1 mile from sea</t>
  </si>
  <si>
    <t>22CPALMER02</t>
  </si>
  <si>
    <t>sustainable agriculture</t>
  </si>
  <si>
    <t>25CPALMER01</t>
  </si>
  <si>
    <t>ambient yeast; methode traditonelle only</t>
  </si>
  <si>
    <t>19CPALMER04</t>
  </si>
  <si>
    <t xml:space="preserve"> ~30mg/l free SO2</t>
  </si>
  <si>
    <t>RED WINE:</t>
  </si>
  <si>
    <t>THE WINES:</t>
  </si>
  <si>
    <t>r</t>
  </si>
  <si>
    <t>23CPALMER02</t>
  </si>
  <si>
    <r>
      <rPr>
        <b/>
        <sz val="7"/>
        <color theme="1" tint="0.499984740745262"/>
        <rFont val="Noto Sans"/>
        <family val="2"/>
      </rPr>
      <t>Classic Cuvée:</t>
    </r>
    <r>
      <rPr>
        <sz val="7"/>
        <color theme="1" tint="0.499984740745262"/>
        <rFont val="Noto Sans"/>
        <family val="2"/>
      </rPr>
      <t xml:space="preserve"> 60% p.noir, 40% chard, 3yrs lees</t>
    </r>
  </si>
  <si>
    <r>
      <rPr>
        <b/>
        <sz val="7"/>
        <color theme="1" tint="0.499984740745262"/>
        <rFont val="Noto Sans"/>
        <family val="2"/>
      </rPr>
      <t>Rosé:</t>
    </r>
    <r>
      <rPr>
        <sz val="7"/>
        <color theme="1" tint="0.499984740745262"/>
        <rFont val="Noto Sans"/>
        <family val="2"/>
      </rPr>
      <t xml:space="preserve"> pinot noir, 48hrs saignée, 2yrs lees</t>
    </r>
  </si>
  <si>
    <r>
      <rPr>
        <b/>
        <sz val="7"/>
        <color theme="1" tint="0.499984740745262"/>
        <rFont val="Noto Sans"/>
        <family val="2"/>
      </rPr>
      <t>Blanc de Blancs:</t>
    </r>
    <r>
      <rPr>
        <sz val="7"/>
        <color theme="1" tint="0.499984740745262"/>
        <rFont val="Noto Sans"/>
        <family val="2"/>
      </rPr>
      <t xml:space="preserve"> chardonnay, 3yrs lees</t>
    </r>
  </si>
  <si>
    <r>
      <rPr>
        <b/>
        <sz val="7"/>
        <color rgb="FF808080"/>
        <rFont val="Noto Sans"/>
        <family val="2"/>
      </rPr>
      <t>Special Cuvée:</t>
    </r>
    <r>
      <rPr>
        <sz val="7"/>
        <color rgb="FF808080"/>
        <rFont val="Noto Sans"/>
        <family val="2"/>
      </rPr>
      <t xml:space="preserve"> pinot noir, &gt;3yrs lees </t>
    </r>
  </si>
  <si>
    <t>TIMELINE IN BRIEF:</t>
  </si>
  <si>
    <t>2018 1st still wine: pinot noir</t>
  </si>
  <si>
    <t>2017 1st vintage in new winery on site</t>
  </si>
  <si>
    <t>2015 &amp; 2016 8ha planted</t>
  </si>
  <si>
    <t>2009 1st vintage, made at Will Davenport's winery</t>
  </si>
  <si>
    <t>2006 1st 2ha of pinot noir &amp; chardonnay planted</t>
  </si>
  <si>
    <t>1998 Palmer family start farming Wickham Manor</t>
  </si>
  <si>
    <t>1644 William Penn born &amp; lived here</t>
  </si>
  <si>
    <t>1580 date of oldest building</t>
  </si>
  <si>
    <t>CharlesPalmer-Vineyards.co.uk</t>
  </si>
  <si>
    <t>WickhamManor.co.uk</t>
  </si>
  <si>
    <t>facebook.com/charlespalmerenglishfinewine/</t>
  </si>
  <si>
    <t>instagram.com/charlespalmervineyards</t>
  </si>
  <si>
    <t>NB ACCOMODATION AVAILABLE</t>
  </si>
  <si>
    <t>GROWER CODE: CPALMER</t>
  </si>
  <si>
    <t>France, grower Champagne</t>
  </si>
  <si>
    <t>KIND WORDS ON BEAUFORT:</t>
  </si>
  <si>
    <r>
      <rPr>
        <b/>
        <sz val="7"/>
        <color theme="1" tint="0.499984740745262"/>
        <rFont val="Noto Sans"/>
        <family val="2"/>
      </rPr>
      <t>Galloni, 2009</t>
    </r>
    <r>
      <rPr>
        <sz val="7"/>
        <color theme="1" tint="0.499984740745262"/>
        <rFont val="Noto Sans"/>
        <family val="2"/>
      </rPr>
      <t xml:space="preserve"> 'Brut Reserve Grand Cru, made from 100% Ambonnay fruit, is an excellent introduction to the house style'</t>
    </r>
  </si>
  <si>
    <r>
      <rPr>
        <b/>
        <sz val="7"/>
        <color theme="1" tint="0.499984740745262"/>
        <rFont val="Noto Sans"/>
        <family val="2"/>
      </rPr>
      <t>Galloni, 2009</t>
    </r>
    <r>
      <rPr>
        <sz val="7"/>
        <color theme="1" tint="0.499984740745262"/>
        <rFont val="Noto Sans"/>
        <family val="2"/>
      </rPr>
      <t xml:space="preserve"> 'it is with the Brut Millesime Grand Cru, also from Ambonnay, that the domaine truly shines.'</t>
    </r>
  </si>
  <si>
    <r>
      <rPr>
        <b/>
        <sz val="7"/>
        <color theme="1" tint="0.499984740745262"/>
        <rFont val="Noto Sans"/>
        <family val="2"/>
      </rPr>
      <t>Galloni, 2009</t>
    </r>
    <r>
      <rPr>
        <sz val="7"/>
        <color theme="1" tint="0.499984740745262"/>
        <rFont val="Noto Sans"/>
        <family val="2"/>
      </rPr>
      <t xml:space="preserve"> 'The vintage wine from Polisy, in the Aube, can be excellent.'</t>
    </r>
  </si>
  <si>
    <r>
      <rPr>
        <b/>
        <sz val="7"/>
        <color theme="1" tint="0.499984740745262"/>
        <rFont val="Noto Sans"/>
        <family val="2"/>
      </rPr>
      <t>Galloni, 2009</t>
    </r>
    <r>
      <rPr>
        <sz val="7"/>
        <color theme="1" tint="0.499984740745262"/>
        <rFont val="Noto Sans"/>
        <family val="2"/>
      </rPr>
      <t xml:space="preserve"> 'late-disgorged wines are superb'</t>
    </r>
  </si>
  <si>
    <r>
      <rPr>
        <b/>
        <sz val="7"/>
        <color theme="1" tint="0.499984740745262"/>
        <rFont val="Noto Sans"/>
        <family val="2"/>
      </rPr>
      <t>Galloni, 2009</t>
    </r>
    <r>
      <rPr>
        <sz val="7"/>
        <color theme="1" tint="0.499984740745262"/>
        <rFont val="Noto Sans"/>
        <family val="2"/>
      </rPr>
      <t xml:space="preserve"> 'When Beaufort gets it right, though, the results are striking. … At their best, the Beaufort wines are exceptional'</t>
    </r>
  </si>
  <si>
    <r>
      <rPr>
        <b/>
        <sz val="7"/>
        <color theme="1" tint="0.499984740745262"/>
        <rFont val="Noto Sans"/>
        <family val="2"/>
      </rPr>
      <t>Galloni, 2009</t>
    </r>
    <r>
      <rPr>
        <sz val="7"/>
        <color theme="1" tint="0.499984740745262"/>
        <rFont val="Noto Sans"/>
        <family val="2"/>
      </rPr>
      <t xml:space="preserve"> 'some of the most pure, unadulterated and highly singular Champagnes readers are likely to come across.'</t>
    </r>
  </si>
  <si>
    <t>CHAMPAGNE</t>
  </si>
  <si>
    <t>POLISY:</t>
  </si>
  <si>
    <t>ANDRÉ BEAUFORT</t>
  </si>
  <si>
    <t>BACKGROUND:</t>
  </si>
  <si>
    <t>18ABFORT03</t>
  </si>
  <si>
    <t>Beaufort siblings Constant &amp; Réol, with</t>
  </si>
  <si>
    <t>11ABFORT07</t>
  </si>
  <si>
    <t>father Jacques mostly retired.</t>
  </si>
  <si>
    <t>11ABFORT17</t>
  </si>
  <si>
    <t>In 1970 started 'practising organic' farming</t>
  </si>
  <si>
    <t>AMBONNAY GC:</t>
  </si>
  <si>
    <t>with homeopathic treatments, lower SO2,</t>
  </si>
  <si>
    <t>18ABFORT11</t>
  </si>
  <si>
    <t>ambient yeast used for both ferments.</t>
  </si>
  <si>
    <t>18ABFORT05</t>
  </si>
  <si>
    <t>All bottlings display disgorgement date;</t>
  </si>
  <si>
    <t>18ABFORT06</t>
  </si>
  <si>
    <t>no dosage from 2009/2010. Unfined.</t>
  </si>
  <si>
    <t>~30mg/l SO2 at degorgement</t>
  </si>
  <si>
    <r>
      <rPr>
        <b/>
        <sz val="8"/>
        <color theme="1" tint="0.14999847407452621"/>
        <rFont val="Noto Sans"/>
        <family val="2"/>
      </rPr>
      <t>NB</t>
    </r>
    <r>
      <rPr>
        <sz val="8"/>
        <color theme="1" tint="0.14999847407452621"/>
        <rFont val="Noto Sans"/>
        <family val="2"/>
      </rPr>
      <t xml:space="preserve"> pressure can be a bit lower on halves,</t>
    </r>
  </si>
  <si>
    <t>older vintages, older disgorgements.</t>
  </si>
  <si>
    <t xml:space="preserve">'Denrées avec certains ingrédients </t>
  </si>
  <si>
    <t>biologiques, 1997-2011'</t>
  </si>
  <si>
    <t>Organic certified 2012 Certipaq</t>
  </si>
  <si>
    <t>Ⓥ Vegan compatible</t>
  </si>
  <si>
    <t>KEY WINES:</t>
  </si>
  <si>
    <r>
      <rPr>
        <b/>
        <sz val="7"/>
        <color theme="1" tint="0.499984740745262"/>
        <rFont val="Noto Sans"/>
        <family val="2"/>
      </rPr>
      <t>Ambonnay GC</t>
    </r>
    <r>
      <rPr>
        <sz val="7"/>
        <color theme="1" tint="0.499984740745262"/>
        <rFont val="Noto Sans"/>
        <family val="2"/>
      </rPr>
      <t xml:space="preserve"> Montagne de Reims 1.6ha</t>
    </r>
  </si>
  <si>
    <t>&gt;50yrs old, 90% pinot noir, 10% chardonnay</t>
  </si>
  <si>
    <r>
      <rPr>
        <b/>
        <sz val="7"/>
        <color theme="1" tint="0.499984740745262"/>
        <rFont val="Noto Sans"/>
        <family val="2"/>
      </rPr>
      <t>Polisy, Aube/Cote des Bar:</t>
    </r>
    <r>
      <rPr>
        <sz val="7"/>
        <color theme="1" tint="0.499984740745262"/>
        <rFont val="Noto Sans"/>
        <family val="2"/>
      </rPr>
      <t xml:space="preserve"> 6.2ha, &gt;40yrs old,</t>
    </r>
  </si>
  <si>
    <t>80% pinot noir, 20% chardonnay</t>
  </si>
  <si>
    <r>
      <rPr>
        <b/>
        <sz val="7"/>
        <color theme="1" tint="0.499984740745262"/>
        <rFont val="Noto Sans"/>
        <family val="2"/>
      </rPr>
      <t>NB 'Reserve'</t>
    </r>
    <r>
      <rPr>
        <sz val="7"/>
        <color theme="1" tint="0.499984740745262"/>
        <rFont val="Noto Sans"/>
        <family val="2"/>
      </rPr>
      <t xml:space="preserve"> label is usually the 1st release</t>
    </r>
  </si>
  <si>
    <t>of a single vintage, with less aging as 'nv'</t>
  </si>
  <si>
    <t>ChampagneBeaufort.net</t>
  </si>
  <si>
    <t>GROWER CODE: ABFORT</t>
  </si>
  <si>
    <t>ALBERT BEERENS</t>
  </si>
  <si>
    <t>19BEERENS03</t>
  </si>
  <si>
    <t>Côte des Bar, 7ha vines. Founded 1862</t>
  </si>
  <si>
    <t>23BEERENS01</t>
  </si>
  <si>
    <t>Anne-Laure Beerens, with Olivier Desfossé</t>
  </si>
  <si>
    <t>23BEERENS02</t>
  </si>
  <si>
    <t>Blancs = 30% reserve wine</t>
  </si>
  <si>
    <t>22BEERENS04</t>
  </si>
  <si>
    <t>fresh tisane program to reduce copper</t>
  </si>
  <si>
    <t>22BEERENS05</t>
  </si>
  <si>
    <t>permanent cover crop</t>
  </si>
  <si>
    <t>22BEERENS01MG</t>
  </si>
  <si>
    <t>Sustainable certified Terra Vitis</t>
  </si>
  <si>
    <t>Organic certified 2024 Ecocert</t>
  </si>
  <si>
    <t>ChampagneBeerens.com</t>
  </si>
  <si>
    <t>facebook.com/champagnebeerens/</t>
  </si>
  <si>
    <t>instagram.com/champagnebeerens/</t>
  </si>
  <si>
    <t>TerraVitis.com</t>
  </si>
  <si>
    <t>GROWER CODE: BEERENS</t>
  </si>
  <si>
    <t>AUGUSTIN ON AUGUSTIN:</t>
  </si>
  <si>
    <r>
      <rPr>
        <b/>
        <sz val="7"/>
        <color theme="1" tint="0.499984740745262"/>
        <rFont val="Noto Sans"/>
        <family val="2"/>
      </rPr>
      <t xml:space="preserve">Motto </t>
    </r>
    <r>
      <rPr>
        <sz val="7"/>
        <color theme="1" tint="0.499984740745262"/>
        <rFont val="Noto Sans"/>
        <family val="2"/>
      </rPr>
      <t>'Coeurviticulture: winemaking with a heart'</t>
    </r>
  </si>
  <si>
    <r>
      <rPr>
        <b/>
        <sz val="7"/>
        <color theme="1" tint="0.499984740745262"/>
        <rFont val="Noto Sans"/>
        <family val="2"/>
      </rPr>
      <t>M&amp;E</t>
    </r>
    <r>
      <rPr>
        <sz val="7"/>
        <color theme="1" tint="0.499984740745262"/>
        <rFont val="Noto Sans"/>
        <family val="2"/>
      </rPr>
      <t xml:space="preserve"> 'The World is a single entity and every action generates a reaction. Let’s choose positive actions which promote harmony.'</t>
    </r>
  </si>
  <si>
    <r>
      <rPr>
        <b/>
        <sz val="7"/>
        <color theme="1" tint="0.499984740745262"/>
        <rFont val="Noto Sans"/>
        <family val="2"/>
      </rPr>
      <t>M&amp;E</t>
    </r>
    <r>
      <rPr>
        <sz val="7"/>
        <color theme="1" tint="0.499984740745262"/>
        <rFont val="Noto Sans"/>
        <family val="2"/>
      </rPr>
      <t xml:space="preserve"> 'Vines form the bridge between the earth and man. Earth vines and man form the magic tryptych which governs our grape production. </t>
    </r>
  </si>
  <si>
    <t>Three components, three entities, three living things. Singly, they have no meaning, but all three interact with each other.'</t>
  </si>
  <si>
    <r>
      <rPr>
        <b/>
        <sz val="7"/>
        <color theme="1" tint="0.499984740745262"/>
        <rFont val="Noto Sans"/>
        <family val="2"/>
      </rPr>
      <t>M&amp;E</t>
    </r>
    <r>
      <rPr>
        <sz val="7"/>
        <color theme="1" tint="0.499984740745262"/>
        <rFont val="Noto Sans"/>
        <family val="2"/>
      </rPr>
      <t xml:space="preserve"> 'Respect for air quality, water and biodiversity and special attention to protecting soil life ensure that the Augustin terroir is faithfully reflected in its wines.'</t>
    </r>
  </si>
  <si>
    <r>
      <rPr>
        <b/>
        <sz val="7"/>
        <color theme="1" tint="0.499984740745262"/>
        <rFont val="Noto Sans"/>
        <family val="2"/>
      </rPr>
      <t>Marc '</t>
    </r>
    <r>
      <rPr>
        <sz val="7"/>
        <color theme="1" tint="0.499984740745262"/>
        <rFont val="Noto Sans"/>
        <family val="2"/>
      </rPr>
      <t>From the very outset, my aim has been to practise green viticulture, leaving the smallest possible footprint on the environment in which we live.'</t>
    </r>
  </si>
  <si>
    <r>
      <rPr>
        <b/>
        <sz val="7"/>
        <color theme="1" tint="0.499984740745262"/>
        <rFont val="Noto Sans"/>
        <family val="2"/>
      </rPr>
      <t>M&amp;E</t>
    </r>
    <r>
      <rPr>
        <sz val="7"/>
        <color theme="1" tint="0.499984740745262"/>
        <rFont val="Noto Sans"/>
        <family val="2"/>
      </rPr>
      <t xml:space="preserve"> 'We need to move away from overly mechanised approaches and combine the sensitivity of our hearts with the power of thought.'</t>
    </r>
  </si>
  <si>
    <r>
      <rPr>
        <b/>
        <sz val="7"/>
        <color theme="1" tint="0.499984740745262"/>
        <rFont val="Noto Sans"/>
        <family val="2"/>
      </rPr>
      <t>Marc</t>
    </r>
    <r>
      <rPr>
        <sz val="7"/>
        <color theme="1" tint="0.499984740745262"/>
        <rFont val="Noto Sans"/>
        <family val="2"/>
      </rPr>
      <t xml:space="preserve"> 'My vineyard is like a canvas. Beauty emerges if you take the very best of each element, allow the alchemy to operate. This is how our cuvées are created.'</t>
    </r>
  </si>
  <si>
    <r>
      <rPr>
        <b/>
        <sz val="7"/>
        <color theme="1" tint="0.499984740745262"/>
        <rFont val="Noto Sans"/>
        <family val="2"/>
      </rPr>
      <t xml:space="preserve">Marc </t>
    </r>
    <r>
      <rPr>
        <sz val="7"/>
        <color theme="1" tint="0.499984740745262"/>
        <rFont val="Noto Sans"/>
        <family val="2"/>
      </rPr>
      <t>'"Coeurviticulture": being a winemaker with a heart is about putting one's heart into making wine'</t>
    </r>
  </si>
  <si>
    <r>
      <rPr>
        <b/>
        <sz val="7"/>
        <color theme="1" tint="0.499984740745262"/>
        <rFont val="Noto Sans"/>
        <family val="2"/>
      </rPr>
      <t xml:space="preserve">M&amp;E </t>
    </r>
    <r>
      <rPr>
        <sz val="7"/>
        <color theme="1" tint="0.499984740745262"/>
        <rFont val="Noto Sans"/>
        <family val="2"/>
      </rPr>
      <t>'Sometimes you have to remember to listen to what your inner voice is telling you'</t>
    </r>
  </si>
  <si>
    <r>
      <rPr>
        <b/>
        <sz val="7"/>
        <color theme="1" tint="0.499984740745262"/>
        <rFont val="Noto Sans"/>
        <family val="2"/>
      </rPr>
      <t>M&amp;E</t>
    </r>
    <r>
      <rPr>
        <sz val="7"/>
        <color theme="1" tint="0.499984740745262"/>
        <rFont val="Noto Sans"/>
        <family val="2"/>
      </rPr>
      <t xml:space="preserve"> '2012 was a dreadful year; my vines suffered appallingly and I suffered on their behalf. Emmanuelle made the link and noticed this connection.</t>
    </r>
  </si>
  <si>
    <t>Since then, we have decided to make a fresh start and produce our champagne in line with our own values.'</t>
  </si>
  <si>
    <r>
      <rPr>
        <b/>
        <sz val="7"/>
        <color theme="1" tint="0.499984740745262"/>
        <rFont val="Noto Sans"/>
        <family val="2"/>
      </rPr>
      <t>Marc</t>
    </r>
    <r>
      <rPr>
        <sz val="7"/>
        <color theme="1" tint="0.499984740745262"/>
        <rFont val="Noto Sans"/>
        <family val="2"/>
      </rPr>
      <t xml:space="preserve"> 'Now it is my turn to improve what I will be passing on.'</t>
    </r>
  </si>
  <si>
    <t>CHAMPAGNE AUGUSTIN:</t>
  </si>
  <si>
    <t>CHAMPAGNE BLANC DE PINOT NOIR BRUT-ZERO:</t>
  </si>
  <si>
    <t>'COEURVITICULTURE'</t>
  </si>
  <si>
    <t>22AUGUSTIN01</t>
  </si>
  <si>
    <t>Marc &amp; Emmanuelle Augustin</t>
  </si>
  <si>
    <t>22AUGUSTIN03</t>
  </si>
  <si>
    <t>Avenay Val d'Or, next to Ay</t>
  </si>
  <si>
    <t>22AUGUSTIN02</t>
  </si>
  <si>
    <t>Parc National de La Montagne de Reims</t>
  </si>
  <si>
    <t>CHAMPAGNE ROSÉ DE PINOT NOIR BRUT-ZERO:</t>
  </si>
  <si>
    <t>Organic certified 2016 Ecocert</t>
  </si>
  <si>
    <t>22AUGUSTIN04</t>
  </si>
  <si>
    <t>Practicing biodynamic since 2013,</t>
  </si>
  <si>
    <t>22AUGUSTIN05</t>
  </si>
  <si>
    <t>formal conversion started 2016. Ambient yeast</t>
  </si>
  <si>
    <t>Cover cropping with flax or légumes</t>
  </si>
  <si>
    <r>
      <rPr>
        <b/>
        <sz val="8"/>
        <color theme="1" tint="0.14999847407452621"/>
        <rFont val="Noto Sans"/>
        <family val="2"/>
      </rPr>
      <t>TERRE: Pinot Noir</t>
    </r>
    <r>
      <rPr>
        <sz val="8"/>
        <color theme="1" tint="0.499984740745262"/>
        <rFont val="Noto Sans"/>
        <family val="2"/>
      </rPr>
      <t xml:space="preserve"> ~25yr old vines (becoming known as cuvée CCXCI, 291)</t>
    </r>
  </si>
  <si>
    <t>Tressage, aka braiding of the shoots</t>
  </si>
  <si>
    <t>'The earth represents the maternal element which is solid and stable. An organic-flavoured,</t>
  </si>
  <si>
    <t>'HomSham' homeopathy for the vines</t>
  </si>
  <si>
    <t xml:space="preserve">powerful, elegant cuvée. It embodies structure, dry matter, and minerality.'
</t>
  </si>
  <si>
    <t>To date all are SSA - sans souffre ajoutée</t>
  </si>
  <si>
    <r>
      <rPr>
        <b/>
        <sz val="8"/>
        <color theme="1" tint="0.14999847407452621"/>
        <rFont val="Noto Sans"/>
        <family val="2"/>
      </rPr>
      <t>FEU: Pinot Noir VV</t>
    </r>
    <r>
      <rPr>
        <sz val="8"/>
        <color theme="1" tint="0.499984740745262"/>
        <rFont val="Noto Sans"/>
        <family val="2"/>
      </rPr>
      <t xml:space="preserve"> (becoming known as cuvée CCCI, 301)</t>
    </r>
  </si>
  <si>
    <t>All wines are brut zero, aka brut nature</t>
  </si>
  <si>
    <t>'Fire is hot, radiant, unrestrained and unpredictable. A bright, harmonious, invigorating cuvée.</t>
  </si>
  <si>
    <t>Champagne-Augustin.com</t>
  </si>
  <si>
    <t xml:space="preserve">Its heat can transform and its varying degrees of intensity make it versatile.'
</t>
  </si>
  <si>
    <t>instagram.com/champagne_augustin/</t>
  </si>
  <si>
    <t>EAU: 'O2 Rosée', Pinot Noir VV Rosé</t>
  </si>
  <si>
    <t>NEW LISTING FOR 2022</t>
  </si>
  <si>
    <t>'O2 Rosée is water, the fourth element. The epilogue of the elemental range. Water is the source</t>
  </si>
  <si>
    <t>GROWER CODE: AUGUSTIN</t>
  </si>
  <si>
    <t xml:space="preserve">of life, without water nothing is possible. Man and Water are one and the same…'
</t>
  </si>
  <si>
    <r>
      <rPr>
        <b/>
        <sz val="8"/>
        <color theme="1" tint="0.14999847407452621"/>
        <rFont val="Noto Sans"/>
        <family val="2"/>
      </rPr>
      <t>CXVI:</t>
    </r>
    <r>
      <rPr>
        <sz val="8"/>
        <color theme="1" tint="0.499984740745262"/>
        <rFont val="Noto Sans"/>
        <family val="2"/>
      </rPr>
      <t xml:space="preserve"> </t>
    </r>
    <r>
      <rPr>
        <b/>
        <sz val="8"/>
        <color theme="1" tint="0.14999847407452621"/>
        <rFont val="Noto Sans"/>
        <family val="2"/>
      </rPr>
      <t>Pinot Noir.</t>
    </r>
    <r>
      <rPr>
        <sz val="8"/>
        <color theme="1" tint="0.499984740745262"/>
        <rFont val="Noto Sans"/>
        <family val="2"/>
      </rPr>
      <t xml:space="preserve"> 116 aka sans seize aka sans souffre ajouté - (jeux de mots at it's best)</t>
    </r>
  </si>
  <si>
    <t>'A combination of the four elements in perfect harmony. The apogée.'</t>
  </si>
  <si>
    <t>GAÏA: Pinot Noir VV Rosé from Grigny parcel</t>
  </si>
  <si>
    <t>'After harvest, the grapes are pressed 100 meters away. Two seasons later, after bottling, GAIA</t>
  </si>
  <si>
    <t>is brought back to Grigny and buried, the soil becomes a cellar for 24 months 'geomaturation.'</t>
  </si>
  <si>
    <t>The perfect alchemy'</t>
  </si>
  <si>
    <t>KIND WORDS ON H.BILLIOT, etc.:</t>
  </si>
  <si>
    <r>
      <rPr>
        <b/>
        <sz val="7"/>
        <color theme="1" tint="0.499984740745262"/>
        <rFont val="Noto Sans"/>
        <family val="2"/>
      </rPr>
      <t>Peter Liem</t>
    </r>
    <r>
      <rPr>
        <sz val="7"/>
        <color theme="1" tint="0.499984740745262"/>
        <rFont val="Noto Sans"/>
        <family val="2"/>
      </rPr>
      <t xml:space="preserve"> 'Billiot’s wines are packed with plenty of flavor, yet at their best, they combine their depth with a rare elegance and harmony that</t>
    </r>
  </si>
  <si>
    <t>sets them apart from many of their peers.'</t>
  </si>
  <si>
    <r>
      <t xml:space="preserve">Galloni, 2018 </t>
    </r>
    <r>
      <rPr>
        <sz val="7"/>
        <color theme="1" tint="0.499984740745262"/>
        <rFont val="Noto Sans"/>
        <family val="2"/>
      </rPr>
      <t>'Billiot Champagnes are quirky yet highly intriguing.'</t>
    </r>
  </si>
  <si>
    <r>
      <t xml:space="preserve">Galloni, 2016 </t>
    </r>
    <r>
      <rPr>
        <sz val="7"/>
        <color theme="1" tint="0.499984740745262"/>
        <rFont val="Noto Sans"/>
        <family val="2"/>
      </rPr>
      <t>'at their best they capture the breadth and intensity that makes Ambonnay such a unique place within...Champagne'</t>
    </r>
  </si>
  <si>
    <r>
      <t>Galloni, 2013</t>
    </r>
    <r>
      <rPr>
        <sz val="7"/>
        <color theme="1" tint="0.499984740745262"/>
        <rFont val="Noto Sans"/>
        <family val="2"/>
      </rPr>
      <t xml:space="preserve"> 'one of my favorite growers in Ambonnay. Billiot Champagnes are generally vinous, warm and resonant, a combination of classic</t>
    </r>
  </si>
  <si>
    <t>Ambonnay signatures and vinification in oak, an approach used for (Cuvée Julie)'</t>
  </si>
  <si>
    <r>
      <t xml:space="preserve">Galloni, 2011 </t>
    </r>
    <r>
      <rPr>
        <sz val="7"/>
        <color theme="1" tint="0.499984740745262"/>
        <rFont val="Noto Sans"/>
        <family val="2"/>
      </rPr>
      <t>'Billiot, a small, family-run winery in Ambonnay, is well worth a visit.'</t>
    </r>
  </si>
  <si>
    <r>
      <rPr>
        <b/>
        <sz val="7"/>
        <color theme="1" tint="0.499984740745262"/>
        <rFont val="Noto Sans"/>
        <family val="2"/>
      </rPr>
      <t>Galloni, 2009</t>
    </r>
    <r>
      <rPr>
        <sz val="7"/>
        <color theme="1" tint="0.499984740745262"/>
        <rFont val="Noto Sans"/>
        <family val="2"/>
      </rPr>
      <t xml:space="preserve"> 'The Billiot family farms a total of 5 hectares in Ambonnay, where Pinot Noir reigns supreme. These unfiltered, low-dosage,</t>
    </r>
  </si>
  <si>
    <t>no-malo Champagnes are exceptionally pure and loaded with personality.'</t>
  </si>
  <si>
    <r>
      <t>Galloni, 2008</t>
    </r>
    <r>
      <rPr>
        <sz val="7"/>
        <color theme="1" tint="0.499984740745262"/>
        <rFont val="Noto Sans"/>
        <family val="2"/>
      </rPr>
      <t xml:space="preserve"> 'some of the finest Champagnes being made today… This is a superb set of wines from top to bottom.'</t>
    </r>
  </si>
  <si>
    <r>
      <t>Laetitia Billiot</t>
    </r>
    <r>
      <rPr>
        <sz val="7"/>
        <color theme="1" tint="0.499984740745262"/>
        <rFont val="Noto Sans"/>
        <family val="2"/>
      </rPr>
      <t xml:space="preserve"> 'The wines of Ambonnay are very vinous, with a lot of strength, but they are also very fine, with delicacy and finesse. They stay fresh...'</t>
    </r>
  </si>
  <si>
    <t>KIND WORDS ON THE SPECIAL CUVÉES:</t>
  </si>
  <si>
    <r>
      <rPr>
        <b/>
        <sz val="7"/>
        <color theme="1" tint="0.499984740745262"/>
        <rFont val="Noto Sans"/>
        <family val="2"/>
      </rPr>
      <t>Galloni, 2020</t>
    </r>
    <r>
      <rPr>
        <sz val="7"/>
        <color theme="1" tint="0.499984740745262"/>
        <rFont val="Noto Sans"/>
        <family val="2"/>
      </rPr>
      <t xml:space="preserve"> 'Cuvée Laetitia is terrific, especially in the way it balances energy with the richness of Ambonnay. The addition of reserve wines</t>
    </r>
  </si>
  <si>
    <t>back to 1983 adds considerable nuance and complexity. The are some rough edges, but also enough personality to look past them.'</t>
  </si>
  <si>
    <r>
      <rPr>
        <b/>
        <sz val="7"/>
        <color theme="1" tint="0.499984740745262"/>
        <rFont val="Noto Sans"/>
        <family val="2"/>
      </rPr>
      <t xml:space="preserve">Galloni, 2019 </t>
    </r>
    <r>
      <rPr>
        <sz val="7"/>
        <color theme="1" tint="0.499984740745262"/>
        <rFont val="Noto Sans"/>
        <family val="2"/>
      </rPr>
      <t>'Cuvée Laetitia is positively stellar. Moreover, it captures the Billiot house style at its very best. ...tons of allure. But what I like most…</t>
    </r>
  </si>
  <si>
    <t>is a sense of energy that provides striking cut to play off the natural richness of Ambonnay. Much of that comes from the presence of Chardonnay'</t>
  </si>
  <si>
    <r>
      <rPr>
        <b/>
        <sz val="7"/>
        <color theme="1" tint="0.499984740745262"/>
        <rFont val="Noto Sans"/>
        <family val="2"/>
      </rPr>
      <t>Galloni, 2018</t>
    </r>
    <r>
      <rPr>
        <sz val="7"/>
        <color theme="1" tint="0.499984740745262"/>
        <rFont val="Noto Sans"/>
        <family val="2"/>
      </rPr>
      <t xml:space="preserve"> 'Cuvée Laetitia is striking in the way it brings together the richness this wine is known for with a good bit of freshness to balance things</t>
    </r>
  </si>
  <si>
    <t>out. Layered and dense on the palate, with striking aromatic presence, the Cuvée Laetitia is quirky, but also fascinating in its own way.'</t>
  </si>
  <si>
    <r>
      <rPr>
        <b/>
        <sz val="7"/>
        <color theme="1" tint="0.499984740745262"/>
        <rFont val="Noto Sans"/>
        <family val="2"/>
      </rPr>
      <t>Galloni 2015 '</t>
    </r>
    <r>
      <rPr>
        <sz val="7"/>
        <color theme="1" tint="0.499984740745262"/>
        <rFont val="Noto Sans"/>
        <family val="2"/>
      </rPr>
      <t>Cuvée Laetitia shows just how compelling the Billiot Champagnes can be. Deep, powerful and nicely layered in the glass, the Cuvée</t>
    </r>
  </si>
  <si>
    <t>Laetitia offers striking depth and power. The Laetitia is 60% Chardonnay and 40% Pinot Noir, but it is the textural resonance of Ambonnay that is</t>
  </si>
  <si>
    <t>most evident. This is a terrific example of the Billiot style at its best.'</t>
  </si>
  <si>
    <r>
      <rPr>
        <b/>
        <sz val="7"/>
        <color theme="1" tint="0.499984740745262"/>
        <rFont val="Noto Sans"/>
        <family val="2"/>
      </rPr>
      <t>Galloni, 2016</t>
    </r>
    <r>
      <rPr>
        <sz val="7"/>
        <color theme="1" tint="0.499984740745262"/>
        <rFont val="Noto Sans"/>
        <family val="2"/>
      </rPr>
      <t xml:space="preserve"> '2012 Brut Millésimé is a big, powerful wine that captures the natural intensity of Ambonnay. Even so, the 2012 is raw, tightly</t>
    </r>
  </si>
  <si>
    <t>wound and in need of cellaring despite its considerable appeal and potential. There is no shortage of intensity to the dry, bracing finish.'</t>
  </si>
  <si>
    <r>
      <rPr>
        <b/>
        <sz val="7"/>
        <color theme="1" tint="0.499984740745262"/>
        <rFont val="Noto Sans"/>
        <family val="2"/>
      </rPr>
      <t>Galloni, 2009</t>
    </r>
    <r>
      <rPr>
        <sz val="7"/>
        <color theme="1" tint="0.499984740745262"/>
        <rFont val="Noto Sans"/>
        <family val="2"/>
      </rPr>
      <t xml:space="preserve"> 'The 2002 Brut Millésime literally shimmers on the palate with stunning richness and power. With time in the glass, the wine's more</t>
    </r>
  </si>
  <si>
    <t>refined qualities come to life, completing this magnificent Champagne. Simply put, this is stunning juice.'</t>
  </si>
  <si>
    <r>
      <t xml:space="preserve">BILLIOT, Henri, </t>
    </r>
    <r>
      <rPr>
        <b/>
        <sz val="10"/>
        <color theme="1" tint="0.14999847407452621"/>
        <rFont val="Noto Sans"/>
        <family val="2"/>
      </rPr>
      <t>by</t>
    </r>
  </si>
  <si>
    <t>15BILLI01TB</t>
  </si>
  <si>
    <t>LAETITIA BILLIOT</t>
  </si>
  <si>
    <t>22BILLI01</t>
  </si>
  <si>
    <t>Laetitia is 5th generation. 4.7ha, 18 parcels</t>
  </si>
  <si>
    <t>22BILLI01MG</t>
  </si>
  <si>
    <t>of Ambonnay GC: 75% pinot, 25% chard</t>
  </si>
  <si>
    <t>22BILLI02</t>
  </si>
  <si>
    <t>11BILLIOT21</t>
  </si>
  <si>
    <t xml:space="preserve">no mlf; unfiltered </t>
  </si>
  <si>
    <t>22BILLI03</t>
  </si>
  <si>
    <t>THE CUVÉES:</t>
  </si>
  <si>
    <t>22BILLI04</t>
  </si>
  <si>
    <r>
      <rPr>
        <b/>
        <sz val="7"/>
        <color theme="1" tint="0.499984740745262"/>
        <rFont val="Noto Sans"/>
        <family val="2"/>
      </rPr>
      <t xml:space="preserve">Reserve: </t>
    </r>
    <r>
      <rPr>
        <sz val="7"/>
        <color theme="1" tint="0.499984740745262"/>
        <rFont val="Noto Sans"/>
        <family val="2"/>
      </rPr>
      <t>3 vintage blend, 75PN 25% Ch.</t>
    </r>
  </si>
  <si>
    <r>
      <rPr>
        <b/>
        <sz val="7"/>
        <color theme="1" tint="0.499984740745262"/>
        <rFont val="Noto Sans"/>
        <family val="2"/>
      </rPr>
      <t>Rosé:</t>
    </r>
    <r>
      <rPr>
        <sz val="7"/>
        <color theme="1" tint="0.499984740745262"/>
        <rFont val="Noto Sans"/>
        <family val="2"/>
      </rPr>
      <t xml:space="preserve"> pinot aged 18-24mths in cask, 80% PN</t>
    </r>
  </si>
  <si>
    <r>
      <rPr>
        <b/>
        <sz val="7"/>
        <color theme="1" tint="0.499984740745262"/>
        <rFont val="Noto Sans"/>
        <family val="2"/>
      </rPr>
      <t xml:space="preserve">Millésimé: </t>
    </r>
    <r>
      <rPr>
        <sz val="7"/>
        <color theme="1" tint="0.499984740745262"/>
        <rFont val="Noto Sans"/>
        <family val="2"/>
      </rPr>
      <t>vintage, min 4yrs on lees, 70% PN</t>
    </r>
  </si>
  <si>
    <r>
      <rPr>
        <b/>
        <sz val="7"/>
        <color theme="1" tint="0.499984740745262"/>
        <rFont val="Noto Sans"/>
        <family val="2"/>
      </rPr>
      <t xml:space="preserve">Laetitia: </t>
    </r>
    <r>
      <rPr>
        <sz val="7"/>
        <color theme="1" tint="0.499984740745262"/>
        <rFont val="Noto Sans"/>
        <family val="2"/>
      </rPr>
      <t>~60% chard, ~40% solera reserve wines</t>
    </r>
  </si>
  <si>
    <r>
      <rPr>
        <b/>
        <sz val="7"/>
        <color theme="1" tint="0.499984740745262"/>
        <rFont val="Noto Sans"/>
        <family val="2"/>
      </rPr>
      <t xml:space="preserve">Julie: </t>
    </r>
    <r>
      <rPr>
        <sz val="7"/>
        <color theme="1" tint="0.499984740745262"/>
        <rFont val="Noto Sans"/>
        <family val="2"/>
      </rPr>
      <t>cask fermented, with mlf</t>
    </r>
  </si>
  <si>
    <r>
      <rPr>
        <b/>
        <sz val="7"/>
        <color theme="1" tint="0.499984740745262"/>
        <rFont val="Noto Sans"/>
        <family val="2"/>
      </rPr>
      <t>Essence</t>
    </r>
    <r>
      <rPr>
        <sz val="7"/>
        <color theme="1" tint="0.499984740745262"/>
        <rFont val="Noto Sans"/>
        <family val="2"/>
      </rPr>
      <t>: cask fermented from Les Clos, 
Le Feuchère</t>
    </r>
  </si>
  <si>
    <t>TIMELINE (IN BRIEF):</t>
  </si>
  <si>
    <t>2010 Serge (4th gen) retires; Laetitia takes over</t>
  </si>
  <si>
    <t>1992 Laetitia joins</t>
  </si>
  <si>
    <t>1983 Serge starts the solera for cuvée Laetitia</t>
  </si>
  <si>
    <t>1960 Henri Billiot founds his label &amp; cellars</t>
  </si>
  <si>
    <t>1937 Louis starts Billiot label</t>
  </si>
  <si>
    <t>1896 miller Eugene Billiot buys land, sells grapes</t>
  </si>
  <si>
    <t>ChampagneBilliot.fr</t>
  </si>
  <si>
    <t>instagram.com/champagnehbilliot_/</t>
  </si>
  <si>
    <t>GROWER CODE: BILLI</t>
  </si>
  <si>
    <t>KIND WORDS ON BENOIT DEHU:</t>
  </si>
  <si>
    <r>
      <rPr>
        <b/>
        <sz val="7"/>
        <color theme="1" tint="0.499984740745262"/>
        <rFont val="Noto Sans"/>
        <family val="2"/>
      </rPr>
      <t xml:space="preserve">Motto: </t>
    </r>
    <r>
      <rPr>
        <i/>
        <sz val="7"/>
        <color theme="1" tint="0.499984740745262"/>
        <rFont val="Noto Sans"/>
        <family val="2"/>
      </rPr>
      <t>&lt;Vigneron Contemporain à Fossy&gt;</t>
    </r>
  </si>
  <si>
    <r>
      <rPr>
        <b/>
        <sz val="7"/>
        <color theme="1" tint="0.499984740745262"/>
        <rFont val="Noto Sans"/>
        <family val="2"/>
      </rPr>
      <t>Galloni, 2020</t>
    </r>
    <r>
      <rPr>
        <sz val="7"/>
        <color theme="1" tint="0.499984740745262"/>
        <rFont val="Noto Sans"/>
        <family val="2"/>
      </rPr>
      <t xml:space="preserve"> 'Rue des Noyers (2016) one of the most distinctive, moving Champagnes I tasted this year'</t>
    </r>
  </si>
  <si>
    <r>
      <rPr>
        <b/>
        <sz val="7"/>
        <color theme="1" tint="0.499984740745262"/>
        <rFont val="Noto Sans"/>
        <family val="2"/>
      </rPr>
      <t>Galloni, 2019</t>
    </r>
    <r>
      <rPr>
        <sz val="7"/>
        <color theme="1" tint="0.499984740745262"/>
        <rFont val="Noto Sans"/>
        <family val="2"/>
      </rPr>
      <t xml:space="preserve"> 'Initiation (2016) is one of the most singular Champagnes I tasted all year. Don’t miss it.'</t>
    </r>
  </si>
  <si>
    <r>
      <rPr>
        <b/>
        <sz val="7"/>
        <color theme="1" tint="0.499984740745262"/>
        <rFont val="Noto Sans"/>
        <family val="2"/>
      </rPr>
      <t>Galloni, 2017</t>
    </r>
    <r>
      <rPr>
        <sz val="7"/>
        <color theme="1" tint="0.499984740745262"/>
        <rFont val="Noto Sans"/>
        <family val="2"/>
      </rPr>
      <t xml:space="preserve"> 'has established itself as one of the most compelling wines in Champagne'</t>
    </r>
  </si>
  <si>
    <r>
      <rPr>
        <b/>
        <sz val="7"/>
        <color theme="1" tint="0.499984740745262"/>
        <rFont val="Noto Sans"/>
        <family val="2"/>
      </rPr>
      <t>Galloni, 2016</t>
    </r>
    <r>
      <rPr>
        <sz val="7"/>
        <color theme="1" tint="0.499984740745262"/>
        <rFont val="Noto Sans"/>
        <family val="2"/>
      </rPr>
      <t xml:space="preserve"> 'Benoit Déhu is a young grower to watch'</t>
    </r>
  </si>
  <si>
    <r>
      <rPr>
        <b/>
        <sz val="7"/>
        <color theme="1" tint="0.499984740745262"/>
        <rFont val="Noto Sans"/>
        <family val="2"/>
      </rPr>
      <t>Galloni, 2014</t>
    </r>
    <r>
      <rPr>
        <sz val="7"/>
        <color theme="1" tint="0.499984740745262"/>
        <rFont val="Noto Sans"/>
        <family val="2"/>
      </rPr>
      <t xml:space="preserve"> '(Rue des Noyers Brut 2011) one of the most impressive wines I tasted this year. A vivid and crystalline Champagne'</t>
    </r>
  </si>
  <si>
    <r>
      <t>Charles Curtis MW:</t>
    </r>
    <r>
      <rPr>
        <sz val="7"/>
        <color theme="1" tint="0.499984740745262"/>
        <rFont val="Noto Sans"/>
        <family val="2"/>
      </rPr>
      <t xml:space="preserve"> 'A surprising young talent.'</t>
    </r>
  </si>
  <si>
    <t>DEHU, Benoit</t>
  </si>
  <si>
    <t>CHAMPAGNE ROSÉ:</t>
  </si>
  <si>
    <t>Vallée de La Marne; 8th generation Benoit</t>
  </si>
  <si>
    <t>21BDEHU06</t>
  </si>
  <si>
    <t>Dehu, an ex-Bollinger winemaker</t>
  </si>
  <si>
    <t>21BDEHU05</t>
  </si>
  <si>
    <t>local forest cask program, plus Austrian:</t>
  </si>
  <si>
    <t>20BDEHU04</t>
  </si>
  <si>
    <t xml:space="preserve">small to mid sized; ambient yeast ferment; </t>
  </si>
  <si>
    <t>8-10 months elevage; no mlf; no batonnage;</t>
  </si>
  <si>
    <t>CHAMPAGNE BLANC EXTRA BRUT:</t>
  </si>
  <si>
    <t>bottling unclarified; all released as vintage</t>
  </si>
  <si>
    <t>21BDEHU04</t>
  </si>
  <si>
    <t>part-horse-ploughed</t>
  </si>
  <si>
    <t>20BDEHU03</t>
  </si>
  <si>
    <t>Organic certified 2014 Ecocert</t>
  </si>
  <si>
    <t>21BDEHU01</t>
  </si>
  <si>
    <t>'biodynamic-uncert'; Ⓥ Vegan</t>
  </si>
  <si>
    <t>20BDEHU01</t>
  </si>
  <si>
    <t>started with ~2400 btls/pa: now ~4000btls</t>
  </si>
  <si>
    <t>18BDEHU01TB</t>
  </si>
  <si>
    <t>THE PARCELS:</t>
  </si>
  <si>
    <t>21BDEHU02</t>
  </si>
  <si>
    <r>
      <rPr>
        <b/>
        <sz val="7"/>
        <color theme="1" tint="0.499984740745262"/>
        <rFont val="Noto Sans"/>
        <family val="2"/>
      </rPr>
      <t xml:space="preserve">Rue des Noyers: </t>
    </r>
    <r>
      <rPr>
        <sz val="7"/>
        <color theme="1" tint="0.499984740745262"/>
        <rFont val="Noto Sans"/>
        <family val="2"/>
      </rPr>
      <t>1.7ha meunier in Fossoy, West</t>
    </r>
  </si>
  <si>
    <t>20BDEHU02</t>
  </si>
  <si>
    <t>Marne on clay, green marls.1st release 2011</t>
  </si>
  <si>
    <t>21BDEHU03</t>
  </si>
  <si>
    <t>Above L'Orme parcel</t>
  </si>
  <si>
    <t>CHAMPAGNE BLANC EXTRA BRUT EN MAGNUM:</t>
  </si>
  <si>
    <r>
      <rPr>
        <b/>
        <sz val="7"/>
        <color theme="1" tint="0.499984740745262"/>
        <rFont val="Noto Sans"/>
        <family val="2"/>
      </rPr>
      <t>L'Orme:</t>
    </r>
    <r>
      <rPr>
        <sz val="7"/>
        <color theme="1" tint="0.499984740745262"/>
        <rFont val="Noto Sans"/>
        <family val="2"/>
      </rPr>
      <t xml:space="preserve"> 1.5ha massale Pommard clone p.noir,</t>
    </r>
  </si>
  <si>
    <t>21BDEHU01MG</t>
  </si>
  <si>
    <t>on green clay over sandy limestone, 8k vines/ha</t>
  </si>
  <si>
    <t>COTEAUX CHAMPENOIS VIN BLANC:</t>
  </si>
  <si>
    <t>1st release 2015 in L'Orme &amp; Initiation</t>
  </si>
  <si>
    <t>w</t>
  </si>
  <si>
    <t>15BDEHU02TB</t>
  </si>
  <si>
    <r>
      <rPr>
        <b/>
        <sz val="7"/>
        <color theme="1" tint="0.499984740745262"/>
        <rFont val="Noto Sans"/>
        <family val="2"/>
      </rPr>
      <t>Meunier VV:</t>
    </r>
    <r>
      <rPr>
        <sz val="7"/>
        <color theme="1" tint="0.499984740745262"/>
        <rFont val="Noto Sans"/>
        <family val="2"/>
      </rPr>
      <t xml:space="preserve"> 0.23ha ~60yr vv, added in 2013</t>
    </r>
  </si>
  <si>
    <t>COTEAUX CHAMPENOIS VIN ROUGE:</t>
  </si>
  <si>
    <t>INITIATION - THE NEW WINE:</t>
  </si>
  <si>
    <t>19BDEHU04TB</t>
  </si>
  <si>
    <t>78% noir, 22% meunier. Cask raised. 0-1g/l dosage</t>
  </si>
  <si>
    <t>17BDEHU03TB</t>
  </si>
  <si>
    <t>2016 chai rebuilt in old wooden framed barn</t>
  </si>
  <si>
    <t>15BDEHU03TB</t>
  </si>
  <si>
    <t>2015 1st Initiation, &amp; L'Orme blanc de pinot noir</t>
  </si>
  <si>
    <t>2014 start spraying of aerated compost tea</t>
  </si>
  <si>
    <t>2014 Organic certification</t>
  </si>
  <si>
    <t>2013 1st local Fossoy/Meilleray forest oak casks</t>
  </si>
  <si>
    <t>2012 start of biodynamics</t>
  </si>
  <si>
    <t>2011 Benoit starts label; start of organics</t>
  </si>
  <si>
    <t>2002 family domaine cert. sustainable by FARRE</t>
  </si>
  <si>
    <t>1975 Benoit born</t>
  </si>
  <si>
    <t>1787 family domaine founded</t>
  </si>
  <si>
    <t>champagne-dehu.com</t>
  </si>
  <si>
    <t>facebook.com/champagne.dehu/</t>
  </si>
  <si>
    <t>instagram.com/dehubenoit/</t>
  </si>
  <si>
    <t>GROWER CODE: BDEHU</t>
  </si>
  <si>
    <t>GONET-SULCOVA</t>
  </si>
  <si>
    <t>ROSÉ:</t>
  </si>
  <si>
    <t>Family house, in Epernay since 1985 with</t>
  </si>
  <si>
    <t>24GONET04</t>
  </si>
  <si>
    <t>1.3km of chalk cellars, 12m underground</t>
  </si>
  <si>
    <t>'MV' SERIES - 1/3rd RESERVE WINE:</t>
  </si>
  <si>
    <t xml:space="preserve">Karla &amp; Yan-Alexandre Gonet &amp; family. </t>
  </si>
  <si>
    <t>22GONET05HF</t>
  </si>
  <si>
    <t>21ha. &gt;80% chard: most wines BdB. No mlf.</t>
  </si>
  <si>
    <t>24GONET01</t>
  </si>
  <si>
    <t>Sustainable certified 2020 HVE3</t>
  </si>
  <si>
    <t>25GONET04</t>
  </si>
  <si>
    <t>12GONET04</t>
  </si>
  <si>
    <t>24GONET01MG</t>
  </si>
  <si>
    <r>
      <rPr>
        <b/>
        <sz val="8"/>
        <color theme="1" tint="0.499984740745262"/>
        <rFont val="Noto Sans"/>
        <family val="2"/>
      </rPr>
      <t xml:space="preserve">'MV' SERIES: </t>
    </r>
    <r>
      <rPr>
        <sz val="7"/>
        <color theme="1" tint="0.499984740745262"/>
        <rFont val="Noto Sans"/>
        <family val="2"/>
      </rPr>
      <t>a blend of Montgueux &amp; Le Mesnil</t>
    </r>
  </si>
  <si>
    <t>'GRAND MILLÉSIME' GRAND CRU:</t>
  </si>
  <si>
    <t>with 1/3  'réserve perpetuelle' wine, started 2004.</t>
  </si>
  <si>
    <t>25GONET02</t>
  </si>
  <si>
    <t>Minimim 24mths on lies. Bottled as Brut/Extra Brut</t>
  </si>
  <si>
    <t>24GONET03MG</t>
  </si>
  <si>
    <r>
      <t>GRAND MILLÉSIME GC:</t>
    </r>
    <r>
      <rPr>
        <sz val="7"/>
        <color theme="1" tint="0.499984740745262"/>
        <rFont val="Noto Sans"/>
        <family val="2"/>
      </rPr>
      <t xml:space="preserve"> Le Mesnil &amp; Oger</t>
    </r>
  </si>
  <si>
    <t>24GONET05MG</t>
  </si>
  <si>
    <t>GCs from mature chardonnay. Min 60mths lees</t>
  </si>
  <si>
    <t>15GONET08JB</t>
  </si>
  <si>
    <r>
      <t xml:space="preserve">CUVÉE GAIA: </t>
    </r>
    <r>
      <rPr>
        <sz val="7"/>
        <color theme="1" tint="0.499984740745262"/>
        <rFont val="Noto Sans"/>
        <family val="2"/>
      </rPr>
      <t>0.8ha TVV &amp; JV, Chetillon lieu-dit</t>
    </r>
  </si>
  <si>
    <t>'GAIA' GRAND CRU LE MESNIL (CHETILLON):</t>
  </si>
  <si>
    <t>in Le Mesnil GC, fermented in 228L &amp; 600L casks</t>
  </si>
  <si>
    <t>21GONET06</t>
  </si>
  <si>
    <t>Minimum 60mths lies; can be 10-20yrs. Extra Brut</t>
  </si>
  <si>
    <t>25GONET05MG</t>
  </si>
  <si>
    <t>THREE TERROIRS:</t>
  </si>
  <si>
    <r>
      <rPr>
        <b/>
        <sz val="7"/>
        <color theme="1" tint="0.499984740745262"/>
        <rFont val="Noto Sans"/>
        <family val="2"/>
      </rPr>
      <t xml:space="preserve">Le Mesnil &amp; Oger GC: </t>
    </r>
    <r>
      <rPr>
        <sz val="7"/>
        <color theme="1" tint="0.499984740745262"/>
        <rFont val="Noto Sans"/>
        <family val="2"/>
      </rPr>
      <t>4ha 100% chardonnay on</t>
    </r>
  </si>
  <si>
    <t>Cote de Blancs chalk incl. tvv vines in Chetillon</t>
  </si>
  <si>
    <r>
      <rPr>
        <b/>
        <sz val="7"/>
        <color theme="1" tint="0.499984740745262"/>
        <rFont val="Noto Sans"/>
        <family val="2"/>
      </rPr>
      <t>Montgueux, nr. Troyes, Aube:</t>
    </r>
    <r>
      <rPr>
        <sz val="7"/>
        <color theme="1" tint="0.499984740745262"/>
        <rFont val="Noto Sans"/>
        <family val="2"/>
      </rPr>
      <t xml:space="preserve"> 12ha on hard</t>
    </r>
  </si>
  <si>
    <t>chalk, with 80% chardonnay, 20% pinot noir</t>
  </si>
  <si>
    <r>
      <rPr>
        <b/>
        <sz val="7"/>
        <color theme="1" tint="0.499984740745262"/>
        <rFont val="Noto Sans"/>
        <family val="2"/>
      </rPr>
      <t xml:space="preserve">Loches sur Ource, Aube: </t>
    </r>
    <r>
      <rPr>
        <sz val="7"/>
        <color theme="1" tint="0.499984740745262"/>
        <rFont val="Noto Sans"/>
        <family val="2"/>
      </rPr>
      <t>5ha pinots noir</t>
    </r>
  </si>
  <si>
    <t>&amp; meunier, on chalk with clay</t>
  </si>
  <si>
    <t>TWO PRESSHOUSES:</t>
  </si>
  <si>
    <t>Epernay, &amp; Torvilliers Montgueux (pending approval)</t>
  </si>
  <si>
    <t>B+D 1* estate 2022</t>
  </si>
  <si>
    <t>Champagne-Gonet-Sulcova.fr</t>
  </si>
  <si>
    <t>facebook.com/Famille.Gonet.Sulcova</t>
  </si>
  <si>
    <t>instagram.com/champagne_gonet_sulcova/</t>
  </si>
  <si>
    <t>NB GAIA SELLS OUT UPON RELEASE</t>
  </si>
  <si>
    <t>GROWER CODE: GONET</t>
  </si>
  <si>
    <t>GYEJACQUOT</t>
  </si>
  <si>
    <t>BRUT ROSÉ:</t>
  </si>
  <si>
    <t>Celles-sur-Ource, Aube. Cote des Bars region</t>
  </si>
  <si>
    <t>Cyril and Frédéric Gyéjacquot. 2nd generation</t>
  </si>
  <si>
    <t>16GYEDEC02TB</t>
  </si>
  <si>
    <t>19ha vines, mostly pinot noir, plus chardonnay</t>
  </si>
  <si>
    <t>13GFRERES01T</t>
  </si>
  <si>
    <t>&amp; pinot blanc across 40 parcels, 8 communes</t>
  </si>
  <si>
    <t>BRUT BLANC:</t>
  </si>
  <si>
    <t>on Kimmeridgian soil</t>
  </si>
  <si>
    <t>13GYEJ01HTB</t>
  </si>
  <si>
    <t>NV series sees 20-24mths lees aging</t>
  </si>
  <si>
    <t>12GFRERES02T</t>
  </si>
  <si>
    <t>[plan to be Vegan compatible in future]</t>
  </si>
  <si>
    <t>PRESTIGE CUVÉE:</t>
  </si>
  <si>
    <t>ANATOM - PRESTIGE CUVÉES:</t>
  </si>
  <si>
    <t>15GYEJ10TB</t>
  </si>
  <si>
    <t>0.96ha is set aside for Anatom range</t>
  </si>
  <si>
    <t>13GYEJ03TB</t>
  </si>
  <si>
    <t>7-10 years of lees aging before disgorgement</t>
  </si>
  <si>
    <t>Blanc de Blancs is chardonnay from demi-muids</t>
  </si>
  <si>
    <t>Organic Certified 2023 Ocacia</t>
  </si>
  <si>
    <t>Sustainable certified HVE</t>
  </si>
  <si>
    <t xml:space="preserve"> </t>
  </si>
  <si>
    <t>2023 1st year Anatom is Organic Certified</t>
  </si>
  <si>
    <t>2017 1st year HVE sustainable</t>
  </si>
  <si>
    <t>2013 - 2017 house pour at CHL and Birley Clubs</t>
  </si>
  <si>
    <t>1980s label launched</t>
  </si>
  <si>
    <t>1981 Cyril born - joined in 2001</t>
  </si>
  <si>
    <t>1976 Frederic born - joined in 1996</t>
  </si>
  <si>
    <t>1972 1st harvest ('une année difficile')</t>
  </si>
  <si>
    <t>1970 founded by Michel Gyejacquot; 1st plantings</t>
  </si>
  <si>
    <t>Champagne-Gyejacquot.com</t>
  </si>
  <si>
    <t>facebook.com/ChampagneGyejacquot-Freres</t>
  </si>
  <si>
    <t>GROWER CODE: GYEJ</t>
  </si>
  <si>
    <t>DAVID LECLAPART</t>
  </si>
  <si>
    <t>Trepail 1C: 3ha vines. East corner of</t>
  </si>
  <si>
    <t>21DLECL02TB</t>
  </si>
  <si>
    <t>COTEAUX CHAMPENOIS - VIN BLANC</t>
  </si>
  <si>
    <t>Organic certified 2012 Ecocert</t>
  </si>
  <si>
    <t>21DLECL03TB</t>
  </si>
  <si>
    <t>Biodynamic; ambient ferment</t>
  </si>
  <si>
    <t>all blanc de blancs except L'Astre, pinot noir</t>
  </si>
  <si>
    <t>all wines Extra Brut, i.e. Pas Dosé</t>
  </si>
  <si>
    <t>minimal adjustments; no dosage</t>
  </si>
  <si>
    <t>~10 000 bottles a year: 25hl/ha</t>
  </si>
  <si>
    <t>facebook.com/champagneDavidLeclapart</t>
  </si>
  <si>
    <t>Renaissance-Des-Appellations.com</t>
  </si>
  <si>
    <t>USUALLY SELLS OUT UPON RELEASE</t>
  </si>
  <si>
    <t>GROWER CODE: DLECL</t>
  </si>
  <si>
    <t>LILBERT &amp; FILS</t>
  </si>
  <si>
    <t>21LILB01MG</t>
  </si>
  <si>
    <t>Cramant GC, Côte de Blancs. 4ha</t>
  </si>
  <si>
    <t>21LILB02</t>
  </si>
  <si>
    <t>Bertrand &amp; George; founded 1746</t>
  </si>
  <si>
    <t>NB all wines blanc de blancs (BdB). RVF 1*</t>
  </si>
  <si>
    <t>sustainable; Ⓥ Vegan compatible</t>
  </si>
  <si>
    <t>Champagne-Lilbert.com</t>
  </si>
  <si>
    <t>facebook.com/Champagne-Lilbert-Fils-794609597280948/</t>
  </si>
  <si>
    <t>GROWER CODE: LILB</t>
  </si>
  <si>
    <r>
      <t xml:space="preserve">LA PARCELLE, </t>
    </r>
    <r>
      <rPr>
        <b/>
        <sz val="10"/>
        <color theme="1" tint="0.14999847407452621"/>
        <rFont val="Noto Sans"/>
        <family val="2"/>
      </rPr>
      <t>Champagne</t>
    </r>
  </si>
  <si>
    <t>CHAMPAGNE:</t>
  </si>
  <si>
    <t>CHEVREUX-BOURNAZEL</t>
  </si>
  <si>
    <t>23CHEVBOUR02</t>
  </si>
  <si>
    <t>By Stéphanie Chevreux &amp; Julien Bournazel</t>
  </si>
  <si>
    <t>23CHEVBOUR01</t>
  </si>
  <si>
    <t>Wife &amp; husband team. 0.9ha estate (2021)</t>
  </si>
  <si>
    <t>23CHEVBOUR05</t>
  </si>
  <si>
    <t>Mentor -Vincent Charlot of Charlot-Tanneux</t>
  </si>
  <si>
    <t>23CHEVBOUR04</t>
  </si>
  <si>
    <t>Based at Hameau de Launay, nr.Ch.Thierry</t>
  </si>
  <si>
    <t>CHAMPAGNE EN MAGNUM:</t>
  </si>
  <si>
    <t>on Marne tributary Le Surmelin</t>
  </si>
  <si>
    <t>23CHEVBOUR02M</t>
  </si>
  <si>
    <t>(Main job is managing 150ha vines for</t>
  </si>
  <si>
    <t>23CHEVBOUR03M</t>
  </si>
  <si>
    <t xml:space="preserve">others, and lecturing in organic farming.) </t>
  </si>
  <si>
    <t>COTEAUX CHAMPENOIS:</t>
  </si>
  <si>
    <t>Organic certified 2015 Ecocert</t>
  </si>
  <si>
    <t>23CHEVBOUR06</t>
  </si>
  <si>
    <t>Biodynamic certified 2015 Demeter</t>
  </si>
  <si>
    <t>RATAFIA:</t>
  </si>
  <si>
    <t xml:space="preserve">w. bird boxes and beehives, biodiverse </t>
  </si>
  <si>
    <t>sw.f</t>
  </si>
  <si>
    <t>23CHEVBOUR07</t>
  </si>
  <si>
    <t>permaculture cover cropping:</t>
  </si>
  <si>
    <t>Under vine: for the table</t>
  </si>
  <si>
    <t>Inter-row: for wildlife &amp; preparations</t>
  </si>
  <si>
    <t>Farmed by hand, foot, hoe, goat, chenillard</t>
  </si>
  <si>
    <t>Tressage on chardonnay at Chierry</t>
  </si>
  <si>
    <t>Ambient yeast; raised in seasoned casks,</t>
  </si>
  <si>
    <t>e.g. of 176L, 200L, 223L</t>
  </si>
  <si>
    <t>Unfined, unfiltered, non-cold-stabilised</t>
  </si>
  <si>
    <t>Modest SO2 unless otherwise stated</t>
  </si>
  <si>
    <t>Zéro dosé or Extra Brut, @ 4g/l BD (from must)</t>
  </si>
  <si>
    <t>Amorim NDTech corks since 2023 release</t>
  </si>
  <si>
    <t>7000btls per annum produced; ~4500 sold</t>
  </si>
  <si>
    <t>LES PARCELLES:</t>
  </si>
  <si>
    <r>
      <rPr>
        <b/>
        <sz val="7"/>
        <color theme="1" tint="0.14999847407452621"/>
        <rFont val="Noto Sans"/>
        <family val="2"/>
      </rPr>
      <t>Parcelle La Capella:</t>
    </r>
    <r>
      <rPr>
        <b/>
        <sz val="7"/>
        <color theme="1" tint="0.499984740745262"/>
        <rFont val="Noto Sans"/>
        <family val="2"/>
      </rPr>
      <t xml:space="preserve"> </t>
    </r>
    <r>
      <rPr>
        <sz val="7"/>
        <color theme="1" tint="0.499984740745262"/>
        <rFont val="Noto Sans"/>
        <family val="2"/>
      </rPr>
      <t>0.38ha, steep 45° slope at</t>
    </r>
  </si>
  <si>
    <t>Côteau du Barzy, Barzy-Sur-Marne. SSW facing,</t>
  </si>
  <si>
    <t>85% massale meunier (1980s), plus inter-planted</t>
  </si>
  <si>
    <t>chardonnay jv. 10-30cm topsoil over marnes &amp;</t>
  </si>
  <si>
    <t xml:space="preserve">hard limestone. Bought in 2012. Parcelle bottling </t>
  </si>
  <si>
    <r>
      <t xml:space="preserve">La Capella bottling has </t>
    </r>
    <r>
      <rPr>
        <b/>
        <sz val="7"/>
        <color theme="1" tint="0.499984740745262"/>
        <rFont val="Noto Sans"/>
        <family val="2"/>
      </rPr>
      <t>BLUE LABEL</t>
    </r>
  </si>
  <si>
    <r>
      <rPr>
        <b/>
        <sz val="7"/>
        <color theme="1" tint="0.14999847407452621"/>
        <rFont val="Noto Sans"/>
        <family val="2"/>
      </rPr>
      <t>Parcelle La Connigis:</t>
    </r>
    <r>
      <rPr>
        <sz val="7"/>
        <color theme="1" tint="0.499984740745262"/>
        <rFont val="Noto Sans"/>
        <family val="2"/>
      </rPr>
      <t xml:space="preserve"> 0.28ha steep WSW facing</t>
    </r>
  </si>
  <si>
    <t xml:space="preserve">meunier, on Le Surmelin tributary. Bought in 2016. </t>
  </si>
  <si>
    <t>Half 1980s massale Meunier, half jv post 2012</t>
  </si>
  <si>
    <r>
      <t xml:space="preserve">Parcelle bottling (all or mostly) has </t>
    </r>
    <r>
      <rPr>
        <b/>
        <sz val="7"/>
        <color theme="1" tint="0.499984740745262"/>
        <rFont val="Noto Sans"/>
        <family val="2"/>
      </rPr>
      <t>BROWN LABEL</t>
    </r>
  </si>
  <si>
    <r>
      <rPr>
        <b/>
        <sz val="7"/>
        <color theme="1" tint="0.14999847407452621"/>
        <rFont val="Noto Sans"/>
        <family val="2"/>
      </rPr>
      <t>Parcelle(s) de Chierry:</t>
    </r>
    <r>
      <rPr>
        <sz val="7"/>
        <color theme="1" tint="0.499984740745262"/>
        <rFont val="Noto Sans"/>
        <family val="2"/>
      </rPr>
      <t xml:space="preserve"> 0.22ha jv chardonnay in 2</t>
    </r>
  </si>
  <si>
    <t xml:space="preserve">parcelles, Gloriette &amp; Chanteraine. NE facing, </t>
  </si>
  <si>
    <t>bought 2021.1st Parcelle release to be the 2023</t>
  </si>
  <si>
    <t>TIMELINE:</t>
  </si>
  <si>
    <t>2023 1st vintage of Parcelle(s) de Chierry</t>
  </si>
  <si>
    <t>2022 interplanting chardonnay &amp; meunier @ Barzy</t>
  </si>
  <si>
    <t>2022 Gite La Parcelle opens (sleeps 4-6 people)</t>
  </si>
  <si>
    <t>2021 3rd Parcelle(s): 2 parcels chard' at Chierry</t>
  </si>
  <si>
    <t>2020 1st vintage of 7 Cépages bottllings</t>
  </si>
  <si>
    <t>2020 La Cabane B&amp;B opens (sleeps 2 people)</t>
  </si>
  <si>
    <t>2019 2nd Parcelle biodynamic Demeter certified</t>
  </si>
  <si>
    <t>2019 1st mixed vegetables under-vine</t>
  </si>
  <si>
    <t>2018 1st vintage released: Millesimé 2012, 293btls</t>
  </si>
  <si>
    <t>2018 1st blend: Le Bouc  2018, Connigis &amp; Capella</t>
  </si>
  <si>
    <t>2017 start of permaculture-polyculture in the vines</t>
  </si>
  <si>
    <t>2016 1st Champagne released: La Parcelle 2012</t>
  </si>
  <si>
    <t>2016 2nd Parcelle purchased: at Connigis, nr.cellar</t>
  </si>
  <si>
    <t>2015 smallest vintage to date: 750btls, 60 MAGS</t>
  </si>
  <si>
    <t>2015 1st Parcelle Organic &amp; Biodynamic certified</t>
  </si>
  <si>
    <t>2014 1st Coteaux Champenois BLANC</t>
  </si>
  <si>
    <t>2012 1st Parcelle purchased; 1st vintage, 3 casks</t>
  </si>
  <si>
    <t>facebook.com/champagnechevreuxbournazel</t>
  </si>
  <si>
    <t>NEW LISTING FOR 2024</t>
  </si>
  <si>
    <t>NB LA CABANE &amp; GITE ACCOMODATION</t>
  </si>
  <si>
    <t>GROWER CODE: CHEVBOUR</t>
  </si>
  <si>
    <t>(fiche made with Stéphanie, Dec.2024)</t>
  </si>
  <si>
    <r>
      <t xml:space="preserve">LES VERTUS d'ÉLISE, </t>
    </r>
    <r>
      <rPr>
        <b/>
        <sz val="10"/>
        <color theme="1" tint="0.14999847407452621"/>
        <rFont val="Noto Sans"/>
        <family val="2"/>
      </rPr>
      <t>by</t>
    </r>
  </si>
  <si>
    <t>15GUYOT01</t>
  </si>
  <si>
    <t>CEDRIC GUYOT</t>
  </si>
  <si>
    <t>Vertus 1C, Cote de blancs. 5th generation</t>
  </si>
  <si>
    <t>GROWER CODE: GUYOT</t>
  </si>
  <si>
    <t>France, Champagne special cuvée</t>
  </si>
  <si>
    <t>LANSON's CLOS LANSON</t>
  </si>
  <si>
    <t>22LANSON01</t>
  </si>
  <si>
    <t>1ha chardonnay on chalk soils in Reims,</t>
  </si>
  <si>
    <t>22LANSON01MG</t>
  </si>
  <si>
    <t>in hill-walled Clos above Lanson cellars</t>
  </si>
  <si>
    <r>
      <t>Sustainable certified HVE</t>
    </r>
    <r>
      <rPr>
        <sz val="8"/>
        <color theme="1" tint="0.14999847407452621"/>
        <rFont val="Noto Sans"/>
        <family val="2"/>
      </rPr>
      <t>, &amp;</t>
    </r>
  </si>
  <si>
    <r>
      <rPr>
        <b/>
        <sz val="8"/>
        <color rgb="FF00B050"/>
        <rFont val="Noto Sans"/>
        <family val="2"/>
      </rPr>
      <t>'practicing biodynamic'</t>
    </r>
  </si>
  <si>
    <t>fermented in casks from local Argonne forest</t>
  </si>
  <si>
    <t>Extra Brut, @ 3g/l dosage. 1st made 2006</t>
  </si>
  <si>
    <t>Lanson.com</t>
  </si>
  <si>
    <t>GROWER CODE: LANSON</t>
  </si>
  <si>
    <t>France, Alsace</t>
  </si>
  <si>
    <r>
      <rPr>
        <b/>
        <sz val="7"/>
        <color theme="1" tint="0.499984740745262"/>
        <rFont val="Noto Sans"/>
        <family val="2"/>
      </rPr>
      <t>Ian d'Agata, Vinous 2019</t>
    </r>
    <r>
      <rPr>
        <sz val="7"/>
        <color theme="1" tint="0.499984740745262"/>
        <rFont val="Noto Sans"/>
        <family val="2"/>
      </rPr>
      <t xml:space="preserve"> 'very interesting and promising Pinot Noir'</t>
    </r>
  </si>
  <si>
    <r>
      <rPr>
        <b/>
        <sz val="7"/>
        <color theme="1" tint="0.499984740745262"/>
        <rFont val="Noto Sans"/>
        <family val="2"/>
      </rPr>
      <t>Stephen Reinhardt, TWA</t>
    </r>
    <r>
      <rPr>
        <sz val="7"/>
        <color theme="1" tint="0.499984740745262"/>
        <rFont val="Noto Sans"/>
        <family val="2"/>
      </rPr>
      <t xml:space="preserve"> 'Wines of great depth and minerality'</t>
    </r>
  </si>
  <si>
    <t>KIRRENBOURG</t>
  </si>
  <si>
    <t>'VILLAGE':</t>
  </si>
  <si>
    <t>(ex-MARTIN SCHAETZEL)</t>
  </si>
  <si>
    <t>18KIRR05</t>
  </si>
  <si>
    <r>
      <t xml:space="preserve">Owner Marc </t>
    </r>
    <r>
      <rPr>
        <sz val="8"/>
        <color theme="0"/>
        <rFont val="Noto sans"/>
        <family val="2"/>
      </rPr>
      <t>-</t>
    </r>
    <r>
      <rPr>
        <sz val="8"/>
        <color theme="1"/>
        <rFont val="Noto Sans"/>
        <family val="2"/>
      </rPr>
      <t>Rinaldi; plus Christophe Erhardt</t>
    </r>
  </si>
  <si>
    <t>17KIRR08</t>
  </si>
  <si>
    <t>&amp; Jean Schaetzel, cellar, + lecturer in tasting</t>
  </si>
  <si>
    <t>25KIRR01</t>
  </si>
  <si>
    <t>7ha Schlossberg GC (~11 parcels, granite)</t>
  </si>
  <si>
    <t>21KIRR02</t>
  </si>
  <si>
    <t>&amp; 3ha Brand GC (4 parcels, on granite)</t>
  </si>
  <si>
    <t>25KIRR02</t>
  </si>
  <si>
    <t xml:space="preserve">Ambient yeast </t>
  </si>
  <si>
    <t>17KIRR10</t>
  </si>
  <si>
    <t>Organic certified, 2016 Ecocert</t>
  </si>
  <si>
    <t>25KIRR03</t>
  </si>
  <si>
    <t>Biodynamic certified, 2018 Demeter</t>
  </si>
  <si>
    <t>ORANGE:</t>
  </si>
  <si>
    <t>Ⓥ Vegan compatible since 2015s</t>
  </si>
  <si>
    <t>o</t>
  </si>
  <si>
    <t>22KIRR06</t>
  </si>
  <si>
    <t>BASIC STATS:</t>
  </si>
  <si>
    <t>GRAND CRU &amp; DECLASSFIED GC:</t>
  </si>
  <si>
    <t>REDS are unfined unfiltered, 40-50mg/l SO2</t>
  </si>
  <si>
    <t>18KIRR07</t>
  </si>
  <si>
    <t>DRY WHITES are unfined, with 65-120mg/l SO2</t>
  </si>
  <si>
    <t>18KIRR08</t>
  </si>
  <si>
    <t>22KIRR02</t>
  </si>
  <si>
    <t>2019 name changed to Domaine Kirrenbourg</t>
  </si>
  <si>
    <t>17KIRR02</t>
  </si>
  <si>
    <t>2018 Biodynamic certification received</t>
  </si>
  <si>
    <t>17KIRR31MG</t>
  </si>
  <si>
    <t>2016 Marc extends domaine, &amp; new cellar</t>
  </si>
  <si>
    <t>17KIRR30MG</t>
  </si>
  <si>
    <t>2015 roll out of biodynamics</t>
  </si>
  <si>
    <t>17KIRR15S</t>
  </si>
  <si>
    <t>2015 Marc bought Domaine Martin Schaetzel</t>
  </si>
  <si>
    <t>22KIRR03</t>
  </si>
  <si>
    <t>2014 Kirrenbourg company founded</t>
  </si>
  <si>
    <t>17KIRR24</t>
  </si>
  <si>
    <t>2011 Marc buys 4ha of Schlossberg GC</t>
  </si>
  <si>
    <t>18KIRR09</t>
  </si>
  <si>
    <t>1998 Jean moves towards organic &amp; biodynamic</t>
  </si>
  <si>
    <t>22KIRR04</t>
  </si>
  <si>
    <t>1979 Jean Schaetzel takes over from uncle Martin</t>
  </si>
  <si>
    <t>17KIRR25</t>
  </si>
  <si>
    <t>1930s 1st Martin Schatezel domaine bottling</t>
  </si>
  <si>
    <t>ROUGE:</t>
  </si>
  <si>
    <t>1803 1st Schaetzel family activities in wine</t>
  </si>
  <si>
    <t>18KIRR03</t>
  </si>
  <si>
    <t>PRESS IN BRIEF:</t>
  </si>
  <si>
    <t>22KIRR05</t>
  </si>
  <si>
    <t>2022 B+D 2*</t>
  </si>
  <si>
    <t>17KIRR28</t>
  </si>
  <si>
    <t>2019 Decanter's most exciting WOTY whites</t>
  </si>
  <si>
    <t>17KIRR22S</t>
  </si>
  <si>
    <t>DomaineKirrenbourg.fr</t>
  </si>
  <si>
    <t>SWEET:</t>
  </si>
  <si>
    <t>ACTAlsace.fr</t>
  </si>
  <si>
    <t>sw</t>
  </si>
  <si>
    <t>21KIRR04</t>
  </si>
  <si>
    <t>Jean-Yves-Schillinger.com</t>
  </si>
  <si>
    <t>21KIRR03</t>
  </si>
  <si>
    <t>facebook.com/kirrenbourg/</t>
  </si>
  <si>
    <t>instagram.com/domainekirrenbourg</t>
  </si>
  <si>
    <t>2* RESTAURANT J.Y.SCHILLINGER</t>
  </si>
  <si>
    <t>MANIFESTO AVAILABLE(!)</t>
  </si>
  <si>
    <t>DEBRA MEIBURG MW INTERVIEW #124</t>
  </si>
  <si>
    <t>GROWER CODE: KIRR</t>
  </si>
  <si>
    <t>France, Bordeaux - an introduction:</t>
  </si>
  <si>
    <t>France, Bordeaux Blanc Sec with volume:</t>
  </si>
  <si>
    <t>CHATEAU LA GONTRIE</t>
  </si>
  <si>
    <t>19GONTRIE02VDP</t>
  </si>
  <si>
    <t>GRAND BIREAU</t>
  </si>
  <si>
    <t>19VALROSE01</t>
  </si>
  <si>
    <t>THIENPONT COUSINS</t>
  </si>
  <si>
    <t>23LAPIEHAC</t>
  </si>
  <si>
    <t>DOMAINE DE CHEVALIER</t>
  </si>
  <si>
    <t>23DDCE04</t>
  </si>
  <si>
    <t>CHATEAU CLIMENS</t>
  </si>
  <si>
    <t>20CLIMENS</t>
  </si>
  <si>
    <t>CHATEAU CARBONNIEUX</t>
  </si>
  <si>
    <t>19CARBONN01</t>
  </si>
  <si>
    <t>CLOS DES LUNES</t>
  </si>
  <si>
    <t>19CLOSLUNESMG</t>
  </si>
  <si>
    <t>FAM.GUINAUDEAU, Ch.GRAND VILLAGE</t>
  </si>
  <si>
    <t>18GRANDVILL02M</t>
  </si>
  <si>
    <t>CHATEAU BOUSCAUT</t>
  </si>
  <si>
    <t>15BOUSCMX</t>
  </si>
  <si>
    <t>France, Bordeaux Right Bank - Pomerol, A-Z:</t>
  </si>
  <si>
    <r>
      <rPr>
        <b/>
        <sz val="9"/>
        <color theme="1" tint="0.14999847407452621"/>
        <rFont val="Noto Sans"/>
        <family val="2"/>
      </rPr>
      <t>NB</t>
    </r>
    <r>
      <rPr>
        <sz val="9"/>
        <color theme="1" tint="0.14999847407452621"/>
        <rFont val="Noto Sans"/>
        <family val="2"/>
      </rPr>
      <t xml:space="preserve"> Wines marked</t>
    </r>
    <r>
      <rPr>
        <b/>
        <sz val="9"/>
        <color theme="1" tint="0.14999847407452621"/>
        <rFont val="Noto Sans"/>
        <family val="2"/>
      </rPr>
      <t xml:space="preserve"> 'ex - POA'</t>
    </r>
    <r>
      <rPr>
        <sz val="9"/>
        <color theme="1" tint="0.14999847407452621"/>
        <rFont val="Noto Sans"/>
        <family val="2"/>
      </rPr>
      <t xml:space="preserve"> in the price column have been bought by Raeburn Fine Wines en primeur and are lying in Bordeaux.</t>
    </r>
  </si>
  <si>
    <t>Yes, they can be bought. They will still be shipped into the UK by Raeburn according to our shipping cycles, before delivery.</t>
  </si>
  <si>
    <t>Please ignore such listings for ALL requirements with ANY time sensitivity, and work with physically available wine instead.</t>
  </si>
  <si>
    <t>We don't split cases on many '1GCC' level wines. Just ask for any clarification - thanks.</t>
  </si>
  <si>
    <t>LAFLEUR</t>
  </si>
  <si>
    <t>usually sells out on release</t>
  </si>
  <si>
    <t>LE PIN</t>
  </si>
  <si>
    <r>
      <rPr>
        <b/>
        <sz val="7"/>
        <color theme="1" tint="0.499984740745262"/>
        <rFont val="Noto Sans"/>
        <family val="2"/>
      </rPr>
      <t>Ronan Laborde</t>
    </r>
    <r>
      <rPr>
        <sz val="7"/>
        <color theme="1" tint="0.499984740745262"/>
        <rFont val="Noto Sans"/>
        <family val="2"/>
      </rPr>
      <t xml:space="preserve"> 'gentle farming'</t>
    </r>
  </si>
  <si>
    <t>CLINET, Chateau</t>
  </si>
  <si>
    <t>23CLINET01</t>
  </si>
  <si>
    <t>Pomerol. Laborde family since 1998</t>
  </si>
  <si>
    <t>22CLINET01</t>
  </si>
  <si>
    <t>Manager Ronan Laborde since 2004</t>
  </si>
  <si>
    <t>21CLINET01</t>
  </si>
  <si>
    <t>11.5ha v/y: 88% M, 12% CS &amp; growing</t>
  </si>
  <si>
    <t>16CLINET</t>
  </si>
  <si>
    <t>20% VV in La Grande Vigne, back to 1934</t>
  </si>
  <si>
    <t>15CLINET</t>
  </si>
  <si>
    <r>
      <rPr>
        <b/>
        <sz val="8"/>
        <color rgb="FF00B050"/>
        <rFont val="Noto Sans"/>
        <family val="2"/>
      </rPr>
      <t>sustainable</t>
    </r>
    <r>
      <rPr>
        <sz val="8"/>
        <color theme="1" tint="0.14999847407452621"/>
        <rFont val="Noto Sans"/>
        <family val="2"/>
      </rPr>
      <t>; horse ploughing, tressage, etc.</t>
    </r>
  </si>
  <si>
    <t>Winery by architect Arnaud Boulain, 2015</t>
  </si>
  <si>
    <t>ChateauClinet.com</t>
  </si>
  <si>
    <t>GROWER CODE: CLINET</t>
  </si>
  <si>
    <r>
      <t xml:space="preserve">CLOS </t>
    </r>
    <r>
      <rPr>
        <b/>
        <sz val="9.5"/>
        <color theme="1" tint="0.14999847407452621"/>
        <rFont val="Noto Sans"/>
        <family val="2"/>
      </rPr>
      <t>DE LA</t>
    </r>
    <r>
      <rPr>
        <b/>
        <sz val="10"/>
        <color theme="1" tint="0.14999847407452621"/>
        <rFont val="Noto Sans"/>
        <family val="2"/>
      </rPr>
      <t xml:space="preserve"> VIEILLE ÉCOLE</t>
    </r>
  </si>
  <si>
    <t>18VECOLE01</t>
  </si>
  <si>
    <t>Pomerol. 2ha. Famille Gasparoux</t>
  </si>
  <si>
    <t>18VECOLE01MG</t>
  </si>
  <si>
    <t>CLOS DU CLOCHER</t>
  </si>
  <si>
    <t>20CLOCHER</t>
  </si>
  <si>
    <t>Jean-Baptiste Bourotte</t>
  </si>
  <si>
    <t>5.9ha Pomerol plateau in 4 parcels</t>
  </si>
  <si>
    <t>70% M, 30% CF VV. Avg &gt;40yrs</t>
  </si>
  <si>
    <r>
      <t>sustainable;</t>
    </r>
    <r>
      <rPr>
        <sz val="8"/>
        <color rgb="FF00B050"/>
        <rFont val="Noto Sans"/>
        <family val="2"/>
      </rPr>
      <t xml:space="preserve"> </t>
    </r>
    <r>
      <rPr>
        <sz val="8"/>
        <rFont val="Noto Sans"/>
        <family val="2"/>
      </rPr>
      <t>no herbicides</t>
    </r>
  </si>
  <si>
    <t>consultant Michel Rolland</t>
  </si>
  <si>
    <t>18 months elevage, ~ 66% new French casks</t>
  </si>
  <si>
    <t xml:space="preserve">www.JBaudy.fr </t>
  </si>
  <si>
    <r>
      <rPr>
        <b/>
        <sz val="8"/>
        <color theme="1" tint="0.499984740745262"/>
        <rFont val="Noto Sans"/>
        <family val="2"/>
      </rPr>
      <t>Old motto:</t>
    </r>
    <r>
      <rPr>
        <sz val="8"/>
        <color theme="1" tint="0.499984740745262"/>
        <rFont val="Noto Sans"/>
        <family val="2"/>
      </rPr>
      <t xml:space="preserve"> 'faire peu, mais faire bon’ – ‘do little, but do it well’</t>
    </r>
  </si>
  <si>
    <t>LA CONSEILLANTE, Ch.</t>
  </si>
  <si>
    <t>23CONSEILL01</t>
  </si>
  <si>
    <t>Pomerol. 5th generation Nicolas family</t>
  </si>
  <si>
    <t>22CONSEILL01</t>
  </si>
  <si>
    <t>12ha, 16 parcels: 80% M, 20% CF</t>
  </si>
  <si>
    <t>21CONSEILL</t>
  </si>
  <si>
    <t>NB 30% lies within St.Emilion, by Cheval Bl.</t>
  </si>
  <si>
    <t>20CONSEILL</t>
  </si>
  <si>
    <t>[NB &gt;80% is 'organic compatible'; BD trials]</t>
  </si>
  <si>
    <t>Sustainable certified HVE3, ISO14001</t>
  </si>
  <si>
    <t>La-Conseillante.com</t>
  </si>
  <si>
    <t>GROWER CODE: CONSEILL</t>
  </si>
  <si>
    <t>'Denis Durantou, paysan a Pomerol'</t>
  </si>
  <si>
    <t>L’EGLISE-CLINET, Ch.</t>
  </si>
  <si>
    <t>2nd WINE:</t>
  </si>
  <si>
    <t>FAMILLE DURANTOU</t>
  </si>
  <si>
    <t>23LPTEGLISE01</t>
  </si>
  <si>
    <t>Pomerol. Durantou sisters, Alix, Noémie &amp;</t>
  </si>
  <si>
    <t>22EGCLINET02</t>
  </si>
  <si>
    <t>Constance, with mother Marie</t>
  </si>
  <si>
    <t>21LPTEGLISE01</t>
  </si>
  <si>
    <r>
      <t xml:space="preserve">5th gen. 6ha </t>
    </r>
    <r>
      <rPr>
        <b/>
        <sz val="8"/>
        <color rgb="FF00B050"/>
        <rFont val="Noto Sans"/>
        <family val="2"/>
      </rPr>
      <t>sustainable</t>
    </r>
    <r>
      <rPr>
        <sz val="8"/>
        <color theme="1" tint="0.14999847407452621"/>
        <rFont val="Noto Sans"/>
        <family val="2"/>
      </rPr>
      <t xml:space="preserve"> vines</t>
    </r>
  </si>
  <si>
    <t>17LPTEGLISE01</t>
  </si>
  <si>
    <t>4.5ha for Grand Vin: 1.3ha for La Petite'</t>
  </si>
  <si>
    <t>GRAND VIN</t>
  </si>
  <si>
    <t>Yield ~27hl/ha. 85% M, 15% CF vv</t>
  </si>
  <si>
    <t>23EGCLINET01</t>
  </si>
  <si>
    <t>Double toasted Darnajou casks, plus spot</t>
  </si>
  <si>
    <t>22EGCLINET01</t>
  </si>
  <si>
    <t>of Taransaud</t>
  </si>
  <si>
    <t>21EGCLINET02</t>
  </si>
  <si>
    <t>20EGCLINET01</t>
  </si>
  <si>
    <t>2020 Denis Durantou passes away</t>
  </si>
  <si>
    <t>19EGCLINET</t>
  </si>
  <si>
    <t>2005 1st vintage to receive Parker RP100</t>
  </si>
  <si>
    <t>18EGCLINET</t>
  </si>
  <si>
    <t>1988 1st entry in Wine Spectator Top 100</t>
  </si>
  <si>
    <t>17EGCLINET</t>
  </si>
  <si>
    <t>1986 1st vintage La Petite Eglise, 1.3ha on sand</t>
  </si>
  <si>
    <t>16EGCLINET</t>
  </si>
  <si>
    <t>1980s, mid, Denis takes over</t>
  </si>
  <si>
    <t>15EGCLINET</t>
  </si>
  <si>
    <t>1971 vineyard mostly replanted</t>
  </si>
  <si>
    <t>14EGCLINET</t>
  </si>
  <si>
    <t>1955 1st vintage as Eglise-Clinet</t>
  </si>
  <si>
    <t>13EGCLINET</t>
  </si>
  <si>
    <t>1882 M.Rouchaut buys parcels to create estate</t>
  </si>
  <si>
    <t>11EGCLINET</t>
  </si>
  <si>
    <t>RVF 3* estate; B+D 4* 2022</t>
  </si>
  <si>
    <t>02EGCLINET</t>
  </si>
  <si>
    <t>RP: World's Greatest Wine Estates, 2005</t>
  </si>
  <si>
    <t>Denis-Durantou.com</t>
  </si>
  <si>
    <t>NB ALSO SEE CRUZELLES (Lalande)</t>
  </si>
  <si>
    <t>NB ALSO SEE MONTLANDRIE (Castillon)</t>
  </si>
  <si>
    <t>NB ALSO SEE SAINTEM/SAINTAYME</t>
  </si>
  <si>
    <t>GROWER CODE: EGCLINET</t>
  </si>
  <si>
    <t>L'EVANGILE, Château</t>
  </si>
  <si>
    <t>23LEVANGILE01</t>
  </si>
  <si>
    <t>by DBR (Lafite)</t>
  </si>
  <si>
    <t>22LEVANGILE01</t>
  </si>
  <si>
    <t>Pomerol. Purchased between 1990 &amp; 1999</t>
  </si>
  <si>
    <t>20LEVANGILE</t>
  </si>
  <si>
    <t>Domaines Barons de Rothschild - Lafite</t>
  </si>
  <si>
    <t>19LEVANGILE</t>
  </si>
  <si>
    <t>22ha vines: 80% M, 20% CF, splash CS</t>
  </si>
  <si>
    <t>Organic certified 2021 Ecocert</t>
  </si>
  <si>
    <t>Ⓑ Corp sustainable certified, 2023</t>
  </si>
  <si>
    <t>Lafite.com</t>
  </si>
  <si>
    <t>GROWER CODE: LEVANGILE</t>
  </si>
  <si>
    <t>FEYTIT-CLINET, Château</t>
  </si>
  <si>
    <t>21FEYTIT01</t>
  </si>
  <si>
    <t>Pomerol. Famille Chasseuil</t>
  </si>
  <si>
    <t>20FEYTIT</t>
  </si>
  <si>
    <t>Régisseur: Jeremy Chasseuil since 2000</t>
  </si>
  <si>
    <t>19FEYTIT</t>
  </si>
  <si>
    <t>7ha vines: 90% M, 10% CF</t>
  </si>
  <si>
    <t>18FEYTIT</t>
  </si>
  <si>
    <t>cement fermenters</t>
  </si>
  <si>
    <t>17FEYTIT</t>
  </si>
  <si>
    <t>'sustainable uncertified'</t>
  </si>
  <si>
    <t>16FEYTIT</t>
  </si>
  <si>
    <t>GROWER CODE: FEYTIT</t>
  </si>
  <si>
    <t>12FEYTIT</t>
  </si>
  <si>
    <t>FLEUR-PETRUS, Ch. La</t>
  </si>
  <si>
    <t>22PETRUS01</t>
  </si>
  <si>
    <t>Moueix family since 1950. 18.7ha</t>
  </si>
  <si>
    <t>91% M, 6% CF, 3% PV</t>
  </si>
  <si>
    <t>Moueix.com</t>
  </si>
  <si>
    <t>GUILLOT-CLAUZEL, Ch.</t>
  </si>
  <si>
    <t>20GUILLOTCLA</t>
  </si>
  <si>
    <t>GUILLAUME THIENPONT</t>
  </si>
  <si>
    <t>19GUILLOTCLA01</t>
  </si>
  <si>
    <t>Pomerol. Paul &amp; Jacqueline Clauzel</t>
  </si>
  <si>
    <t>18GUILLOTCLA01</t>
  </si>
  <si>
    <t>2.4ha (nr.Trotanoy): 60% M, 40% CF</t>
  </si>
  <si>
    <t>18GUILLOTCLA01M</t>
  </si>
  <si>
    <t>Winemaker Guillaume Thienpont since 2018</t>
  </si>
  <si>
    <t>GROWER CODE: GUILLOTCLA</t>
  </si>
  <si>
    <t>MAYNE-RÉNÉ, Chateau</t>
  </si>
  <si>
    <t>97MAYNE01</t>
  </si>
  <si>
    <t>Pomerol. Late release from cellars</t>
  </si>
  <si>
    <t>GROWER CODE: MAYNE</t>
  </si>
  <si>
    <t>LAFLEUR, Chateau</t>
  </si>
  <si>
    <t>LES PENSÉES:</t>
  </si>
  <si>
    <t>&amp; LES PENSÉES, by</t>
  </si>
  <si>
    <t>20PENSLAFLEUR</t>
  </si>
  <si>
    <t>Famille Guinaudeau,</t>
  </si>
  <si>
    <t>19PENSLAFLEUR</t>
  </si>
  <si>
    <t>Soc. Civile du Ch. Lafleur</t>
  </si>
  <si>
    <t>LAFLEUR:</t>
  </si>
  <si>
    <t>Pomerol. 4.6ha vines: 50% CF, 50% M</t>
  </si>
  <si>
    <t>22LAFLEUR01</t>
  </si>
  <si>
    <t xml:space="preserve">Jacques and Sylvie Guinaudeau, </t>
  </si>
  <si>
    <t>21LAFLEUR01</t>
  </si>
  <si>
    <t>son Baptiste &amp; his wife Julie</t>
  </si>
  <si>
    <t>20LAFLEUR01</t>
  </si>
  <si>
    <t>25-30% new oak across the reds</t>
  </si>
  <si>
    <t>18LAFLEUR01</t>
  </si>
  <si>
    <t>no certification</t>
  </si>
  <si>
    <t>17LAFLEUR01</t>
  </si>
  <si>
    <r>
      <rPr>
        <b/>
        <sz val="7"/>
        <color theme="1" tint="0.499984740745262"/>
        <rFont val="Noto Sans"/>
        <family val="2"/>
      </rPr>
      <t xml:space="preserve">Lafleur: </t>
    </r>
    <r>
      <rPr>
        <sz val="7"/>
        <color theme="1" tint="0.499984740745262"/>
        <rFont val="Noto Sans"/>
        <family val="2"/>
      </rPr>
      <t>from Lafleur's 3 gravel-based terroirs</t>
    </r>
  </si>
  <si>
    <r>
      <rPr>
        <b/>
        <sz val="7"/>
        <color theme="1" tint="0.499984740745262"/>
        <rFont val="Noto Sans"/>
        <family val="2"/>
      </rPr>
      <t>Les Pensées:</t>
    </r>
    <r>
      <rPr>
        <sz val="7"/>
        <color theme="1" tint="0.499984740745262"/>
        <rFont val="Noto Sans"/>
        <family val="2"/>
      </rPr>
      <t xml:space="preserve"> 0.68ha on sandy-clay within Lafleur</t>
    </r>
  </si>
  <si>
    <t>2018 1st vintage labelled Les Pensées tout court</t>
  </si>
  <si>
    <t>2013 Omri Ram joined</t>
  </si>
  <si>
    <t>2009 to 2017 G Acte trials at Grand Village</t>
  </si>
  <si>
    <t>2001 son Baptiste joined, wife Julie</t>
  </si>
  <si>
    <t>1999 Les Pensées now made as a separate terroir</t>
  </si>
  <si>
    <t>1987 1st Les Pensées made, initially as a 2nd wine</t>
  </si>
  <si>
    <t>1985 Jacques Guineaudeau took over Lafleur</t>
  </si>
  <si>
    <t>1947 to 1985 Robin sisters' ownership</t>
  </si>
  <si>
    <t>1872 1st Lafleur made</t>
  </si>
  <si>
    <t>ChateauLafleur.fr</t>
  </si>
  <si>
    <t>NB ALSO SEE GRAND VILLAGE</t>
  </si>
  <si>
    <t>NB ALSO SEE LES PERRIERES</t>
  </si>
  <si>
    <t>GROWER CODE: LAFLEUR / PENSLAFLEUR</t>
  </si>
  <si>
    <t>LATOUR A POMEROL, Ch.</t>
  </si>
  <si>
    <t>20LATOURAP</t>
  </si>
  <si>
    <t>Pomerol. 8ha farmed by Moueix since 1962</t>
  </si>
  <si>
    <t>Deep gravel &amp; clay (2/3rd), clay &amp; loam (1/3rd)</t>
  </si>
  <si>
    <t>Sustainable certified HVE 3</t>
  </si>
  <si>
    <t>LE PIN, by</t>
  </si>
  <si>
    <t>24TRILOGIE</t>
  </si>
  <si>
    <t>JACQUES THIENPONT</t>
  </si>
  <si>
    <t>21LEPIN01</t>
  </si>
  <si>
    <t>Pomerol. ~3ha around Catusseau hamlet</t>
  </si>
  <si>
    <t>Jacques Thienpont &amp; Fiona Morrison MW</t>
  </si>
  <si>
    <t>Winery by Robbrecht &amp; Daem, 2011</t>
  </si>
  <si>
    <t>2021 Diana Berrouet-Garcia takes over cellar</t>
  </si>
  <si>
    <t>2011 new cellar designed by Robbrecht &amp; Daem</t>
  </si>
  <si>
    <t>1982 1st vintage to be rated RP 100</t>
  </si>
  <si>
    <t>1979 Le Pin purchased by Jacques with 1ha vines</t>
  </si>
  <si>
    <t>1924 - 1978 belongs to Loubie family - grapes sold</t>
  </si>
  <si>
    <t>1924 George Thienpont purchased VCC next door</t>
  </si>
  <si>
    <t>VINOUS LIVE INTERVIEW, 2020:</t>
  </si>
  <si>
    <t>youtube.com/watch?v=YevhLVnZE0g</t>
  </si>
  <si>
    <t>NB ALSO SEE L'IF (St.Emilion)</t>
  </si>
  <si>
    <t>NB ALSO SEE L'HETRE (Castillon)</t>
  </si>
  <si>
    <t>GROWER CODES: LEPIN / TRILOGIE</t>
  </si>
  <si>
    <t>TROTANOY, Chateau</t>
  </si>
  <si>
    <t>22TROTANOY01</t>
  </si>
  <si>
    <t>Pomerol. Moueix family since 1953</t>
  </si>
  <si>
    <t>20TROTANOY</t>
  </si>
  <si>
    <t>7.2ha v/y: 100% M</t>
  </si>
  <si>
    <t>Sustainable certified HVE3</t>
  </si>
  <si>
    <t>VIEUX CHATEAU CERTAN</t>
  </si>
  <si>
    <t>22VCC02</t>
  </si>
  <si>
    <t>by THIENPONT FAMILY</t>
  </si>
  <si>
    <t>21VCC02</t>
  </si>
  <si>
    <t>Pomerol. Managed by Alexandre &amp; son</t>
  </si>
  <si>
    <t>20VCC02</t>
  </si>
  <si>
    <t>Guillaume Thienpont</t>
  </si>
  <si>
    <t>18VCC</t>
  </si>
  <si>
    <t>13ha: 65% M, 30% CF, 5% CS</t>
  </si>
  <si>
    <t>17VCCRW</t>
  </si>
  <si>
    <t>B+D 4* 2022</t>
  </si>
  <si>
    <t>11VCCMG</t>
  </si>
  <si>
    <t>VieuxChateauCertan.com</t>
  </si>
  <si>
    <t>LEVI DALTON 'IDTT' INTERVIEW #350</t>
  </si>
  <si>
    <t>GROWER CODE: VCC</t>
  </si>
  <si>
    <t>LA VIOLETTE, Chateau</t>
  </si>
  <si>
    <t>19VIOLETTE</t>
  </si>
  <si>
    <t>Pomerol. C. Péré-Vergé bought in 2006</t>
  </si>
  <si>
    <t>Henri Parent (Catherine's son), owner</t>
  </si>
  <si>
    <t>Marcello Pelleriti, group head winemaker</t>
  </si>
  <si>
    <t>Michel Rolland, consultant</t>
  </si>
  <si>
    <t>1.8ha merlot, high average vine age</t>
  </si>
  <si>
    <t>20 parcels: best next to Trotanoy &amp; Le Pin</t>
  </si>
  <si>
    <t>chateaumontviel.com</t>
  </si>
  <si>
    <t>VRAY CROIX DE GAY, Ch.</t>
  </si>
  <si>
    <t>16VRAYCROIX</t>
  </si>
  <si>
    <t>Pomerol. 3.7ha in 9 plots: 80% M, 20% CF</t>
  </si>
  <si>
    <t>(next to Petrus &amp; Lafleur)</t>
  </si>
  <si>
    <t>Suravenir since 2020</t>
  </si>
  <si>
    <t>Grass cover-crop August-March since 2020</t>
  </si>
  <si>
    <t>Organic certified 2018-2023</t>
  </si>
  <si>
    <t>Sustainable certified HVE4</t>
  </si>
  <si>
    <t>France, Bordeaux Right Bank - St.Emilion, A-Z:</t>
  </si>
  <si>
    <t>Yes, they can be purchased. They will still be shipped into the UK by Raeburn according to our shipping cycles, before delivery.</t>
  </si>
  <si>
    <t>L'ANGELUS, Château</t>
  </si>
  <si>
    <t>22LANGELUS01</t>
  </si>
  <si>
    <t>Famille Bouard. Cellar at St.Magne-de-Castillon</t>
  </si>
  <si>
    <t>Winery by Eric Castagnotto, 2021</t>
  </si>
  <si>
    <t>BREEAM certified winery</t>
  </si>
  <si>
    <t>Angelus.com</t>
  </si>
  <si>
    <t>AUSONE, Château</t>
  </si>
  <si>
    <t>FAMILLE VAUTHIER</t>
  </si>
  <si>
    <t>22CHAPAUSONE01</t>
  </si>
  <si>
    <t>St Emilion. Famille Vauthier since 1690</t>
  </si>
  <si>
    <t>21CHAPAUSONE</t>
  </si>
  <si>
    <t>Alain Vauthier with daughter Pauline</t>
  </si>
  <si>
    <t>20CHAPAUSONE</t>
  </si>
  <si>
    <t>7ha v/y: 55% CF, 40% M, 4% CS, 1% PV</t>
  </si>
  <si>
    <t>19CHAPAUSONE</t>
  </si>
  <si>
    <t>Density up to 12,600 vines/ha</t>
  </si>
  <si>
    <t>GRAND VIN:</t>
  </si>
  <si>
    <t>some organic &amp; BD practices, TBC</t>
  </si>
  <si>
    <t>22AUSONE01</t>
  </si>
  <si>
    <t>MLF in cask; ~24mths elevage</t>
  </si>
  <si>
    <t>21AUSONE</t>
  </si>
  <si>
    <t>B+D 5* 2022</t>
  </si>
  <si>
    <t>20AUSONE</t>
  </si>
  <si>
    <r>
      <rPr>
        <b/>
        <i/>
        <sz val="8"/>
        <color theme="1" tint="0.14999847407452621"/>
        <rFont val="Noto Sans"/>
        <family val="2"/>
      </rPr>
      <t>RECENT</t>
    </r>
    <r>
      <rPr>
        <b/>
        <sz val="8"/>
        <color theme="1" tint="0.14999847407452621"/>
        <rFont val="Noto Sans"/>
        <family val="2"/>
      </rPr>
      <t xml:space="preserve"> TIMELINE (IN BRIEF):</t>
    </r>
  </si>
  <si>
    <t>17AUSONERV</t>
  </si>
  <si>
    <t>2021 Ausone departs St.Emilion classification</t>
  </si>
  <si>
    <t>11AUSONE</t>
  </si>
  <si>
    <t>2013 end of Michel Rolland era</t>
  </si>
  <si>
    <t xml:space="preserve">1995 1st vintage of Chapelle; &amp; MLF in cask </t>
  </si>
  <si>
    <t>1976 Alain Vauthier joins</t>
  </si>
  <si>
    <t>1975 Pascal Delbeck joins Dubois-Challon</t>
  </si>
  <si>
    <t>1600s Dubpois-Challon (now Vauthier) family arrive</t>
  </si>
  <si>
    <t>Chateau-Ausone.fr</t>
  </si>
  <si>
    <t>instagram.com/chateau_ausone_officiel/</t>
  </si>
  <si>
    <t>GROWER CODE: AUSONE</t>
  </si>
  <si>
    <t>BEAU-SÉJOUR BÉCOT,</t>
  </si>
  <si>
    <t>22BEAUSEJOUR01</t>
  </si>
  <si>
    <t>Chateau. Aka 'BSB'</t>
  </si>
  <si>
    <t>St.Emilion, Saint-Martin de Mazerat plateau</t>
  </si>
  <si>
    <t>Juliette Bécot with husband Julien Barthe</t>
  </si>
  <si>
    <t>Deep clay soils over asteriated limestone</t>
  </si>
  <si>
    <t>22ha estate, 17ha vines. Average &gt;45yrs</t>
  </si>
  <si>
    <t>M 65%, CF 35%. ~25% raised in amphora</t>
  </si>
  <si>
    <t>(small cabernet sauvignon % being ripped)</t>
  </si>
  <si>
    <t>7ha of former limestone quarries</t>
  </si>
  <si>
    <t>2018 Thomas Duclos becomes consultant</t>
  </si>
  <si>
    <t>2014 Juliette Bécot took over with husband Julien Barthe</t>
  </si>
  <si>
    <t>2012 La Gomerie vines are absorbed</t>
  </si>
  <si>
    <t>2011 fire at La Gomerie: last vintage made</t>
  </si>
  <si>
    <t>2001 purchase Ch.Joanin, Castillon with 4.5ha</t>
  </si>
  <si>
    <t>2001 Juliette Bécot joined</t>
  </si>
  <si>
    <t>1995 Famille Bécot bought 2.52ha La Gomerie next door</t>
  </si>
  <si>
    <t>1985 brothers Gérard &amp; Dominique Bécot took over</t>
  </si>
  <si>
    <t xml:space="preserve">1979 Chx Trois Moulins &amp; La Carte absorbed </t>
  </si>
  <si>
    <t>1970 bought 4.5ha Ch.Trois Moulins next door</t>
  </si>
  <si>
    <t>1970 Gerard Bécot joined</t>
  </si>
  <si>
    <t xml:space="preserve">1969 Michel Bécot bought Ch.Beauséjour-Dr.Fagouet </t>
  </si>
  <si>
    <t>1929 Famille Bécot bought 4.45ha Ch.La Carte</t>
  </si>
  <si>
    <t>1924 bought by Dr.Fagouet &amp; renamed</t>
  </si>
  <si>
    <t>1787 named Beauséjour by Carles de Figeac</t>
  </si>
  <si>
    <t>medieaval period - St.Martin monastery land</t>
  </si>
  <si>
    <t>Beausejour-Becot.com</t>
  </si>
  <si>
    <t>facebook.com/profile.php?id=130454807036400</t>
  </si>
  <si>
    <t>NB ALSO SEE Ch. LA GOMERIE (St.Emilion)</t>
  </si>
  <si>
    <t>NB ALSO SEE Ch. JOANIN-BÉCOT (Castillon)</t>
  </si>
  <si>
    <t>BEAUSÉJOUR, Chateau.</t>
  </si>
  <si>
    <t>22BEAUSEJOUR02</t>
  </si>
  <si>
    <t>Ex-Chateau Beauséjour</t>
  </si>
  <si>
    <t>20BEAUDUFFAU</t>
  </si>
  <si>
    <t>Duffau-Lagarosse</t>
  </si>
  <si>
    <t>St,Emilion. 6.8ha. 1/2 plateau, 1/2 côte.</t>
  </si>
  <si>
    <t>10 parcels. 75% M, 25% CF, splash CS</t>
  </si>
  <si>
    <t>New chai by Arnaud Boulain of BPMA, 2024</t>
  </si>
  <si>
    <r>
      <rPr>
        <b/>
        <sz val="7"/>
        <color theme="1" tint="0.14999847407452621"/>
        <rFont val="Noto Sans"/>
        <family val="2"/>
      </rPr>
      <t>OWNER:</t>
    </r>
    <r>
      <rPr>
        <b/>
        <sz val="7"/>
        <color theme="1" tint="0.499984740745262"/>
        <rFont val="Noto Sans"/>
        <family val="2"/>
      </rPr>
      <t xml:space="preserve"> </t>
    </r>
    <r>
      <rPr>
        <sz val="7"/>
        <color theme="1" tint="0.499984740745262"/>
        <rFont val="Noto Sans"/>
        <family val="2"/>
      </rPr>
      <t>Clarins family since 2021, with</t>
    </r>
  </si>
  <si>
    <t>Joséphine Duffau-Lagarrosse. Renamed 2023</t>
  </si>
  <si>
    <r>
      <rPr>
        <b/>
        <sz val="7"/>
        <color theme="1" tint="0.14999847407452621"/>
        <rFont val="Noto Sans"/>
        <family val="2"/>
      </rPr>
      <t xml:space="preserve">MANAGERS: </t>
    </r>
    <r>
      <rPr>
        <sz val="7"/>
        <color theme="1" tint="0.499984740745262"/>
        <rFont val="Noto Sans"/>
        <family val="2"/>
      </rPr>
      <t>Nicolas Thienpont &amp; Stéphane</t>
    </r>
  </si>
  <si>
    <t>Derenoncourt from 2009 to 2021</t>
  </si>
  <si>
    <t>BeausejourHDL.fr</t>
  </si>
  <si>
    <t>GROWER CODE: VARIOUS</t>
  </si>
  <si>
    <t>BELAIR-MONANGE, Chateau</t>
  </si>
  <si>
    <t>22BELAIRMON01</t>
  </si>
  <si>
    <t>ex- BELAIR, Château</t>
  </si>
  <si>
    <t>20BELAIRMON</t>
  </si>
  <si>
    <t>St.Emilion. Was 12.5ha, average 60yr vines</t>
  </si>
  <si>
    <t>19BELAIRMON</t>
  </si>
  <si>
    <t>Now 26ha: 90% M, 10% CF</t>
  </si>
  <si>
    <t>1/3 limestone plateau, 2/3 hillside &amp; terraces</t>
  </si>
  <si>
    <t>2023 B+D Guide (in) The 18 Geniuses of The Year</t>
  </si>
  <si>
    <t>2023 new cellar by Herzog de Meuron</t>
  </si>
  <si>
    <t>2022 Clos La Madeleine merged into Belair-Monange</t>
  </si>
  <si>
    <t>2017 Clos La Madeleine purchased, 2.3ha</t>
  </si>
  <si>
    <t>2016 refurbished cellar completed</t>
  </si>
  <si>
    <t>2012 Ch.Magdelaine is merged into Belair-Monange</t>
  </si>
  <si>
    <t>2008 name changes to Belair-Monange</t>
  </si>
  <si>
    <t>2007 Moueix purchase finalised</t>
  </si>
  <si>
    <t>1916 Belair bought by famille Dubois-Challon</t>
  </si>
  <si>
    <t>1802 1st vintage mis en bouteille au Chateau</t>
  </si>
  <si>
    <t>BelairMonange.com</t>
  </si>
  <si>
    <t>BERLIQUET, Chateau</t>
  </si>
  <si>
    <t>17BERLIQUET</t>
  </si>
  <si>
    <t>St.Emilion, on Magdaleine plateau</t>
  </si>
  <si>
    <t>Wertheimer family since 2017</t>
  </si>
  <si>
    <t>10ha: 75% M, 23% CF, 2% CS</t>
  </si>
  <si>
    <t>B+D 3* 2022</t>
  </si>
  <si>
    <t>Chateau-Berliquet.com</t>
  </si>
  <si>
    <t>GROWER CODE: BERLIQUET</t>
  </si>
  <si>
    <t>CANON, Chateau</t>
  </si>
  <si>
    <t>22CANONEMIL01</t>
  </si>
  <si>
    <t>St.Emilion. Wertheimer family</t>
  </si>
  <si>
    <t>21CANON</t>
  </si>
  <si>
    <t>1996 bought by Wertheimer family</t>
  </si>
  <si>
    <t>20CANON</t>
  </si>
  <si>
    <t>34ha v/y, 24ha for Canon: 70% M, 30% CF</t>
  </si>
  <si>
    <t>19CANON2T</t>
  </si>
  <si>
    <r>
      <rPr>
        <sz val="7"/>
        <color theme="1" tint="0.499984740745262"/>
        <rFont val="Noto Sans"/>
        <family val="2"/>
      </rPr>
      <t xml:space="preserve">2024 1st </t>
    </r>
    <r>
      <rPr>
        <b/>
        <sz val="7"/>
        <color rgb="FF00B050"/>
        <rFont val="Noto Sans"/>
        <family val="2"/>
      </rPr>
      <t>Organic</t>
    </r>
    <r>
      <rPr>
        <sz val="7"/>
        <color theme="1" tint="0.34998626667073579"/>
        <rFont val="Noto Sans"/>
        <family val="2"/>
      </rPr>
      <t xml:space="preserve"> certified vintage</t>
    </r>
  </si>
  <si>
    <r>
      <rPr>
        <sz val="7"/>
        <color theme="1" tint="0.499984740745262"/>
        <rFont val="Noto Sans"/>
        <family val="2"/>
      </rPr>
      <t>2022 formal</t>
    </r>
    <r>
      <rPr>
        <b/>
        <sz val="7"/>
        <color rgb="FF00B050"/>
        <rFont val="Noto Sans"/>
        <family val="2"/>
      </rPr>
      <t xml:space="preserve"> in conversion to organic</t>
    </r>
    <r>
      <rPr>
        <sz val="7"/>
        <color theme="1" tint="0.34998626667073579"/>
        <rFont val="Noto Sans"/>
        <family val="2"/>
      </rPr>
      <t xml:space="preserve"> </t>
    </r>
    <r>
      <rPr>
        <sz val="7"/>
        <color theme="1" tint="0.499984740745262"/>
        <rFont val="Noto Sans"/>
        <family val="2"/>
      </rPr>
      <t>starts</t>
    </r>
  </si>
  <si>
    <t>ChateauCanon.com</t>
  </si>
  <si>
    <t>GROWER CODE: CANONEMIL (CANON)</t>
  </si>
  <si>
    <t>CAUZE, Chateau du</t>
  </si>
  <si>
    <t>20CAUZE01</t>
  </si>
  <si>
    <t>St.Emilion, at Saint Christophe des Bardes</t>
  </si>
  <si>
    <t xml:space="preserve">Famille Laporte. </t>
  </si>
  <si>
    <t>~20ha: 90% M, 10% CF</t>
  </si>
  <si>
    <t>CHEVAL BLANC, Chateau</t>
  </si>
  <si>
    <t>23CHEVAL01</t>
  </si>
  <si>
    <t>St.Emilion. LVMH</t>
  </si>
  <si>
    <t>22CHEVAL01</t>
  </si>
  <si>
    <t>39ha v/y: 52% CF, 43% M, 5% CS</t>
  </si>
  <si>
    <t>21CHEVAL</t>
  </si>
  <si>
    <t xml:space="preserve">on deep gravels. Oldest CF planted 1920. </t>
  </si>
  <si>
    <t>20CHEVAL01</t>
  </si>
  <si>
    <t>Pierre Lurton &amp; Pierre-Olivier Clouet</t>
  </si>
  <si>
    <r>
      <t xml:space="preserve">Winery by Cristian de Portzamparc, 2011: </t>
    </r>
    <r>
      <rPr>
        <b/>
        <sz val="8"/>
        <color rgb="FF00B050"/>
        <rFont val="Noto Sans"/>
        <family val="2"/>
      </rPr>
      <t>HQE</t>
    </r>
  </si>
  <si>
    <t>Haute Qualité Environnementale certified</t>
  </si>
  <si>
    <t>Chateau-Cheval-Blanc.com</t>
  </si>
  <si>
    <t>NB AGROECOLOGY MANIFESTO</t>
  </si>
  <si>
    <t>PUBLISHED IN 2022</t>
  </si>
  <si>
    <t>GROWER CODE: CHEVAL</t>
  </si>
  <si>
    <t>CLOS FOURTET</t>
  </si>
  <si>
    <t>23FOURTET01</t>
  </si>
  <si>
    <t>St.Emilion. Famille Cuvelier from 2001</t>
  </si>
  <si>
    <t>22FOURTET02</t>
  </si>
  <si>
    <t>Run by Matthieu Cuvelier, with consultants</t>
  </si>
  <si>
    <t>21FOURTET02</t>
  </si>
  <si>
    <t>Derenoncourt &amp; Jean-Claude Berrouet</t>
  </si>
  <si>
    <t>20FOURTET</t>
  </si>
  <si>
    <t>22ha v/y: 85% M, 8% CS, 7% CF; on plateau</t>
  </si>
  <si>
    <t>B+D 4* 2022; RVF 3* 2023</t>
  </si>
  <si>
    <t>'biodynamic practices'</t>
  </si>
  <si>
    <t>ClosFourtet.com</t>
  </si>
  <si>
    <t>NB ALSO SEE CHATEAU POUJEAUX</t>
  </si>
  <si>
    <t>GROWER CODE: FOURTET</t>
  </si>
  <si>
    <t>CLOS SAINT MARTIN</t>
  </si>
  <si>
    <t>07CSMARTIN</t>
  </si>
  <si>
    <t>St.Emilion. Sophie Fourcade owner</t>
  </si>
  <si>
    <t>1.33ha vines: 75% M, 15% CF, 10% CS</t>
  </si>
  <si>
    <t>Cask fermented and raised</t>
  </si>
  <si>
    <t>GROWER CODE: CSMARTIN</t>
  </si>
  <si>
    <t>FIGEAC ON FIGEAC:</t>
  </si>
  <si>
    <r>
      <rPr>
        <b/>
        <sz val="7"/>
        <color theme="1" tint="0.499984740745262"/>
        <rFont val="Noto Sans"/>
        <family val="2"/>
      </rPr>
      <t>Blandine de Brier Manoncourt</t>
    </r>
    <r>
      <rPr>
        <sz val="7"/>
        <color theme="1" tint="0.499984740745262"/>
        <rFont val="Noto Sans"/>
        <family val="2"/>
      </rPr>
      <t xml:space="preserve"> ‘It is Figeac that guides us, not the other way around. That requires humility.’</t>
    </r>
  </si>
  <si>
    <r>
      <rPr>
        <b/>
        <sz val="7"/>
        <color theme="1" tint="0.499984740745262"/>
        <rFont val="Noto Sans"/>
        <family val="2"/>
      </rPr>
      <t>Blandine de Brier Manoncourt</t>
    </r>
    <r>
      <rPr>
        <sz val="7"/>
        <color theme="1" tint="0.499984740745262"/>
        <rFont val="Noto Sans"/>
        <family val="2"/>
      </rPr>
      <t xml:space="preserve"> 'Château-Figeac is a living entity. it is up to us, the owners, to do what we must to ensure good good conditions,</t>
    </r>
  </si>
  <si>
    <t>from all points of view, including social and environmental.'</t>
  </si>
  <si>
    <r>
      <rPr>
        <b/>
        <sz val="7"/>
        <color theme="1" tint="0.499984740745262"/>
        <rFont val="Noto Sans"/>
        <family val="2"/>
      </rPr>
      <t>Frédéric Faye, Directeur Dénéral.</t>
    </r>
    <r>
      <rPr>
        <sz val="7"/>
        <color theme="1" tint="0.499984740745262"/>
        <rFont val="Noto Sans"/>
        <family val="2"/>
      </rPr>
      <t xml:space="preserve"> 'It is not an obsession to innovate which motivates us so much as the need to understand in order to do better.'</t>
    </r>
  </si>
  <si>
    <t>FIGEAC, Chateau</t>
  </si>
  <si>
    <t>St Emilion plateau. 54ha estate</t>
  </si>
  <si>
    <t>23PETFIGEAC01</t>
  </si>
  <si>
    <t>Famille Manoncourt since 1892</t>
  </si>
  <si>
    <t>Michel Rolland, consultant since 2012</t>
  </si>
  <si>
    <t>23FIGEAC02</t>
  </si>
  <si>
    <t>12ha of biodiverse parkland. Vines include</t>
  </si>
  <si>
    <t>22FIGEAC01</t>
  </si>
  <si>
    <t>3 outcrops of Médoc-style Gunzian gravel</t>
  </si>
  <si>
    <t>21FIGEAC01</t>
  </si>
  <si>
    <t>0.65ha nursery for massale selection program</t>
  </si>
  <si>
    <t>20FIGEAC</t>
  </si>
  <si>
    <t>41ha v/y: 35% CF, 35% CS, 30% M</t>
  </si>
  <si>
    <t>17FIGEAC</t>
  </si>
  <si>
    <t>part horse-ploughed</t>
  </si>
  <si>
    <t>Sustainable certified HVE3; ISO14001</t>
  </si>
  <si>
    <t>youtube.com/watch?v=a_nWroQwxcM</t>
  </si>
  <si>
    <t>Chateau-Figeac.com</t>
  </si>
  <si>
    <t>GROWER CODE: FIGEAC</t>
  </si>
  <si>
    <t>FONPLEGADE, Chateau</t>
  </si>
  <si>
    <t>20FONPLEG</t>
  </si>
  <si>
    <t>FONPLEGADE00</t>
  </si>
  <si>
    <t>Denise &amp; Stephen Adams since 2004</t>
  </si>
  <si>
    <t>14.5ha in 27 parcels: 85% M, 15% CF</t>
  </si>
  <si>
    <t>ambient yeast</t>
  </si>
  <si>
    <t>Organic certified 2013 Ecocert; Biodynamic</t>
  </si>
  <si>
    <t>Fonplegade.com</t>
  </si>
  <si>
    <r>
      <rPr>
        <b/>
        <sz val="7"/>
        <color theme="1" tint="0.499984740745262"/>
        <rFont val="Noto Sans"/>
        <family val="2"/>
      </rPr>
      <t>Motto</t>
    </r>
    <r>
      <rPr>
        <sz val="7"/>
        <color theme="1" tint="0.499984740745262"/>
        <rFont val="Noto Sans"/>
        <family val="2"/>
      </rPr>
      <t>: 'In Arduis Fortior' - 'Stonger in Adversity'</t>
    </r>
  </si>
  <si>
    <t>CLOS LA GAFFELIERE</t>
  </si>
  <si>
    <t>21CLOSGAFFEL01HF</t>
  </si>
  <si>
    <t>Famille Malet-Roquefort</t>
  </si>
  <si>
    <t>23CLOSGAFFEL01</t>
  </si>
  <si>
    <t>St Emilion. ~38ha estate: 65% M, 35% CF</t>
  </si>
  <si>
    <t>22LAGAFFEL04</t>
  </si>
  <si>
    <t>Owner: Comte Léo de Malet Roquefort</t>
  </si>
  <si>
    <t>21CLOSGAFFEL03</t>
  </si>
  <si>
    <t>Managers: Comte Léo &amp; son Alexandre</t>
  </si>
  <si>
    <t>20CLOSGAFFEL</t>
  </si>
  <si>
    <t>Consultant: Stephane Derenoncourt</t>
  </si>
  <si>
    <t>19CLOSGAFFEL02</t>
  </si>
  <si>
    <t>THE TERROIR / WINE:</t>
  </si>
  <si>
    <t>16CLOSGAFFEL01</t>
  </si>
  <si>
    <r>
      <rPr>
        <b/>
        <sz val="7"/>
        <color theme="1" tint="0.499984740745262"/>
        <rFont val="Noto Sans"/>
        <family val="2"/>
      </rPr>
      <t>Clos la Gaffeliere:</t>
    </r>
    <r>
      <rPr>
        <sz val="7"/>
        <color theme="1" tint="0.499984740745262"/>
        <rFont val="Noto Sans"/>
        <family val="2"/>
      </rPr>
      <t xml:space="preserve"> 75% M, 25% CF on clay based </t>
    </r>
  </si>
  <si>
    <t>20CLOSGAFFEL02M</t>
  </si>
  <si>
    <t>terroirs: 90% lower slope. 50% 500L casks, 50%</t>
  </si>
  <si>
    <t>new oak. 50% tank for freshness, since 2021. Has</t>
  </si>
  <si>
    <t>own vat room and cellar at former Ch.Mauvesin</t>
  </si>
  <si>
    <t>Sustainable certified HVE, 2019</t>
  </si>
  <si>
    <t>Gaffeliere.com</t>
  </si>
  <si>
    <t>Domaines-MaletRoquefort.com</t>
  </si>
  <si>
    <t>NB ALSO SEE Ch. LA GAFFELIERE</t>
  </si>
  <si>
    <t>NB ALSO SEE PUY-BLANQUET</t>
  </si>
  <si>
    <t xml:space="preserve">GROWER CODE: CLOSGAFFEL </t>
  </si>
  <si>
    <t>LA GAFFELIERE, Château</t>
  </si>
  <si>
    <t>LA GAFFELIERE - GRAND VIN:</t>
  </si>
  <si>
    <t>23LAGAFFEL01</t>
  </si>
  <si>
    <t>22LAGAFFEL02</t>
  </si>
  <si>
    <t>22LAGAFFEL01</t>
  </si>
  <si>
    <t>20LAGAFFEL</t>
  </si>
  <si>
    <t>19LAGAFFEL02</t>
  </si>
  <si>
    <t>18LAGAFFEL01</t>
  </si>
  <si>
    <r>
      <rPr>
        <b/>
        <sz val="7"/>
        <color theme="1" tint="0.499984740745262"/>
        <rFont val="Noto Sans"/>
        <family val="2"/>
      </rPr>
      <t>La Gaffeliere:</t>
    </r>
    <r>
      <rPr>
        <sz val="7"/>
        <color theme="1" tint="0.499984740745262"/>
        <rFont val="Noto Sans"/>
        <family val="2"/>
      </rPr>
      <t xml:space="preserve"> dedicated 22ha, including 2 Côtes:</t>
    </r>
  </si>
  <si>
    <t>17LAGAFFEL</t>
  </si>
  <si>
    <t>Pavie (limestone) &amp; Ausone (blue clay), plus</t>
  </si>
  <si>
    <t>16LAGAFFEL</t>
  </si>
  <si>
    <t>limestone plateau. 50-60% new 225L casks, plus</t>
  </si>
  <si>
    <t>15LAGAFFEL</t>
  </si>
  <si>
    <t>10% 500L casks. DIAM30, OWC</t>
  </si>
  <si>
    <t>14LAGAFFEL</t>
  </si>
  <si>
    <t>12LAGAFFEL</t>
  </si>
  <si>
    <t>2024 1ha of Malbec planned at La Gaffeliere</t>
  </si>
  <si>
    <t>08LAGAFFEL</t>
  </si>
  <si>
    <r>
      <t xml:space="preserve">2022 Clos La Gaffeliere </t>
    </r>
    <r>
      <rPr>
        <b/>
        <sz val="7"/>
        <color rgb="FF00B050"/>
        <rFont val="Noto Sans"/>
        <family val="2"/>
      </rPr>
      <t xml:space="preserve">HVE sustainable </t>
    </r>
    <r>
      <rPr>
        <sz val="7"/>
        <color theme="1" tint="0.499984740745262"/>
        <rFont val="Noto Sans"/>
        <family val="2"/>
      </rPr>
      <t>certified</t>
    </r>
  </si>
  <si>
    <t>LA GAFFELIERE - LARGE FORMAT:</t>
  </si>
  <si>
    <t>18LAGAFFEL01MG</t>
  </si>
  <si>
    <r>
      <t xml:space="preserve">2020s </t>
    </r>
    <r>
      <rPr>
        <b/>
        <sz val="7"/>
        <color rgb="FF00B050"/>
        <rFont val="Noto Sans"/>
        <family val="2"/>
      </rPr>
      <t>agroecology</t>
    </r>
    <r>
      <rPr>
        <sz val="7"/>
        <color theme="1" tint="0.499984740745262"/>
        <rFont val="Noto Sans"/>
        <family val="2"/>
      </rPr>
      <t xml:space="preserve"> starts, following Cheval Blanc</t>
    </r>
  </si>
  <si>
    <t>16LAGAFFEL01MG</t>
  </si>
  <si>
    <t>2020 Ch.Puyblanquet bought back again</t>
  </si>
  <si>
    <t>15LAGAFFEL01MG</t>
  </si>
  <si>
    <r>
      <t xml:space="preserve">2019 La Gaffeliere </t>
    </r>
    <r>
      <rPr>
        <b/>
        <sz val="7"/>
        <color rgb="FF00B050"/>
        <rFont val="Noto Sans"/>
        <family val="2"/>
      </rPr>
      <t xml:space="preserve">HVE sustainable </t>
    </r>
    <r>
      <rPr>
        <sz val="7"/>
        <color theme="1" tint="0.499984740745262"/>
        <rFont val="Noto Sans"/>
        <family val="2"/>
      </rPr>
      <t>certified</t>
    </r>
  </si>
  <si>
    <t>14LAGAFFELMG</t>
  </si>
  <si>
    <t>2018 start of DIAM10/30, on La Gaffeliere</t>
  </si>
  <si>
    <t>16LAGAFFEL01JB</t>
  </si>
  <si>
    <t>2017 La Gaffeliere is now min 40% CF in the blend</t>
  </si>
  <si>
    <t>2014 20ha Ch.Mauvesin bought below La Gaffeliere.</t>
  </si>
  <si>
    <t xml:space="preserve"> Becomes main source of Clos Gaffeliere</t>
  </si>
  <si>
    <t>2013 new vat room at La Gaffeliere</t>
  </si>
  <si>
    <t>2008 1.45ha Pomerol La Connivence purchased</t>
  </si>
  <si>
    <t>2004 Stephane Derenoncourt starts</t>
  </si>
  <si>
    <t>2003 replanting CF gradually starts</t>
  </si>
  <si>
    <t>2001 son Alexandre joins, initially in viticulture</t>
  </si>
  <si>
    <t>1985 Clos Gaffeliere label starts, as 2nd wine</t>
  </si>
  <si>
    <t>1959 Ch.Puyblanquet sold to save Gaffeliere</t>
  </si>
  <si>
    <t>1958 Louis Alexandre passes; Léo takes over</t>
  </si>
  <si>
    <t>1956 frost kills 50% of vines; only Merlot is replanted</t>
  </si>
  <si>
    <t>1933 son Léo Malet Roquefort born</t>
  </si>
  <si>
    <t>1807 Ch.Puy Blanquet owned by Malet Roquefort</t>
  </si>
  <si>
    <t>1705 Malet-Roquefort own La Gaffeliere &amp; Fonroque</t>
  </si>
  <si>
    <t>1654 Malet Roquefort branch of family began</t>
  </si>
  <si>
    <t>1066 Guillaume Malet receives title after Hastings</t>
  </si>
  <si>
    <t>Sustainable certified 2019 HVE</t>
  </si>
  <si>
    <t>NB ALSO SEE CLOS LA GAFFELIERE</t>
  </si>
  <si>
    <t>GROWER CODE: LAGAFFEL</t>
  </si>
  <si>
    <t xml:space="preserve">GIRAUDELS DE MILON, </t>
  </si>
  <si>
    <t>12GIRAMILON</t>
  </si>
  <si>
    <t>Chateau Les</t>
  </si>
  <si>
    <t>St.Emilion, at St.Christophe des Bardes</t>
  </si>
  <si>
    <t>13ha: 75% M, 13%CS, 12% CF</t>
  </si>
  <si>
    <t>LA GOMERIE, Château</t>
  </si>
  <si>
    <t>05LAGOMERIE</t>
  </si>
  <si>
    <t>St Emilion. Famille Bécot from 1995. 2.5ha</t>
  </si>
  <si>
    <t>NB ALSO SEE Ch. BEAU SÉJOUR BÉCOT</t>
  </si>
  <si>
    <t>NB ALSO SEE JOANIN-BÉCOT (Castillon)</t>
  </si>
  <si>
    <t>GRAND CORBIN</t>
  </si>
  <si>
    <t>20CORBINDES</t>
  </si>
  <si>
    <t>DESPAGNE, Ch.</t>
  </si>
  <si>
    <t>Founded 1812, on Pomerol border</t>
  </si>
  <si>
    <t>François DESPAGNE, 7th gen since 1996.</t>
  </si>
  <si>
    <t>24ha: 75% M, 24% CF, 1% CS, 1% Mal.</t>
  </si>
  <si>
    <t>2 main terroirs: siliceous-sandy-clay with iron,</t>
  </si>
  <si>
    <t>&amp; ancient sands over compact blue clay</t>
  </si>
  <si>
    <t>Sustainable certified Terra Vitis 2005, HVE3</t>
  </si>
  <si>
    <t>&amp; Bordeaux SME ISO 14001</t>
  </si>
  <si>
    <t>Organic Certified 2013 Qualisud</t>
  </si>
  <si>
    <t>Biodynamic trials since 2018</t>
  </si>
  <si>
    <t>www.Grand-Corbin-Despagne.com</t>
  </si>
  <si>
    <t>L'IF</t>
  </si>
  <si>
    <r>
      <t xml:space="preserve">THIENPONT, </t>
    </r>
    <r>
      <rPr>
        <b/>
        <sz val="8"/>
        <color theme="1" tint="0.14999847407452621"/>
        <rFont val="Noto Sans"/>
        <family val="2"/>
      </rPr>
      <t>JACQUES &amp; Co.</t>
    </r>
  </si>
  <si>
    <t>21COLLLIF</t>
  </si>
  <si>
    <t>St.Emilion. Jacques &amp; Fiona Thienpont. 8ha</t>
  </si>
  <si>
    <t>20COLLLIF</t>
  </si>
  <si>
    <t>managed by Cyril Thienpont</t>
  </si>
  <si>
    <t>19COLLLIF</t>
  </si>
  <si>
    <t>18COLLLIF</t>
  </si>
  <si>
    <t>2018 B+D Guide Top Découvertes de L'Année</t>
  </si>
  <si>
    <t>2015 the 2012 in Suckling's Top 100 WOTY</t>
  </si>
  <si>
    <t>23LIF01</t>
  </si>
  <si>
    <t>2011 1st vintage</t>
  </si>
  <si>
    <t>22LIF</t>
  </si>
  <si>
    <t>2010 8ha Chateau bought nr.Troplong Mondot</t>
  </si>
  <si>
    <t>21LIF01</t>
  </si>
  <si>
    <t>20LIF</t>
  </si>
  <si>
    <t>thienpontwine.com/en</t>
  </si>
  <si>
    <t>19LIF</t>
  </si>
  <si>
    <t>JacquesThienpont.com</t>
  </si>
  <si>
    <t>18LIF</t>
  </si>
  <si>
    <t>17LIF</t>
  </si>
  <si>
    <t>NB ALSO SEE LE PIN (Pomerol)</t>
  </si>
  <si>
    <t>GROWER CODE: LIF</t>
  </si>
  <si>
    <t>LAROQUE, Château</t>
  </si>
  <si>
    <t>23LAROQUE01</t>
  </si>
  <si>
    <t>St Emilion. Famille Beaumartin since 1935</t>
  </si>
  <si>
    <t>22LAROQUE01</t>
  </si>
  <si>
    <t>Regisseur David Suire</t>
  </si>
  <si>
    <t>21LAROQUE01</t>
  </si>
  <si>
    <t>C.12th origins</t>
  </si>
  <si>
    <t>Average vine age &gt;50yrs; 4 main terroirs</t>
  </si>
  <si>
    <t>61ha v/y: 87% M, 11% CF, 2% CS</t>
  </si>
  <si>
    <t>Chateau-Laroque.com</t>
  </si>
  <si>
    <t xml:space="preserve">NB THERE IS ALSO LAROQUE MARGAUX </t>
  </si>
  <si>
    <t>GROWER CODE: LAROQUE</t>
  </si>
  <si>
    <r>
      <t>Jess Jackson</t>
    </r>
    <r>
      <rPr>
        <sz val="7"/>
        <color theme="1" tint="0.499984740745262"/>
        <rFont val="Noto Sans"/>
        <family val="2"/>
      </rPr>
      <t xml:space="preserve"> 'Take care of the land, and it will take care of you.'</t>
    </r>
  </si>
  <si>
    <t>LASSEGUE, Chateau</t>
  </si>
  <si>
    <t>21LASSEGUE01</t>
  </si>
  <si>
    <t>St.Emilion, at St. Hippolyte</t>
  </si>
  <si>
    <t>36ha v/y: 60% M, 25% CF, 15% CS</t>
  </si>
  <si>
    <t>OWNERS: Jackson Family, since 2003</t>
  </si>
  <si>
    <t>RÉGISSEURS: Seillan family: Pierre (father)</t>
  </si>
  <si>
    <t>Nicolas &amp; Christina</t>
  </si>
  <si>
    <t>CASKS: Tonnellerie Quintessance</t>
  </si>
  <si>
    <t>STAVES: Merrain International (Vosges)</t>
  </si>
  <si>
    <t>Chateau-Lassegue.com</t>
  </si>
  <si>
    <t>JacksonFamilyWines.com</t>
  </si>
  <si>
    <t>MANGOT, Chateau</t>
  </si>
  <si>
    <t>22MANGOT01</t>
  </si>
  <si>
    <t>St.Emilion. Brothers Karl &amp; Yann Todeschini</t>
  </si>
  <si>
    <t>37ha estate in one location. 4 terroir types</t>
  </si>
  <si>
    <t>34ha vines: 85% M, 10% CF, 5% CS</t>
  </si>
  <si>
    <t>in 25 parcels. Average vine age  &gt;40yrs</t>
  </si>
  <si>
    <t>Organic certified 2020 Ecocert</t>
  </si>
  <si>
    <t>Biodynamic certified 2023 Biodyvin</t>
  </si>
  <si>
    <t>Sustainable cert. HVE3 &amp; ISO14001, 2016</t>
  </si>
  <si>
    <t>Ambient yeast; modest SO2 (30-50mg/l)</t>
  </si>
  <si>
    <t>Elevage 70% in futs, 25% new wood</t>
  </si>
  <si>
    <t>2023 biodynamic certified Biodyvin</t>
  </si>
  <si>
    <t>2020 organic certified Biodyvin</t>
  </si>
  <si>
    <t>2008 brothers Karl &amp; Yann joined</t>
  </si>
  <si>
    <t>1997 &amp; 2008 first steps towards ethical farming</t>
  </si>
  <si>
    <t>1976 purchased by Jean Guy Todeschini</t>
  </si>
  <si>
    <t xml:space="preserve">ChateauMangot.fr </t>
  </si>
  <si>
    <t>Biodyvin.com</t>
  </si>
  <si>
    <t>MATIGNON, Chateau</t>
  </si>
  <si>
    <t>18MATIGNON01</t>
  </si>
  <si>
    <t>St.Emilion. 1.3ha: 70% M, 30% CF</t>
  </si>
  <si>
    <t>Libourne sand. J-M Bouldy, since 1993</t>
  </si>
  <si>
    <t>elevage in 2nd &amp; 3rd fill casks</t>
  </si>
  <si>
    <t>MOULIN DU JURA, Ch.</t>
  </si>
  <si>
    <t>23MOULJURA01</t>
  </si>
  <si>
    <t>St.Emilion. 11.5ha, merlot &amp; two cabernets</t>
  </si>
  <si>
    <t>23MOULJURA01MG</t>
  </si>
  <si>
    <r>
      <rPr>
        <b/>
        <sz val="8"/>
        <color rgb="FF00B050"/>
        <rFont val="Noto Sans"/>
        <family val="2"/>
      </rPr>
      <t>sustainable</t>
    </r>
    <r>
      <rPr>
        <sz val="8"/>
        <color theme="1" tint="0.14999847407452621"/>
        <rFont val="Noto Sans"/>
        <family val="2"/>
      </rPr>
      <t>, working to Terra Vitis cert.</t>
    </r>
  </si>
  <si>
    <t>MoulinDuJura.fr</t>
  </si>
  <si>
    <t>GROWER CODE: MOULJURA</t>
  </si>
  <si>
    <t>PAVIE-MACQUIN, Ch.</t>
  </si>
  <si>
    <t>20PAVMACQUIN</t>
  </si>
  <si>
    <t>St.Emilion, by Mondot hill. Ambient yeast</t>
  </si>
  <si>
    <t>19PAVMACQUIN</t>
  </si>
  <si>
    <t xml:space="preserve">15ha vines: 80% M, 18% CF, 2% CS. </t>
  </si>
  <si>
    <t>16PAVMACQUIN</t>
  </si>
  <si>
    <t>KEY PEOPLE:</t>
  </si>
  <si>
    <r>
      <rPr>
        <b/>
        <sz val="7"/>
        <color theme="1" tint="0.499984740745262"/>
        <rFont val="Noto Sans"/>
        <family val="2"/>
      </rPr>
      <t>Consultant:</t>
    </r>
    <r>
      <rPr>
        <sz val="7"/>
        <color theme="1" tint="0.499984740745262"/>
        <rFont val="Noto Sans"/>
        <family val="2"/>
      </rPr>
      <t xml:space="preserve"> Derenoncourt - joined team in 1990</t>
    </r>
  </si>
  <si>
    <r>
      <rPr>
        <b/>
        <sz val="7"/>
        <color theme="1" tint="0.499984740745262"/>
        <rFont val="Noto Sans"/>
        <family val="2"/>
      </rPr>
      <t>Manager:</t>
    </r>
    <r>
      <rPr>
        <sz val="7"/>
        <color theme="1" tint="0.499984740745262"/>
        <rFont val="Noto Sans"/>
        <family val="2"/>
      </rPr>
      <t xml:space="preserve"> Nicholas Thienpont since 1994</t>
    </r>
  </si>
  <si>
    <r>
      <rPr>
        <b/>
        <sz val="7"/>
        <color theme="1" tint="0.499984740745262"/>
        <rFont val="Noto Sans"/>
        <family val="2"/>
      </rPr>
      <t>Owners:</t>
    </r>
    <r>
      <rPr>
        <sz val="7"/>
        <color theme="1" tint="0.499984740745262"/>
        <rFont val="Noto Sans"/>
        <family val="2"/>
      </rPr>
      <t xml:space="preserve"> Corre &amp; Charpentier families</t>
    </r>
  </si>
  <si>
    <t>B+D 4* 2022; RVF 2*</t>
  </si>
  <si>
    <t>Pavie-Macquin.com</t>
  </si>
  <si>
    <t>Nicolas-Thienpont.com</t>
  </si>
  <si>
    <t>GROWER CODE: MACQUIN</t>
  </si>
  <si>
    <t>PEBY FAUGERES, Ch.</t>
  </si>
  <si>
    <t>02PEBYFAUG</t>
  </si>
  <si>
    <t>St Emilion. Silvio Denz since 2005.</t>
  </si>
  <si>
    <t>2001PFAUGERE</t>
  </si>
  <si>
    <t>1st vintage 1997</t>
  </si>
  <si>
    <t>7.5ha merlot at 6600 vines/ha</t>
  </si>
  <si>
    <t>S &amp; SE slopes on clay-limestone molasse</t>
  </si>
  <si>
    <t>Biodynamic certified 2020</t>
  </si>
  <si>
    <t>Chateau-Peby-Faugeres.com</t>
  </si>
  <si>
    <t>PETIT GRAVET AINÉ, Ch.</t>
  </si>
  <si>
    <t>21PETGRAV01</t>
  </si>
  <si>
    <t>St.Emilion, at St. Hippolyte. Famille Nouvel</t>
  </si>
  <si>
    <t>19PETGRAVET</t>
  </si>
  <si>
    <t>2.5ha: 80% CF, 20% M, average ~70yrs</t>
  </si>
  <si>
    <t>Wood fermenters</t>
  </si>
  <si>
    <t>Organic certified 2013 Ecocert</t>
  </si>
  <si>
    <t>GROWER CODE: PETGRAV(ET)</t>
  </si>
  <si>
    <t>LE PRIEURÉ, Chateau</t>
  </si>
  <si>
    <t>20LEPRIEURE</t>
  </si>
  <si>
    <t>St Emilion. 6.25ha. Suravenir Group</t>
  </si>
  <si>
    <t>18LEPRIEURE</t>
  </si>
  <si>
    <t>16LEPRIEURE</t>
  </si>
  <si>
    <t>Organic certified 2018-2021</t>
  </si>
  <si>
    <t>GROWER CODE: LEPRIEURE</t>
  </si>
  <si>
    <t>PUY BLANQUET, Ch.</t>
  </si>
  <si>
    <t>23PUYBLANQUET01</t>
  </si>
  <si>
    <t>22PUYBLANQUET02</t>
  </si>
  <si>
    <t>St Emilion, at St. Etienne de Lisse</t>
  </si>
  <si>
    <t>21PUYBLANQUET01</t>
  </si>
  <si>
    <t>Comte Malet Roquefort family</t>
  </si>
  <si>
    <t>20PUYBLANQUET</t>
  </si>
  <si>
    <t>19ha v/y: 80% M, 20% CS (in 2024)</t>
  </si>
  <si>
    <t>80% cask raised, 50% new, 20% tank,</t>
  </si>
  <si>
    <t>part 500L cask trial.</t>
  </si>
  <si>
    <t>Made at  La Gaffeliere, pending cellar refurb</t>
  </si>
  <si>
    <t>2020 8ha replanting started; CF increased, CS ripped</t>
  </si>
  <si>
    <t>2020 bought back by Malet Roquefort</t>
  </si>
  <si>
    <t>1959 sold to save La Gaffeliere; leased to Moueix</t>
  </si>
  <si>
    <t>1807 to 1959 owned by Malet Roquefort</t>
  </si>
  <si>
    <t>NB ALSO SEE LA GAFFELIERE</t>
  </si>
  <si>
    <t>GROWER CODE: PUYBLANQUET</t>
  </si>
  <si>
    <t>'Rochebelle ne se mesure pas en hectares mais en nectar'</t>
  </si>
  <si>
    <t>QUINTUS, Chateau</t>
  </si>
  <si>
    <t>PRINCE ROBERT DE LUXEMBOURG</t>
  </si>
  <si>
    <t>23LEQUINTUS</t>
  </si>
  <si>
    <t>St Emilion. Plateau. Formerly Chateaux</t>
  </si>
  <si>
    <t>22QUINTUS01</t>
  </si>
  <si>
    <t>Tertre Daugay, L'Arrosée, Grand Pontet</t>
  </si>
  <si>
    <t>21QUINTUS01</t>
  </si>
  <si>
    <t>Quintus started in 2011</t>
  </si>
  <si>
    <t>45ha v/y: 67% M, 33% CF</t>
  </si>
  <si>
    <t>23QUINTUS</t>
  </si>
  <si>
    <t>Sustainable certified HVE, ISO 14001</t>
  </si>
  <si>
    <t>22QUINTUS02</t>
  </si>
  <si>
    <t>Chateau-Quintus.com</t>
  </si>
  <si>
    <t>21QUINTUS02</t>
  </si>
  <si>
    <t>DomaineClarenceDillon.com</t>
  </si>
  <si>
    <t>NB ALSO SEE HAUT BRION / LA MISSION</t>
  </si>
  <si>
    <t>GROWER CODE: QUINTUS</t>
  </si>
  <si>
    <t>ROCHEBELLE, Chateau</t>
  </si>
  <si>
    <t>21ROCHEBELLE01</t>
  </si>
  <si>
    <t>St.Emilion. High average vine age &gt;45yrs</t>
  </si>
  <si>
    <t>3ha: 85% M, 15% CF</t>
  </si>
  <si>
    <t>ESE facing slope at 85 to 94 metres altitude</t>
  </si>
  <si>
    <t>Concrete fermentation</t>
  </si>
  <si>
    <t xml:space="preserve">Owner: Philippe Faniest </t>
  </si>
  <si>
    <t>Winemaker: Emilie Faniest (daughter)</t>
  </si>
  <si>
    <t>Consultant: Thomas Duclos</t>
  </si>
  <si>
    <t>Chateau-Rochebelle.com</t>
  </si>
  <si>
    <r>
      <t xml:space="preserve">Jane Anson, 2017 </t>
    </r>
    <r>
      <rPr>
        <sz val="7"/>
        <color theme="1" tint="0.499984740745262"/>
        <rFont val="Noto Sans"/>
        <family val="2"/>
      </rPr>
      <t>'The impressive thing with D.Durantou is the accomplishment shown across his entire range and the precision of his work with tannins.</t>
    </r>
  </si>
  <si>
    <t>These are not insubstantial wines, and here there is a richness and shape to the structure as it moves through your mouth.'</t>
  </si>
  <si>
    <t>FAMILLE DURANTOU,</t>
  </si>
  <si>
    <t>22SAINTEM01</t>
  </si>
  <si>
    <r>
      <t>SAINTEM</t>
    </r>
    <r>
      <rPr>
        <b/>
        <sz val="10"/>
        <color theme="1" tint="0.14999847407452621"/>
        <rFont val="Noto Sans"/>
        <family val="2"/>
      </rPr>
      <t xml:space="preserve"> aka </t>
    </r>
    <r>
      <rPr>
        <b/>
        <sz val="11"/>
        <color theme="1" tint="0.14999847407452621"/>
        <rFont val="Noto Sans"/>
        <family val="2"/>
      </rPr>
      <t>SAINTAYME</t>
    </r>
  </si>
  <si>
    <t>21SAINTEM01</t>
  </si>
  <si>
    <t>St.Emilion, at St.Etienne de Lisse</t>
  </si>
  <si>
    <t>20SAINTEM</t>
  </si>
  <si>
    <t>~9ha mature merlot vines. Made since '03</t>
  </si>
  <si>
    <t>19SAINTEM</t>
  </si>
  <si>
    <t>18SAINTEM</t>
  </si>
  <si>
    <t>17SAINTEM01</t>
  </si>
  <si>
    <t>NB ALSO SEE L'ÉGLISE CLINET (Pomerol)</t>
  </si>
  <si>
    <t>TERTRE ROTEBOEUF</t>
  </si>
  <si>
    <t>22MITJAV01</t>
  </si>
  <si>
    <t>MITJAVILE, FRANCOIS</t>
  </si>
  <si>
    <t>21MITJAV01</t>
  </si>
  <si>
    <t xml:space="preserve">St.Emilion hillside 'Cote' sector; 6ha </t>
  </si>
  <si>
    <t>20MITJAV01</t>
  </si>
  <si>
    <t>With wife Miloute, son Louis, daughter Nina</t>
  </si>
  <si>
    <t>19MITJAV01</t>
  </si>
  <si>
    <t>80% merlot, 20% cab.franc, in low cordon</t>
  </si>
  <si>
    <t>18MITJAV01</t>
  </si>
  <si>
    <t xml:space="preserve">low yielding; ambient yeast; </t>
  </si>
  <si>
    <t>17MITJAV01</t>
  </si>
  <si>
    <t>cement ferment; 24mths elevage;</t>
  </si>
  <si>
    <t>12MITJAV01</t>
  </si>
  <si>
    <t>no temp. control period; occasional fining</t>
  </si>
  <si>
    <t>2018 B+D Guide Top 10 Producteurs de L'Année</t>
  </si>
  <si>
    <t>2013 Winemaker of the Year, Der Feinschmecker</t>
  </si>
  <si>
    <t>1993 last vintage labelled as 'Chateau'</t>
  </si>
  <si>
    <t>1987 bought Roc de Cambes, Cotes de Bourg</t>
  </si>
  <si>
    <t>1978 name changed to Ch.Tertre Roteboeuf; 1st yr</t>
  </si>
  <si>
    <t>1975 to 1977 Francois worked at Figeac</t>
  </si>
  <si>
    <t>1961 to 1977 wine made at Bellefont Belcier</t>
  </si>
  <si>
    <t>1961 Miloute's father passed away; she inherited</t>
  </si>
  <si>
    <t>1730 house built</t>
  </si>
  <si>
    <t>RVF 2* estate 2016; CC 1* estate 2004</t>
  </si>
  <si>
    <t>Tertre-Roteboeuf.com</t>
  </si>
  <si>
    <t>NB ALSO SEE ROC DE CAMBES</t>
  </si>
  <si>
    <t>GROWER CODE: MITJAV</t>
  </si>
  <si>
    <t>TROPLONG MONDOT, Chateau</t>
  </si>
  <si>
    <t>St Emilion plateau, peaking at 110m</t>
  </si>
  <si>
    <t>21MONDOTTE02</t>
  </si>
  <si>
    <t>Owner: SCOR (since 2017)</t>
  </si>
  <si>
    <t>Director: Aymeric de Gironde (since 2018)</t>
  </si>
  <si>
    <t>Consultant: Thomas Duclos (since 2017)</t>
  </si>
  <si>
    <t>Soil analysis: Claude &amp; Lydia Bourguignon</t>
  </si>
  <si>
    <t>43ha v/y: 73% M, 16% CF, 11% CS</t>
  </si>
  <si>
    <t>(NB 10.5ha does not go into the grand vin)</t>
  </si>
  <si>
    <t>Farmed as 25 sub-parcels, Since 2002,</t>
  </si>
  <si>
    <t>Member of Act4Nature International</t>
  </si>
  <si>
    <t>Troplong-Mondot.com</t>
  </si>
  <si>
    <t>Act4Nature.com</t>
  </si>
  <si>
    <t>GROWER CODE: MONDOT</t>
  </si>
  <si>
    <t>TROTTEVIEILLE, Chateau</t>
  </si>
  <si>
    <t>23TROTTEVIE01</t>
  </si>
  <si>
    <t>22TROTTEVIE01</t>
  </si>
  <si>
    <t>33ha: 50% M, 46% CF 4%, CS, in 1 block</t>
  </si>
  <si>
    <t>21TROTTEVIE01</t>
  </si>
  <si>
    <t>TrotteVieille.com</t>
  </si>
  <si>
    <t>20TROTTEVIE01</t>
  </si>
  <si>
    <t>GROWER CODE: TROTTEVIE</t>
  </si>
  <si>
    <t>19TROTTEVIE</t>
  </si>
  <si>
    <t>VALANDRAUD, Chateau</t>
  </si>
  <si>
    <t>20VALANDRAUD</t>
  </si>
  <si>
    <t>St Emilion (St.Sulpice). 9ha vines, reds:</t>
  </si>
  <si>
    <t>65% M, 25% CF, 5% CS, 4% Mal, 1% Car.</t>
  </si>
  <si>
    <t>Jean-Luc Thunevin, Murielle Andraud</t>
  </si>
  <si>
    <t>Started 1991 with 0.6ha, 'garage' wine</t>
  </si>
  <si>
    <t>Sustainable certified HVE, ISO9001, ISO14001</t>
  </si>
  <si>
    <t>Valandraud.fr</t>
  </si>
  <si>
    <t>France, Bordeaux Right Bank satellites</t>
  </si>
  <si>
    <t>(clockwise):</t>
  </si>
  <si>
    <t>Côtes de Bourg:</t>
  </si>
  <si>
    <r>
      <t>Tim Atkin MW, 2007</t>
    </r>
    <r>
      <rPr>
        <sz val="7"/>
        <color theme="1" tint="0.499984740745262"/>
        <rFont val="Noto Sans"/>
        <family val="2"/>
      </rPr>
      <t xml:space="preserve"> 'the best right bank wine outside Pomerol and St-Emilion'</t>
    </r>
  </si>
  <si>
    <t>DOMAINE DE CAMBES, BORDEAUX:</t>
  </si>
  <si>
    <t>ROC DE CAMBES</t>
  </si>
  <si>
    <t>22MITJAV03</t>
  </si>
  <si>
    <t>Cotes de Bourg, at Bourg sur Gironde</t>
  </si>
  <si>
    <t>21MITJAV03</t>
  </si>
  <si>
    <t>19MITJAV03</t>
  </si>
  <si>
    <t>12ha, av.50yr vines</t>
  </si>
  <si>
    <t>18MITJAV03</t>
  </si>
  <si>
    <t>75% M, 20% CS, 5% Malbec</t>
  </si>
  <si>
    <t>17MITJAV03</t>
  </si>
  <si>
    <r>
      <rPr>
        <b/>
        <sz val="8"/>
        <color theme="1" tint="0.14999847407452621"/>
        <rFont val="Noto Sans"/>
        <family val="2"/>
      </rPr>
      <t>NB</t>
    </r>
    <r>
      <rPr>
        <sz val="8"/>
        <color theme="1" tint="0.14999847407452621"/>
        <rFont val="Noto Sans"/>
        <family val="2"/>
      </rPr>
      <t xml:space="preserve"> 'Domaine' is lower slopes, by the river</t>
    </r>
  </si>
  <si>
    <t>16MITJAV03</t>
  </si>
  <si>
    <r>
      <rPr>
        <b/>
        <sz val="8"/>
        <color rgb="FF00B050"/>
        <rFont val="Noto Sans"/>
        <family val="2"/>
      </rPr>
      <t>sustainable</t>
    </r>
    <r>
      <rPr>
        <sz val="8"/>
        <color theme="1" tint="0.14999847407452621"/>
        <rFont val="Noto Sans"/>
        <family val="2"/>
      </rPr>
      <t xml:space="preserve">; low yielding; ambient yeast; </t>
    </r>
  </si>
  <si>
    <t>15MITJAV03</t>
  </si>
  <si>
    <t>14MITJAV03</t>
  </si>
  <si>
    <t>20MITJAV03MG</t>
  </si>
  <si>
    <t>ROC DE CAMBES GRAND VIN, COTES DE BOURG:</t>
  </si>
  <si>
    <t>1994 last vintage labelled as 'Chateau'</t>
  </si>
  <si>
    <t>22MITJAV02</t>
  </si>
  <si>
    <t>1989 1st vintage</t>
  </si>
  <si>
    <t>21MITJAV02</t>
  </si>
  <si>
    <t>1987 property bought</t>
  </si>
  <si>
    <t>19MITJAV02</t>
  </si>
  <si>
    <t>B+D 4* 2023</t>
  </si>
  <si>
    <t>18MITJAV02</t>
  </si>
  <si>
    <t>Roc-de-Cambes.com</t>
  </si>
  <si>
    <t>17MITJAV02</t>
  </si>
  <si>
    <t>NB ALSO SEE TERTRE ROTEBOEUF</t>
  </si>
  <si>
    <t>16MITJAV02</t>
  </si>
  <si>
    <t>15MITJAV02</t>
  </si>
  <si>
    <t>14MITJAV02</t>
  </si>
  <si>
    <t>13MITJAV02</t>
  </si>
  <si>
    <t>20MITJAV02MG</t>
  </si>
  <si>
    <t>Bordeaux Superieur (nr Fronsac):</t>
  </si>
  <si>
    <t>KIND WORDS ON GRAND VILLAGE, etc.:</t>
  </si>
  <si>
    <r>
      <rPr>
        <b/>
        <sz val="7"/>
        <color theme="1" tint="0.499984740745262"/>
        <rFont val="Noto Sans"/>
        <family val="2"/>
      </rPr>
      <t>Jancis Robinson MW, 2021</t>
    </r>
    <r>
      <rPr>
        <sz val="7"/>
        <color theme="1" tint="0.499984740745262"/>
        <rFont val="Noto Sans"/>
        <family val="2"/>
      </rPr>
      <t xml:space="preserve"> 'excellent'</t>
    </r>
  </si>
  <si>
    <r>
      <rPr>
        <b/>
        <sz val="7"/>
        <color theme="1" tint="0.499984740745262"/>
        <rFont val="Noto Sans"/>
        <family val="2"/>
      </rPr>
      <t>Jancis Robinson MW, 2021</t>
    </r>
    <r>
      <rPr>
        <sz val="7"/>
        <color theme="1" tint="0.499984740745262"/>
        <rFont val="Noto Sans"/>
        <family val="2"/>
      </rPr>
      <t xml:space="preserve"> '(on blanc) obviously made with enormous care and attention. Quite an impact on the inside of the mouth'</t>
    </r>
  </si>
  <si>
    <r>
      <rPr>
        <b/>
        <sz val="7"/>
        <color theme="1" tint="0.499984740745262"/>
        <rFont val="Noto Sans"/>
        <family val="2"/>
      </rPr>
      <t>Jancis Robinson MW, 2021</t>
    </r>
    <r>
      <rPr>
        <sz val="7"/>
        <color theme="1" tint="0.499984740745262"/>
        <rFont val="Noto Sans"/>
        <family val="2"/>
      </rPr>
      <t xml:space="preserve"> 'no fly-by-night varietal Sauvignon but a wine to be proud of serving the most discriminating guest'</t>
    </r>
  </si>
  <si>
    <r>
      <rPr>
        <b/>
        <sz val="7"/>
        <color theme="1" tint="0.499984740745262"/>
        <rFont val="Noto Sans"/>
        <family val="2"/>
      </rPr>
      <t>Jancis Robinson MW, 2020</t>
    </r>
    <r>
      <rPr>
        <sz val="7"/>
        <color theme="1" tint="0.499984740745262"/>
        <rFont val="Noto Sans"/>
        <family val="2"/>
      </rPr>
      <t xml:space="preserve"> 'This (blanc) is a serious food wine that we've followed since 2004.'</t>
    </r>
  </si>
  <si>
    <r>
      <rPr>
        <b/>
        <sz val="7"/>
        <color theme="1" tint="0.499984740745262"/>
        <rFont val="Noto Sans"/>
        <family val="2"/>
      </rPr>
      <t xml:space="preserve">Jancis Robinson MW, 2020 </t>
    </r>
    <r>
      <rPr>
        <sz val="7"/>
        <color theme="1" tint="0.499984740745262"/>
        <rFont val="Noto Sans"/>
        <family val="2"/>
      </rPr>
      <t>'(the blanc) gets better...with every vintage...I could almost imagine mistaking it for a young (Domaine de) Chevalier'</t>
    </r>
  </si>
  <si>
    <r>
      <rPr>
        <b/>
        <sz val="7"/>
        <color theme="1" tint="0.499984740745262"/>
        <rFont val="Noto Sans"/>
        <family val="2"/>
      </rPr>
      <t>Famille Guinaudeau</t>
    </r>
    <r>
      <rPr>
        <sz val="7"/>
        <color theme="1" tint="0.499984740745262"/>
        <rFont val="Noto Sans"/>
        <family val="2"/>
      </rPr>
      <t xml:space="preserve"> 'the second vineyard of Lafleur'</t>
    </r>
  </si>
  <si>
    <r>
      <t xml:space="preserve">GRAND VILLAGE, Ch. </t>
    </r>
    <r>
      <rPr>
        <b/>
        <sz val="10"/>
        <color theme="1" tint="0.14999847407452621"/>
        <rFont val="Noto Sans"/>
        <family val="2"/>
      </rPr>
      <t>by</t>
    </r>
  </si>
  <si>
    <t>BLANC:</t>
  </si>
  <si>
    <t>19GRANDVILL01</t>
  </si>
  <si>
    <t xml:space="preserve">Guineaudeau family estate near Mouillac, </t>
  </si>
  <si>
    <t>18GRANDVILL01M</t>
  </si>
  <si>
    <t>NW of Fronsac. 50ha, with ~20ha vines</t>
  </si>
  <si>
    <t>Jacques and Sylvie Guinaudeau,</t>
  </si>
  <si>
    <t>16GRANDVILL01</t>
  </si>
  <si>
    <t>their son Baptiste &amp; his wife Julie</t>
  </si>
  <si>
    <t>~30cms clay over asteriated limestone terroir</t>
  </si>
  <si>
    <r>
      <rPr>
        <b/>
        <sz val="8"/>
        <color theme="1" tint="0.499984740745262"/>
        <rFont val="Noto Sans"/>
        <family val="2"/>
      </rPr>
      <t>Blanc</t>
    </r>
    <r>
      <rPr>
        <sz val="8"/>
        <color theme="1" tint="0.499984740745262"/>
        <rFont val="Noto Sans"/>
        <family val="2"/>
      </rPr>
      <t xml:space="preserve">: </t>
    </r>
    <r>
      <rPr>
        <sz val="7"/>
        <color theme="1" tint="0.499984740745262"/>
        <rFont val="Noto Sans"/>
        <family val="2"/>
      </rPr>
      <t>~3ha: 75% sauvignon, 25% semillon;</t>
    </r>
  </si>
  <si>
    <t>sauvignon cuttings from Sancerre. 50% tank, 50%</t>
  </si>
  <si>
    <t>cask (part new, part 2nd fill)</t>
  </si>
  <si>
    <r>
      <rPr>
        <b/>
        <sz val="8"/>
        <color theme="1" tint="0.499984740745262"/>
        <rFont val="Noto Sans"/>
        <family val="2"/>
      </rPr>
      <t>Les Champs Libres</t>
    </r>
    <r>
      <rPr>
        <sz val="7"/>
        <color theme="1" tint="0.499984740745262"/>
        <rFont val="Noto Sans"/>
        <family val="2"/>
      </rPr>
      <t>: special cuvée from 4 parcels</t>
    </r>
  </si>
  <si>
    <t>making 0.8ha on Ambeau plateau by Grand Village</t>
  </si>
  <si>
    <t>planted to Sancerre cuttings, 100% cask fermented</t>
  </si>
  <si>
    <r>
      <rPr>
        <b/>
        <sz val="8"/>
        <color theme="1" tint="0.499984740745262"/>
        <rFont val="Noto Sans"/>
        <family val="2"/>
      </rPr>
      <t xml:space="preserve">Rouge: </t>
    </r>
    <r>
      <rPr>
        <sz val="7"/>
        <color theme="1" tint="0.499984740745262"/>
        <rFont val="Noto Sans"/>
        <family val="2"/>
      </rPr>
      <t>12ha: ~80% merlot 20% Bouchet (cab franc)</t>
    </r>
  </si>
  <si>
    <t>Lafleur cuttings; cement ferment; 30% new oak elevage</t>
  </si>
  <si>
    <t>2021 cellar modernised</t>
  </si>
  <si>
    <t>2018 1st Les Perrieres made from Meyney parcels</t>
  </si>
  <si>
    <t>2013 1st Les Champs Libres by Baptiste &amp; Julie</t>
  </si>
  <si>
    <t>2009 to 2017 G Acte 1-9 trials made (for Perrieres)</t>
  </si>
  <si>
    <t>1990 white program started by Jacques &amp; Sylvie</t>
  </si>
  <si>
    <t>1650 farm created</t>
  </si>
  <si>
    <t>NB ALSO SEE PERRIERES (below)</t>
  </si>
  <si>
    <t>NB ALSO SEE LAFLEUR &amp; LES PENSÉES</t>
  </si>
  <si>
    <t>LES PERRIERES, by</t>
  </si>
  <si>
    <t>22PERLAFLEUR</t>
  </si>
  <si>
    <t>21PERLAFLEUR</t>
  </si>
  <si>
    <t>20PERLAFLEUR</t>
  </si>
  <si>
    <t>Guineaudeau family project nr Meyney hamlet</t>
  </si>
  <si>
    <t>19PERLAFLEUR</t>
  </si>
  <si>
    <t>at ~83m on limestone plateau, NW of Fronsac</t>
  </si>
  <si>
    <t>18PERLAFLEUR</t>
  </si>
  <si>
    <t>Baptiste &amp; Julie Guineaudeau</t>
  </si>
  <si>
    <t>~6ha total, of which 2.6ha still fallow (3 parcels)</t>
  </si>
  <si>
    <t>PLANTINGS TO DATE (IN BRIEF):</t>
  </si>
  <si>
    <t>50% Bouchet (cab franc) Lafleur massale, 2 parcels</t>
  </si>
  <si>
    <t>50% merlot, partially Lafleur massale, 3 parcels</t>
  </si>
  <si>
    <t>2018 1st Les Perrieres (de Lafleur) launched</t>
  </si>
  <si>
    <t>2011 to 2016 1st wave of Meyney hamlet plantings</t>
  </si>
  <si>
    <t>2009 to 2017 G Acte #1 to 9 trials made at Gr.Village</t>
  </si>
  <si>
    <t>2006 land purchases start</t>
  </si>
  <si>
    <t>NB ALSO SEE GRAND VILLAGE (above)</t>
  </si>
  <si>
    <t>GROWER CODE: PERLAFLEUR</t>
  </si>
  <si>
    <t>Canon-Fronsac:</t>
  </si>
  <si>
    <t>MOULIN PEY-LABRIE, Ch.</t>
  </si>
  <si>
    <t>2nd WINE - FRONSAC:</t>
  </si>
  <si>
    <t>Canon-Fronsac. Famille Hubau, 7ha</t>
  </si>
  <si>
    <t>18HAUTLAR01</t>
  </si>
  <si>
    <t>2.5ha are &gt;80-100yr old VV, for 'Ch.' label</t>
  </si>
  <si>
    <t>17MOULIN01MTB</t>
  </si>
  <si>
    <t>Ch.Moulin is 40-60yr vines, used casks</t>
  </si>
  <si>
    <t>GRAND VIN - CANON-FRONSAC:</t>
  </si>
  <si>
    <t>13MOULIN01HT</t>
  </si>
  <si>
    <t>14MOULIN02TB</t>
  </si>
  <si>
    <t>ambient yeast; custom 600L Darnajou casks</t>
  </si>
  <si>
    <t>19MOULIN02</t>
  </si>
  <si>
    <t>19MOULIN01</t>
  </si>
  <si>
    <t>2011 start of 600L elevage program for Grand Vin</t>
  </si>
  <si>
    <t>15MOULIN03TB</t>
  </si>
  <si>
    <t>2010 organic certified; start of biodynamics</t>
  </si>
  <si>
    <t>12MOUL01TB</t>
  </si>
  <si>
    <t>2000 1st La Dive Bouteille tasting</t>
  </si>
  <si>
    <t>GRAND VIN EN MAGNUM:</t>
  </si>
  <si>
    <t>1988 estate bought; 1st vintage</t>
  </si>
  <si>
    <t>14MOULIN02MT</t>
  </si>
  <si>
    <t>MoulinPeylabrie.com</t>
  </si>
  <si>
    <t>12MOUL01MTB</t>
  </si>
  <si>
    <t>GROWER CODES: MOULIN / HAUTLAR</t>
  </si>
  <si>
    <t>Lalande de Pomerol:</t>
  </si>
  <si>
    <r>
      <t xml:space="preserve">BELLES-GRAVES, </t>
    </r>
    <r>
      <rPr>
        <b/>
        <sz val="9"/>
        <color theme="1" tint="0.14999847407452621"/>
        <rFont val="Noto Sans"/>
        <family val="2"/>
      </rPr>
      <t>Château</t>
    </r>
  </si>
  <si>
    <t>23BELLESGR01</t>
  </si>
  <si>
    <t>Lalande de Pomerol. 17ha:</t>
  </si>
  <si>
    <t>88% M, 12% CF; ~25% new oak</t>
  </si>
  <si>
    <t>sustainable</t>
  </si>
  <si>
    <t>Belles-Graves.com</t>
  </si>
  <si>
    <t>GROWER CODE: BELLESGR</t>
  </si>
  <si>
    <r>
      <t xml:space="preserve">LES CRUZELLES, </t>
    </r>
    <r>
      <rPr>
        <b/>
        <sz val="9"/>
        <color theme="1" tint="0.14999847407452621"/>
        <rFont val="Noto Sans"/>
        <family val="2"/>
      </rPr>
      <t>Château</t>
    </r>
  </si>
  <si>
    <t>22CHENADE01</t>
  </si>
  <si>
    <t>Lalande de Pomerol. Famille Durantou</t>
  </si>
  <si>
    <t>22CRUZELLES01</t>
  </si>
  <si>
    <t>Bought 1999/2000. ~60% M, 40% CF</t>
  </si>
  <si>
    <t>La Chenade is 0.5ha selection from gravels</t>
  </si>
  <si>
    <t>NB ALSO SEE SAINTEM / SAINTAYME</t>
  </si>
  <si>
    <t>Lussac St. Emilion:</t>
  </si>
  <si>
    <t>BEL AIR, Château</t>
  </si>
  <si>
    <t>22LUSSAC01</t>
  </si>
  <si>
    <t>Lussac St.Emilion. Jean-Noel Roi &amp; sons</t>
  </si>
  <si>
    <t>21LUSSAC01</t>
  </si>
  <si>
    <t>Antoine &amp; Guillaume, 5th generation</t>
  </si>
  <si>
    <t>20LUSSAC01</t>
  </si>
  <si>
    <t>21ha vines on 30ha estate, &amp; 6ha nearby</t>
  </si>
  <si>
    <t>19LUSSAC01</t>
  </si>
  <si>
    <t>70% M, 15% CS, 15% CF</t>
  </si>
  <si>
    <t>LARGE FORMAT:</t>
  </si>
  <si>
    <r>
      <rPr>
        <b/>
        <sz val="8"/>
        <color theme="1" tint="0.14999847407452621"/>
        <rFont val="Noto Sans"/>
        <family val="2"/>
      </rPr>
      <t>'Jean &amp; Gabriel':</t>
    </r>
    <r>
      <rPr>
        <sz val="8"/>
        <color theme="1" tint="0.14999847407452621"/>
        <rFont val="Noto Sans"/>
        <family val="2"/>
      </rPr>
      <t xml:space="preserve"> 5ha VV parcel on blue clay</t>
    </r>
  </si>
  <si>
    <t>19LUSSAC01MG</t>
  </si>
  <si>
    <t>of 50% M &amp; 50% CF, in new to 2yr casks</t>
  </si>
  <si>
    <t>19LUSSAC01JB</t>
  </si>
  <si>
    <t>made by Stephane Derenoncourt</t>
  </si>
  <si>
    <t>Chateau-Belair.com</t>
  </si>
  <si>
    <t>GROWER CODE: LUSSAC</t>
  </si>
  <si>
    <t>Puisseguin St. Emilion:</t>
  </si>
  <si>
    <t>GUIBEAU, Chateau</t>
  </si>
  <si>
    <t>23GUIBEAU01</t>
  </si>
  <si>
    <t>Puisseguin-St.Emilion. Eric &amp; Brigitte Destouet</t>
  </si>
  <si>
    <t>45ha vines. M, CS &amp; CF. Cask &amp; tank raised</t>
  </si>
  <si>
    <t>Organic certified 2012 Qualisud</t>
  </si>
  <si>
    <t>Chateau-Guibeau.com</t>
  </si>
  <si>
    <t>GROWER CODE: GUIBEAU</t>
  </si>
  <si>
    <t>Francs - Côtes de Bordeaux:</t>
  </si>
  <si>
    <t>THIENPONT FRERES ON CLOS FONTAINE:</t>
  </si>
  <si>
    <t>'Saint Cibard, village de charme et de terroirs confidentiels'</t>
  </si>
  <si>
    <t>'L'élevage d'un cru doit révéler et sublimer son terroir'</t>
  </si>
  <si>
    <r>
      <rPr>
        <b/>
        <sz val="7"/>
        <color theme="1" tint="0.499984740745262"/>
        <rFont val="Noto Sans"/>
        <family val="2"/>
      </rPr>
      <t>Florian Thienpont '</t>
    </r>
    <r>
      <rPr>
        <i/>
        <sz val="7"/>
        <color theme="1" tint="0.499984740745262"/>
        <rFont val="Noto Sans"/>
        <family val="2"/>
      </rPr>
      <t xml:space="preserve">La nature est belle, je veux l'apprivoiser pour produire un grand vin!'
</t>
    </r>
  </si>
  <si>
    <r>
      <rPr>
        <b/>
        <sz val="7"/>
        <color theme="1" tint="0.499984740745262"/>
        <rFont val="Noto Sans"/>
        <family val="2"/>
      </rPr>
      <t xml:space="preserve">Jan Thienpont, 2017: </t>
    </r>
    <r>
      <rPr>
        <sz val="7"/>
        <color theme="1" tint="0.499984740745262"/>
        <rFont val="Noto Sans"/>
        <family val="2"/>
      </rPr>
      <t xml:space="preserve">'Je ne veux pas de produit oenologique dans mes chais' </t>
    </r>
  </si>
  <si>
    <r>
      <rPr>
        <b/>
        <sz val="7"/>
        <color theme="1" tint="0.499984740745262"/>
        <rFont val="Noto Sans"/>
        <family val="2"/>
      </rPr>
      <t>Florian Thienpont, 2016</t>
    </r>
    <r>
      <rPr>
        <sz val="7"/>
        <color theme="1" tint="0.499984740745262"/>
        <rFont val="Noto Sans"/>
        <family val="2"/>
      </rPr>
      <t xml:space="preserve"> 'My goal is for simplicity, wines made naturally. We love gastronomy so when a bottle is finished, we like to open another one.</t>
    </r>
  </si>
  <si>
    <t>We don't care about concentration, color or tannins; we want to make wine for us to enjoy and for the future generation.'</t>
  </si>
  <si>
    <r>
      <t xml:space="preserve">THIENPONT, </t>
    </r>
    <r>
      <rPr>
        <b/>
        <sz val="9.5"/>
        <color theme="1" tint="0.14999847407452621"/>
        <rFont val="Noto Sans"/>
        <family val="2"/>
      </rPr>
      <t>Jan &amp; Florian</t>
    </r>
  </si>
  <si>
    <t>22CLOSFONT01</t>
  </si>
  <si>
    <t>CLOS FONTAINE, Ch.</t>
  </si>
  <si>
    <t>21CLOSFONT01</t>
  </si>
  <si>
    <t>Francs - Côtes de Bordeaux, at St.Cibard</t>
  </si>
  <si>
    <t>20CLOSFONT01</t>
  </si>
  <si>
    <t>Jan, Florian, Clemens Thienpont. ~20.5ha</t>
  </si>
  <si>
    <t>18CLOSFONT01</t>
  </si>
  <si>
    <t>estate. 12ha of mostly VV, in 15 parcels.</t>
  </si>
  <si>
    <t>19CLOSFONT01M</t>
  </si>
  <si>
    <t xml:space="preserve">Plus 3ha forest, 3ha 'LPO' bird sanctuary, </t>
  </si>
  <si>
    <t>15CLOSFONT01M</t>
  </si>
  <si>
    <t>2ha old cereal biotypes, 0.6ha potager,</t>
  </si>
  <si>
    <t>10km hedgerows, 2km streams. 80-100m altitude</t>
  </si>
  <si>
    <t>Agroforestry; sheep &amp; chicken grazing</t>
  </si>
  <si>
    <t>Terroir is calcareous (clay-rich) molasses</t>
  </si>
  <si>
    <r>
      <t xml:space="preserve"> ('</t>
    </r>
    <r>
      <rPr>
        <i/>
        <sz val="8"/>
        <color theme="1" tint="0.14999847407452621"/>
        <rFont val="Noto Sans"/>
        <family val="2"/>
      </rPr>
      <t>L'Agennais</t>
    </r>
    <r>
      <rPr>
        <sz val="8"/>
        <color theme="1" tint="0.14999847407452621"/>
        <rFont val="Noto Sans"/>
        <family val="2"/>
      </rPr>
      <t>'), over asteriated limestone.</t>
    </r>
  </si>
  <si>
    <t>Organic certified 2023 Ecocert</t>
  </si>
  <si>
    <t>Ambient yeast; egg-white fining IF necessary</t>
  </si>
  <si>
    <r>
      <t xml:space="preserve">Elevage </t>
    </r>
    <r>
      <rPr>
        <i/>
        <sz val="8"/>
        <color theme="1" tint="0.14999847407452621"/>
        <rFont val="Noto Sans"/>
        <family val="2"/>
      </rPr>
      <t>was</t>
    </r>
    <r>
      <rPr>
        <sz val="8"/>
        <color theme="1" tint="0.14999847407452621"/>
        <rFont val="Noto Sans"/>
        <family val="2"/>
      </rPr>
      <t xml:space="preserve"> in 1yr family-sourced casks;</t>
    </r>
  </si>
  <si>
    <t>is now 12-18mths in foudres since 2023</t>
  </si>
  <si>
    <r>
      <t xml:space="preserve">'1er Vin' </t>
    </r>
    <r>
      <rPr>
        <i/>
        <sz val="8"/>
        <color theme="1" tint="0.14999847407452621"/>
        <rFont val="Noto Sans"/>
        <family val="2"/>
      </rPr>
      <t>was</t>
    </r>
    <r>
      <rPr>
        <sz val="8"/>
        <color theme="1" tint="0.14999847407452621"/>
        <rFont val="Noto Sans"/>
        <family val="2"/>
      </rPr>
      <t xml:space="preserve"> the VV selection (50-75yrs);</t>
    </r>
  </si>
  <si>
    <t>renamed Clos Fontaine Grand Vin in 2021</t>
  </si>
  <si>
    <t>2023 1st vintage 100% raised in foudres</t>
  </si>
  <si>
    <t>2023 Organic certified</t>
  </si>
  <si>
    <t>2021 1st vintage of  'Clos Fontaine Grand Vin' label</t>
  </si>
  <si>
    <t>2020 start of formal organic in conversion</t>
  </si>
  <si>
    <t>2018 4 cousins buy 12ha bio Ch.Robin, Castillon</t>
  </si>
  <si>
    <t>2016 Jeannie Cho Lee MW covers Clos Fontaine</t>
  </si>
  <si>
    <t>2015 brothers buy Chateau Bouty, Castillon</t>
  </si>
  <si>
    <t>2014 1st vintage of 1er Vin, from ~50 to 75yr VV</t>
  </si>
  <si>
    <t>2013 sons Jan, Florian &amp; Clemens take it over</t>
  </si>
  <si>
    <t>2003 Dominique buys Clos Fontaine; 1st vintage</t>
  </si>
  <si>
    <t>1983 2nd son Florian born; 1st vintage of Puygueraud</t>
  </si>
  <si>
    <t>1978 Dominique's son Jan born</t>
  </si>
  <si>
    <t>1975 George's son Dominique starts negociant arm</t>
  </si>
  <si>
    <t>1946 George Thienpont buys Ch.Puygueraud nearby</t>
  </si>
  <si>
    <t>Chateau-Clos-Fontaine.com</t>
  </si>
  <si>
    <t>NB GITE ACCOMMODATION AVAILABLE</t>
  </si>
  <si>
    <t>NB ALSO SEE LA PIE BLANC (Castillon)</t>
  </si>
  <si>
    <t>NB ALSO SEE CHATEAU ROBIN (Castillon)</t>
  </si>
  <si>
    <t>GROWER CODE: CLOSFONT</t>
  </si>
  <si>
    <t>Cyrille (son) &amp; Nicolas (father) Thienpont</t>
  </si>
  <si>
    <t>Castillon - Côtes de Bordeaux:</t>
  </si>
  <si>
    <r>
      <t xml:space="preserve">D'AIGUILHE, Château </t>
    </r>
    <r>
      <rPr>
        <b/>
        <sz val="9"/>
        <color theme="1" tint="0.14999847407452621"/>
        <rFont val="Noto Sans"/>
        <family val="2"/>
      </rPr>
      <t>by</t>
    </r>
  </si>
  <si>
    <t>22DAIGUILHE01</t>
  </si>
  <si>
    <t>Stephan von Neipperg</t>
  </si>
  <si>
    <t>Castillon - Côtes de Bordeaux</t>
  </si>
  <si>
    <t xml:space="preserve">90ha vines. 80% M, 20% CF </t>
  </si>
  <si>
    <t>Neipperg.com</t>
  </si>
  <si>
    <t>GROWER CODE: DAIGUILHE</t>
  </si>
  <si>
    <t>ALCÉE, Château by</t>
  </si>
  <si>
    <t>20ALCEE</t>
  </si>
  <si>
    <r>
      <t xml:space="preserve">THIENPONT, </t>
    </r>
    <r>
      <rPr>
        <b/>
        <sz val="9"/>
        <color theme="1" tint="0.14999847407452621"/>
        <rFont val="Noto Sans"/>
        <family val="2"/>
      </rPr>
      <t>Cyrille &amp; Nicolas</t>
    </r>
  </si>
  <si>
    <t>6.5ha vines: 86% M, 14% CF</t>
  </si>
  <si>
    <t>red-clay &amp; asteriated limestone soils</t>
  </si>
  <si>
    <r>
      <t>sustainable</t>
    </r>
    <r>
      <rPr>
        <sz val="8"/>
        <color theme="1" tint="0.14999847407452621"/>
        <rFont val="Noto Sans"/>
        <family val="2"/>
      </rPr>
      <t xml:space="preserve"> farming</t>
    </r>
  </si>
  <si>
    <t>2014 1ha disposed of; further 4.5ha purchased</t>
  </si>
  <si>
    <t>2011 3ha purchased Nicolas &amp; Cyrille Thienpont</t>
  </si>
  <si>
    <t>GROWER CODE: ALCEE</t>
  </si>
  <si>
    <t>CLOS LOUIE</t>
  </si>
  <si>
    <t>22CLOUIE01</t>
  </si>
  <si>
    <t>~6ha in Castillon - Côtes de Bordeaux</t>
  </si>
  <si>
    <t>21CLOUIE01</t>
  </si>
  <si>
    <t>Pascal &amp; Sophie Lucin-Douteau.</t>
  </si>
  <si>
    <t>20CLOUIE</t>
  </si>
  <si>
    <t>At Saint-Gènes-de-Castillon</t>
  </si>
  <si>
    <t>18CLOUIE</t>
  </si>
  <si>
    <t>~600hl casks from Stockinger, Marc Grenier,</t>
  </si>
  <si>
    <t>14CLOUIE</t>
  </si>
  <si>
    <t>Mastro Bottaio etc., plus Darnajou 300L,</t>
  </si>
  <si>
    <t>13CLOUIE</t>
  </si>
  <si>
    <t>~20% new. Yields usually 15-20hl/ha</t>
  </si>
  <si>
    <t>Biodynamic certified Biodyvin 2018</t>
  </si>
  <si>
    <t>Pascal is technical director Ch.Grand Pontet</t>
  </si>
  <si>
    <t>THE TWO WINES:</t>
  </si>
  <si>
    <r>
      <rPr>
        <b/>
        <sz val="7"/>
        <color theme="1" tint="0.499984740745262"/>
        <rFont val="Noto Sans"/>
        <family val="2"/>
      </rPr>
      <t>Clos Louie:</t>
    </r>
    <r>
      <rPr>
        <sz val="7"/>
        <color theme="1" tint="0.499984740745262"/>
        <rFont val="Noto Sans"/>
        <family val="2"/>
      </rPr>
      <t xml:space="preserve"> Original family block is 1ha, planted</t>
    </r>
  </si>
  <si>
    <t>45% to vv/tvv ungrafted 5 varieties interplanted, plus</t>
  </si>
  <si>
    <t>1985 merlot &amp; malbec in thin red-clay soils over</t>
  </si>
  <si>
    <t>limestone mother rock. 600L &amp; 300L. Other parcels</t>
  </si>
  <si>
    <t>can be promoted into Clos Louie. 1st made 2004</t>
  </si>
  <si>
    <r>
      <rPr>
        <b/>
        <sz val="7"/>
        <color theme="1" tint="0.499984740745262"/>
        <rFont val="Noto Sans"/>
        <family val="2"/>
      </rPr>
      <t>Louison &amp; Leopoldine by Clos Louie</t>
    </r>
    <r>
      <rPr>
        <sz val="7"/>
        <color theme="1" tint="0.499984740745262"/>
        <rFont val="Noto Sans"/>
        <family val="2"/>
      </rPr>
      <t xml:space="preserve">: 2nd wine, </t>
    </r>
  </si>
  <si>
    <r>
      <rPr>
        <i/>
        <sz val="7"/>
        <color theme="1" tint="0.499984740745262"/>
        <rFont val="Noto Sans"/>
        <family val="2"/>
      </rPr>
      <t xml:space="preserve">was </t>
    </r>
    <r>
      <rPr>
        <sz val="7"/>
        <color theme="1" tint="0.499984740745262"/>
        <rFont val="Noto Sans"/>
        <family val="2"/>
      </rPr>
      <t xml:space="preserve">from 2ha mature CF VV (up to 80%) &amp; merlot, </t>
    </r>
  </si>
  <si>
    <t>white clay soils at slope bottom, limestone higher up</t>
  </si>
  <si>
    <t>ex-cuve plus some new &amp; old casks</t>
  </si>
  <si>
    <t>2023 estate doubles to ~6ha</t>
  </si>
  <si>
    <t>2023 hillside planted at St Genès to CF &amp; malbec</t>
  </si>
  <si>
    <t>2022 35hl/ha, 14%, pH3.35-3.4, 45% M &amp; CS/CF/malbec</t>
  </si>
  <si>
    <t>2021 Organic Certified by Ecocert</t>
  </si>
  <si>
    <t>2021 15hl/ha, 70% M, 30% CF</t>
  </si>
  <si>
    <t>2020 14.5%, pH3.35; 60% M, 15% CF, 15% CS, 10% mal</t>
  </si>
  <si>
    <t>2019 14%, pH3.32; 70% M, 20% malbec, 10% CF (TBC)</t>
  </si>
  <si>
    <t xml:space="preserve">2018 14.5%, pH3.35; </t>
  </si>
  <si>
    <t>2018 biodynamic - joined Biodyvin</t>
  </si>
  <si>
    <t>2017 10hl/ha</t>
  </si>
  <si>
    <t>2016 50% M, 25% CF, 25% malbec</t>
  </si>
  <si>
    <t xml:space="preserve">2012 2ha parcel bought for cuvee L&amp;L, with house </t>
  </si>
  <si>
    <t>2012 Organic certified. Facebook feed starts.</t>
  </si>
  <si>
    <t>2004 Clos Louis created, with ~1ha vines</t>
  </si>
  <si>
    <t>1985 younger part of Clos Louie 1ha planted</t>
  </si>
  <si>
    <t>1800s oldest ungrafted field-blend vines planted</t>
  </si>
  <si>
    <t>PRESS TIMELINE (IN BRIEF):</t>
  </si>
  <si>
    <t>2020 94/100 RVF Guide 2023; AG91-93+</t>
  </si>
  <si>
    <t>2019 92/100 Coup de Coeur RVF</t>
  </si>
  <si>
    <t>2016 94/100, Jeb Dunnuck 2023</t>
  </si>
  <si>
    <t>Facebook.com/ClosLouie/</t>
  </si>
  <si>
    <t>GROWER CODE: CLOUIE</t>
  </si>
  <si>
    <t>JOANIN-BÉCOT, Ch.</t>
  </si>
  <si>
    <t>22JOANIN01</t>
  </si>
  <si>
    <t xml:space="preserve">Castillon - Côtes de Bordeaux. </t>
  </si>
  <si>
    <t>Puchased 2001 with 4.5ha. Now 15ha vines</t>
  </si>
  <si>
    <t>80% M, 20% CF. Oldest vines 1870 CF</t>
  </si>
  <si>
    <t>Elevage in futs, foudres &amp; amphora</t>
  </si>
  <si>
    <t>BeauSejour-Becot.com</t>
  </si>
  <si>
    <t>NB ALSO SEE BEAU-SÉJOUR BÉCOT</t>
  </si>
  <si>
    <t>THIENPONT COUSINS:</t>
  </si>
  <si>
    <t>Maxime &amp; Jan</t>
  </si>
  <si>
    <t xml:space="preserve">Castillon. From a tiny old-vine field-blend </t>
  </si>
  <si>
    <t>parcel of sauvignons blanc &amp; gris at L'Hetre</t>
  </si>
  <si>
    <t>Raised in seasoned casks; bottled unfiltered</t>
  </si>
  <si>
    <t>1st made 2019</t>
  </si>
  <si>
    <t>Organic certified 2019 Ecocert</t>
  </si>
  <si>
    <t>NEW LISTING FOR 2023</t>
  </si>
  <si>
    <t>NB ALSO SEE CLOS FONTAINE (Francs)</t>
  </si>
  <si>
    <t>NB ALSO SEE Ch.ROBIN (Castillon)</t>
  </si>
  <si>
    <r>
      <t xml:space="preserve">THIENPONT, </t>
    </r>
    <r>
      <rPr>
        <b/>
        <sz val="9"/>
        <color theme="1" tint="0.14999847407452621"/>
        <rFont val="Noto Sans"/>
        <family val="2"/>
      </rPr>
      <t>Jacques &amp; Co.</t>
    </r>
  </si>
  <si>
    <t>RAISON D'HETRE, 2nd WINE:</t>
  </si>
  <si>
    <r>
      <t xml:space="preserve">L'HÊTRE, </t>
    </r>
    <r>
      <rPr>
        <b/>
        <sz val="9"/>
        <color theme="1" tint="0.14999847407452621"/>
        <rFont val="Noto Sans"/>
        <family val="2"/>
      </rPr>
      <t>from 2016</t>
    </r>
  </si>
  <si>
    <t>22DHETRE01</t>
  </si>
  <si>
    <t>20DHETRE01</t>
  </si>
  <si>
    <t>Jacques &amp; Fiona Thienpont, his sister Anne</t>
  </si>
  <si>
    <t>17DHETRE01</t>
  </si>
  <si>
    <t>95% merlot, 5% cab.franc, on clay-limestone,</t>
  </si>
  <si>
    <t>16DHETRE01</t>
  </si>
  <si>
    <t>100masl. managed by Maxime Thienpont</t>
  </si>
  <si>
    <t>15GOUBAU02</t>
  </si>
  <si>
    <t>37ha total, 16ha vines, 10ha being planted</t>
  </si>
  <si>
    <t>L'HETRE - GRAND VIN:</t>
  </si>
  <si>
    <t>~1/3 new oak</t>
  </si>
  <si>
    <t>22DHETRE02</t>
  </si>
  <si>
    <t>21DHETRE01</t>
  </si>
  <si>
    <t>2017 27ha Ch.Montagne nextdoor purchased</t>
  </si>
  <si>
    <t>20DHETRE02</t>
  </si>
  <si>
    <t>2016 1st vintage named L'Hetre</t>
  </si>
  <si>
    <t>19DHETRE01</t>
  </si>
  <si>
    <t>2015 Jacques &amp; family buy 12ha Ch.Goubau</t>
  </si>
  <si>
    <t>18DHETRE01</t>
  </si>
  <si>
    <t>17DHETRE02</t>
  </si>
  <si>
    <t>LHetre.wine</t>
  </si>
  <si>
    <t>16DHETRE02</t>
  </si>
  <si>
    <t>15GOUBAU01</t>
  </si>
  <si>
    <t>L'HETRE EN MAGNUM:</t>
  </si>
  <si>
    <t>17DHETRE01MG</t>
  </si>
  <si>
    <t>GROWER CODES: DHETRE / GOUBAU</t>
  </si>
  <si>
    <t>16DHETRE01MG</t>
  </si>
  <si>
    <t>15GOUBAU02MG</t>
  </si>
  <si>
    <t>19DHETRE01MG</t>
  </si>
  <si>
    <r>
      <rPr>
        <b/>
        <sz val="7"/>
        <color theme="1" tint="0.499984740745262"/>
        <rFont val="Noto Sans"/>
        <family val="2"/>
      </rPr>
      <t>B+D Guide 2022</t>
    </r>
    <r>
      <rPr>
        <sz val="7"/>
        <color theme="1" tint="0.499984740745262"/>
        <rFont val="Noto Sans"/>
        <family val="2"/>
      </rPr>
      <t xml:space="preserve"> 'un des meilleurs rapports qualité-prix du Bordelais'</t>
    </r>
  </si>
  <si>
    <r>
      <rPr>
        <b/>
        <sz val="7"/>
        <color theme="1" tint="0.499984740745262"/>
        <rFont val="Noto Sans"/>
        <family val="2"/>
      </rPr>
      <t>Jane Anson, 2017</t>
    </r>
    <r>
      <rPr>
        <sz val="7"/>
        <color theme="1" tint="0.499984740745262"/>
        <rFont val="Noto Sans"/>
        <family val="2"/>
      </rPr>
      <t xml:space="preserve"> 'top 10 affordable Bordeaux'</t>
    </r>
  </si>
  <si>
    <t>22MONTLAND</t>
  </si>
  <si>
    <t>MONTLANDRIE, Chateau</t>
  </si>
  <si>
    <t>20MONTLAND</t>
  </si>
  <si>
    <t>Castillon. 12ha. Purchased 2009</t>
  </si>
  <si>
    <t>19MONTLAND</t>
  </si>
  <si>
    <t>merlot, cabernets franc &amp; sauvignon</t>
  </si>
  <si>
    <t>12MONTLAND</t>
  </si>
  <si>
    <t>11MONTLAND</t>
  </si>
  <si>
    <t>GROWER CODE: MONTLAND</t>
  </si>
  <si>
    <t>We don't care about concentration, color or tannins; we want to make wine for us to enjoy and for the future generation.”</t>
  </si>
  <si>
    <t>ROBIN, Chateau</t>
  </si>
  <si>
    <t>20ROBIN</t>
  </si>
  <si>
    <t>19ROBIN</t>
  </si>
  <si>
    <t>Castillon. 13ha at Belves</t>
  </si>
  <si>
    <t>SE amphitheatre with silex over limestone</t>
  </si>
  <si>
    <t>VINES: M~63%, CF 30%, malbec 7%</t>
  </si>
  <si>
    <t>Agroforestry; sheep grazing</t>
  </si>
  <si>
    <t>ⓋVegan compatible</t>
  </si>
  <si>
    <t>ambient yeast; unfined</t>
  </si>
  <si>
    <t>elevage in 1yr family-sourced casks &amp; tank</t>
  </si>
  <si>
    <t>TIMELINE (IN BRIEF!):</t>
  </si>
  <si>
    <t>2021/2 SSE parcel due for planting</t>
  </si>
  <si>
    <t>2019 1ha malbec planted</t>
  </si>
  <si>
    <t>2018 Robin purchased by 4 Thienpont cousins</t>
  </si>
  <si>
    <t>2012 Jan &amp; Florian take over Clos Fontaine, Francs</t>
  </si>
  <si>
    <t>1983 Florian born</t>
  </si>
  <si>
    <t>1978 Jan born</t>
  </si>
  <si>
    <t>Cru-Robin.com</t>
  </si>
  <si>
    <t>GROWER CODE: ROBIN</t>
  </si>
  <si>
    <t>EDM - Entre Deux Mers:</t>
  </si>
  <si>
    <t>NB SOME WINES ONLY IN THE VAULTS, EDINBURGH</t>
  </si>
  <si>
    <t>VALROSE, Château, &amp;</t>
  </si>
  <si>
    <t>nr Daignac, Entre-Deux-Mers. Ludo Barthe</t>
  </si>
  <si>
    <t>12VALROSE04</t>
  </si>
  <si>
    <t>Bordeaux Sup. &amp; Entre-Deux-Mers (EDM)</t>
  </si>
  <si>
    <t>55ha. Ambient yeast; Francis Miquel casks</t>
  </si>
  <si>
    <t>16VALROSE02</t>
  </si>
  <si>
    <t>Grand Bireau range are tank wines</t>
  </si>
  <si>
    <t>16VALROSE03</t>
  </si>
  <si>
    <t>Château Valrose are barrel fermented/aged</t>
  </si>
  <si>
    <t>Jean Le Soldat is sauvignon/manseng</t>
  </si>
  <si>
    <t>Organic certified 2014 AB</t>
  </si>
  <si>
    <t>fr-fr.facebook.com/ChateauGrandBireau/</t>
  </si>
  <si>
    <t>GROWER CODE: VALROSE</t>
  </si>
  <si>
    <t>Premieres Côtes de Bordeaux:</t>
  </si>
  <si>
    <r>
      <t xml:space="preserve">NB </t>
    </r>
    <r>
      <rPr>
        <b/>
        <i/>
        <sz val="8"/>
        <color theme="1" tint="0.14999847407452621"/>
        <rFont val="Noto Sans"/>
        <family val="2"/>
      </rPr>
      <t>MOSTLY</t>
    </r>
    <r>
      <rPr>
        <b/>
        <sz val="8"/>
        <color theme="1" tint="0.14999847407452621"/>
        <rFont val="Noto Sans"/>
        <family val="2"/>
      </rPr>
      <t xml:space="preserve"> </t>
    </r>
    <r>
      <rPr>
        <b/>
        <i/>
        <sz val="8"/>
        <color theme="1" tint="0.14999847407452621"/>
        <rFont val="Noto Sans"/>
        <family val="2"/>
      </rPr>
      <t>ALL</t>
    </r>
    <r>
      <rPr>
        <b/>
        <sz val="8"/>
        <color theme="1" tint="0.14999847407452621"/>
        <rFont val="Noto Sans"/>
        <family val="2"/>
      </rPr>
      <t xml:space="preserve"> IN THE VAULTS, EDINBURGH</t>
    </r>
  </si>
  <si>
    <t>LA GONTRIE, Château</t>
  </si>
  <si>
    <t>BLANC SEC:</t>
  </si>
  <si>
    <t>Premières Côtes de Bordeaux</t>
  </si>
  <si>
    <t>24GONTRIE02</t>
  </si>
  <si>
    <t>at Saint Caprais de Bordeaux. 17ha</t>
  </si>
  <si>
    <t>Jean-Louis &amp; Nola Rives; founded 1984</t>
  </si>
  <si>
    <t>CLAIRET aka ROSÉ:</t>
  </si>
  <si>
    <r>
      <t>50% of rouge sees 3</t>
    </r>
    <r>
      <rPr>
        <vertAlign val="superscript"/>
        <sz val="8"/>
        <color theme="1" tint="0.14999847407452621"/>
        <rFont val="Noto Sans"/>
        <family val="2"/>
      </rPr>
      <t>rd</t>
    </r>
    <r>
      <rPr>
        <sz val="8"/>
        <color theme="1" tint="0.14999847407452621"/>
        <rFont val="Noto Sans"/>
        <family val="2"/>
      </rPr>
      <t xml:space="preserve"> fill barrel elevage</t>
    </r>
  </si>
  <si>
    <t>p</t>
  </si>
  <si>
    <t>21GONTRIE04VDP</t>
  </si>
  <si>
    <t>no insecticide; organic compliant anti-botrytis</t>
  </si>
  <si>
    <t>15GONTRIE03</t>
  </si>
  <si>
    <t>ChateauLaGontrie.net</t>
  </si>
  <si>
    <t>19GONTRIE01HVDP</t>
  </si>
  <si>
    <t>NB ACCOMMODATION AVAILABLE</t>
  </si>
  <si>
    <t>24GONTRIE01</t>
  </si>
  <si>
    <t>GROWER CODE: GONTRIE</t>
  </si>
  <si>
    <t>ROUGE LARGE FORMAT:</t>
  </si>
  <si>
    <t>23GONTRIE02VDP</t>
  </si>
  <si>
    <t>23GONTRIE03VDP</t>
  </si>
  <si>
    <t>21GONTRIE03VJDP</t>
  </si>
  <si>
    <t>SWEET aka MOELLEUX:</t>
  </si>
  <si>
    <t>21GONTRIE02VDP</t>
  </si>
  <si>
    <t>France, Bordeaux - Graves &amp; Pessac-Léognan</t>
  </si>
  <si>
    <t>Graves based:</t>
  </si>
  <si>
    <t>MASSEREAU, Château</t>
  </si>
  <si>
    <t>UNOAKED RED:</t>
  </si>
  <si>
    <t>Graves, &amp; Barsac-Sauternes. 10ha vines</t>
  </si>
  <si>
    <t>19MASSER01</t>
  </si>
  <si>
    <t>19ha estate. Chaigneau family since 2000</t>
  </si>
  <si>
    <t>16MASS01</t>
  </si>
  <si>
    <t>custom built Darnajou barrels, and cuves</t>
  </si>
  <si>
    <t xml:space="preserve">ambient yeast, unfined, unfiltered </t>
  </si>
  <si>
    <t>16MASS02</t>
  </si>
  <si>
    <t>RE - 2nd FILL DARNAJOU CASKS:</t>
  </si>
  <si>
    <t>19MASSER03</t>
  </si>
  <si>
    <t>RED EN MAGNUM:</t>
  </si>
  <si>
    <r>
      <rPr>
        <b/>
        <sz val="7"/>
        <color theme="1" tint="0.499984740745262"/>
        <rFont val="Noto Sans"/>
        <family val="2"/>
      </rPr>
      <t>BORDEAUX SUP.</t>
    </r>
    <r>
      <rPr>
        <sz val="7"/>
        <color theme="1" tint="0.499984740745262"/>
        <rFont val="Noto Sans"/>
        <family val="2"/>
      </rPr>
      <t xml:space="preserve"> red vines in Sauternes, from cuve</t>
    </r>
  </si>
  <si>
    <t>19MASSER04MG</t>
  </si>
  <si>
    <r>
      <rPr>
        <b/>
        <sz val="7"/>
        <color theme="1" tint="0.499984740745262"/>
        <rFont val="Noto Sans"/>
        <family val="2"/>
      </rPr>
      <t>CUVÉE X:</t>
    </r>
    <r>
      <rPr>
        <sz val="7"/>
        <color theme="1" tint="0.499984740745262"/>
        <rFont val="Noto Sans"/>
        <family val="2"/>
      </rPr>
      <t xml:space="preserve"> red vines in Sauternes, cuve, low SO2</t>
    </r>
  </si>
  <si>
    <t>15MASS01MTB</t>
  </si>
  <si>
    <r>
      <rPr>
        <b/>
        <sz val="7"/>
        <color theme="1" tint="0.499984740745262"/>
        <rFont val="Noto Sans"/>
        <family val="2"/>
      </rPr>
      <t>CUVÉE K:</t>
    </r>
    <r>
      <rPr>
        <sz val="7"/>
        <color theme="1" tint="0.499984740745262"/>
        <rFont val="Noto Sans"/>
        <family val="2"/>
      </rPr>
      <t xml:space="preserve"> red vines in Sauternes, used Darnajou</t>
    </r>
  </si>
  <si>
    <t>12MASS02MTB</t>
  </si>
  <si>
    <r>
      <rPr>
        <b/>
        <sz val="7"/>
        <color theme="1" tint="0.499984740745262"/>
        <rFont val="Noto Sans"/>
        <family val="2"/>
      </rPr>
      <t>GRAVES:</t>
    </r>
    <r>
      <rPr>
        <sz val="7"/>
        <color theme="1" tint="0.499984740745262"/>
        <rFont val="Noto Sans"/>
        <family val="2"/>
      </rPr>
      <t xml:space="preserve"> Graves vines, in 2nd fill Darnajou casks</t>
    </r>
  </si>
  <si>
    <t>BARSAC-SAUTERNES:</t>
  </si>
  <si>
    <t>GROWER CODE: MASS</t>
  </si>
  <si>
    <t>12MASS04TB</t>
  </si>
  <si>
    <t>Pessac-Léognan based:</t>
  </si>
  <si>
    <t>2-PACK:</t>
  </si>
  <si>
    <t>BOUSCAUT, Château</t>
  </si>
  <si>
    <r>
      <t>w</t>
    </r>
    <r>
      <rPr>
        <b/>
        <sz val="7"/>
        <color rgb="FFFF0000"/>
        <rFont val="Noto Sans"/>
        <family val="2"/>
      </rPr>
      <t>/r</t>
    </r>
  </si>
  <si>
    <t>Pessac-Léognan, at Cadaujac. 52ha vines</t>
  </si>
  <si>
    <t>Bought 1979 by Lucien Lurton</t>
  </si>
  <si>
    <t>Sophie Lurton since 1992 with husband</t>
  </si>
  <si>
    <t>Laurent Cogombles &amp; son Armand</t>
  </si>
  <si>
    <t>42ha red: 50% CS, 42% M, 7% Mal, 1% PV</t>
  </si>
  <si>
    <t>10ha white: 55% SB, 45% semillon</t>
  </si>
  <si>
    <t>2015 50cl 2-pack are old parcel selections:</t>
  </si>
  <si>
    <t>sémillon 1850 ungrafted tvv; malbec 1955 vv</t>
  </si>
  <si>
    <t>Sustainable certified HVE3, 2018</t>
  </si>
  <si>
    <t>Chateau-Bouscaut.com</t>
  </si>
  <si>
    <t>GROWER CODE: BOUSC</t>
  </si>
  <si>
    <r>
      <rPr>
        <b/>
        <sz val="7"/>
        <color theme="1" tint="0.499984740745262"/>
        <rFont val="Noto Sans"/>
        <family val="2"/>
      </rPr>
      <t>C.18th</t>
    </r>
    <r>
      <rPr>
        <sz val="7"/>
        <color theme="1" tint="0.499984740745262"/>
        <rFont val="Noto Sans"/>
        <family val="2"/>
      </rPr>
      <t>: 'mineral water from Carbonnieux'</t>
    </r>
  </si>
  <si>
    <t>CARBONNIEUX, Château</t>
  </si>
  <si>
    <t>Pessac-Léognan. Perrin family, 3rd &amp; 4th gen.</t>
  </si>
  <si>
    <t>25DECARBONNIEUX</t>
  </si>
  <si>
    <t>119 plots: ~95ha today, 92ha vines</t>
  </si>
  <si>
    <t>THE TWO WINES (IN BRIEF):</t>
  </si>
  <si>
    <r>
      <rPr>
        <b/>
        <sz val="7"/>
        <color theme="1" tint="0.499984740745262"/>
        <rFont val="Noto Sans"/>
        <family val="2"/>
      </rPr>
      <t>BLANC:</t>
    </r>
    <r>
      <rPr>
        <sz val="7"/>
        <color theme="1" tint="0.499984740745262"/>
        <rFont val="Noto Sans"/>
        <family val="2"/>
      </rPr>
      <t xml:space="preserve"> 42ha, 65% sauv blanc, 35% semillon</t>
    </r>
  </si>
  <si>
    <t>fermented and raised 10mths in 225L, 400L</t>
  </si>
  <si>
    <t>and foudres, 25% new, from Centre de France</t>
  </si>
  <si>
    <r>
      <rPr>
        <b/>
        <sz val="7"/>
        <color theme="1" tint="0.499984740745262"/>
        <rFont val="Noto Sans"/>
        <family val="2"/>
      </rPr>
      <t>ROUGE:</t>
    </r>
    <r>
      <rPr>
        <sz val="7"/>
        <color theme="1" tint="0.499984740745262"/>
        <rFont val="Noto Sans"/>
        <family val="2"/>
      </rPr>
      <t xml:space="preserve"> 50ha, 60% cab sauv, 30% merlot,</t>
    </r>
  </si>
  <si>
    <t>7% cab franc, 3% petit verdot. 4weeks maceration</t>
  </si>
  <si>
    <t>raised 18mths in 225L futs, 33% new wood</t>
  </si>
  <si>
    <t>1956 purchased by Marc Perrin</t>
  </si>
  <si>
    <t>1828 to 1871 HX Bouchereau collected 1242 varieties</t>
  </si>
  <si>
    <t>1740 to 1791 owned by Ste.Croix Benedictines</t>
  </si>
  <si>
    <t>1234 1st record of Carbonius family vines at Leognan</t>
  </si>
  <si>
    <t>Sustainable certified ISO14001 EMS</t>
  </si>
  <si>
    <r>
      <rPr>
        <sz val="8"/>
        <color theme="1" tint="0.14999847407452621"/>
        <rFont val="Noto Sans"/>
        <family val="2"/>
      </rPr>
      <t>BLANC is</t>
    </r>
    <r>
      <rPr>
        <b/>
        <sz val="8"/>
        <color rgb="FF00B050"/>
        <rFont val="Noto Sans"/>
        <family val="2"/>
      </rPr>
      <t xml:space="preserve"> Ⓥ Vegan compatible</t>
    </r>
  </si>
  <si>
    <t>Carbonnieux.com</t>
  </si>
  <si>
    <t>GROWER CODE: CARBONN</t>
  </si>
  <si>
    <t>LES CARMES HAUT BRION</t>
  </si>
  <si>
    <t>Pessac-Léognan, at Pessac. ~30ha estate</t>
  </si>
  <si>
    <t>18DESCARMHF</t>
  </si>
  <si>
    <t>Owner Patrice Pichet since 2010</t>
  </si>
  <si>
    <t>17DESCARMMG</t>
  </si>
  <si>
    <t>Vineyards: 40% CF, 40% M, 20% CS</t>
  </si>
  <si>
    <t>Grand Vin restricted to 7.6ha top parcels</t>
  </si>
  <si>
    <t>23CARMES01</t>
  </si>
  <si>
    <t>Winery by Philippe Starck &amp; Co., 2016</t>
  </si>
  <si>
    <t>22CARMES01</t>
  </si>
  <si>
    <t>70% cask, 20% 18hl foudres, 10% terracotta</t>
  </si>
  <si>
    <t>21CARMES</t>
  </si>
  <si>
    <t>20CARMES</t>
  </si>
  <si>
    <t>Les-Carmes-Haut-Brion.com</t>
  </si>
  <si>
    <t>19CARMESRW</t>
  </si>
  <si>
    <t>GROWER CODE: CARMES</t>
  </si>
  <si>
    <t>by Famille Bernard</t>
  </si>
  <si>
    <t>23DDCE03</t>
  </si>
  <si>
    <t xml:space="preserve">Pessac-Léognan. </t>
  </si>
  <si>
    <t xml:space="preserve">Famille Bernard bought in 1983 with 18ha vines </t>
  </si>
  <si>
    <t>21DDCE04</t>
  </si>
  <si>
    <t>Olivier &amp; Anne Bernard with sons</t>
  </si>
  <si>
    <t>23DDCE01</t>
  </si>
  <si>
    <t>Adrien &amp; Hugo Bernard</t>
  </si>
  <si>
    <t>22DDCE03</t>
  </si>
  <si>
    <t>Started working with DIAM in 2015</t>
  </si>
  <si>
    <t>23DDCE02</t>
  </si>
  <si>
    <t>65ha vines. 58ha rouge, 7ha blanc, in ~90 parcels</t>
  </si>
  <si>
    <t>Rouge: 63% CS, 30% M, 5% PV, 2% CF</t>
  </si>
  <si>
    <t>21DDCE03</t>
  </si>
  <si>
    <t>Blanc: 70% SB, 30% Semillon</t>
  </si>
  <si>
    <t>22DDCE01</t>
  </si>
  <si>
    <r>
      <t xml:space="preserve">long-term </t>
    </r>
    <r>
      <rPr>
        <b/>
        <sz val="8"/>
        <color rgb="FF00B050"/>
        <rFont val="Noto Sans"/>
        <family val="2"/>
      </rPr>
      <t>sustainable-uncertified</t>
    </r>
    <r>
      <rPr>
        <sz val="8"/>
        <color theme="1" tint="0.14999847407452621"/>
        <rFont val="Noto Sans"/>
        <family val="2"/>
      </rPr>
      <t xml:space="preserve"> focus</t>
    </r>
  </si>
  <si>
    <t>Organic certified 2023 Veritas</t>
  </si>
  <si>
    <t>21DDCE05</t>
  </si>
  <si>
    <r>
      <rPr>
        <b/>
        <sz val="8"/>
        <color rgb="FF00B050"/>
        <rFont val="Noto Sans"/>
        <family val="2"/>
      </rPr>
      <t>Biodynamic certified</t>
    </r>
    <r>
      <rPr>
        <sz val="8"/>
        <color theme="1" tint="0.14999847407452621"/>
        <rFont val="Noto Sans"/>
        <family val="2"/>
      </rPr>
      <t xml:space="preserve"> 2022 (Blanc), 2024 (Rge)</t>
    </r>
  </si>
  <si>
    <t>19DDCR</t>
  </si>
  <si>
    <t>RVF 2* estate; B+D 5* 2022</t>
  </si>
  <si>
    <t>2020 B+D Guide Producteurs Coup de Coeur</t>
  </si>
  <si>
    <t>2019 1st entry in IWR Top 100 WOTY</t>
  </si>
  <si>
    <t>often in Wine Spectator Top 100, since 1993</t>
  </si>
  <si>
    <t>DomaineDeChevalier.com</t>
  </si>
  <si>
    <t>GROWER CODE: DDC</t>
  </si>
  <si>
    <t>FIEUZAL, Château de</t>
  </si>
  <si>
    <t>22FIEUZAL01</t>
  </si>
  <si>
    <t>Pessac-Léognan. 70ha vineyards:</t>
  </si>
  <si>
    <t>60ha red: 50% CS, 37% M, 8% PV, 5% CF</t>
  </si>
  <si>
    <t>10ha white: 50% SB, 50% Semillon</t>
  </si>
  <si>
    <t>OWNERS: Brenda &amp; Lochlann Quinn</t>
  </si>
  <si>
    <t>DIRECTOR: Stephen Carrier</t>
  </si>
  <si>
    <t>CONSULTANT: Hubert de Bouard</t>
  </si>
  <si>
    <t>Fieuzal.com</t>
  </si>
  <si>
    <t>HAUT BAILLY, Château</t>
  </si>
  <si>
    <t>19HAUTBAIL</t>
  </si>
  <si>
    <t>Pessac-Léognan. 51ha, with 39ha vines (2022)</t>
  </si>
  <si>
    <t>60% CS, 34% M, 3% CF, 3% PV</t>
  </si>
  <si>
    <t>Incl 4ha TVV &gt;120yrs, in 6 varieties</t>
  </si>
  <si>
    <t>OWNERS: Wilmers family since 1998</t>
  </si>
  <si>
    <t>REGISSEUR: Veronique Sanders since 2000</t>
  </si>
  <si>
    <r>
      <t xml:space="preserve">Winery by Daniel Romeo, 2018-2020: </t>
    </r>
    <r>
      <rPr>
        <b/>
        <sz val="8"/>
        <color rgb="FF00B050"/>
        <rFont val="Noto Sans"/>
        <family val="2"/>
      </rPr>
      <t>HQE</t>
    </r>
  </si>
  <si>
    <t>youtube.com/watch?v=8owJUUOrG6c</t>
  </si>
  <si>
    <t>Haut-Bailly.com</t>
  </si>
  <si>
    <t>HAUT BERGEY, Château</t>
  </si>
  <si>
    <t>21HBERGEY</t>
  </si>
  <si>
    <t>Pessac-Léognan. 40ha red, 2ha white:</t>
  </si>
  <si>
    <t>08HBERGEY</t>
  </si>
  <si>
    <t>Red: 43%CS, 43%M, 8%CF, 5%PV, 1%M</t>
  </si>
  <si>
    <t>White: 82% SB, 18% Sem</t>
  </si>
  <si>
    <t>2018 organic certified</t>
  </si>
  <si>
    <t>2015 wine now made by Paul Garcin</t>
  </si>
  <si>
    <t>to 2014 wine made by Helene Garcin Levesque</t>
  </si>
  <si>
    <t>2013 1st vintage of Cuvée Paul from cement egg</t>
  </si>
  <si>
    <t>2001 cellar renovated</t>
  </si>
  <si>
    <t>1991 purchased by Sylviane Garcin</t>
  </si>
  <si>
    <t>1989 vineyard largely replanted</t>
  </si>
  <si>
    <t>Organic certified 2018 Ecocert</t>
  </si>
  <si>
    <t>Biodynamic</t>
  </si>
  <si>
    <t>Haut-Bergey.fr</t>
  </si>
  <si>
    <t>GROWER CODE: HBERGEY</t>
  </si>
  <si>
    <t>HAUT BRION, Château</t>
  </si>
  <si>
    <t>23LACLARTE01</t>
  </si>
  <si>
    <t>Pessac-Léognan, at Pessac. ~55ha estate</t>
  </si>
  <si>
    <t>22LACLARTE01</t>
  </si>
  <si>
    <t>51ha vines, 4ha parkloand and woods</t>
  </si>
  <si>
    <t>21HAUTBRION03</t>
  </si>
  <si>
    <t>Régisseur: Jean-Philippe Delmas</t>
  </si>
  <si>
    <t>48ha red: 45%M, 44%CS, 10%CF, 1%PV</t>
  </si>
  <si>
    <t>23LECLARENCE01</t>
  </si>
  <si>
    <t>3ha white: 51% semillon, 49% sauv. blanc</t>
  </si>
  <si>
    <t>22LECLARENCE01</t>
  </si>
  <si>
    <t>Own cooperage, with Seguin Moreau's help</t>
  </si>
  <si>
    <t>21LECLARENCE01</t>
  </si>
  <si>
    <t>No insecticides used</t>
  </si>
  <si>
    <t>20LECLARENCE</t>
  </si>
  <si>
    <t>Quartz-rich gravels over complex subsoil</t>
  </si>
  <si>
    <t>Haut-Brion.com</t>
  </si>
  <si>
    <t>23HAUTBRION01</t>
  </si>
  <si>
    <t>22HAUTBRION01</t>
  </si>
  <si>
    <t>NB ALSO SEE QUINTUS (St.Emilion)</t>
  </si>
  <si>
    <t>21HAUTBRION01</t>
  </si>
  <si>
    <t>20HAUTBRION</t>
  </si>
  <si>
    <t>19HAUTBRIONRW</t>
  </si>
  <si>
    <t>LA MISSION HAUT BRION</t>
  </si>
  <si>
    <t>22HAUTBRION02</t>
  </si>
  <si>
    <t>Pessac-Léognan, at Pessac. 30.7ha v/y</t>
  </si>
  <si>
    <t>21HAUTBRION08</t>
  </si>
  <si>
    <t>27ha red: 49% CS, 44% M, 10% CF</t>
  </si>
  <si>
    <t>22HAUTBRION03</t>
  </si>
  <si>
    <t>3.7ha white: 62% semillon, 38% sauv. blanc</t>
  </si>
  <si>
    <t>21HAUTBRION07</t>
  </si>
  <si>
    <t>Mission-Haut-Brion.com</t>
  </si>
  <si>
    <t>20MISSION</t>
  </si>
  <si>
    <t>MALARTIC-LAGRAVIERE,</t>
  </si>
  <si>
    <t>Chateau</t>
  </si>
  <si>
    <t>20MALATRIC</t>
  </si>
  <si>
    <t>19MALATRIC</t>
  </si>
  <si>
    <t>Famille A&amp;M Bonnie since 1997 (with 19ha)</t>
  </si>
  <si>
    <t>73ha vines: 64ha red, 9ha white</t>
  </si>
  <si>
    <t>Red: 45% CS, 45% M, 8% CF, 2% PV</t>
  </si>
  <si>
    <t>White: 83% SB, 17% Sem</t>
  </si>
  <si>
    <t>Bordeaux Cultivons Demain member</t>
  </si>
  <si>
    <t>Bien Vivre Ensemble en Gironde Charter member</t>
  </si>
  <si>
    <t>Agroecology vision</t>
  </si>
  <si>
    <t>Sustainable certified HVE3A, ISO14001</t>
  </si>
  <si>
    <t>Malartic-Lagraviere.com</t>
  </si>
  <si>
    <t>GROWER CODE: MALA</t>
  </si>
  <si>
    <t>PAPE CLÉMENT, Château</t>
  </si>
  <si>
    <t>22PAPECLEMENT01</t>
  </si>
  <si>
    <t>Pessac-Léognan. Bernard Magrez</t>
  </si>
  <si>
    <t>20PAPECLEMENT</t>
  </si>
  <si>
    <t>Chateau-Pape-Clement.fr</t>
  </si>
  <si>
    <t>19PAPECLEMENT01</t>
  </si>
  <si>
    <t>GROWER CODE: PAPECLEMENT</t>
  </si>
  <si>
    <r>
      <t xml:space="preserve">SMITH-HAUT LAFITTE, </t>
    </r>
    <r>
      <rPr>
        <b/>
        <sz val="9"/>
        <color theme="1" tint="0.14999847407452621"/>
        <rFont val="Noto Sans"/>
        <family val="2"/>
      </rPr>
      <t>Ch.</t>
    </r>
  </si>
  <si>
    <t>Pessac-Léognan, at Léognan. 87ha est.</t>
  </si>
  <si>
    <t>21SMITHLAF03</t>
  </si>
  <si>
    <t>Daniel &amp; Florence Cathiard since 1990</t>
  </si>
  <si>
    <t>19SMITHLAFBL</t>
  </si>
  <si>
    <t>Red: 67ha, 60% CS, 30% M, 9% CF, 1% PV</t>
  </si>
  <si>
    <t>White: 11ha, 90% SB, 5% SG, 5% sem</t>
  </si>
  <si>
    <t>19LEPETITSMITH</t>
  </si>
  <si>
    <t>In-house cooperage</t>
  </si>
  <si>
    <t>22SMITH01</t>
  </si>
  <si>
    <t>21SMITHLAF01</t>
  </si>
  <si>
    <t>Some biodynamic practices</t>
  </si>
  <si>
    <t>20SMITHLAF</t>
  </si>
  <si>
    <t>Smith-Haut-Lafitte.com</t>
  </si>
  <si>
    <t>19SMITHLAF02</t>
  </si>
  <si>
    <t>Sources-Caudalie.com</t>
  </si>
  <si>
    <t>Caudalie.com</t>
  </si>
  <si>
    <t>GROWER CODE: SMITHLAF</t>
  </si>
  <si>
    <t>France, Bordeaux Left bank / Haut-Médoc</t>
  </si>
  <si>
    <t>from South to North:</t>
  </si>
  <si>
    <t>Southern Haut-Médoc:</t>
  </si>
  <si>
    <t>NB ALSO SEE NORTHERN HAUT-MÉDOC &amp; MÉDOC</t>
  </si>
  <si>
    <t>CANTEMERLE, Château</t>
  </si>
  <si>
    <t>22CANTEMERLE01</t>
  </si>
  <si>
    <t>Macau, Haut-Médoc. SMA Group since '81</t>
  </si>
  <si>
    <t>20CANTEMERLE</t>
  </si>
  <si>
    <t>~95ha vines on gravel terroirs, &amp; 28ha park</t>
  </si>
  <si>
    <t>19CANTEMERLE</t>
  </si>
  <si>
    <t>68% CS, 22%M, 5% CF, 5% PV</t>
  </si>
  <si>
    <t>11CANTMERLEM</t>
  </si>
  <si>
    <t>Cantemerle.com</t>
  </si>
  <si>
    <t>GROWER CODES: CANTEMERLE / CANTMERL</t>
  </si>
  <si>
    <t>LA LAGUNE, Château</t>
  </si>
  <si>
    <t>20LAGUNE</t>
  </si>
  <si>
    <t>Ludon, Haut-Médoc. 90ha potential: 85ha</t>
  </si>
  <si>
    <t>19LAGUNE</t>
  </si>
  <si>
    <t>under vine: 60% CS, 30% M, 10% PV</t>
  </si>
  <si>
    <t>19LAGUNEMG</t>
  </si>
  <si>
    <t>Caroline Frey &amp; Co.</t>
  </si>
  <si>
    <t>Biodynamic cert 2019 Biodyvin</t>
  </si>
  <si>
    <t>Chateau-LaLagune.com</t>
  </si>
  <si>
    <t>GROWER CODE: LAGUNE</t>
  </si>
  <si>
    <t>VILLEGEORGE, Château</t>
  </si>
  <si>
    <t>12VILLEGE01</t>
  </si>
  <si>
    <t>Haut-Médoc, at Avensan</t>
  </si>
  <si>
    <t>12.3ha; 63% CS, 37% M</t>
  </si>
  <si>
    <t>Marie-Laure Lurton, &amp; son Gabriel Roux-Lurton</t>
  </si>
  <si>
    <t>2024 mv cuvée Harmonie launched</t>
  </si>
  <si>
    <t>2011 - 2013 CIVB ISO14001 certification program</t>
  </si>
  <si>
    <t>2003 Terre Vitis sustainable agriculture</t>
  </si>
  <si>
    <t>1999 Emilie Roullé starts sustainable conversion</t>
  </si>
  <si>
    <t>1992 Marie-Laure becomes owner</t>
  </si>
  <si>
    <t>1986 Marie-Laure's 1st vintage as enologist</t>
  </si>
  <si>
    <t>1973 Lucien Lurton purchase; starts refurbishment</t>
  </si>
  <si>
    <t xml:space="preserve">1932 &amp; 1966 ranked Cru Bourgeois Exceptionnel </t>
  </si>
  <si>
    <t>Sustainable certified Terra Vitis, 2003</t>
  </si>
  <si>
    <t>MarieLaureLurton.com</t>
  </si>
  <si>
    <t>GROWER CODE: VILLEGE</t>
  </si>
  <si>
    <t>Margaux based:</t>
  </si>
  <si>
    <t>KIND WORDS ON BEL AIR MARQUIS d'ALIGRE:</t>
  </si>
  <si>
    <r>
      <rPr>
        <b/>
        <sz val="7"/>
        <color theme="1" tint="0.499984740745262"/>
        <rFont val="Noto Sans"/>
        <family val="2"/>
      </rPr>
      <t>RVF:</t>
    </r>
    <r>
      <rPr>
        <sz val="7"/>
        <color theme="1" tint="0.499984740745262"/>
        <rFont val="Noto Sans"/>
        <family val="2"/>
      </rPr>
      <t xml:space="preserve"> </t>
    </r>
    <r>
      <rPr>
        <i/>
        <sz val="7"/>
        <color theme="1" tint="0.499984740745262"/>
        <rFont val="Noto Sans"/>
        <family val="2"/>
      </rPr>
      <t>'L'éxpression le plus pur de l'appellation'</t>
    </r>
  </si>
  <si>
    <r>
      <rPr>
        <b/>
        <sz val="7"/>
        <color theme="1" tint="0.499984740745262"/>
        <rFont val="Noto Sans"/>
        <family val="2"/>
      </rPr>
      <t>Bernard Burtschy, Le Figaro:</t>
    </r>
    <r>
      <rPr>
        <sz val="7"/>
        <color theme="1" tint="0.499984740745262"/>
        <rFont val="Noto Sans"/>
        <family val="2"/>
      </rPr>
      <t xml:space="preserve"> 'un cru du passé, mais aussi du futur'</t>
    </r>
  </si>
  <si>
    <r>
      <rPr>
        <b/>
        <sz val="7"/>
        <color theme="1" tint="0.499984740745262"/>
        <rFont val="Noto Sans"/>
        <family val="2"/>
      </rPr>
      <t>Marquis d'Aligre, 1825:</t>
    </r>
    <r>
      <rPr>
        <sz val="7"/>
        <color theme="1" tint="0.499984740745262"/>
        <rFont val="Noto Sans"/>
        <family val="2"/>
      </rPr>
      <t xml:space="preserve"> 'Defendu d'en laisser'</t>
    </r>
  </si>
  <si>
    <r>
      <rPr>
        <b/>
        <sz val="7"/>
        <color theme="1" tint="0.499984740745262"/>
        <rFont val="Noto Sans"/>
        <family val="2"/>
      </rPr>
      <t>N.Martin, 2018</t>
    </r>
    <r>
      <rPr>
        <sz val="7"/>
        <color theme="1" tint="0.499984740745262"/>
        <rFont val="Noto Sans"/>
        <family val="2"/>
      </rPr>
      <t xml:space="preserve"> 'a bona fide French paysan'</t>
    </r>
  </si>
  <si>
    <r>
      <rPr>
        <b/>
        <sz val="7"/>
        <color theme="1" tint="0.499984740745262"/>
        <rFont val="Noto Sans"/>
        <family val="2"/>
      </rPr>
      <t>N.Martin, 2018</t>
    </r>
    <r>
      <rPr>
        <sz val="7"/>
        <color theme="1" tint="0.499984740745262"/>
        <rFont val="Noto Sans"/>
        <family val="2"/>
      </rPr>
      <t xml:space="preserve"> 'constitutes one of the most important (château I will ever write about)</t>
    </r>
  </si>
  <si>
    <r>
      <rPr>
        <b/>
        <sz val="7"/>
        <color theme="1" tint="0.499984740745262"/>
        <rFont val="Noto Sans"/>
        <family val="2"/>
      </rPr>
      <t>N.Martin, 2018</t>
    </r>
    <r>
      <rPr>
        <sz val="7"/>
        <color theme="1" tint="0.499984740745262"/>
        <rFont val="Noto Sans"/>
        <family val="2"/>
      </rPr>
      <t xml:space="preserve"> 'might be the last or the only time that I will meet bygone Bordeaux face-to-face.</t>
    </r>
  </si>
  <si>
    <r>
      <rPr>
        <b/>
        <sz val="7"/>
        <color theme="1" tint="0.499984740745262"/>
        <rFont val="Noto Sans"/>
        <family val="2"/>
      </rPr>
      <t>N.Martin, 2018 '</t>
    </r>
    <r>
      <rPr>
        <sz val="7"/>
        <color theme="1" tint="0.499984740745262"/>
        <rFont val="Noto Sans"/>
        <family val="2"/>
      </rPr>
      <t>cut from a totally different cloth to any Bordeaux I had tasted.'</t>
    </r>
  </si>
  <si>
    <r>
      <rPr>
        <b/>
        <sz val="7"/>
        <color theme="1" tint="0.499984740745262"/>
        <rFont val="Noto Sans"/>
        <family val="2"/>
      </rPr>
      <t>N.Martin, 2018 '</t>
    </r>
    <r>
      <rPr>
        <sz val="7"/>
        <color theme="1" tint="0.499984740745262"/>
        <rFont val="Noto Sans"/>
        <family val="2"/>
      </rPr>
      <t>They were remarkably consistent, and their backstory made them intermittently profound, extraordinarily pure almost Saint Julien</t>
    </r>
  </si>
  <si>
    <t>like in style with sappy finishes'</t>
  </si>
  <si>
    <r>
      <rPr>
        <b/>
        <sz val="7"/>
        <color theme="1" tint="0.499984740745262"/>
        <rFont val="Noto Sans"/>
        <family val="2"/>
      </rPr>
      <t>N.Martin, 2018</t>
    </r>
    <r>
      <rPr>
        <sz val="7"/>
        <color theme="1" tint="0.499984740745262"/>
        <rFont val="Noto Sans"/>
        <family val="2"/>
      </rPr>
      <t xml:space="preserve"> 'expressions of terroir in its most unadulterated and unmasked form.'</t>
    </r>
  </si>
  <si>
    <r>
      <rPr>
        <b/>
        <sz val="7"/>
        <color theme="1" tint="0.499984740745262"/>
        <rFont val="Noto Sans"/>
        <family val="2"/>
      </rPr>
      <t>N.Martin, 2018</t>
    </r>
    <r>
      <rPr>
        <sz val="7"/>
        <color theme="1" tint="0.499984740745262"/>
        <rFont val="Noto Sans"/>
        <family val="2"/>
      </rPr>
      <t xml:space="preserve"> 'an ill-fitting and timeworn jigsaw piece, yet that piece that completes the whole picture.'</t>
    </r>
  </si>
  <si>
    <r>
      <rPr>
        <b/>
        <sz val="7"/>
        <color theme="1" tint="0.499984740745262"/>
        <rFont val="Noto Sans"/>
        <family val="2"/>
      </rPr>
      <t>J.Robinson MW, 2017</t>
    </r>
    <r>
      <rPr>
        <sz val="7"/>
        <color theme="1" tint="0.499984740745262"/>
        <rFont val="Noto Sans"/>
        <family val="2"/>
      </rPr>
      <t xml:space="preserve"> 'completely outside the Bordeaux norm...burgundian in their build and lusciousness, but with a certain stony quality'</t>
    </r>
  </si>
  <si>
    <r>
      <rPr>
        <b/>
        <sz val="7"/>
        <color theme="1" tint="0.499984740745262"/>
        <rFont val="Noto Sans"/>
        <family val="2"/>
      </rPr>
      <t>J.P Boyer, 2018</t>
    </r>
    <r>
      <rPr>
        <sz val="7"/>
        <color theme="1" tint="0.499984740745262"/>
        <rFont val="Noto Sans"/>
        <family val="2"/>
      </rPr>
      <t xml:space="preserve"> 'It’s all blah, blah, blah'</t>
    </r>
  </si>
  <si>
    <r>
      <t>BEL-AIR MARQUIS</t>
    </r>
    <r>
      <rPr>
        <b/>
        <sz val="8"/>
        <color theme="1" tint="0.14999847407452621"/>
        <rFont val="Noto Sans"/>
        <family val="2"/>
      </rPr>
      <t xml:space="preserve"> d'</t>
    </r>
    <r>
      <rPr>
        <b/>
        <sz val="10"/>
        <color theme="1" tint="0.14999847407452621"/>
        <rFont val="Noto Sans"/>
        <family val="2"/>
      </rPr>
      <t>ALIGRE</t>
    </r>
  </si>
  <si>
    <t>10MARQUIS02</t>
  </si>
  <si>
    <t>AKA 'MARGAUX DEFENDU'</t>
  </si>
  <si>
    <t>09MARQUIS01</t>
  </si>
  <si>
    <t>Margaux. Owner JP Boyer. 50ha estate</t>
  </si>
  <si>
    <t>~13ha vines, with ~8ha leased out.</t>
  </si>
  <si>
    <t>30% ea. CS/CF/M, 10% PV</t>
  </si>
  <si>
    <t>Part pre-phylloxera, part vignes centenaires,</t>
  </si>
  <si>
    <t>part co-planted, farmed long term in:</t>
  </si>
  <si>
    <t>Avg.25hl/ha; hand harvest; ambient yeast.</t>
  </si>
  <si>
    <t>2 to 6 years in cement tanks: no barriques</t>
  </si>
  <si>
    <t>1950s last vintage raised in futs/barriques</t>
  </si>
  <si>
    <t>1949 JP Boyer becomes owner</t>
  </si>
  <si>
    <t>~1933 JP Boyer born</t>
  </si>
  <si>
    <t xml:space="preserve">1932 classified as 'Grand Cru Exceptionnel' </t>
  </si>
  <si>
    <t xml:space="preserve">1897 to 1949, passes through five owners </t>
  </si>
  <si>
    <t>1880 1st vintages sold to negoce; estate is 90ha</t>
  </si>
  <si>
    <t>1855 not-classified, as not sold by Bordeaux negoce</t>
  </si>
  <si>
    <t>mid C.19th Viguerie family briefly owned or managed</t>
  </si>
  <si>
    <t>1847 passes to Pomereu-Aligre family until 1897</t>
  </si>
  <si>
    <t xml:space="preserve">1825 1st name-embossed 'Bordeaux' shaped bottle </t>
  </si>
  <si>
    <t>1798 Etienne-Jean Francois inherits, w.21,000ha:</t>
  </si>
  <si>
    <t>becomes chamberlain to Napoleon's sister, etc.</t>
  </si>
  <si>
    <t>1789 Etienne Francois goes into exile with son</t>
  </si>
  <si>
    <t>1770B - 1847D Etienne-Jean Francois, Marquis d'Aligre</t>
  </si>
  <si>
    <t>1727B - 1798D Etienne Francois, Marquis d'Aligre</t>
  </si>
  <si>
    <t>1758 1st record of Bel-Air, in chai brickwork</t>
  </si>
  <si>
    <t>GROWER CODES: MARQUIS / MARDAL</t>
  </si>
  <si>
    <t>BRANE-CANTENAC, Ch.</t>
  </si>
  <si>
    <t>19BBRAN</t>
  </si>
  <si>
    <t xml:space="preserve">Margaux (in Cantenac). Henri Lurton. </t>
  </si>
  <si>
    <t>18BBRAN</t>
  </si>
  <si>
    <t xml:space="preserve">75ha Margaux vines: 63% CS, 33% M, </t>
  </si>
  <si>
    <t>22BRANECANT01</t>
  </si>
  <si>
    <t>4% CF, plus 0.5% Carmenère</t>
  </si>
  <si>
    <t>21BRANECANT</t>
  </si>
  <si>
    <t>&gt;25% in 'organic-uncertified' &amp; BD trials</t>
  </si>
  <si>
    <t>20BRANECANT</t>
  </si>
  <si>
    <t>Brane-Cantenac.com</t>
  </si>
  <si>
    <t>GROWER CODES: BBRAN / TBC</t>
  </si>
  <si>
    <t>DAUZAC, Chateau</t>
  </si>
  <si>
    <t>21MARGAUX02</t>
  </si>
  <si>
    <t>Margaux.</t>
  </si>
  <si>
    <t>Owner Christian Roulleau since 2018</t>
  </si>
  <si>
    <t>170ha estate, incl 120ha forest / meadow</t>
  </si>
  <si>
    <t>49ha single block, includes 4ha H.Médoc</t>
  </si>
  <si>
    <t>69% CS, 29% M, 2% PV</t>
  </si>
  <si>
    <t>Plus 0.55ha ungrafted CS trial</t>
  </si>
  <si>
    <t>Seguin Moreau wood fermenters</t>
  </si>
  <si>
    <t>sustainable, with customised Biodynamic</t>
  </si>
  <si>
    <t>ChateauDauzac.com</t>
  </si>
  <si>
    <t>DESMIRAIL, Château</t>
  </si>
  <si>
    <t>20DESMIRAILHF</t>
  </si>
  <si>
    <t>Margaux. Denis Lurton. 40ha vines</t>
  </si>
  <si>
    <t>19HMDESMIRAIL</t>
  </si>
  <si>
    <t>Eric Boissenot consults</t>
  </si>
  <si>
    <t>20DESMIRAIL</t>
  </si>
  <si>
    <t>THE VINES:</t>
  </si>
  <si>
    <t>20DESMIRAILMG</t>
  </si>
  <si>
    <t>50% CS, 40% M, 5% each CF &amp; PV</t>
  </si>
  <si>
    <r>
      <rPr>
        <b/>
        <sz val="7"/>
        <color theme="1" tint="0.499984740745262"/>
        <rFont val="Noto Sans"/>
        <family val="2"/>
      </rPr>
      <t>Arsac (Margaux):</t>
    </r>
    <r>
      <rPr>
        <sz val="7"/>
        <color theme="1" tint="0.499984740745262"/>
        <rFont val="Noto Sans"/>
        <family val="2"/>
      </rPr>
      <t xml:space="preserve"> 13ha in 1 block by du Tertre</t>
    </r>
  </si>
  <si>
    <r>
      <rPr>
        <b/>
        <sz val="7"/>
        <color theme="1" tint="0.499984740745262"/>
        <rFont val="Noto Sans"/>
        <family val="2"/>
      </rPr>
      <t>Cantenac (Margaux):</t>
    </r>
    <r>
      <rPr>
        <sz val="7"/>
        <color theme="1" tint="0.499984740745262"/>
        <rFont val="Noto Sans"/>
        <family val="2"/>
      </rPr>
      <t xml:space="preserve"> 9ha, incl a 6ha prime block</t>
    </r>
  </si>
  <si>
    <r>
      <rPr>
        <b/>
        <sz val="7"/>
        <color theme="1" tint="0.499984740745262"/>
        <rFont val="Noto Sans"/>
        <family val="2"/>
      </rPr>
      <t>Soussans (Margaux)</t>
    </r>
    <r>
      <rPr>
        <sz val="7"/>
        <color theme="1" tint="0.499984740745262"/>
        <rFont val="Noto Sans"/>
        <family val="2"/>
      </rPr>
      <t>: 13ha in 3 main parcels</t>
    </r>
  </si>
  <si>
    <r>
      <rPr>
        <b/>
        <sz val="7"/>
        <color theme="1" tint="0.499984740745262"/>
        <rFont val="Noto Sans"/>
        <family val="2"/>
      </rPr>
      <t>Haut Médoc:</t>
    </r>
    <r>
      <rPr>
        <sz val="7"/>
        <color theme="1" tint="0.499984740745262"/>
        <rFont val="Noto Sans"/>
        <family val="2"/>
      </rPr>
      <t xml:space="preserve">  5ha</t>
    </r>
  </si>
  <si>
    <t>2018 certified HVE sustainable</t>
  </si>
  <si>
    <t>1992 Denis Lurton takes over</t>
  </si>
  <si>
    <t>1981 Desmirail resurrected by Lucien Lurton</t>
  </si>
  <si>
    <t>1938 Desmirail was split: vines to Ch.Palmer, &amp;</t>
  </si>
  <si>
    <t xml:space="preserve"> Chateau to Marquis d'Alesme Becker</t>
  </si>
  <si>
    <t>1850s bought by M.Sipiere, Ch.Margaux régisseur</t>
  </si>
  <si>
    <t>origins - part of Pierre de Rauzan's large estate</t>
  </si>
  <si>
    <t>Desmirail.com</t>
  </si>
  <si>
    <t>GROWER CODE: DESMIRAIL</t>
  </si>
  <si>
    <t>DURFORT VIVENS, Ch.</t>
  </si>
  <si>
    <t>Cantenac, Margaux</t>
  </si>
  <si>
    <t>22DURVIVEBLANC</t>
  </si>
  <si>
    <t>65ha vines: 90% CS, 8% M, 2% CF, and</t>
  </si>
  <si>
    <t>LA NATURE - SSA:</t>
  </si>
  <si>
    <t>~1/2ha Muscadelle. All on 3 gravel terraces;</t>
  </si>
  <si>
    <t>20LNATDURFORT</t>
  </si>
  <si>
    <t>28 soil families; 92 sub categories</t>
  </si>
  <si>
    <t>19LNATDURFORT</t>
  </si>
  <si>
    <t>parcellaire 'burgundian' harvest &amp; vinification</t>
  </si>
  <si>
    <t>PREVIOUS 2nd WINE:</t>
  </si>
  <si>
    <t>22LERELAIS</t>
  </si>
  <si>
    <r>
      <t>Biodynamic certified</t>
    </r>
    <r>
      <rPr>
        <sz val="8"/>
        <color theme="1" tint="0.14999847407452621"/>
        <rFont val="Noto Sans"/>
        <family val="2"/>
      </rPr>
      <t>; ambient yeast</t>
    </r>
  </si>
  <si>
    <t>LES PARCELLES DE DURFORT - NEW:</t>
  </si>
  <si>
    <t>19DURFORT03</t>
  </si>
  <si>
    <t>Owner: Gonzague Lurton</t>
  </si>
  <si>
    <t>19DURFORT02</t>
  </si>
  <si>
    <t>Technical Director: Leopold Valentin</t>
  </si>
  <si>
    <t>19DURFORT01</t>
  </si>
  <si>
    <t>Consultant enologist: Éric BOISSENOT</t>
  </si>
  <si>
    <t>19DURFORT03MG</t>
  </si>
  <si>
    <r>
      <t>SSA SERIES:</t>
    </r>
    <r>
      <rPr>
        <sz val="7"/>
        <color theme="1" tint="0.499984740745262"/>
        <rFont val="Noto Sans"/>
        <family val="2"/>
      </rPr>
      <t xml:space="preserve"> ex-terracotta</t>
    </r>
    <r>
      <rPr>
        <b/>
        <sz val="7"/>
        <color theme="1" tint="0.499984740745262"/>
        <rFont val="Arial"/>
        <family val="2"/>
      </rPr>
      <t/>
    </r>
  </si>
  <si>
    <t>19DURFORT02MG</t>
  </si>
  <si>
    <r>
      <t>La Nature Rouge:</t>
    </r>
    <r>
      <rPr>
        <sz val="7"/>
        <color theme="1" tint="0.499984740745262"/>
        <rFont val="Noto Sans"/>
        <family val="2"/>
      </rPr>
      <t xml:space="preserve"> 1st made 2017; 100% cab sauv</t>
    </r>
  </si>
  <si>
    <t>19DURFORT01MG</t>
  </si>
  <si>
    <r>
      <rPr>
        <b/>
        <sz val="7"/>
        <color theme="1" tint="0.499984740745262"/>
        <rFont val="Noto Sans"/>
        <family val="2"/>
      </rPr>
      <t>Blanc de Noir:</t>
    </r>
    <r>
      <rPr>
        <sz val="7"/>
        <color theme="1" tint="0.499984740745262"/>
        <rFont val="Noto Sans"/>
        <family val="2"/>
      </rPr>
      <t xml:space="preserve"> cabernet franc (direct pressed) </t>
    </r>
  </si>
  <si>
    <t>GRAND VIN HVS:</t>
  </si>
  <si>
    <t>with muscadelle. 1st made 2021</t>
  </si>
  <si>
    <t>20DURFORT01HF</t>
  </si>
  <si>
    <r>
      <rPr>
        <b/>
        <sz val="8"/>
        <color theme="1" tint="0.14999847407452621"/>
        <rFont val="Noto Sans"/>
        <family val="2"/>
      </rPr>
      <t>GRAND VIN:</t>
    </r>
    <r>
      <rPr>
        <sz val="8"/>
        <color theme="1" tint="0.14999847407452621"/>
        <rFont val="Noto Sans"/>
        <family val="2"/>
      </rPr>
      <t xml:space="preserve"> </t>
    </r>
    <r>
      <rPr>
        <sz val="7"/>
        <color theme="1" tint="0.499984740745262"/>
        <rFont val="Noto Sans"/>
        <family val="2"/>
      </rPr>
      <t>From 2018, 2/3 new oak casks, 1/3</t>
    </r>
  </si>
  <si>
    <t>TAVA clay. Usually unfined: organic egg used IF nec.</t>
  </si>
  <si>
    <t>23DURFORT01</t>
  </si>
  <si>
    <t>LES PARCELLES DE DURFORT:</t>
  </si>
  <si>
    <t>22DURFORT01</t>
  </si>
  <si>
    <t>New '2nd wine' range since 2019 vintage:</t>
  </si>
  <si>
    <t>21DURFORT01</t>
  </si>
  <si>
    <r>
      <rPr>
        <b/>
        <sz val="7"/>
        <color theme="1" tint="0.499984740745262"/>
        <rFont val="Noto Sans"/>
        <family val="2"/>
      </rPr>
      <t xml:space="preserve">Les Plantes: </t>
    </r>
    <r>
      <rPr>
        <sz val="7"/>
        <color theme="1" tint="0.499984740745262"/>
        <rFont val="Noto Sans"/>
        <family val="2"/>
      </rPr>
      <t xml:space="preserve">JV, 88% CS, 10% M, 2% CS. </t>
    </r>
  </si>
  <si>
    <t>20DURFORT</t>
  </si>
  <si>
    <t>4/5th terracotta &amp; 1/5 cask. ''Gives fresh side''</t>
  </si>
  <si>
    <t>19DURFORT</t>
  </si>
  <si>
    <r>
      <t>Le Hameau:</t>
    </r>
    <r>
      <rPr>
        <sz val="7"/>
        <color theme="1" tint="0.499984740745262"/>
        <rFont val="Noto Sans"/>
        <family val="2"/>
      </rPr>
      <t xml:space="preserve"> 53% CS, 47% M at Cantenac. 2/3 cask</t>
    </r>
  </si>
  <si>
    <t>18DURFORT</t>
  </si>
  <si>
    <t>&amp; 1/3 terracotta. ''Gives elegant side''</t>
  </si>
  <si>
    <t>14DURFORT01</t>
  </si>
  <si>
    <r>
      <rPr>
        <b/>
        <sz val="7"/>
        <color theme="1" tint="0.499984740745262"/>
        <rFont val="Noto Sans"/>
        <family val="2"/>
      </rPr>
      <t>Le Plateau:</t>
    </r>
    <r>
      <rPr>
        <sz val="7"/>
        <color theme="1" tint="0.499984740745262"/>
        <rFont val="Noto Sans"/>
        <family val="2"/>
      </rPr>
      <t xml:space="preserve"> 65% CS, 35% M at Soussans, 2/3 cask</t>
    </r>
  </si>
  <si>
    <t>10DURFORT01A</t>
  </si>
  <si>
    <t>&amp; 1/3 terracotta. ''Gives powerful and energetic side''</t>
  </si>
  <si>
    <t>07DURFORTTB</t>
  </si>
  <si>
    <t>GRAND VIN LARGE FORMAT:</t>
  </si>
  <si>
    <t>2022 starts with small parcels of ungrafted vines</t>
  </si>
  <si>
    <t>19DURFORTMG</t>
  </si>
  <si>
    <t>2021 highest % of CS in Grand Vin yet, at 97%</t>
  </si>
  <si>
    <t>19DURFORTJB</t>
  </si>
  <si>
    <t>2019 1st vintage of Durfort parcellaire series</t>
  </si>
  <si>
    <t>15DURFORTMG</t>
  </si>
  <si>
    <t>2018 80% loss to mildew</t>
  </si>
  <si>
    <t>09DURFORTMG</t>
  </si>
  <si>
    <t>2017 TAVA terracotta vessels arrive, 320-750L</t>
  </si>
  <si>
    <t xml:space="preserve">2016 1st vintage Biodynamic certified </t>
  </si>
  <si>
    <t xml:space="preserve">2012 1st year estate farmed 100% Biodynamic </t>
  </si>
  <si>
    <t>2009 1st parcels start biodynamic conversion</t>
  </si>
  <si>
    <t>1992 Gonzague Lurton takes over</t>
  </si>
  <si>
    <t>1961 Lucien Lurton purchase</t>
  </si>
  <si>
    <t>1937 - 1961 made as 2nd wine of Ch.Margaux</t>
  </si>
  <si>
    <t>1937 Ginestet (negociant) purchase</t>
  </si>
  <si>
    <t>1895 Delors (negociant) purchase</t>
  </si>
  <si>
    <t>1855 classified 2eme GCC</t>
  </si>
  <si>
    <t>1824 name becomes Durfort Vivens</t>
  </si>
  <si>
    <t>1768 Marquise de Montalembert gives to nephews,</t>
  </si>
  <si>
    <t xml:space="preserve"> one being Viscomte de Vivens</t>
  </si>
  <si>
    <t>1450 1st mention of owner, a Thomas de Durfort</t>
  </si>
  <si>
    <t>B+D Guide 4* 2022; CC 1* estate 2004</t>
  </si>
  <si>
    <t>Durfort-Vivens.fr</t>
  </si>
  <si>
    <t>Facebook.com/Durfort.Vivens/</t>
  </si>
  <si>
    <t>NB ALSO SEE FERRIERE (Margaux)</t>
  </si>
  <si>
    <t>NB ALSO SEE HAUT BAGES LIBERAL (Pauillac)</t>
  </si>
  <si>
    <t>NB ALSO SEE DOMEYNE (St.Estephe)</t>
  </si>
  <si>
    <t>GROWER CODE: DURFORT, etc.</t>
  </si>
  <si>
    <t>FERRIERE, Chateau</t>
  </si>
  <si>
    <t>19FERRIEREHF</t>
  </si>
  <si>
    <t>Margaux. Claire Villars-Lurton</t>
  </si>
  <si>
    <t>23FERRIERE01</t>
  </si>
  <si>
    <t>24ha vines today (was 8ha):</t>
  </si>
  <si>
    <t>22FERRIERE03</t>
  </si>
  <si>
    <t>65% CS, 29% M, 4% PV, 2% CF;</t>
  </si>
  <si>
    <t>21FERRIERE01</t>
  </si>
  <si>
    <t>50% planted ~1952. Ambient yeast</t>
  </si>
  <si>
    <t>20FERRIERE</t>
  </si>
  <si>
    <t>Biodynamic practices started 2007</t>
  </si>
  <si>
    <t>19FERRIERE</t>
  </si>
  <si>
    <t>22FERRIERE01</t>
  </si>
  <si>
    <t>Biodynamic cert 2018 Biodyvin</t>
  </si>
  <si>
    <t>max 40% new oak elevage, &amp; 20% amphora</t>
  </si>
  <si>
    <t>2022 RVF Coup de Coeur (of all Bordeaux)</t>
  </si>
  <si>
    <t>2020 B+D Guide Top 25 Domaines de L'Année</t>
  </si>
  <si>
    <t>Ferriere.com</t>
  </si>
  <si>
    <t>NB ALSO SEE DURFORT VIVENS (Margaux)</t>
  </si>
  <si>
    <t>GROWER CODE: FERRIERE</t>
  </si>
  <si>
    <t>GISCOURS, Château</t>
  </si>
  <si>
    <t>22GISCOURS01</t>
  </si>
  <si>
    <t>Margaux. Albada Jelgersma family since 95</t>
  </si>
  <si>
    <t>19GISCOURS</t>
  </si>
  <si>
    <t>MD: Alexander van Beek since 1995</t>
  </si>
  <si>
    <t>Consultant: Thomas Duclos since 2019</t>
  </si>
  <si>
    <t>~400ha estate: 102ha Margaux vines, 63ha</t>
  </si>
  <si>
    <t>Haut-Médoc, 50ha parkland, kitchen garden,</t>
  </si>
  <si>
    <t>forest, etc. Oldest vines planted 1923</t>
  </si>
  <si>
    <t xml:space="preserve">65% CS, 30% M, 3% PV, 2% CF. </t>
  </si>
  <si>
    <t>trials in biodynamic farming</t>
  </si>
  <si>
    <t>(estate is in parcel by parcel transition)</t>
  </si>
  <si>
    <t>Giscours.com</t>
  </si>
  <si>
    <t>GROWER CODE: GISCOURS</t>
  </si>
  <si>
    <t>14LAROQUE01</t>
  </si>
  <si>
    <t>Arsac, Margaux. Éric Léglise, owner.</t>
  </si>
  <si>
    <t>6ha: 65% CS, 25% M, 8% CF, 2% PV</t>
  </si>
  <si>
    <t>(Other label is Margaux Ch.Le Coteau)</t>
  </si>
  <si>
    <r>
      <rPr>
        <b/>
        <sz val="8"/>
        <color rgb="FF00B050"/>
        <rFont val="Noto Sans"/>
        <family val="2"/>
      </rPr>
      <t>sustainable</t>
    </r>
    <r>
      <rPr>
        <sz val="8"/>
        <color theme="1" tint="0.14999847407452621"/>
        <rFont val="Noto Sans"/>
        <family val="2"/>
      </rPr>
      <t>, i.e.</t>
    </r>
    <r>
      <rPr>
        <b/>
        <sz val="8"/>
        <color rgb="FF00B050"/>
        <rFont val="Noto Sans"/>
        <family val="2"/>
      </rPr>
      <t xml:space="preserve"> viticulture durable</t>
    </r>
  </si>
  <si>
    <r>
      <t xml:space="preserve">in </t>
    </r>
    <r>
      <rPr>
        <b/>
        <sz val="8"/>
        <color rgb="FF00B050"/>
        <rFont val="Noto Sans"/>
        <family val="2"/>
      </rPr>
      <t>Projet Margaux</t>
    </r>
    <r>
      <rPr>
        <sz val="8"/>
        <color theme="1" tint="0.14999847407452621"/>
        <rFont val="Noto Sans"/>
        <family val="2"/>
      </rPr>
      <t xml:space="preserve">, </t>
    </r>
    <r>
      <rPr>
        <b/>
        <sz val="8"/>
        <color rgb="FF00B050"/>
        <rFont val="Noto Sans"/>
        <family val="2"/>
      </rPr>
      <t>Projet Phytae</t>
    </r>
  </si>
  <si>
    <t>no herbicides ever; no insecticides</t>
  </si>
  <si>
    <t>flower growing program to breed pollinators, etc.</t>
  </si>
  <si>
    <t>ChateauLeCoteau.fr</t>
  </si>
  <si>
    <t>NB THERE IS ALSO LAROQUE St.EMILION</t>
  </si>
  <si>
    <r>
      <rPr>
        <b/>
        <sz val="7"/>
        <color theme="1" tint="0.499984740745262"/>
        <rFont val="Noto Sans"/>
        <family val="2"/>
      </rPr>
      <t>Motto</t>
    </r>
    <r>
      <rPr>
        <sz val="7"/>
        <color theme="1" tint="0.499984740745262"/>
        <rFont val="Noto Sans"/>
        <family val="2"/>
      </rPr>
      <t xml:space="preserve"> 'Semper Ad Altum - Ever Higher'</t>
    </r>
  </si>
  <si>
    <t>MALESCOT St. EXUPÉRY,</t>
  </si>
  <si>
    <t>21MALESCOT</t>
  </si>
  <si>
    <t>Margaux. Zuger family since 1955. 45ha,</t>
  </si>
  <si>
    <t>29ha v/y: 50% CS, 35%M, 10% CF, 5% PV</t>
  </si>
  <si>
    <t>23.5ha overlook the river on Gunzian gravel</t>
  </si>
  <si>
    <t>steel &amp; concrete fermenters; 80-100% new casks</t>
  </si>
  <si>
    <t>Malescot.com</t>
  </si>
  <si>
    <t>MARGAUX, Château</t>
  </si>
  <si>
    <t>Mentzelopoulos family since 1977</t>
  </si>
  <si>
    <t>23PAVMARGAUX02</t>
  </si>
  <si>
    <t>MD Philippe Bascaules</t>
  </si>
  <si>
    <t>22PAVMARGAUX01</t>
  </si>
  <si>
    <t>Paul Pontallier was MD 1983 - 2016</t>
  </si>
  <si>
    <t>21PAVMARGAUX</t>
  </si>
  <si>
    <t>262ha estate; 82ha vines in 80 parcels</t>
  </si>
  <si>
    <t>20PAVMARGAUX</t>
  </si>
  <si>
    <t>Vineyards date from late C.16th</t>
  </si>
  <si>
    <t>75% CS, 20% M, 3% PV, 2% CF</t>
  </si>
  <si>
    <t>23MARGAUX05</t>
  </si>
  <si>
    <t>1ha biodynamic trials since ~2008</t>
  </si>
  <si>
    <t>22MARGAUX01</t>
  </si>
  <si>
    <t>Organic in conversion 2023</t>
  </si>
  <si>
    <t>21MARGAUX</t>
  </si>
  <si>
    <t>no insecticide; green manure</t>
  </si>
  <si>
    <t>Cooperage for 1/3 of cask requirements</t>
  </si>
  <si>
    <t>18to 26mths elevage</t>
  </si>
  <si>
    <t>Nouveau chai by Foster + Partners, 2015</t>
  </si>
  <si>
    <t>Chateau-Margaux.com</t>
  </si>
  <si>
    <t>GROWER CODE: MARGAUX</t>
  </si>
  <si>
    <t>PALMER, Château</t>
  </si>
  <si>
    <t>22PALMER02</t>
  </si>
  <si>
    <t>Margaux, at Cantenac</t>
  </si>
  <si>
    <t>21PALMER01</t>
  </si>
  <si>
    <t>Owners: Mahler-Besse &amp; Sichel families</t>
  </si>
  <si>
    <t>22PALMER01</t>
  </si>
  <si>
    <t>Regisseur: Thomas Duroux since 2004</t>
  </si>
  <si>
    <t>21PALMER</t>
  </si>
  <si>
    <t>66ha vines: 47% CS, 47% M, 6% PV</t>
  </si>
  <si>
    <t>20PALMER</t>
  </si>
  <si>
    <t>18 terroir subtypes; 108 parcels</t>
  </si>
  <si>
    <t>54 conical fermenters, various sizes.</t>
  </si>
  <si>
    <t>50-70% new casks in 1st year, then foudres</t>
  </si>
  <si>
    <t>Biodynamic; started 2008, certified 2017</t>
  </si>
  <si>
    <t>Chateau-Palmer.com</t>
  </si>
  <si>
    <t>RAUZAN-SEGLA, Château</t>
  </si>
  <si>
    <t>22RSEGLA01</t>
  </si>
  <si>
    <t>Margaux. Wertheimer family</t>
  </si>
  <si>
    <t>21RSEGLA03</t>
  </si>
  <si>
    <t>74ha v/y: 62% CS, 36% M, 1% CF, 1% PV</t>
  </si>
  <si>
    <t>20RSEGLA</t>
  </si>
  <si>
    <t>19RSEGLA02</t>
  </si>
  <si>
    <r>
      <rPr>
        <sz val="7"/>
        <color theme="1" tint="0.34998626667073579"/>
        <rFont val="Noto Sans"/>
        <family val="2"/>
      </rPr>
      <t xml:space="preserve">2024 </t>
    </r>
    <r>
      <rPr>
        <b/>
        <sz val="7"/>
        <color rgb="FF00B050"/>
        <rFont val="Noto Sans"/>
        <family val="2"/>
      </rPr>
      <t>Organic certified</t>
    </r>
  </si>
  <si>
    <r>
      <rPr>
        <sz val="7"/>
        <color theme="1" tint="0.34998626667073579"/>
        <rFont val="Noto Sans"/>
        <family val="2"/>
      </rPr>
      <t>2022 formal</t>
    </r>
    <r>
      <rPr>
        <b/>
        <sz val="7"/>
        <color rgb="FF00B050"/>
        <rFont val="Noto Sans"/>
        <family val="2"/>
      </rPr>
      <t xml:space="preserve"> in conversion to organic </t>
    </r>
    <r>
      <rPr>
        <sz val="7"/>
        <color theme="1" tint="0.34998626667073579"/>
        <rFont val="Noto Sans"/>
        <family val="2"/>
      </rPr>
      <t>starts</t>
    </r>
  </si>
  <si>
    <t>2010 'organic uncertified' trials started</t>
  </si>
  <si>
    <t>1994 bought by Wertheimer family</t>
  </si>
  <si>
    <t>ChateauRauzanSegla.com</t>
  </si>
  <si>
    <t>NB ALSO SEE Ch.CANON</t>
  </si>
  <si>
    <t>GROWER CODE: RSEGLA</t>
  </si>
  <si>
    <t>TERTRE, Château du</t>
  </si>
  <si>
    <t>20TERTRE</t>
  </si>
  <si>
    <t>Arsac, Margaux. 54ha estate; 52.5ha vines</t>
  </si>
  <si>
    <t>19TERTRE</t>
  </si>
  <si>
    <t>43% CS, 33% M, 19% CF, 5% PV</t>
  </si>
  <si>
    <t>16TERTRE</t>
  </si>
  <si>
    <t>15TERTREMG</t>
  </si>
  <si>
    <t>2021 bought by Helfrich family</t>
  </si>
  <si>
    <t>1995 - 2021 owners Albada Jelgersma family</t>
  </si>
  <si>
    <t>1995 - 2021 MD Alexander van Beek</t>
  </si>
  <si>
    <t>1143 oldest records of du Tertre</t>
  </si>
  <si>
    <t>ChateauDuTertre.fr</t>
  </si>
  <si>
    <t>GROWER CODE: TERTRE</t>
  </si>
  <si>
    <t>Moulis &amp; Listrac based:</t>
  </si>
  <si>
    <t>CHASSE-SPLEEN, Ch.</t>
  </si>
  <si>
    <t>16SPLEEN</t>
  </si>
  <si>
    <t>Moulis en Médoc, Haut-Médoc</t>
  </si>
  <si>
    <t>Céline Villars-Foubet &amp; Jean-Pierre Foubet</t>
  </si>
  <si>
    <t>125ha vines; ~60% CS for reds</t>
  </si>
  <si>
    <t>2ha white: 75% semillon, 25% sauvignon bl.</t>
  </si>
  <si>
    <t>Chasse-Spleen.com</t>
  </si>
  <si>
    <t>GROWER CODE: SPLEEN</t>
  </si>
  <si>
    <t>DUPLESSIS, Château</t>
  </si>
  <si>
    <t>14CHDUP02MTB</t>
  </si>
  <si>
    <t>MAUVESIN-BARTON, Ch.</t>
  </si>
  <si>
    <t>23MAUVESIN01</t>
  </si>
  <si>
    <t>By Famille Barton</t>
  </si>
  <si>
    <t>22MAUVESIN01</t>
  </si>
  <si>
    <t>Moulis en Médoc &amp; Haut-Médoc.</t>
  </si>
  <si>
    <t>21MAUVESIN01</t>
  </si>
  <si>
    <t>55ha vines: 46ha Moulis, 9ha Haut-Médoc</t>
  </si>
  <si>
    <t>20MAUVESIN</t>
  </si>
  <si>
    <t>45% CS, 40% M, 10% CF, 5% PV</t>
  </si>
  <si>
    <t>19MAUVESIN</t>
  </si>
  <si>
    <t>Bartons of Langoa/Léoville Barton from 2011</t>
  </si>
  <si>
    <t>16MAUVESIN</t>
  </si>
  <si>
    <t>Mauvesin-Barton.com</t>
  </si>
  <si>
    <t>NB ALSO SEE Ch.LANGOA-BARTON</t>
  </si>
  <si>
    <t>NB ALSO SEE Ch.LEOVILLE-BARTON</t>
  </si>
  <si>
    <t>GROWER CODE: MAUVESIN</t>
  </si>
  <si>
    <t>POUJEAUX, Château</t>
  </si>
  <si>
    <t>19POUJEAUX</t>
  </si>
  <si>
    <t>Matthieu Cuvelier since 2008</t>
  </si>
  <si>
    <t>Stéphane Derenoncourt consultant</t>
  </si>
  <si>
    <t>~70ha vines in 1 location:</t>
  </si>
  <si>
    <t>50% CS, 40% M, 5% CF, 5% PV</t>
  </si>
  <si>
    <t>ChateauPoujeaux.com</t>
  </si>
  <si>
    <t>NB ALSO SEE CLOS FOURTET</t>
  </si>
  <si>
    <t>GROWER CODE: POUJEAUX</t>
  </si>
  <si>
    <t>St.Julien:</t>
  </si>
  <si>
    <t>BEYCHEVELLE, Ch.</t>
  </si>
  <si>
    <t>St Julien. 250ha estate</t>
  </si>
  <si>
    <t>21BEYCHEVELLE02</t>
  </si>
  <si>
    <t>54%CS, 40%M, 4%PV, 2%CF</t>
  </si>
  <si>
    <t>90ha vines, 14 blocks, 60 parcels</t>
  </si>
  <si>
    <t>(includes some Haut-Medoc parcels)</t>
  </si>
  <si>
    <t>Suntory &amp; Castel led consortium since 2011</t>
  </si>
  <si>
    <t>Sustainable focus, certified ISO14001</t>
  </si>
  <si>
    <t>30ha now in organic trials</t>
  </si>
  <si>
    <t xml:space="preserve">Chai by architect Arnaud Boulain, 2016 </t>
  </si>
  <si>
    <t>Beychevelle.com</t>
  </si>
  <si>
    <t>GROWER CODE: BEYCHEVELLE</t>
  </si>
  <si>
    <t>BRANAIRE DUCRU, Ch.</t>
  </si>
  <si>
    <t>22BRANAIRE</t>
  </si>
  <si>
    <r>
      <t xml:space="preserve">St Julien. 50ha; </t>
    </r>
    <r>
      <rPr>
        <b/>
        <sz val="8"/>
        <color rgb="FF00B050"/>
        <rFont val="Noto Sans"/>
        <family val="2"/>
      </rPr>
      <t>sustainable</t>
    </r>
    <r>
      <rPr>
        <sz val="8"/>
        <color theme="1" tint="0.14999847407452621"/>
        <rFont val="Noto Sans"/>
        <family val="2"/>
      </rPr>
      <t xml:space="preserve"> agriculture</t>
    </r>
  </si>
  <si>
    <t>21BRANAIRE</t>
  </si>
  <si>
    <t>Family Maroteaux since 1988. Run by F.X.</t>
  </si>
  <si>
    <t>17BRANAIRE</t>
  </si>
  <si>
    <t>RVF 2* estate; B+D 4* 2022</t>
  </si>
  <si>
    <t>11BRANAIRE</t>
  </si>
  <si>
    <t>often in Wine Spectator Top 100</t>
  </si>
  <si>
    <t>Branaire.com</t>
  </si>
  <si>
    <t>DEBRA MEIBURG MW INTERVIEW #192</t>
  </si>
  <si>
    <t>GROWER CODE: BRANAIRE</t>
  </si>
  <si>
    <t>CLOS DU MARQUIS, from</t>
  </si>
  <si>
    <t>19CMARQUIS</t>
  </si>
  <si>
    <t>Ch. LÉOVILLE LAS CASES</t>
  </si>
  <si>
    <t xml:space="preserve">St Julien. Delon family: </t>
  </si>
  <si>
    <t>Jean-Hubert Delon, sister Genevieve d’Alton</t>
  </si>
  <si>
    <t>~45ha Petit Clos by the chateau is reserved</t>
  </si>
  <si>
    <t>for Clos Du Marquis, surrounded by L.Barton</t>
  </si>
  <si>
    <t xml:space="preserve">&amp; L.Poyferré. Made since 1902. </t>
  </si>
  <si>
    <t>NB formerly the 2nd wine of Las Cases</t>
  </si>
  <si>
    <t>Domaines-Delon.com</t>
  </si>
  <si>
    <t>NB ALSO SEE LEOVILLE LAS CASES</t>
  </si>
  <si>
    <t>NB ALSO SEE Ch.POTENSAC</t>
  </si>
  <si>
    <t>GROWER CODE: CMARQUIS</t>
  </si>
  <si>
    <t>DUCRU-BEAUCAILLOU, Ch.</t>
  </si>
  <si>
    <t>20DUCRU</t>
  </si>
  <si>
    <t>Chateau-Ducru-Beaucaillou.com</t>
  </si>
  <si>
    <t>GLORIA, Chateau</t>
  </si>
  <si>
    <t>19GLORIA</t>
  </si>
  <si>
    <t>St Julien. ~50ha vineyards, incl. 9ha in Pauillac</t>
  </si>
  <si>
    <t>65% CS, 25% M, 5% PV, 5% CF</t>
  </si>
  <si>
    <t>Organic certified 2024 Qualisud</t>
  </si>
  <si>
    <t>2024 Organic Certified</t>
  </si>
  <si>
    <t>2022 start of biodynamic practices</t>
  </si>
  <si>
    <t>2021 Start of Organic in Conversion</t>
  </si>
  <si>
    <t>2016 cellar refurbished</t>
  </si>
  <si>
    <t>1942 6ha bought, founding Ch.Gloria</t>
  </si>
  <si>
    <t>1903 founder Henri Martin born at Gruaud Larose</t>
  </si>
  <si>
    <t>OWNERS: Famille Martin / Triaud</t>
  </si>
  <si>
    <t>MANAGER: Jean-Louis Triaud</t>
  </si>
  <si>
    <t>BD CONSULTANT: Jean-Michel Comme</t>
  </si>
  <si>
    <t>Domaines-Henri-Martin.com</t>
  </si>
  <si>
    <t>NB ALSO SEE Ch.SAINT PIERRE (St.Julien)</t>
  </si>
  <si>
    <t>GROWER CODE: GLORIA</t>
  </si>
  <si>
    <t>GRUAUD LAROSE, Ch.</t>
  </si>
  <si>
    <t>St Julien. Jacques Merlaut since 1997</t>
  </si>
  <si>
    <t>22SARGET</t>
  </si>
  <si>
    <t>82ha v/y: 61% CS, 29% M, 7% CF, 3% PV</t>
  </si>
  <si>
    <t>19SARGET</t>
  </si>
  <si>
    <t>Organic in conversion, 2019</t>
  </si>
  <si>
    <t>Organic certified 2022 Ecocert</t>
  </si>
  <si>
    <t>22GRUAUD02</t>
  </si>
  <si>
    <t>Biodynamic practicing</t>
  </si>
  <si>
    <t>21GRUAUD02</t>
  </si>
  <si>
    <t>Gruaud-Larose.com</t>
  </si>
  <si>
    <t>22GRUAUD01</t>
  </si>
  <si>
    <t>GROWER CODE: GRUAUD</t>
  </si>
  <si>
    <t>LAGRANGE, Chateau</t>
  </si>
  <si>
    <t>22LAGRANGE01</t>
  </si>
  <si>
    <t>St Julien. Suntory group since 1983. 182ha,</t>
  </si>
  <si>
    <t>19LAGRANGE</t>
  </si>
  <si>
    <t>with 17 different terroir types, 103 plots.</t>
  </si>
  <si>
    <t>107ha red: 67% CS, 28% M, 5% PV</t>
  </si>
  <si>
    <t>11ha white: 80% SB, 10% SG, 10% Sém</t>
  </si>
  <si>
    <t>Avg red vine age 40yrs. Oldest vines 1952</t>
  </si>
  <si>
    <t>Carbon count since 2005. Trials since 2008</t>
  </si>
  <si>
    <t>w. 10ha biodynamic &amp; 20ha organic uncert.</t>
  </si>
  <si>
    <t>Solar powered electrical production</t>
  </si>
  <si>
    <t>Sustainable certified ISO14001, 2017</t>
  </si>
  <si>
    <t>Chateau-Lagrange.com</t>
  </si>
  <si>
    <t>GROWER CODE: LAGRANGE</t>
  </si>
  <si>
    <t>LANGOA-BARTON, Ch.</t>
  </si>
  <si>
    <t>23LANGOABAR01</t>
  </si>
  <si>
    <t>22LANGOABAR01</t>
  </si>
  <si>
    <t>St Julien. Damian Barton-Sartorius</t>
  </si>
  <si>
    <t>21LANGOABAR</t>
  </si>
  <si>
    <t>Barton family since 1821</t>
  </si>
  <si>
    <t>19LANGOABAR</t>
  </si>
  <si>
    <t>18ha v/y: 57% CS, 34% M, 9% CF</t>
  </si>
  <si>
    <t>Langoa-Barton.com</t>
  </si>
  <si>
    <t>17LANGOABAR</t>
  </si>
  <si>
    <t>NB ALSO SEE Ch.MAUVESIN-BARTON</t>
  </si>
  <si>
    <t>GROWER CODE: LANGOABAR</t>
  </si>
  <si>
    <t>LÉOVILLE-BARTON, Ch.</t>
  </si>
  <si>
    <t>22BARTON01</t>
  </si>
  <si>
    <t>21BARTON02</t>
  </si>
  <si>
    <t>20BARTON</t>
  </si>
  <si>
    <t>51ha vines: 74% CS, 23% M, 3% CF</t>
  </si>
  <si>
    <t>19BARTON</t>
  </si>
  <si>
    <t>Leoville-Barton.com</t>
  </si>
  <si>
    <t>GROWER CODE: BARTON</t>
  </si>
  <si>
    <t>LÉOVILLE LAS CASES, Ch.</t>
  </si>
  <si>
    <r>
      <rPr>
        <b/>
        <sz val="9"/>
        <color theme="1" tint="0.14999847407452621"/>
        <rFont val="Noto Sans"/>
        <family val="2"/>
      </rPr>
      <t>aka</t>
    </r>
    <r>
      <rPr>
        <sz val="10"/>
        <color theme="1" tint="0.14999847407452621"/>
        <rFont val="Noto Sans"/>
        <family val="2"/>
      </rPr>
      <t xml:space="preserve"> </t>
    </r>
    <r>
      <rPr>
        <b/>
        <sz val="10"/>
        <color theme="1" tint="0.14999847407452621"/>
        <rFont val="Noto Sans"/>
        <family val="2"/>
      </rPr>
      <t>GRAND VIN DE LÉOVILLE</t>
    </r>
  </si>
  <si>
    <t>19PETITCASES</t>
  </si>
  <si>
    <t>DU MARQUIS DE LAS CASES</t>
  </si>
  <si>
    <t>21LASCASES01</t>
  </si>
  <si>
    <t>20LEOMARQUIS</t>
  </si>
  <si>
    <t>98ha v/y, 7 main sections, 125 parcels</t>
  </si>
  <si>
    <t>19LASCASES</t>
  </si>
  <si>
    <t>67% CS, 23% M, 10% CF planted</t>
  </si>
  <si>
    <t>aka Grand Vin de Léoville du Marquis de Las Cases</t>
  </si>
  <si>
    <t xml:space="preserve">~55ha Grand Clos / Enclos de Léoville is </t>
  </si>
  <si>
    <t>for the grand vin, farmed organically, by</t>
  </si>
  <si>
    <t>Latour, almost totally from both cabernets</t>
  </si>
  <si>
    <t>2nd wine Petit Lion du Marquis launched 2007</t>
  </si>
  <si>
    <t>NB ALSO SEE CLOS DU MARQUIS</t>
  </si>
  <si>
    <t>GROWER CODES: LASCASES / LEOMARQUIS / PETITCASES</t>
  </si>
  <si>
    <t>LÉOVILLE-POYFERRÉ, Ch.</t>
  </si>
  <si>
    <t>23POYFERRE</t>
  </si>
  <si>
    <t>20POYFERRE</t>
  </si>
  <si>
    <t>Sustainable certified HVE3, 2017</t>
  </si>
  <si>
    <t>Leoville-Poyferre.fr</t>
  </si>
  <si>
    <t>GROWER CODE: POYFERRE</t>
  </si>
  <si>
    <t>SAINT-PIERRE, Chateau</t>
  </si>
  <si>
    <t>19STPIERRE</t>
  </si>
  <si>
    <t>St Julien. 17ha vines. Vinified at Ch.Gloria</t>
  </si>
  <si>
    <t>16STPIERRE</t>
  </si>
  <si>
    <t>75%  CS,  15% M,  10% CF. Average &gt;50yrs</t>
  </si>
  <si>
    <t>2021 start of Organic in Conversion</t>
  </si>
  <si>
    <t>1982 Henri Martin purchases Ch.St Pierre Sevaistre</t>
  </si>
  <si>
    <t>1903 Henri Martin born at Gruaud Larose</t>
  </si>
  <si>
    <t>1767 estate bought by Baron de Saint Pierre</t>
  </si>
  <si>
    <t>NB ALSO SEE Ch.GLORIA (St.Julien)</t>
  </si>
  <si>
    <t>GROWER CODE: STPIERRE</t>
  </si>
  <si>
    <t>TALBOT, Chateau</t>
  </si>
  <si>
    <t>20TALBOT</t>
  </si>
  <si>
    <t xml:space="preserve">St Julien. </t>
  </si>
  <si>
    <t>OWNERS: Famille Cordier since 1917</t>
  </si>
  <si>
    <t>CONSULTANTS: Eric Boissenot, S.Derenoncourt</t>
  </si>
  <si>
    <t>Chai by architects Nairac &amp; Vacheyrout, 2012</t>
  </si>
  <si>
    <t>110ha vineyard: 5ha white &amp; 105ha red.</t>
  </si>
  <si>
    <t>Red: 67% CS, 27% M, 4.5% PV, 1.5% CF</t>
  </si>
  <si>
    <t>White: 80% SB, 20% Sem</t>
  </si>
  <si>
    <t>Chateau-Talbot.com</t>
  </si>
  <si>
    <t>Pauillac based:</t>
  </si>
  <si>
    <t>d'ARMAILHAC, Ch.</t>
  </si>
  <si>
    <t>23DARMAILHAC01</t>
  </si>
  <si>
    <t>Pauillac. Baron Philippe de Rothschild</t>
  </si>
  <si>
    <t>22DARMAILHAC04</t>
  </si>
  <si>
    <t>70ha: 53% CS, 36.6% M, 8.1% CF, 2.3% PV</t>
  </si>
  <si>
    <t>21DARMAILHAC</t>
  </si>
  <si>
    <t>Average vine age 50; 20% TVV from 1890s</t>
  </si>
  <si>
    <t>20DARMAILHAC</t>
  </si>
  <si>
    <t>Chateau-dArmailhac.com</t>
  </si>
  <si>
    <t>BPDR.com</t>
  </si>
  <si>
    <t>GROWER CODE: DARMAILHAC</t>
  </si>
  <si>
    <t>CLERC MILON, Ch.</t>
  </si>
  <si>
    <t>22CLERCMILON01</t>
  </si>
  <si>
    <t>Purchased 1970 with 10.5ha vines. Now 45ha</t>
  </si>
  <si>
    <t>50% CS, 37% M, 10% CF, 2% PV, 1% Carmenere</t>
  </si>
  <si>
    <t>Average vine age &gt;55yrs</t>
  </si>
  <si>
    <t>Half the estate farmed by organic principles</t>
  </si>
  <si>
    <t>New buildings by Richard Peduzzi &amp;</t>
  </si>
  <si>
    <t>Bernard Mazières, 2011</t>
  </si>
  <si>
    <t>Chateau-Clerc-Milon.com</t>
  </si>
  <si>
    <t>DUHART-MILON, Ch.</t>
  </si>
  <si>
    <t>23DUHARTMR01</t>
  </si>
  <si>
    <t>22DUHARTMR06</t>
  </si>
  <si>
    <t>Pauillac. Purchased 1962</t>
  </si>
  <si>
    <t>21DUHARTMR</t>
  </si>
  <si>
    <t>Domaines Baron de Rothschild - Lafite</t>
  </si>
  <si>
    <t>20DUHARTMR</t>
  </si>
  <si>
    <t>156ha estate. 76ha vines: 67% CS, 33% M</t>
  </si>
  <si>
    <t>Organic in Conversion started 2022</t>
  </si>
  <si>
    <t>GROWER CODE: DUHARTMR</t>
  </si>
  <si>
    <t>GRAND-PUY LACOSTE, Ch.</t>
  </si>
  <si>
    <t>Pauillac. Borie family since 1978. 90ha</t>
  </si>
  <si>
    <t>22LACSTBORIE</t>
  </si>
  <si>
    <t>François-Xavier Borie, &amp; daughter Emeline</t>
  </si>
  <si>
    <t>20LACSTBORIE01</t>
  </si>
  <si>
    <t>Consultant oenologist: Eric BOISSENOT</t>
  </si>
  <si>
    <t>19LACOSTEBORIE</t>
  </si>
  <si>
    <t>60ha vines: 75% CS, 20% M, 5% CF</t>
  </si>
  <si>
    <r>
      <rPr>
        <b/>
        <sz val="8"/>
        <color rgb="FF00B050"/>
        <rFont val="Noto Sans"/>
        <family val="2"/>
      </rPr>
      <t>Sustainable</t>
    </r>
    <r>
      <rPr>
        <sz val="8"/>
        <color theme="1" tint="0.14999847407452621"/>
        <rFont val="Noto Sans"/>
        <family val="2"/>
      </rPr>
      <t xml:space="preserve"> approach: no insecticide or</t>
    </r>
  </si>
  <si>
    <t>herbicide &gt;10yrs. 10K vines/ha</t>
  </si>
  <si>
    <t>21LACOSTE02</t>
  </si>
  <si>
    <t>Chateau-Grand-Puy-Lacoste.com</t>
  </si>
  <si>
    <t>20LACOSTE</t>
  </si>
  <si>
    <t>GROWER CODE: LACOSTE, etc.</t>
  </si>
  <si>
    <t>19LACOSTE01</t>
  </si>
  <si>
    <t>MIXED 9L OWC:</t>
  </si>
  <si>
    <t>20LACSTBORIEWC</t>
  </si>
  <si>
    <t>20LACOSTEWC</t>
  </si>
  <si>
    <t>HAUT-BAGES LIBÉRAL, Ch.</t>
  </si>
  <si>
    <t>2nd WINES:</t>
  </si>
  <si>
    <t>Pauillac. Owner Claire Villars-Lurton</t>
  </si>
  <si>
    <t>21CERES01</t>
  </si>
  <si>
    <t>Consultant Eric Boissenot</t>
  </si>
  <si>
    <t>20CERES01</t>
  </si>
  <si>
    <t>3 parcels, by Latour, Pichon Lalande, GPL</t>
  </si>
  <si>
    <t>16LACHAPELLE</t>
  </si>
  <si>
    <t>30ha: 70% cab sauv, 30% merlot</t>
  </si>
  <si>
    <t>average ~40yrs old; density 10K vines/ha</t>
  </si>
  <si>
    <t>23HBLIBERAL01</t>
  </si>
  <si>
    <t>Organic certified 2020 Qualisud</t>
  </si>
  <si>
    <t>22HBLIBERAL</t>
  </si>
  <si>
    <t>Biodynamic certified 2021 Demeter</t>
  </si>
  <si>
    <t>21HBLIBERAL01</t>
  </si>
  <si>
    <t>agroecology, cover cropping, ambient yeast</t>
  </si>
  <si>
    <t>20HBLIBERAL</t>
  </si>
  <si>
    <t>19HBLIBERAL</t>
  </si>
  <si>
    <r>
      <rPr>
        <b/>
        <sz val="8"/>
        <color theme="1" tint="0.14999847407452621"/>
        <rFont val="Noto Sans"/>
        <family val="2"/>
      </rPr>
      <t>NB</t>
    </r>
    <r>
      <rPr>
        <sz val="8"/>
        <color theme="1" tint="0.14999847407452621"/>
        <rFont val="Noto Sans"/>
        <family val="2"/>
      </rPr>
      <t xml:space="preserve"> Cérès Haut-Médoc is 100% merlot SSA</t>
    </r>
  </si>
  <si>
    <t>95HBLIBERAL01</t>
  </si>
  <si>
    <t>from concrete eggs</t>
  </si>
  <si>
    <t>19HBLIBERALMG</t>
  </si>
  <si>
    <t>2022 B+D Guide 3*</t>
  </si>
  <si>
    <t>95HBLIBERAL01MG</t>
  </si>
  <si>
    <t>2021 James Suckling Top 100 French WOTY</t>
  </si>
  <si>
    <t>2021 BD certification</t>
  </si>
  <si>
    <t>2020 1st vintage of Cérès, Haut-Médoc SSA</t>
  </si>
  <si>
    <t>2007 hedgerows planted around vineyards</t>
  </si>
  <si>
    <t>HautBagesLiberal.com</t>
  </si>
  <si>
    <t>GROWER CODES: HBLIBERAL / CERES</t>
  </si>
  <si>
    <t xml:space="preserve">LAFITE ROTHSCHILD, </t>
  </si>
  <si>
    <t>Chateau. DBR (Lafite)</t>
  </si>
  <si>
    <t>23CARRLAFITE01</t>
  </si>
  <si>
    <t>Pauillac. &gt;50% gravel terroir</t>
  </si>
  <si>
    <t>22CARRLAFITE03</t>
  </si>
  <si>
    <t>112ha vines: 70% CS, 25% M, 3% CF, 2% PV</t>
  </si>
  <si>
    <t>21CARRLAFITE</t>
  </si>
  <si>
    <t>Incl. 4.5ha parcel in St.Estephe 'La Caillava'</t>
  </si>
  <si>
    <t>20CARRLAFITE01</t>
  </si>
  <si>
    <t>Chai by architect Ricardo Bofill, 1987</t>
  </si>
  <si>
    <t>Organic certified 2024 AB</t>
  </si>
  <si>
    <t>23LAFITEROTH01</t>
  </si>
  <si>
    <t>22LAFITEROTH01</t>
  </si>
  <si>
    <t>21LAFITEROTH01</t>
  </si>
  <si>
    <t>2024 organic certification</t>
  </si>
  <si>
    <t>20LAFITEROTH</t>
  </si>
  <si>
    <t>2016 organic &amp; biodynamic trials started</t>
  </si>
  <si>
    <t>17LAFITE</t>
  </si>
  <si>
    <t>1886 oldest merlot vines</t>
  </si>
  <si>
    <t>1868 James Rothschild purchases Lafite</t>
  </si>
  <si>
    <t>1562 date of oldest building at Lafite</t>
  </si>
  <si>
    <t>youtube.com/watch?v=KF4GgLSVwnc</t>
  </si>
  <si>
    <t>GROWER CODES: VARIOUS</t>
  </si>
  <si>
    <t>LYNCH-BAGES, Chateau</t>
  </si>
  <si>
    <t>21BAGES07</t>
  </si>
  <si>
    <t>Famille Cazes</t>
  </si>
  <si>
    <t>21BAGES01</t>
  </si>
  <si>
    <t>75% CS, 17% M, 6% CF, 2% PV</t>
  </si>
  <si>
    <t>20BAGES01</t>
  </si>
  <si>
    <t>LynchBages.com</t>
  </si>
  <si>
    <t>GROWER CODE: BAGES</t>
  </si>
  <si>
    <r>
      <rPr>
        <b/>
        <sz val="7"/>
        <color theme="1" tint="0.499984740745262"/>
        <rFont val="Noto Sans"/>
        <family val="2"/>
      </rPr>
      <t>Motto, pre 1973:</t>
    </r>
    <r>
      <rPr>
        <sz val="7"/>
        <color theme="1" tint="0.499984740745262"/>
        <rFont val="Noto Sans"/>
        <family val="2"/>
      </rPr>
      <t xml:space="preserve"> '</t>
    </r>
    <r>
      <rPr>
        <i/>
        <sz val="7"/>
        <color theme="1" tint="0.499984740745262"/>
        <rFont val="Noto Sans"/>
        <family val="2"/>
      </rPr>
      <t>Premier ne puis, second ne daigne, Mouton suis</t>
    </r>
    <r>
      <rPr>
        <sz val="7"/>
        <color theme="1" tint="0.499984740745262"/>
        <rFont val="Noto Sans"/>
        <family val="2"/>
      </rPr>
      <t>' - 'First, I cannot be. Second, I do not deign to be. Mouton I am'</t>
    </r>
  </si>
  <si>
    <r>
      <rPr>
        <b/>
        <sz val="7"/>
        <color theme="1" tint="0.499984740745262"/>
        <rFont val="Noto Sans"/>
        <family val="2"/>
      </rPr>
      <t>Motto, post 1973:</t>
    </r>
    <r>
      <rPr>
        <sz val="7"/>
        <color theme="1" tint="0.499984740745262"/>
        <rFont val="Noto Sans"/>
        <family val="2"/>
      </rPr>
      <t xml:space="preserve"> '</t>
    </r>
    <r>
      <rPr>
        <i/>
        <sz val="7"/>
        <color theme="1" tint="0.499984740745262"/>
        <rFont val="Noto Sans"/>
        <family val="2"/>
      </rPr>
      <t>Premier je suis, second je fus, Mouton ne change</t>
    </r>
    <r>
      <rPr>
        <sz val="7"/>
        <color theme="1" tint="0.499984740745262"/>
        <rFont val="Noto Sans"/>
        <family val="2"/>
      </rPr>
      <t>' - 'First I am, second I was, Mouton does not change'</t>
    </r>
  </si>
  <si>
    <t xml:space="preserve">MOUTON ROTHSCHILD, </t>
  </si>
  <si>
    <t>Chateau.</t>
  </si>
  <si>
    <t>23PETITMOUTON01</t>
  </si>
  <si>
    <t>22PETITMOUTON03</t>
  </si>
  <si>
    <t xml:space="preserve">83ha vines: CS 81%, M15%,CF 3%, PV 1%, </t>
  </si>
  <si>
    <t>21PETITMOUTON02</t>
  </si>
  <si>
    <t>20PETITMOUTON</t>
  </si>
  <si>
    <t>1945 Baron Philippe started art-series labels</t>
  </si>
  <si>
    <t>1927 Baron Philippe Rothschild started 100% chateau bottling</t>
  </si>
  <si>
    <t>23MOUTONROT01</t>
  </si>
  <si>
    <t>1890 oldest vines at Mouton</t>
  </si>
  <si>
    <t>22MOUTONROT01</t>
  </si>
  <si>
    <t>1853 Nathaniel de Rothschild purchased Brane-Mouton</t>
  </si>
  <si>
    <t>21MOUTONROT01</t>
  </si>
  <si>
    <t>Chateau-Mouton-Rothschild.com</t>
  </si>
  <si>
    <t>20MOUTONROT</t>
  </si>
  <si>
    <t>NB MUSEUM OF WINE IN ART IN PAUILLAC</t>
  </si>
  <si>
    <t>GROWER CODE: MOUTON</t>
  </si>
  <si>
    <r>
      <t xml:space="preserve">PICHON-LALANDE Ch. </t>
    </r>
    <r>
      <rPr>
        <b/>
        <sz val="9"/>
        <color theme="1" tint="0.14999847407452621"/>
        <rFont val="Noto Sans"/>
        <family val="2"/>
      </rPr>
      <t>aka</t>
    </r>
  </si>
  <si>
    <t>PICHON-LONGUEVILLE</t>
  </si>
  <si>
    <t>22PICHON07</t>
  </si>
  <si>
    <t>COMTESSE DE LALANDE</t>
  </si>
  <si>
    <t>21RPICHON03</t>
  </si>
  <si>
    <t>Pauillac. Roederer group since 2007</t>
  </si>
  <si>
    <t>20RPICHON</t>
  </si>
  <si>
    <t>Régisseur Nicolas Gumineau since 2012</t>
  </si>
  <si>
    <t>19RPICHON</t>
  </si>
  <si>
    <t>100ha estate across Pauillac; 80ha v/y:</t>
  </si>
  <si>
    <t>65% CS, 25% M, 7% CF, 3% PV in future</t>
  </si>
  <si>
    <t>23PICHON01</t>
  </si>
  <si>
    <t>Organic in Conversion 2024</t>
  </si>
  <si>
    <t>22PICHON09</t>
  </si>
  <si>
    <t>21PICHON</t>
  </si>
  <si>
    <t>20PICHON</t>
  </si>
  <si>
    <t>youtube.com/watch?v=aeCyKctt3kE</t>
  </si>
  <si>
    <t>19PICHON01</t>
  </si>
  <si>
    <t xml:space="preserve">Pichon-Comtesse.com </t>
  </si>
  <si>
    <t>17PICHON01</t>
  </si>
  <si>
    <t>GROWER CODE: PICHON</t>
  </si>
  <si>
    <t>13PICHON01</t>
  </si>
  <si>
    <r>
      <t xml:space="preserve">PONTET CANET, </t>
    </r>
    <r>
      <rPr>
        <b/>
        <sz val="10"/>
        <color theme="1" tint="0.14999847407452621"/>
        <rFont val="Noto Sans"/>
        <family val="2"/>
      </rPr>
      <t>Château</t>
    </r>
  </si>
  <si>
    <t>20PONTET</t>
  </si>
  <si>
    <t>Pauillac. Tesseron family</t>
  </si>
  <si>
    <t>19PONTET</t>
  </si>
  <si>
    <t xml:space="preserve">~1/3 horse ploughed </t>
  </si>
  <si>
    <t>81ha vines: 62% CS, 32% M, 4% CF, 2% PV</t>
  </si>
  <si>
    <t>in 2 main parcels, 92 blocks</t>
  </si>
  <si>
    <t>25% terracotta, 50% new oak, Nomblot eggs</t>
  </si>
  <si>
    <t>Organic certified 2010 Ecocert</t>
  </si>
  <si>
    <t>Biodynamic certified 2010</t>
  </si>
  <si>
    <t>2021 family sold Ch.Lafon Rochet, St.Estephe</t>
  </si>
  <si>
    <t>2020 Jean-Michel Comme departed</t>
  </si>
  <si>
    <r>
      <rPr>
        <sz val="7"/>
        <color theme="1" tint="0.34998626667073579"/>
        <rFont val="Noto Sans"/>
        <family val="2"/>
      </rPr>
      <t xml:space="preserve">2010 </t>
    </r>
    <r>
      <rPr>
        <b/>
        <sz val="7"/>
        <color rgb="FF00B050"/>
        <rFont val="Noto Sans"/>
        <family val="2"/>
      </rPr>
      <t xml:space="preserve">Organic certified: </t>
    </r>
    <r>
      <rPr>
        <sz val="7"/>
        <color theme="1" tint="0.34998626667073579"/>
        <rFont val="Noto Sans"/>
        <family val="2"/>
      </rPr>
      <t>1st Médoc GCC</t>
    </r>
  </si>
  <si>
    <t>2007 last 'conventional' spraying</t>
  </si>
  <si>
    <t>2004 biodynamic trials started with 14ha</t>
  </si>
  <si>
    <t>1999 Michel Rolland hired as consultant</t>
  </si>
  <si>
    <t>1994 Alfred Tesseron takes over</t>
  </si>
  <si>
    <t>1989 Jean-Michel Comme started</t>
  </si>
  <si>
    <t>1973/5 Tesseron family purchase</t>
  </si>
  <si>
    <t>RVF 3* estate; B+D 5* 2022</t>
  </si>
  <si>
    <t>Pontet-Canet.com</t>
  </si>
  <si>
    <t>GROWER CODE: PONTET</t>
  </si>
  <si>
    <t>St.Estephe:</t>
  </si>
  <si>
    <t>CALON-SEGUR, Ch.</t>
  </si>
  <si>
    <t>21CALONSEGUR01</t>
  </si>
  <si>
    <t>St.Estephe. Owners Suravenir &amp; Moueix</t>
  </si>
  <si>
    <t>20CALONSEGUR</t>
  </si>
  <si>
    <t>55ha v/y: 53% CS, 38% M, 7% CF, 2% PV</t>
  </si>
  <si>
    <t>Calon-Segur.fr</t>
  </si>
  <si>
    <t>CAPBERN, Chateau, ex-</t>
  </si>
  <si>
    <t>06GASQUETONHF</t>
  </si>
  <si>
    <t>CAPBERN-GASQUETON, Ch.</t>
  </si>
  <si>
    <t>21CAPBERN01</t>
  </si>
  <si>
    <t>St.Estephe. Sister estate of Calon-Segur</t>
  </si>
  <si>
    <t>21CAPBERN01MG</t>
  </si>
  <si>
    <t>32ha in 2 parcels: 52% CS, 45% M, 2% PV</t>
  </si>
  <si>
    <t>1% CF. (38ha total potential vineyard)</t>
  </si>
  <si>
    <t>2020 grass cover cropping August-March</t>
  </si>
  <si>
    <t>2013 named shortened to Chateau Capbern</t>
  </si>
  <si>
    <t>2012 sold to Suravenir Insurance &amp; JP Moueix</t>
  </si>
  <si>
    <t>2011 Mme Denise Gasqueton passes away</t>
  </si>
  <si>
    <t>1894 created by George Gasqueton</t>
  </si>
  <si>
    <t>GROWER CODE: GASQUETON</t>
  </si>
  <si>
    <t>COS D'ESTOURNEL, Ch.</t>
  </si>
  <si>
    <t>21COSDEST</t>
  </si>
  <si>
    <t>St.Estephe. Michel Reybier since 2000</t>
  </si>
  <si>
    <t>100ha v/y, 72 parcels, 20 soil types</t>
  </si>
  <si>
    <t>56% CS, 40% M, 4% CF, 1% PV</t>
  </si>
  <si>
    <t>84 tronconic steel fermenters</t>
  </si>
  <si>
    <t>Chai by JM Wilmotte &amp; AC Perrot, 2008</t>
  </si>
  <si>
    <t>Estournel.com</t>
  </si>
  <si>
    <t>DOMEYNE, Chateau</t>
  </si>
  <si>
    <t>12DOMEYNE01</t>
  </si>
  <si>
    <t>St.Estephe. Gonzague Lurton &amp; Claire Villars</t>
  </si>
  <si>
    <t>from 2007 to 2017. By Calon Segur.</t>
  </si>
  <si>
    <t>Was 7ha vines : 60% M, 40% CS</t>
  </si>
  <si>
    <r>
      <t xml:space="preserve">Sold to </t>
    </r>
    <r>
      <rPr>
        <sz val="8"/>
        <color theme="0"/>
        <rFont val="Noto sans"/>
        <family val="2"/>
      </rPr>
      <t>-</t>
    </r>
    <r>
      <rPr>
        <sz val="8"/>
        <color theme="1" tint="0.14999847407452621"/>
        <rFont val="Noto Sans"/>
        <family val="2"/>
      </rPr>
      <t>Vincent Ginestet in 2018</t>
    </r>
  </si>
  <si>
    <t>Domeyne.fr</t>
  </si>
  <si>
    <t>NB ALSO SEE HAUT-BAGES LIBERAL (Pauillac)</t>
  </si>
  <si>
    <t>GROWER CODE: DOMEYNE</t>
  </si>
  <si>
    <r>
      <t xml:space="preserve">LAFON-ROCHET, </t>
    </r>
    <r>
      <rPr>
        <b/>
        <sz val="10"/>
        <color theme="1" tint="0.14999847407452621"/>
        <rFont val="Noto Sans"/>
        <family val="2"/>
      </rPr>
      <t>Ch.</t>
    </r>
  </si>
  <si>
    <t>20LAFONROC</t>
  </si>
  <si>
    <t>St.Estephe. Jacky Lorenzetti since 2021</t>
  </si>
  <si>
    <t>19LAFONROC</t>
  </si>
  <si>
    <t>(ex-famille Tesseron)</t>
  </si>
  <si>
    <t>Lafon-Rochet.com</t>
  </si>
  <si>
    <t>NB ALSO SEE LILIAN LADOUYS</t>
  </si>
  <si>
    <t>GROWER CODE: LAFONROC</t>
  </si>
  <si>
    <r>
      <t xml:space="preserve">LILIAN-LADOUYS, </t>
    </r>
    <r>
      <rPr>
        <b/>
        <sz val="10"/>
        <color theme="1" tint="0.14999847407452621"/>
        <rFont val="Noto Sans"/>
        <family val="2"/>
      </rPr>
      <t>Ch.</t>
    </r>
  </si>
  <si>
    <t>St.Estephe. Lorenzetti family since 2008</t>
  </si>
  <si>
    <t>17LADEVISE</t>
  </si>
  <si>
    <t>daughter Manon joined 2018</t>
  </si>
  <si>
    <t>80ha v/y: 50% M, 45% CS, 4% PV, 1% CF</t>
  </si>
  <si>
    <t>22LLADOUYS01</t>
  </si>
  <si>
    <t>80% gravel terroirs, over clay / limestone</t>
  </si>
  <si>
    <t>21LLADOUYS01</t>
  </si>
  <si>
    <t>B+D 2* 2022</t>
  </si>
  <si>
    <t>20LLADOUYS</t>
  </si>
  <si>
    <t>Organic in conversion (since 2020)</t>
  </si>
  <si>
    <t>19LLADOUYS</t>
  </si>
  <si>
    <t>15LLADOUYS</t>
  </si>
  <si>
    <t>Chateau-Lilian-Ladouys.com</t>
  </si>
  <si>
    <t>NEW LISTING FOR LATE 2020</t>
  </si>
  <si>
    <t>NB ALSO SEE LAFON ROCHET</t>
  </si>
  <si>
    <t>GROWER CODES: LLADOUYS / LADEVISE</t>
  </si>
  <si>
    <r>
      <t xml:space="preserve">MEYNEY, </t>
    </r>
    <r>
      <rPr>
        <b/>
        <sz val="10"/>
        <color theme="1" tint="0.14999847407452621"/>
        <rFont val="Noto Sans"/>
        <family val="2"/>
      </rPr>
      <t>Chateau</t>
    </r>
  </si>
  <si>
    <t>08MEYNEY</t>
  </si>
  <si>
    <t>St.Estephe. Owned by Crédit Agricole</t>
  </si>
  <si>
    <t>51ha: 60% CS, 30% M, 10% PV</t>
  </si>
  <si>
    <t>1 contiguous parcel, in 63 plots, planted on</t>
  </si>
  <si>
    <t>a Pomerol plateau style blue clay sub-soil</t>
  </si>
  <si>
    <t>Meyney.fr</t>
  </si>
  <si>
    <r>
      <t xml:space="preserve">MONTROSE, </t>
    </r>
    <r>
      <rPr>
        <b/>
        <sz val="10"/>
        <color theme="1" tint="0.14999847407452621"/>
        <rFont val="Noto Sans"/>
        <family val="2"/>
      </rPr>
      <t>Ch.</t>
    </r>
  </si>
  <si>
    <t>St.Estephe</t>
  </si>
  <si>
    <t>22DMONTROSE01</t>
  </si>
  <si>
    <t>Chateau-Montrose.com</t>
  </si>
  <si>
    <t>21DMONTROSE01</t>
  </si>
  <si>
    <t>GROWER CODE: MONTROSE</t>
  </si>
  <si>
    <t>20DMONTROSE</t>
  </si>
  <si>
    <t>19DMONTROSE</t>
  </si>
  <si>
    <t>23MONTROSE01</t>
  </si>
  <si>
    <t>22MONTROSE01</t>
  </si>
  <si>
    <t>21MONTROSE01</t>
  </si>
  <si>
    <t>20MONTROSE</t>
  </si>
  <si>
    <t>19MONTROSE</t>
  </si>
  <si>
    <t>DE PEZ, CHATEAU</t>
  </si>
  <si>
    <t>22CHPEZ01</t>
  </si>
  <si>
    <t>St.Estephe. Louis Roederer since 1995</t>
  </si>
  <si>
    <t>North of the appellation, West of Calon Segur</t>
  </si>
  <si>
    <t>48ha: 48% M, 46% CS, 4% CF, 3% PV</t>
  </si>
  <si>
    <t>ChateauDePez.com</t>
  </si>
  <si>
    <r>
      <t xml:space="preserve">PHELAN-SEGUR, </t>
    </r>
    <r>
      <rPr>
        <b/>
        <sz val="10"/>
        <color theme="1" tint="0.14999847407452621"/>
        <rFont val="Noto Sans"/>
        <family val="2"/>
      </rPr>
      <t>Ch.</t>
    </r>
  </si>
  <si>
    <t>20PSEGUR</t>
  </si>
  <si>
    <t>19PSEGUR</t>
  </si>
  <si>
    <t>PhelanSegur.com</t>
  </si>
  <si>
    <t>GROWER CODE: PSEGUR</t>
  </si>
  <si>
    <t>Northern Haut-Médoc &amp; Médoc:</t>
  </si>
  <si>
    <t>NB ALSO SEE SOUTHERN HAUT-MÉDOC</t>
  </si>
  <si>
    <t>KIND WORDS ON CLOS MANOU:</t>
  </si>
  <si>
    <r>
      <rPr>
        <b/>
        <sz val="7"/>
        <color theme="1" tint="0.499984740745262"/>
        <rFont val="Noto Sans"/>
        <family val="2"/>
      </rPr>
      <t>Jane Anson, Inside Bordeaux, 2020</t>
    </r>
    <r>
      <rPr>
        <sz val="7"/>
        <color theme="1" tint="0.499984740745262"/>
        <rFont val="Noto Sans"/>
        <family val="2"/>
      </rPr>
      <t xml:space="preserve"> 'An insider's wine'</t>
    </r>
  </si>
  <si>
    <r>
      <rPr>
        <b/>
        <sz val="7"/>
        <color theme="1" tint="0.499984740745262"/>
        <rFont val="Noto Sans"/>
        <family val="2"/>
      </rPr>
      <t>Jean-Marc Quarin</t>
    </r>
    <r>
      <rPr>
        <sz val="7"/>
        <color theme="1" tint="0.499984740745262"/>
        <rFont val="Noto Sans"/>
        <family val="2"/>
      </rPr>
      <t xml:space="preserve"> 'Outsider No.1 du Médoc'</t>
    </r>
  </si>
  <si>
    <t>CLOS MANOU</t>
  </si>
  <si>
    <t>Médoc, at Saint-Christoly-Médoc</t>
  </si>
  <si>
    <t>22CLOSMAOU04</t>
  </si>
  <si>
    <t>Françoise &amp; Stéphane Dief, w.son Arthur</t>
  </si>
  <si>
    <t>21CLOSMAOU01</t>
  </si>
  <si>
    <t>18ha, 35 parcels, 5 terroirs, 4 cépages</t>
  </si>
  <si>
    <t>100% 9K-10K vines/ha density</t>
  </si>
  <si>
    <t>22CLOSMAOU05</t>
  </si>
  <si>
    <t>(60% two gravel types, 40% clay-limestone)</t>
  </si>
  <si>
    <t>21CLOSMAOU02</t>
  </si>
  <si>
    <t>average 40yrs old. 3 wines made.</t>
  </si>
  <si>
    <t>20CLOSMAOU</t>
  </si>
  <si>
    <t>elevage in cask, cement eggs &amp; terracotta</t>
  </si>
  <si>
    <t>22CLOSMAOU01</t>
  </si>
  <si>
    <t>TIMELINE (IN BRIEF)</t>
  </si>
  <si>
    <t>12CLOSMAOU</t>
  </si>
  <si>
    <t>2018 Clos Manou uses Ardea Seal 100%</t>
  </si>
  <si>
    <t>CUVÉE 1850: UNGRAFTED PRE-PHYLLOXERA TVV:</t>
  </si>
  <si>
    <t>2011 purchase of 7ha cru bourgeois neighbour</t>
  </si>
  <si>
    <t>22CLOSMAOU06</t>
  </si>
  <si>
    <t>2008 1st bottling of Clos Manou Cuvée 1850</t>
  </si>
  <si>
    <t>21CLOSMAOU1850</t>
  </si>
  <si>
    <t>2006 4ha purchase includes 7ares planted 1850</t>
  </si>
  <si>
    <t>20CLOSMAOU1850</t>
  </si>
  <si>
    <t>2004 1st trials with Ardea Seal closures</t>
  </si>
  <si>
    <t>1998 1st vintage, 600btls from 0.12ha</t>
  </si>
  <si>
    <t>YOUTUBE FROM CLOS MANOU:</t>
  </si>
  <si>
    <t>1850 age of oldest pre-phylloxera 7are parcel</t>
  </si>
  <si>
    <t xml:space="preserve">www.youtube.com/watch?v=elyoKVC7DMI </t>
  </si>
  <si>
    <t>la taille</t>
  </si>
  <si>
    <t>Jane Anson, Top 10 WOTY, 2019</t>
  </si>
  <si>
    <t xml:space="preserve">www.youtube.com/watch?v=B26AXZeSfvw </t>
  </si>
  <si>
    <t>travail du sol</t>
  </si>
  <si>
    <t xml:space="preserve">www.youtube.com/watch?v=B2yUGnJiEhY </t>
  </si>
  <si>
    <t>effeuillage</t>
  </si>
  <si>
    <t>Clos-Manou.com</t>
  </si>
  <si>
    <t xml:space="preserve">www.youtube.com/watch?v=8nrMtS3PtZA </t>
  </si>
  <si>
    <t>le cabernet</t>
  </si>
  <si>
    <t>www.youtube.com/watch?v=6MxNq_mIsY0</t>
  </si>
  <si>
    <t>le merlot</t>
  </si>
  <si>
    <t>GROWER CODE: CLOSMAOU</t>
  </si>
  <si>
    <t>www.youtube.com/watch?v=QG5V4hEEaOM</t>
  </si>
  <si>
    <t>le triage</t>
  </si>
  <si>
    <t>www.youtube.com/watch?v=-6GNIfrPNIc</t>
  </si>
  <si>
    <t>vendange</t>
  </si>
  <si>
    <t xml:space="preserve">www.youtube.com/watch?v=1ozj_6hRn14 </t>
  </si>
  <si>
    <t>www.youtube.com/watch?v=3m-fh0jN-nU</t>
  </si>
  <si>
    <t>la mise</t>
  </si>
  <si>
    <t>POTENSAC, Chateau</t>
  </si>
  <si>
    <t>20POTENSAC</t>
  </si>
  <si>
    <t xml:space="preserve">Médoc, in Ordonnac. Delon family: </t>
  </si>
  <si>
    <t>19POTENSAC</t>
  </si>
  <si>
    <t>~60ha v/y: 48% M, 33% CS, 18% CF, 1% PV</t>
  </si>
  <si>
    <t>GROWER CODE: POTENSAC</t>
  </si>
  <si>
    <t>SOCIANDO-MALLET, Ch.</t>
  </si>
  <si>
    <t>18JGAUT01</t>
  </si>
  <si>
    <t>CUVÉE JEAN-GAUTREAU</t>
  </si>
  <si>
    <t>18JGAUT02</t>
  </si>
  <si>
    <t>St.Seurin, Haut-Médoc. 88ha vines</t>
  </si>
  <si>
    <t>12JGAUT08TB</t>
  </si>
  <si>
    <t>Sylvie Gautreau, proprietor, &amp; son Artur</t>
  </si>
  <si>
    <t>18JGAUT03</t>
  </si>
  <si>
    <t>55% M, 40% CS, 5% CF</t>
  </si>
  <si>
    <t>11JGAUTA04</t>
  </si>
  <si>
    <t>no herbicides; ambient yeast ferment</t>
  </si>
  <si>
    <t>11JGAUTA02</t>
  </si>
  <si>
    <t>NB Cuvée Jean Gautreau is the top 20-</t>
  </si>
  <si>
    <t>12JGAUT09MTB</t>
  </si>
  <si>
    <t>barrels of each vintage since 1995</t>
  </si>
  <si>
    <t>with special cork &amp; OWC</t>
  </si>
  <si>
    <t>RVF 2* estate; B+D 3* 2022</t>
  </si>
  <si>
    <t>2019 Jean Gautreau passes away</t>
  </si>
  <si>
    <t>2010 1st ever pure cabernet sauvignon bottled</t>
  </si>
  <si>
    <t>2000 negociant business sold</t>
  </si>
  <si>
    <t>1995 1st vintage of Cuvée Jean Gautreau</t>
  </si>
  <si>
    <t>1969 Jean buys Sociando with 5ha vines</t>
  </si>
  <si>
    <t>1967 daughter Sylvie born</t>
  </si>
  <si>
    <t>1957 Jean starts own negociant business</t>
  </si>
  <si>
    <t>1948 Jean started at negociant Miailhe</t>
  </si>
  <si>
    <t>1927 Jean Gautreau born, Lesparre-Médoc</t>
  </si>
  <si>
    <t>1831 Sociando becomes Sociando-Mallet</t>
  </si>
  <si>
    <t>1633 1st written mention of Sociondo</t>
  </si>
  <si>
    <t>TIMELINE OF AWARDS (IN BRIEF):</t>
  </si>
  <si>
    <t>2002 1st entry in Wine Spectator Top 100 (1999)</t>
  </si>
  <si>
    <t>Wine Spectator Top 100 in 2002 (the 1999)</t>
  </si>
  <si>
    <t>Wine Enthusiast, Top 100 Cellar Selection of 2009</t>
  </si>
  <si>
    <t>SociandoMallet.com</t>
  </si>
  <si>
    <t>GROWER CODE: JGAUT</t>
  </si>
  <si>
    <t>TOUR HAUT-CAUSSAN, Ch.</t>
  </si>
  <si>
    <t>TOURHAUTC96</t>
  </si>
  <si>
    <t>Médoc, near Blaignan-Prignac</t>
  </si>
  <si>
    <t>siblings Fabien &amp; Véronique Courrian</t>
  </si>
  <si>
    <t>Avg vine age ~50yrs</t>
  </si>
  <si>
    <t>18ha: 50% CS, 45% M, 5% PV</t>
  </si>
  <si>
    <t>9ha clay-limestone terroir of Blaignan,</t>
  </si>
  <si>
    <t>9ha gravels over red clay at Ordonnac</t>
  </si>
  <si>
    <t>30m altitude on 'plateau de Potensac'</t>
  </si>
  <si>
    <t>100% cask raised</t>
  </si>
  <si>
    <t>TourHautCaussan.com</t>
  </si>
  <si>
    <t>France, Bordeaux - Sauternes &amp; Barsac, A-Z:</t>
  </si>
  <si>
    <t>DOMAINE DE L'ALLIANCE</t>
  </si>
  <si>
    <t>Valérie &amp; Daniel Alibrand</t>
  </si>
  <si>
    <t>23DELALLIANCE</t>
  </si>
  <si>
    <t>Founded 2005 at Fargues, Sauternes</t>
  </si>
  <si>
    <t>58 Avenue Neslon Mandela</t>
  </si>
  <si>
    <t>8ha, high average vine age; ambient yeast</t>
  </si>
  <si>
    <t>Définition is 50% SB, 50% semillon</t>
  </si>
  <si>
    <t>fermented in seasoned 350L casks</t>
  </si>
  <si>
    <t>Organic certified 2017 Ecocert</t>
  </si>
  <si>
    <t>CLIMENS, Château</t>
  </si>
  <si>
    <t>Barsac, Sauternes. Berenice Lurton &amp; Co.</t>
  </si>
  <si>
    <t>31ha semillon vines; unfined wine</t>
  </si>
  <si>
    <t>Organic &amp; Biodynamic certified 2016 Ecocert</t>
  </si>
  <si>
    <t>TIMELINE OF ESTATE (IN BRIEF):</t>
  </si>
  <si>
    <t>2022 majority stake sold to Moitry family</t>
  </si>
  <si>
    <t>2018 1st vintage of Asphodele dry white</t>
  </si>
  <si>
    <t>2016 1st vintage Organic certified</t>
  </si>
  <si>
    <t>2011 organic in conversion starts</t>
  </si>
  <si>
    <t>1992 Berenice becomes owner</t>
  </si>
  <si>
    <t>1971 Lucien Lurton buys Climens</t>
  </si>
  <si>
    <t>1970 Berenice Lurton is born</t>
  </si>
  <si>
    <t>1547 1st mention of Ch.Climens</t>
  </si>
  <si>
    <t>2022 B+D 5*, RVF 3* estate</t>
  </si>
  <si>
    <t>2005 Parker's World's Greatest Wine Estates</t>
  </si>
  <si>
    <t>often in Wine Spectator, Top 100</t>
  </si>
  <si>
    <t>often a Wine Enthusiast, Top 100 Cellar Selection</t>
  </si>
  <si>
    <t>Chateau-Climens.com</t>
  </si>
  <si>
    <t>GROWER CODES: CLIMENS / CYPRES</t>
  </si>
  <si>
    <t>COUTET, Château</t>
  </si>
  <si>
    <t>20COUTET</t>
  </si>
  <si>
    <t>Barsac. Famille Baly since 1977</t>
  </si>
  <si>
    <t>Aline Baly, 3rd generation</t>
  </si>
  <si>
    <t>38.5ha: 75% Sem, 23% SB, 2% Muscadelle</t>
  </si>
  <si>
    <t>ChateauCoutet.com</t>
  </si>
  <si>
    <t>GROWER CODE: COUTET</t>
  </si>
  <si>
    <t>FARGUES, Château de</t>
  </si>
  <si>
    <t>03FARGUES</t>
  </si>
  <si>
    <t>Sauternes. Famille Lur Saluces. 170ha land</t>
  </si>
  <si>
    <t>~18ha vines, with vision to plant to 27ha</t>
  </si>
  <si>
    <t>80% semillon, 20% sauvignon</t>
  </si>
  <si>
    <t>ChateauDeFargues.com</t>
  </si>
  <si>
    <t>GROWER CODE: FARGUES</t>
  </si>
  <si>
    <t xml:space="preserve">GUIRAUD, Château </t>
  </si>
  <si>
    <t>23GUIRAUD</t>
  </si>
  <si>
    <t>Sauternes. Xavier Planty &amp; Co. 128ha estate</t>
  </si>
  <si>
    <t>09GUIRAUD</t>
  </si>
  <si>
    <t>100ha vines: 65% sémillon, 35% sauvignon</t>
  </si>
  <si>
    <t>Consortium is Olivier Bernard, Stephan von</t>
  </si>
  <si>
    <t>Neipperg, Robert Peugeot.</t>
  </si>
  <si>
    <t>no chaptalisation; no cryoextraction; fined</t>
  </si>
  <si>
    <t>Organic certified 2012 Veritas</t>
  </si>
  <si>
    <t>Sustainable certified ISO 14001</t>
  </si>
  <si>
    <t>2014 in Suckling's Top 100 WOTY (2011)</t>
  </si>
  <si>
    <t>2012 Organic certified</t>
  </si>
  <si>
    <t>2007 formal AB Organic in Conversion starts</t>
  </si>
  <si>
    <t>2006 Narby family sell; new consortium created</t>
  </si>
  <si>
    <t>2004 1st entry in Wine Spectator Top 100 (2004)</t>
  </si>
  <si>
    <t>1995 start of organic farming</t>
  </si>
  <si>
    <t>1988 Xavier Planty arrives as régisseur</t>
  </si>
  <si>
    <t>1981 Narby family purchase, start to rebuild</t>
  </si>
  <si>
    <t>1776 negociant Pierre Guiraud purchases the</t>
  </si>
  <si>
    <r>
      <t>Maison Noble du Bayle</t>
    </r>
    <r>
      <rPr>
        <sz val="7"/>
        <color theme="1" tint="0.499984740745262"/>
        <rFont val="Noto Sans"/>
        <family val="2"/>
      </rPr>
      <t>, as it was then known</t>
    </r>
  </si>
  <si>
    <t>RVF 2* estate; B+D 4*</t>
  </si>
  <si>
    <t>chateauguiraud.com/fr</t>
  </si>
  <si>
    <t>GROWER CODE: GUIRAUD</t>
  </si>
  <si>
    <t>LAFON, Château</t>
  </si>
  <si>
    <t>22LAFON</t>
  </si>
  <si>
    <t>Sauternes. Dufour family, 4th generation</t>
  </si>
  <si>
    <t>12ha vines, mostly semillon</t>
  </si>
  <si>
    <t>Ambient yeast ferment; 12mths cask elevage</t>
  </si>
  <si>
    <t>GROWER CODE: LAFON</t>
  </si>
  <si>
    <t>Graves, &amp; Sauternes-Barsac. 10ha vines</t>
  </si>
  <si>
    <t>ambient yeast; unfined &amp; unfiltered</t>
  </si>
  <si>
    <t>NB SEE GRAVES SECTION</t>
  </si>
  <si>
    <t>DU MAYNE, Château</t>
  </si>
  <si>
    <t>20DUMAYNE01</t>
  </si>
  <si>
    <t>Sauternes-Barsac, in Bommes (near Barsac)</t>
  </si>
  <si>
    <t>Vignobles Bernard Reglat</t>
  </si>
  <si>
    <t>Vigneron-Independant.com</t>
  </si>
  <si>
    <t>GROWER CODE: DUMAYNE</t>
  </si>
  <si>
    <r>
      <t xml:space="preserve">RAYNE VIGNEAU, </t>
    </r>
    <r>
      <rPr>
        <b/>
        <sz val="10"/>
        <color theme="1" tint="0.14999847407452621"/>
        <rFont val="Noto Sans"/>
        <family val="2"/>
      </rPr>
      <t>Ch.</t>
    </r>
  </si>
  <si>
    <t>21RVIGNEAU</t>
  </si>
  <si>
    <t>Sauternes</t>
  </si>
  <si>
    <t>RayneVigneau.fr</t>
  </si>
  <si>
    <t>GROWER CODE: RVIGNEAU</t>
  </si>
  <si>
    <t>RIEUSSEC, Château</t>
  </si>
  <si>
    <t>19RIEUSSEC01</t>
  </si>
  <si>
    <t>Sauternes &amp; Barsac. ~85ha vines</t>
  </si>
  <si>
    <t>~85% sem., 13% sauv blanc, 2% muscadelle</t>
  </si>
  <si>
    <t>NB NEW PACKAGING IN 2019</t>
  </si>
  <si>
    <t>organic in conversion 2024</t>
  </si>
  <si>
    <t>GROWER CODE: RIEUSSEC</t>
  </si>
  <si>
    <t>SUDUIRAUT, Château</t>
  </si>
  <si>
    <t>22SUDUI02</t>
  </si>
  <si>
    <t>Sauternes. AXA since 1992. 200ha estate,</t>
  </si>
  <si>
    <t>21SUDUI</t>
  </si>
  <si>
    <t>90ha vines. 88% semillon, 12% sauvignon</t>
  </si>
  <si>
    <t>Suduiraut.com</t>
  </si>
  <si>
    <t>GROWER CODE: SUDUI</t>
  </si>
  <si>
    <t>D'YQUEM, Château</t>
  </si>
  <si>
    <t>Chateau d'Yquem, Sauternes</t>
  </si>
  <si>
    <t>16YQUEMHF</t>
  </si>
  <si>
    <t xml:space="preserve">Sauternes. &gt;200ha polycultural estate </t>
  </si>
  <si>
    <t>115ha vines in 28 parcels; some ha fallow,</t>
  </si>
  <si>
    <t>50ha forest, 35ha meadow for Bazas cattle</t>
  </si>
  <si>
    <t>Regisseur Pierre Lurton. Owner LVMH</t>
  </si>
  <si>
    <r>
      <t>organic in conversion 2022</t>
    </r>
    <r>
      <rPr>
        <sz val="8"/>
        <color rgb="FF00B050"/>
        <rFont val="Noto Sans"/>
        <family val="2"/>
      </rPr>
      <t>; &amp;</t>
    </r>
    <r>
      <rPr>
        <b/>
        <sz val="8"/>
        <color rgb="FF00B050"/>
        <rFont val="Noto Sans"/>
        <family val="2"/>
      </rPr>
      <t xml:space="preserve"> 50ha BD trial</t>
    </r>
  </si>
  <si>
    <t>no herbicide/anti-rot sprays; organic fertilizer</t>
  </si>
  <si>
    <t>80% semillon, 20% sauvignon blanc</t>
  </si>
  <si>
    <t>max 80m altitude. average 9hl/ha yield</t>
  </si>
  <si>
    <t>pressed 3-4 times in two presses</t>
  </si>
  <si>
    <t>ambient yeast unless stuck; never blocked</t>
  </si>
  <si>
    <t>fine-grain oak cask fermented; 3yrs elevage</t>
  </si>
  <si>
    <t>fined &amp; filtered before bottling</t>
  </si>
  <si>
    <t>B+D 5* 2022; RVF 3* 2022</t>
  </si>
  <si>
    <t>NB mixed six-packs were sourced ex-cellars</t>
  </si>
  <si>
    <t>Yquem.fr</t>
  </si>
  <si>
    <t>GROWER CODE: YQUEM</t>
  </si>
  <si>
    <t>France, South-West - Monbazillac &amp; Cahors</t>
  </si>
  <si>
    <t>KIND WORDS ON TIRECUL LA GRAVIERE:</t>
  </si>
  <si>
    <r>
      <rPr>
        <b/>
        <sz val="7"/>
        <color theme="1" tint="0.499984740745262"/>
        <rFont val="Noto Sans"/>
        <family val="2"/>
      </rPr>
      <t xml:space="preserve">RVF </t>
    </r>
    <r>
      <rPr>
        <sz val="7"/>
        <color theme="1" tint="0.499984740745262"/>
        <rFont val="Noto Sans"/>
        <family val="2"/>
      </rPr>
      <t xml:space="preserve">'Admirable vinification and aging that </t>
    </r>
    <r>
      <rPr>
        <i/>
        <sz val="7"/>
        <color theme="1" tint="0.499984740745262"/>
        <rFont val="Noto Sans"/>
        <family val="2"/>
      </rPr>
      <t>ought</t>
    </r>
    <r>
      <rPr>
        <sz val="7"/>
        <color theme="1" tint="0.499984740745262"/>
        <rFont val="Noto Sans"/>
        <family val="2"/>
      </rPr>
      <t xml:space="preserve"> to be replicated in Sauternes'</t>
    </r>
  </si>
  <si>
    <r>
      <rPr>
        <b/>
        <sz val="7"/>
        <color theme="1" tint="0.499984740745262"/>
        <rFont val="Noto Sans"/>
        <family val="2"/>
      </rPr>
      <t>RVF</t>
    </r>
    <r>
      <rPr>
        <sz val="7"/>
        <color theme="1" tint="0.499984740745262"/>
        <rFont val="Noto Sans"/>
        <family val="2"/>
      </rPr>
      <t xml:space="preserve"> ‘A splendour: extraordinary richness in sweetness, unprecedented length and arguably the greatest Monbazillac that we have ever tasted’  (on 2001)</t>
    </r>
  </si>
  <si>
    <r>
      <rPr>
        <b/>
        <sz val="7"/>
        <color theme="1" tint="0.499984740745262"/>
        <rFont val="Noto Sans"/>
        <family val="2"/>
      </rPr>
      <t>Jeb Dunnuck (ex-TWA), 2017</t>
    </r>
    <r>
      <rPr>
        <sz val="7"/>
        <color theme="1" tint="0.499984740745262"/>
        <rFont val="Noto Sans"/>
        <family val="2"/>
      </rPr>
      <t xml:space="preserve"> 'unquestionably some of the most impressive sweet wines I’ve ever tasted.'</t>
    </r>
  </si>
  <si>
    <r>
      <rPr>
        <b/>
        <sz val="7"/>
        <color theme="1" tint="0.499984740745262"/>
        <rFont val="Noto Sans"/>
        <family val="2"/>
      </rPr>
      <t>B+D Guide 2020</t>
    </r>
    <r>
      <rPr>
        <sz val="7"/>
        <color theme="1" tint="0.499984740745262"/>
        <rFont val="Noto Sans"/>
        <family val="2"/>
      </rPr>
      <t xml:space="preserve"> 'Bruno Bilancini is the soul of Monbazillac, its most faithful and most moving interpreter.'</t>
    </r>
  </si>
  <si>
    <r>
      <rPr>
        <b/>
        <sz val="7"/>
        <color theme="1" tint="0.499984740745262"/>
        <rFont val="Noto Sans"/>
        <family val="2"/>
      </rPr>
      <t>B+D Guide 2020</t>
    </r>
    <r>
      <rPr>
        <sz val="7"/>
        <color theme="1" tint="0.499984740745262"/>
        <rFont val="Noto Sans"/>
        <family val="2"/>
      </rPr>
      <t xml:space="preserve"> 'On entre ici la porte très étroite des grands liquoreux, a l’instar des plus beaux sauternes.’</t>
    </r>
  </si>
  <si>
    <r>
      <rPr>
        <b/>
        <sz val="7"/>
        <color theme="1" tint="0.499984740745262"/>
        <rFont val="Noto Sans"/>
        <family val="2"/>
      </rPr>
      <t>B+D Guide 2020</t>
    </r>
    <r>
      <rPr>
        <sz val="7"/>
        <color theme="1" tint="0.499984740745262"/>
        <rFont val="Noto Sans"/>
        <family val="2"/>
      </rPr>
      <t xml:space="preserve"> 'Le Seul Rival aux Grands Sauternes.’</t>
    </r>
  </si>
  <si>
    <r>
      <t>B+D Guide 2010</t>
    </r>
    <r>
      <rPr>
        <sz val="7"/>
        <color theme="1" tint="0.499984740745262"/>
        <rFont val="Noto Sans"/>
        <family val="2"/>
      </rPr>
      <t xml:space="preserve"> 'Un des hauts lieux mondiaux de la production de vins liquoreux' </t>
    </r>
  </si>
  <si>
    <r>
      <t>B+D Guide 2009</t>
    </r>
    <r>
      <rPr>
        <sz val="7"/>
        <color theme="1" tint="0.499984740745262"/>
        <rFont val="Noto Sans"/>
        <family val="2"/>
      </rPr>
      <t xml:space="preserve"> 'générosité de caractere hors norme et d'une perfection d'élaboration digne d'Yquem.'</t>
    </r>
  </si>
  <si>
    <r>
      <t>B+D Guide (Bettane)</t>
    </r>
    <r>
      <rPr>
        <sz val="7"/>
        <color theme="1" tint="0.499984740745262"/>
        <rFont val="Noto Sans"/>
        <family val="2"/>
      </rPr>
      <t xml:space="preserve"> 'Magisterial. Wooded luxury and very delicate, in the style of d’Yquem, botrytis carefully selected, great breadth,</t>
    </r>
  </si>
  <si>
    <t>a complex and racy liqueur. A grand wine’ (on Chateau 2000)</t>
  </si>
  <si>
    <r>
      <rPr>
        <b/>
        <sz val="7"/>
        <color theme="1" tint="0.499984740745262"/>
        <rFont val="Noto Sans"/>
        <family val="2"/>
      </rPr>
      <t>R.Parker, TWA 1997</t>
    </r>
    <r>
      <rPr>
        <sz val="7"/>
        <color theme="1" tint="0.499984740745262"/>
        <rFont val="Noto Sans"/>
        <family val="2"/>
      </rPr>
      <t xml:space="preserve"> 'I have applauded recent efforts of this estate, which goes to unprecedented lengths as well as labor to produce the most </t>
    </r>
  </si>
  <si>
    <t>amazing sweet wines I have ever tasted. ... That being said, there is no doubt in my mind that the 1995 Cuvee Madame is as profound a sweet</t>
  </si>
  <si>
    <t>wine as I have ever tasted. ... As is the case with so many of the world's greatest wines, the production is insignificant.'</t>
  </si>
  <si>
    <r>
      <rPr>
        <b/>
        <sz val="7"/>
        <color theme="1" tint="0.499984740745262"/>
        <rFont val="Noto Sans"/>
        <family val="2"/>
      </rPr>
      <t xml:space="preserve">R.Parker, TWA 1996 </t>
    </r>
    <r>
      <rPr>
        <sz val="7"/>
        <color theme="1" tint="0.499984740745262"/>
        <rFont val="Noto Sans"/>
        <family val="2"/>
      </rPr>
      <t>'with microscopic vinifications such as this, it is easier to achieve near perfection. ... It is an understatement to say these are the</t>
    </r>
  </si>
  <si>
    <t>greatest wines I have ever tasted from Monbazillac; in fact, they are among the greatest sweet wines I have tasted ... from anywhere!'</t>
  </si>
  <si>
    <t>TIRECUL LA GRAVIÈRE,</t>
  </si>
  <si>
    <t>Château. Famille Bilancini</t>
  </si>
  <si>
    <t>14TIRECUL04V</t>
  </si>
  <si>
    <t>Monbazillac. Bruno &amp; Claudia Bilancini. 10ha</t>
  </si>
  <si>
    <t>SWEET WINES - ALL SGNs:</t>
  </si>
  <si>
    <t>24TIRECUL01</t>
  </si>
  <si>
    <t>22TIRECUL01</t>
  </si>
  <si>
    <t>North facing limestone slopes nr.Bergerac</t>
  </si>
  <si>
    <t>24TIRECUL02</t>
  </si>
  <si>
    <t>40% muscadelle, 50% semillon, 10% chenin</t>
  </si>
  <si>
    <r>
      <t>MONBAZILLAC M.O.:</t>
    </r>
    <r>
      <rPr>
        <sz val="7"/>
        <color theme="1" tint="0.499984740745262"/>
        <rFont val="Noto Sans"/>
        <family val="2"/>
      </rPr>
      <t xml:space="preserve"> </t>
    </r>
  </si>
  <si>
    <t>24TIRECUL03</t>
  </si>
  <si>
    <t>100% SGN/TBA single berry picking daily, weather</t>
  </si>
  <si>
    <t>21TIRECUL04</t>
  </si>
  <si>
    <t xml:space="preserve">permitting over 2 to 3 months. 3 to 4 pressings. </t>
  </si>
  <si>
    <t>Seasoned cask elevage up to 2 to 3 years.</t>
  </si>
  <si>
    <r>
      <rPr>
        <b/>
        <sz val="7"/>
        <color theme="1" tint="0.499984740745262"/>
        <rFont val="Noto Sans"/>
        <family val="2"/>
      </rPr>
      <t>Les Pins:</t>
    </r>
    <r>
      <rPr>
        <sz val="7"/>
        <color theme="1" tint="0.499984740745262"/>
        <rFont val="Noto Sans"/>
        <family val="2"/>
      </rPr>
      <t xml:space="preserve"> younger vines, lighter barrels</t>
    </r>
  </si>
  <si>
    <r>
      <rPr>
        <b/>
        <sz val="7"/>
        <color theme="1" tint="0.499984740745262"/>
        <rFont val="Noto Sans"/>
        <family val="2"/>
      </rPr>
      <t>Chateau:</t>
    </r>
    <r>
      <rPr>
        <sz val="7"/>
        <color theme="1" tint="0.499984740745262"/>
        <rFont val="Noto Sans"/>
        <family val="2"/>
      </rPr>
      <t xml:space="preserve"> younger and older vines, top level</t>
    </r>
  </si>
  <si>
    <r>
      <rPr>
        <b/>
        <sz val="7"/>
        <color theme="1" tint="0.499984740745262"/>
        <rFont val="Noto Sans"/>
        <family val="2"/>
      </rPr>
      <t>Madame:</t>
    </r>
    <r>
      <rPr>
        <sz val="7"/>
        <color theme="1" tint="0.499984740745262"/>
        <rFont val="Noto Sans"/>
        <family val="2"/>
      </rPr>
      <t xml:space="preserve"> older vines, very richest barrels,</t>
    </r>
  </si>
  <si>
    <t>2-3yrs elevage</t>
  </si>
  <si>
    <r>
      <rPr>
        <b/>
        <sz val="7"/>
        <color theme="1" tint="0.499984740745262"/>
        <rFont val="Noto Sans"/>
        <family val="2"/>
      </rPr>
      <t>Andrea Sec</t>
    </r>
    <r>
      <rPr>
        <sz val="7"/>
        <color theme="1" tint="0.499984740745262"/>
        <rFont val="Noto Sans"/>
        <family val="2"/>
      </rPr>
      <t xml:space="preserve">: dry muscadelle (mature vines) &amp; semillon </t>
    </r>
  </si>
  <si>
    <t>vv from upper slopes, cask ferment &amp; 1yr elevage</t>
  </si>
  <si>
    <t>TIMELINE OF WINERY IN BRIEF:</t>
  </si>
  <si>
    <t>2019 new reds Organic certified</t>
  </si>
  <si>
    <t>2012 all white &amp; sweet wines Organic certified</t>
  </si>
  <si>
    <t>2009 start of formal conversion to organics</t>
  </si>
  <si>
    <t>1999 2hl/ha after deselection of undesirable sour-rot</t>
  </si>
  <si>
    <t>1992 Bilancinis lease cru Tirecul; purchase in 1997</t>
  </si>
  <si>
    <t>1936 AOC Monbazillac formed - an early one</t>
  </si>
  <si>
    <t>1495 the North facing slopes start to be planted</t>
  </si>
  <si>
    <t>TIMELINE OF AWARDS:</t>
  </si>
  <si>
    <t>2020 B+D Guide Top 100 Producteurs Coups de Coeur</t>
  </si>
  <si>
    <t>2017 Jeb Dunnuck gives 100 to 1995, 1999, 2001</t>
  </si>
  <si>
    <t>2016 B+D Guide 'Tableau d'Honneur'</t>
  </si>
  <si>
    <t>2010 B+D Guide gives Cuvée Madame 05 19.5/20</t>
  </si>
  <si>
    <t>1995 Cuvee Madame receives RP100</t>
  </si>
  <si>
    <t>1994 Cuvee Madame receives RP(99-100)</t>
  </si>
  <si>
    <t>Tirecul-La-Graviere.fr</t>
  </si>
  <si>
    <t>Tirecul.Canalblog.com</t>
  </si>
  <si>
    <t>GROWER CODE: TIRECUL</t>
  </si>
  <si>
    <r>
      <t>On Clos St.Jean</t>
    </r>
    <r>
      <rPr>
        <i/>
        <sz val="8"/>
        <color theme="1" tint="0.499984740745262"/>
        <rFont val="Noto Sans"/>
        <family val="2"/>
      </rPr>
      <t xml:space="preserve"> 'Il n’est de temps qui ne revienne'</t>
    </r>
    <r>
      <rPr>
        <sz val="8"/>
        <color theme="1" tint="0.499984740745262"/>
        <rFont val="Noto Sans"/>
        <family val="2"/>
      </rPr>
      <t xml:space="preserve"> - </t>
    </r>
  </si>
  <si>
    <t>JOUFFREAU, Famille</t>
  </si>
  <si>
    <t>CAHORS ROUGE:</t>
  </si>
  <si>
    <t>CLOS DE GAMOT</t>
  </si>
  <si>
    <t>17GAMOT01</t>
  </si>
  <si>
    <t>Prayssac, Cahors, since 1610</t>
  </si>
  <si>
    <t>22GAMOT01</t>
  </si>
  <si>
    <t>Martine Jouffreau &amp; Yves Hermann</t>
  </si>
  <si>
    <t>22GAMOT01MG</t>
  </si>
  <si>
    <t>no herbicide; ambient yeast; demi-muids</t>
  </si>
  <si>
    <t>22GAMOT02</t>
  </si>
  <si>
    <t>16GAMOT03</t>
  </si>
  <si>
    <t>22GAMOT03</t>
  </si>
  <si>
    <r>
      <rPr>
        <b/>
        <sz val="7"/>
        <color theme="1" tint="0.499984740745262"/>
        <rFont val="Noto Sans"/>
        <family val="2"/>
      </rPr>
      <t>Clos St.Jean</t>
    </r>
    <r>
      <rPr>
        <sz val="7"/>
        <color theme="1" tint="0.499984740745262"/>
        <rFont val="Noto Sans"/>
        <family val="2"/>
      </rPr>
      <t>: 1ha massale vines from the 1885 tvv</t>
    </r>
  </si>
  <si>
    <t>planted in 1993 on chalky limestone terraces at Sals</t>
  </si>
  <si>
    <t>18-24mths demi-muids elevage; late-release. 1st made 1998</t>
  </si>
  <si>
    <r>
      <rPr>
        <b/>
        <sz val="7"/>
        <color theme="1" tint="0.499984740745262"/>
        <rFont val="Noto Sans"/>
        <family val="2"/>
      </rPr>
      <t>Clos de Gamot Vignes Centenaires</t>
    </r>
    <r>
      <rPr>
        <sz val="7"/>
        <color theme="1" tint="0.499984740745262"/>
        <rFont val="Noto Sans"/>
        <family val="2"/>
      </rPr>
      <t xml:space="preserve">: </t>
    </r>
  </si>
  <si>
    <t>2.5ha of 1885 vines, 10-15hl/ha yield; ~2yr elevage</t>
  </si>
  <si>
    <t>in demi-muids &amp; foudres</t>
  </si>
  <si>
    <r>
      <rPr>
        <b/>
        <sz val="7"/>
        <color theme="1" tint="0.499984740745262"/>
        <rFont val="Noto Sans"/>
        <family val="2"/>
      </rPr>
      <t>Clos de Gamot</t>
    </r>
    <r>
      <rPr>
        <sz val="7"/>
        <color theme="1" tint="0.499984740745262"/>
        <rFont val="Noto Sans"/>
        <family val="2"/>
      </rPr>
      <t>: 15ha, mostly 40-70yr old vines</t>
    </r>
  </si>
  <si>
    <t>~40hl/ha yield. Elevage en foudres</t>
  </si>
  <si>
    <t>RVF 1* estate</t>
  </si>
  <si>
    <t>Famille-Jouffreau.com</t>
  </si>
  <si>
    <t>GROWER CODE: GAMOT</t>
  </si>
  <si>
    <t>France, Burgundy - North / Yonne</t>
  </si>
  <si>
    <t>NB: 1C = Premier Cru; GC = Grand Cru</t>
  </si>
  <si>
    <t>RAVENEAU of Chablis</t>
  </si>
  <si>
    <t>usually sells out on release – B+D 5; RVF 3</t>
  </si>
  <si>
    <r>
      <rPr>
        <b/>
        <sz val="7"/>
        <color theme="1" tint="0.499984740745262"/>
        <rFont val="Noto Sans"/>
        <family val="2"/>
      </rPr>
      <t xml:space="preserve">Francis Boudin </t>
    </r>
    <r>
      <rPr>
        <sz val="7"/>
        <color theme="1" tint="0.499984740745262"/>
        <rFont val="Noto Sans"/>
        <family val="2"/>
      </rPr>
      <t>'Mon père venait d’acheter une parcelle de vigne à Villy située entre deux bois. L’ancien propriétaire disait que dans cette vigne il était</t>
    </r>
  </si>
  <si>
    <t>coupé du monde et qu’il n’entendait que le chant des Merles.'</t>
  </si>
  <si>
    <t>CHANTEMERLE, Dom. de</t>
  </si>
  <si>
    <t>21BOUDIN04</t>
  </si>
  <si>
    <t>by Famille Boudin</t>
  </si>
  <si>
    <t>23BOUDIN01</t>
  </si>
  <si>
    <t>Chablis, at La Chapelle Vaupeltigne. 20ha</t>
  </si>
  <si>
    <t>18BOUDIN01TB</t>
  </si>
  <si>
    <t xml:space="preserve">3rd gen. sisters Angélique &amp; Virginie Boudin, </t>
  </si>
  <si>
    <t>22BOUDIN02</t>
  </si>
  <si>
    <t>with parents Adhémar &amp; Francis Boudin</t>
  </si>
  <si>
    <t>21BOUDIN02</t>
  </si>
  <si>
    <t>fermented and aged in cuves</t>
  </si>
  <si>
    <t>19BOUDIN03</t>
  </si>
  <si>
    <t>L'Homme Mort is So.facing plot in Fourchaume</t>
  </si>
  <si>
    <t>Sustainable</t>
  </si>
  <si>
    <t>Chablis-Boudin-Vins.fr</t>
  </si>
  <si>
    <t>facebook.com/DomaineChantemerle89/</t>
  </si>
  <si>
    <t>instagram.com/domainedechantemerle/</t>
  </si>
  <si>
    <t>GROWER CODE: BOUDIN</t>
  </si>
  <si>
    <r>
      <rPr>
        <b/>
        <sz val="7"/>
        <color theme="1" tint="0.499984740745262"/>
        <rFont val="Noto Sans"/>
        <family val="2"/>
      </rPr>
      <t>Bill Nanson, 2017</t>
    </r>
    <r>
      <rPr>
        <sz val="7"/>
        <color theme="1" tint="0.499984740745262"/>
        <rFont val="Noto Sans"/>
        <family val="2"/>
      </rPr>
      <t xml:space="preserve"> 'there’s lots to be interested in – some really very nice wines'</t>
    </r>
  </si>
  <si>
    <t>CHAUDE ÉCUELLE, Dom.</t>
  </si>
  <si>
    <t>23CECU01</t>
  </si>
  <si>
    <t>by Famille Vilain</t>
  </si>
  <si>
    <t>23CECU02</t>
  </si>
  <si>
    <t>Chablis, at Chemilly-Sur-Serein. ~60ha</t>
  </si>
  <si>
    <t>Chablis Montée de Tonnere 1C (vv)</t>
  </si>
  <si>
    <t>OUT</t>
  </si>
  <si>
    <t>Sustainable; Ⓥ Vegan compatible</t>
  </si>
  <si>
    <t>part ambient yeast</t>
  </si>
  <si>
    <t>tbc son Guillaume joined, 5th generation</t>
  </si>
  <si>
    <t>1990 Geralde &amp; Claire took over</t>
  </si>
  <si>
    <t>1930 Domaine founded</t>
  </si>
  <si>
    <r>
      <rPr>
        <b/>
        <sz val="7"/>
        <color theme="1" tint="0.499984740745262"/>
        <rFont val="Noto Sans"/>
        <family val="2"/>
      </rPr>
      <t xml:space="preserve">PETIT CHABLIS: </t>
    </r>
    <r>
      <rPr>
        <sz val="7"/>
        <color theme="1" tint="0.499984740745262"/>
        <rFont val="Noto Sans"/>
        <family val="2"/>
      </rPr>
      <t>9ha avg. 30yr old vines, up to</t>
    </r>
  </si>
  <si>
    <t>100yrs: mostly Portlandian limestone-clay soils</t>
  </si>
  <si>
    <r>
      <rPr>
        <b/>
        <sz val="7"/>
        <color theme="1" tint="0.499984740745262"/>
        <rFont val="Noto Sans"/>
        <family val="2"/>
      </rPr>
      <t>CHABLIS:</t>
    </r>
    <r>
      <rPr>
        <sz val="7"/>
        <color theme="1" tint="0.499984740745262"/>
        <rFont val="Noto Sans"/>
        <family val="2"/>
      </rPr>
      <t xml:space="preserve"> 21ha of avg. 40yr old vines</t>
    </r>
  </si>
  <si>
    <r>
      <rPr>
        <b/>
        <sz val="7"/>
        <color theme="1" tint="0.499984740745262"/>
        <rFont val="Noto Sans"/>
        <family val="2"/>
      </rPr>
      <t>THE 1Cs:</t>
    </r>
    <r>
      <rPr>
        <sz val="7"/>
        <color theme="1" tint="0.499984740745262"/>
        <rFont val="Noto Sans"/>
        <family val="2"/>
      </rPr>
      <t xml:space="preserve"> three small mature parcels on oyster-shell</t>
    </r>
  </si>
  <si>
    <t>rich Kimmeridgian limestone-clay, hand harvested</t>
  </si>
  <si>
    <r>
      <rPr>
        <b/>
        <sz val="7"/>
        <color theme="1" tint="0.499984740745262"/>
        <rFont val="Noto Sans"/>
        <family val="2"/>
      </rPr>
      <t xml:space="preserve">VAILLONS 1C: </t>
    </r>
    <r>
      <rPr>
        <sz val="7"/>
        <color theme="1" tint="0.499984740745262"/>
        <rFont val="Noto Sans"/>
        <family val="2"/>
      </rPr>
      <t xml:space="preserve">0.86ha VV planted 1951, left bank </t>
    </r>
  </si>
  <si>
    <t>purchased 2007</t>
  </si>
  <si>
    <r>
      <rPr>
        <b/>
        <sz val="7"/>
        <color theme="1" tint="0.499984740745262"/>
        <rFont val="Noto Sans"/>
        <family val="2"/>
      </rPr>
      <t>MONTÉE DE TONNERE 1C:</t>
    </r>
    <r>
      <rPr>
        <sz val="7"/>
        <color theme="1" tint="0.499984740745262"/>
        <rFont val="Noto Sans"/>
        <family val="2"/>
      </rPr>
      <t xml:space="preserve"> 0.55ha VV planted</t>
    </r>
  </si>
  <si>
    <t>1947/1948 on right bank by GCs</t>
  </si>
  <si>
    <r>
      <rPr>
        <b/>
        <sz val="7"/>
        <color theme="1" tint="0.499984740745262"/>
        <rFont val="Noto Sans"/>
        <family val="2"/>
      </rPr>
      <t>MONTMAINS 1C</t>
    </r>
    <r>
      <rPr>
        <sz val="7"/>
        <color theme="1" tint="0.499984740745262"/>
        <rFont val="Noto Sans"/>
        <family val="2"/>
      </rPr>
      <t xml:space="preserve"> = 0.76ha ~30yrs old, left bank</t>
    </r>
  </si>
  <si>
    <t>ChaudeEcuelle.com</t>
  </si>
  <si>
    <t>instagram.com/domainedechaudeecuelle/</t>
  </si>
  <si>
    <t>GROWER CODE: CECU</t>
  </si>
  <si>
    <t>THIERRY LAFFAY</t>
  </si>
  <si>
    <t>CHABLIS VV:</t>
  </si>
  <si>
    <t>Chablis. 6.1ha vines</t>
  </si>
  <si>
    <t>23LAFF03</t>
  </si>
  <si>
    <t>Thierry took over 1986</t>
  </si>
  <si>
    <t>CHABLIS 1C:</t>
  </si>
  <si>
    <t>Daughter Virginie joined 2020s</t>
  </si>
  <si>
    <t>24LAFF02</t>
  </si>
  <si>
    <t>mature vines, all planted 1969-1989</t>
  </si>
  <si>
    <t>24LAFF01</t>
  </si>
  <si>
    <t>no copper, &gt;25yrs</t>
  </si>
  <si>
    <t>23LAFF04</t>
  </si>
  <si>
    <t>CHABLIS GC:</t>
  </si>
  <si>
    <t>hand harvest; low yields; modest SO2</t>
  </si>
  <si>
    <t>24LAFF03</t>
  </si>
  <si>
    <t>GC wines barrel fermented, ~15% new oak</t>
  </si>
  <si>
    <t>23LAFF07</t>
  </si>
  <si>
    <t>facebook.com/DomaineThierryLaffay/</t>
  </si>
  <si>
    <t>23LAFF02</t>
  </si>
  <si>
    <t>GROWER CODE: LAFF</t>
  </si>
  <si>
    <t>22LAFF03</t>
  </si>
  <si>
    <t>19LAFF03</t>
  </si>
  <si>
    <t>17LAFF03</t>
  </si>
  <si>
    <t>GOISOT ON GOISOT:</t>
  </si>
  <si>
    <r>
      <t>Goisot family motto:</t>
    </r>
    <r>
      <rPr>
        <i/>
        <sz val="7"/>
        <color theme="1" tint="0.499984740745262"/>
        <rFont val="Noto Sans"/>
        <family val="2"/>
      </rPr>
      <t xml:space="preserve"> 'L'Empreinte du terroir'</t>
    </r>
  </si>
  <si>
    <r>
      <rPr>
        <b/>
        <sz val="7"/>
        <color theme="1" tint="0.499984740745262"/>
        <rFont val="Noto Sans"/>
        <family val="2"/>
      </rPr>
      <t>Goisot family</t>
    </r>
    <r>
      <rPr>
        <sz val="7"/>
        <color theme="1" tint="0.499984740745262"/>
        <rFont val="Noto Sans"/>
        <family val="2"/>
      </rPr>
      <t xml:space="preserve"> 'Nous sommes fiers de produire un vin authentique, sain pour l’homme et la nature.'</t>
    </r>
  </si>
  <si>
    <r>
      <t>Jean-Hugues</t>
    </r>
    <r>
      <rPr>
        <sz val="7"/>
        <color theme="1" tint="0.499984740745262"/>
        <rFont val="Noto Sans"/>
        <family val="2"/>
      </rPr>
      <t xml:space="preserve"> 'Le vin se vinifie dans la vigne et non dans la cave'</t>
    </r>
  </si>
  <si>
    <r>
      <t>Guilhem, 2019</t>
    </r>
    <r>
      <rPr>
        <sz val="7"/>
        <color theme="1" tint="0.499984740745262"/>
        <rFont val="Noto Sans"/>
        <family val="2"/>
      </rPr>
      <t xml:space="preserve"> 'If the wine’s good it will always sell – maybe there are times when it sells slower, but it will still sell.'</t>
    </r>
  </si>
  <si>
    <r>
      <rPr>
        <b/>
        <sz val="7"/>
        <color theme="1" tint="0.499984740745262"/>
        <rFont val="Noto Sans"/>
        <family val="2"/>
      </rPr>
      <t xml:space="preserve">Guilhem, 2016 </t>
    </r>
    <r>
      <rPr>
        <sz val="7"/>
        <color theme="1" tint="0.499984740745262"/>
        <rFont val="Noto Sans"/>
        <family val="2"/>
      </rPr>
      <t>'luckily we have no vines at the bottom of hills, should there be a hard, extended frost.'</t>
    </r>
  </si>
  <si>
    <r>
      <rPr>
        <b/>
        <sz val="7"/>
        <color theme="1" tint="0.499984740745262"/>
        <rFont val="Noto Sans"/>
        <family val="2"/>
      </rPr>
      <t>Guilhem, 2014</t>
    </r>
    <r>
      <rPr>
        <sz val="7"/>
        <color theme="1" tint="0.499984740745262"/>
        <rFont val="Noto Sans"/>
        <family val="2"/>
      </rPr>
      <t xml:space="preserve"> 'our chardonnays show the minerality of Chablis, we have the same limestone, but with a warmer, drier climate that adds a little CDB richness.'</t>
    </r>
  </si>
  <si>
    <t>KIND WORDS ON GOISOT:</t>
  </si>
  <si>
    <t>RVF Le Guide 2016 - 2 (i.e. TOP 6) producer of the Yonne - incl. Chablis</t>
  </si>
  <si>
    <r>
      <rPr>
        <b/>
        <sz val="7"/>
        <color theme="1" tint="0.499984740745262"/>
        <rFont val="Noto Sans"/>
        <family val="2"/>
      </rPr>
      <t>RVF Le Guide </t>
    </r>
    <r>
      <rPr>
        <sz val="7"/>
        <color theme="1" tint="0.499984740745262"/>
        <rFont val="Noto Sans"/>
        <family val="2"/>
      </rPr>
      <t>'une qualité très élevée'</t>
    </r>
  </si>
  <si>
    <r>
      <rPr>
        <b/>
        <sz val="7"/>
        <color theme="1" tint="0.499984740745262"/>
        <rFont val="Noto Sans"/>
        <family val="2"/>
      </rPr>
      <t>RVF Le Guide</t>
    </r>
    <r>
      <rPr>
        <sz val="7"/>
        <color theme="1" tint="0.499984740745262"/>
        <rFont val="Noto Sans"/>
        <family val="2"/>
      </rPr>
      <t xml:space="preserve"> 'les rouges...sont remarquables'</t>
    </r>
  </si>
  <si>
    <r>
      <rPr>
        <b/>
        <sz val="7"/>
        <color theme="1" tint="0.499984740745262"/>
        <rFont val="Noto Sans"/>
        <family val="2"/>
      </rPr>
      <t>Anne-Claude Leflaive</t>
    </r>
    <r>
      <rPr>
        <sz val="7"/>
        <color theme="1" tint="0.499984740745262"/>
        <rFont val="Noto Sans"/>
        <family val="2"/>
      </rPr>
      <t xml:space="preserve"> 'a super star!'</t>
    </r>
  </si>
  <si>
    <r>
      <rPr>
        <b/>
        <sz val="7"/>
        <color theme="1" tint="0.499984740745262"/>
        <rFont val="Noto Sans"/>
        <family val="2"/>
      </rPr>
      <t>b+d Guide</t>
    </r>
    <r>
      <rPr>
        <sz val="7"/>
        <color theme="1" tint="0.499984740745262"/>
        <rFont val="Noto Sans"/>
        <family val="2"/>
      </rPr>
      <t xml:space="preserve"> 'certainly one of the greatest Yonne estates... totally biodynamic and making wines of remarkable purity and concentration ... Simply stunning.'</t>
    </r>
  </si>
  <si>
    <r>
      <rPr>
        <b/>
        <sz val="7"/>
        <color theme="1" tint="0.499984740745262"/>
        <rFont val="Noto Sans"/>
        <family val="2"/>
      </rPr>
      <t>N.Martin, Vinous 2024</t>
    </r>
    <r>
      <rPr>
        <sz val="7"/>
        <color theme="1" tint="0.499984740745262"/>
        <rFont val="Noto Sans"/>
        <family val="2"/>
      </rPr>
      <t xml:space="preserve"> 'A compulsory visit to the leading producer in Saint-Bris-Le-Vineux is always one that I look forward to. Without wishing to sound</t>
    </r>
  </si>
  <si>
    <t>like a broken record, these wines are exceptionally well-priced and always fascinating to taste. You never quite know what to expect, and I write that in</t>
  </si>
  <si>
    <t>a good way. That derives from their tenets of biodynamic farming (certified) combined with propitious vineyard parcels, 100% manual harvesting,</t>
  </si>
  <si>
    <t xml:space="preserve"> low-intervention winemaking and minimal use of SO2. Each wine is distinctive from the others.'</t>
  </si>
  <si>
    <r>
      <rPr>
        <b/>
        <sz val="7"/>
        <color theme="1" tint="0.499984740745262"/>
        <rFont val="Noto Sans"/>
        <family val="2"/>
      </rPr>
      <t>N.Martin, Vinous 2024</t>
    </r>
    <r>
      <rPr>
        <sz val="7"/>
        <color theme="1" tint="0.499984740745262"/>
        <rFont val="Noto Sans"/>
        <family val="2"/>
      </rPr>
      <t xml:space="preserve"> 'Their range is littered with excellent wines, but do check out their exemplary Bourgogne Côte d’Auxerre Gondonne and Gueules</t>
    </r>
  </si>
  <si>
    <t xml:space="preserve"> de Loup. Perhaps I do err slightly towards Goisot’s whites over the reds. Then again, their 2022 Irancy Les Mazelots makes you wonder why you used</t>
  </si>
  <si>
    <t>to splash out silly money for those Côte de Nuits.'</t>
  </si>
  <si>
    <r>
      <rPr>
        <b/>
        <sz val="7"/>
        <color theme="1" tint="0.499984740745262"/>
        <rFont val="Noto Sans"/>
        <family val="2"/>
      </rPr>
      <t xml:space="preserve">N.Martin, 2021 </t>
    </r>
    <r>
      <rPr>
        <sz val="7"/>
        <color theme="1" tint="0.499984740745262"/>
        <rFont val="Noto Sans"/>
        <family val="2"/>
      </rPr>
      <t>'amazing consistency throughout his lineup, which remain ridiculously well priced given the care that goes into them &amp; the resulting quality.' </t>
    </r>
  </si>
  <si>
    <r>
      <t xml:space="preserve">N.Martin, Aug.2018 </t>
    </r>
    <r>
      <rPr>
        <sz val="7"/>
        <color theme="1" tint="0.499984740745262"/>
        <rFont val="Noto Sans"/>
        <family val="2"/>
      </rPr>
      <t>'one of the most interesting and exciting growers in Burgundy'</t>
    </r>
  </si>
  <si>
    <r>
      <t>N.Martin, Aug.2018</t>
    </r>
    <r>
      <rPr>
        <sz val="7"/>
        <color theme="1" tint="0.499984740745262"/>
        <rFont val="Noto Sans"/>
        <family val="2"/>
      </rPr>
      <t xml:space="preserve"> 'unbeatable value for money given the effort and passion that goes into the farming &amp; winemaking here'</t>
    </r>
  </si>
  <si>
    <r>
      <t xml:space="preserve">N.Martin, Aug.2018 </t>
    </r>
    <r>
      <rPr>
        <sz val="7"/>
        <color theme="1" tint="0.499984740745262"/>
        <rFont val="Noto Sans"/>
        <family val="2"/>
      </rPr>
      <t>'excellent, distinctive wines that are both delicious and cerebral'</t>
    </r>
  </si>
  <si>
    <r>
      <t xml:space="preserve">Allen Meadows, Burghound #32 </t>
    </r>
    <r>
      <rPr>
        <sz val="7"/>
        <color theme="1" tint="0.499984740745262"/>
        <rFont val="Noto Sans"/>
        <family val="2"/>
      </rPr>
      <t>'The wines…deliver flat out amazing quality'</t>
    </r>
  </si>
  <si>
    <r>
      <t>Allen Meadows, Burghound #32</t>
    </r>
    <r>
      <rPr>
        <sz val="7"/>
        <color theme="1" tint="0.499984740745262"/>
        <rFont val="Noto Sans"/>
        <family val="2"/>
      </rPr>
      <t xml:space="preserve"> 'no one but no one delivers more quality for the price'</t>
    </r>
  </si>
  <si>
    <r>
      <t>Allen Meadows, Burghound #32</t>
    </r>
    <r>
      <rPr>
        <sz val="7"/>
        <color theme="1" tint="0.499984740745262"/>
        <rFont val="Noto Sans"/>
        <family val="2"/>
      </rPr>
      <t xml:space="preserve"> '...it’s worth repeating that I highly recommend these wines'</t>
    </r>
  </si>
  <si>
    <r>
      <rPr>
        <b/>
        <sz val="7"/>
        <color theme="1" tint="0.499984740745262"/>
        <rFont val="Noto Sans"/>
        <family val="2"/>
      </rPr>
      <t>Clive Coates MW, 2008</t>
    </r>
    <r>
      <rPr>
        <sz val="7"/>
        <color theme="1" tint="0.499984740745262"/>
        <rFont val="Noto Sans"/>
        <family val="2"/>
      </rPr>
      <t xml:space="preserve"> 'This is a splendid source... After a couple of years in bottle, these are admirable wines.' </t>
    </r>
  </si>
  <si>
    <t>BILL NANSON of BURGUNDY-REPORT.COM ON GOISOT:</t>
  </si>
  <si>
    <r>
      <t>Bill Nanson, 2020</t>
    </r>
    <r>
      <rPr>
        <sz val="7"/>
        <color theme="1" tint="0.499984740745262"/>
        <rFont val="Noto Sans"/>
        <family val="2"/>
      </rPr>
      <t xml:space="preserve"> 'in 2018 the whole range is quite special. Fortunately for you and I, there is also some volume for the first time in a few years!'</t>
    </r>
  </si>
  <si>
    <r>
      <t xml:space="preserve">Bill Nanson, 2019 </t>
    </r>
    <r>
      <rPr>
        <sz val="7"/>
        <color theme="1" tint="0.499984740745262"/>
        <rFont val="Noto Sans"/>
        <family val="2"/>
      </rPr>
      <t>'2017. A very strong white wine vintage chez Goisot – the reds are good to excellent – there is much greatness to be found in their whites'</t>
    </r>
  </si>
  <si>
    <r>
      <t xml:space="preserve">Bill Nanson, 2018 </t>
    </r>
    <r>
      <rPr>
        <sz val="7"/>
        <color theme="1" tint="0.499984740745262"/>
        <rFont val="Noto Sans"/>
        <family val="2"/>
      </rPr>
      <t>'90% was lost in 2016 – that some wines hint at greatness and others are simply great, is an incredible result!'</t>
    </r>
  </si>
  <si>
    <r>
      <rPr>
        <b/>
        <sz val="7"/>
        <color theme="1" tint="0.499984740745262"/>
        <rFont val="Noto Sans"/>
        <family val="2"/>
      </rPr>
      <t>Bil Nanson, 2017</t>
    </r>
    <r>
      <rPr>
        <sz val="7"/>
        <color theme="1" tint="0.499984740745262"/>
        <rFont val="Noto Sans"/>
        <family val="2"/>
      </rPr>
      <t xml:space="preserve"> 'The reverse of 2014, I find the reds proportionately performing better in this 2015 vintage.'</t>
    </r>
  </si>
  <si>
    <r>
      <rPr>
        <b/>
        <sz val="7"/>
        <color theme="1" tint="0.499984740745262"/>
        <rFont val="Noto Sans"/>
        <family val="2"/>
      </rPr>
      <t>Bill Nanson, 2016</t>
    </r>
    <r>
      <rPr>
        <sz val="7"/>
        <color theme="1" tint="0.499984740745262"/>
        <rFont val="Noto Sans"/>
        <family val="2"/>
      </rPr>
      <t xml:space="preserve"> '2014. A couple of great reds here, likewise the whites'</t>
    </r>
  </si>
  <si>
    <r>
      <rPr>
        <b/>
        <sz val="7"/>
        <color theme="1" tint="0.499984740745262"/>
        <rFont val="Noto Sans"/>
        <family val="2"/>
      </rPr>
      <t>Bill Nanson, Burg Report 2017</t>
    </r>
    <r>
      <rPr>
        <sz val="7"/>
        <color theme="1" tint="0.499984740745262"/>
        <rFont val="Noto Sans"/>
        <family val="2"/>
      </rPr>
      <t xml:space="preserve"> 'Bravo!'</t>
    </r>
  </si>
  <si>
    <r>
      <rPr>
        <b/>
        <sz val="7"/>
        <color theme="1" tint="0.499984740745262"/>
        <rFont val="Noto Sans"/>
        <family val="2"/>
      </rPr>
      <t>Bill Nanson, 2017</t>
    </r>
    <r>
      <rPr>
        <sz val="7"/>
        <color theme="1" tint="0.499984740745262"/>
        <rFont val="Noto Sans"/>
        <family val="2"/>
      </rPr>
      <t xml:space="preserve"> 'As always, simply a joy to taste at this domaine'</t>
    </r>
  </si>
  <si>
    <r>
      <rPr>
        <b/>
        <sz val="7"/>
        <color theme="1" tint="0.499984740745262"/>
        <rFont val="Noto Sans"/>
        <family val="2"/>
      </rPr>
      <t xml:space="preserve">Bill Nanson, 2014 </t>
    </r>
    <r>
      <rPr>
        <sz val="7"/>
        <color theme="1" tint="0.499984740745262"/>
        <rFont val="Noto Sans"/>
        <family val="2"/>
      </rPr>
      <t xml:space="preserve">'The wines here are simply first class.' </t>
    </r>
  </si>
  <si>
    <r>
      <rPr>
        <b/>
        <sz val="7"/>
        <color theme="1" tint="0.499984740745262"/>
        <rFont val="Noto Sans"/>
        <family val="2"/>
      </rPr>
      <t>Bill Nanson, 2014</t>
    </r>
    <r>
      <rPr>
        <sz val="7"/>
        <color theme="1" tint="0.499984740745262"/>
        <rFont val="Noto Sans"/>
        <family val="2"/>
      </rPr>
      <t xml:space="preserve"> 'I have to say that they also offered me something of the conversion on the road to Damascus – the St.Bris'</t>
    </r>
  </si>
  <si>
    <r>
      <rPr>
        <b/>
        <sz val="7"/>
        <color theme="1" tint="0.499984740745262"/>
        <rFont val="Noto Sans"/>
        <family val="2"/>
      </rPr>
      <t>Bill Nanson, 2014</t>
    </r>
    <r>
      <rPr>
        <sz val="7"/>
        <color theme="1" tint="0.499984740745262"/>
        <rFont val="Noto Sans"/>
        <family val="2"/>
      </rPr>
      <t xml:space="preserve"> 'these sauvignons are not really sauvignons, they're Burgundies and largely tasted more like Burgundy wines than SB. I was incredibly impressed..!'</t>
    </r>
  </si>
  <si>
    <r>
      <t>Bill Nanson, 2020</t>
    </r>
    <r>
      <rPr>
        <sz val="7"/>
        <color theme="1" tint="0.499984740745262"/>
        <rFont val="Noto Sans"/>
        <family val="2"/>
      </rPr>
      <t xml:space="preserve"> 'In a marginal ripeness year the reds here can have a more herbed character'</t>
    </r>
  </si>
  <si>
    <t>GOISOT, J-H &amp; GUILHEM</t>
  </si>
  <si>
    <t>SAUVIGNON DE ST.BRIS:</t>
  </si>
  <si>
    <t>Dom. CORPS DU GARDE</t>
  </si>
  <si>
    <t>23GOISOT08</t>
  </si>
  <si>
    <t>Jean-Hugues (father) &amp; Ghislaine, with</t>
  </si>
  <si>
    <t>20GOISOT03</t>
  </si>
  <si>
    <t>Guilhem (son) &amp; wife Marie</t>
  </si>
  <si>
    <t>19GOISOT03</t>
  </si>
  <si>
    <t>Organic certified 2001 Ecocert</t>
  </si>
  <si>
    <t>20GOISOT04</t>
  </si>
  <si>
    <t>Biodynamic certified</t>
  </si>
  <si>
    <t>BLANC - CÔTES D'AUXERRE - BLENDED PARCELS:</t>
  </si>
  <si>
    <t xml:space="preserve">29ha St.Bris, Auxerre, Chablis: 5ha aligoté, </t>
  </si>
  <si>
    <t>23GOISOT05</t>
  </si>
  <si>
    <t>8ha sauvignons, 8ha chard, 8ha pinot</t>
  </si>
  <si>
    <t>Member of 'Les Aligoteurs', aligoté group</t>
  </si>
  <si>
    <t>BLANC - CÔTES D'AUXERRE &amp; CHABLIS CRUS:</t>
  </si>
  <si>
    <t>WINEMAKING: (NB all ambient ferment)</t>
  </si>
  <si>
    <t>23GOISOT01</t>
  </si>
  <si>
    <r>
      <rPr>
        <b/>
        <sz val="7"/>
        <color theme="1" tint="0.499984740745262"/>
        <rFont val="Noto Sans"/>
        <family val="2"/>
      </rPr>
      <t xml:space="preserve">Tank wines </t>
    </r>
    <r>
      <rPr>
        <sz val="7"/>
        <color theme="1" tint="0.499984740745262"/>
        <rFont val="Noto Sans"/>
        <family val="2"/>
      </rPr>
      <t>aligoté, all St.Bris, 1st Auxerre wh &amp; rd</t>
    </r>
  </si>
  <si>
    <t>23GOISOT06</t>
  </si>
  <si>
    <r>
      <t>Bourgogne Crus &amp; CdG Blanc</t>
    </r>
    <r>
      <rPr>
        <sz val="7"/>
        <color theme="1" tint="0.499984740745262"/>
        <rFont val="Noto Sans"/>
        <family val="2"/>
      </rPr>
      <t xml:space="preserve"> cask ferment, 16</t>
    </r>
  </si>
  <si>
    <t>18GOISOT04</t>
  </si>
  <si>
    <t>mths elevage 20% new, 80% 2-5yr futs, no batonnage</t>
  </si>
  <si>
    <t>23GOISOT02</t>
  </si>
  <si>
    <r>
      <rPr>
        <b/>
        <sz val="7"/>
        <color theme="1" tint="0.499984740745262"/>
        <rFont val="Noto Sans"/>
        <family val="2"/>
      </rPr>
      <t>Red Crus:</t>
    </r>
    <r>
      <rPr>
        <sz val="7"/>
        <color theme="1" tint="0.499984740745262"/>
        <rFont val="Noto Sans"/>
        <family val="2"/>
      </rPr>
      <t xml:space="preserve"> destemmed, remontage, no pigeage</t>
    </r>
  </si>
  <si>
    <t>20GOISOT01</t>
  </si>
  <si>
    <t>20-25days maceration, 16mths 30% new futs</t>
  </si>
  <si>
    <t>19GOISOT01</t>
  </si>
  <si>
    <t>23GOISOT07</t>
  </si>
  <si>
    <t>2016 90% crop loss due to hail</t>
  </si>
  <si>
    <t>ROUGE - CÔTES D'AUXERRE - BLENDED PARCELS:</t>
  </si>
  <si>
    <t>2015 1st harvest of 0.46ha Chablis Faucertaine</t>
  </si>
  <si>
    <t>23GOISOT10</t>
  </si>
  <si>
    <t>2011 almost total crop loss due to hail</t>
  </si>
  <si>
    <t>17GOISOT05TB</t>
  </si>
  <si>
    <t>2005 son Guilhem &amp; wife Marie joined; BD cert.</t>
  </si>
  <si>
    <t>2003 St.Bris AOC formed</t>
  </si>
  <si>
    <t>ROUGE - CÔTES D'AUXERRE &amp; IRANCY CRUS:</t>
  </si>
  <si>
    <t>2001 Organic certified</t>
  </si>
  <si>
    <t>23GOISOT03</t>
  </si>
  <si>
    <t>1998 Irancy AOC formed</t>
  </si>
  <si>
    <t>20GOISOT06</t>
  </si>
  <si>
    <t>1997 1st entry in Wine Spectator Top 100</t>
  </si>
  <si>
    <t>14GOISOT03TB</t>
  </si>
  <si>
    <t>1979 Jean-Hugues &amp; wife Ghislaine take over</t>
  </si>
  <si>
    <t>23GOISOT04</t>
  </si>
  <si>
    <t xml:space="preserve">C.19th Auxerre/St.Bris has to leave Chablis zone </t>
  </si>
  <si>
    <t>23GOISOT09</t>
  </si>
  <si>
    <t>C.14th origins of Goisot wine activity</t>
  </si>
  <si>
    <t>20GOISOT07</t>
  </si>
  <si>
    <t>C.11th &amp; 12th - age of cellars</t>
  </si>
  <si>
    <t>19GOISOT06</t>
  </si>
  <si>
    <t>KEY BLANC VINEYARDS:</t>
  </si>
  <si>
    <t>14GOISOT01TB</t>
  </si>
  <si>
    <r>
      <rPr>
        <b/>
        <sz val="7"/>
        <color theme="1" tint="0.499984740745262"/>
        <rFont val="Noto Sans"/>
        <family val="2"/>
      </rPr>
      <t xml:space="preserve">Moury: </t>
    </r>
    <r>
      <rPr>
        <sz val="7"/>
        <color theme="1" tint="0.499984740745262"/>
        <rFont val="Noto Sans"/>
        <family val="2"/>
      </rPr>
      <t>1.48ha sauvignon from ~2000, N/NW, 11K</t>
    </r>
  </si>
  <si>
    <t>vines/ha, 190-220m, no clay, inox, 1st made 2005</t>
  </si>
  <si>
    <t>(Moury is old-French for muerger, murger)</t>
  </si>
  <si>
    <r>
      <rPr>
        <b/>
        <sz val="7"/>
        <color theme="1" tint="0.499984740745262"/>
        <rFont val="Noto Sans"/>
        <family val="2"/>
      </rPr>
      <t xml:space="preserve">Biaumont: </t>
    </r>
    <r>
      <rPr>
        <sz val="7"/>
        <color theme="1" tint="0.499984740745262"/>
        <rFont val="Noto Sans"/>
        <family val="2"/>
      </rPr>
      <t>(pronounced 'Beaumont') 2.6ha</t>
    </r>
  </si>
  <si>
    <t>chardonnay planted 9K vines/ha, on clay-rich</t>
  </si>
  <si>
    <t>Kimmeridigian upper slope. Planted by 5 generations</t>
  </si>
  <si>
    <t>of Goisot family. S/SE, 1st made 2002</t>
  </si>
  <si>
    <r>
      <rPr>
        <b/>
        <sz val="7"/>
        <color theme="1" tint="0.499984740745262"/>
        <rFont val="Noto Sans"/>
        <family val="2"/>
      </rPr>
      <t>Gondonne:</t>
    </r>
    <r>
      <rPr>
        <sz val="7"/>
        <color theme="1" tint="0.499984740745262"/>
        <rFont val="Noto Sans"/>
        <family val="2"/>
      </rPr>
      <t xml:space="preserve"> 0.8ha massale chardonnay ex-</t>
    </r>
  </si>
  <si>
    <t>Raveneau &amp; Dauvissat Les Clos, 50-70yrs old,</t>
  </si>
  <si>
    <t>SSE, 150-200m, 9000 vines/ha, 1st made 2000</t>
  </si>
  <si>
    <r>
      <rPr>
        <b/>
        <sz val="7"/>
        <color theme="1" tint="0.499984740745262"/>
        <rFont val="Noto Sans"/>
        <family val="2"/>
      </rPr>
      <t>Gueules de Loup:</t>
    </r>
    <r>
      <rPr>
        <sz val="7"/>
        <color theme="1" tint="0.499984740745262"/>
        <rFont val="Noto Sans"/>
        <family val="2"/>
      </rPr>
      <t xml:space="preserve"> 2.1ha chard., 1/4 60yrs old,</t>
    </r>
  </si>
  <si>
    <t>3/4 35-40yrs. S/SE, 180-220m, on white soil.</t>
  </si>
  <si>
    <t>1st made 2004</t>
  </si>
  <si>
    <r>
      <rPr>
        <b/>
        <sz val="7"/>
        <color theme="1" tint="0.499984740745262"/>
        <rFont val="Noto Sans"/>
        <family val="2"/>
      </rPr>
      <t xml:space="preserve">Le Court Vit </t>
    </r>
    <r>
      <rPr>
        <sz val="7"/>
        <color theme="1" tint="0.499984740745262"/>
        <rFont val="Noto Sans"/>
        <family val="2"/>
      </rPr>
      <t>TBC ha chard, ~10yrs old. Hillside plot</t>
    </r>
  </si>
  <si>
    <t>North of St.Bris, by La Ronce. 1st made 2017</t>
  </si>
  <si>
    <r>
      <rPr>
        <b/>
        <sz val="7"/>
        <color theme="1" tint="0.499984740745262"/>
        <rFont val="Noto Sans"/>
        <family val="2"/>
      </rPr>
      <t>Chablis Faucertaine</t>
    </r>
    <r>
      <rPr>
        <sz val="7"/>
        <color theme="1" tint="0.499984740745262"/>
        <rFont val="Noto Sans"/>
        <family val="2"/>
      </rPr>
      <t xml:space="preserve"> 0.43ha 1976 massale vines,</t>
    </r>
  </si>
  <si>
    <t>S facing, 6500 vines/ha, 500L futs, 1st made 2015</t>
  </si>
  <si>
    <t>KEY ROUGE VINEYARDS:</t>
  </si>
  <si>
    <r>
      <rPr>
        <b/>
        <sz val="7"/>
        <color theme="1" tint="0.499984740745262"/>
        <rFont val="Noto Sans"/>
        <family val="2"/>
      </rPr>
      <t>La Ronce</t>
    </r>
    <r>
      <rPr>
        <sz val="7"/>
        <color theme="1" tint="0.499984740745262"/>
        <rFont val="Noto Sans"/>
        <family val="2"/>
      </rPr>
      <t xml:space="preserve"> 1.1ha massale pinot noir planted 2000 </t>
    </r>
  </si>
  <si>
    <t>10-12K vines/ha, 140-180m, S facing, on terroir</t>
  </si>
  <si>
    <t xml:space="preserve">of gravelly light blue clay. Tiny cluster selection. By </t>
  </si>
  <si>
    <t>Le Court Vit. 1st made 2011, av.yield 30hl/ha</t>
  </si>
  <si>
    <t>(NB St.Bris cru La Ronce is also made)</t>
  </si>
  <si>
    <r>
      <rPr>
        <b/>
        <sz val="7"/>
        <color theme="1" tint="0.499984740745262"/>
        <rFont val="Noto Sans"/>
        <family val="2"/>
      </rPr>
      <t xml:space="preserve">Le Court Vit </t>
    </r>
    <r>
      <rPr>
        <sz val="7"/>
        <color theme="1" tint="0.499984740745262"/>
        <rFont val="Noto Sans"/>
        <family val="2"/>
      </rPr>
      <t>pinot ~10yrs old. Hillside plot</t>
    </r>
  </si>
  <si>
    <r>
      <rPr>
        <b/>
        <sz val="7"/>
        <color theme="1" tint="0.499984740745262"/>
        <rFont val="Noto Sans"/>
        <family val="2"/>
      </rPr>
      <t>Irancy Mazelots</t>
    </r>
    <r>
      <rPr>
        <sz val="7"/>
        <color theme="1" tint="0.499984740745262"/>
        <rFont val="Noto Sans"/>
        <family val="2"/>
      </rPr>
      <t xml:space="preserve"> 0.53ha massale TVV &gt;90yrs PN</t>
    </r>
  </si>
  <si>
    <t>9K vines/ha, 150-200m, SE, pure white Kimmeridgian,</t>
  </si>
  <si>
    <t>no clay. 3 César vines remain. 1st made 2002</t>
  </si>
  <si>
    <t>1997 appears in Wine Spectator Top 100</t>
  </si>
  <si>
    <t>Goisot.fr</t>
  </si>
  <si>
    <t>instagram.com/guilhemgoisot/</t>
  </si>
  <si>
    <t>Aligoteurs.wordpress.com</t>
  </si>
  <si>
    <t>facebook.com/LesAligoteurs/</t>
  </si>
  <si>
    <t>GROWER CODE: GOISOT</t>
  </si>
  <si>
    <t>(fiche made with Goisot family)</t>
  </si>
  <si>
    <t>France, Burgundy - Côte d'Or, Côte de Nuits based</t>
  </si>
  <si>
    <t>ARLAUD GCs &amp; 1Cs</t>
  </si>
  <si>
    <t>usually sell out en primeur</t>
  </si>
  <si>
    <t>GHISLAINE BARTHOD</t>
  </si>
  <si>
    <t>usually sells out en primeur</t>
  </si>
  <si>
    <t>CATHIARD</t>
  </si>
  <si>
    <t>JEAN-MARIE FOURRIER</t>
  </si>
  <si>
    <t>GRIVOT</t>
  </si>
  <si>
    <t>LAMARCHE</t>
  </si>
  <si>
    <t>MÉO-CAMUZET</t>
  </si>
  <si>
    <t>MUGNIER</t>
  </si>
  <si>
    <t>EMMANUEL ROUGET</t>
  </si>
  <si>
    <t>CECILE TREMBLAY</t>
  </si>
  <si>
    <t>NATHALIE VIGOT</t>
  </si>
  <si>
    <t>Burgundy focus:</t>
  </si>
  <si>
    <t xml:space="preserve"> Whites of the Côte de Nuits </t>
  </si>
  <si>
    <t>GROWER:</t>
  </si>
  <si>
    <t>WHITES OF THE CÔTE DE NUITS:</t>
  </si>
  <si>
    <t>HUBERT LIGNIER</t>
  </si>
  <si>
    <t>16LIGNIER16</t>
  </si>
  <si>
    <t>JEAN FOURNIER</t>
  </si>
  <si>
    <t>14JFOURNIER02</t>
  </si>
  <si>
    <t>14JFOURNIER01</t>
  </si>
  <si>
    <t>VOUGERAIE</t>
  </si>
  <si>
    <t>15VOUGER01</t>
  </si>
  <si>
    <t>21CATHIARD01</t>
  </si>
  <si>
    <t>MOLIN</t>
  </si>
  <si>
    <t>18MOLIN01</t>
  </si>
  <si>
    <t>GUYON</t>
  </si>
  <si>
    <t>16GUYON11</t>
  </si>
  <si>
    <t>1C WHITES OF THE CÔTE DE NUITS:</t>
  </si>
  <si>
    <t>16MOLIN01</t>
  </si>
  <si>
    <t xml:space="preserve">GOUGES </t>
  </si>
  <si>
    <t>12GOUGES07</t>
  </si>
  <si>
    <t>ARCHAMBAUD, Domaine J&amp;J</t>
  </si>
  <si>
    <t>22JJARCHAM01</t>
  </si>
  <si>
    <t>Vosne-Romanée. 5ha vines, almost all VV</t>
  </si>
  <si>
    <t>22JJARCHAM02</t>
  </si>
  <si>
    <t>Brothers Jean-Philippe &amp; Jean-Christophe</t>
  </si>
  <si>
    <t>22JJARCHAM03A</t>
  </si>
  <si>
    <t>Organic certified, 2016. ⓋVegan compatible</t>
  </si>
  <si>
    <t>22JJARCHAM04A</t>
  </si>
  <si>
    <t>'Biodynamic uncertified'</t>
  </si>
  <si>
    <t>Destemmed, gravity flow, ~25% new casks,</t>
  </si>
  <si>
    <t>14-18mth elevage, unfined unfiltered</t>
  </si>
  <si>
    <t>(Was Dom.Francois Gerbet 1946-2004)</t>
  </si>
  <si>
    <t>VINES &amp; WINES:</t>
  </si>
  <si>
    <r>
      <rPr>
        <b/>
        <sz val="7"/>
        <color rgb="FF808080"/>
        <rFont val="Noto Sans"/>
        <family val="2"/>
      </rPr>
      <t xml:space="preserve">HCDN: </t>
    </r>
    <r>
      <rPr>
        <sz val="7"/>
        <color rgb="FF808080"/>
        <rFont val="Noto Sans"/>
        <family val="2"/>
      </rPr>
      <t>3.5ha VV in lieu-dit Au Defoi, above Vosne</t>
    </r>
  </si>
  <si>
    <t>with shallow clay-limestonre soil. Planted 60s-70s</t>
  </si>
  <si>
    <r>
      <rPr>
        <b/>
        <sz val="7"/>
        <color rgb="FF808080"/>
        <rFont val="Noto Sans"/>
        <family val="2"/>
      </rPr>
      <t xml:space="preserve">VOSNE: </t>
    </r>
    <r>
      <rPr>
        <sz val="7"/>
        <color rgb="FF808080"/>
        <rFont val="Noto Sans"/>
        <family val="2"/>
      </rPr>
      <t>3 VV lieux-dits mostly planted 1939-1964</t>
    </r>
  </si>
  <si>
    <r>
      <rPr>
        <b/>
        <sz val="7"/>
        <color rgb="FF808080"/>
        <rFont val="Noto Sans"/>
        <family val="2"/>
      </rPr>
      <t xml:space="preserve">VOSNE PETITS MONTS 1C: </t>
    </r>
    <r>
      <rPr>
        <sz val="7"/>
        <color rgb="FF808080"/>
        <rFont val="Noto Sans"/>
        <family val="2"/>
      </rPr>
      <t>VV planted 1934-1935</t>
    </r>
  </si>
  <si>
    <r>
      <rPr>
        <b/>
        <sz val="7"/>
        <color rgb="FF808080"/>
        <rFont val="Noto Sans"/>
        <family val="2"/>
      </rPr>
      <t xml:space="preserve">ECHEZEAUX GC: </t>
    </r>
    <r>
      <rPr>
        <sz val="7"/>
        <color rgb="FF808080"/>
        <rFont val="Noto Sans"/>
        <family val="2"/>
      </rPr>
      <t xml:space="preserve"> lieu-dit Les Treux on brown</t>
    </r>
  </si>
  <si>
    <t>limestone, 1st planted 1935, part replanted 1983</t>
  </si>
  <si>
    <t>JJ-Archambaud.fr</t>
  </si>
  <si>
    <t>NEW LISTING FOR 2025</t>
  </si>
  <si>
    <t>NB NO EN PRIMEUR</t>
  </si>
  <si>
    <t>GROWER CODE: JJARCHAM</t>
  </si>
  <si>
    <t>KIND WORDS ON ARLAUD:</t>
  </si>
  <si>
    <r>
      <rPr>
        <b/>
        <sz val="7"/>
        <color theme="1" tint="0.499984740745262"/>
        <rFont val="Noto Sans"/>
        <family val="2"/>
      </rPr>
      <t>Bruce Sanderson, Wine Spectator, 2020</t>
    </r>
    <r>
      <rPr>
        <sz val="7"/>
        <color theme="1" tint="0.499984740745262"/>
        <rFont val="Noto Sans"/>
        <family val="2"/>
      </rPr>
      <t xml:space="preserve"> 'Morey-St.-Denis Magic'</t>
    </r>
  </si>
  <si>
    <r>
      <rPr>
        <b/>
        <sz val="7"/>
        <color theme="1" tint="0.499984740745262"/>
        <rFont val="Noto Sans"/>
        <family val="2"/>
      </rPr>
      <t>S.Ohman, Winehog 2021</t>
    </r>
    <r>
      <rPr>
        <sz val="7"/>
        <color theme="1" tint="0.499984740745262"/>
        <rFont val="Noto Sans"/>
        <family val="2"/>
      </rPr>
      <t xml:space="preserve"> 'Arlaud is producing some magnificent wines...year by year the connoisseur’s awareness of them increases.'</t>
    </r>
  </si>
  <si>
    <r>
      <t>S.Ohman, Winehog 2017</t>
    </r>
    <r>
      <rPr>
        <sz val="7"/>
        <color theme="1" tint="0.499984740745262"/>
        <rFont val="Noto Sans"/>
        <family val="2"/>
      </rPr>
      <t xml:space="preserve"> 'To be honest I quite adore the wines of Domaine Arlaud…lightfooted, airy  organic…forward &amp; floral fruit'</t>
    </r>
  </si>
  <si>
    <r>
      <rPr>
        <b/>
        <sz val="7"/>
        <color theme="1" tint="0.499984740745262"/>
        <rFont val="Noto Sans"/>
        <family val="2"/>
      </rPr>
      <t>N.Martin, 2017</t>
    </r>
    <r>
      <rPr>
        <sz val="7"/>
        <color theme="1" tint="0.499984740745262"/>
        <rFont val="Noto Sans"/>
        <family val="2"/>
      </rPr>
      <t xml:space="preserve"> 'I was really impressed by Arlaud’s wines... Cyprien has sagaciously reduced the percentage of new oak…My feeling is that Arlaud</t>
    </r>
  </si>
  <si>
    <t>is entering a new chapter, a higher level of excellence that is going to be interesting to watch unfold.</t>
  </si>
  <si>
    <r>
      <rPr>
        <b/>
        <sz val="7"/>
        <color theme="1" tint="0.499984740745262"/>
        <rFont val="Noto Sans"/>
        <family val="2"/>
      </rPr>
      <t>N.Martin, 2016</t>
    </r>
    <r>
      <rPr>
        <sz val="7"/>
        <color theme="1" tint="0.499984740745262"/>
        <rFont val="Noto Sans"/>
        <family val="2"/>
      </rPr>
      <t xml:space="preserve"> 'discretely overseeing a range of very fine wines from some of the Côte de Nuits choice vineyards'</t>
    </r>
  </si>
  <si>
    <r>
      <rPr>
        <b/>
        <sz val="7"/>
        <color theme="1" tint="0.499984740745262"/>
        <rFont val="Noto Sans"/>
        <family val="2"/>
      </rPr>
      <t>N.Martin, 2015</t>
    </r>
    <r>
      <rPr>
        <sz val="7"/>
        <color theme="1" tint="0.499984740745262"/>
        <rFont val="Noto Sans"/>
        <family val="2"/>
      </rPr>
      <t xml:space="preserve"> 'I just love where this domaine is going. Cyprien is clearly a skilled winemaker who extracts the best from his enviable array of holdings.</t>
    </r>
  </si>
  <si>
    <t>...They have a sheen to them, a vitamin-like purity that truly comes into its own among the premier &amp; grand crus.'</t>
  </si>
  <si>
    <r>
      <rPr>
        <b/>
        <sz val="7"/>
        <color theme="1" tint="0.499984740745262"/>
        <rFont val="Noto Sans"/>
        <family val="2"/>
      </rPr>
      <t>N.Martin, 2015</t>
    </r>
    <r>
      <rPr>
        <sz val="7"/>
        <color theme="1" tint="0.499984740745262"/>
        <rFont val="Noto Sans"/>
        <family val="2"/>
      </rPr>
      <t xml:space="preserve"> 'Cyprien Arlaud is quietly going about making some very fine wines from his base in Morey. He's changed tack in recent vintages,</t>
    </r>
  </si>
  <si>
    <t xml:space="preserve">and between 2005 and 2009, he reduced the level of new oak, to what he feels is a proportion that expresses freshness and terroir in his wines... </t>
  </si>
  <si>
    <t>Personally, I have a lot of time for Cyprien Arland's wines. There is a subtle sense of modernity to them, with the fruit erring towards black</t>
  </si>
  <si>
    <t xml:space="preserve"> rather than red, quite fleshy and voluminous in the mouth, and not subtle but eager to express'</t>
  </si>
  <si>
    <r>
      <rPr>
        <b/>
        <sz val="7"/>
        <color theme="1" tint="0.499984740745262"/>
        <rFont val="Noto Sans"/>
        <family val="2"/>
      </rPr>
      <t>N.Martin, 2014</t>
    </r>
    <r>
      <rPr>
        <sz val="7"/>
        <color theme="1" tint="0.499984740745262"/>
        <rFont val="Noto Sans"/>
        <family val="2"/>
      </rPr>
      <t xml:space="preserve"> 'I finally reached Domaine Arlaud for the first time in late January. But good things come to those that wait.'</t>
    </r>
  </si>
  <si>
    <r>
      <rPr>
        <b/>
        <sz val="7"/>
        <color theme="1" tint="0.499984740745262"/>
        <rFont val="Noto Sans"/>
        <family val="2"/>
      </rPr>
      <t xml:space="preserve">N.Martin, 2014 </t>
    </r>
    <r>
      <rPr>
        <sz val="7"/>
        <color theme="1" tint="0.499984740745262"/>
        <rFont val="Noto Sans"/>
        <family val="2"/>
      </rPr>
      <t>'my senses lit up when I sipped the first sample. Here are wines made in a very pure and natural style, each evocative of their</t>
    </r>
  </si>
  <si>
    <t>respective terroirs. Each wine was imbued with superb freshness and delineation'</t>
  </si>
  <si>
    <t>ARLAUD, Domaine</t>
  </si>
  <si>
    <r>
      <t xml:space="preserve">&amp; CYPRIEN ARLAUD </t>
    </r>
    <r>
      <rPr>
        <sz val="11"/>
        <color rgb="FF00B050"/>
        <rFont val="Arial Black"/>
        <family val="2"/>
      </rPr>
      <t/>
    </r>
  </si>
  <si>
    <t>22NEGARLD09</t>
  </si>
  <si>
    <t>Cyprien &amp; Berthille Arlaud, 3rd generation</t>
  </si>
  <si>
    <t>BOURGOGNE:</t>
  </si>
  <si>
    <t>Morey St. Denis. 15.3ha domaine, plus</t>
  </si>
  <si>
    <t>22NEGARLD01</t>
  </si>
  <si>
    <r>
      <t xml:space="preserve">~3.5ha </t>
    </r>
    <r>
      <rPr>
        <b/>
        <sz val="8"/>
        <color rgb="FF00B050"/>
        <rFont val="Noto Sans"/>
        <family val="2"/>
      </rPr>
      <t>BD</t>
    </r>
    <r>
      <rPr>
        <sz val="8"/>
        <color theme="1" tint="0.14999847407452621"/>
        <rFont val="Noto Sans"/>
        <family val="2"/>
      </rPr>
      <t xml:space="preserve"> negoce for 'CA' label</t>
    </r>
  </si>
  <si>
    <t>21NEGARLD01</t>
  </si>
  <si>
    <t>old massale vines; horse ploughed top crus</t>
  </si>
  <si>
    <t>20NEGARLD01</t>
  </si>
  <si>
    <t>ambient yeast ferment; modest SO2. Reds</t>
  </si>
  <si>
    <t>19NEGARLD01</t>
  </si>
  <si>
    <t>Domaine is Organic certified, from 2012</t>
  </si>
  <si>
    <t>18NEGARLD01</t>
  </si>
  <si>
    <t>'Negoce' is Organic certified, from 2017</t>
  </si>
  <si>
    <t>17NEGARLD01</t>
  </si>
  <si>
    <t>Biodynamic certified Biodyvin, 2011</t>
  </si>
  <si>
    <t>16NEGARLD01</t>
  </si>
  <si>
    <t>22NEGARLD02</t>
  </si>
  <si>
    <t>21NEGARLD02</t>
  </si>
  <si>
    <t>2020 Et Arlaud label becomes Cyprien Arlaud (CA)</t>
  </si>
  <si>
    <t>20NEGARLD02</t>
  </si>
  <si>
    <t>2013 launch of 'Et Arlaud' BD negoce label (EA)</t>
  </si>
  <si>
    <t>19NEGARLD02</t>
  </si>
  <si>
    <t>2012/3 Hervé 'retires'</t>
  </si>
  <si>
    <t>18NEGARLD02</t>
  </si>
  <si>
    <t>2009 biodynamic conversion starts; certified 2014</t>
  </si>
  <si>
    <t>17NEGARLD02</t>
  </si>
  <si>
    <t xml:space="preserve">2007 Organic certified </t>
  </si>
  <si>
    <t>16NEGARLD02</t>
  </si>
  <si>
    <t>2004 Guy Coquard domaine leased</t>
  </si>
  <si>
    <t>15NEGARLD02</t>
  </si>
  <si>
    <t>2003 new winery constructed; Cyprien marries in it</t>
  </si>
  <si>
    <t>14NEGARLD02</t>
  </si>
  <si>
    <t>1998 started sustainable agriculture</t>
  </si>
  <si>
    <t>22ARLAUD01</t>
  </si>
  <si>
    <t>1996/7 Cyprien joins</t>
  </si>
  <si>
    <t>21ARLAUD01</t>
  </si>
  <si>
    <t>1984 3rd gen. equestrian Bertille Arlaud born</t>
  </si>
  <si>
    <t>19ARLAUD01</t>
  </si>
  <si>
    <t>1984 Hervé's wife takes farming sustainable</t>
  </si>
  <si>
    <t>18ARLAUD01</t>
  </si>
  <si>
    <t>1982 Hervé took over &amp; expanded</t>
  </si>
  <si>
    <t>VILLAGE:</t>
  </si>
  <si>
    <t>1976 3rd gen. Cyprien Arlaud born</t>
  </si>
  <si>
    <t>22ARLAUD02</t>
  </si>
  <si>
    <t>1970 Joseph becomes full time vigneron</t>
  </si>
  <si>
    <t>22NEGARLD03</t>
  </si>
  <si>
    <t>1966 bought old salt cellar of Nuits for elevage</t>
  </si>
  <si>
    <t>19NEGARLD03</t>
  </si>
  <si>
    <t>1964 Roncevie split between Gevrey &amp; Bourgogne</t>
  </si>
  <si>
    <t>18NEGARLD03</t>
  </si>
  <si>
    <t>1953 2nd gen. Hervé Arlaud born</t>
  </si>
  <si>
    <t>16NEGARLD03</t>
  </si>
  <si>
    <t>PARTICULARLY OLD VINES:</t>
  </si>
  <si>
    <t>13NEGARLD02</t>
  </si>
  <si>
    <t>Roncevie is 4.9ha, 80% 1964/5 vines</t>
  </si>
  <si>
    <t>22NEGARLD04</t>
  </si>
  <si>
    <t>Combottes is 1925, 1964, 1996 vines</t>
  </si>
  <si>
    <t>20NEGARLD04</t>
  </si>
  <si>
    <t>Charmes-Chambertin is 50% 1957 vines</t>
  </si>
  <si>
    <t>18NEGARLD04</t>
  </si>
  <si>
    <t>MSD Ruchots is 85% 1955 vines</t>
  </si>
  <si>
    <t>22NEGARLD05</t>
  </si>
  <si>
    <t>CM Chatelots is &gt;50yrs</t>
  </si>
  <si>
    <t>21NEGARLD05</t>
  </si>
  <si>
    <t>CM Noirots is &gt;50yrs</t>
  </si>
  <si>
    <t>20NEGARLD05</t>
  </si>
  <si>
    <t>NB Roncevie is a split Bourgogne/</t>
  </si>
  <si>
    <t>19NEGARLD05</t>
  </si>
  <si>
    <t>Gevrey plot below the village</t>
  </si>
  <si>
    <t>18NEGARLD05</t>
  </si>
  <si>
    <r>
      <t>EA</t>
    </r>
    <r>
      <rPr>
        <sz val="8"/>
        <color theme="1" tint="0.14999847407452621"/>
        <rFont val="Noto Sans"/>
        <family val="2"/>
      </rPr>
      <t>= Et Arlaud BD 'negoce' label to 2019s</t>
    </r>
  </si>
  <si>
    <t>17NEGARLD05</t>
  </si>
  <si>
    <r>
      <t>CA</t>
    </r>
    <r>
      <rPr>
        <sz val="8"/>
        <color theme="1" tint="0.14999847407452621"/>
        <rFont val="Noto Sans"/>
        <family val="2"/>
      </rPr>
      <t>= Cyprien Arlaud BD 'negoce' from 2020s</t>
    </r>
  </si>
  <si>
    <t>14NEGARLD05</t>
  </si>
  <si>
    <t>B+D 4* estate 2022</t>
  </si>
  <si>
    <t>13NEGARLD04</t>
  </si>
  <si>
    <t>RVF 1* estate 2016; CC 1* estate 2008</t>
  </si>
  <si>
    <t>1C:</t>
  </si>
  <si>
    <t>DomaineArlaud.com</t>
  </si>
  <si>
    <t>22ARLAUD05</t>
  </si>
  <si>
    <t>20ARLAUD05</t>
  </si>
  <si>
    <t>instagram.com/domainearlaud/</t>
  </si>
  <si>
    <t>18ARLAUD05</t>
  </si>
  <si>
    <t>GROWER CODES: ARLAUD / NEGARLD</t>
  </si>
  <si>
    <t>17ARLAUD05</t>
  </si>
  <si>
    <t>22ARLAUD03</t>
  </si>
  <si>
    <t>21ARLAUD03</t>
  </si>
  <si>
    <t>17ARLAUD03</t>
  </si>
  <si>
    <t>14ARLAUD03</t>
  </si>
  <si>
    <t>22ARLAUD04</t>
  </si>
  <si>
    <t>21ARLAUD04</t>
  </si>
  <si>
    <t>20ARLAUD07</t>
  </si>
  <si>
    <t>22ARLAUD06</t>
  </si>
  <si>
    <t>21ARLAUD06</t>
  </si>
  <si>
    <t>22ARLAUD08</t>
  </si>
  <si>
    <t>21ARLAUD08</t>
  </si>
  <si>
    <t>18NEGARLD06</t>
  </si>
  <si>
    <t>22NEGARLD08</t>
  </si>
  <si>
    <t>21NEGARLD08</t>
  </si>
  <si>
    <t>20NEGARLD08</t>
  </si>
  <si>
    <t>19NEGARLD08</t>
  </si>
  <si>
    <t>GC:</t>
  </si>
  <si>
    <t>22ARLAUD11</t>
  </si>
  <si>
    <t>21ARLAUD11</t>
  </si>
  <si>
    <t>18ARLAUD11</t>
  </si>
  <si>
    <t>17ARLAUD11</t>
  </si>
  <si>
    <t>14ARLAUD11</t>
  </si>
  <si>
    <t>13ARLAUD11</t>
  </si>
  <si>
    <t>22ARLAUD09</t>
  </si>
  <si>
    <t>21ARLAUD09</t>
  </si>
  <si>
    <t>22ARLAUD10</t>
  </si>
  <si>
    <t>21ARLAUD10</t>
  </si>
  <si>
    <t>22ARLAUD12</t>
  </si>
  <si>
    <t>22NEGARLD10</t>
  </si>
  <si>
    <t>22NEGARLD07</t>
  </si>
  <si>
    <t>19NEGARLD07</t>
  </si>
  <si>
    <t>18NEGARLD07</t>
  </si>
  <si>
    <t>MAGNUMS:</t>
  </si>
  <si>
    <t>22ARLAUD05MG</t>
  </si>
  <si>
    <t>14ARLAUD03MG</t>
  </si>
  <si>
    <t>22ARLAUD07MG</t>
  </si>
  <si>
    <t>22NEGARLD08MG</t>
  </si>
  <si>
    <t>21NEGARLD08MG</t>
  </si>
  <si>
    <t>20NEGARLD08MG</t>
  </si>
  <si>
    <t>19NEGARLD08MG</t>
  </si>
  <si>
    <t>22ARLAUD09MG</t>
  </si>
  <si>
    <t>22ARLAUD12MG</t>
  </si>
  <si>
    <t>DOUBLE MAGS AKA BURG JEROS:</t>
  </si>
  <si>
    <t>19NEGARLD08JB</t>
  </si>
  <si>
    <t>18NEGARLD06JB</t>
  </si>
  <si>
    <t>17NEGARLD06JB</t>
  </si>
  <si>
    <t>15NEGARLD06JB</t>
  </si>
  <si>
    <t>14NEGARLD06JB</t>
  </si>
  <si>
    <t>19NEGARLD07JB</t>
  </si>
  <si>
    <t>18NEGARLD07JB</t>
  </si>
  <si>
    <t>17NEGARLD07JB</t>
  </si>
  <si>
    <t>15NEGARLD07JB</t>
  </si>
  <si>
    <t>14NEGARLD07JB</t>
  </si>
  <si>
    <t>13NEGARLD06JB</t>
  </si>
  <si>
    <t>BOIGEY FRERES, Dom.</t>
  </si>
  <si>
    <t>23BOIGEY01</t>
  </si>
  <si>
    <t>Vosne-Romanée. Guillaume and Olivier</t>
  </si>
  <si>
    <t>22BOIGEY01</t>
  </si>
  <si>
    <t>3.15ha vines being taken out of leases</t>
  </si>
  <si>
    <t>21BOIGEY01</t>
  </si>
  <si>
    <t>Incl. Echezeaux, Suchots, Nuits Boudots</t>
  </si>
  <si>
    <t>20BOIGEY01</t>
  </si>
  <si>
    <r>
      <t xml:space="preserve">Lutte raisonnée, i.e. </t>
    </r>
    <r>
      <rPr>
        <b/>
        <sz val="8"/>
        <color rgb="FF00B050"/>
        <rFont val="Noto Sans"/>
        <family val="2"/>
      </rPr>
      <t>sustainable</t>
    </r>
    <r>
      <rPr>
        <b/>
        <sz val="8"/>
        <color theme="1" tint="0.14999847407452621"/>
        <rFont val="Noto Sans"/>
        <family val="2"/>
      </rPr>
      <t xml:space="preserve"> </t>
    </r>
    <r>
      <rPr>
        <sz val="8"/>
        <color theme="1" tint="0.14999847407452621"/>
        <rFont val="Noto Sans"/>
        <family val="2"/>
      </rPr>
      <t>farming</t>
    </r>
  </si>
  <si>
    <t>23BOIGEY04</t>
  </si>
  <si>
    <t>destemmed, cold-soak, Montgillard casks</t>
  </si>
  <si>
    <t>22BOIGEY04</t>
  </si>
  <si>
    <t>20% new for village, 40-50% for crus</t>
  </si>
  <si>
    <t>21BOIGEY04</t>
  </si>
  <si>
    <t>One of three owners of Vosne aux Jachées,</t>
  </si>
  <si>
    <t>23BOIGEY03</t>
  </si>
  <si>
    <t>with J.Y.Bizot &amp; Gilbert Felettig</t>
  </si>
  <si>
    <t>22BOIGEY03</t>
  </si>
  <si>
    <t>21BOIGEY03</t>
  </si>
  <si>
    <t>2022 plans to plant 1.8ha chard in HCDN</t>
  </si>
  <si>
    <t>20BOIGEY03</t>
  </si>
  <si>
    <t>2021 1st vintage Suchots &amp; Echezeaux. 6K btls</t>
  </si>
  <si>
    <t>23BOIGEY02</t>
  </si>
  <si>
    <t>2020 3K btls</t>
  </si>
  <si>
    <t>22BOIGEY02</t>
  </si>
  <si>
    <t>2019 1st vintage bottled, with 3 wines, 2.4K btls</t>
  </si>
  <si>
    <t>21BOIGEY02</t>
  </si>
  <si>
    <t>2018 business created</t>
  </si>
  <si>
    <t>20BOIGEY02</t>
  </si>
  <si>
    <t>DomaineBoigey.fr</t>
  </si>
  <si>
    <t>23BOIGEY05</t>
  </si>
  <si>
    <t>facebook.com/domaineboigey/</t>
  </si>
  <si>
    <t>22BOIGEY05</t>
  </si>
  <si>
    <t>21BOIGEY05</t>
  </si>
  <si>
    <t>GROWER CODE: BOIGEY</t>
  </si>
  <si>
    <t>23BOIGEY06</t>
  </si>
  <si>
    <t>EN MAGNUM:</t>
  </si>
  <si>
    <t>23BOIGEY01MG</t>
  </si>
  <si>
    <t>22BOIGEY01MG</t>
  </si>
  <si>
    <t>23BOIGEY04MG</t>
  </si>
  <si>
    <t>22BOIGEY04MG</t>
  </si>
  <si>
    <t>21BOIGEY04MG</t>
  </si>
  <si>
    <t>23BOIGEY03MG</t>
  </si>
  <si>
    <t>22BOIGEY03MG</t>
  </si>
  <si>
    <t>21BOIGEY03MG</t>
  </si>
  <si>
    <t>23BOIGEY02MG</t>
  </si>
  <si>
    <t>22BOIGEY02MG</t>
  </si>
  <si>
    <t>21BOIGEY02MG</t>
  </si>
  <si>
    <t>23BOIGEY07MG</t>
  </si>
  <si>
    <t>23BOIGEY05MG</t>
  </si>
  <si>
    <t>22BOIGEY05MG</t>
  </si>
  <si>
    <t>21BOIGEY05MG</t>
  </si>
  <si>
    <t>GHISLAINE BARTHOD by</t>
  </si>
  <si>
    <t>20BARTO12</t>
  </si>
  <si>
    <t>CLEMENT BOILLOT</t>
  </si>
  <si>
    <t>22BARTO01</t>
  </si>
  <si>
    <t>w.mother Ghislaine &amp; father Louis Boillot</t>
  </si>
  <si>
    <t>21BARTO01</t>
  </si>
  <si>
    <r>
      <t xml:space="preserve">Chambolle Musigny; 6.5ha </t>
    </r>
    <r>
      <rPr>
        <b/>
        <sz val="8"/>
        <color rgb="FF00B050"/>
        <rFont val="Noto Sans"/>
        <family val="2"/>
      </rPr>
      <t>sustainable</t>
    </r>
  </si>
  <si>
    <t>22BARTO06</t>
  </si>
  <si>
    <t>22BARTO03</t>
  </si>
  <si>
    <t>Louis Boillot oversees viticulture here as well</t>
  </si>
  <si>
    <t>22BARTO05</t>
  </si>
  <si>
    <t xml:space="preserve">ambient yeast; ~20months elevage; </t>
  </si>
  <si>
    <t>22BARTO02</t>
  </si>
  <si>
    <t>20-30% new oak; unfined:</t>
  </si>
  <si>
    <t>21BARTO07</t>
  </si>
  <si>
    <t>21BARTO06</t>
  </si>
  <si>
    <t>21BARTO05</t>
  </si>
  <si>
    <t>2019 Clément took over vinification from Ghislaine</t>
  </si>
  <si>
    <t>2018 Clément vinified with his mother Ghislaine</t>
  </si>
  <si>
    <t>2014 1st wine from new 4ha Moulin à Vent estate</t>
  </si>
  <si>
    <t>2002 new cellar completed</t>
  </si>
  <si>
    <t>1999 Gaston passes away</t>
  </si>
  <si>
    <t>1986 Ghislaine takes over Barthod-Noellat</t>
  </si>
  <si>
    <t>1983 Ghislaine meets Louis Boillot</t>
  </si>
  <si>
    <t>1982 Ghislaine joins</t>
  </si>
  <si>
    <t>1960 Gaston joins: becomes Dom.Barthod-Noellat</t>
  </si>
  <si>
    <t>1958 Ghislaine Barthod born</t>
  </si>
  <si>
    <t>1956 Gaston marries Madeleine Noellat</t>
  </si>
  <si>
    <t>1929 started bottling</t>
  </si>
  <si>
    <t>1922 Gaston Barthod born</t>
  </si>
  <si>
    <t>1920s Dom. Noellat founded</t>
  </si>
  <si>
    <t>CC 2* estate, 2008; B+D 3*</t>
  </si>
  <si>
    <t>NB ALSO SEE LOUIS BOILLOT</t>
  </si>
  <si>
    <t>NB ALSO SEE THEIR BEAUJOLAIS</t>
  </si>
  <si>
    <t>GROWER CODE: BART</t>
  </si>
  <si>
    <t>KIND WORDS ON LOUIS (&amp; CLEMENT) BOILLOT, etc:</t>
  </si>
  <si>
    <r>
      <rPr>
        <b/>
        <sz val="7"/>
        <color theme="1" tint="0.499984740745262"/>
        <rFont val="Noto Sans"/>
        <family val="2"/>
      </rPr>
      <t xml:space="preserve">N.Martin, Vinous 2023 </t>
    </r>
    <r>
      <rPr>
        <sz val="7"/>
        <color theme="1" tint="0.499984740745262"/>
        <rFont val="Noto Sans"/>
        <family val="2"/>
      </rPr>
      <t>'strong range'</t>
    </r>
  </si>
  <si>
    <r>
      <rPr>
        <b/>
        <sz val="7"/>
        <color theme="1" tint="0.499984740745262"/>
        <rFont val="Noto Sans"/>
        <family val="2"/>
      </rPr>
      <t xml:space="preserve">N.Martin, Vinous 2020 </t>
    </r>
    <r>
      <rPr>
        <sz val="7"/>
        <color theme="1" tint="0.499984740745262"/>
        <rFont val="Noto Sans"/>
        <family val="2"/>
      </rPr>
      <t>'These wines often receive less attention than those of Ghislaine-Barthod... But these are certainly worth seeking out as they</t>
    </r>
  </si>
  <si>
    <t>are well crafted Pinot Noirs and indeed Gamays.'</t>
  </si>
  <si>
    <r>
      <rPr>
        <b/>
        <sz val="7"/>
        <color theme="1" tint="0.499984740745262"/>
        <rFont val="Noto Sans"/>
        <family val="2"/>
      </rPr>
      <t>N.Martin, Vinous 2018</t>
    </r>
    <r>
      <rPr>
        <sz val="7"/>
        <color theme="1" tint="0.499984740745262"/>
        <rFont val="Noto Sans"/>
        <family val="2"/>
      </rPr>
      <t xml:space="preserve"> 'I agree with Boillot that his standout is his Nuits Saint-Georges Les Pruliers: complex, full of joie de vivre</t>
    </r>
  </si>
  <si>
    <t>and demonstrating great persistency.'</t>
  </si>
  <si>
    <r>
      <rPr>
        <b/>
        <sz val="7"/>
        <color theme="1" tint="0.499984740745262"/>
        <rFont val="Noto Sans"/>
        <family val="2"/>
      </rPr>
      <t>N.Martin TWA 2016</t>
    </r>
    <r>
      <rPr>
        <sz val="7"/>
        <color theme="1" tint="0.499984740745262"/>
        <rFont val="Noto Sans"/>
        <family val="2"/>
      </rPr>
      <t xml:space="preserve"> 'Louis Boillot has made his best wines in 2015…with superior precision and terroir expression'</t>
    </r>
  </si>
  <si>
    <r>
      <rPr>
        <b/>
        <sz val="7"/>
        <color theme="1" tint="0.499984740745262"/>
        <rFont val="Noto Sans"/>
        <family val="2"/>
      </rPr>
      <t>A.Galloni, Vinous 2014</t>
    </r>
    <r>
      <rPr>
        <sz val="7"/>
        <color theme="1" tint="0.499984740745262"/>
        <rFont val="Noto Sans"/>
        <family val="2"/>
      </rPr>
      <t xml:space="preserve"> 'a gorgeous set of wines' (on 2012s)</t>
    </r>
  </si>
  <si>
    <r>
      <rPr>
        <b/>
        <sz val="7"/>
        <color theme="1" tint="0.499984740745262"/>
        <rFont val="Noto Sans"/>
        <family val="2"/>
      </rPr>
      <t>N.Martin, 2013</t>
    </r>
    <r>
      <rPr>
        <sz val="7"/>
        <color theme="1" tint="0.499984740745262"/>
        <rFont val="Noto Sans"/>
        <family val="2"/>
      </rPr>
      <t xml:space="preserve"> 'an impressive portfolio...balanced, refined and skilfully expressed their terroir.'</t>
    </r>
  </si>
  <si>
    <r>
      <rPr>
        <b/>
        <sz val="7"/>
        <color theme="1" tint="0.499984740745262"/>
        <rFont val="Noto Sans"/>
        <family val="2"/>
      </rPr>
      <t>A.Galloni, 2011</t>
    </r>
    <r>
      <rPr>
        <sz val="7"/>
        <color theme="1" tint="0.499984740745262"/>
        <rFont val="Noto Sans"/>
        <family val="2"/>
      </rPr>
      <t xml:space="preserve"> 'the wines themselves are fabulous and deserve serious attention.'</t>
    </r>
  </si>
  <si>
    <r>
      <rPr>
        <b/>
        <sz val="7"/>
        <color theme="1" tint="0.499984740745262"/>
        <rFont val="Noto Sans"/>
        <family val="2"/>
      </rPr>
      <t>W.Kelley, TWA 2019</t>
    </r>
    <r>
      <rPr>
        <sz val="7"/>
        <color theme="1" tint="0.499984740745262"/>
        <rFont val="Noto Sans"/>
        <family val="2"/>
      </rPr>
      <t xml:space="preserve"> 'small but superb domaine'</t>
    </r>
  </si>
  <si>
    <r>
      <rPr>
        <b/>
        <sz val="7"/>
        <color theme="1" tint="0.499984740745262"/>
        <rFont val="Noto Sans"/>
        <family val="2"/>
      </rPr>
      <t>W.Kelley, TWA 2021</t>
    </r>
    <r>
      <rPr>
        <sz val="7"/>
        <color theme="1" tint="0.499984740745262"/>
        <rFont val="Noto Sans"/>
        <family val="2"/>
      </rPr>
      <t xml:space="preserve"> 'In short, everything here comes warmly recommended.'</t>
    </r>
  </si>
  <si>
    <r>
      <rPr>
        <b/>
        <sz val="7"/>
        <color theme="1" tint="0.499984740745262"/>
        <rFont val="Noto Sans"/>
        <family val="2"/>
      </rPr>
      <t>W.Kelley, TWA 2019</t>
    </r>
    <r>
      <rPr>
        <sz val="7"/>
        <color theme="1" tint="0.499984740745262"/>
        <rFont val="Noto Sans"/>
        <family val="2"/>
      </rPr>
      <t xml:space="preserve"> 'excellent old vine holdings in top appellations, deft winemaking and a classical aesthetic, readers should take note. </t>
    </r>
  </si>
  <si>
    <t>Ploughed vineyards, destemmed grapes, classical cuvaisons and élevage in a moderate percentage of new barrels.'</t>
  </si>
  <si>
    <r>
      <rPr>
        <b/>
        <sz val="7"/>
        <color theme="1" tint="0.499984740745262"/>
        <rFont val="Noto Sans"/>
        <family val="2"/>
      </rPr>
      <t>D.Schildknecht, 2010 '</t>
    </r>
    <r>
      <rPr>
        <sz val="7"/>
        <color theme="1" tint="0.499984740745262"/>
        <rFont val="Noto Sans"/>
        <family val="2"/>
      </rPr>
      <t>reminds one of the virtues of typical wines from two or more decades ago: restrained, a bit youthfully tart and tight, but backed</t>
    </r>
  </si>
  <si>
    <t>by admirable extract and energy, and likely to reward cellaring for at least the better part of a decade.'</t>
  </si>
  <si>
    <r>
      <rPr>
        <b/>
        <sz val="7"/>
        <color theme="1" tint="0.499984740745262"/>
        <rFont val="Noto Sans"/>
        <family val="2"/>
      </rPr>
      <t xml:space="preserve">Louis Boillot on 2019: </t>
    </r>
    <r>
      <rPr>
        <sz val="7"/>
        <color theme="1" tint="0.499984740745262"/>
        <rFont val="Noto Sans"/>
        <family val="2"/>
      </rPr>
      <t>'the most elegant, refined and fresh of the recent warm vintages we've had here in Burgundy.'</t>
    </r>
  </si>
  <si>
    <r>
      <rPr>
        <b/>
        <sz val="7"/>
        <color theme="1" tint="0.499984740745262"/>
        <rFont val="Noto Sans"/>
        <family val="2"/>
      </rPr>
      <t>Louis Boillot on 2014s</t>
    </r>
    <r>
      <rPr>
        <sz val="7"/>
        <color theme="1" tint="0.499984740745262"/>
        <rFont val="Noto Sans"/>
        <family val="2"/>
      </rPr>
      <t>: 'very cherry, very red fruit wines with a chiseled character, a bit like 2006s. They have structure, fruit &amp; acidity.'</t>
    </r>
  </si>
  <si>
    <r>
      <rPr>
        <b/>
        <sz val="7"/>
        <color theme="1" tint="0.499984740745262"/>
        <rFont val="Noto Sans"/>
        <family val="2"/>
      </rPr>
      <t>Louis Boillot on 2012s: '</t>
    </r>
    <r>
      <rPr>
        <sz val="7"/>
        <color theme="1" tint="0.499984740745262"/>
        <rFont val="Noto Sans"/>
        <family val="2"/>
      </rPr>
      <t>the best CDB wines are likely to require longer aging than those from the CDN owing to their concentration. The CDN wines</t>
    </r>
  </si>
  <si>
    <t>are fresh and taut, but the CDB wines are even deeper in 2012, even if they don't have quite the same vibrancy.'</t>
  </si>
  <si>
    <r>
      <rPr>
        <b/>
        <sz val="7"/>
        <color theme="1" tint="0.499984740745262"/>
        <rFont val="Noto Sans"/>
        <family val="2"/>
      </rPr>
      <t>Louis Boillot on 2010s:</t>
    </r>
    <r>
      <rPr>
        <sz val="7"/>
        <color theme="1" tint="0.499984740745262"/>
        <rFont val="Noto Sans"/>
        <family val="2"/>
      </rPr>
      <t xml:space="preserve"> 'We had lots of concentration in 2010 due to the low yields, and the wines have very good structure, with ripe tannins that are</t>
    </r>
  </si>
  <si>
    <t>finer than those of 2009 or 2008.'</t>
  </si>
  <si>
    <r>
      <rPr>
        <b/>
        <sz val="7"/>
        <color theme="1" tint="0.499984740745262"/>
        <rFont val="Noto Sans"/>
        <family val="2"/>
      </rPr>
      <t>Louis Boillot on 2008s:</t>
    </r>
    <r>
      <rPr>
        <sz val="7"/>
        <color theme="1" tint="0.499984740745262"/>
        <rFont val="Noto Sans"/>
        <family val="2"/>
      </rPr>
      <t xml:space="preserve"> 'reminds me of 1996 in terms of its acidity, but of the long under-rated 1972s overall.'</t>
    </r>
  </si>
  <si>
    <t>LOUIS BOILLOT, Dom. by</t>
  </si>
  <si>
    <t>CDB ROUGE:</t>
  </si>
  <si>
    <t>22LBOILL06</t>
  </si>
  <si>
    <t>w. father Louis &amp; mother Ghislaine Barthod</t>
  </si>
  <si>
    <t>21LBOILL01</t>
  </si>
  <si>
    <t>Chambolle Musigny; Boillot dynasty vines</t>
  </si>
  <si>
    <t>20LBOILL06</t>
  </si>
  <si>
    <r>
      <t xml:space="preserve">7ha, &amp; 4ha Beaujolais, </t>
    </r>
    <r>
      <rPr>
        <b/>
        <sz val="8"/>
        <color rgb="FF00B050"/>
        <rFont val="Noto Sans"/>
        <family val="2"/>
      </rPr>
      <t>sustainable</t>
    </r>
  </si>
  <si>
    <t>19LBOILL06</t>
  </si>
  <si>
    <t>18LBOILL01</t>
  </si>
  <si>
    <t>Clément is in charge of vinification</t>
  </si>
  <si>
    <t>17LBOILL06</t>
  </si>
  <si>
    <t>Louis also oversees viticulture for Barthod</t>
  </si>
  <si>
    <t>16LBOILL06</t>
  </si>
  <si>
    <t>av.vine age over &gt;40yrs. 100% destemmed,</t>
  </si>
  <si>
    <t>13LBOILL01</t>
  </si>
  <si>
    <t>ambient yeast; unfined, unfiltered</t>
  </si>
  <si>
    <t>11LBOILL01</t>
  </si>
  <si>
    <t>~16/18mths elevage; 10-30% new wood</t>
  </si>
  <si>
    <t>10LBOILL01</t>
  </si>
  <si>
    <t>22LBOILL07</t>
  </si>
  <si>
    <t>20LBOILL07</t>
  </si>
  <si>
    <t>2022 1st vintage with some 500L casks &amp; foudres</t>
  </si>
  <si>
    <t>19LBOILL07</t>
  </si>
  <si>
    <t>2020 1st vintage vinified 100% by son Clement</t>
  </si>
  <si>
    <t>18LBOILL02</t>
  </si>
  <si>
    <t>17LBOILL07</t>
  </si>
  <si>
    <t>2003 Louis Boillot label launched</t>
  </si>
  <si>
    <t>16LBOILL07</t>
  </si>
  <si>
    <t>2002 Louis leaves father Lucien Boillot's business</t>
  </si>
  <si>
    <t>15LBOILL07</t>
  </si>
  <si>
    <t>2002 new Barthod/L.Boillot cellar started</t>
  </si>
  <si>
    <t>14LBOILL07</t>
  </si>
  <si>
    <t>1983 met Ghisliane Barthod</t>
  </si>
  <si>
    <t>13LBOILL07</t>
  </si>
  <si>
    <t>1957 Louis Boillot born</t>
  </si>
  <si>
    <t>12LBOILL07</t>
  </si>
  <si>
    <t>PARTICULAR PARCELS:</t>
  </si>
  <si>
    <t>11LBOILL07</t>
  </si>
  <si>
    <t>Gevrey village: 2.5ha in 8 mature parcels</t>
  </si>
  <si>
    <t>CDB 1C ROUGE:</t>
  </si>
  <si>
    <t>Gevrey Champonnets 1C &gt;45yr vines</t>
  </si>
  <si>
    <t>24DLBOILL07</t>
  </si>
  <si>
    <t>Gevrey Evocelles 0.4ha &gt;60yrs vines in 4 parcels</t>
  </si>
  <si>
    <t>24DLBOILL06</t>
  </si>
  <si>
    <t>Gevrey Cherbaudes 1C 0.17ha 1912 vines: TVV</t>
  </si>
  <si>
    <t>24DLBOILL05</t>
  </si>
  <si>
    <t>Nuits Pruliers 1C 0.27ha &gt;100yrs TVV</t>
  </si>
  <si>
    <t>24DLBOILL09</t>
  </si>
  <si>
    <t>Pommard Fremiers 1C &gt;80yr vines, VV</t>
  </si>
  <si>
    <t>24DLBOILL08</t>
  </si>
  <si>
    <t>Pommard Croix Noires 1C 80-100yrs, VV-TVV</t>
  </si>
  <si>
    <t>22LBOILL08</t>
  </si>
  <si>
    <t>Volnay Grands Poisots 0.85ha 60-65yr VV</t>
  </si>
  <si>
    <t>18LBOILL09</t>
  </si>
  <si>
    <t>Volnay Les Angles 1C 0.54ha 1961 VV</t>
  </si>
  <si>
    <t>17LBOILL08</t>
  </si>
  <si>
    <t>Volnay Brouillards 1C &gt;70yr VV</t>
  </si>
  <si>
    <t>16LBOILL08</t>
  </si>
  <si>
    <t>Volnay Caillerets 1C 0.17ha &gt;65yr VV</t>
  </si>
  <si>
    <t>13LBOILL02</t>
  </si>
  <si>
    <t>Beaune Épenotes &gt;75yr vines, rocky site</t>
  </si>
  <si>
    <t>12LBOILL02</t>
  </si>
  <si>
    <t>CC 1* estate, 2008</t>
  </si>
  <si>
    <t>11LBOILL02</t>
  </si>
  <si>
    <t>instagram.com/domainelouisboillotetfils/</t>
  </si>
  <si>
    <t>09LBOILL02</t>
  </si>
  <si>
    <t>NB ALSO SEE DOMAINE BARTHOD</t>
  </si>
  <si>
    <t>22LBOILL09</t>
  </si>
  <si>
    <t>20LBOILL09</t>
  </si>
  <si>
    <t>GROWER CODES: LBOILL / DLBOILL</t>
  </si>
  <si>
    <t>19LBOILL09</t>
  </si>
  <si>
    <t>24DLBOILL13</t>
  </si>
  <si>
    <t>24DLBOILL12</t>
  </si>
  <si>
    <t>CDN ROUGE:</t>
  </si>
  <si>
    <t>22LBOILL01</t>
  </si>
  <si>
    <t>20LBOILL01</t>
  </si>
  <si>
    <t>17LBOILL01</t>
  </si>
  <si>
    <t>22LBOILL02</t>
  </si>
  <si>
    <t>20LBOILL02</t>
  </si>
  <si>
    <t>18LBOILL04</t>
  </si>
  <si>
    <t>17LBOILL02</t>
  </si>
  <si>
    <t>13LBOILL03</t>
  </si>
  <si>
    <t>11LBOILL03</t>
  </si>
  <si>
    <t>CDN 1C ROUGE:</t>
  </si>
  <si>
    <t>24DLBOILL01</t>
  </si>
  <si>
    <t>13LBOILL05</t>
  </si>
  <si>
    <t>22LBOILL04</t>
  </si>
  <si>
    <t>18LBOILL08</t>
  </si>
  <si>
    <t>17LBOILL05</t>
  </si>
  <si>
    <t>24DLBOILL03</t>
  </si>
  <si>
    <t>13LBOILL06</t>
  </si>
  <si>
    <t>11LBOILL06</t>
  </si>
  <si>
    <t>CDB ROUGE EN MAGNUM:</t>
  </si>
  <si>
    <t>14LBOILL06MG</t>
  </si>
  <si>
    <t>19LBOILL07MG</t>
  </si>
  <si>
    <t>18LBOILL02MG</t>
  </si>
  <si>
    <t>14LBOILL07MG</t>
  </si>
  <si>
    <t>13LBOILL07MG</t>
  </si>
  <si>
    <t>18LBOILL09MG</t>
  </si>
  <si>
    <t>18LBOILL05MG</t>
  </si>
  <si>
    <t>CDN ROUGE EN MAGNUM:</t>
  </si>
  <si>
    <t>14LBOILL01MG</t>
  </si>
  <si>
    <t>18LBOILL08MG</t>
  </si>
  <si>
    <r>
      <t>Neal Martin, Vinous:</t>
    </r>
    <r>
      <rPr>
        <sz val="7"/>
        <color theme="1" tint="0.499984740745262"/>
        <rFont val="Noto Sans"/>
        <family val="2"/>
      </rPr>
      <t xml:space="preserve"> 'Do I need to tell you how much I adore Sylvain Cathiard's wines? This is a seriously good quality producer of Vosne-Romanée,</t>
    </r>
  </si>
  <si>
    <t>one whose star is in the ascendant. These are gloriously silky smooth, complex wines; not just with the top Premier Crus but down to the generic</t>
  </si>
  <si>
    <t>Burgundy. It’s the intensity and focus that set Cathiard apart, wines with supreme definition and purity that seduce the palate like a beautiful courtesan. …</t>
  </si>
  <si>
    <t>This producer comes highly recommended from top to bottom.'</t>
  </si>
  <si>
    <t>SYLVAIN CATHIARD, by</t>
  </si>
  <si>
    <t>EN BLANC:</t>
  </si>
  <si>
    <t>SEBASTIEN CATHIARD</t>
  </si>
  <si>
    <t>22CATHIARD01</t>
  </si>
  <si>
    <t>Vosne Romanée, ~12.5ha.</t>
  </si>
  <si>
    <t>Sebastien is 4th generation</t>
  </si>
  <si>
    <t>EN ROUGE:</t>
  </si>
  <si>
    <t>Lutte raisonnée; no certification</t>
  </si>
  <si>
    <t>Coteaux Bourguignons Les Croix Blanches (bptg)</t>
  </si>
  <si>
    <t>75/6</t>
  </si>
  <si>
    <t>22CATHIARD02</t>
  </si>
  <si>
    <r>
      <t xml:space="preserve">Destemmed. Unfined; </t>
    </r>
    <r>
      <rPr>
        <b/>
        <sz val="8"/>
        <color rgb="FF00B050"/>
        <rFont val="Noto Sans"/>
        <family val="2"/>
      </rPr>
      <t>Ⓥ Vegan compatible</t>
    </r>
  </si>
  <si>
    <t>21CATHIARD02</t>
  </si>
  <si>
    <t>Mostly Remond casks, from different forests</t>
  </si>
  <si>
    <t>20CATHIARD03</t>
  </si>
  <si>
    <t>THE NEW WINES INCLUDE:</t>
  </si>
  <si>
    <t>18CATHIARD01</t>
  </si>
  <si>
    <r>
      <rPr>
        <b/>
        <sz val="7"/>
        <color theme="1" tint="0.499984740745262"/>
        <rFont val="Noto Sans"/>
        <family val="2"/>
      </rPr>
      <t>Aligoté</t>
    </r>
    <r>
      <rPr>
        <sz val="7"/>
        <color theme="1" tint="0.499984740745262"/>
        <rFont val="Noto Sans"/>
        <family val="2"/>
      </rPr>
      <t xml:space="preserve">: ~2ha in total. Tank wine. Mostly from VV </t>
    </r>
  </si>
  <si>
    <t>17CATHIARD01</t>
  </si>
  <si>
    <t xml:space="preserve">planted 1945/1948 at Villers Lafaye, plus 0.13ha </t>
  </si>
  <si>
    <t>16CATHIARD01</t>
  </si>
  <si>
    <t>JV at Nuits. 1st made 2019</t>
  </si>
  <si>
    <t>22CATHIARD03</t>
  </si>
  <si>
    <t>Coteaux Bourguignons Les Croix Blanches:</t>
  </si>
  <si>
    <t>19CATHIARD02</t>
  </si>
  <si>
    <t>0.1ha nr Nuits/Vosne planted 1980, 60% pinot, 40% gamay</t>
  </si>
  <si>
    <t>22CATHIARD04</t>
  </si>
  <si>
    <r>
      <rPr>
        <b/>
        <sz val="7"/>
        <color theme="1" tint="0.499984740745262"/>
        <rFont val="Noto Sans"/>
        <family val="2"/>
      </rPr>
      <t>Bourgogne</t>
    </r>
    <r>
      <rPr>
        <sz val="7"/>
        <color theme="1" tint="0.499984740745262"/>
        <rFont val="Noto Sans"/>
        <family val="2"/>
      </rPr>
      <t>: 0.27ha pinot planted 1987 below Vosne</t>
    </r>
  </si>
  <si>
    <t>21CATHIARD04</t>
  </si>
  <si>
    <r>
      <t>Hautes Cotes de Nuits Aux Chaumes</t>
    </r>
    <r>
      <rPr>
        <sz val="7"/>
        <color theme="1" tint="0.499984740745262"/>
        <rFont val="Noto Sans"/>
        <family val="2"/>
      </rPr>
      <t xml:space="preserve">: 1.35ha </t>
    </r>
  </si>
  <si>
    <t>22CATHIARD05</t>
  </si>
  <si>
    <t>planted 1972 &amp; 2010 on clay rich soil with limestone,</t>
  </si>
  <si>
    <t>21CATHIARD05</t>
  </si>
  <si>
    <t>on plateau above Nuits</t>
  </si>
  <si>
    <t>22CATHIARD06</t>
  </si>
  <si>
    <t xml:space="preserve">Hautes Cotes de Nuits Les Dames Huguette: </t>
  </si>
  <si>
    <t>21CATHIARD06</t>
  </si>
  <si>
    <t>1.45ha in several plots, low-trained, planted 1970 to</t>
  </si>
  <si>
    <t>1995 on thin topsoil over limestone. 350m, above Nuits</t>
  </si>
  <si>
    <t>22CATHIARD08</t>
  </si>
  <si>
    <t>22CATHIARD10</t>
  </si>
  <si>
    <t>2021 1.45ha aligoté VV added at Villers Lafaye,</t>
  </si>
  <si>
    <t>22CATHIARD09</t>
  </si>
  <si>
    <t>mostly planted 1945/8</t>
  </si>
  <si>
    <t>18CATHIARD04</t>
  </si>
  <si>
    <t>2019 1st vintage white: aligoté from 0.13ha JV, Nuits</t>
  </si>
  <si>
    <t>22CATHIARD07</t>
  </si>
  <si>
    <t>2019 expansion in Cotes de Nuits &amp; HCDN</t>
  </si>
  <si>
    <t>2011 Sebastien took over from father Sylvain</t>
  </si>
  <si>
    <t>22CATHIARD12</t>
  </si>
  <si>
    <t>2010 Domaine sits at 4.2ha</t>
  </si>
  <si>
    <t>22CATHIARD11</t>
  </si>
  <si>
    <t>2008 new cellar finished</t>
  </si>
  <si>
    <t>22CATHIARD14</t>
  </si>
  <si>
    <t>2005 Sebastien joined</t>
  </si>
  <si>
    <t>21CATHIARD13</t>
  </si>
  <si>
    <t>1930s great grandfather from Savoie worked at DRC</t>
  </si>
  <si>
    <t>21CATHIARD15</t>
  </si>
  <si>
    <t>&amp; Lamarche, bought some vines</t>
  </si>
  <si>
    <t>22CATHIARD16</t>
  </si>
  <si>
    <t>1919 planting of oldest estate vines, 0.167ha RSV</t>
  </si>
  <si>
    <t>GROWER CODE: CATHIARD</t>
  </si>
  <si>
    <t>21CATHIARD17</t>
  </si>
  <si>
    <r>
      <rPr>
        <b/>
        <sz val="7"/>
        <color theme="1" tint="0.499984740745262"/>
        <rFont val="Noto Sans"/>
        <family val="2"/>
      </rPr>
      <t xml:space="preserve"> Motto</t>
    </r>
    <r>
      <rPr>
        <sz val="7"/>
        <color theme="1" tint="0.499984740745262"/>
        <rFont val="Noto Sans"/>
        <family val="2"/>
      </rPr>
      <t xml:space="preserve"> ''sans de bons raisins, il n’y a pas de bons vins'</t>
    </r>
  </si>
  <si>
    <t>JEAN CHAUVENET, Dom.</t>
  </si>
  <si>
    <t>NORTH NUITS TERROIRS - HVS:</t>
  </si>
  <si>
    <t>by Christophe &amp; Christine</t>
  </si>
  <si>
    <t>22CHAUV04HF</t>
  </si>
  <si>
    <t>Nuits St.George. 9.17ha, incl. 2.41ha crus</t>
  </si>
  <si>
    <t>20CHAUV01HF</t>
  </si>
  <si>
    <t>Christophe Drag &amp; Christine Chauvenet, 4th gen.</t>
  </si>
  <si>
    <t>19CHAUV01HF</t>
  </si>
  <si>
    <t>MODUS OPERANDI IN BRIEF:</t>
  </si>
  <si>
    <t>17CHAUV01HF</t>
  </si>
  <si>
    <t>debudding rather than green harvest for ~35hl/ha</t>
  </si>
  <si>
    <t>NORTH NUITS TERROIRS (VOSNE SIDE):</t>
  </si>
  <si>
    <t>4-day cold soak at 10degrees. Tank ferment, w.</t>
  </si>
  <si>
    <t>22CHAUV04</t>
  </si>
  <si>
    <t>ambient yeast, up to 28-32degrees</t>
  </si>
  <si>
    <t>21CHAUV01</t>
  </si>
  <si>
    <t>1C see 18-20mths elevage in 20-25% new wood,</t>
  </si>
  <si>
    <t>20CHAUV01</t>
  </si>
  <si>
    <t>1 month in tank, before bottling unfined, unfiltered</t>
  </si>
  <si>
    <t>19CHAUV01</t>
  </si>
  <si>
    <t>14CHAUV05</t>
  </si>
  <si>
    <t>22CHAUV01</t>
  </si>
  <si>
    <t>2016 new steel fermenters arrive</t>
  </si>
  <si>
    <t>21CHAUV03</t>
  </si>
  <si>
    <t>2012 Nuits Damodes 1C bought</t>
  </si>
  <si>
    <t>20CHAUV04</t>
  </si>
  <si>
    <t>2003 start cover cropping between rows</t>
  </si>
  <si>
    <t>19CHAUV04</t>
  </si>
  <si>
    <t>1999 Jean formally retires</t>
  </si>
  <si>
    <t>18CHAUV04</t>
  </si>
  <si>
    <t>1997 4th gen.Christine joins Christophe</t>
  </si>
  <si>
    <t>17CHAUV04</t>
  </si>
  <si>
    <t>1994 start sustainable farming</t>
  </si>
  <si>
    <t>16CHAUV04</t>
  </si>
  <si>
    <t>1994 Christophe Drag, son-in-law takes over</t>
  </si>
  <si>
    <t>15CHAUV04</t>
  </si>
  <si>
    <t>1990 Christophe Drag arrives; destemming starts</t>
  </si>
  <si>
    <t>14CHAUV04</t>
  </si>
  <si>
    <t>1984 new cask cellar and expanded cuverie</t>
  </si>
  <si>
    <t>13CHAUV04</t>
  </si>
  <si>
    <t>1973 first domaine Nuits 1C bottling, Vaucrains</t>
  </si>
  <si>
    <t>12CHAUV03</t>
  </si>
  <si>
    <t>1966 Jean Chauvenet joins with wife Genevieve</t>
  </si>
  <si>
    <t>11CHAUV02</t>
  </si>
  <si>
    <t xml:space="preserve"> expanding domaine to 6.5ha</t>
  </si>
  <si>
    <t>SOUTH NUITS TERROIRS:</t>
  </si>
  <si>
    <t>1963 Christophe Drag born</t>
  </si>
  <si>
    <t>16CHAUV05</t>
  </si>
  <si>
    <t>1936 3rd gen.Jean Chauvenet born</t>
  </si>
  <si>
    <t>15CHAUV05</t>
  </si>
  <si>
    <t>1920 oldest estate vines planted, Les Lavieres</t>
  </si>
  <si>
    <t>13CHAUV05</t>
  </si>
  <si>
    <t>1920 2nd gen.Claudius Chauvenet (1900-1984) joins</t>
  </si>
  <si>
    <t>22CHAUV02</t>
  </si>
  <si>
    <t xml:space="preserve"> father. Takes domaine from 1.5ha to 4ha</t>
  </si>
  <si>
    <t>21CHAUV02</t>
  </si>
  <si>
    <t>C.19th 1st gen.Claude Chauvenet (1862-1944) starts</t>
  </si>
  <si>
    <t>20CHAUV03</t>
  </si>
  <si>
    <t>KEY TERROIRS:</t>
  </si>
  <si>
    <t>19CHAUV03</t>
  </si>
  <si>
    <r>
      <rPr>
        <b/>
        <sz val="7"/>
        <color theme="1" tint="0.499984740745262"/>
        <rFont val="Noto Sans"/>
        <family val="2"/>
      </rPr>
      <t>Les Lavières</t>
    </r>
    <r>
      <rPr>
        <sz val="7"/>
        <color theme="1" tint="0.499984740745262"/>
        <rFont val="Noto Sans"/>
        <family val="2"/>
      </rPr>
      <t xml:space="preserve"> 0.36ha planted 1920. Bought 1934,</t>
    </r>
  </si>
  <si>
    <t>18CHAUV03</t>
  </si>
  <si>
    <t>1st made 2009</t>
  </si>
  <si>
    <t>17CHAUV03</t>
  </si>
  <si>
    <r>
      <rPr>
        <b/>
        <sz val="7"/>
        <color theme="1" tint="0.499984740745262"/>
        <rFont val="Noto Sans"/>
        <family val="2"/>
      </rPr>
      <t xml:space="preserve">Argillas 1C </t>
    </r>
    <r>
      <rPr>
        <sz val="7"/>
        <color theme="1" tint="0.499984740745262"/>
        <rFont val="Noto Sans"/>
        <family val="2"/>
      </rPr>
      <t>0.17ha replanted 1991, of tiny 1.9ha 1C</t>
    </r>
  </si>
  <si>
    <t>16CHAUV03</t>
  </si>
  <si>
    <t>Rented since 1982, bought 1989, 1st made 1999</t>
  </si>
  <si>
    <t>15CHAUV03</t>
  </si>
  <si>
    <r>
      <rPr>
        <b/>
        <sz val="7"/>
        <color theme="1" tint="0.499984740745262"/>
        <rFont val="Noto Sans"/>
        <family val="2"/>
      </rPr>
      <t>Bousselots 1C</t>
    </r>
    <r>
      <rPr>
        <sz val="7"/>
        <color theme="1" tint="0.499984740745262"/>
        <rFont val="Noto Sans"/>
        <family val="2"/>
      </rPr>
      <t xml:space="preserve"> 0.55ha, replanted 1986. Bought</t>
    </r>
  </si>
  <si>
    <t>14CHAUV03</t>
  </si>
  <si>
    <t>in 1934, 1st made 1985</t>
  </si>
  <si>
    <t>13CHAUV03</t>
  </si>
  <si>
    <r>
      <t>Damodes 1C</t>
    </r>
    <r>
      <rPr>
        <sz val="7"/>
        <color theme="1" tint="0.499984740745262"/>
        <rFont val="Noto Sans"/>
        <family val="2"/>
      </rPr>
      <t xml:space="preserve"> 0.28ha planted 1950, above Nuits</t>
    </r>
  </si>
  <si>
    <t>11CHAUV04</t>
  </si>
  <si>
    <t>Boudots 1C, next to Vosne Malconsorts 1C</t>
  </si>
  <si>
    <t>22CHAUV03</t>
  </si>
  <si>
    <t>Rented &amp; made since 1992; bought in 2012</t>
  </si>
  <si>
    <t>21CHAUV04</t>
  </si>
  <si>
    <r>
      <rPr>
        <b/>
        <sz val="7"/>
        <color theme="1" tint="0.499984740745262"/>
        <rFont val="Noto Sans"/>
        <family val="2"/>
      </rPr>
      <t>Rue de Chaux 1C</t>
    </r>
    <r>
      <rPr>
        <sz val="7"/>
        <color theme="1" tint="0.499984740745262"/>
        <rFont val="Noto Sans"/>
        <family val="2"/>
      </rPr>
      <t xml:space="preserve"> 0.24ha planted 1930, in a</t>
    </r>
  </si>
  <si>
    <t>20CHAUV02</t>
  </si>
  <si>
    <t>2.1ha 1C. Bought 1927; 1st made 1993</t>
  </si>
  <si>
    <t>19CHAUV02</t>
  </si>
  <si>
    <r>
      <rPr>
        <b/>
        <sz val="7"/>
        <color theme="1" tint="0.499984740745262"/>
        <rFont val="Noto Sans"/>
        <family val="2"/>
      </rPr>
      <t>Les Poulettes 1C</t>
    </r>
    <r>
      <rPr>
        <sz val="7"/>
        <color theme="1" tint="0.499984740745262"/>
        <rFont val="Noto Sans"/>
        <family val="2"/>
      </rPr>
      <t xml:space="preserve"> 0.17ha planted 1957. Bought</t>
    </r>
  </si>
  <si>
    <t>18CHAUV02</t>
  </si>
  <si>
    <t>1973; 1st made 2009</t>
  </si>
  <si>
    <t>17CHAUV02</t>
  </si>
  <si>
    <r>
      <rPr>
        <b/>
        <sz val="7"/>
        <color theme="1" tint="0.499984740745262"/>
        <rFont val="Noto Sans"/>
        <family val="2"/>
      </rPr>
      <t>Les Perrieres 1C</t>
    </r>
    <r>
      <rPr>
        <sz val="7"/>
        <color theme="1" tint="0.499984740745262"/>
        <rFont val="Noto Sans"/>
        <family val="2"/>
      </rPr>
      <t xml:space="preserve"> 0.23ha average 60yrs, in a </t>
    </r>
  </si>
  <si>
    <t>16CHAUV02</t>
  </si>
  <si>
    <t>2.5ha cru. Rented since 1982; 1st made 1984</t>
  </si>
  <si>
    <t>15CHAUV02</t>
  </si>
  <si>
    <r>
      <rPr>
        <b/>
        <sz val="7"/>
        <color theme="1" tint="0.499984740745262"/>
        <rFont val="Noto Sans"/>
        <family val="2"/>
      </rPr>
      <t>Vaucrains 1C</t>
    </r>
    <r>
      <rPr>
        <sz val="7"/>
        <color theme="1" tint="0.499984740745262"/>
        <rFont val="Noto Sans"/>
        <family val="2"/>
      </rPr>
      <t xml:space="preserve"> 0.41ha average 60yrs, above Nuits</t>
    </r>
  </si>
  <si>
    <t>14CHAUV02</t>
  </si>
  <si>
    <t>Les St.Georges 1C (the future Grand Cru...)</t>
  </si>
  <si>
    <t>13CHAUV01</t>
  </si>
  <si>
    <t>Bought &amp; 1st made in 1973</t>
  </si>
  <si>
    <t>11CHAUV03</t>
  </si>
  <si>
    <t>NORTH NUITS TERROIRS EN MAGNUM:</t>
  </si>
  <si>
    <t>GROWER CODE: CHAUV</t>
  </si>
  <si>
    <t>20CHAUV01MG</t>
  </si>
  <si>
    <t>19CHAUV01MG</t>
  </si>
  <si>
    <t>14CHAUV01MG</t>
  </si>
  <si>
    <t>11CHAUV01MG</t>
  </si>
  <si>
    <t>13CHAUV04MG</t>
  </si>
  <si>
    <t>SOUTH NUITS TERROIRS EN MAGNUM:</t>
  </si>
  <si>
    <t>13CHAUV05MG</t>
  </si>
  <si>
    <t>11CHAUV05MG</t>
  </si>
  <si>
    <t>13CHAUV03MG</t>
  </si>
  <si>
    <t>13CHAUV01MG</t>
  </si>
  <si>
    <t>DOMAINE FAIVELEY</t>
  </si>
  <si>
    <t>COTE DE BEAUNE 1C BLANC:</t>
  </si>
  <si>
    <t>Nuits. Erwan &amp; Eve Faiveley, 7th generation.</t>
  </si>
  <si>
    <t>22FAIVELEY02</t>
  </si>
  <si>
    <t>Chief winemaker Jerome Flous</t>
  </si>
  <si>
    <t>20FAIVELEY11</t>
  </si>
  <si>
    <t>125ha domaine, 45ha within Cote d'Or</t>
  </si>
  <si>
    <t>19FAIVELEY09</t>
  </si>
  <si>
    <t>80% domaine sourced fruit</t>
  </si>
  <si>
    <t>GC BLANC:</t>
  </si>
  <si>
    <t>GC sees 60% new wood; 1C 40-50%</t>
  </si>
  <si>
    <t>20FAIVELEY10</t>
  </si>
  <si>
    <t>20FAIVELEY09</t>
  </si>
  <si>
    <t>RECENT TIMELINE IN BRIEF:</t>
  </si>
  <si>
    <t>22FAIVELEY01</t>
  </si>
  <si>
    <t>2018 in conversion to HVE sustainable cert.</t>
  </si>
  <si>
    <t>GC BLANC EN MAGNUM:</t>
  </si>
  <si>
    <t>2014 Eve Faiveley joined</t>
  </si>
  <si>
    <t>19FAIVELEY07MG</t>
  </si>
  <si>
    <t>2005 Erwan took over from Francois</t>
  </si>
  <si>
    <t>19FAIVELEY08MG</t>
  </si>
  <si>
    <t>1825 Maison Faiveley founded by Pierre</t>
  </si>
  <si>
    <t>COTE DE BEAUNE ROUGE:</t>
  </si>
  <si>
    <t>SOME KEY HOLDINGS:</t>
  </si>
  <si>
    <t>17FAIVELEY06</t>
  </si>
  <si>
    <r>
      <rPr>
        <b/>
        <sz val="7"/>
        <color theme="1" tint="0.499984740745262"/>
        <rFont val="Noto Sans"/>
        <family val="2"/>
      </rPr>
      <t>CORTON CHARLEMAGNE GC:</t>
    </r>
    <r>
      <rPr>
        <sz val="7"/>
        <color theme="1" tint="0.499984740745262"/>
        <rFont val="Noto Sans"/>
        <family val="2"/>
      </rPr>
      <t xml:space="preserve"> 0.86ha bought </t>
    </r>
  </si>
  <si>
    <t>CORTON CLOS DES CORTONS GC ROUGE:</t>
  </si>
  <si>
    <t>1874, planted 1933-2010</t>
  </si>
  <si>
    <t>22FAIVELEY07</t>
  </si>
  <si>
    <r>
      <rPr>
        <b/>
        <sz val="7"/>
        <color theme="1" tint="0.499984740745262"/>
        <rFont val="Noto Sans"/>
        <family val="2"/>
      </rPr>
      <t>CORTON CLOS DES CORTONS</t>
    </r>
    <r>
      <rPr>
        <sz val="7"/>
        <color theme="1" tint="0.499984740745262"/>
        <rFont val="Noto Sans"/>
        <family val="2"/>
      </rPr>
      <t>: 2.76ha bought</t>
    </r>
  </si>
  <si>
    <t>21FAIVELEY01</t>
  </si>
  <si>
    <t>1874 planted 1932-2002</t>
  </si>
  <si>
    <t>20FAIVELEY01</t>
  </si>
  <si>
    <r>
      <t xml:space="preserve">CAZETIERS 1C: </t>
    </r>
    <r>
      <rPr>
        <sz val="7"/>
        <color theme="1" tint="0.499984740745262"/>
        <rFont val="Noto Sans"/>
        <family val="2"/>
      </rPr>
      <t>4ha, 50% of AOC, planted 1955-05</t>
    </r>
  </si>
  <si>
    <t>18FAIVELEY01</t>
  </si>
  <si>
    <r>
      <rPr>
        <b/>
        <sz val="7"/>
        <color theme="1" tint="0.499984740745262"/>
        <rFont val="Noto Sans"/>
        <family val="2"/>
      </rPr>
      <t>COMBE D'ORVEAU 1C</t>
    </r>
    <r>
      <rPr>
        <sz val="7"/>
        <color theme="1" tint="0.499984740745262"/>
        <rFont val="Noto Sans"/>
        <family val="2"/>
      </rPr>
      <t>: 0.26ha planted 1945</t>
    </r>
  </si>
  <si>
    <t>COTE DE NUITS 1C ROUGE:</t>
  </si>
  <si>
    <r>
      <rPr>
        <b/>
        <sz val="7"/>
        <color theme="1" tint="0.499984740745262"/>
        <rFont val="Noto Sans"/>
        <family val="2"/>
      </rPr>
      <t>CHAIGNOTS 1C:</t>
    </r>
    <r>
      <rPr>
        <sz val="7"/>
        <color theme="1" tint="0.499984740745262"/>
        <rFont val="Noto Sans"/>
        <family val="2"/>
      </rPr>
      <t xml:space="preserve"> 0.73ha planted 1927&amp; 1955</t>
    </r>
  </si>
  <si>
    <t>22FAIVELEY09</t>
  </si>
  <si>
    <r>
      <rPr>
        <b/>
        <sz val="7"/>
        <color theme="1" tint="0.499984740745262"/>
        <rFont val="Noto Sans"/>
        <family val="2"/>
      </rPr>
      <t>CHARMES GC:</t>
    </r>
    <r>
      <rPr>
        <sz val="7"/>
        <color theme="1" tint="0.499984740745262"/>
        <rFont val="Noto Sans"/>
        <family val="2"/>
      </rPr>
      <t xml:space="preserve"> 0.81ha planted 1925-1999</t>
    </r>
  </si>
  <si>
    <t>21FAIVELEY08</t>
  </si>
  <si>
    <r>
      <rPr>
        <b/>
        <sz val="7"/>
        <color theme="1" tint="0.499984740745262"/>
        <rFont val="Noto Sans"/>
        <family val="2"/>
      </rPr>
      <t>MAZIS GC:</t>
    </r>
    <r>
      <rPr>
        <sz val="7"/>
        <color theme="1" tint="0.499984740745262"/>
        <rFont val="Noto Sans"/>
        <family val="2"/>
      </rPr>
      <t xml:space="preserve"> 13.56ha planted 1930-2007</t>
    </r>
  </si>
  <si>
    <t>20FAIVELEY08</t>
  </si>
  <si>
    <r>
      <rPr>
        <b/>
        <sz val="7"/>
        <color theme="1" tint="0.499984740745262"/>
        <rFont val="Noto Sans"/>
        <family val="2"/>
      </rPr>
      <t>CLOS DE BEZE GC:</t>
    </r>
    <r>
      <rPr>
        <sz val="7"/>
        <color theme="1" tint="0.499984740745262"/>
        <rFont val="Noto Sans"/>
        <family val="2"/>
      </rPr>
      <t xml:space="preserve"> 1.29ha planted 1949-1983</t>
    </r>
  </si>
  <si>
    <t>19FAIVELEY15</t>
  </si>
  <si>
    <r>
      <rPr>
        <b/>
        <sz val="7"/>
        <color theme="1" tint="0.499984740745262"/>
        <rFont val="Noto Sans"/>
        <family val="2"/>
      </rPr>
      <t>CLOS VOUGEOT GC:</t>
    </r>
    <r>
      <rPr>
        <sz val="7"/>
        <color theme="1" tint="0.499984740745262"/>
        <rFont val="Noto Sans"/>
        <family val="2"/>
      </rPr>
      <t xml:space="preserve"> 1.27ha planted 1940-2013</t>
    </r>
  </si>
  <si>
    <t>22FAIVELEY10</t>
  </si>
  <si>
    <t>21FAIVELEY07</t>
  </si>
  <si>
    <t>Domaine-Faiveley.com</t>
  </si>
  <si>
    <t>20FAIVELEY07</t>
  </si>
  <si>
    <t>LEVI DALTON 'IDTT' INTERVIEW #399</t>
  </si>
  <si>
    <t>19FAIVELEY13</t>
  </si>
  <si>
    <t>GROWER CODE: FAIVELEY</t>
  </si>
  <si>
    <t>18FAIVELEY10</t>
  </si>
  <si>
    <t>19FAIVELEY11</t>
  </si>
  <si>
    <t>18FAIVELEY08</t>
  </si>
  <si>
    <t>17FAIVELEY08</t>
  </si>
  <si>
    <t>16FAIVELEY08</t>
  </si>
  <si>
    <t>21FAIVELEY06</t>
  </si>
  <si>
    <t>20FAIVELEY06</t>
  </si>
  <si>
    <t>19FAIVELEY10</t>
  </si>
  <si>
    <t>18FAIVELEY07</t>
  </si>
  <si>
    <t>17FAIVELEY07</t>
  </si>
  <si>
    <t>16FAIVELEY07</t>
  </si>
  <si>
    <t>15FAIVELEY02</t>
  </si>
  <si>
    <t>GC ROUGE:</t>
  </si>
  <si>
    <t>22FAIVELEY05</t>
  </si>
  <si>
    <t>21FAIVELEY05</t>
  </si>
  <si>
    <t>20FAIVELEY05</t>
  </si>
  <si>
    <t>19FAIVELEY05</t>
  </si>
  <si>
    <t>18FAIVELEY05</t>
  </si>
  <si>
    <t>17FAIVELEY04</t>
  </si>
  <si>
    <t>16FAIVELEY04</t>
  </si>
  <si>
    <t>21FAIVELEY03</t>
  </si>
  <si>
    <t>20FAIVELEY03</t>
  </si>
  <si>
    <t>17FAIVELEY03</t>
  </si>
  <si>
    <t>22FAIVELEY03</t>
  </si>
  <si>
    <t>21FAIVELEY02</t>
  </si>
  <si>
    <t>20FAIVELEY02</t>
  </si>
  <si>
    <t>22FAIVELEY04</t>
  </si>
  <si>
    <t>19FAIVELEY03</t>
  </si>
  <si>
    <t>18FAIVELEY03</t>
  </si>
  <si>
    <t>22FAIVELEY06</t>
  </si>
  <si>
    <t>21FAIVELEY04</t>
  </si>
  <si>
    <t>20FAIVELEY04</t>
  </si>
  <si>
    <t>19FAIVELEY06</t>
  </si>
  <si>
    <t>18FAIVELEY06</t>
  </si>
  <si>
    <t>17FAIVELEY05</t>
  </si>
  <si>
    <t>16FAIVELEY05</t>
  </si>
  <si>
    <t>22FAIVELEY08</t>
  </si>
  <si>
    <t>22FAIVELEY11</t>
  </si>
  <si>
    <t>GC ROUGE LARGE FORMAT:</t>
  </si>
  <si>
    <t>19FAIVELEY06JB</t>
  </si>
  <si>
    <t>19FAIVELEY05JB</t>
  </si>
  <si>
    <t>19FAIVELEY04MG</t>
  </si>
  <si>
    <t>19FAIVELEY04JB</t>
  </si>
  <si>
    <t>KIND WORDS ON FOURNIER, etc.:</t>
  </si>
  <si>
    <r>
      <t xml:space="preserve">S.Ohman, winehog.org 2020 </t>
    </r>
    <r>
      <rPr>
        <sz val="7"/>
        <color theme="1" tint="0.499984740745262"/>
        <rFont val="Noto Sans"/>
        <family val="2"/>
      </rPr>
      <t>'a practitioner of balance. His wines are not in the wild or extreme category, yet they do have tremendous depth &amp; intensity.'</t>
    </r>
  </si>
  <si>
    <r>
      <rPr>
        <b/>
        <sz val="7"/>
        <color theme="1" tint="0.499984740745262"/>
        <rFont val="Noto Sans"/>
        <family val="2"/>
      </rPr>
      <t>S.Ohman, winehog.org 2020</t>
    </r>
    <r>
      <rPr>
        <sz val="7"/>
        <color theme="1" tint="0.499984740745262"/>
        <rFont val="Noto Sans"/>
        <family val="2"/>
      </rPr>
      <t xml:space="preserve"> 'I was impressed to find fine energy and vivacity in his wines, and a hedonistic flair'</t>
    </r>
  </si>
  <si>
    <r>
      <t>Neal Martin, 2015</t>
    </r>
    <r>
      <rPr>
        <sz val="7"/>
        <color theme="1" tint="0.499984740745262"/>
        <rFont val="Noto Sans"/>
        <family val="2"/>
      </rPr>
      <t xml:space="preserve"> 'this domaine is...at the top of its game'</t>
    </r>
  </si>
  <si>
    <r>
      <rPr>
        <b/>
        <sz val="7"/>
        <color theme="1" tint="0.499984740745262"/>
        <rFont val="Noto Sans"/>
        <family val="2"/>
      </rPr>
      <t>Bill Nanson, 2017</t>
    </r>
    <r>
      <rPr>
        <sz val="7"/>
        <color theme="1" tint="0.499984740745262"/>
        <rFont val="Noto Sans"/>
        <family val="2"/>
      </rPr>
      <t xml:space="preserve"> 'super wines...more</t>
    </r>
    <r>
      <rPr>
        <i/>
        <sz val="7"/>
        <color theme="1" tint="0.499984740745262"/>
        <rFont val="Noto Sans"/>
        <family val="2"/>
      </rPr>
      <t> vin de garde</t>
    </r>
    <r>
      <rPr>
        <sz val="7"/>
        <color theme="1" tint="0.499984740745262"/>
        <rFont val="Noto Sans"/>
        <family val="2"/>
      </rPr>
      <t> in style'</t>
    </r>
  </si>
  <si>
    <r>
      <rPr>
        <b/>
        <sz val="7"/>
        <color theme="1" tint="0.499984740745262"/>
        <rFont val="Noto Sans"/>
        <family val="2"/>
      </rPr>
      <t>Bill Nanson, 2019</t>
    </r>
    <r>
      <rPr>
        <sz val="7"/>
        <color theme="1" tint="0.499984740745262"/>
        <rFont val="Noto Sans"/>
        <family val="2"/>
      </rPr>
      <t xml:space="preserve"> 'I used to consider Laurent’s wines to be the equal of those from Sylvain Pataille but styled with more emphasis on structure.</t>
    </r>
  </si>
  <si>
    <t>That’s probably still the case today, but the structure here is less overt than I remember.'</t>
  </si>
  <si>
    <r>
      <t xml:space="preserve">Bill Nanson, 2014 </t>
    </r>
    <r>
      <rPr>
        <sz val="7"/>
        <color theme="1" tint="0.499984740745262"/>
        <rFont val="Noto Sans"/>
        <family val="2"/>
      </rPr>
      <t>'on a par with, and sometimes bettering those of illustrious Marsannay neighbours, such as B.Clair and S.Pataille'</t>
    </r>
  </si>
  <si>
    <r>
      <rPr>
        <b/>
        <sz val="7"/>
        <color theme="1" tint="0.499984740745262"/>
        <rFont val="Noto Sans"/>
        <family val="2"/>
      </rPr>
      <t>Laurent Fournier, 2019</t>
    </r>
    <r>
      <rPr>
        <sz val="7"/>
        <color theme="1" tint="0.499984740745262"/>
        <rFont val="Noto Sans"/>
        <family val="2"/>
      </rPr>
      <t xml:space="preserve"> 'Now I’m using equal amounts of large format and normal 228 litre barrels and am much happier with low SO2...with this approach.'</t>
    </r>
  </si>
  <si>
    <r>
      <t>Laurent Fournier, 2017</t>
    </r>
    <r>
      <rPr>
        <sz val="7"/>
        <color theme="1" tint="0.499984740745262"/>
        <rFont val="Noto Sans"/>
        <family val="2"/>
      </rPr>
      <t xml:space="preserve"> 'I’m very fond of concentrated wines.'</t>
    </r>
  </si>
  <si>
    <r>
      <t>Laurent Fournier, 2014</t>
    </r>
    <r>
      <rPr>
        <sz val="7"/>
        <color theme="1" tint="0.499984740745262"/>
        <rFont val="Noto Sans"/>
        <family val="2"/>
      </rPr>
      <t xml:space="preserve"> 'we are not bio-extremists'</t>
    </r>
  </si>
  <si>
    <t>KIND WORDS ON CROIX VIOLETTES:</t>
  </si>
  <si>
    <r>
      <rPr>
        <b/>
        <sz val="7"/>
        <color theme="1" tint="0.499984740745262"/>
        <rFont val="Noto Sans"/>
        <family val="2"/>
      </rPr>
      <t>Guide Hachette 2012:</t>
    </r>
    <r>
      <rPr>
        <sz val="7"/>
        <color theme="1" tint="0.499984740745262"/>
        <rFont val="Noto Sans"/>
        <family val="2"/>
      </rPr>
      <t xml:space="preserve"> 'un &lt;&lt;évangile&gt;&gt;'</t>
    </r>
  </si>
  <si>
    <r>
      <rPr>
        <b/>
        <sz val="7"/>
        <color theme="1" tint="0.499984740745262"/>
        <rFont val="Noto Sans"/>
        <family val="2"/>
      </rPr>
      <t>Jasper Morris, 2021</t>
    </r>
    <r>
      <rPr>
        <sz val="7"/>
        <color theme="1" tint="0.499984740745262"/>
        <rFont val="Noto Sans"/>
        <family val="2"/>
      </rPr>
      <t xml:space="preserve"> 'something pretty special here. A Côte de Nuits with bulging muscles' (on 2019)</t>
    </r>
  </si>
  <si>
    <r>
      <rPr>
        <b/>
        <sz val="7"/>
        <color theme="1" tint="0.499984740745262"/>
        <rFont val="Noto Sans"/>
        <family val="2"/>
      </rPr>
      <t>Jasper Morris MW, 2019</t>
    </r>
    <r>
      <rPr>
        <sz val="7"/>
        <color theme="1" tint="0.499984740745262"/>
        <rFont val="Noto Sans"/>
        <family val="2"/>
      </rPr>
      <t xml:space="preserve"> 'this is exquisite on the palate, all in elegance' (on 2018)</t>
    </r>
  </si>
  <si>
    <r>
      <rPr>
        <b/>
        <sz val="7"/>
        <color theme="1" tint="0.499984740745262"/>
        <rFont val="Noto Sans"/>
        <family val="2"/>
      </rPr>
      <t>Bill Nanson, 2019</t>
    </r>
    <r>
      <rPr>
        <sz val="7"/>
        <color theme="1" tint="0.499984740745262"/>
        <rFont val="Noto Sans"/>
        <family val="2"/>
      </rPr>
      <t xml:space="preserve"> 'Lots of volume, depth of flavour, a little saline, extra complex. Slowly fading flavour. Ooh – excellent' (on 2017)</t>
    </r>
  </si>
  <si>
    <r>
      <rPr>
        <b/>
        <sz val="7"/>
        <color theme="1" tint="0.499984740745262"/>
        <rFont val="Noto Sans"/>
        <family val="2"/>
      </rPr>
      <t>Bill Nanson, 2014</t>
    </r>
    <r>
      <rPr>
        <sz val="7"/>
        <color theme="1" tint="0.499984740745262"/>
        <rFont val="Noto Sans"/>
        <family val="2"/>
      </rPr>
      <t xml:space="preserve"> 'Super length, simply a brilliant wine!' (on 2012)</t>
    </r>
  </si>
  <si>
    <r>
      <rPr>
        <b/>
        <sz val="7"/>
        <color theme="1" tint="0.499984740745262"/>
        <rFont val="Noto Sans"/>
        <family val="2"/>
      </rPr>
      <t>Neal Martin, 2016</t>
    </r>
    <r>
      <rPr>
        <sz val="7"/>
        <color theme="1" tint="0.499984740745262"/>
        <rFont val="Noto Sans"/>
        <family val="2"/>
      </rPr>
      <t xml:space="preserve"> 'Côtes de Nuits Croix Violettes Vieilles Vignes must rank as one of best I have ever tasted.'</t>
    </r>
  </si>
  <si>
    <t>JEAN FOURNIER, Dom.</t>
  </si>
  <si>
    <t>SAUVIGNON BLANC:</t>
  </si>
  <si>
    <t>Marsannay. 17ha domaine. (4.5ha is recent)</t>
  </si>
  <si>
    <t>15JFOURNIER02</t>
  </si>
  <si>
    <t>plantings are massale, high-density 12K/ha</t>
  </si>
  <si>
    <t>Laurent Fournier. C.17th family origins</t>
  </si>
  <si>
    <t>13JFOURNIER02</t>
  </si>
  <si>
    <t>hand-harvest; modest SO2; ambient yeast</t>
  </si>
  <si>
    <t>BLANC CHAMP FOREY VV:</t>
  </si>
  <si>
    <t>low/no SO2 fermentations</t>
  </si>
  <si>
    <t>22JFOURN03</t>
  </si>
  <si>
    <t>225L, 300L, 350L, 600L, foudres &amp; cement</t>
  </si>
  <si>
    <t>21JFOURN01</t>
  </si>
  <si>
    <t>since 2019, approx 1/2 demi-muids, 1/2 228L</t>
  </si>
  <si>
    <t>17JFOURNIER01</t>
  </si>
  <si>
    <t>Organic certifed 2008-2015, 2019 Ecocert</t>
  </si>
  <si>
    <t>16JFOURNIER01</t>
  </si>
  <si>
    <t>15JFOURNIER01</t>
  </si>
  <si>
    <r>
      <rPr>
        <b/>
        <sz val="7"/>
        <color theme="1" tint="0.499984740745262"/>
        <rFont val="Noto Sans"/>
        <family val="2"/>
      </rPr>
      <t>Bourgogne aligoté Cuvee S:</t>
    </r>
    <r>
      <rPr>
        <sz val="7"/>
        <color theme="1" tint="0.499984740745262"/>
        <rFont val="Noto Sans"/>
        <family val="2"/>
      </rPr>
      <t xml:space="preserve"> (for Sauvignon...)</t>
    </r>
  </si>
  <si>
    <t>13JFOURM02TB</t>
  </si>
  <si>
    <t>from young vines in En Mechalot</t>
  </si>
  <si>
    <t>MARSANNAY ROSÉ:</t>
  </si>
  <si>
    <r>
      <rPr>
        <b/>
        <sz val="7"/>
        <color theme="1" tint="0.499984740745262"/>
        <rFont val="Noto Sans"/>
        <family val="2"/>
      </rPr>
      <t>Champ Forey:</t>
    </r>
    <r>
      <rPr>
        <sz val="7"/>
        <color theme="1" tint="0.499984740745262"/>
        <rFont val="Noto Sans"/>
        <family val="2"/>
      </rPr>
      <t xml:space="preserve"> 0.8ha 2 parcels planted 1921, 1945</t>
    </r>
  </si>
  <si>
    <t>22JFOURN05</t>
  </si>
  <si>
    <t>on limestone, no clay, in Marsannay. Aligoté with</t>
  </si>
  <si>
    <t>MARSANNAY HALVES:</t>
  </si>
  <si>
    <t>approx 5% melon de Bourgogne. 600L casks</t>
  </si>
  <si>
    <t>22JFOURN06HF</t>
  </si>
  <si>
    <r>
      <rPr>
        <b/>
        <sz val="7"/>
        <color theme="1" tint="0.499984740745262"/>
        <rFont val="Noto Sans"/>
        <family val="2"/>
      </rPr>
      <t>Bourgogne (Cote d'Or) Rouge:</t>
    </r>
    <r>
      <rPr>
        <sz val="7"/>
        <color theme="1" tint="0.499984740745262"/>
        <rFont val="Noto Sans"/>
        <family val="2"/>
      </rPr>
      <t xml:space="preserve"> part young vines</t>
    </r>
  </si>
  <si>
    <t>21JFOURN04HF</t>
  </si>
  <si>
    <t>in Marsannay</t>
  </si>
  <si>
    <t>20JFOURN04HF</t>
  </si>
  <si>
    <r>
      <rPr>
        <b/>
        <sz val="7"/>
        <color theme="1" tint="0.499984740745262"/>
        <rFont val="Noto Sans"/>
        <family val="2"/>
      </rPr>
      <t>Pernand Les Vergelesses VV 1C</t>
    </r>
    <r>
      <rPr>
        <sz val="7"/>
        <color theme="1" tint="0.499984740745262"/>
        <rFont val="Noto Sans"/>
        <family val="2"/>
      </rPr>
      <t>: 1ha plot,</t>
    </r>
  </si>
  <si>
    <t>19JFOURN04HF</t>
  </si>
  <si>
    <t>1951 vines, ~2/3 whole cluster, demi muids only</t>
  </si>
  <si>
    <t>BOURGOGNE ROUGE:</t>
  </si>
  <si>
    <r>
      <rPr>
        <b/>
        <sz val="7"/>
        <color theme="1" tint="0.499984740745262"/>
        <rFont val="Noto Sans"/>
        <family val="2"/>
      </rPr>
      <t>(La) Croix Violettes VV</t>
    </r>
    <r>
      <rPr>
        <sz val="7"/>
        <color theme="1" tint="0.499984740745262"/>
        <rFont val="Noto Sans"/>
        <family val="2"/>
      </rPr>
      <t>: in Brochon, CDN</t>
    </r>
  </si>
  <si>
    <t>22JFOURN01</t>
  </si>
  <si>
    <t>(next to Gevrey) planted 1937 &amp; 1946 on clay-</t>
  </si>
  <si>
    <t>21JFOURN02</t>
  </si>
  <si>
    <t>limestone by the convent. Millerandé, average</t>
  </si>
  <si>
    <t>20JFOURN01</t>
  </si>
  <si>
    <t>25-30hl/ha, 50-75% stems. On the Route des GCs</t>
  </si>
  <si>
    <t>19JFOURN01</t>
  </si>
  <si>
    <t>18JFOURNIER01</t>
  </si>
  <si>
    <t>2024 CDN Villages in Brochon become Fixin AOC</t>
  </si>
  <si>
    <t>17JFOURNIER02</t>
  </si>
  <si>
    <t>2022 50% of Croix Violette due to be be ripped out</t>
  </si>
  <si>
    <t>16JFOURNIER02</t>
  </si>
  <si>
    <r>
      <t xml:space="preserve">2021 OK crop due to late pruning (like JM </t>
    </r>
    <r>
      <rPr>
        <sz val="7"/>
        <color theme="0"/>
        <rFont val="Noto sans"/>
        <family val="2"/>
      </rPr>
      <t>-</t>
    </r>
    <r>
      <rPr>
        <sz val="7"/>
        <color theme="1" tint="0.499984740745262"/>
        <rFont val="Noto Sans"/>
        <family val="2"/>
      </rPr>
      <t>Vincent)</t>
    </r>
  </si>
  <si>
    <t>15JFOURNIER03</t>
  </si>
  <si>
    <t>2019 B+D Guide Top 100 Producteurs de L'Année</t>
  </si>
  <si>
    <t>14JFOURNIER03</t>
  </si>
  <si>
    <t>2018 founder member of Les Aligoteurs group</t>
  </si>
  <si>
    <t>THE CRUS:</t>
  </si>
  <si>
    <t>2016 organic certification lost due to spraying</t>
  </si>
  <si>
    <t>22JFOURN04</t>
  </si>
  <si>
    <t>2011 voted Côte de Nuits young vigneron of the yr</t>
  </si>
  <si>
    <t>21JFOURN05</t>
  </si>
  <si>
    <t>2008 thru 2015s organic certified</t>
  </si>
  <si>
    <t>20JFOURN03</t>
  </si>
  <si>
    <t>2003 Laurent takes over; starts organic farming</t>
  </si>
  <si>
    <t>19JFOURN03</t>
  </si>
  <si>
    <t>2001 son Laurent joins Jean</t>
  </si>
  <si>
    <t>18JFOURNIER03</t>
  </si>
  <si>
    <t>1962 Jean starts vinifying, aged 19</t>
  </si>
  <si>
    <t>17JFOURNIER04</t>
  </si>
  <si>
    <t>1961 end of family polyculture</t>
  </si>
  <si>
    <t>22JFOURN02</t>
  </si>
  <si>
    <t>C.17th - origins of family estate</t>
  </si>
  <si>
    <t>21JFOURN03</t>
  </si>
  <si>
    <t>B+D 3* estate 2022; RVF 1* estate 2022</t>
  </si>
  <si>
    <t>20JFOURN02</t>
  </si>
  <si>
    <t>Domaine-Fournier.com</t>
  </si>
  <si>
    <t>19JFOURN02</t>
  </si>
  <si>
    <t>18JFOURNIER02</t>
  </si>
  <si>
    <t>17JFOURNIER03</t>
  </si>
  <si>
    <t>instagram.com/domainejeanfournier/</t>
  </si>
  <si>
    <t>16JFOURNIER03</t>
  </si>
  <si>
    <t>facebook.com/domainejeanfournier/</t>
  </si>
  <si>
    <t>15JFOURNIER04</t>
  </si>
  <si>
    <t>GROWER CODE: JFOUR</t>
  </si>
  <si>
    <t>14JFOURNIER04</t>
  </si>
  <si>
    <t>13JFOURNIER04</t>
  </si>
  <si>
    <t>12JFOURM01TB</t>
  </si>
  <si>
    <t>13JFOURM01TB</t>
  </si>
  <si>
    <t>CROIX VIOLETTE VV EN MAGNUM:</t>
  </si>
  <si>
    <t>22JFOURN02MG</t>
  </si>
  <si>
    <t>21JFOURN03MG</t>
  </si>
  <si>
    <t>20JFOURN02MG</t>
  </si>
  <si>
    <t>19JFOURN02MG</t>
  </si>
  <si>
    <t>KIND WORDS ON GOUGES:</t>
  </si>
  <si>
    <r>
      <rPr>
        <b/>
        <sz val="7"/>
        <color theme="1" tint="0.499984740745262"/>
        <rFont val="Noto Sans"/>
        <family val="2"/>
      </rPr>
      <t>B+D Guide 2020</t>
    </r>
    <r>
      <rPr>
        <sz val="7"/>
        <color theme="1" tint="0.499984740745262"/>
        <rFont val="Noto Sans"/>
        <family val="2"/>
      </rPr>
      <t xml:space="preserve"> 'Domaine célèbre parmi les célèbres de Nuits St.Georges' </t>
    </r>
  </si>
  <si>
    <r>
      <rPr>
        <b/>
        <sz val="7"/>
        <color theme="1" tint="0.499984740745262"/>
        <rFont val="Noto Sans"/>
        <family val="2"/>
      </rPr>
      <t>N.Martin, 2019</t>
    </r>
    <r>
      <rPr>
        <sz val="7"/>
        <color theme="1" tint="0.499984740745262"/>
        <rFont val="Noto Sans"/>
        <family val="2"/>
      </rPr>
      <t xml:space="preserve"> 'tend to be earthier, more brittle in texture, at least in the flush of youth...more mercurial, demand longer bottle age.'</t>
    </r>
  </si>
  <si>
    <r>
      <rPr>
        <b/>
        <sz val="7"/>
        <color theme="1" tint="0.499984740745262"/>
        <rFont val="Noto Sans"/>
        <family val="2"/>
      </rPr>
      <t>N.Martin, 2018</t>
    </r>
    <r>
      <rPr>
        <sz val="7"/>
        <color theme="1" tint="0.499984740745262"/>
        <rFont val="Noto Sans"/>
        <family val="2"/>
      </rPr>
      <t xml:space="preserve"> 'The wines tend to wear their hearts on their sleeves and reflect the vagaries of the growing season.'</t>
    </r>
  </si>
  <si>
    <r>
      <rPr>
        <b/>
        <sz val="7"/>
        <color theme="1" tint="0.499984740745262"/>
        <rFont val="Noto Sans"/>
        <family val="2"/>
      </rPr>
      <t>N.Martin, 2018</t>
    </r>
    <r>
      <rPr>
        <sz val="7"/>
        <color theme="1" tint="0.499984740745262"/>
        <rFont val="Noto Sans"/>
        <family val="2"/>
      </rPr>
      <t xml:space="preserve">  '(the wines) are an acquired taste, appealing more to drinkers with experienced palates. ...nothing wrong with that'</t>
    </r>
  </si>
  <si>
    <r>
      <rPr>
        <b/>
        <sz val="7"/>
        <color theme="1" tint="0.499984740745262"/>
        <rFont val="Noto Sans"/>
        <family val="2"/>
      </rPr>
      <t>Jasper Morris MW, Inside Burgundy</t>
    </r>
    <r>
      <rPr>
        <sz val="7"/>
        <color theme="1" tint="0.499984740745262"/>
        <rFont val="Noto Sans"/>
        <family val="2"/>
      </rPr>
      <t xml:space="preserve"> 'If they happen to show awkwardly in their youth – </t>
    </r>
    <r>
      <rPr>
        <i/>
        <sz val="7"/>
        <color theme="1" tint="0.499984740745262"/>
        <rFont val="Noto Sans"/>
        <family val="2"/>
      </rPr>
      <t>tant pis</t>
    </r>
    <r>
      <rPr>
        <sz val="7"/>
        <color theme="1" tint="0.499984740745262"/>
        <rFont val="Noto Sans"/>
        <family val="2"/>
      </rPr>
      <t>.'</t>
    </r>
  </si>
  <si>
    <r>
      <rPr>
        <b/>
        <sz val="7"/>
        <color theme="1" tint="0.499984740745262"/>
        <rFont val="Noto Sans"/>
        <family val="2"/>
      </rPr>
      <t>Galloni, May 2011</t>
    </r>
    <r>
      <rPr>
        <sz val="7"/>
        <color theme="1" tint="0.499984740745262"/>
        <rFont val="Noto Sans"/>
        <family val="2"/>
      </rPr>
      <t xml:space="preserve"> 'sturdy Burgundies that benefit immensely from cellaring.'</t>
    </r>
  </si>
  <si>
    <r>
      <rPr>
        <b/>
        <sz val="7"/>
        <color theme="1" tint="0.499984740745262"/>
        <rFont val="Noto Sans"/>
        <family val="2"/>
      </rPr>
      <t>R.Parker, 1990</t>
    </r>
    <r>
      <rPr>
        <sz val="7"/>
        <color theme="1" tint="0.499984740745262"/>
        <rFont val="Noto Sans"/>
        <family val="2"/>
      </rPr>
      <t xml:space="preserve"> 'This famous and important estate historically has produced some of the finest red burgundies in the Cote d'Or.'</t>
    </r>
  </si>
  <si>
    <t>HENRI GOUGES, Dom.</t>
  </si>
  <si>
    <t>NUITS 1C PINOT-GOUGES BLANC:</t>
  </si>
  <si>
    <t xml:space="preserve">Nuits St.Georges. Gregory Gouges &amp; family </t>
  </si>
  <si>
    <t>22GOUGES07</t>
  </si>
  <si>
    <t xml:space="preserve">14.5ha vines, incl.12ha 1C. 25-65yrs old </t>
  </si>
  <si>
    <t>21GOUGES01</t>
  </si>
  <si>
    <t>Organic certified BAC</t>
  </si>
  <si>
    <t>20GOUGES07</t>
  </si>
  <si>
    <t>19GOUGES07</t>
  </si>
  <si>
    <t>max 35hl/ha; no acidification</t>
  </si>
  <si>
    <t>18GOUGES07</t>
  </si>
  <si>
    <t>bunches usually 100% destemmed</t>
  </si>
  <si>
    <t>17GOUGES07</t>
  </si>
  <si>
    <t>chaptalisation generally avoided</t>
  </si>
  <si>
    <t>16GOUGES01</t>
  </si>
  <si>
    <t>10-20-25% new oak; unfined, unfiltered</t>
  </si>
  <si>
    <t>15GOUGES07</t>
  </si>
  <si>
    <t>13GOUGES07</t>
  </si>
  <si>
    <t>2018 1st entry in Wine Spectator's Top 100</t>
  </si>
  <si>
    <t>11GOUGES07</t>
  </si>
  <si>
    <t>2017 Pierre's cousin Antoine joins, taking vines</t>
  </si>
  <si>
    <t>NUITS VILLAGE:</t>
  </si>
  <si>
    <t>2007 1st vintage in new cuverie; pumping ended</t>
  </si>
  <si>
    <t>22GOUGES01</t>
  </si>
  <si>
    <t>2003 Pierre takes over winemaking</t>
  </si>
  <si>
    <t>20GOUGES01</t>
  </si>
  <si>
    <t>2003 Pierre's son Gregory joins, 4th generation</t>
  </si>
  <si>
    <t>18GOUGES01</t>
  </si>
  <si>
    <t>1991 end of filtration</t>
  </si>
  <si>
    <t>17GOUGES01</t>
  </si>
  <si>
    <t xml:space="preserve">1985-6 cousins Christian &amp; Pierre take over  </t>
  </si>
  <si>
    <t>NORTH NUITS 1C (VOSNE SIDE):</t>
  </si>
  <si>
    <t>1975 ray-grass experiment started</t>
  </si>
  <si>
    <t>22GOUGES02</t>
  </si>
  <si>
    <t>1967 Henri dies; sons Marcel &amp; Michel take over</t>
  </si>
  <si>
    <t>SOUTH NUITS 1C:</t>
  </si>
  <si>
    <t>1956 Pierre born; joined 1974</t>
  </si>
  <si>
    <t>22GOUGES03</t>
  </si>
  <si>
    <t>1950s 1st commercialised Pinot Gouges (Blanc)</t>
  </si>
  <si>
    <t>20GOUGES02</t>
  </si>
  <si>
    <t>1948 Christian born; joined 1967</t>
  </si>
  <si>
    <t>19GOUGES03</t>
  </si>
  <si>
    <t>1947 1st Perriere Blanc produced</t>
  </si>
  <si>
    <t>18GOUGES03</t>
  </si>
  <si>
    <t>1936 Pinot Gouges (blanc) isolated</t>
  </si>
  <si>
    <t>17GOUGES03</t>
  </si>
  <si>
    <r>
      <t xml:space="preserve">1928 labels now stamped </t>
    </r>
    <r>
      <rPr>
        <i/>
        <sz val="7"/>
        <color theme="1" tint="0.499984740745262"/>
        <rFont val="Noto Sans"/>
        <family val="2"/>
      </rPr>
      <t>'Authenticité garantie'</t>
    </r>
  </si>
  <si>
    <t>22GOUGES04</t>
  </si>
  <si>
    <t>1924 1st domaine bottling (w. Rousseau, Leroy)</t>
  </si>
  <si>
    <t>20GOUGES04</t>
  </si>
  <si>
    <t>1920s &amp; 30s domaine is enlarged</t>
  </si>
  <si>
    <t>19GOUGES04</t>
  </si>
  <si>
    <t>1920s Henri takes over vines</t>
  </si>
  <si>
    <t>18GOUGES04</t>
  </si>
  <si>
    <t>1889 Henri Gouges born</t>
  </si>
  <si>
    <t>17GOUGES04</t>
  </si>
  <si>
    <t>1882 Nuits becomes Nuits-St.Georges</t>
  </si>
  <si>
    <t>22GOUGES05</t>
  </si>
  <si>
    <t>KEY VINEYARDS - NB ALL ARE NSG:</t>
  </si>
  <si>
    <t>22GOUGES06</t>
  </si>
  <si>
    <r>
      <t>Perriere BLANC:</t>
    </r>
    <r>
      <rPr>
        <sz val="7"/>
        <color theme="1" tint="0.499984740745262"/>
        <rFont val="Noto Sans"/>
        <family val="2"/>
      </rPr>
      <t xml:space="preserve"> 0.4ha planted 1945-1954</t>
    </r>
  </si>
  <si>
    <t>NUITS EN MAGNUM:</t>
  </si>
  <si>
    <r>
      <rPr>
        <b/>
        <sz val="7"/>
        <color theme="1" tint="0.499984740745262"/>
        <rFont val="Noto Sans"/>
        <family val="2"/>
      </rPr>
      <t>Villages</t>
    </r>
    <r>
      <rPr>
        <sz val="7"/>
        <color theme="1" tint="0.499984740745262"/>
        <rFont val="Noto Sans"/>
        <family val="2"/>
      </rPr>
      <t>: 3.2ha in 7 plots, average 50yrs old</t>
    </r>
  </si>
  <si>
    <t>18GOUGES04MG</t>
  </si>
  <si>
    <r>
      <rPr>
        <b/>
        <sz val="7"/>
        <color theme="1" tint="0.499984740745262"/>
        <rFont val="Noto Sans"/>
        <family val="2"/>
      </rPr>
      <t>Chaignots:</t>
    </r>
    <r>
      <rPr>
        <sz val="7"/>
        <color theme="1" tint="0.499984740745262"/>
        <rFont val="Noto Sans"/>
        <family val="2"/>
      </rPr>
      <t xml:space="preserve"> 0.45ha, sole North (Vosne) side terroir</t>
    </r>
  </si>
  <si>
    <t>17GOUGES04MG</t>
  </si>
  <si>
    <t>planted 1980s</t>
  </si>
  <si>
    <r>
      <rPr>
        <b/>
        <sz val="7"/>
        <color theme="1" tint="0.499984740745262"/>
        <rFont val="Noto Sans"/>
        <family val="2"/>
      </rPr>
      <t>Clos des Porrets 1C MONOPOLE</t>
    </r>
    <r>
      <rPr>
        <sz val="7"/>
        <color theme="1" tint="0.499984740745262"/>
        <rFont val="Noto Sans"/>
        <family val="2"/>
      </rPr>
      <t>: 3.57ha bought</t>
    </r>
  </si>
  <si>
    <t>1934. Planted between 1925-93 on pink limestone</t>
  </si>
  <si>
    <r>
      <rPr>
        <b/>
        <sz val="7"/>
        <color theme="1" tint="0.499984740745262"/>
        <rFont val="Noto Sans"/>
        <family val="2"/>
      </rPr>
      <t>Pruliers 1C</t>
    </r>
    <r>
      <rPr>
        <sz val="7"/>
        <color theme="1" tint="0.499984740745262"/>
        <rFont val="Noto Sans"/>
        <family val="2"/>
      </rPr>
      <t>: 1.88ha in 2 parcels bought 1920.</t>
    </r>
  </si>
  <si>
    <t>1 is 70-80yrs old; 1 is 15-25yrs old</t>
  </si>
  <si>
    <r>
      <rPr>
        <b/>
        <sz val="7"/>
        <color theme="1" tint="0.499984740745262"/>
        <rFont val="Noto Sans"/>
        <family val="2"/>
      </rPr>
      <t>Vaucrains 1C</t>
    </r>
    <r>
      <rPr>
        <sz val="7"/>
        <color theme="1" tint="0.499984740745262"/>
        <rFont val="Noto Sans"/>
        <family val="2"/>
      </rPr>
      <t>: 1ha low yield on steep calcite plot</t>
    </r>
  </si>
  <si>
    <t>1 part planted 1930-1950; 1 part 1990-2000</t>
  </si>
  <si>
    <r>
      <rPr>
        <b/>
        <sz val="7"/>
        <color theme="1" tint="0.499984740745262"/>
        <rFont val="Noto Sans"/>
        <family val="2"/>
      </rPr>
      <t>Les St.Georges</t>
    </r>
    <r>
      <rPr>
        <sz val="7"/>
        <color theme="1" tint="0.499984740745262"/>
        <rFont val="Noto Sans"/>
        <family val="2"/>
      </rPr>
      <t xml:space="preserve"> 1C: 1.08ha bought 1921 E.facing</t>
    </r>
  </si>
  <si>
    <t>on limestone. Planted 1930s-1970s</t>
  </si>
  <si>
    <t>Gouges.com</t>
  </si>
  <si>
    <t>GROWER CODE: GOUGES</t>
  </si>
  <si>
    <t>JEAN GRIVOT, Dom.</t>
  </si>
  <si>
    <t>Vosne-Romanée</t>
  </si>
  <si>
    <t>22GRIVOT01</t>
  </si>
  <si>
    <t xml:space="preserve">Etienne &amp; Marielle Grivot, 5th gen. </t>
  </si>
  <si>
    <t>21GRIVOT08</t>
  </si>
  <si>
    <t>with children Mathilde &amp; Hubert, 6th gen.</t>
  </si>
  <si>
    <t>15ha high vine density @ 10,000/ha</t>
  </si>
  <si>
    <t>22GRIVOT02</t>
  </si>
  <si>
    <t>horse ploughing in GC &amp; 1Cs</t>
  </si>
  <si>
    <t>22GRIVOT12</t>
  </si>
  <si>
    <t xml:space="preserve">average vine age 45 to 60 yrs </t>
  </si>
  <si>
    <t>sustainable farming; ⓋVegan compatible</t>
  </si>
  <si>
    <t>22GRIVOT06</t>
  </si>
  <si>
    <t>organic-compatible treatments as standard</t>
  </si>
  <si>
    <t>22GRIVOT07</t>
  </si>
  <si>
    <t>ambient yeast; always unfined</t>
  </si>
  <si>
    <t>22GRIVOT11</t>
  </si>
  <si>
    <t>22GRIVOT05</t>
  </si>
  <si>
    <t>2016 Vougeot GC in Wine Enthusiast Top 100 CS</t>
  </si>
  <si>
    <t>22GRIVOT04</t>
  </si>
  <si>
    <t>2011 B+D Guide awards 4th star</t>
  </si>
  <si>
    <t>22GRIVOT03</t>
  </si>
  <si>
    <t>1996 1st entry in Wine Spectator Top 100</t>
  </si>
  <si>
    <t>COTE DE NUITS GC:</t>
  </si>
  <si>
    <t>1994 Raeburn Wines start shipping Grivot</t>
  </si>
  <si>
    <t>22GRIVOT09</t>
  </si>
  <si>
    <t>1990 Etienne takes over</t>
  </si>
  <si>
    <t>21GRIVOT06</t>
  </si>
  <si>
    <t>1987 to 1992 Guy Accad era vintages</t>
  </si>
  <si>
    <t>20GRIVOT09</t>
  </si>
  <si>
    <t>1982 Etienne joins father Jean</t>
  </si>
  <si>
    <t>22GRIVOT08</t>
  </si>
  <si>
    <t>1959 all wines estate bottled</t>
  </si>
  <si>
    <t>21GRIVOT04</t>
  </si>
  <si>
    <t>1955 Gaston dies; son Jean Grivot takes over</t>
  </si>
  <si>
    <t>20GRIVOT08</t>
  </si>
  <si>
    <t>1919 Clos de Vougeot purchased</t>
  </si>
  <si>
    <t>1919 Gaston Grivot starts bottling</t>
  </si>
  <si>
    <t>20GRIVOT07MG</t>
  </si>
  <si>
    <t>1790s Grivots move from Jura to Vosne</t>
  </si>
  <si>
    <t>17GRIVOT06MG</t>
  </si>
  <si>
    <t>NUITS 1C 300CL JEROS:</t>
  </si>
  <si>
    <t>CC 3* estate, 2008</t>
  </si>
  <si>
    <t>13GRIVOT05JB</t>
  </si>
  <si>
    <t>DomaineGrivot.fr</t>
  </si>
  <si>
    <t>14GRIVOT07JB</t>
  </si>
  <si>
    <t>NB MOST 1C &amp; GC SELLS OUT E.P.</t>
  </si>
  <si>
    <t>13GRIVOT06JB</t>
  </si>
  <si>
    <t>GROWER CODE: GRIVOT</t>
  </si>
  <si>
    <t>KIND WORDS ON GUILLARD:</t>
  </si>
  <si>
    <r>
      <rPr>
        <b/>
        <sz val="7"/>
        <color theme="1" tint="0.499984740745262"/>
        <rFont val="Noto Sans"/>
        <family val="2"/>
      </rPr>
      <t>Guide Hachette 2021</t>
    </r>
    <r>
      <rPr>
        <sz val="7"/>
        <color theme="1" tint="0.499984740745262"/>
        <rFont val="Noto Sans"/>
        <family val="2"/>
      </rPr>
      <t xml:space="preserve"> 'Réputé pour livrer des vins de garde d'une belle finesse tannique' (Guillard Lavaux St.Jacques)</t>
    </r>
  </si>
  <si>
    <r>
      <rPr>
        <b/>
        <sz val="7"/>
        <color theme="1" tint="0.499984740745262"/>
        <rFont val="Noto Sans"/>
        <family val="2"/>
      </rPr>
      <t>Guide Hachette 2021</t>
    </r>
    <r>
      <rPr>
        <sz val="7"/>
        <color theme="1" tint="0.499984740745262"/>
        <rFont val="Noto Sans"/>
        <family val="2"/>
      </rPr>
      <t xml:space="preserve"> 'un climat qui jouxte le Grand Cru Mazis-Chambertin et qui ne nourrit pas de complexe auprès de son illustre voisin' (Courbeaux)</t>
    </r>
  </si>
  <si>
    <r>
      <rPr>
        <b/>
        <sz val="7"/>
        <color theme="1" tint="0.499984740745262"/>
        <rFont val="Noto Sans"/>
        <family val="2"/>
      </rPr>
      <t>Guide Hachette 2015</t>
    </r>
    <r>
      <rPr>
        <sz val="7"/>
        <color theme="1" tint="0.499984740745262"/>
        <rFont val="Noto Sans"/>
        <family val="2"/>
      </rPr>
      <t xml:space="preserve"> 'Corvées VV ou Corbeaux 1C, l'une ou l'autre des cuvées-phare de Michel Guillard, souvent les deux, séduisent chaque année'</t>
    </r>
  </si>
  <si>
    <r>
      <rPr>
        <b/>
        <sz val="7"/>
        <color theme="1" tint="0.499984740745262"/>
        <rFont val="Noto Sans"/>
        <family val="2"/>
      </rPr>
      <t>Guide Hachette 2013</t>
    </r>
    <r>
      <rPr>
        <sz val="7"/>
        <color theme="1" tint="0.499984740745262"/>
        <rFont val="Noto Sans"/>
        <family val="2"/>
      </rPr>
      <t xml:space="preserve"> 'une cuvée d'une régularité remarquable, souvent étoilée' (Courbeaux)</t>
    </r>
  </si>
  <si>
    <r>
      <rPr>
        <b/>
        <sz val="7"/>
        <color theme="1" tint="0.499984740745262"/>
        <rFont val="Noto Sans"/>
        <family val="2"/>
      </rPr>
      <t>Guide Hachette 2012</t>
    </r>
    <r>
      <rPr>
        <sz val="7"/>
        <color theme="1" tint="0.499984740745262"/>
        <rFont val="Noto Sans"/>
        <family val="2"/>
      </rPr>
      <t xml:space="preserve"> 'Cuvée-phare du domaine, les vieilles vignes des Corbeaux'</t>
    </r>
  </si>
  <si>
    <r>
      <rPr>
        <b/>
        <sz val="7"/>
        <color theme="1" tint="0.499984740745262"/>
        <rFont val="Noto Sans"/>
        <family val="2"/>
      </rPr>
      <t xml:space="preserve">Guide Hachette 2011 </t>
    </r>
    <r>
      <rPr>
        <sz val="7"/>
        <color theme="1" tint="0.499984740745262"/>
        <rFont val="Noto Sans"/>
        <family val="2"/>
      </rPr>
      <t>'(Courbeaux) 1C est connu pour livrer des vins du juste milieu: ni tanniques ni fluets, mais fruités et accessibles dès leur jeunesse.'</t>
    </r>
  </si>
  <si>
    <t>GUILLARD, Domaine</t>
  </si>
  <si>
    <t>GEVREY FROM THE CÔTE:</t>
  </si>
  <si>
    <t>Gevrey Chambertin; Rue des Halles cellar</t>
  </si>
  <si>
    <t>22GUILLARD01</t>
  </si>
  <si>
    <t>4.8ha vines; Michel &amp; Odette Guillard</t>
  </si>
  <si>
    <t>21GUILLARD01</t>
  </si>
  <si>
    <t>longish cuvaison; 18months elevage</t>
  </si>
  <si>
    <t>20GUILLARD01</t>
  </si>
  <si>
    <t>19GUILLARD01</t>
  </si>
  <si>
    <t>18GUILLARD01</t>
  </si>
  <si>
    <t>2013 1st vintage bought by Raeburn Fine Wines</t>
  </si>
  <si>
    <t>22GUILLARD02</t>
  </si>
  <si>
    <t>1994 1st vintage Lavaux St.Jacques. ~2casks size</t>
  </si>
  <si>
    <t>21GUILLARD02</t>
  </si>
  <si>
    <t>1993 more Courbeaux 1C bought, now 0.48ha</t>
  </si>
  <si>
    <t>20GUILLARD02</t>
  </si>
  <si>
    <t>1979 Michel &amp; sister Odette took over (3rd gen.)</t>
  </si>
  <si>
    <t>19GUILLARD02</t>
  </si>
  <si>
    <t>1958 André Guillard took over, via marriage</t>
  </si>
  <si>
    <t>18GUILLARD02</t>
  </si>
  <si>
    <t>1947 Aux Corvées VV planted</t>
  </si>
  <si>
    <t>22GUILLARD03</t>
  </si>
  <si>
    <t>1937 1st 1C purchased, Les Courbeaux</t>
  </si>
  <si>
    <t>21GUILLARD03</t>
  </si>
  <si>
    <t>1929 Les Courbeaux 1C planted</t>
  </si>
  <si>
    <t>20GUILLARD03</t>
  </si>
  <si>
    <t>1913 1st vines purchased by Jeanne Lyonnet</t>
  </si>
  <si>
    <t>19GUILLARD03</t>
  </si>
  <si>
    <t>1882 Jeanne Lyonnet born; she worked as a maid</t>
  </si>
  <si>
    <t>18GUILLARD03</t>
  </si>
  <si>
    <t>NB NO EN PRIMEUR; NO COMPUTER</t>
  </si>
  <si>
    <t>17GUILLARD03</t>
  </si>
  <si>
    <t>GROWER CODE: GUILLARD</t>
  </si>
  <si>
    <t>22GUILLARD04</t>
  </si>
  <si>
    <t>21GUILLARD04</t>
  </si>
  <si>
    <t>20GUILLARD04</t>
  </si>
  <si>
    <t>19GUILLARD04</t>
  </si>
  <si>
    <t>18GUILLARD04</t>
  </si>
  <si>
    <t>17GUILLARD04</t>
  </si>
  <si>
    <t>GEVREY FROM THE COMBE:</t>
  </si>
  <si>
    <t>22GUILLARD05</t>
  </si>
  <si>
    <t>21GUILLARD05</t>
  </si>
  <si>
    <t>20GUILLARD05</t>
  </si>
  <si>
    <t>19GUILLARD05</t>
  </si>
  <si>
    <t>18GUILLARD05</t>
  </si>
  <si>
    <t>17GUILLARD05</t>
  </si>
  <si>
    <t>22GUILLARD06</t>
  </si>
  <si>
    <t>21GUILLARD06</t>
  </si>
  <si>
    <t>20GUILLARD06</t>
  </si>
  <si>
    <t>19GUILLARD06</t>
  </si>
  <si>
    <t>17GUILLARD06</t>
  </si>
  <si>
    <t>KIND WORDS ON GUYON, etc.:</t>
  </si>
  <si>
    <r>
      <t>Motto:</t>
    </r>
    <r>
      <rPr>
        <sz val="7"/>
        <color theme="1" tint="0.499984740745262"/>
        <rFont val="Noto Sans"/>
        <family val="2"/>
      </rPr>
      <t xml:space="preserve"> 'Live happy, live hidden'</t>
    </r>
  </si>
  <si>
    <r>
      <rPr>
        <b/>
        <sz val="7"/>
        <color theme="1" tint="0.499984740745262"/>
        <rFont val="Noto Sans"/>
        <family val="2"/>
      </rPr>
      <t>Jean-Pierre</t>
    </r>
    <r>
      <rPr>
        <sz val="7"/>
        <color theme="1" tint="0.499984740745262"/>
        <rFont val="Noto Sans"/>
        <family val="2"/>
      </rPr>
      <t xml:space="preserve"> 'I am the shepherd of my grapes'</t>
    </r>
  </si>
  <si>
    <r>
      <rPr>
        <b/>
        <sz val="7"/>
        <color theme="1" tint="0.499984740745262"/>
        <rFont val="Noto Sans"/>
        <family val="2"/>
      </rPr>
      <t xml:space="preserve">Jasper Morris MW </t>
    </r>
    <r>
      <rPr>
        <sz val="7"/>
        <color theme="1" tint="0.499984740745262"/>
        <rFont val="Noto Sans"/>
        <family val="2"/>
      </rPr>
      <t>'I only discovered Jean-Pierre Guyon's wines a couple of years ago but fell in love with them immediately.'</t>
    </r>
  </si>
  <si>
    <r>
      <t>B+D Guide, 2016</t>
    </r>
    <r>
      <rPr>
        <sz val="7"/>
        <color theme="1" tint="0.499984740745262"/>
        <rFont val="Noto Sans"/>
        <family val="2"/>
      </rPr>
      <t xml:space="preserve"> 'depuis quelques millesimes des vins d'une rare beauté de style…'</t>
    </r>
  </si>
  <si>
    <r>
      <t>B+D Guide, 2016</t>
    </r>
    <r>
      <rPr>
        <sz val="7"/>
        <color theme="1" tint="0.499984740745262"/>
        <rFont val="Noto Sans"/>
        <family val="2"/>
      </rPr>
      <t xml:space="preserve"> 'cuvée Vosne-Orveaux et son Clos Vougeot font partie entre autre des tout grands vin, encore méconnus, de La Bourgogne'</t>
    </r>
  </si>
  <si>
    <r>
      <t>B+D Guide, 2015</t>
    </r>
    <r>
      <rPr>
        <sz val="7"/>
        <color theme="1" tint="0.499984740745262"/>
        <rFont val="Noto Sans"/>
        <family val="2"/>
      </rPr>
      <t xml:space="preserve"> 'cette source devient des plus incontournables dans le village'</t>
    </r>
  </si>
  <si>
    <r>
      <rPr>
        <b/>
        <sz val="7"/>
        <color theme="1" tint="0.499984740745262"/>
        <rFont val="Noto Sans"/>
        <family val="2"/>
      </rPr>
      <t>N.Martin, 2014</t>
    </r>
    <r>
      <rPr>
        <sz val="7"/>
        <color theme="1" tint="0.499984740745262"/>
        <rFont val="Noto Sans"/>
        <family val="2"/>
      </rPr>
      <t xml:space="preserve"> 'This is a producer that seems to be moving in a positive direction.' </t>
    </r>
  </si>
  <si>
    <t>J.P. GUYON, by</t>
  </si>
  <si>
    <t>MOREY BLANC - CHARDONNAY:</t>
  </si>
  <si>
    <t>Jean-Pierre &amp; Isabelle</t>
  </si>
  <si>
    <t>21GUYON11</t>
  </si>
  <si>
    <t>Vosne-Romanée. 9ha: 60%CDN, 40%CDB</t>
  </si>
  <si>
    <t>20GUYON11</t>
  </si>
  <si>
    <t>Organic certified 2012 Ecocert/Veritas</t>
  </si>
  <si>
    <t>19GUYON11</t>
  </si>
  <si>
    <t>18GUYON11</t>
  </si>
  <si>
    <t>(in red wines), with some BD practices</t>
  </si>
  <si>
    <t>17GUYON11</t>
  </si>
  <si>
    <t>circular tressage called 'en pont' for pinot</t>
  </si>
  <si>
    <t>low yields; triage; red ferment with pedicels;</t>
  </si>
  <si>
    <t>15GUYON10</t>
  </si>
  <si>
    <t xml:space="preserve">ambient yeast; vertical press; modest SO2 </t>
  </si>
  <si>
    <t>NUITS BLANC - PINOT-GOUGES BLANC:</t>
  </si>
  <si>
    <t>Rousseau casks, with Troncais focus</t>
  </si>
  <si>
    <t>22GUYON10</t>
  </si>
  <si>
    <t>JP is in tasting group with Michel Mallard</t>
  </si>
  <si>
    <t>21GUYON10</t>
  </si>
  <si>
    <t>of Dom. Eugenie, &amp; Pascal Mugneret</t>
  </si>
  <si>
    <t>20GUYON10</t>
  </si>
  <si>
    <t>of Gerard Mugneret</t>
  </si>
  <si>
    <t>19GUYON10</t>
  </si>
  <si>
    <t>18GUYON10</t>
  </si>
  <si>
    <t>17GUYON10</t>
  </si>
  <si>
    <t>2019 trial of 'en pont' circular tressage in pinot</t>
  </si>
  <si>
    <t>16GUYON10</t>
  </si>
  <si>
    <t>2019 1st vintage of 'decortication' in pinot noir</t>
  </si>
  <si>
    <t>2019 1st William Kelley write up for TWA</t>
  </si>
  <si>
    <t>BOURGONE ROUGE:</t>
  </si>
  <si>
    <t>2016 B+D Guide awards 4th star</t>
  </si>
  <si>
    <t>22GUYON01</t>
  </si>
  <si>
    <t>2015 Jean-Pierre &amp; Isabelle take over; Michel retires</t>
  </si>
  <si>
    <t>17GUYON01</t>
  </si>
  <si>
    <t>2012/3 first vintages at new level &amp; style…</t>
  </si>
  <si>
    <t>16GUYON01</t>
  </si>
  <si>
    <t>2012 B+D Guide awards 3rd star</t>
  </si>
  <si>
    <t>15GUYON01</t>
  </si>
  <si>
    <t>2012 Organic certified, Veritas (started 2006)</t>
  </si>
  <si>
    <t>14GUYON01</t>
  </si>
  <si>
    <t>2010 1st vintage 100% stems</t>
  </si>
  <si>
    <t>13GUYON01TB</t>
  </si>
  <si>
    <t>1999 1st Vosne Charmes de Mazieres</t>
  </si>
  <si>
    <t>CÔTE DE BEAUNE ROUGE:</t>
  </si>
  <si>
    <t>1993 end of barley production</t>
  </si>
  <si>
    <t>22GUYON02</t>
  </si>
  <si>
    <t>1991 Jean-Pierre &amp; then Michel started with 2.5ha</t>
  </si>
  <si>
    <t>21GUYON02</t>
  </si>
  <si>
    <t>1953 father started</t>
  </si>
  <si>
    <t>20GUYON02</t>
  </si>
  <si>
    <t>1938 grandfather started activity</t>
  </si>
  <si>
    <t>17GUYON02</t>
  </si>
  <si>
    <t>KEY PARCELS:</t>
  </si>
  <si>
    <t>16GUYON02</t>
  </si>
  <si>
    <r>
      <rPr>
        <b/>
        <sz val="7"/>
        <color theme="1" tint="0.499984740745262"/>
        <rFont val="Noto Sans"/>
        <family val="2"/>
      </rPr>
      <t>MSD Bidaude BLANC</t>
    </r>
    <r>
      <rPr>
        <sz val="7"/>
        <color theme="1" tint="0.499984740745262"/>
        <rFont val="Noto Sans"/>
        <family val="2"/>
      </rPr>
      <t xml:space="preserve"> 0.24ha chardonnay ~20yrs</t>
    </r>
  </si>
  <si>
    <t>15GUYON02</t>
  </si>
  <si>
    <r>
      <rPr>
        <b/>
        <sz val="7"/>
        <color theme="1" tint="0.499984740745262"/>
        <rFont val="Noto Sans"/>
        <family val="2"/>
      </rPr>
      <t>NSG Argillats</t>
    </r>
    <r>
      <rPr>
        <sz val="7"/>
        <color theme="1" tint="0.499984740745262"/>
        <rFont val="Noto Sans"/>
        <family val="2"/>
      </rPr>
      <t xml:space="preserve"> pinot noir BLANC (Gouges) ~20yrs</t>
    </r>
  </si>
  <si>
    <t>22GUYON03</t>
  </si>
  <si>
    <r>
      <rPr>
        <b/>
        <sz val="7"/>
        <color theme="1" tint="0.499984740745262"/>
        <rFont val="Noto Sans"/>
        <family val="2"/>
      </rPr>
      <t>Bourgogne:</t>
    </r>
    <r>
      <rPr>
        <sz val="7"/>
        <color theme="1" tint="0.499984740745262"/>
        <rFont val="Noto Sans"/>
        <family val="2"/>
      </rPr>
      <t xml:space="preserve"> three parcels near Vosne</t>
    </r>
  </si>
  <si>
    <t>21GUYON03</t>
  </si>
  <si>
    <r>
      <rPr>
        <b/>
        <sz val="7"/>
        <color theme="1" tint="0.499984740745262"/>
        <rFont val="Noto Sans"/>
        <family val="2"/>
      </rPr>
      <t>Chorey Bons Ores</t>
    </r>
    <r>
      <rPr>
        <sz val="7"/>
        <color theme="1" tint="0.499984740745262"/>
        <rFont val="Noto Sans"/>
        <family val="2"/>
      </rPr>
      <t>: ~55yr vines</t>
    </r>
  </si>
  <si>
    <t>20GUYON03</t>
  </si>
  <si>
    <r>
      <rPr>
        <b/>
        <sz val="7"/>
        <color theme="1" tint="0.499984740745262"/>
        <rFont val="Noto Sans"/>
        <family val="2"/>
      </rPr>
      <t>Savigny Peuillets 1C</t>
    </r>
    <r>
      <rPr>
        <sz val="7"/>
        <color theme="1" tint="0.499984740745262"/>
        <rFont val="Noto Sans"/>
        <family val="2"/>
      </rPr>
      <t>:0.25ha ~50yr vines</t>
    </r>
  </si>
  <si>
    <t>17GUYON03</t>
  </si>
  <si>
    <r>
      <rPr>
        <b/>
        <sz val="7"/>
        <color theme="1" tint="0.499984740745262"/>
        <rFont val="Noto Sans"/>
        <family val="2"/>
      </rPr>
      <t>Vosne</t>
    </r>
    <r>
      <rPr>
        <sz val="7"/>
        <color theme="1" tint="0.499984740745262"/>
        <rFont val="Noto Sans"/>
        <family val="2"/>
      </rPr>
      <t>: 50-60yr vines</t>
    </r>
  </si>
  <si>
    <t>14GUYON03</t>
  </si>
  <si>
    <r>
      <rPr>
        <b/>
        <sz val="7"/>
        <color theme="1" tint="0.499984740745262"/>
        <rFont val="Noto Sans"/>
        <family val="2"/>
      </rPr>
      <t>Vosne Charmes de Mazieres:</t>
    </r>
    <r>
      <rPr>
        <sz val="7"/>
        <color theme="1" tint="0.499984740745262"/>
        <rFont val="Noto Sans"/>
        <family val="2"/>
      </rPr>
      <t xml:space="preserve"> ~70yr vines</t>
    </r>
  </si>
  <si>
    <t>13GUYON02TB</t>
  </si>
  <si>
    <r>
      <rPr>
        <b/>
        <sz val="7"/>
        <color theme="1" tint="0.499984740745262"/>
        <rFont val="Noto Sans"/>
        <family val="2"/>
      </rPr>
      <t>Vosne Brulees 1C</t>
    </r>
    <r>
      <rPr>
        <sz val="7"/>
        <color theme="1" tint="0.499984740745262"/>
        <rFont val="Noto Sans"/>
        <family val="2"/>
      </rPr>
      <t xml:space="preserve">: ~60yrs </t>
    </r>
  </si>
  <si>
    <t>14GUYON02MG</t>
  </si>
  <si>
    <r>
      <rPr>
        <b/>
        <sz val="7"/>
        <color theme="1" tint="0.499984740745262"/>
        <rFont val="Noto Sans"/>
        <family val="2"/>
      </rPr>
      <t>Vosne En Orveaux 1C</t>
    </r>
    <r>
      <rPr>
        <sz val="7"/>
        <color theme="1" tint="0.499984740745262"/>
        <rFont val="Noto Sans"/>
        <family val="2"/>
      </rPr>
      <t>: 0.34ha ~50yrs</t>
    </r>
  </si>
  <si>
    <t>14GUYON03MG</t>
  </si>
  <si>
    <r>
      <rPr>
        <b/>
        <sz val="7"/>
        <color theme="1" tint="0.499984740745262"/>
        <rFont val="Noto Sans"/>
        <family val="2"/>
      </rPr>
      <t>Echezeaux GC</t>
    </r>
    <r>
      <rPr>
        <sz val="7"/>
        <color theme="1" tint="0.499984740745262"/>
        <rFont val="Noto Sans"/>
        <family val="2"/>
      </rPr>
      <t>: 0.22ha ~55yrs</t>
    </r>
  </si>
  <si>
    <t>VOSNE:</t>
  </si>
  <si>
    <r>
      <rPr>
        <b/>
        <sz val="7"/>
        <color theme="1" tint="0.499984740745262"/>
        <rFont val="Noto Sans"/>
        <family val="2"/>
      </rPr>
      <t>Clos de Vougeot GC</t>
    </r>
    <r>
      <rPr>
        <sz val="7"/>
        <color theme="1" tint="0.499984740745262"/>
        <rFont val="Noto Sans"/>
        <family val="2"/>
      </rPr>
      <t>: TBC</t>
    </r>
  </si>
  <si>
    <t>22GUYON04</t>
  </si>
  <si>
    <t>22GUYON05</t>
  </si>
  <si>
    <t>jeanpierreguyon.com</t>
  </si>
  <si>
    <t>22GUYON07</t>
  </si>
  <si>
    <t>GROWER CODE: GUYON</t>
  </si>
  <si>
    <t>22GUYON06</t>
  </si>
  <si>
    <t>LES GRANDS CRUS:</t>
  </si>
  <si>
    <t>13GUYON08TB</t>
  </si>
  <si>
    <t>21GUYON09</t>
  </si>
  <si>
    <r>
      <t>Leroy's winemaker:</t>
    </r>
    <r>
      <rPr>
        <sz val="7"/>
        <color theme="1" tint="0.499984740745262"/>
        <rFont val="Noto Sans"/>
        <family val="2"/>
      </rPr>
      <t xml:space="preserve"> 'What I drink at home'</t>
    </r>
  </si>
  <si>
    <t>OLIVIER JOUAN, Dom.</t>
  </si>
  <si>
    <t>HAUTES COTES DE NUITS ROUGE:</t>
  </si>
  <si>
    <t>4th gen. grower; cellar at Arcenant. ~7.5ha:</t>
  </si>
  <si>
    <t>16JOUAN05</t>
  </si>
  <si>
    <t>5.5ha Hautes Cotes, max 40hl/ha</t>
  </si>
  <si>
    <t>VILLAGES:</t>
  </si>
  <si>
    <t>&gt;2ha Cote de Nuits, max 30hl/ha</t>
  </si>
  <si>
    <t>12JOUAN02TB</t>
  </si>
  <si>
    <t>ⓋVegan compatible; no certification</t>
  </si>
  <si>
    <t>16JOUAN02</t>
  </si>
  <si>
    <t>ambient-yeast</t>
  </si>
  <si>
    <t>15JOUAN05TB</t>
  </si>
  <si>
    <t>no green harvest; no en-primeur</t>
  </si>
  <si>
    <t>14JOUAN02TB</t>
  </si>
  <si>
    <t>minimal adjustments (never of acidity)</t>
  </si>
  <si>
    <t>1Cs:</t>
  </si>
  <si>
    <t>20-40% new oak; modest SO2</t>
  </si>
  <si>
    <t>16JOUAN03</t>
  </si>
  <si>
    <t>VINEYARD DETAILS:</t>
  </si>
  <si>
    <t>15JOUAN03TB</t>
  </si>
  <si>
    <r>
      <rPr>
        <b/>
        <sz val="7"/>
        <color theme="1" tint="0.499984740745262"/>
        <rFont val="Noto Sans"/>
        <family val="2"/>
      </rPr>
      <t xml:space="preserve">Bourgogne HCdN BLANC: </t>
    </r>
    <r>
      <rPr>
        <sz val="7"/>
        <color theme="1" tint="0.499984740745262"/>
        <rFont val="Noto Sans"/>
        <family val="2"/>
      </rPr>
      <t>5.5ha, ~75yrs</t>
    </r>
  </si>
  <si>
    <t>12JOUAN03TB</t>
  </si>
  <si>
    <r>
      <rPr>
        <b/>
        <sz val="7"/>
        <color theme="1" tint="0.499984740745262"/>
        <rFont val="Noto Sans"/>
        <family val="2"/>
      </rPr>
      <t>Bourgogne HCdN ROUGE:</t>
    </r>
    <r>
      <rPr>
        <sz val="7"/>
        <color theme="1" tint="0.499984740745262"/>
        <rFont val="Noto Sans"/>
        <family val="2"/>
      </rPr>
      <t xml:space="preserve"> 5.5ha, ~50yrs</t>
    </r>
  </si>
  <si>
    <t>15JOUAN01TB</t>
  </si>
  <si>
    <r>
      <rPr>
        <b/>
        <sz val="7"/>
        <color theme="1" tint="0.499984740745262"/>
        <rFont val="Noto Sans"/>
        <family val="2"/>
      </rPr>
      <t>Gevrey Les Seuvrées:</t>
    </r>
    <r>
      <rPr>
        <sz val="7"/>
        <color theme="1" tint="0.499984740745262"/>
        <rFont val="Noto Sans"/>
        <family val="2"/>
      </rPr>
      <t xml:space="preserve"> 0.2ha planted 1954</t>
    </r>
  </si>
  <si>
    <t>14JOUAN03TB</t>
  </si>
  <si>
    <r>
      <rPr>
        <b/>
        <sz val="7"/>
        <color theme="1" tint="0.499984740745262"/>
        <rFont val="Noto Sans"/>
        <family val="2"/>
      </rPr>
      <t>Chambolle Bussières</t>
    </r>
    <r>
      <rPr>
        <sz val="7"/>
        <color theme="1" tint="0.499984740745262"/>
        <rFont val="Noto Sans"/>
        <family val="2"/>
      </rPr>
      <t>: 0.5ha 1951/61/76</t>
    </r>
  </si>
  <si>
    <t>CHARMES GC:</t>
  </si>
  <si>
    <r>
      <rPr>
        <b/>
        <sz val="7"/>
        <color theme="1" tint="0.499984740745262"/>
        <rFont val="Noto Sans"/>
        <family val="2"/>
      </rPr>
      <t>Morey Clos Solon:</t>
    </r>
    <r>
      <rPr>
        <sz val="7"/>
        <color theme="1" tint="0.499984740745262"/>
        <rFont val="Noto Sans"/>
        <family val="2"/>
      </rPr>
      <t xml:space="preserve"> 0.25ha</t>
    </r>
  </si>
  <si>
    <t>16JOUAN04</t>
  </si>
  <si>
    <r>
      <rPr>
        <b/>
        <sz val="7"/>
        <color theme="1" tint="0.499984740745262"/>
        <rFont val="Noto Sans"/>
        <family val="2"/>
      </rPr>
      <t xml:space="preserve">Morey 1C Les Ruchots: </t>
    </r>
    <r>
      <rPr>
        <sz val="7"/>
        <color theme="1" tint="0.499984740745262"/>
        <rFont val="Noto Sans"/>
        <family val="2"/>
      </rPr>
      <t>0.3ha ~45 yrs</t>
    </r>
  </si>
  <si>
    <t>15JOUAN02TB</t>
  </si>
  <si>
    <r>
      <rPr>
        <b/>
        <sz val="7"/>
        <color theme="1" tint="0.499984740745262"/>
        <rFont val="Noto Sans"/>
        <family val="2"/>
      </rPr>
      <t>Morey 1C La Riotte:</t>
    </r>
    <r>
      <rPr>
        <sz val="7"/>
        <color theme="1" tint="0.499984740745262"/>
        <rFont val="Noto Sans"/>
        <family val="2"/>
      </rPr>
      <t xml:space="preserve"> 0.3ha planted 1934</t>
    </r>
  </si>
  <si>
    <t>14JOUAN04TB</t>
  </si>
  <si>
    <r>
      <rPr>
        <b/>
        <sz val="7"/>
        <color theme="1" tint="0.499984740745262"/>
        <rFont val="Noto Sans"/>
        <family val="2"/>
      </rPr>
      <t>Charmes-Chambertin GC:</t>
    </r>
    <r>
      <rPr>
        <sz val="7"/>
        <color theme="1" tint="0.499984740745262"/>
        <rFont val="Noto Sans"/>
        <family val="2"/>
      </rPr>
      <t xml:space="preserve"> 0.4ha</t>
    </r>
  </si>
  <si>
    <t>2012 &amp; 2013 - tiny harvests</t>
  </si>
  <si>
    <t>2008 1* rating in Coates classification</t>
  </si>
  <si>
    <t>2002 moves from Morey to Arcenant, H.Cotes</t>
  </si>
  <si>
    <t>2001 start of 'organic-uncertified' farming</t>
  </si>
  <si>
    <t>1999 Beaune studies; label founded</t>
  </si>
  <si>
    <t>GROWER CODE: JOUAN</t>
  </si>
  <si>
    <t xml:space="preserve">NICOLE LAMARCHE, </t>
  </si>
  <si>
    <t>22LAM07</t>
  </si>
  <si>
    <t>ex-FRANCOIS LAMARCHE</t>
  </si>
  <si>
    <t>19LAM01</t>
  </si>
  <si>
    <t>Vosne-Romanée. 7ha vines since 2022</t>
  </si>
  <si>
    <t>22LAM06</t>
  </si>
  <si>
    <r>
      <t xml:space="preserve">incl. 1.65ha La Grande Rue GC </t>
    </r>
    <r>
      <rPr>
        <b/>
        <sz val="7"/>
        <color theme="1" tint="0.14999847407452621"/>
        <rFont val="Noto Sans"/>
        <family val="2"/>
      </rPr>
      <t xml:space="preserve">monopole </t>
    </r>
  </si>
  <si>
    <t>22LAM03</t>
  </si>
  <si>
    <t>22LAM05</t>
  </si>
  <si>
    <t>22LAM01</t>
  </si>
  <si>
    <t>22LAM02</t>
  </si>
  <si>
    <t>2022 domaine reduces from 11ha to 7ha</t>
  </si>
  <si>
    <t>22LAM04</t>
  </si>
  <si>
    <t>2022 Nathalie's vines go to Liger-Belair en metayage</t>
  </si>
  <si>
    <t>2018 1st vintage renamed Dom.Nicole Lamarche</t>
  </si>
  <si>
    <t>2014 1st vintage of La Grande Rue 1959</t>
  </si>
  <si>
    <t>2013 Francois Lamarche passes away</t>
  </si>
  <si>
    <t>2010 all estate in 'organic-uncertified' farming</t>
  </si>
  <si>
    <t>2006 Nicole takes over winemaking</t>
  </si>
  <si>
    <t>2005 daughter Nicole joins domaine</t>
  </si>
  <si>
    <t>1985 Francois Lamarche takes over</t>
  </si>
  <si>
    <t>1933 La Grande Rue gifted to Henri Lamarche</t>
  </si>
  <si>
    <t>CC 1* estate, 2008; B+D 4* 2022</t>
  </si>
  <si>
    <t>GROWER CODE: LAM</t>
  </si>
  <si>
    <t>LAMBRAYS, Domaine des</t>
  </si>
  <si>
    <t>22LAMBRAY01</t>
  </si>
  <si>
    <t xml:space="preserve">featuring </t>
  </si>
  <si>
    <t>22LAMBRAY02</t>
  </si>
  <si>
    <t>CLOS DES LAMBRAYS GC</t>
  </si>
  <si>
    <t>22LAMBRAY03</t>
  </si>
  <si>
    <t>Morey St.Denis. LVMH Group</t>
  </si>
  <si>
    <t>22LAMBRAY05</t>
  </si>
  <si>
    <t>15ha estate. Incl.8.66ha Clos des Lambrays</t>
  </si>
  <si>
    <t>22LAMBRAY04</t>
  </si>
  <si>
    <t>(of 8.7ha), planted perpendicular to the slope</t>
  </si>
  <si>
    <t>22LAMBRAY06</t>
  </si>
  <si>
    <t>Organic certified, 2022 Ecocert</t>
  </si>
  <si>
    <t>21LAMBRAY01</t>
  </si>
  <si>
    <t>practising biodynamic</t>
  </si>
  <si>
    <t>20LAMBRAY01</t>
  </si>
  <si>
    <t>ambient yeast. Reds 40%-80% whole cluster</t>
  </si>
  <si>
    <t>Clos des Lambrays GC MAGS</t>
  </si>
  <si>
    <t>150/3</t>
  </si>
  <si>
    <t>POA</t>
  </si>
  <si>
    <t>12LAMBRAY01</t>
  </si>
  <si>
    <t>Whites 15% new oak; reds 20% new oak</t>
  </si>
  <si>
    <t>2022 organic certified ECOCERT</t>
  </si>
  <si>
    <t>2022 purchase of Morey Clos Baulet &amp; more Clos Sorbé</t>
  </si>
  <si>
    <t>2021 purchase Nuits La Richemone &amp; Vosne Beaux Monts</t>
  </si>
  <si>
    <t>2020-2022 cellar renovation project</t>
  </si>
  <si>
    <t>2020 biodynamic farming started</t>
  </si>
  <si>
    <t>2019 Jacques Devauges joins</t>
  </si>
  <si>
    <t>2018 regisseur Thierry Brouin retires</t>
  </si>
  <si>
    <t>2014 bought by LVMH</t>
  </si>
  <si>
    <t>2006 first entry in Wine Spectator Top 100</t>
  </si>
  <si>
    <t>1996 Freunds purchase; start refurb'</t>
  </si>
  <si>
    <t>1993 Puligny 1Cs purchased</t>
  </si>
  <si>
    <t>1981 recategorized as Grand Cru</t>
  </si>
  <si>
    <t>1979 consortium purchases; Thierry Brouin joins</t>
  </si>
  <si>
    <t>1365 Clos des Lambrays is formed</t>
  </si>
  <si>
    <t>RVF 3* estate 2022; B+D 4* 2022; CC 2* 2008</t>
  </si>
  <si>
    <t>DEBRA MEIBURG MW INTERVIEW #220</t>
  </si>
  <si>
    <t>youtube.com/watch?v=fM-UPryWWeA</t>
  </si>
  <si>
    <t>Lambrays.com</t>
  </si>
  <si>
    <t>GROWER CODE: LAMBRAY</t>
  </si>
  <si>
    <t>RÉNÉ LECLERC</t>
  </si>
  <si>
    <t>By Francois Leclerc</t>
  </si>
  <si>
    <t>22LECLERC01</t>
  </si>
  <si>
    <t>~13ha, Gevrey Chambertin</t>
  </si>
  <si>
    <t>21LECLERC04</t>
  </si>
  <si>
    <t xml:space="preserve">Francois with wife are 4th generation </t>
  </si>
  <si>
    <t>20LECLERC04</t>
  </si>
  <si>
    <t>ambient yeast; old 1951 basket press</t>
  </si>
  <si>
    <t>19LECLERC04</t>
  </si>
  <si>
    <t>very high average vine age</t>
  </si>
  <si>
    <t>18LECLERC04</t>
  </si>
  <si>
    <t>17LECLERC04</t>
  </si>
  <si>
    <t>low to no new oak; bottled unfined unfiltered</t>
  </si>
  <si>
    <t>GEVREY VILLAGE:</t>
  </si>
  <si>
    <t>22LECLERC02</t>
  </si>
  <si>
    <t>2021 Dom. de Chezeaux sold, re Griottes lease</t>
  </si>
  <si>
    <t>21LECLERC01</t>
  </si>
  <si>
    <t>2014 IWR Top 100 Wines of The Year</t>
  </si>
  <si>
    <t>20LECLERC01</t>
  </si>
  <si>
    <t>2005 end of ~20% new wood</t>
  </si>
  <si>
    <t>19LECLERC01</t>
  </si>
  <si>
    <t>2002/3 son Francois joins</t>
  </si>
  <si>
    <t>18LECLERC01</t>
  </si>
  <si>
    <t>1994 1st vintage Griottes Chambertin GC</t>
  </si>
  <si>
    <t>17LECLERC01</t>
  </si>
  <si>
    <t>1976 Réné splits from brother Philippe</t>
  </si>
  <si>
    <t>16LECLERC01</t>
  </si>
  <si>
    <t>1962 3rd generation Réné starts with wife Aleth</t>
  </si>
  <si>
    <t>15LECLERC05</t>
  </si>
  <si>
    <t>1951 age of press</t>
  </si>
  <si>
    <t>14LECLERC05</t>
  </si>
  <si>
    <t>2nd gen. Roger buys C.aux Moines, Champeaux</t>
  </si>
  <si>
    <t>13LECLERC04</t>
  </si>
  <si>
    <t>1897 Leclerc activity started by Louis-Joseph</t>
  </si>
  <si>
    <t>21LECLERC02</t>
  </si>
  <si>
    <t>VINEYARDS (IN BRIEF):</t>
  </si>
  <si>
    <t>20LECLERC02</t>
  </si>
  <si>
    <r>
      <rPr>
        <b/>
        <sz val="7"/>
        <color theme="1" tint="0.499984740745262"/>
        <rFont val="Noto Sans"/>
        <family val="2"/>
      </rPr>
      <t>Bourgogne Rge</t>
    </r>
    <r>
      <rPr>
        <sz val="7"/>
        <color theme="1" tint="0.499984740745262"/>
        <rFont val="Noto Sans"/>
        <family val="2"/>
      </rPr>
      <t>: 1.5ha, 3-4 parcels below Gevrey</t>
    </r>
  </si>
  <si>
    <t>18LECLERC02</t>
  </si>
  <si>
    <t>incl. Billards, La Platière &amp; Les Pressionniers</t>
  </si>
  <si>
    <t>17LECLERC02</t>
  </si>
  <si>
    <r>
      <rPr>
        <b/>
        <sz val="7"/>
        <color theme="1" tint="0.499984740745262"/>
        <rFont val="Noto Sans"/>
        <family val="2"/>
      </rPr>
      <t>Gevrey-Chambertin:</t>
    </r>
    <r>
      <rPr>
        <sz val="7"/>
        <color theme="1" tint="0.499984740745262"/>
        <rFont val="Noto Sans"/>
        <family val="2"/>
      </rPr>
      <t xml:space="preserve"> 5ha in 9 parcels, incl. Sylvie</t>
    </r>
  </si>
  <si>
    <t>15LECLERC03</t>
  </si>
  <si>
    <t>Billard, Carougeot, Pressonnier, Crais, en Champs,</t>
  </si>
  <si>
    <t>14LECLERC03</t>
  </si>
  <si>
    <t>Croix des Champs, Creux Brouillardst &amp; La Justice</t>
  </si>
  <si>
    <t>12RLECLERC01</t>
  </si>
  <si>
    <r>
      <rPr>
        <b/>
        <sz val="7"/>
        <color theme="1" tint="0.499984740745262"/>
        <rFont val="Noto Sans"/>
        <family val="2"/>
      </rPr>
      <t>Clos Prieur</t>
    </r>
    <r>
      <rPr>
        <sz val="7"/>
        <color theme="1" tint="0.499984740745262"/>
        <rFont val="Noto Sans"/>
        <family val="2"/>
      </rPr>
      <t xml:space="preserve">: 0.4ha &gt;60yrs old in Clos Prieur-Bas </t>
    </r>
  </si>
  <si>
    <t>GEVREY 1C OF THE COMBE:</t>
  </si>
  <si>
    <t>(=village.) Limestone gravel with fine clay</t>
  </si>
  <si>
    <t>22LECLERC03</t>
  </si>
  <si>
    <r>
      <rPr>
        <b/>
        <sz val="7"/>
        <color theme="1" tint="0.499984740745262"/>
        <rFont val="Noto Sans"/>
        <family val="2"/>
      </rPr>
      <t>Lavaux St Jacques 1C:</t>
    </r>
    <r>
      <rPr>
        <sz val="7"/>
        <color theme="1" tint="0.499984740745262"/>
        <rFont val="Noto Sans"/>
        <family val="2"/>
      </rPr>
      <t xml:space="preserve"> 0.5ha 30-50yr old vines,</t>
    </r>
  </si>
  <si>
    <t>21LECLERC03</t>
  </si>
  <si>
    <t>South facing, of clay-limestone with pebbles</t>
  </si>
  <si>
    <t>20LECLERC03</t>
  </si>
  <si>
    <r>
      <rPr>
        <b/>
        <sz val="7"/>
        <color theme="1" tint="0.499984740745262"/>
        <rFont val="Noto Sans"/>
        <family val="2"/>
      </rPr>
      <t>Combe aux Moines 1C</t>
    </r>
    <r>
      <rPr>
        <sz val="7"/>
        <color theme="1" tint="0.499984740745262"/>
        <rFont val="Noto Sans"/>
        <family val="2"/>
      </rPr>
      <t>: 0.8ha of 30-50yr vines,</t>
    </r>
  </si>
  <si>
    <t>19LECLERC03</t>
  </si>
  <si>
    <t>on limestone with white marl</t>
  </si>
  <si>
    <t>18LECLERC03</t>
  </si>
  <si>
    <r>
      <rPr>
        <b/>
        <sz val="7"/>
        <color theme="1" tint="0.499984740745262"/>
        <rFont val="Noto Sans"/>
        <family val="2"/>
      </rPr>
      <t>Griotte Chambertin GC</t>
    </r>
    <r>
      <rPr>
        <sz val="7"/>
        <color theme="1" tint="0.499984740745262"/>
        <rFont val="Noto Sans"/>
        <family val="2"/>
      </rPr>
      <t>: 0.68ha early 1980s vines</t>
    </r>
  </si>
  <si>
    <t>17LECLERC03</t>
  </si>
  <si>
    <t>leased 1994-2021 from Dom.de Chezeaux, 240-290m</t>
  </si>
  <si>
    <t>16LECLERC04</t>
  </si>
  <si>
    <t>friable Bajocian limestone, thin topsoil, 2.73ha total</t>
  </si>
  <si>
    <t>15LECLERC02</t>
  </si>
  <si>
    <t>'un vin spirituel, plus belle possible'</t>
  </si>
  <si>
    <t>14LECLERC02</t>
  </si>
  <si>
    <t>Domaine-ReneLeclerc.com</t>
  </si>
  <si>
    <t>13LECLERC02</t>
  </si>
  <si>
    <t>facebook.com/CaveauReneLeclerc/</t>
  </si>
  <si>
    <t>12RLECLERC03</t>
  </si>
  <si>
    <t>GROWER CODE: LECLERC</t>
  </si>
  <si>
    <t>15LECLERC01</t>
  </si>
  <si>
    <t>22LECLERC04</t>
  </si>
  <si>
    <t>21LECLERC05</t>
  </si>
  <si>
    <t>20LECLERC05</t>
  </si>
  <si>
    <t>19LECLERC05</t>
  </si>
  <si>
    <t>18LECLERC05</t>
  </si>
  <si>
    <t>17LECLERC05</t>
  </si>
  <si>
    <t>16LECLERC03</t>
  </si>
  <si>
    <t>14LECLERC04</t>
  </si>
  <si>
    <t>13LECLERC01</t>
  </si>
  <si>
    <t>GRIOTTE-CHAMBERTIN GC:</t>
  </si>
  <si>
    <t>22LECLERC05</t>
  </si>
  <si>
    <t>21LECLERC06</t>
  </si>
  <si>
    <t>20LECLERC06</t>
  </si>
  <si>
    <t>19LECLERC06</t>
  </si>
  <si>
    <t>18LECLERC06</t>
  </si>
  <si>
    <t>17LECLERC06</t>
  </si>
  <si>
    <t>16LECLERC05</t>
  </si>
  <si>
    <t>14LECLERC01</t>
  </si>
  <si>
    <t>13LECLERC03</t>
  </si>
  <si>
    <t>12RLECLERC04</t>
  </si>
  <si>
    <t>15LECLERC06MG</t>
  </si>
  <si>
    <t>14LECLERC05MG</t>
  </si>
  <si>
    <t>14LECLERC03MG</t>
  </si>
  <si>
    <t>13LECLERC03MG</t>
  </si>
  <si>
    <t>KIND WORDS ON FRANCOIS LEGROS &amp; FILLES:</t>
  </si>
  <si>
    <r>
      <rPr>
        <b/>
        <sz val="7"/>
        <color theme="1" tint="0.499984740745262"/>
        <rFont val="Noto Sans"/>
        <family val="2"/>
      </rPr>
      <t>William Kelley, TWA 2021</t>
    </r>
    <r>
      <rPr>
        <sz val="7"/>
        <color theme="1" tint="0.499984740745262"/>
        <rFont val="Noto Sans"/>
        <family val="2"/>
      </rPr>
      <t xml:space="preserve"> 'The insider's choice is the lovely Vougeot 1C Les Cras, a cuvée well worth seeking out, but everything here comes recommended.'</t>
    </r>
  </si>
  <si>
    <r>
      <rPr>
        <b/>
        <sz val="7"/>
        <color theme="1" tint="0.499984740745262"/>
        <rFont val="Noto Sans"/>
        <family val="2"/>
      </rPr>
      <t>Neal Martin, Vinous Dec 2021</t>
    </r>
    <r>
      <rPr>
        <sz val="7"/>
        <color theme="1" tint="0.499984740745262"/>
        <rFont val="Noto Sans"/>
        <family val="2"/>
      </rPr>
      <t xml:space="preserve"> 'one of those “dirt under the fingernails” winemakers,  a man who is happiest out working in the vines'</t>
    </r>
  </si>
  <si>
    <t>FRANCOIS LEGROS</t>
  </si>
  <si>
    <t>St.AUBIN BLANC:</t>
  </si>
  <si>
    <t>&amp; FILLES</t>
  </si>
  <si>
    <t>22LEGROS01</t>
  </si>
  <si>
    <t>8ha. Nuits cellar. Francois Legros, daughters</t>
  </si>
  <si>
    <t>21LEGROS01</t>
  </si>
  <si>
    <t>Laure &amp; Charlotte, son-in-law David</t>
  </si>
  <si>
    <t>20LEGROS08</t>
  </si>
  <si>
    <t>22LEGROS03</t>
  </si>
  <si>
    <t>21LEGROS03</t>
  </si>
  <si>
    <t>20LEGROS09</t>
  </si>
  <si>
    <t>Mostly 228L casks: Cavin, Chassin, Damy</t>
  </si>
  <si>
    <t>22LEGROS04</t>
  </si>
  <si>
    <t>Plus custom 400L/450L for smaller batches</t>
  </si>
  <si>
    <t>21LEGROS04</t>
  </si>
  <si>
    <t>VINIFICATION:</t>
  </si>
  <si>
    <t>20LEGROS10</t>
  </si>
  <si>
    <r>
      <rPr>
        <b/>
        <sz val="7"/>
        <color theme="1" tint="0.499984740745262"/>
        <rFont val="Noto Sans"/>
        <family val="2"/>
      </rPr>
      <t>White</t>
    </r>
    <r>
      <rPr>
        <sz val="7"/>
        <color theme="1" tint="0.499984740745262"/>
        <rFont val="Noto Sans"/>
        <family val="2"/>
      </rPr>
      <t>: start in steeel, then cask ferment in 25-30%</t>
    </r>
  </si>
  <si>
    <t>PULIGNY:</t>
  </si>
  <si>
    <t xml:space="preserve">new plus 1-2yr old casks. 10-12mths elevage. </t>
  </si>
  <si>
    <t>22LEGROS02</t>
  </si>
  <si>
    <t>Unfined; light filtration before bottling</t>
  </si>
  <si>
    <t>21LEGROS02</t>
  </si>
  <si>
    <r>
      <t>Red:</t>
    </r>
    <r>
      <rPr>
        <sz val="7"/>
        <color theme="1" tint="0.499984740745262"/>
        <rFont val="Noto Sans"/>
        <family val="2"/>
      </rPr>
      <t xml:space="preserve"> mostly destemmed, cement cuve ferment,</t>
    </r>
  </si>
  <si>
    <t xml:space="preserve">25-35% new oak on 1C level, 15-18mths, elevage, </t>
  </si>
  <si>
    <t>VILLAGE ROUGE:</t>
  </si>
  <si>
    <t>bottled unfined &amp; unfltered</t>
  </si>
  <si>
    <t>22LEGROS05</t>
  </si>
  <si>
    <t>21LEGROS05</t>
  </si>
  <si>
    <t>2021 HVE Level 3</t>
  </si>
  <si>
    <t>20LEGROS04</t>
  </si>
  <si>
    <t>2018 new white wine cellar built</t>
  </si>
  <si>
    <t>19LEGROS04</t>
  </si>
  <si>
    <t>2017 daughter Laure joins office</t>
  </si>
  <si>
    <t>18LEGROS04</t>
  </si>
  <si>
    <t>2008 daughter Charlotte joins vineyard team</t>
  </si>
  <si>
    <t>22LEGROS11</t>
  </si>
  <si>
    <t>2000 St Aubin terroirs arrive from in-laws</t>
  </si>
  <si>
    <t>21LEGROS09</t>
  </si>
  <si>
    <t>1999 new chai &amp; cellar</t>
  </si>
  <si>
    <t>20LEGROS01</t>
  </si>
  <si>
    <t>1988 Francois takes over 4ha CDN aged 32</t>
  </si>
  <si>
    <t>19LEGROS01</t>
  </si>
  <si>
    <t>1956 Francois born to Henri &amp; Henriette Legros</t>
  </si>
  <si>
    <t>18LEGROS01</t>
  </si>
  <si>
    <t>KEY WHITE TERROIRS:</t>
  </si>
  <si>
    <t>NUITS 1C ROUGE:</t>
  </si>
  <si>
    <r>
      <rPr>
        <b/>
        <sz val="7"/>
        <color theme="1" tint="0.499984740745262"/>
        <rFont val="Noto Sans"/>
        <family val="2"/>
      </rPr>
      <t>St.Aubin</t>
    </r>
    <r>
      <rPr>
        <sz val="7"/>
        <color theme="1" tint="0.499984740745262"/>
        <rFont val="Noto Sans"/>
        <family val="2"/>
      </rPr>
      <t xml:space="preserve"> 0.234ha in 2 parcels at Rochepot. ~30yr</t>
    </r>
  </si>
  <si>
    <t>22LEGROS06</t>
  </si>
  <si>
    <t>vines on brown, chalky soil. High water table.</t>
  </si>
  <si>
    <t>22LEGROS09</t>
  </si>
  <si>
    <t>St.Aubin En Remilly 1C 0.27ha ~35yrs </t>
  </si>
  <si>
    <t>21LEGROS07</t>
  </si>
  <si>
    <t>St.Aubin Murgers (dDdC) 1C 0.23ha ~35yrs</t>
  </si>
  <si>
    <t>20LEGROS05</t>
  </si>
  <si>
    <t>Puligny Noyer Bret (vv) 0.43ha ~70yrs, 40% new</t>
  </si>
  <si>
    <t>19LEGROS05</t>
  </si>
  <si>
    <t>KEY RED TERROIRS:</t>
  </si>
  <si>
    <t>18LEGROS05</t>
  </si>
  <si>
    <t xml:space="preserve">Nuits 0.75ha several parcels av.~50yrs </t>
  </si>
  <si>
    <t>22LEGROS07</t>
  </si>
  <si>
    <t>Nuits Aux Bousselots 1C 0.19ha ~55yr</t>
  </si>
  <si>
    <t>22LEGROS08</t>
  </si>
  <si>
    <t>Nuits Aux Thorey 1C 0.5ha ~50 ans</t>
  </si>
  <si>
    <t>21LEGROS06</t>
  </si>
  <si>
    <t>Nuits Rue de Chaux 1C 0.23ha</t>
  </si>
  <si>
    <t>20LEGROS06</t>
  </si>
  <si>
    <t>Nuits Les Perrières 1C 0.18ha ~55yrs</t>
  </si>
  <si>
    <t>19LEGROS06</t>
  </si>
  <si>
    <t>Chambolle Noirots 1C 0.28ha 2 parcels av.~45yrs</t>
  </si>
  <si>
    <t>18LEGROS06</t>
  </si>
  <si>
    <t>Morey Clos Sorbé 1C 0.31ha 35 to 65yrs</t>
  </si>
  <si>
    <t>1C ROUGE:</t>
  </si>
  <si>
    <t>Morey La Riotte 1C 0.08ha ~45yrs</t>
  </si>
  <si>
    <t>22LEGROS13</t>
  </si>
  <si>
    <t>Morey Les Millandes 1C 0.19ha 50yrs</t>
  </si>
  <si>
    <t>21LEGROS11</t>
  </si>
  <si>
    <t>Vougeot Les Cras 1C 0.28ha ~50yrs</t>
  </si>
  <si>
    <t>20LEGROS03</t>
  </si>
  <si>
    <t>DomaineFrancoisLegros.com</t>
  </si>
  <si>
    <t>19LEGROS03</t>
  </si>
  <si>
    <t>instagram.com/domaine_francois_legros_/</t>
  </si>
  <si>
    <t>18LEGROS03</t>
  </si>
  <si>
    <t>NEW LISTING FOR 2021</t>
  </si>
  <si>
    <t>22LEGROS15</t>
  </si>
  <si>
    <t>GROWER CODE: LEGROS</t>
  </si>
  <si>
    <t>22LEGROS14</t>
  </si>
  <si>
    <t>22LEGROS12</t>
  </si>
  <si>
    <t>21LEGROS10</t>
  </si>
  <si>
    <t>20LEGROS02</t>
  </si>
  <si>
    <t>19LEGROS02</t>
  </si>
  <si>
    <t>18LEGROS02</t>
  </si>
  <si>
    <t>22LEGROS10</t>
  </si>
  <si>
    <t>21LEGROS08</t>
  </si>
  <si>
    <t>20LEGROS11</t>
  </si>
  <si>
    <t>19LEGROS11</t>
  </si>
  <si>
    <t>18LEGROS11</t>
  </si>
  <si>
    <t>VILLAGE ROUGE EN MAGNUM:</t>
  </si>
  <si>
    <t>22LEGROS05MG</t>
  </si>
  <si>
    <t>21LEGROS05MG</t>
  </si>
  <si>
    <t>20LEGROS04MG</t>
  </si>
  <si>
    <t>19LEGROS04MG</t>
  </si>
  <si>
    <t>1C ROUGE EN MAGNUM:</t>
  </si>
  <si>
    <t>22LEGROS13MG</t>
  </si>
  <si>
    <t>21LEGROS11MG</t>
  </si>
  <si>
    <t>20LEGROS03MG</t>
  </si>
  <si>
    <t>19LEGROS03MG</t>
  </si>
  <si>
    <t>22LEGROS09MG</t>
  </si>
  <si>
    <t>21LEGROS07MG</t>
  </si>
  <si>
    <t>19LEGROS05MG</t>
  </si>
  <si>
    <t>22LEGROS08MG</t>
  </si>
  <si>
    <t>21LEGROS06MG</t>
  </si>
  <si>
    <t>20LEGROS06MG</t>
  </si>
  <si>
    <t>KIND WORDS ON HUBERT LIGNIER:</t>
  </si>
  <si>
    <r>
      <rPr>
        <b/>
        <sz val="7"/>
        <color theme="1" tint="0.499984740745262"/>
        <rFont val="Noto Sans"/>
        <family val="2"/>
      </rPr>
      <t>W.Kelley, 2017</t>
    </r>
    <r>
      <rPr>
        <sz val="7"/>
        <color theme="1" tint="0.499984740745262"/>
        <rFont val="Noto Sans"/>
        <family val="2"/>
      </rPr>
      <t xml:space="preserve"> 'one of the Côte de Nuits’ benchmark producers'</t>
    </r>
  </si>
  <si>
    <r>
      <rPr>
        <b/>
        <sz val="7"/>
        <color theme="1" tint="0.499984740745262"/>
        <rFont val="Noto Sans"/>
        <family val="2"/>
      </rPr>
      <t>N.Martin, 2022</t>
    </r>
    <r>
      <rPr>
        <sz val="7"/>
        <color theme="1" tint="0.499984740745262"/>
        <rFont val="Noto Sans"/>
        <family val="2"/>
      </rPr>
      <t xml:space="preserve"> 'the domaine is in safe hands.'</t>
    </r>
  </si>
  <si>
    <r>
      <rPr>
        <b/>
        <sz val="7"/>
        <color theme="1" tint="0.499984740745262"/>
        <rFont val="Noto Sans"/>
        <family val="2"/>
      </rPr>
      <t xml:space="preserve">N.Martin, 2022 </t>
    </r>
    <r>
      <rPr>
        <sz val="7"/>
        <color theme="1" tint="0.499984740745262"/>
        <rFont val="Noto Sans"/>
        <family val="2"/>
      </rPr>
      <t>'These wines all mandate long periods of cellaring – not just the Clos de la Roche, but most of the cuvées in the estate’s wide range'</t>
    </r>
  </si>
  <si>
    <r>
      <rPr>
        <b/>
        <sz val="7"/>
        <color theme="1" tint="0.499984740745262"/>
        <rFont val="Noto Sans"/>
        <family val="2"/>
      </rPr>
      <t>N.Martin, 2017</t>
    </r>
    <r>
      <rPr>
        <sz val="7"/>
        <color theme="1" tint="0.499984740745262"/>
        <rFont val="Noto Sans"/>
        <family val="2"/>
      </rPr>
      <t xml:space="preserve"> 'meticulous in the vineyard, also a dab hand in the winery. </t>
    </r>
  </si>
  <si>
    <r>
      <rPr>
        <b/>
        <sz val="7"/>
        <color theme="1" tint="0.499984740745262"/>
        <rFont val="Noto Sans"/>
        <family val="2"/>
      </rPr>
      <t>N.Martin, 2017</t>
    </r>
    <r>
      <rPr>
        <sz val="7"/>
        <color theme="1" tint="0.499984740745262"/>
        <rFont val="Noto Sans"/>
        <family val="2"/>
      </rPr>
      <t xml:space="preserve"> 'simple &amp; straightforward in terms of the running of the domaine...complexity reserved for what is swishing around inside the bottle.'  </t>
    </r>
  </si>
  <si>
    <r>
      <rPr>
        <b/>
        <sz val="7"/>
        <color theme="1" tint="0.499984740745262"/>
        <rFont val="Noto Sans"/>
        <family val="2"/>
      </rPr>
      <t xml:space="preserve">N.Martin, 2016 </t>
    </r>
    <r>
      <rPr>
        <sz val="7"/>
        <color theme="1" tint="0.499984740745262"/>
        <rFont val="Noto Sans"/>
        <family val="2"/>
      </rPr>
      <t>'a trove of goodies to be found amongst the wide array of Morey-Saint-Denis premier and village crus'</t>
    </r>
  </si>
  <si>
    <r>
      <rPr>
        <b/>
        <sz val="7"/>
        <color theme="1" tint="0.499984740745262"/>
        <rFont val="Noto Sans"/>
        <family val="2"/>
      </rPr>
      <t>N.Martin, 2016</t>
    </r>
    <r>
      <rPr>
        <sz val="7"/>
        <color theme="1" tint="0.499984740745262"/>
        <rFont val="Noto Sans"/>
        <family val="2"/>
      </rPr>
      <t xml:space="preserve"> 'one of Morey-Saint-Denis' finest producers.'</t>
    </r>
  </si>
  <si>
    <r>
      <rPr>
        <b/>
        <sz val="7"/>
        <color theme="1" tint="0.499984740745262"/>
        <rFont val="Noto Sans"/>
        <family val="2"/>
      </rPr>
      <t xml:space="preserve">N.Martin, 2015 </t>
    </r>
    <r>
      <rPr>
        <sz val="7"/>
        <color theme="1" tint="0.499984740745262"/>
        <rFont val="Noto Sans"/>
        <family val="2"/>
      </rPr>
      <t>'in recent vintages, simply put, creating some of the best wines the Côte de Nuits has to offer.'</t>
    </r>
  </si>
  <si>
    <r>
      <rPr>
        <b/>
        <sz val="7"/>
        <color theme="1" tint="0.499984740745262"/>
        <rFont val="Noto Sans"/>
        <family val="2"/>
      </rPr>
      <t>N.Martin, 2013</t>
    </r>
    <r>
      <rPr>
        <sz val="7"/>
        <color theme="1" tint="0.499984740745262"/>
        <rFont val="Noto Sans"/>
        <family val="2"/>
      </rPr>
      <t xml:space="preserve"> 'over-deliver in almost every department: elegant, refined, classic, vivacious, poised and intense...suffused with personality &amp; charisma.'</t>
    </r>
  </si>
  <si>
    <r>
      <rPr>
        <b/>
        <sz val="7"/>
        <color theme="1" tint="0.499984740745262"/>
        <rFont val="Noto Sans"/>
        <family val="2"/>
      </rPr>
      <t>N.Martin, 2013</t>
    </r>
    <r>
      <rPr>
        <sz val="7"/>
        <color theme="1" tint="0.499984740745262"/>
        <rFont val="Noto Sans"/>
        <family val="2"/>
      </rPr>
      <t xml:space="preserve"> 'a strong set of pure, sensual, quite intellectual wines that I feel deserve more recognition, exhibiting prudent use of oak, </t>
    </r>
  </si>
  <si>
    <t>ample freshness and wonderful expression of their terroirs not dissimilar to Lalou Bize-Leroy.'</t>
  </si>
  <si>
    <r>
      <rPr>
        <b/>
        <sz val="7"/>
        <color theme="1" tint="0.499984740745262"/>
        <rFont val="Noto Sans"/>
        <family val="2"/>
      </rPr>
      <t>N.Martin, 2013</t>
    </r>
    <r>
      <rPr>
        <sz val="7"/>
        <color theme="1" tint="0.499984740745262"/>
        <rFont val="Noto Sans"/>
        <family val="2"/>
      </rPr>
      <t xml:space="preserve"> 'very special wines, some of the best you will find in Burgundy.'</t>
    </r>
  </si>
  <si>
    <r>
      <rPr>
        <b/>
        <sz val="7"/>
        <color theme="1" tint="0.499984740745262"/>
        <rFont val="Noto Sans"/>
        <family val="2"/>
      </rPr>
      <t>N.Martin, 2013</t>
    </r>
    <r>
      <rPr>
        <sz val="7"/>
        <color theme="1" tint="0.499984740745262"/>
        <rFont val="Noto Sans"/>
        <family val="2"/>
      </rPr>
      <t xml:space="preserve"> 'If God made wine for a reason, then it was for wines like these.'</t>
    </r>
  </si>
  <si>
    <r>
      <rPr>
        <b/>
        <sz val="7"/>
        <color theme="1" tint="0.499984740745262"/>
        <rFont val="Noto Sans"/>
        <family val="2"/>
      </rPr>
      <t xml:space="preserve">Bill Nanson, Burg Report 2021 </t>
    </r>
    <r>
      <rPr>
        <sz val="7"/>
        <color theme="1" tint="0.499984740745262"/>
        <rFont val="Noto Sans"/>
        <family val="2"/>
      </rPr>
      <t>'Of course this domaine has a great pedigree but every time I visit, Laurent serves up a range of special wines– bravo to him! '</t>
    </r>
  </si>
  <si>
    <r>
      <rPr>
        <b/>
        <sz val="7"/>
        <color theme="1" tint="0.499984740745262"/>
        <rFont val="Noto Sans"/>
        <family val="2"/>
      </rPr>
      <t>Laurent Lignier</t>
    </r>
    <r>
      <rPr>
        <sz val="7"/>
        <color theme="1" tint="0.499984740745262"/>
        <rFont val="Noto Sans"/>
        <family val="2"/>
      </rPr>
      <t xml:space="preserve"> 'We aspire to make authentic and sensual wines that express their own terroir.'</t>
    </r>
  </si>
  <si>
    <r>
      <rPr>
        <b/>
        <sz val="7"/>
        <color theme="1" tint="0.499984740745262"/>
        <rFont val="Noto Sans"/>
        <family val="2"/>
      </rPr>
      <t>Laurent Lignier</t>
    </r>
    <r>
      <rPr>
        <sz val="7"/>
        <color theme="1" tint="0.499984740745262"/>
        <rFont val="Noto Sans"/>
        <family val="2"/>
      </rPr>
      <t xml:space="preserve"> 'The soil is the key to succeed in making a great wine: respecting and looking after it is essential to reveal a great terroir.'</t>
    </r>
  </si>
  <si>
    <t>HUBERT LIGNIER, by</t>
  </si>
  <si>
    <t>ALIGOTÉ VV:</t>
  </si>
  <si>
    <t>LAURENT LIGNIER</t>
  </si>
  <si>
    <t>22LIGNIER01</t>
  </si>
  <si>
    <t>Morey St.Denis. ~11ha; domaine &amp; managed</t>
  </si>
  <si>
    <t>21LIGNIER15</t>
  </si>
  <si>
    <t>Laurent Lignier, 5th generation</t>
  </si>
  <si>
    <t>20LIGNIER17</t>
  </si>
  <si>
    <t>max 30% new oak: 20-21 month elevage</t>
  </si>
  <si>
    <t>19LIGNIER15</t>
  </si>
  <si>
    <t>Member of Les Aligoteurs, aligoté group</t>
  </si>
  <si>
    <t>18LIGNIER17</t>
  </si>
  <si>
    <t xml:space="preserve">Most vines perpendicular to the incline, </t>
  </si>
  <si>
    <t>reducing erosion</t>
  </si>
  <si>
    <t>St.ROMAIN BLANC:</t>
  </si>
  <si>
    <t>Organic cow &amp; plant compost on 10ha</t>
  </si>
  <si>
    <t>22LIGNIER15</t>
  </si>
  <si>
    <t>21LIGNIER13</t>
  </si>
  <si>
    <t>some parcels BD; ⓋVegan compatible</t>
  </si>
  <si>
    <t>20LIGNIER15</t>
  </si>
  <si>
    <t>19LIGNIER14</t>
  </si>
  <si>
    <t>2016/17 start of Organic in conversion</t>
  </si>
  <si>
    <t>18LIGNIER15</t>
  </si>
  <si>
    <t>2011 'organic-uncertified' starts at domaine</t>
  </si>
  <si>
    <t>17LIGNIER13</t>
  </si>
  <si>
    <t>2010 Bourgogne Grand Chaliot arrives</t>
  </si>
  <si>
    <t>22LIGNIER15MG</t>
  </si>
  <si>
    <t>2008 move to new cellar in Morey</t>
  </si>
  <si>
    <t>2006 Laurent takes over, with Hubert's help</t>
  </si>
  <si>
    <t>22LIGNIER02</t>
  </si>
  <si>
    <t>2004 Romain passes away: Laurent helps out</t>
  </si>
  <si>
    <t>21LIGNIER14</t>
  </si>
  <si>
    <t>1992 Romain took over (Laurent's brother)</t>
  </si>
  <si>
    <t>20LIGNIER16</t>
  </si>
  <si>
    <t>1990s end of herbicide &amp; insecticide</t>
  </si>
  <si>
    <t>18LIGNIER16</t>
  </si>
  <si>
    <t>1988 - 2004 Laurent works elsewhere</t>
  </si>
  <si>
    <t>17LIGNIER14</t>
  </si>
  <si>
    <t>1987 Grand Chaliot planted, clay rich, nr Nuits</t>
  </si>
  <si>
    <t>16LIGNIER14</t>
  </si>
  <si>
    <t>1986 &amp; 1987 Laurent works with Hubert</t>
  </si>
  <si>
    <t>15LIGNIER03</t>
  </si>
  <si>
    <t>1986 bottling machine arrived</t>
  </si>
  <si>
    <t>1980s start of bottling for export</t>
  </si>
  <si>
    <t>22LIGNIER09</t>
  </si>
  <si>
    <t>1970s start of bottling for private clients</t>
  </si>
  <si>
    <t>21LIGNIER10</t>
  </si>
  <si>
    <t>1959 Hubert's 1st vintage</t>
  </si>
  <si>
    <t>19LIGNIER11</t>
  </si>
  <si>
    <t>1955 Clos de La Roche, MCMLV parcel planted</t>
  </si>
  <si>
    <t>18LIGNIER11</t>
  </si>
  <si>
    <t>1945 Clos de La Roche parcel purchased</t>
  </si>
  <si>
    <t>22LIGNIER10</t>
  </si>
  <si>
    <t>1936 Hubert Lignier born</t>
  </si>
  <si>
    <t>21LIGNIER09</t>
  </si>
  <si>
    <t>1920s 2nd gen. Jules expands to 2.5ha</t>
  </si>
  <si>
    <t>20LIGNIER12</t>
  </si>
  <si>
    <t>1880s estate born by Jacques Lignier</t>
  </si>
  <si>
    <t>19LIGNIER12</t>
  </si>
  <si>
    <t>KEY VINEYARDS/WINES (IN BRIEF):</t>
  </si>
  <si>
    <t>18LIGNIER12</t>
  </si>
  <si>
    <r>
      <rPr>
        <b/>
        <sz val="7"/>
        <color theme="1" tint="0.499984740745262"/>
        <rFont val="Noto Sans"/>
        <family val="2"/>
      </rPr>
      <t>Aligoté aux Poirelots:</t>
    </r>
    <r>
      <rPr>
        <sz val="7"/>
        <color theme="1" tint="0.499984740745262"/>
        <rFont val="Noto Sans"/>
        <family val="2"/>
      </rPr>
      <t xml:space="preserve"> 0.4ha VV planted 1943/44</t>
    </r>
  </si>
  <si>
    <t>17LIGNIER10</t>
  </si>
  <si>
    <r>
      <rPr>
        <b/>
        <sz val="7"/>
        <color theme="1" tint="0.499984740745262"/>
        <rFont val="Noto Sans"/>
        <family val="2"/>
      </rPr>
      <t>Grand Chailots:</t>
    </r>
    <r>
      <rPr>
        <sz val="7"/>
        <color theme="1" tint="0.499984740745262"/>
        <rFont val="Noto Sans"/>
        <family val="2"/>
      </rPr>
      <t xml:space="preserve"> 1.25ha planted 1987; arrived 2010</t>
    </r>
  </si>
  <si>
    <t>20LIGNIER19</t>
  </si>
  <si>
    <r>
      <rPr>
        <b/>
        <sz val="7"/>
        <color theme="1" tint="0.499984740745262"/>
        <rFont val="Noto Sans"/>
        <family val="2"/>
      </rPr>
      <t>Pommard en Brescul:</t>
    </r>
    <r>
      <rPr>
        <sz val="7"/>
        <color theme="1" tint="0.499984740745262"/>
        <rFont val="Noto Sans"/>
        <family val="2"/>
      </rPr>
      <t xml:space="preserve"> 0.4ha on 3 terraces above </t>
    </r>
  </si>
  <si>
    <t>15LIGNIER09</t>
  </si>
  <si>
    <t>Epenots, bought in 2014. ~20yr vines</t>
  </si>
  <si>
    <t>21LIGNIER11</t>
  </si>
  <si>
    <r>
      <rPr>
        <b/>
        <sz val="7"/>
        <color theme="1" tint="0.499984740745262"/>
        <rFont val="Noto Sans"/>
        <family val="2"/>
      </rPr>
      <t xml:space="preserve">Chambolle Buissières: </t>
    </r>
    <r>
      <rPr>
        <sz val="7"/>
        <color theme="1" tint="0.499984740745262"/>
        <rFont val="Noto Sans"/>
        <family val="2"/>
      </rPr>
      <t>1/2ha 30-70yr vines, by</t>
    </r>
  </si>
  <si>
    <t>20LIGNIER09</t>
  </si>
  <si>
    <t>Clos de La Bussiere</t>
  </si>
  <si>
    <t>19LIGNIER09</t>
  </si>
  <si>
    <r>
      <rPr>
        <b/>
        <sz val="7"/>
        <color theme="1" tint="0.499984740745262"/>
        <rFont val="Noto Sans"/>
        <family val="2"/>
      </rPr>
      <t>Gevrey Seuvrées:</t>
    </r>
    <r>
      <rPr>
        <sz val="7"/>
        <color theme="1" tint="0.499984740745262"/>
        <rFont val="Noto Sans"/>
        <family val="2"/>
      </rPr>
      <t xml:space="preserve"> 1.02ha VV below Mazoyeres,</t>
    </r>
  </si>
  <si>
    <t>18LIGNIER09</t>
  </si>
  <si>
    <t>planted 1938 to 1966 by father/grandfather. In BD</t>
  </si>
  <si>
    <t>17LIGNIER07</t>
  </si>
  <si>
    <r>
      <rPr>
        <b/>
        <sz val="7"/>
        <color theme="1" tint="0.499984740745262"/>
        <rFont val="Noto Sans"/>
        <family val="2"/>
      </rPr>
      <t>Morey Tres Girard</t>
    </r>
    <r>
      <rPr>
        <sz val="7"/>
        <color theme="1" tint="0.499984740745262"/>
        <rFont val="Noto Sans"/>
        <family val="2"/>
      </rPr>
      <t>: 1/2ha 1970s vines, purchased</t>
    </r>
  </si>
  <si>
    <t>22LIGNIER03</t>
  </si>
  <si>
    <t>since 2009</t>
  </si>
  <si>
    <t>21LIGNIER12</t>
  </si>
  <si>
    <r>
      <rPr>
        <b/>
        <sz val="7"/>
        <color theme="1" tint="0.499984740745262"/>
        <rFont val="Noto Sans"/>
        <family val="2"/>
      </rPr>
      <t>Morey Trilogie</t>
    </r>
    <r>
      <rPr>
        <sz val="7"/>
        <color theme="1" tint="0.499984740745262"/>
        <rFont val="Noto Sans"/>
        <family val="2"/>
      </rPr>
      <t>: ~1ha of Chenevery, Clos Solon,</t>
    </r>
  </si>
  <si>
    <t>20LIGNIER13</t>
  </si>
  <si>
    <t>&amp; Les Porroux. VV from 1936, 1942, 1964, 1972</t>
  </si>
  <si>
    <t>19LIGNIER13</t>
  </si>
  <si>
    <r>
      <rPr>
        <b/>
        <sz val="7"/>
        <color theme="1" tint="0.499984740745262"/>
        <rFont val="Noto Sans"/>
        <family val="2"/>
      </rPr>
      <t>Morey Les Chaffots 1C</t>
    </r>
    <r>
      <rPr>
        <sz val="7"/>
        <color theme="1" tint="0.499984740745262"/>
        <rFont val="Noto Sans"/>
        <family val="2"/>
      </rPr>
      <t>: 1/2ha above Clos St.Denis</t>
    </r>
  </si>
  <si>
    <t>at 300-330 metres. Practicing BD</t>
  </si>
  <si>
    <t>PREMIERS CRUS:</t>
  </si>
  <si>
    <r>
      <t xml:space="preserve">Morey VV: </t>
    </r>
    <r>
      <rPr>
        <sz val="7"/>
        <color theme="1" tint="0.499984740745262"/>
        <rFont val="Noto Sans"/>
        <family val="2"/>
      </rPr>
      <t>a block straddling Millandes &amp; some</t>
    </r>
  </si>
  <si>
    <t>22LIGNIER08</t>
  </si>
  <si>
    <t>Chenevery planted 1936 &amp; 1952. Made since 1985</t>
  </si>
  <si>
    <t>21LIGNIER05</t>
  </si>
  <si>
    <r>
      <rPr>
        <b/>
        <sz val="7"/>
        <color theme="1" tint="0.499984740745262"/>
        <rFont val="Noto Sans"/>
        <family val="2"/>
      </rPr>
      <t>Gevrey Combottes 1C:</t>
    </r>
    <r>
      <rPr>
        <sz val="7"/>
        <color theme="1" tint="0.499984740745262"/>
        <rFont val="Noto Sans"/>
        <family val="2"/>
      </rPr>
      <t xml:space="preserve"> 1957 VV below Monts</t>
    </r>
  </si>
  <si>
    <t>20LIGNIER06</t>
  </si>
  <si>
    <t>Luisants. ~2casks pa.</t>
  </si>
  <si>
    <t>19LIGNIER06</t>
  </si>
  <si>
    <r>
      <rPr>
        <b/>
        <sz val="7"/>
        <color theme="1" tint="0.499984740745262"/>
        <rFont val="Noto Sans"/>
        <family val="2"/>
      </rPr>
      <t>Charmes GC:</t>
    </r>
    <r>
      <rPr>
        <sz val="7"/>
        <color theme="1" tint="0.499984740745262"/>
        <rFont val="Noto Sans"/>
        <family val="2"/>
      </rPr>
      <t xml:space="preserve"> 0.1ha in Mazoyeres below Combottes</t>
    </r>
  </si>
  <si>
    <t>18LIGNIER06</t>
  </si>
  <si>
    <t>1948, but part replanted ~2019. Usually ~1cask</t>
  </si>
  <si>
    <t>17LIGNIER04</t>
  </si>
  <si>
    <r>
      <t>Clos de La Roche GC:</t>
    </r>
    <r>
      <rPr>
        <sz val="7"/>
        <color theme="1" tint="0.499984740745262"/>
        <rFont val="Noto Sans"/>
        <family val="2"/>
      </rPr>
      <t xml:space="preserve"> ~1ha in total. 0.62ha steep </t>
    </r>
  </si>
  <si>
    <t>16LIGNIER04</t>
  </si>
  <si>
    <t>vines in Monts Luisants 1955-1965; 0.28ha Fremieres</t>
  </si>
  <si>
    <t>15LIGNIER08</t>
  </si>
  <si>
    <t>1953-1960. ~0.75ha of all goes into this bottling</t>
  </si>
  <si>
    <t>14LIGNIER08</t>
  </si>
  <si>
    <r>
      <t>Clos de La Roche MCMLV:</t>
    </r>
    <r>
      <rPr>
        <sz val="7"/>
        <color theme="1" tint="0.499984740745262"/>
        <rFont val="Noto Sans"/>
        <family val="2"/>
      </rPr>
      <t xml:space="preserve"> 0.25ha massale vines</t>
    </r>
  </si>
  <si>
    <t>14LIGNIER09</t>
  </si>
  <si>
    <t>planted 1955 by Henri Lignier in Monts Luisants</t>
  </si>
  <si>
    <t>22LIGNIER12</t>
  </si>
  <si>
    <t>26rows, 11K vines/ha, ~15-25hl/ha. 1st made 2017.</t>
  </si>
  <si>
    <t>21LIGNIER08</t>
  </si>
  <si>
    <t>Joyce Delimata label. Source of massale cuttings</t>
  </si>
  <si>
    <t>19LIGNIER05</t>
  </si>
  <si>
    <t>Une année au Domaine, 2019, 32'14'':</t>
  </si>
  <si>
    <t>18LIGNIER05</t>
  </si>
  <si>
    <t>youtube.com/watch?v=MWiVlIFj_r0</t>
  </si>
  <si>
    <t>17LIGNIER03</t>
  </si>
  <si>
    <t>Hubert-Lignier.com</t>
  </si>
  <si>
    <t>15LIGNIER07</t>
  </si>
  <si>
    <t>instagram.com/domainehubertlignier/</t>
  </si>
  <si>
    <t>14LIGNIER07</t>
  </si>
  <si>
    <t xml:space="preserve">Gite-LeGrandCedre.fr </t>
  </si>
  <si>
    <t>12LIGNIER11</t>
  </si>
  <si>
    <t>22LIGNIER11</t>
  </si>
  <si>
    <t>21LIGNIER07</t>
  </si>
  <si>
    <t>GROWER CODE: LIGNIER</t>
  </si>
  <si>
    <t>20LIGNIER07</t>
  </si>
  <si>
    <t>19LIGNIER07</t>
  </si>
  <si>
    <t>16LIGNIER05</t>
  </si>
  <si>
    <t>22LIGNIER13</t>
  </si>
  <si>
    <t>20LIGNIER14</t>
  </si>
  <si>
    <t>18LIGNIER14</t>
  </si>
  <si>
    <t>17LIGNIER12</t>
  </si>
  <si>
    <t>16LIGNIER13</t>
  </si>
  <si>
    <t>15LIGNIER16</t>
  </si>
  <si>
    <t>14LIGNIER12</t>
  </si>
  <si>
    <t>12LIGNIER07</t>
  </si>
  <si>
    <t>12LIGNIER08</t>
  </si>
  <si>
    <t>GRANDS CRUS:</t>
  </si>
  <si>
    <t>22LIGNIER07</t>
  </si>
  <si>
    <t>21LIGNIER04</t>
  </si>
  <si>
    <t>19LIGNIER03</t>
  </si>
  <si>
    <t>18LIGNIER03</t>
  </si>
  <si>
    <t>22LIGNIER04</t>
  </si>
  <si>
    <t>21LIGNIER03</t>
  </si>
  <si>
    <t>20LIGNIER04</t>
  </si>
  <si>
    <t>19LIGNIER04</t>
  </si>
  <si>
    <t>17LIGNIER02</t>
  </si>
  <si>
    <t>22LIGNIER05</t>
  </si>
  <si>
    <t>22LIGNIER06</t>
  </si>
  <si>
    <t>22LIGNIER10MG</t>
  </si>
  <si>
    <t>21LIGNIER09MG</t>
  </si>
  <si>
    <t>20LIGNIER12MG</t>
  </si>
  <si>
    <t>19LIGNIER12MG</t>
  </si>
  <si>
    <t>22LIGNIER11MG</t>
  </si>
  <si>
    <t>21LIGNIER07MG</t>
  </si>
  <si>
    <t>20LIGNIER07MG</t>
  </si>
  <si>
    <t>19LIGNIER07MG</t>
  </si>
  <si>
    <t>18LIGNIER07MG</t>
  </si>
  <si>
    <t>17LIGNIER05MG</t>
  </si>
  <si>
    <t>17LIGNIER12MG</t>
  </si>
  <si>
    <t>22LIGNIER07MG</t>
  </si>
  <si>
    <t>21LIGNIER04MG</t>
  </si>
  <si>
    <t>20LIGNIER03MG</t>
  </si>
  <si>
    <t>18LIGNIER03MG</t>
  </si>
  <si>
    <t>21LIGNIER03MG</t>
  </si>
  <si>
    <t>20LIGNIER04MG</t>
  </si>
  <si>
    <t>18LIGNIER04MG</t>
  </si>
  <si>
    <t>17LIGNIER02MG</t>
  </si>
  <si>
    <t>KIND WORDS ON MAUME:</t>
  </si>
  <si>
    <r>
      <rPr>
        <b/>
        <sz val="7"/>
        <color theme="1" tint="0.499984740745262"/>
        <rFont val="Noto Sans"/>
        <family val="2"/>
      </rPr>
      <t>Neal Martin, Vinous 2022</t>
    </r>
    <r>
      <rPr>
        <sz val="7"/>
        <color theme="1" tint="0.499984740745262"/>
        <rFont val="Noto Sans"/>
        <family val="2"/>
      </rPr>
      <t xml:space="preserve"> 'consistently over-performing Gevrey-Chambertin En Pallud.'</t>
    </r>
  </si>
  <si>
    <r>
      <rPr>
        <b/>
        <sz val="7"/>
        <color theme="1" tint="0.499984740745262"/>
        <rFont val="Noto Sans"/>
        <family val="2"/>
      </rPr>
      <t>Neal Martin, Vinous 2020</t>
    </r>
    <r>
      <rPr>
        <sz val="7"/>
        <color theme="1" tint="0.499984740745262"/>
        <rFont val="Noto Sans"/>
        <family val="2"/>
      </rPr>
      <t xml:space="preserve"> 'Back in the day, Maume was the bastion of “traditional Burgundy” '</t>
    </r>
  </si>
  <si>
    <r>
      <rPr>
        <b/>
        <sz val="7"/>
        <color theme="1" tint="0.499984740745262"/>
        <rFont val="Noto Sans"/>
        <family val="2"/>
      </rPr>
      <t>Neal Martin, Vinous 2020</t>
    </r>
    <r>
      <rPr>
        <sz val="7"/>
        <color theme="1" tint="0.499984740745262"/>
        <rFont val="Noto Sans"/>
        <family val="2"/>
      </rPr>
      <t xml:space="preserve"> 'Maume never lost the knack of producing what you might call “fermented wonderment” '</t>
    </r>
  </si>
  <si>
    <r>
      <rPr>
        <b/>
        <sz val="7"/>
        <color theme="1" tint="0.499984740745262"/>
        <rFont val="Noto Sans"/>
        <family val="2"/>
      </rPr>
      <t>Neal Martin, TWA 201</t>
    </r>
    <r>
      <rPr>
        <sz val="7"/>
        <color theme="1" tint="0.499984740745262"/>
        <rFont val="Noto Sans"/>
        <family val="2"/>
      </rPr>
      <t>5 'Bertrand Maume is a winemaker who produced what you might call a militantly classic style of Burgundy. …Here in the UK, </t>
    </r>
  </si>
  <si>
    <t>Maume has a cult following that adore this style. I would probably include myself with them.'</t>
  </si>
  <si>
    <r>
      <rPr>
        <b/>
        <sz val="7"/>
        <color theme="1" tint="0.499984740745262"/>
        <rFont val="Noto Sans"/>
        <family val="2"/>
      </rPr>
      <t>Neal Martin, TWA 2014</t>
    </r>
    <r>
      <rPr>
        <sz val="7"/>
        <color theme="1" tint="0.499984740745262"/>
        <rFont val="Noto Sans"/>
        <family val="2"/>
      </rPr>
      <t xml:space="preserve"> 'I have a strong affection for Domaine Maume, whose unapologetically traditional, often herbaceous wines had a propensity</t>
    </r>
  </si>
  <si>
    <t xml:space="preserve"> to evolve into quite compelling expression of Pinot Noir that you either love or hate…'</t>
  </si>
  <si>
    <r>
      <rPr>
        <b/>
        <sz val="7"/>
        <color theme="1" tint="0.499984740745262"/>
        <rFont val="Noto Sans"/>
        <family val="2"/>
      </rPr>
      <t xml:space="preserve">Neal Martin, TWA 2014 </t>
    </r>
    <r>
      <rPr>
        <sz val="7"/>
        <color theme="1" tint="0.499984740745262"/>
        <rFont val="Noto Sans"/>
        <family val="2"/>
      </rPr>
      <t xml:space="preserve">'Bertrand Maume had a canny knack of creating wines that initially seemed to lack depth, yet given bottle age and aeration, </t>
    </r>
  </si>
  <si>
    <t>revealed hidden depths that made his wines mysteriously captivating.'</t>
  </si>
  <si>
    <r>
      <rPr>
        <b/>
        <sz val="7"/>
        <color theme="1" tint="0.499984740745262"/>
        <rFont val="Noto Sans"/>
        <family val="2"/>
      </rPr>
      <t>Claude Kolm, 2015</t>
    </r>
    <r>
      <rPr>
        <sz val="7"/>
        <color theme="1" tint="0.499984740745262"/>
        <rFont val="Noto Sans"/>
        <family val="2"/>
      </rPr>
      <t xml:space="preserve"> 'old bottles of Maume can be utterly profound'</t>
    </r>
  </si>
  <si>
    <r>
      <t>MAUME-SIBLAS, Dom.</t>
    </r>
    <r>
      <rPr>
        <sz val="8"/>
        <color theme="1" tint="0.14999847407452621"/>
        <rFont val="Noto Sans"/>
        <family val="2"/>
      </rPr>
      <t xml:space="preserve"> (2021-)</t>
    </r>
  </si>
  <si>
    <t>23MAUME01</t>
  </si>
  <si>
    <r>
      <t>MAUME, Domaine</t>
    </r>
    <r>
      <rPr>
        <sz val="8"/>
        <color theme="1" tint="0.14999847407452621"/>
        <rFont val="Noto Sans"/>
        <family val="2"/>
      </rPr>
      <t xml:space="preserve"> (2017 to 2020)</t>
    </r>
  </si>
  <si>
    <t>22MAUME01</t>
  </si>
  <si>
    <t>Gevrey Chambertin. These crus are both VV</t>
  </si>
  <si>
    <t>21MAUME01</t>
  </si>
  <si>
    <t>Patricia Siblas, Bertrand's ex-wife.</t>
  </si>
  <si>
    <t>20MAUME01</t>
  </si>
  <si>
    <t>Old vines, massale selection, ambient yeast,</t>
  </si>
  <si>
    <t>19MAUME01</t>
  </si>
  <si>
    <t>whole cluster, as per Maume of old</t>
  </si>
  <si>
    <t>18MAUME01</t>
  </si>
  <si>
    <t>17MAUME01</t>
  </si>
  <si>
    <t>2021 1st vintage labelled Dom. Maume-Siblas</t>
  </si>
  <si>
    <t>23MAUME02</t>
  </si>
  <si>
    <t>2017 Maume label reborn, made by Patricia Siblas</t>
  </si>
  <si>
    <t>22MAUME02</t>
  </si>
  <si>
    <t>2012 parcels retained by Bertrand are leased out</t>
  </si>
  <si>
    <t>21MAUME02</t>
  </si>
  <si>
    <t>2012 Dom.Maume sold to Moray Tawse by family</t>
  </si>
  <si>
    <t>20MAUME02</t>
  </si>
  <si>
    <t>2011 last true vintage of old Domaine Maume</t>
  </si>
  <si>
    <t>19MAUME02</t>
  </si>
  <si>
    <t>1988 Bertrand, 5th gen., joins father Bernard</t>
  </si>
  <si>
    <t>18MAUME02</t>
  </si>
  <si>
    <t>1870 Domaine Maume founded. Grows to 4.25ha</t>
  </si>
  <si>
    <t>17MAUME02</t>
  </si>
  <si>
    <t>instagram.com/domaines_siblas_maume/</t>
  </si>
  <si>
    <t>NEW LISTING (AGAIN) FOR 2020</t>
  </si>
  <si>
    <t>NB SEE MATURE MAUME BELOW</t>
  </si>
  <si>
    <t>GROWER CODE: MAUME</t>
  </si>
  <si>
    <t>KIND WORDS ON TAWSE LABELS:</t>
  </si>
  <si>
    <r>
      <t xml:space="preserve">N.Martin, 2021 </t>
    </r>
    <r>
      <rPr>
        <sz val="7"/>
        <color theme="1" tint="0.499984740745262"/>
        <rFont val="Noto Sans"/>
        <family val="2"/>
      </rPr>
      <t>'It is good to see Tawse starting to get the kudos they deserve.'</t>
    </r>
  </si>
  <si>
    <r>
      <rPr>
        <b/>
        <sz val="7"/>
        <color theme="1" tint="0.499984740745262"/>
        <rFont val="Noto Sans"/>
        <family val="2"/>
      </rPr>
      <t>N.Martin, 2018</t>
    </r>
    <r>
      <rPr>
        <sz val="7"/>
        <color theme="1" tint="0.499984740745262"/>
        <rFont val="Noto Sans"/>
        <family val="2"/>
      </rPr>
      <t xml:space="preserve"> 'For a few years, this Nuits Saint-Georges–based domaine/négociant rapidly expanded and changed names, to the confusion of some</t>
    </r>
  </si>
  <si>
    <t>consumers. Fortunately, things seem to have settled down now: Domaine Tawse and Marchand-Tawse are domaine and négociant, respectively. </t>
  </si>
  <si>
    <r>
      <t>Steen Ohman, Winehog, 2022</t>
    </r>
    <r>
      <rPr>
        <sz val="7"/>
        <color theme="1" tint="0.499984740745262"/>
        <rFont val="Noto Sans"/>
        <family val="2"/>
      </rPr>
      <t xml:space="preserve"> 'For me, Marchand-Tawse (negoce) and Domaine Tawse are somewhat overlooked.'</t>
    </r>
  </si>
  <si>
    <t>KIND WORDS ON TAWSE WINES:</t>
  </si>
  <si>
    <r>
      <t>Steen Ohman, Winehog, 2022</t>
    </r>
    <r>
      <rPr>
        <sz val="7"/>
        <color theme="1" tint="0.499984740745262"/>
        <rFont val="Noto Sans"/>
        <family val="2"/>
      </rPr>
      <t xml:space="preserve"> 'Pascal is also a tremendous winemaker, and even with bought grapes he is able to produce wines of impressive quality. </t>
    </r>
  </si>
  <si>
    <t>The main quality of the wines made by and under Pascal is drinkability: They drink well and bring pleasure. These are basic, but necessary, qualities of a</t>
  </si>
  <si>
    <t xml:space="preserve"> vin d’émotion. Pascal Marchand can take negociant wines – the terroirs, the grapes – and reveal their qualities like few others. Some wines have</t>
  </si>
  <si>
    <t>emotional characteristics, others not. But if they are there in potential, chances are the team at Marchand-Tawse will find them.'</t>
  </si>
  <si>
    <r>
      <rPr>
        <b/>
        <sz val="7"/>
        <color theme="1" tint="0.499984740745262"/>
        <rFont val="Noto Sans"/>
        <family val="2"/>
      </rPr>
      <t>Steen Ohman, Winehog, 2021</t>
    </r>
    <r>
      <rPr>
        <sz val="7"/>
        <color theme="1" tint="0.499984740745262"/>
        <rFont val="Noto Sans"/>
        <family val="2"/>
      </rPr>
      <t xml:space="preserve"> 'These are wines of energy and drinkability, with a feeling of airiness and lightness. Rarely does one have the feeling of</t>
    </r>
  </si>
  <si>
    <t>extraction or over-ripeness – they are made with a light hand. The oak is usually moderately toasted, with a minimal share of new wood. The wines are</t>
  </si>
  <si>
    <t>characterized by the sometimes ample use of whole clusters when possible. This formula works very well for most of the wines here. They bring pleasure</t>
  </si>
  <si>
    <t>and sometimes even great joy!'</t>
  </si>
  <si>
    <r>
      <rPr>
        <b/>
        <sz val="7"/>
        <color theme="1" tint="0.499984740745262"/>
        <rFont val="Noto Sans"/>
        <family val="2"/>
      </rPr>
      <t>Steen Ohman, Winehog, 2021</t>
    </r>
    <r>
      <rPr>
        <sz val="7"/>
        <color theme="1" tint="0.499984740745262"/>
        <rFont val="Noto Sans"/>
        <family val="2"/>
      </rPr>
      <t xml:space="preserve"> 'I am a big fan of the work Pascal does, producing wines of pleasure and, sometimes, of both joy and great complexity.</t>
    </r>
  </si>
  <si>
    <t>This is always the standing question: pleasure &amp;/or complexity? These days, when top Burgundies are very costly, answering “both” could prove expensive!'</t>
  </si>
  <si>
    <r>
      <rPr>
        <b/>
        <sz val="7"/>
        <color theme="1" tint="0.499984740745262"/>
        <rFont val="Noto Sans"/>
        <family val="2"/>
      </rPr>
      <t>Steen Ohman, Winehog, 2018</t>
    </r>
    <r>
      <rPr>
        <sz val="7"/>
        <color theme="1" tint="0.499984740745262"/>
        <rFont val="Noto Sans"/>
        <family val="2"/>
      </rPr>
      <t xml:space="preserve"> 'Style wise the wines (are) elegant, the wines are charming, forward and quite silky'</t>
    </r>
  </si>
  <si>
    <r>
      <rPr>
        <b/>
        <sz val="7"/>
        <color theme="1" tint="0.499984740745262"/>
        <rFont val="Noto Sans"/>
        <family val="2"/>
      </rPr>
      <t>Steen Ohman, Winehog, 2018</t>
    </r>
    <r>
      <rPr>
        <sz val="7"/>
        <color theme="1" tint="0.499984740745262"/>
        <rFont val="Noto Sans"/>
        <family val="2"/>
      </rPr>
      <t xml:space="preserve"> 'a lovely display of terroir...appellation...display of fruit...drinkability'</t>
    </r>
  </si>
  <si>
    <r>
      <t xml:space="preserve">N.Martin, 2021 </t>
    </r>
    <r>
      <rPr>
        <sz val="7"/>
        <color theme="1" tint="0.499984740745262"/>
        <rFont val="Noto Sans"/>
        <family val="2"/>
      </rPr>
      <t>'There is plenty on offer down the hierarchy in various appellations, and the wines remain well-priced compared with others.'</t>
    </r>
  </si>
  <si>
    <r>
      <rPr>
        <b/>
        <sz val="7"/>
        <color theme="1" tint="0.499984740745262"/>
        <rFont val="Noto Sans"/>
        <family val="2"/>
      </rPr>
      <t>N.Martin, 2020</t>
    </r>
    <r>
      <rPr>
        <sz val="7"/>
        <color theme="1" tint="0.499984740745262"/>
        <rFont val="Noto Sans"/>
        <family val="2"/>
      </rPr>
      <t xml:space="preserve"> 'in vino veritas – these wines prove themselves time and again where it counts – in the wine glass'</t>
    </r>
  </si>
  <si>
    <r>
      <rPr>
        <b/>
        <sz val="7"/>
        <color theme="1" tint="0.499984740745262"/>
        <rFont val="Noto Sans"/>
        <family val="2"/>
      </rPr>
      <t>N.Martin, 2018</t>
    </r>
    <r>
      <rPr>
        <sz val="7"/>
        <color theme="1" tint="0.499984740745262"/>
        <rFont val="Noto Sans"/>
        <family val="2"/>
      </rPr>
      <t xml:space="preserve"> 'there is much to admire under the direction of Fincham, and those complaining about the modern style of winemaking really need to taste</t>
    </r>
  </si>
  <si>
    <t>the wines, preferably in blind conditions as I have done. Fincham manages to embrace both classic and modern winemaking.'</t>
  </si>
  <si>
    <r>
      <rPr>
        <b/>
        <sz val="7"/>
        <color theme="1" tint="0.499984740745262"/>
        <rFont val="Noto Sans"/>
        <family val="2"/>
      </rPr>
      <t>N.Martin, 2016</t>
    </r>
    <r>
      <rPr>
        <sz val="7"/>
        <color theme="1" tint="0.499984740745262"/>
        <rFont val="Noto Sans"/>
        <family val="2"/>
      </rPr>
      <t xml:space="preserve"> 'I was very impressed by the quality of these wines (2015s): very intense, detailed and unapologetically very terroir specific, exemplified by</t>
    </r>
  </si>
  <si>
    <t>the impressive village cru, Gevrey-Chambertin en Palud, and one of the finest Mazis-Chambertins you will find in 2015. They seem reasonably priced in</t>
  </si>
  <si>
    <t>the market vis-à-vis other growers and they are definitely worth investigating. This is principled and thoughtful winemaking creating wonderful wine.'</t>
  </si>
  <si>
    <r>
      <rPr>
        <b/>
        <sz val="7"/>
        <color theme="1" tint="0.499984740745262"/>
        <rFont val="Noto Sans"/>
        <family val="2"/>
      </rPr>
      <t>N.Martin, 2015</t>
    </r>
    <r>
      <rPr>
        <sz val="7"/>
        <color theme="1" tint="0.499984740745262"/>
        <rFont val="Noto Sans"/>
        <family val="2"/>
      </rPr>
      <t xml:space="preserve"> 'I have to commend the purity of these wines, their freshness and brightness. They have retained elegance in barrel that I hope will be</t>
    </r>
  </si>
  <si>
    <t>translated in bottle and they speak of their terroirs, partly because of biodynamic farming that means they must be constantly amongst the vines.'</t>
  </si>
  <si>
    <r>
      <rPr>
        <b/>
        <sz val="7"/>
        <color theme="1" tint="0.499984740745262"/>
        <rFont val="Noto Sans"/>
        <family val="2"/>
      </rPr>
      <t>S.Tanzer, 2014</t>
    </r>
    <r>
      <rPr>
        <sz val="7"/>
        <color theme="1" tint="0.499984740745262"/>
        <rFont val="Noto Sans"/>
        <family val="2"/>
      </rPr>
      <t xml:space="preserve"> 'Pascal Marchand is now producing an impressive array of both red and white Burgundies. He is also cutting back on use of new oak:</t>
    </r>
  </si>
  <si>
    <t>the grand crus are no longer aged in all new barrels and the premier crus get about 30% new oak.'</t>
  </si>
  <si>
    <t>KIND WORDS ON TAWSE TEAM:</t>
  </si>
  <si>
    <r>
      <rPr>
        <b/>
        <sz val="7"/>
        <color theme="1" tint="0.499984740745262"/>
        <rFont val="Noto Sans"/>
        <family val="2"/>
      </rPr>
      <t>Bill Nanson, 2019</t>
    </r>
    <r>
      <rPr>
        <sz val="7"/>
        <color theme="1" tint="0.499984740745262"/>
        <rFont val="Noto Sans"/>
        <family val="2"/>
      </rPr>
      <t xml:space="preserve"> 'I’m a big fan of Pascal Marchand and his team’s work – every year there are gems outside of the quality that I expect from the GCs.'</t>
    </r>
  </si>
  <si>
    <r>
      <rPr>
        <b/>
        <sz val="7"/>
        <color theme="1" tint="0.499984740745262"/>
        <rFont val="Noto Sans"/>
        <family val="2"/>
      </rPr>
      <t>Steen Ohman, Winehog, 2022</t>
    </r>
    <r>
      <rPr>
        <sz val="7"/>
        <color theme="1" tint="0.499984740745262"/>
        <rFont val="Noto Sans"/>
        <family val="2"/>
      </rPr>
      <t xml:space="preserve"> 'Pascal Marchand is one of the most knowledgeable vignerons in Burgundy, and it’s a treat to hear his views based in vast</t>
    </r>
  </si>
  <si>
    <t>knowledge &amp; long experience. This is how we learn. And let’s not forget, Pascal has great help from his co-winemaker Mark Fincham, a very capable vigneron'</t>
  </si>
  <si>
    <r>
      <rPr>
        <b/>
        <sz val="7"/>
        <color theme="1" tint="0.499984740745262"/>
        <rFont val="Noto Sans"/>
        <family val="2"/>
      </rPr>
      <t>Steen Ohman, Winehog, 2021</t>
    </r>
    <r>
      <rPr>
        <sz val="7"/>
        <color theme="1" tint="0.499984740745262"/>
        <rFont val="Noto Sans"/>
        <family val="2"/>
      </rPr>
      <t xml:space="preserve"> 'Pascal Marchand has been a step ahead for many years…'</t>
    </r>
  </si>
  <si>
    <r>
      <rPr>
        <b/>
        <sz val="7"/>
        <color theme="1" tint="0.499984740745262"/>
        <rFont val="Noto Sans"/>
        <family val="2"/>
      </rPr>
      <t>N.Martin, 2020</t>
    </r>
    <r>
      <rPr>
        <sz val="7"/>
        <color theme="1" tint="0.499984740745262"/>
        <rFont val="Noto Sans"/>
        <family val="2"/>
      </rPr>
      <t xml:space="preserve"> 'Nowadays I reserve an entire morning to taste through the complete range of Domaine Tawse and their wide range of négociant wines</t>
    </r>
  </si>
  <si>
    <t>under Marchand-Tawse. That is not only because of the sheer number of wines, but also because discussing the vintage with winemakers Pascal Marchand</t>
  </si>
  <si>
    <t>and Mark Fincham is always an illuminating exercise.'</t>
  </si>
  <si>
    <r>
      <rPr>
        <b/>
        <sz val="7"/>
        <color theme="1" tint="0.499984740745262"/>
        <rFont val="Noto Sans"/>
        <family val="2"/>
      </rPr>
      <t>N.Martin, 2015 '</t>
    </r>
    <r>
      <rPr>
        <sz val="7"/>
        <color theme="1" tint="0.499984740745262"/>
        <rFont val="Noto Sans"/>
        <family val="2"/>
      </rPr>
      <t>Pascal himself has moved away from that style (of dense, extracted and oaky Burgundy)'</t>
    </r>
  </si>
  <si>
    <t>MARCHAND-TAWSE:</t>
  </si>
  <si>
    <r>
      <rPr>
        <b/>
        <i/>
        <u/>
        <sz val="8"/>
        <color theme="1" tint="0.14999847407452621"/>
        <rFont val="Noto Sans"/>
        <family val="2"/>
      </rPr>
      <t>'SSA' - SANS SOUFFRE AJOUTÉ</t>
    </r>
    <r>
      <rPr>
        <b/>
        <u/>
        <sz val="8"/>
        <color theme="1" tint="0.14999847407452621"/>
        <rFont val="Noto Sans"/>
        <family val="2"/>
      </rPr>
      <t xml:space="preserve"> - BY MARK FINCHAM:</t>
    </r>
  </si>
  <si>
    <t xml:space="preserve">Côte de Nuits &amp; the </t>
  </si>
  <si>
    <r>
      <t xml:space="preserve">BLANC </t>
    </r>
    <r>
      <rPr>
        <b/>
        <i/>
        <u/>
        <sz val="8"/>
        <color theme="1" tint="0.14999847407452621"/>
        <rFont val="Noto Sans"/>
        <family val="2"/>
      </rPr>
      <t>SSA</t>
    </r>
    <r>
      <rPr>
        <b/>
        <u/>
        <sz val="8"/>
        <color theme="1" tint="0.14999847407452621"/>
        <rFont val="Noto Sans"/>
        <family val="2"/>
      </rPr>
      <t>:</t>
    </r>
  </si>
  <si>
    <t>'SSA' range</t>
  </si>
  <si>
    <t>17MTAWSE12</t>
  </si>
  <si>
    <t>NB from 2021s, Domaine wines are labelled:</t>
  </si>
  <si>
    <r>
      <t xml:space="preserve">ROUGE </t>
    </r>
    <r>
      <rPr>
        <b/>
        <i/>
        <u/>
        <sz val="8"/>
        <color theme="1" tint="0.14999847407452621"/>
        <rFont val="Noto Sans"/>
        <family val="2"/>
      </rPr>
      <t>SSA</t>
    </r>
    <r>
      <rPr>
        <b/>
        <u/>
        <sz val="8"/>
        <color theme="1" tint="0.14999847407452621"/>
        <rFont val="Noto Sans"/>
        <family val="2"/>
      </rPr>
      <t>:</t>
    </r>
  </si>
  <si>
    <t>'Vignes de La Famille Tawse'</t>
  </si>
  <si>
    <t>20MTAWSE23</t>
  </si>
  <si>
    <t>NB these are wines formerly known as:</t>
  </si>
  <si>
    <t>19MTAWSE11</t>
  </si>
  <si>
    <r>
      <t>DOMAINE TAWSE</t>
    </r>
    <r>
      <rPr>
        <sz val="8"/>
        <color theme="1" tint="0.14999847407452621"/>
        <rFont val="Noto Sans"/>
        <family val="2"/>
      </rPr>
      <t xml:space="preserve"> (2016-2020)</t>
    </r>
  </si>
  <si>
    <t>18MTAWSE08</t>
  </si>
  <si>
    <r>
      <t>MAUME by TAWSE</t>
    </r>
    <r>
      <rPr>
        <sz val="8"/>
        <color theme="1" tint="0.14999847407452621"/>
        <rFont val="Noto Sans"/>
        <family val="2"/>
      </rPr>
      <t xml:space="preserve"> (2014 &amp; 2015)</t>
    </r>
  </si>
  <si>
    <t>17MTAWSE07</t>
  </si>
  <si>
    <r>
      <t>MAUME-TAWSE</t>
    </r>
    <r>
      <rPr>
        <sz val="8"/>
        <color theme="1" tint="0.14999847407452621"/>
        <rFont val="Noto Sans"/>
        <family val="2"/>
      </rPr>
      <t xml:space="preserve"> (2012 &amp; 2013)</t>
    </r>
  </si>
  <si>
    <t>16MTAWSE07</t>
  </si>
  <si>
    <r>
      <t xml:space="preserve">DOMAINE MAUME </t>
    </r>
    <r>
      <rPr>
        <sz val="8"/>
        <color theme="1" tint="0.14999847407452621"/>
        <rFont val="Noto Sans"/>
        <family val="2"/>
      </rPr>
      <t>(up to 2011s)</t>
    </r>
  </si>
  <si>
    <t>12ha domaine, for ~1/3 of requirements</t>
  </si>
  <si>
    <t>Two cellars, in Nuits &amp; Beaune</t>
  </si>
  <si>
    <t>GEVREY HVS:</t>
  </si>
  <si>
    <t>Canadians Moray Tawse &amp; Pascal Marchand</t>
  </si>
  <si>
    <t>19TAWSE01HF</t>
  </si>
  <si>
    <t>Winemakers Mark Fincham (ex-Pegau) &amp;</t>
  </si>
  <si>
    <t>14MAUME01HF</t>
  </si>
  <si>
    <t>Thomas Dinel (ex-Dujac). Ambient yeast</t>
  </si>
  <si>
    <t>COTE DE NUITS VILLAGE-LEVEL ROUGE:</t>
  </si>
  <si>
    <t>~150,000btls per year, ~15% white wines</t>
  </si>
  <si>
    <t>21MTAWSE07</t>
  </si>
  <si>
    <t>Organic certified Domaine 2019 Ecocert</t>
  </si>
  <si>
    <t>20MTAWSE08</t>
  </si>
  <si>
    <t>'biodynamic-uncertified' Domaine</t>
  </si>
  <si>
    <t>21MTAWSE13</t>
  </si>
  <si>
    <t>20MTAWSE10</t>
  </si>
  <si>
    <t>21MTAWSE22</t>
  </si>
  <si>
    <t>2021 label changes (again)</t>
  </si>
  <si>
    <t>20MTAWSE17</t>
  </si>
  <si>
    <t>2019 Domaine certified organic</t>
  </si>
  <si>
    <t>21MTAWSE23</t>
  </si>
  <si>
    <t>2016 CDN wines now made in the Nuits winery</t>
  </si>
  <si>
    <t>20MTAWSE18</t>
  </si>
  <si>
    <t>2016 Dom.Maume is renamed Dom.Tawse</t>
  </si>
  <si>
    <t>22MTAWSE03</t>
  </si>
  <si>
    <t>2015 last vintage in the old Maume cellar</t>
  </si>
  <si>
    <t>21MTAWSE03</t>
  </si>
  <si>
    <t>2013 purchase of a sliver of Musigny GC</t>
  </si>
  <si>
    <t>20MTAWSE04</t>
  </si>
  <si>
    <t>2012 Charmes GC changes to Mazoyeres GC</t>
  </si>
  <si>
    <t>19MTAWSE01</t>
  </si>
  <si>
    <t>2012 1st vintage of domaine Gevreys</t>
  </si>
  <si>
    <t>18MTAWSE01</t>
  </si>
  <si>
    <t>2011 Moray Tawse bought Domaine Maume</t>
  </si>
  <si>
    <t>21MTAWSE19</t>
  </si>
  <si>
    <t>2011 1st vintage Marchand-Tawse label</t>
  </si>
  <si>
    <t>19MTAWSE02</t>
  </si>
  <si>
    <t>2006 1st vintage Pascal Marchand negoce</t>
  </si>
  <si>
    <t>18MTAWSE02</t>
  </si>
  <si>
    <t>1999 - 2005s Pascal runs new Vougeraie</t>
  </si>
  <si>
    <t>17MTAWSE02</t>
  </si>
  <si>
    <t>1985 - 1999 Pascal runs Clos des Epeneaux</t>
  </si>
  <si>
    <t>16MTAWSE06</t>
  </si>
  <si>
    <t>Marchand-Tawse.com</t>
  </si>
  <si>
    <t>21MTAWSE11</t>
  </si>
  <si>
    <t>instagram.com/marchand_tawse/</t>
  </si>
  <si>
    <t>20TAWSE01</t>
  </si>
  <si>
    <t>NB ALSO SEE COTE DE BEAUNE</t>
  </si>
  <si>
    <t>19TAWSE01</t>
  </si>
  <si>
    <t>GROWER CODES: TAWSE / MAUME</t>
  </si>
  <si>
    <t>18TAWSE01</t>
  </si>
  <si>
    <t>17TAWSE01</t>
  </si>
  <si>
    <t>21MTAWSE29</t>
  </si>
  <si>
    <t>17MTAWSE01</t>
  </si>
  <si>
    <t>21MTAWSE12</t>
  </si>
  <si>
    <t>20TAWSE02</t>
  </si>
  <si>
    <t>19TAWSE02</t>
  </si>
  <si>
    <t>17TAWSE02</t>
  </si>
  <si>
    <t>16TAWSE02</t>
  </si>
  <si>
    <t>15MAUME02</t>
  </si>
  <si>
    <t>14MAUME02</t>
  </si>
  <si>
    <t>CÔTE DE NUITS 1C ROUGE:</t>
  </si>
  <si>
    <t>20MTAWSE16</t>
  </si>
  <si>
    <t>19MTAWSE08</t>
  </si>
  <si>
    <t>21MTAWSE17</t>
  </si>
  <si>
    <t>21MTAWSE16</t>
  </si>
  <si>
    <t>20MTAWSE12</t>
  </si>
  <si>
    <t>19MTAWSE06</t>
  </si>
  <si>
    <t>18MTAWSE06</t>
  </si>
  <si>
    <t>17MTAWSE05</t>
  </si>
  <si>
    <t>21MTAWSE18</t>
  </si>
  <si>
    <t>19MTAWSE07</t>
  </si>
  <si>
    <t>18MTAWSE07</t>
  </si>
  <si>
    <t>17MTAWSE06</t>
  </si>
  <si>
    <t>16MTAWSE05</t>
  </si>
  <si>
    <t>21MTAWSE08</t>
  </si>
  <si>
    <t>20MTAWSE09</t>
  </si>
  <si>
    <t>19MTAWSE05</t>
  </si>
  <si>
    <t>18MTAWSE05</t>
  </si>
  <si>
    <t>21MTAWSE09</t>
  </si>
  <si>
    <t>13MAUME02</t>
  </si>
  <si>
    <t>12MAUME01</t>
  </si>
  <si>
    <t>15MAUME03</t>
  </si>
  <si>
    <t>14MAUME03</t>
  </si>
  <si>
    <t>13MAUME03</t>
  </si>
  <si>
    <t>CÔTE DE NUITS GC:</t>
  </si>
  <si>
    <t>14MAUME04</t>
  </si>
  <si>
    <t>13MAUME04</t>
  </si>
  <si>
    <t>12MAUME03</t>
  </si>
  <si>
    <t>11MAUME03</t>
  </si>
  <si>
    <t>12MAUME04</t>
  </si>
  <si>
    <t>21MTAWSE06</t>
  </si>
  <si>
    <t>22MTAWSE05</t>
  </si>
  <si>
    <t>20MTAWSE03</t>
  </si>
  <si>
    <t>21MTAWSE20</t>
  </si>
  <si>
    <t>10MAUME01MDP</t>
  </si>
  <si>
    <t>13MAUME04MG</t>
  </si>
  <si>
    <t>13MAUME05MG</t>
  </si>
  <si>
    <t>12MAUME04MG</t>
  </si>
  <si>
    <t>MÉO-CAMUZET, Dom.</t>
  </si>
  <si>
    <t>CLOS ST. PHILIBERT BLANC MONOPOLE:</t>
  </si>
  <si>
    <t>Vosne-Romanée. Jean-Nicholas Méo. ~18ha</t>
  </si>
  <si>
    <t>22MEO01</t>
  </si>
  <si>
    <r>
      <t>v.</t>
    </r>
    <r>
      <rPr>
        <b/>
        <sz val="8"/>
        <color rgb="FF00B050"/>
        <rFont val="Noto Sans"/>
        <family val="2"/>
      </rPr>
      <t>sustainable</t>
    </r>
    <r>
      <rPr>
        <sz val="8"/>
        <color theme="1" tint="0.14999847407452621"/>
        <rFont val="Noto Sans"/>
        <family val="2"/>
      </rPr>
      <t xml:space="preserve"> farming; no green harvest</t>
    </r>
  </si>
  <si>
    <t>20MEO07MG</t>
  </si>
  <si>
    <t>viticulture by Christian Faurois; ambient yeast</t>
  </si>
  <si>
    <t>low adjustments; modest SO2</t>
  </si>
  <si>
    <t>20MEO09</t>
  </si>
  <si>
    <t>THE WHITE WINE:</t>
  </si>
  <si>
    <t>19MEO06</t>
  </si>
  <si>
    <t xml:space="preserve">Clos St.Philibert blanc monopole, HCDN: </t>
  </si>
  <si>
    <t>18MEO06</t>
  </si>
  <si>
    <t>3.5ha of chardonnay with 10% pinot blanc planted</t>
  </si>
  <si>
    <t>13MEO01</t>
  </si>
  <si>
    <t>at 370-400m within Flagey-Echezeaux, above</t>
  </si>
  <si>
    <t>18MEO08</t>
  </si>
  <si>
    <t>Vosne Les Rouges &amp; Beaux Monts. White stony soil</t>
  </si>
  <si>
    <t>17MEO08</t>
  </si>
  <si>
    <t>11MEO09</t>
  </si>
  <si>
    <t>2017 Jane Anson, Top 10 WOTY</t>
  </si>
  <si>
    <t>2008 end of last leased parcel, to Jean Tardy</t>
  </si>
  <si>
    <t>17MEO10</t>
  </si>
  <si>
    <r>
      <t xml:space="preserve">1990 - 1992 Clos St.Philibert </t>
    </r>
    <r>
      <rPr>
        <b/>
        <sz val="7"/>
        <color theme="1" tint="0.499984740745262"/>
        <rFont val="Noto Sans"/>
        <family val="2"/>
      </rPr>
      <t>monopole</t>
    </r>
    <r>
      <rPr>
        <sz val="7"/>
        <color theme="1" tint="0.499984740745262"/>
        <rFont val="Noto Sans"/>
        <family val="2"/>
      </rPr>
      <t xml:space="preserve"> planted</t>
    </r>
  </si>
  <si>
    <t>12MEO10</t>
  </si>
  <si>
    <t>1989 Jean-Nicholas Méo takes over</t>
  </si>
  <si>
    <t>11MEO10</t>
  </si>
  <si>
    <t>22MEO02</t>
  </si>
  <si>
    <t>1980s (late) Jayer retirement, &amp; mentorship of JN</t>
  </si>
  <si>
    <t>22MEO04</t>
  </si>
  <si>
    <t>1985 - 1989 son Jean-Nicholas' wines studies</t>
  </si>
  <si>
    <t>19MEO03</t>
  </si>
  <si>
    <t>1983 1st vintage of Méo-Camuzet label</t>
  </si>
  <si>
    <t>19MEO02</t>
  </si>
  <si>
    <t>1970s (late) Jayer pefects his cellar techniques</t>
  </si>
  <si>
    <t>1973 Christian Faurois joined</t>
  </si>
  <si>
    <t>22MEO05</t>
  </si>
  <si>
    <t>1964 Jean-Nicholas Méo born</t>
  </si>
  <si>
    <t>22MEO06</t>
  </si>
  <si>
    <t>1959 nephew Jean Méo takes over</t>
  </si>
  <si>
    <t>21MEO01</t>
  </si>
  <si>
    <t>1950s Jayer replants Cros Parentoux 1C</t>
  </si>
  <si>
    <t>1946 - 1959 daughter Maria Noirot's ownership</t>
  </si>
  <si>
    <t>1940s Etienne offered vineyard lease to H.Jayer</t>
  </si>
  <si>
    <t>1922 Henri Jayer born (D.2006)</t>
  </si>
  <si>
    <t>1903 - 1932 Etienne is MP for Cote d'Or</t>
  </si>
  <si>
    <t>1902 domaine founded; mostly rented out</t>
  </si>
  <si>
    <t>1867 Etienne Camuzet born (D.1946)</t>
  </si>
  <si>
    <r>
      <t>F&amp;S=Méo-Camuzet Frère &amp; Soeur</t>
    </r>
    <r>
      <rPr>
        <sz val="8"/>
        <color theme="1" tint="0.14999847407452621"/>
        <rFont val="Noto Sans"/>
        <family val="2"/>
      </rPr>
      <t xml:space="preserve">s </t>
    </r>
  </si>
  <si>
    <t>RVF 2* estate; B+D 4*, CC 2* estate, 2008</t>
  </si>
  <si>
    <t>NB MOST GCs SELL OUT ON RELEASE</t>
  </si>
  <si>
    <t>LEVI DALTON 'IDTT' INTERVIEW #367</t>
  </si>
  <si>
    <t>DEBRA MEIBURG MW INTERVIEW #210</t>
  </si>
  <si>
    <t>VINOUS LIVE INTERVIEW:</t>
  </si>
  <si>
    <t>youtube.com/watch?v=whbBHaUWIDI</t>
  </si>
  <si>
    <t>Meo-Camuzet.com</t>
  </si>
  <si>
    <t>GROWER CODE: MEO</t>
  </si>
  <si>
    <r>
      <rPr>
        <b/>
        <sz val="7"/>
        <color theme="1" tint="0.499984740745262"/>
        <rFont val="Noto Sans"/>
        <family val="2"/>
      </rPr>
      <t>N.Martin, Vinous 2022</t>
    </r>
    <r>
      <rPr>
        <sz val="7"/>
        <color theme="1" tint="0.499984740745262"/>
        <rFont val="Noto Sans"/>
        <family val="2"/>
      </rPr>
      <t xml:space="preserve"> 'Apart from Amélie Berthaut, there is a dearth of winemakers in Fixin who are really pushing for greatness, although I think there are</t>
    </r>
  </si>
  <si>
    <t>a few “bubbling under”. I visted one during my recent trip, Domaine Molin…'</t>
  </si>
  <si>
    <t>A&amp;JM MOLIN, Domaine</t>
  </si>
  <si>
    <t>FIXIN BLANC:</t>
  </si>
  <si>
    <t>by Alex Molin</t>
  </si>
  <si>
    <t>19MOLIN01</t>
  </si>
  <si>
    <t xml:space="preserve">Fixin, 7ha. Armelle &amp; Jean-Michel Molin, </t>
  </si>
  <si>
    <t>son Alex Molin</t>
  </si>
  <si>
    <t>17MOLIN01</t>
  </si>
  <si>
    <t>FIXIN ROUGE:</t>
  </si>
  <si>
    <t>ambient yeast ferment; 40-50% new casks</t>
  </si>
  <si>
    <t>22MOLIN01</t>
  </si>
  <si>
    <t>reds are unclarified; whites bentonite fined</t>
  </si>
  <si>
    <t>21MOLIN01</t>
  </si>
  <si>
    <t>12mths BLANC elevage, to 24mths on top reds</t>
  </si>
  <si>
    <t>20MOLIN01</t>
  </si>
  <si>
    <t>16MOLIN02</t>
  </si>
  <si>
    <t>Mazy Chambertin GC: 0.37ha, ~70yrs</t>
  </si>
  <si>
    <t>22MOLIN02</t>
  </si>
  <si>
    <t>Fixin Hervelets 1C: 0.47ha rge VV, 0.1ha BLANC</t>
  </si>
  <si>
    <t>20MOLIN02</t>
  </si>
  <si>
    <t>Fixin: 2.47ha, various parcels</t>
  </si>
  <si>
    <t>19MOLIN02</t>
  </si>
  <si>
    <t>Fixin VV BLANC: Les Ormeaux &amp; Les Champtions</t>
  </si>
  <si>
    <t>18MOLIN02</t>
  </si>
  <si>
    <t>22MOLIN03</t>
  </si>
  <si>
    <t>21MOLIN02</t>
  </si>
  <si>
    <t>2022 Mazy &amp; Fixin Hervelets Rouge due for replanting</t>
  </si>
  <si>
    <t>20MOLIN03</t>
  </si>
  <si>
    <t>2014 build new aging cellar</t>
  </si>
  <si>
    <t>19MOLIN03</t>
  </si>
  <si>
    <t>2010 1st vintage Organic certified</t>
  </si>
  <si>
    <t>18MOLIN03</t>
  </si>
  <si>
    <t>2007 start conversion to organics</t>
  </si>
  <si>
    <t>17MOLIN02</t>
  </si>
  <si>
    <t>2004 son Alex joins</t>
  </si>
  <si>
    <t>16MOLIN03</t>
  </si>
  <si>
    <t>1997 buy cuverie</t>
  </si>
  <si>
    <t>MAZY CHAMBERTIN GC:</t>
  </si>
  <si>
    <t>1990 to 2015 constant purchasing &amp; planting</t>
  </si>
  <si>
    <t>22MOLIN05</t>
  </si>
  <si>
    <t>1987 1st harvest</t>
  </si>
  <si>
    <t>21MOLIN03</t>
  </si>
  <si>
    <t>Domaine-Molin.fr</t>
  </si>
  <si>
    <t>19MOLIN04</t>
  </si>
  <si>
    <t>facebook.com/domaine.molin/</t>
  </si>
  <si>
    <t>18MOLIN04</t>
  </si>
  <si>
    <t>GROWER CODE: MOLIN</t>
  </si>
  <si>
    <t>17MOLIN03</t>
  </si>
  <si>
    <t>KIND WORDS ON MUGNIER, etc.</t>
  </si>
  <si>
    <r>
      <rPr>
        <b/>
        <sz val="7"/>
        <color theme="1" tint="0.499984740745262"/>
        <rFont val="Noto Sans"/>
        <family val="2"/>
      </rPr>
      <t>Becky Wassermann</t>
    </r>
    <r>
      <rPr>
        <sz val="7"/>
        <color theme="1" tint="0.499984740745262"/>
        <rFont val="Noto Sans"/>
        <family val="2"/>
      </rPr>
      <t xml:space="preserve"> 'In winemaking, Fred is seeking the absence of Fred.'</t>
    </r>
  </si>
  <si>
    <t>b+d Guide, 2020 'ce domaine n'a cessé de perfectionner viticulture et vinification depuis le debuit des années 1990 - 5'</t>
  </si>
  <si>
    <r>
      <rPr>
        <b/>
        <sz val="7"/>
        <color theme="1" tint="0.499984740745262"/>
        <rFont val="Noto Sans"/>
        <family val="2"/>
      </rPr>
      <t>b+d Guide, 2020</t>
    </r>
    <r>
      <rPr>
        <sz val="7"/>
        <color theme="1" tint="0.499984740745262"/>
        <rFont val="Noto Sans"/>
        <family val="2"/>
      </rPr>
      <t xml:space="preserve"> '(vins) tous délicats, subtils, pudiques, vraiment dans l'espit que nous aimons et defendons'</t>
    </r>
  </si>
  <si>
    <r>
      <rPr>
        <b/>
        <sz val="7"/>
        <color theme="1" tint="0.499984740745262"/>
        <rFont val="Noto Sans"/>
        <family val="2"/>
      </rPr>
      <t xml:space="preserve">N.Martin, 2019 </t>
    </r>
    <r>
      <rPr>
        <sz val="7"/>
        <color theme="1" tint="0.499984740745262"/>
        <rFont val="Noto Sans"/>
        <family val="2"/>
      </rPr>
      <t xml:space="preserve">'My conversation with Mugnier is consistently one of the most enlightening and candid during my visits. His comments symbolize the </t>
    </r>
  </si>
  <si>
    <t>seachange of opinion towards the growing season...with global warming now accepted as a real phenomenon.'</t>
  </si>
  <si>
    <r>
      <rPr>
        <b/>
        <sz val="7"/>
        <color theme="1" tint="0.499984740745262"/>
        <rFont val="Noto Sans"/>
        <family val="2"/>
      </rPr>
      <t>J.F.Mugnier, 2018</t>
    </r>
    <r>
      <rPr>
        <sz val="7"/>
        <color theme="1" tint="0.499984740745262"/>
        <rFont val="Noto Sans"/>
        <family val="2"/>
      </rPr>
      <t xml:space="preserve"> 'complexity is inherently difficult to describe—a wine that's easy to describe can't be truly great'</t>
    </r>
  </si>
  <si>
    <r>
      <rPr>
        <b/>
        <sz val="7"/>
        <color theme="1" tint="0.499984740745262"/>
        <rFont val="Noto Sans"/>
        <family val="2"/>
      </rPr>
      <t>W.Kelley, TWA 2018</t>
    </r>
    <r>
      <rPr>
        <sz val="7"/>
        <color theme="1" tint="0.499984740745262"/>
        <rFont val="Noto Sans"/>
        <family val="2"/>
      </rPr>
      <t xml:space="preserve"> 'an original winemaker at the height of his powers. ...emphasizes purity, transparency, concentration without extraction.'</t>
    </r>
  </si>
  <si>
    <r>
      <t>S.Ohman, Winehog, 2016</t>
    </r>
    <r>
      <rPr>
        <sz val="7"/>
        <color theme="1" tint="0.499984740745262"/>
        <rFont val="Noto Sans"/>
        <family val="2"/>
      </rPr>
      <t xml:space="preserve"> 'The wines are magnificent, and Frédéric Mugnier is one of the most interesting people in Burgundy'</t>
    </r>
  </si>
  <si>
    <r>
      <rPr>
        <b/>
        <sz val="7"/>
        <color theme="1" tint="0.499984740745262"/>
        <rFont val="Noto Sans"/>
        <family val="2"/>
      </rPr>
      <t>N.Martin, 2015</t>
    </r>
    <r>
      <rPr>
        <sz val="7"/>
        <color theme="1" tint="0.499984740745262"/>
        <rFont val="Noto Sans"/>
        <family val="2"/>
      </rPr>
      <t xml:space="preserve"> 'Frédéric has...“found his groove” at the domaine, fashioning a style of wine that he feels comfortable with'</t>
    </r>
  </si>
  <si>
    <r>
      <t>C.Kolm TFWR, 2014</t>
    </r>
    <r>
      <rPr>
        <sz val="7"/>
        <color theme="1" tint="0.499984740745262"/>
        <rFont val="Noto Sans"/>
        <family val="2"/>
      </rPr>
      <t xml:space="preserve"> 'one of the iconic domaines... wines of finesse and overall sensuality.'</t>
    </r>
  </si>
  <si>
    <r>
      <rPr>
        <b/>
        <sz val="7"/>
        <color theme="1" tint="0.499984740745262"/>
        <rFont val="Noto Sans"/>
        <family val="2"/>
      </rPr>
      <t>N.Martin, 2013</t>
    </r>
    <r>
      <rPr>
        <sz val="7"/>
        <color theme="1" tint="0.499984740745262"/>
        <rFont val="Noto Sans"/>
        <family val="2"/>
      </rPr>
      <t xml:space="preserve"> 'the more classical, refined style of Pinot Noir suits Mugnier to the ground.'</t>
    </r>
  </si>
  <si>
    <r>
      <rPr>
        <b/>
        <sz val="7"/>
        <color theme="1" tint="0.499984740745262"/>
        <rFont val="Noto Sans"/>
        <family val="2"/>
      </rPr>
      <t>S.Tanzer, 2012</t>
    </r>
    <r>
      <rPr>
        <sz val="7"/>
        <color theme="1" tint="0.499984740745262"/>
        <rFont val="Noto Sans"/>
        <family val="2"/>
      </rPr>
      <t xml:space="preserve"> 'Mugnier generally outperforms in tricky growing seasons.'</t>
    </r>
  </si>
  <si>
    <r>
      <rPr>
        <b/>
        <sz val="7"/>
        <color theme="1" tint="0.499984740745262"/>
        <rFont val="Noto Sans"/>
        <family val="2"/>
      </rPr>
      <t>A.Galloni, 2011</t>
    </r>
    <r>
      <rPr>
        <sz val="7"/>
        <color theme="1" tint="0.499984740745262"/>
        <rFont val="Noto Sans"/>
        <family val="2"/>
      </rPr>
      <t xml:space="preserve"> 'With each passing year Mugnier has let up on the reigns of winemaking and allowed the vintage to take center stage. His wines </t>
    </r>
  </si>
  <si>
    <t>now reflect the unique qualities of each harvest to an exacting degree.'</t>
  </si>
  <si>
    <r>
      <rPr>
        <b/>
        <sz val="7"/>
        <color theme="1" tint="0.499984740745262"/>
        <rFont val="Noto Sans"/>
        <family val="2"/>
      </rPr>
      <t>S.Tanzer, 2011</t>
    </r>
    <r>
      <rPr>
        <sz val="7"/>
        <color theme="1" tint="0.499984740745262"/>
        <rFont val="Noto Sans"/>
        <family val="2"/>
      </rPr>
      <t xml:space="preserve"> 'For many years, Freddy Mugnier would adapt his vinification and elevage to the style of each new vintage. In fact, it might be</t>
    </r>
  </si>
  <si>
    <t>accurate to say that he often vinified against the style of the year). But this veteran winemaker has clearly had a change of heart.'</t>
  </si>
  <si>
    <r>
      <rPr>
        <b/>
        <sz val="7"/>
        <color theme="1" tint="0.499984740745262"/>
        <rFont val="Noto Sans"/>
        <family val="2"/>
      </rPr>
      <t>Jasper Morris MW, Inside Burgundy, 2010</t>
    </r>
    <r>
      <rPr>
        <sz val="7"/>
        <color theme="1" tint="0.499984740745262"/>
        <rFont val="Noto Sans"/>
        <family val="2"/>
      </rPr>
      <t xml:space="preserve"> 'the wines have a sense of harmony'</t>
    </r>
  </si>
  <si>
    <r>
      <rPr>
        <b/>
        <sz val="7"/>
        <color theme="1" tint="0.499984740745262"/>
        <rFont val="Noto Sans"/>
        <family val="2"/>
      </rPr>
      <t>S.Tanzer, 2008</t>
    </r>
    <r>
      <rPr>
        <sz val="7"/>
        <color theme="1" tint="0.499984740745262"/>
        <rFont val="Noto Sans"/>
        <family val="2"/>
      </rPr>
      <t xml:space="preserve"> 'wines to make a Burgundy lover cry' (on 2005s &amp; 2006s)</t>
    </r>
  </si>
  <si>
    <r>
      <rPr>
        <b/>
        <sz val="7"/>
        <color theme="1" tint="0.499984740745262"/>
        <rFont val="Noto Sans"/>
        <family val="2"/>
      </rPr>
      <t>D.Schildknecht, 2007</t>
    </r>
    <r>
      <rPr>
        <sz val="7"/>
        <color theme="1" tint="0.499984740745262"/>
        <rFont val="Noto Sans"/>
        <family val="2"/>
      </rPr>
      <t xml:space="preserve"> 'scoring hits even when Nature does not make it easy'</t>
    </r>
  </si>
  <si>
    <r>
      <rPr>
        <b/>
        <sz val="7"/>
        <color theme="1" tint="0.499984740745262"/>
        <rFont val="Noto Sans"/>
        <family val="2"/>
      </rPr>
      <t>S.Tanzer, 2006</t>
    </r>
    <r>
      <rPr>
        <sz val="7"/>
        <color theme="1" tint="0.499984740745262"/>
        <rFont val="Noto Sans"/>
        <family val="2"/>
      </rPr>
      <t xml:space="preserve"> 'Just when you think you have a good grasp on a particular vintage, or on how it should have been handled by winemakers, it's time for</t>
    </r>
  </si>
  <si>
    <t>a visit to Freddy Mugnier, who can be counted on to take a contrarian approach.'</t>
  </si>
  <si>
    <r>
      <rPr>
        <b/>
        <sz val="7"/>
        <color theme="1" tint="0.499984740745262"/>
        <rFont val="Noto Sans"/>
        <family val="2"/>
      </rPr>
      <t>A.Meadows, 2006</t>
    </r>
    <r>
      <rPr>
        <sz val="7"/>
        <color theme="1" tint="0.499984740745262"/>
        <rFont val="Noto Sans"/>
        <family val="2"/>
      </rPr>
      <t xml:space="preserve"> '(on Marechale) the sophistication and elegance that Mugnier brings to all of his wines has worked brilliantly here.'</t>
    </r>
  </si>
  <si>
    <r>
      <rPr>
        <b/>
        <sz val="7"/>
        <color theme="1" tint="0.499984740745262"/>
        <rFont val="Noto Sans"/>
        <family val="2"/>
      </rPr>
      <t>Clive Coates MW, in Cote'd'Or, 1997</t>
    </r>
    <r>
      <rPr>
        <sz val="7"/>
        <color theme="1" tint="0.499984740745262"/>
        <rFont val="Noto Sans"/>
        <family val="2"/>
      </rPr>
      <t xml:space="preserve"> '(Mugnier Musigny:) a wine at the summit of what Burgundy can produce'</t>
    </r>
  </si>
  <si>
    <r>
      <rPr>
        <b/>
        <sz val="7"/>
        <color theme="1" tint="0.499984740745262"/>
        <rFont val="Noto Sans"/>
        <family val="2"/>
      </rPr>
      <t>Clive Coates MW, in Cote'd'Or, 1997</t>
    </r>
    <r>
      <rPr>
        <sz val="7"/>
        <color theme="1" tint="0.499984740745262"/>
        <rFont val="Noto Sans"/>
        <family val="2"/>
      </rPr>
      <t xml:space="preserve"> 'today rivals the very best of the village'</t>
    </r>
  </si>
  <si>
    <t>J.F. MUGNIER</t>
  </si>
  <si>
    <t>22MUGNIER01</t>
  </si>
  <si>
    <r>
      <t>Jacques-Frederic (Freddie) Mugnier, 5</t>
    </r>
    <r>
      <rPr>
        <vertAlign val="superscript"/>
        <sz val="8"/>
        <color theme="1" tint="0.14999847407452621"/>
        <rFont val="Noto Sans"/>
        <family val="2"/>
      </rPr>
      <t>th</t>
    </r>
    <r>
      <rPr>
        <sz val="8"/>
        <color theme="1" tint="0.14999847407452621"/>
        <rFont val="Noto Sans"/>
        <family val="2"/>
      </rPr>
      <t xml:space="preserve"> gen.</t>
    </r>
  </si>
  <si>
    <t>22MUGNIER02</t>
  </si>
  <si>
    <t>Château de Chambolle-Musigny. 13.6ha</t>
  </si>
  <si>
    <t>19MUGNIER03</t>
  </si>
  <si>
    <r>
      <t>v.</t>
    </r>
    <r>
      <rPr>
        <b/>
        <sz val="8"/>
        <color rgb="FF00B050"/>
        <rFont val="Noto Sans"/>
        <family val="2"/>
      </rPr>
      <t xml:space="preserve">sustainable; </t>
    </r>
    <r>
      <rPr>
        <sz val="8"/>
        <color theme="1" tint="0.14999847407452621"/>
        <rFont val="Noto Sans"/>
        <family val="2"/>
      </rPr>
      <t>some biodynamic practices</t>
    </r>
  </si>
  <si>
    <t>21MUGNIER04</t>
  </si>
  <si>
    <t>ambient yeast ferment; unfined, unfiltered</t>
  </si>
  <si>
    <t>22MUGNIER05</t>
  </si>
  <si>
    <t>NB Clos des Fourches is from Marechale 1C</t>
  </si>
  <si>
    <t>Marechale &amp; Chambolles bought ex-Marey Monge</t>
  </si>
  <si>
    <t>Marechale was planted 1910s-1980</t>
  </si>
  <si>
    <t>2005 new cellar in operation</t>
  </si>
  <si>
    <t>2004 0.4ha of Marechale field-grafted to chardonnay</t>
  </si>
  <si>
    <t>2004 9.76ha NSG Marechale 1C reclaimed</t>
  </si>
  <si>
    <t>2002 vibrating sorting table arrives</t>
  </si>
  <si>
    <t>1997 missing vines are now replaced, not parcels</t>
  </si>
  <si>
    <t>1996 end of insecticide use</t>
  </si>
  <si>
    <t>1992 all bunches now destemmed</t>
  </si>
  <si>
    <t>1990 end of herbicide use</t>
  </si>
  <si>
    <t>1988-1997 commercial air pilot career</t>
  </si>
  <si>
    <t>1987 last fertilizer used</t>
  </si>
  <si>
    <t>1986/8/9 Musigny Vieilles Vignes bottled</t>
  </si>
  <si>
    <t>1985 1st commercial vintage of Mugnier wines</t>
  </si>
  <si>
    <t>1985 J.F.Mugnier attends 6 month course at Beaune</t>
  </si>
  <si>
    <t>1984 5th generation J.F.Mugnier takes over 4.05ha</t>
  </si>
  <si>
    <t>1984 J.F. senior passes away</t>
  </si>
  <si>
    <t>1978-1985 Bernard Clair makes wine for negoce</t>
  </si>
  <si>
    <t>1977 Clos de Vougeot GC parcel sold to Faiveley</t>
  </si>
  <si>
    <t>1955 Jacques-Frédéric (Freddy) Mugnier born</t>
  </si>
  <si>
    <t>1950-2004 Nuits vines leased out to Faiveley</t>
  </si>
  <si>
    <t>1950-1977 ~4ha Chambolle vines leased to Faiveley</t>
  </si>
  <si>
    <t>1923 Jacques-Frédéric (senior) born; a banker</t>
  </si>
  <si>
    <t>1902 Clos de La Marechale monopole bought</t>
  </si>
  <si>
    <t>1863 family buys Chateau de Chambolle Musigny</t>
  </si>
  <si>
    <t>1856 Frédéric forms liqueur business in Dijon</t>
  </si>
  <si>
    <t>1826 Francois ('Frédéric') Mugnier is born</t>
  </si>
  <si>
    <t>RVF 3* estate; B+D 5* 2022; CC 2* 2008</t>
  </si>
  <si>
    <t>Mugnier.fr</t>
  </si>
  <si>
    <t>LEVI DALTON 'IDTT' INTERVIEW #405</t>
  </si>
  <si>
    <t>GROWER CODE: MUGNIER</t>
  </si>
  <si>
    <t>KIND WORDS ON CHANTAL REMY:</t>
  </si>
  <si>
    <r>
      <t>N.Martin, 2017</t>
    </r>
    <r>
      <rPr>
        <sz val="7"/>
        <color theme="1" tint="0.499984740745262"/>
        <rFont val="Noto Sans"/>
        <family val="2"/>
      </rPr>
      <t xml:space="preserve"> 'When Remy's wines hit the spot they are an absolute joy to behold.' </t>
    </r>
  </si>
  <si>
    <r>
      <t xml:space="preserve">N.Martin, 2015 </t>
    </r>
    <r>
      <rPr>
        <sz val="7"/>
        <color theme="1" tint="0.499984740745262"/>
        <rFont val="Noto Sans"/>
        <family val="2"/>
      </rPr>
      <t>'just beautiful, in some ways reminding of the freshness and transparency of Nicole Lamarche…These are not powerful, gutsy</t>
    </r>
  </si>
  <si>
    <t>wines despite their prestigious origins, but are based on purity and poise, wines that can be deceptively long-lived.'</t>
  </si>
  <si>
    <r>
      <t>N.Martin, 2015</t>
    </r>
    <r>
      <rPr>
        <sz val="7"/>
        <color theme="1" tint="0.499984740745262"/>
        <rFont val="Noto Sans"/>
        <family val="2"/>
      </rPr>
      <t xml:space="preserve"> 'worth seeking out, especially for those that like traditional, unpretentious and pure Pinot Noir.'</t>
    </r>
  </si>
  <si>
    <r>
      <t>Claude Kolm:</t>
    </r>
    <r>
      <rPr>
        <sz val="7"/>
        <color theme="1" tint="0.499984740745262"/>
        <rFont val="Noto Sans"/>
        <family val="2"/>
      </rPr>
      <t xml:space="preserve"> 'making excellent wines in a very traditional fashion'</t>
    </r>
  </si>
  <si>
    <r>
      <t xml:space="preserve"> Bill Nanson, 2013: </t>
    </r>
    <r>
      <rPr>
        <sz val="7"/>
        <color theme="1" tint="0.499984740745262"/>
        <rFont val="Noto Sans"/>
        <family val="2"/>
      </rPr>
      <t>'the wines of Remy...more often than not, fit my prescription for a perfect bottle. Elegance and complexity, with quite enough</t>
    </r>
  </si>
  <si>
    <t>understated power, thank-you. Just very lovely wines.'</t>
  </si>
  <si>
    <t>CHANTAL REMY, Dom.</t>
  </si>
  <si>
    <t>18CREMY04</t>
  </si>
  <si>
    <t>(ex-Louis Remy, Dom.)</t>
  </si>
  <si>
    <t>12CREMY03</t>
  </si>
  <si>
    <t>Morey St.Denis. ~1.5ha vines</t>
  </si>
  <si>
    <t>MOREY CLOS DES ROSIERS:</t>
  </si>
  <si>
    <t>Chantal Remy-Rosier, son Florian, cat Petrus</t>
  </si>
  <si>
    <t>22CREMY04</t>
  </si>
  <si>
    <t>21CREMY01</t>
  </si>
  <si>
    <t>horse plough; long, 20-24 months elevage</t>
  </si>
  <si>
    <t>20CREMY04</t>
  </si>
  <si>
    <t>1/3 new oak; no filtration</t>
  </si>
  <si>
    <t>19CREMY04</t>
  </si>
  <si>
    <t>NB Clos des Rosiers was the back garden,</t>
  </si>
  <si>
    <t>18CREMY03</t>
  </si>
  <si>
    <t xml:space="preserve">by Clos des Tart &amp; Clos des Lambrays </t>
  </si>
  <si>
    <t>17CREMY04</t>
  </si>
  <si>
    <t>KEY VINEYARDS:</t>
  </si>
  <si>
    <r>
      <rPr>
        <b/>
        <sz val="7"/>
        <color theme="1" tint="0.499984740745262"/>
        <rFont val="Noto Sans"/>
        <family val="2"/>
      </rPr>
      <t xml:space="preserve">Clos des Rosiers: </t>
    </r>
    <r>
      <rPr>
        <sz val="7"/>
        <color theme="1" tint="0.499984740745262"/>
        <rFont val="Noto Sans"/>
        <family val="2"/>
      </rPr>
      <t>0.33ha old rose garden &amp; tennis</t>
    </r>
  </si>
  <si>
    <t>14CREMY04</t>
  </si>
  <si>
    <t>court planted 2000 &amp; 2012. Formerly 'Le Village' 1C</t>
  </si>
  <si>
    <t>11CREMY01</t>
  </si>
  <si>
    <r>
      <rPr>
        <b/>
        <sz val="7"/>
        <color theme="1" tint="0.499984740745262"/>
        <rFont val="Noto Sans"/>
        <family val="2"/>
      </rPr>
      <t>Clos de La Roche GC:</t>
    </r>
    <r>
      <rPr>
        <sz val="7"/>
        <color theme="1" tint="0.499984740745262"/>
        <rFont val="Noto Sans"/>
        <family val="2"/>
      </rPr>
      <t xml:space="preserve"> 0.4ha</t>
    </r>
  </si>
  <si>
    <t>22CREMY04JB</t>
  </si>
  <si>
    <r>
      <rPr>
        <b/>
        <sz val="7"/>
        <color theme="1" tint="0.499984740745262"/>
        <rFont val="Noto Sans"/>
        <family val="2"/>
      </rPr>
      <t>Latricieres Chambertin GC:</t>
    </r>
    <r>
      <rPr>
        <sz val="7"/>
        <color theme="1" tint="0.499984740745262"/>
        <rFont val="Noto Sans"/>
        <family val="2"/>
      </rPr>
      <t xml:space="preserve"> 0.4ha ~75yrs old</t>
    </r>
  </si>
  <si>
    <t>13CREMY01JB</t>
  </si>
  <si>
    <r>
      <rPr>
        <b/>
        <sz val="7"/>
        <color theme="1" tint="0.499984740745262"/>
        <rFont val="Noto Sans"/>
        <family val="2"/>
      </rPr>
      <t>Le Chambertin GC:</t>
    </r>
    <r>
      <rPr>
        <sz val="7"/>
        <color theme="1" tint="0.499984740745262"/>
        <rFont val="Noto Sans"/>
        <family val="2"/>
      </rPr>
      <t xml:space="preserve"> 0.143ha ~80yrs old &amp; jv</t>
    </r>
  </si>
  <si>
    <t>CLOS DE LA ROCHE GC:</t>
  </si>
  <si>
    <t>22CREMY01</t>
  </si>
  <si>
    <t>2020 start of organic work</t>
  </si>
  <si>
    <t>21CREMY04</t>
  </si>
  <si>
    <t>2013 1st vintage with uncrushed berries</t>
  </si>
  <si>
    <t>20CREMY01</t>
  </si>
  <si>
    <t>2013 son Florian takes over vinification</t>
  </si>
  <si>
    <t>19CREMY01</t>
  </si>
  <si>
    <t>2012 Rosiers extended; 60% loss of yield</t>
  </si>
  <si>
    <t>17CREMY01</t>
  </si>
  <si>
    <t>2009 name changes to Chantal Remy</t>
  </si>
  <si>
    <t>16CREMY01</t>
  </si>
  <si>
    <t>2008/9 4.5ha domaine split 3-ways</t>
  </si>
  <si>
    <t>15CREMY01</t>
  </si>
  <si>
    <t>2008 mother Marie-Louise passes</t>
  </si>
  <si>
    <t>14CREMY01</t>
  </si>
  <si>
    <t>2000 Clos des Rosiers planted in former garden(!)</t>
  </si>
  <si>
    <t>13CREMY02</t>
  </si>
  <si>
    <t xml:space="preserve">1989 Dom.Philippe Remy (brother) sold to Leroy </t>
  </si>
  <si>
    <t>14CREMY01MG</t>
  </si>
  <si>
    <t>1988 Chantal goes full-time at domaine</t>
  </si>
  <si>
    <t>22CREMY01JB</t>
  </si>
  <si>
    <t>1985 Chantal starts to assist</t>
  </si>
  <si>
    <t>LATRICIERES-CHAMBERTIN GC (VV):</t>
  </si>
  <si>
    <t>1982 Marie-Louise (mother) takes over</t>
  </si>
  <si>
    <t>22CREMY02</t>
  </si>
  <si>
    <t>1982 Louis Remy (father) passes</t>
  </si>
  <si>
    <t>21CREMY02</t>
  </si>
  <si>
    <t xml:space="preserve">1820 Domaine founded </t>
  </si>
  <si>
    <t>20CREMY02</t>
  </si>
  <si>
    <t>19CREMY02</t>
  </si>
  <si>
    <t>NB CHAMBRES D'HÔTE IN SUMMER</t>
  </si>
  <si>
    <t>18CREMY01</t>
  </si>
  <si>
    <t>GROWER CODE: CREMY / LREMY</t>
  </si>
  <si>
    <t>17CREMY02</t>
  </si>
  <si>
    <t>15CREMY02</t>
  </si>
  <si>
    <t>14CREMY02</t>
  </si>
  <si>
    <t>13CREMY03</t>
  </si>
  <si>
    <t>11CREMY03</t>
  </si>
  <si>
    <t>22CREMY02JB</t>
  </si>
  <si>
    <t>LE CHAMBERTIN GC:</t>
  </si>
  <si>
    <t>22CREMY03</t>
  </si>
  <si>
    <t>21CREMY03</t>
  </si>
  <si>
    <t>20CREMY03</t>
  </si>
  <si>
    <t>19CREMY03</t>
  </si>
  <si>
    <t>18CREMY02</t>
  </si>
  <si>
    <t>17CREMY03</t>
  </si>
  <si>
    <t>08LREMY03MG</t>
  </si>
  <si>
    <t>07LREMY03MG</t>
  </si>
  <si>
    <r>
      <rPr>
        <b/>
        <sz val="7"/>
        <color theme="1" tint="0.499984740745262"/>
        <rFont val="Noto Sans"/>
        <family val="2"/>
      </rPr>
      <t>Cecile Tremblay:</t>
    </r>
    <r>
      <rPr>
        <sz val="7"/>
        <color theme="1" tint="0.499984740745262"/>
        <rFont val="Noto Sans"/>
        <family val="2"/>
      </rPr>
      <t xml:space="preserve"> 'the grape bunches are my English roses, the vineyards my garden.'</t>
    </r>
  </si>
  <si>
    <t>21CTREMB01</t>
  </si>
  <si>
    <t>~7ha Fam.Jayer vines, formerly leased out</t>
  </si>
  <si>
    <t>20CTREMB01</t>
  </si>
  <si>
    <t>Morey St.Denis cellar. (Re-)started 2002/3</t>
  </si>
  <si>
    <t>21CTREMB02</t>
  </si>
  <si>
    <t>'practising organic' since the start</t>
  </si>
  <si>
    <t>20CTREMB02</t>
  </si>
  <si>
    <t>Yields average 25-35hl/ha</t>
  </si>
  <si>
    <t>13CTREMB02</t>
  </si>
  <si>
    <t>Partly de-stemmed. Vertical press</t>
  </si>
  <si>
    <t>21CTREMB05</t>
  </si>
  <si>
    <t>Chassin casks, 20-30% new</t>
  </si>
  <si>
    <t>20CTREMB06</t>
  </si>
  <si>
    <t>20CTREMB10MG</t>
  </si>
  <si>
    <t xml:space="preserve"> 'practising-biodynamic'</t>
  </si>
  <si>
    <t>21CTREMB06</t>
  </si>
  <si>
    <r>
      <rPr>
        <sz val="8"/>
        <color theme="1" tint="0.14999847407452621"/>
        <rFont val="Noto Sans"/>
        <family val="2"/>
      </rPr>
      <t>unfined &amp; unfiltered;</t>
    </r>
    <r>
      <rPr>
        <b/>
        <sz val="8"/>
        <color rgb="FF00B050"/>
        <rFont val="Noto Sans"/>
        <family val="2"/>
      </rPr>
      <t xml:space="preserve"> ⓋVegan compatible</t>
    </r>
  </si>
  <si>
    <t>21CTREMB03</t>
  </si>
  <si>
    <t>KEY VINEYARDS INCLUDE:</t>
  </si>
  <si>
    <t>20CTREMB03</t>
  </si>
  <si>
    <r>
      <rPr>
        <b/>
        <sz val="7"/>
        <color theme="1" tint="0.499984740745262"/>
        <rFont val="Noto Sans"/>
        <family val="2"/>
      </rPr>
      <t>Nuits St.Georges Albuca:</t>
    </r>
    <r>
      <rPr>
        <sz val="7"/>
        <color theme="1" tint="0.499984740745262"/>
        <rFont val="Noto Sans"/>
        <family val="2"/>
      </rPr>
      <t xml:space="preserve"> 0.25ha</t>
    </r>
  </si>
  <si>
    <t>20CTREMB04</t>
  </si>
  <si>
    <r>
      <rPr>
        <b/>
        <sz val="7"/>
        <color theme="1" tint="0.499984740745262"/>
        <rFont val="Noto Sans"/>
        <family val="2"/>
      </rPr>
      <t xml:space="preserve">Chambolle Feusselottes 1C: </t>
    </r>
    <r>
      <rPr>
        <sz val="7"/>
        <color theme="1" tint="0.499984740745262"/>
        <rFont val="Noto Sans"/>
        <family val="2"/>
      </rPr>
      <t>0.45ha upper slope</t>
    </r>
  </si>
  <si>
    <t>20CTREMB05</t>
  </si>
  <si>
    <r>
      <t xml:space="preserve">Chambolle aux Échanges MAGS: </t>
    </r>
    <r>
      <rPr>
        <sz val="7"/>
        <color theme="1" tint="0.499984740745262"/>
        <rFont val="Noto Sans"/>
        <family val="2"/>
      </rPr>
      <t>low SO2 at mise</t>
    </r>
  </si>
  <si>
    <t>21CTREMB09</t>
  </si>
  <si>
    <r>
      <t>Vosne VV:</t>
    </r>
    <r>
      <rPr>
        <sz val="7"/>
        <color theme="1" tint="0.499984740745262"/>
        <rFont val="Noto Sans"/>
        <family val="2"/>
      </rPr>
      <t xml:space="preserve"> 0.6ha of Jacquines &amp; Aux Communes</t>
    </r>
  </si>
  <si>
    <t>20CTREMB09</t>
  </si>
  <si>
    <r>
      <rPr>
        <b/>
        <sz val="7"/>
        <color theme="1" tint="0.499984740745262"/>
        <rFont val="Noto Sans"/>
        <family val="2"/>
      </rPr>
      <t>Vosne Rouges du Dessus 1C:</t>
    </r>
    <r>
      <rPr>
        <sz val="7"/>
        <color theme="1" tint="0.499984740745262"/>
        <rFont val="Noto Sans"/>
        <family val="2"/>
      </rPr>
      <t xml:space="preserve"> 0.23ha</t>
    </r>
  </si>
  <si>
    <t>21CTREMB08</t>
  </si>
  <si>
    <r>
      <rPr>
        <b/>
        <sz val="7"/>
        <color theme="1" tint="0.499984740745262"/>
        <rFont val="Noto Sans"/>
        <family val="2"/>
      </rPr>
      <t>Vosne Les Beaumonts 1C</t>
    </r>
    <r>
      <rPr>
        <sz val="7"/>
        <color theme="1" tint="0.499984740745262"/>
        <rFont val="Noto Sans"/>
        <family val="2"/>
      </rPr>
      <t>: 0.15ha</t>
    </r>
  </si>
  <si>
    <t>20CTREMB08</t>
  </si>
  <si>
    <r>
      <rPr>
        <b/>
        <sz val="7"/>
        <color theme="1" tint="0.499984740745262"/>
        <rFont val="Noto Sans"/>
        <family val="2"/>
      </rPr>
      <t>Clos de Vougeot GC:</t>
    </r>
    <r>
      <rPr>
        <sz val="7"/>
        <color theme="1" tint="0.499984740745262"/>
        <rFont val="Noto Sans"/>
        <family val="2"/>
      </rPr>
      <t xml:space="preserve">  TBC - returned in 2021</t>
    </r>
  </si>
  <si>
    <r>
      <rPr>
        <b/>
        <sz val="7"/>
        <color theme="1" tint="0.499984740745262"/>
        <rFont val="Noto Sans"/>
        <family val="2"/>
      </rPr>
      <t>Echezeaux du Dessus GC:</t>
    </r>
    <r>
      <rPr>
        <sz val="7"/>
        <color theme="1" tint="0.499984740745262"/>
        <rFont val="Noto Sans"/>
        <family val="2"/>
      </rPr>
      <t xml:space="preserve">  0.18ha, mature vines</t>
    </r>
  </si>
  <si>
    <r>
      <rPr>
        <b/>
        <sz val="7"/>
        <color theme="1" tint="0.499984740745262"/>
        <rFont val="Noto Sans"/>
        <family val="2"/>
      </rPr>
      <t>Chapelle-Chambertin GC</t>
    </r>
    <r>
      <rPr>
        <sz val="7"/>
        <color theme="1" tint="0.499984740745262"/>
        <rFont val="Noto Sans"/>
        <family val="2"/>
      </rPr>
      <t>: 0.36ha &gt;80yr vv</t>
    </r>
  </si>
  <si>
    <t>in Les Gémeaux section. 30cm red pebbley topsoil</t>
  </si>
  <si>
    <t>over limestone</t>
  </si>
  <si>
    <t>Domaine-CecileTremblay.fr</t>
  </si>
  <si>
    <t>NB SELLS OUT ON RELEASE</t>
  </si>
  <si>
    <t>NATALIE VIGOT, Dom.</t>
  </si>
  <si>
    <t>Bourgogne rouge</t>
  </si>
  <si>
    <t>21NVIGOT01</t>
  </si>
  <si>
    <r>
      <t xml:space="preserve">Vosne-Romanée. </t>
    </r>
    <r>
      <rPr>
        <b/>
        <sz val="8"/>
        <color rgb="FF00B050"/>
        <rFont val="Noto Sans"/>
        <family val="2"/>
      </rPr>
      <t>Sustainable</t>
    </r>
    <r>
      <rPr>
        <sz val="8"/>
        <color theme="1" tint="0.14999847407452621"/>
        <rFont val="Noto Sans"/>
        <family val="2"/>
      </rPr>
      <t xml:space="preserve"> farming</t>
    </r>
  </si>
  <si>
    <t>Vosne-Romanée (vv)</t>
  </si>
  <si>
    <t>21NVIGOT02</t>
  </si>
  <si>
    <t>whole cluster; ambient yeast; 18mths cask</t>
  </si>
  <si>
    <t>Vosne-Romanée Les Pétits Monts 1C (vv)</t>
  </si>
  <si>
    <t>21NVIGOT03</t>
  </si>
  <si>
    <t>only ~3000 bottles per annum</t>
  </si>
  <si>
    <t>VINEYARDS:</t>
  </si>
  <si>
    <t>Bourgogne 0.1ha 50yrs old</t>
  </si>
  <si>
    <t>Vosne village 0.17ha 60yrs old (vv)</t>
  </si>
  <si>
    <t xml:space="preserve">Vosne Petits Monts 1C 0.18ha 70yrs old (vv) </t>
  </si>
  <si>
    <t>B+D 1* estate</t>
  </si>
  <si>
    <t>VOUGERAIE, Dom. de La</t>
  </si>
  <si>
    <t>TERRES DE FAMILLE BLANC:</t>
  </si>
  <si>
    <t>Jean-Charles &amp; Nathalie Boisset, owners</t>
  </si>
  <si>
    <t>22VOUGER08</t>
  </si>
  <si>
    <t>Sylvie Pitiot, Director since 2016</t>
  </si>
  <si>
    <t>20VOUGER01</t>
  </si>
  <si>
    <t>34ha domaine, 67 parcels. Premeaux base</t>
  </si>
  <si>
    <t>19VOUGER01</t>
  </si>
  <si>
    <t>18VOUGER01</t>
  </si>
  <si>
    <t>'practising-biodynamic'</t>
  </si>
  <si>
    <t>17VOUGER01</t>
  </si>
  <si>
    <r>
      <t xml:space="preserve">ambient yeast; </t>
    </r>
    <r>
      <rPr>
        <b/>
        <sz val="8"/>
        <color rgb="FF00B050"/>
        <rFont val="Noto Sans"/>
        <family val="2"/>
      </rPr>
      <t>ⓋVegan compatible</t>
    </r>
  </si>
  <si>
    <t>16VOUGER01</t>
  </si>
  <si>
    <t>horseploughing. Massale &amp; clonale origins</t>
  </si>
  <si>
    <t>14VOUGER01</t>
  </si>
  <si>
    <t>1C BLANC:</t>
  </si>
  <si>
    <t>2017 - present, Sylvie Poillot era</t>
  </si>
  <si>
    <t>22VOUGER13</t>
  </si>
  <si>
    <r>
      <t xml:space="preserve">2007-2017 Pierre </t>
    </r>
    <r>
      <rPr>
        <sz val="7"/>
        <color theme="0"/>
        <rFont val="Noto sans"/>
        <family val="2"/>
      </rPr>
      <t>-</t>
    </r>
    <r>
      <rPr>
        <sz val="7"/>
        <color theme="1" tint="0.499984740745262"/>
        <rFont val="Noto Sans"/>
        <family val="2"/>
      </rPr>
      <t>Vincent era</t>
    </r>
  </si>
  <si>
    <t>22VOUGER10</t>
  </si>
  <si>
    <t>1999 - 2006 Pascal Marchand era</t>
  </si>
  <si>
    <r>
      <t xml:space="preserve">2001 1st year in </t>
    </r>
    <r>
      <rPr>
        <b/>
        <sz val="7"/>
        <color rgb="FF00B050"/>
        <rFont val="Noto Sans"/>
        <family val="2"/>
      </rPr>
      <t xml:space="preserve">biodynamic </t>
    </r>
    <r>
      <rPr>
        <sz val="7"/>
        <color theme="1" tint="0.499984740745262"/>
        <rFont val="Noto Sans"/>
        <family val="2"/>
      </rPr>
      <t>farming</t>
    </r>
  </si>
  <si>
    <t>22VOUGER01</t>
  </si>
  <si>
    <t>1999 Dom.de La Vougeraie label is launched</t>
  </si>
  <si>
    <t>17VOUGER12</t>
  </si>
  <si>
    <r>
      <t>1999 1st parcels</t>
    </r>
    <r>
      <rPr>
        <b/>
        <sz val="7"/>
        <color rgb="FF00B050"/>
        <rFont val="Noto Sans"/>
        <family val="2"/>
      </rPr>
      <t xml:space="preserve"> Organic certified </t>
    </r>
  </si>
  <si>
    <t>22VOUGER03</t>
  </si>
  <si>
    <t>1992 1st year in lutte raisonnée</t>
  </si>
  <si>
    <t>TERRES DE FAMILLE ROUGE:</t>
  </si>
  <si>
    <t>1964 1st family purchase, Gevrey Evocelles</t>
  </si>
  <si>
    <t>22VOUGER09</t>
  </si>
  <si>
    <t>KEY BLANC VINEYARDS (IN BRIEF):</t>
  </si>
  <si>
    <t>21VOUGER06</t>
  </si>
  <si>
    <r>
      <rPr>
        <b/>
        <sz val="7"/>
        <color theme="1" tint="0.499984740745262"/>
        <rFont val="Noto Sans"/>
        <family val="2"/>
      </rPr>
      <t>Bourgogne Chard.:</t>
    </r>
    <r>
      <rPr>
        <sz val="7"/>
        <color theme="1" tint="0.499984740745262"/>
        <rFont val="Noto Sans"/>
        <family val="2"/>
      </rPr>
      <t xml:space="preserve"> 1.84ha at Chaux in HCDN, </t>
    </r>
  </si>
  <si>
    <t>20VOUGER04</t>
  </si>
  <si>
    <t>planted 1990s. Can include GC jv. 1st made 2013</t>
  </si>
  <si>
    <t>19VOUGER04</t>
  </si>
  <si>
    <r>
      <rPr>
        <b/>
        <sz val="7"/>
        <color theme="1" tint="0.499984740745262"/>
        <rFont val="Noto Sans"/>
        <family val="2"/>
      </rPr>
      <t>Vougeot Clos Prieuré BLANC</t>
    </r>
    <r>
      <rPr>
        <sz val="7"/>
        <color theme="1" tint="0.499984740745262"/>
        <rFont val="Noto Sans"/>
        <family val="2"/>
      </rPr>
      <t xml:space="preserve">: 1.83ha </t>
    </r>
    <r>
      <rPr>
        <b/>
        <sz val="7"/>
        <color theme="1" tint="0.499984740745262"/>
        <rFont val="Noto Sans"/>
        <family val="2"/>
      </rPr>
      <t>monopole</t>
    </r>
  </si>
  <si>
    <t>18VOUGER06</t>
  </si>
  <si>
    <t xml:space="preserve">0.826ha chardonnay planted 80s &amp; 90s. High wall. </t>
  </si>
  <si>
    <t>17VOUGER04</t>
  </si>
  <si>
    <r>
      <rPr>
        <b/>
        <sz val="7"/>
        <color theme="1" tint="0.499984740745262"/>
        <rFont val="Noto Sans"/>
        <family val="2"/>
      </rPr>
      <t>Clos Blanc de Vougeot 1C</t>
    </r>
    <r>
      <rPr>
        <sz val="7"/>
        <color theme="1" tint="0.499984740745262"/>
        <rFont val="Noto Sans"/>
        <family val="2"/>
      </rPr>
      <t xml:space="preserve">: 2.29ha </t>
    </r>
    <r>
      <rPr>
        <b/>
        <sz val="7"/>
        <color theme="1" tint="0.499984740745262"/>
        <rFont val="Noto Sans"/>
        <family val="2"/>
      </rPr>
      <t>monopole</t>
    </r>
  </si>
  <si>
    <t>16VOUGER04</t>
  </si>
  <si>
    <t>planted 83-96, 95% chardonnay, 5% pinots</t>
  </si>
  <si>
    <t>15VOUGER04</t>
  </si>
  <si>
    <r>
      <rPr>
        <b/>
        <sz val="7"/>
        <color theme="1" tint="0.499984740745262"/>
        <rFont val="Noto Sans"/>
        <family val="2"/>
      </rPr>
      <t>Le Charlemagne</t>
    </r>
    <r>
      <rPr>
        <sz val="7"/>
        <color theme="1" tint="0.499984740745262"/>
        <rFont val="Noto Sans"/>
        <family val="2"/>
      </rPr>
      <t>: 0.22ha planted 50s &amp; 80s</t>
    </r>
  </si>
  <si>
    <r>
      <rPr>
        <b/>
        <sz val="7"/>
        <color theme="1" tint="0.499984740745262"/>
        <rFont val="Noto Sans"/>
        <family val="2"/>
      </rPr>
      <t>Chevalier:</t>
    </r>
    <r>
      <rPr>
        <sz val="7"/>
        <color theme="1" tint="0.499984740745262"/>
        <rFont val="Noto Sans"/>
        <family val="2"/>
      </rPr>
      <t xml:space="preserve"> 0.15ha, 1970&amp;1985 vines, new in 2014 </t>
    </r>
  </si>
  <si>
    <t>22VOUGER11</t>
  </si>
  <si>
    <t>KEY ROUGE VINEYARDS (IN BRIEF):</t>
  </si>
  <si>
    <t>20VOUGER12</t>
  </si>
  <si>
    <r>
      <rPr>
        <b/>
        <sz val="7"/>
        <color theme="1" tint="0.499984740745262"/>
        <rFont val="Noto Sans"/>
        <family val="2"/>
      </rPr>
      <t>Bourgogne Pinot:</t>
    </r>
    <r>
      <rPr>
        <sz val="7"/>
        <color theme="1" tint="0.499984740745262"/>
        <rFont val="Noto Sans"/>
        <family val="2"/>
      </rPr>
      <t xml:space="preserve"> 3.32ha in 4 parcels at Gilly &amp;</t>
    </r>
  </si>
  <si>
    <t>19VOUGER12</t>
  </si>
  <si>
    <t>Beaune, planted 1950s thru 1990s</t>
  </si>
  <si>
    <t>22VOUGER12</t>
  </si>
  <si>
    <r>
      <rPr>
        <b/>
        <sz val="7"/>
        <color theme="1" tint="0.499984740745262"/>
        <rFont val="Noto Sans"/>
        <family val="2"/>
      </rPr>
      <t>Gevrey Evocelles:</t>
    </r>
    <r>
      <rPr>
        <sz val="7"/>
        <color theme="1" tint="0.499984740745262"/>
        <rFont val="Noto Sans"/>
        <family val="2"/>
      </rPr>
      <t xml:space="preserve"> 2.72ha, 4 parcels, planted</t>
    </r>
  </si>
  <si>
    <t>20VOUGER05</t>
  </si>
  <si>
    <t>1900s thru 1980s. vieilles vignes on average</t>
  </si>
  <si>
    <t>18VOUGER07</t>
  </si>
  <si>
    <r>
      <rPr>
        <b/>
        <sz val="7"/>
        <color theme="1" tint="0.499984740745262"/>
        <rFont val="Noto Sans"/>
        <family val="2"/>
      </rPr>
      <t>Vougeot Clos Prieuré RGE</t>
    </r>
    <r>
      <rPr>
        <sz val="7"/>
        <color theme="1" tint="0.499984740745262"/>
        <rFont val="Noto Sans"/>
        <family val="2"/>
      </rPr>
      <t xml:space="preserve">: 1.83ha </t>
    </r>
    <r>
      <rPr>
        <b/>
        <sz val="7"/>
        <color theme="1" tint="0.499984740745262"/>
        <rFont val="Noto Sans"/>
        <family val="2"/>
      </rPr>
      <t>monopole</t>
    </r>
  </si>
  <si>
    <t>17VOUGER05</t>
  </si>
  <si>
    <t xml:space="preserve">~1ha pinot planted 1901 thru 1983, 80% massale </t>
  </si>
  <si>
    <t>16VOUGER05</t>
  </si>
  <si>
    <r>
      <rPr>
        <b/>
        <sz val="7"/>
        <color theme="1" tint="0.499984740745262"/>
        <rFont val="Noto Sans"/>
        <family val="2"/>
      </rPr>
      <t>Vosne Champs Perdrix</t>
    </r>
    <r>
      <rPr>
        <sz val="7"/>
        <color theme="1" tint="0.499984740745262"/>
        <rFont val="Noto Sans"/>
        <family val="2"/>
      </rPr>
      <t>: 0.14ha, 1981/2 vines</t>
    </r>
  </si>
  <si>
    <t>15VOUGER05</t>
  </si>
  <si>
    <t>1st made 2015</t>
  </si>
  <si>
    <r>
      <rPr>
        <b/>
        <sz val="7"/>
        <color theme="1" tint="0.499984740745262"/>
        <rFont val="Noto Sans"/>
        <family val="2"/>
      </rPr>
      <t xml:space="preserve">Clos de Vougeot: </t>
    </r>
    <r>
      <rPr>
        <sz val="7"/>
        <color theme="1" tint="0.499984740745262"/>
        <rFont val="Noto Sans"/>
        <family val="2"/>
      </rPr>
      <t>1.41ha, 2 parcels, 1970 &amp; 1985</t>
    </r>
  </si>
  <si>
    <t>22VOUGER07MG</t>
  </si>
  <si>
    <t xml:space="preserve">DWWA 2019 'Best In Show' </t>
  </si>
  <si>
    <t>20VOUGER10MG</t>
  </si>
  <si>
    <t>DWWA 2018 'Best In Show' x3</t>
  </si>
  <si>
    <t>19VOUGER10MG</t>
  </si>
  <si>
    <t>B+D 5* (2020)</t>
  </si>
  <si>
    <t>18VOUGER08MG</t>
  </si>
  <si>
    <t>DomaineDeLaVougeraie.com</t>
  </si>
  <si>
    <t>17VOUGER10MG</t>
  </si>
  <si>
    <t>BoissetCollection.com</t>
  </si>
  <si>
    <t>GROWER CODE: VOUGER</t>
  </si>
  <si>
    <t>19VOUGER06</t>
  </si>
  <si>
    <t>18VOUGER09</t>
  </si>
  <si>
    <t>17VOUGER06</t>
  </si>
  <si>
    <t>16VOUGER06</t>
  </si>
  <si>
    <t>22VOUGER04</t>
  </si>
  <si>
    <t>21VOUGER10</t>
  </si>
  <si>
    <t>20VOUGER07</t>
  </si>
  <si>
    <t>19VOUGER07</t>
  </si>
  <si>
    <t>18VOUGER13</t>
  </si>
  <si>
    <t>22VOUGER02</t>
  </si>
  <si>
    <t>22VOUGER06</t>
  </si>
  <si>
    <t>21VOUGER12</t>
  </si>
  <si>
    <t>France, Burgundy - Côte d'Or, Côte de Beaune based</t>
  </si>
  <si>
    <t xml:space="preserve"> Auxey-Duresses </t>
  </si>
  <si>
    <t>AUXEY BLANC:</t>
  </si>
  <si>
    <t>CLOS DU MOULIN AUX MOINES</t>
  </si>
  <si>
    <t>24CMOULIN11</t>
  </si>
  <si>
    <t>22CMOULIN07</t>
  </si>
  <si>
    <t>AUXEY ROUGE:</t>
  </si>
  <si>
    <t>21CMOULIN02</t>
  </si>
  <si>
    <t>ALAIN GRAS</t>
  </si>
  <si>
    <t>14AGRAS03</t>
  </si>
  <si>
    <t>16CMOUL17TB</t>
  </si>
  <si>
    <t>AUXEY 1C ROUGE:</t>
  </si>
  <si>
    <t>SERRIGNY</t>
  </si>
  <si>
    <t>16SERRIG05</t>
  </si>
  <si>
    <t>JM VINCENT</t>
  </si>
  <si>
    <t>14JMV01</t>
  </si>
  <si>
    <t>POTINET-AMPEAU</t>
  </si>
  <si>
    <t>23POTAMP06</t>
  </si>
  <si>
    <t>AUXEY ROUGE MAGS:</t>
  </si>
  <si>
    <t>11AGRAS02MG</t>
  </si>
  <si>
    <t>18CMOUL08MG</t>
  </si>
  <si>
    <t>'Negoce paysan'</t>
  </si>
  <si>
    <r>
      <rPr>
        <b/>
        <sz val="7"/>
        <color theme="1" tint="0.499984740745262"/>
        <rFont val="Noto Sans"/>
        <family val="2"/>
      </rPr>
      <t>Steen Ohman, Winehog 2021</t>
    </r>
    <r>
      <rPr>
        <sz val="7"/>
        <color theme="1" tint="0.499984740745262"/>
        <rFont val="Noto Sans"/>
        <family val="2"/>
      </rPr>
      <t xml:space="preserve"> 'a new estate...certainly a name to remember'</t>
    </r>
  </si>
  <si>
    <r>
      <rPr>
        <b/>
        <sz val="7"/>
        <color theme="1" tint="0.499984740745262"/>
        <rFont val="Noto Sans"/>
        <family val="2"/>
      </rPr>
      <t>AMI -</t>
    </r>
    <r>
      <rPr>
        <i/>
        <sz val="7"/>
        <color theme="1" tint="0.499984740745262"/>
        <rFont val="Noto Sans"/>
        <family val="2"/>
      </rPr>
      <t xml:space="preserve"> 'La rencontre entre un vigneron talentueux et un ambassadeur passionné.'</t>
    </r>
  </si>
  <si>
    <t>AMI. By Paul Perarnau</t>
  </si>
  <si>
    <t>&amp; Willy Roulendes, amis</t>
  </si>
  <si>
    <t>21AMI07</t>
  </si>
  <si>
    <t>Willi Roulendes of Clos du Moulin aux Moines</t>
  </si>
  <si>
    <t>20AMI07</t>
  </si>
  <si>
    <t>&amp; Paul Perarnau. Launched with 2014s</t>
  </si>
  <si>
    <t>18AMI08</t>
  </si>
  <si>
    <t xml:space="preserve">Cellar at Paris L'Hôpital, Maranges. </t>
  </si>
  <si>
    <t>22AMI01</t>
  </si>
  <si>
    <t>5ha estate, plus grapes/juice from 5ha more</t>
  </si>
  <si>
    <t>21AMI08</t>
  </si>
  <si>
    <t>Organic certified 2019 Veritas</t>
  </si>
  <si>
    <t>BLANC 1C &amp; GC:</t>
  </si>
  <si>
    <t>20AMI08</t>
  </si>
  <si>
    <t>[all fruit is from organic friends, CMM, and</t>
  </si>
  <si>
    <t>19AMI06</t>
  </si>
  <si>
    <t>from own estate fruit]</t>
  </si>
  <si>
    <t>18AMI09</t>
  </si>
  <si>
    <t>usually unfined &amp; unfiltered, unless necessary</t>
  </si>
  <si>
    <t>ROUGE ASSEMBLAGE:</t>
  </si>
  <si>
    <t xml:space="preserve">ambient yeast; additive free winemaking; </t>
  </si>
  <si>
    <t>20AMI01</t>
  </si>
  <si>
    <t>usually ~20mg/l added SO2 at bottling</t>
  </si>
  <si>
    <t>18AMI01</t>
  </si>
  <si>
    <t>17AMI04</t>
  </si>
  <si>
    <t>2024 more aligoté being planted above Pommard</t>
  </si>
  <si>
    <t>2022 cellar extended for vinification &amp; elevage</t>
  </si>
  <si>
    <t>22AMI02</t>
  </si>
  <si>
    <t>2022 ~1ha bought around Pommard from CMM</t>
  </si>
  <si>
    <t>21AMI01</t>
  </si>
  <si>
    <t>2020 last CDB BLANC &amp; Pommard Poutures 1C</t>
  </si>
  <si>
    <t>20AMI02</t>
  </si>
  <si>
    <t>2020 pneumatic press purchased</t>
  </si>
  <si>
    <t>19AMI01</t>
  </si>
  <si>
    <t>2020 1st GC, Corton Charlemagne made</t>
  </si>
  <si>
    <t>18AMI02</t>
  </si>
  <si>
    <t>2019 1.8ha planted in the Couchois at 400m</t>
  </si>
  <si>
    <t>17AMI05</t>
  </si>
  <si>
    <t>2018 Vaslin press purchased</t>
  </si>
  <si>
    <t>16AMI02</t>
  </si>
  <si>
    <t>2018 1st vintage in 'new' stone Maranges cellar</t>
  </si>
  <si>
    <t>22AMI03</t>
  </si>
  <si>
    <t>17ha 2ha bought in Maranges valley</t>
  </si>
  <si>
    <t>21AMI04</t>
  </si>
  <si>
    <t>2014 - 2016 'garagiste' micro-negoce era</t>
  </si>
  <si>
    <t>20AMI04</t>
  </si>
  <si>
    <t>DomaineAMI.com</t>
  </si>
  <si>
    <t>17AMI07</t>
  </si>
  <si>
    <t>instagram.com/ami.wine/</t>
  </si>
  <si>
    <t>ROUGE VILLAGE:</t>
  </si>
  <si>
    <t>GROWER CODE: AMI</t>
  </si>
  <si>
    <t>22AMI04</t>
  </si>
  <si>
    <t>21AMI02</t>
  </si>
  <si>
    <t>20AMI03</t>
  </si>
  <si>
    <t>18AMI04</t>
  </si>
  <si>
    <t>19AMI08SM</t>
  </si>
  <si>
    <t>18AMI05</t>
  </si>
  <si>
    <t>16AMI05</t>
  </si>
  <si>
    <t>22AMI06</t>
  </si>
  <si>
    <t>ROUGE 1C:</t>
  </si>
  <si>
    <t>22AMI05</t>
  </si>
  <si>
    <t>21AMI03</t>
  </si>
  <si>
    <t>20AMI05</t>
  </si>
  <si>
    <t>19AMI02</t>
  </si>
  <si>
    <t>18AMI03</t>
  </si>
  <si>
    <t>17AMI06</t>
  </si>
  <si>
    <t>21AMI05</t>
  </si>
  <si>
    <t>19AMI03</t>
  </si>
  <si>
    <t>17AMI08</t>
  </si>
  <si>
    <t>20AMI06</t>
  </si>
  <si>
    <t>19AMI04</t>
  </si>
  <si>
    <t>18AMI06</t>
  </si>
  <si>
    <t>KIND WORDS ABOUT JC BACHELET:</t>
  </si>
  <si>
    <r>
      <rPr>
        <b/>
        <sz val="7"/>
        <color theme="1" tint="0.499984740745262"/>
        <rFont val="Noto Sans"/>
        <family val="2"/>
      </rPr>
      <t>William Kelley, TWA 2024</t>
    </r>
    <r>
      <rPr>
        <sz val="7"/>
        <color theme="1" tint="0.499984740745262"/>
        <rFont val="Noto Sans"/>
        <family val="2"/>
      </rPr>
      <t xml:space="preserve"> 'As I've written before, one of my favorite estates in the Côte de Beaune is Domaine Jean-Claude Bachelet, where brothers</t>
    </r>
  </si>
  <si>
    <t>Jean-Claude and Benoît have been taking the wines to new heights in recent years.'</t>
  </si>
  <si>
    <r>
      <rPr>
        <b/>
        <sz val="7"/>
        <color theme="1" tint="0.499984740745262"/>
        <rFont val="Noto Sans"/>
        <family val="2"/>
      </rPr>
      <t xml:space="preserve">William Kelley, TWA 2022 </t>
    </r>
    <r>
      <rPr>
        <sz val="7"/>
        <color theme="1" tint="0.499984740745262"/>
        <rFont val="Noto Sans"/>
        <family val="2"/>
      </rPr>
      <t>'These are serious, layered wines that are built for the cellar, and they all come warmly recommended.'</t>
    </r>
  </si>
  <si>
    <r>
      <rPr>
        <b/>
        <sz val="7"/>
        <color theme="1" tint="0.499984740745262"/>
        <rFont val="Noto Sans"/>
        <family val="2"/>
      </rPr>
      <t>William Kelley, TWA 202</t>
    </r>
    <r>
      <rPr>
        <sz val="7"/>
        <color theme="1" tint="0.499984740745262"/>
        <rFont val="Noto Sans"/>
        <family val="2"/>
      </rPr>
      <t>2</t>
    </r>
    <r>
      <rPr>
        <b/>
        <sz val="7"/>
        <color theme="1" tint="0.499984740745262"/>
        <rFont val="Noto Sans"/>
        <family val="2"/>
      </rPr>
      <t xml:space="preserve"> </t>
    </r>
    <r>
      <rPr>
        <sz val="7"/>
        <color theme="1" tint="0.499984740745262"/>
        <rFont val="Noto Sans"/>
        <family val="2"/>
      </rPr>
      <t xml:space="preserve">'Serious viticulture, carefully chosen harvest dates, long press cycles and extended élevage in wood on the lees, followed by </t>
    </r>
  </si>
  <si>
    <t>bottling under high-quality natural cork, are the order of the day; and maturing vineyards, more refined cooperage choices, and a spacious new winery</t>
  </si>
  <si>
    <t>in the hamlet of Gamay are surely just a few of the small details that together account for the qualitative progress that's been made over the last decade.</t>
  </si>
  <si>
    <r>
      <rPr>
        <b/>
        <sz val="7"/>
        <color theme="1" tint="0.499984740745262"/>
        <rFont val="Noto Sans"/>
        <family val="2"/>
      </rPr>
      <t>William Kelley, TWA 2021</t>
    </r>
    <r>
      <rPr>
        <sz val="7"/>
        <color theme="1" tint="0.499984740745262"/>
        <rFont val="Noto Sans"/>
        <family val="2"/>
      </rPr>
      <t xml:space="preserve"> 'The more I drink the Bachelet bothers' wines, the more I admire them.'</t>
    </r>
  </si>
  <si>
    <r>
      <rPr>
        <b/>
        <sz val="7"/>
        <color theme="1" tint="0.499984740745262"/>
        <rFont val="Noto Sans"/>
        <family val="2"/>
      </rPr>
      <t>William Kelley, TWA 2020</t>
    </r>
    <r>
      <rPr>
        <sz val="7"/>
        <color theme="1" tint="0.499984740745262"/>
        <rFont val="Noto Sans"/>
        <family val="2"/>
      </rPr>
      <t xml:space="preserve"> 'among the Côte de Beaune's finest addresses...given the quality, the wines fly somewhat under the radar.' </t>
    </r>
  </si>
  <si>
    <r>
      <rPr>
        <b/>
        <sz val="7"/>
        <color theme="1" tint="0.499984740745262"/>
        <rFont val="Noto Sans"/>
        <family val="2"/>
      </rPr>
      <t xml:space="preserve">N.Martin, Vinous 2020 </t>
    </r>
    <r>
      <rPr>
        <sz val="7"/>
        <color theme="1" tint="0.499984740745262"/>
        <rFont val="Noto Sans"/>
        <family val="2"/>
      </rPr>
      <t>'I have been a fan of this estate for a number of years'</t>
    </r>
  </si>
  <si>
    <r>
      <rPr>
        <b/>
        <sz val="7"/>
        <color theme="1" tint="0.499984740745262"/>
        <rFont val="Noto Sans"/>
        <family val="2"/>
      </rPr>
      <t>N.Martin, Vinous 2020</t>
    </r>
    <r>
      <rPr>
        <sz val="7"/>
        <color theme="1" tint="0.499984740745262"/>
        <rFont val="Noto Sans"/>
        <family val="2"/>
      </rPr>
      <t xml:space="preserve"> 'Generally, these maintain their slightly bolder, richer style...that is always enhanced by a longer élevage'</t>
    </r>
  </si>
  <si>
    <r>
      <rPr>
        <b/>
        <sz val="7"/>
        <color theme="1" tint="0.499984740745262"/>
        <rFont val="Noto Sans"/>
        <family val="2"/>
      </rPr>
      <t>N.Martin, Vinous 2018</t>
    </r>
    <r>
      <rPr>
        <sz val="7"/>
        <color theme="1" tint="0.499984740745262"/>
        <rFont val="Noto Sans"/>
        <family val="2"/>
      </rPr>
      <t xml:space="preserve"> 'their use of wood is always respectful to the fruit and therefore the terroir is nearly always translated in the glass'</t>
    </r>
  </si>
  <si>
    <r>
      <rPr>
        <b/>
        <sz val="7"/>
        <color theme="1" tint="0.499984740745262"/>
        <rFont val="Noto Sans"/>
        <family val="2"/>
      </rPr>
      <t>N.Martin, 2015</t>
    </r>
    <r>
      <rPr>
        <sz val="7"/>
        <color theme="1" tint="0.499984740745262"/>
        <rFont val="Noto Sans"/>
        <family val="2"/>
      </rPr>
      <t xml:space="preserve"> 'Jean-Baptiste and Benoît Bachelet...have been creating some wonderful wines from their gallimaufry of parcels in recent years.'</t>
    </r>
  </si>
  <si>
    <r>
      <rPr>
        <b/>
        <sz val="7"/>
        <color theme="1" tint="0.499984740745262"/>
        <rFont val="Noto Sans"/>
        <family val="2"/>
      </rPr>
      <t>N.Martin, 2014 '</t>
    </r>
    <r>
      <rPr>
        <sz val="7"/>
        <color theme="1" tint="0.499984740745262"/>
        <rFont val="Noto Sans"/>
        <family val="2"/>
      </rPr>
      <t>imbued with complexity and great fruit concentration without dispensing with elegance.'</t>
    </r>
  </si>
  <si>
    <r>
      <t>A.Meadows, Burghound #63, 2016:</t>
    </r>
    <r>
      <rPr>
        <sz val="7"/>
        <color theme="1" tint="0.499984740745262"/>
        <rFont val="Noto Sans"/>
        <family val="2"/>
      </rPr>
      <t xml:space="preserve"> 'worth seeking out'</t>
    </r>
  </si>
  <si>
    <t>JEAN-CLAUDE BACHELET</t>
  </si>
  <si>
    <t>ROUGE HALVES:</t>
  </si>
  <si>
    <t>By Jean-Baptiste &amp; Benoit</t>
  </si>
  <si>
    <t>14BACHEL02HF</t>
  </si>
  <si>
    <t>10ha; sons Benoit &amp; Jean-Baptiste. Gamay</t>
  </si>
  <si>
    <t>50% Chassagne, 40% St.Aubin, 10% PM</t>
  </si>
  <si>
    <t>22BACHEL02</t>
  </si>
  <si>
    <t>'biodynamic-uncert.' ⓋVegan compatible</t>
  </si>
  <si>
    <t>21BACHEL04</t>
  </si>
  <si>
    <t>20BACHEL01</t>
  </si>
  <si>
    <t>white cellar in St.Aubin, red in Gamay</t>
  </si>
  <si>
    <t>19BACHEL01</t>
  </si>
  <si>
    <t>~10% new oak only, 225L &amp; 600L demi-muids</t>
  </si>
  <si>
    <t>18BACHEL01</t>
  </si>
  <si>
    <t>ambient yeast. Elevage over two winters.</t>
  </si>
  <si>
    <t>17BACHEL02</t>
  </si>
  <si>
    <r>
      <t>reds unfined; whites bentonite</t>
    </r>
    <r>
      <rPr>
        <i/>
        <sz val="8"/>
        <color theme="1" tint="0.14999847407452621"/>
        <rFont val="Noto Sans"/>
        <family val="2"/>
      </rPr>
      <t xml:space="preserve"> if </t>
    </r>
    <r>
      <rPr>
        <sz val="8"/>
        <color theme="1" tint="0.14999847407452621"/>
        <rFont val="Noto Sans"/>
        <family val="2"/>
      </rPr>
      <t>needed</t>
    </r>
  </si>
  <si>
    <t>16BACHEL03</t>
  </si>
  <si>
    <t>22BACHEL01</t>
  </si>
  <si>
    <t>2019 Jean-Claude passed away in the winter</t>
  </si>
  <si>
    <t>21BACHEL05</t>
  </si>
  <si>
    <t>2016 1st year of BD farming 100% of estate</t>
  </si>
  <si>
    <t>20BACHEL02</t>
  </si>
  <si>
    <t>2012 1st year of BD farming trial, on 1/2 the estate</t>
  </si>
  <si>
    <t>19BACHEL02</t>
  </si>
  <si>
    <t>2005 Jean-Baptiste joined</t>
  </si>
  <si>
    <t>18BACHEL02</t>
  </si>
  <si>
    <t>2000 Benoit joined</t>
  </si>
  <si>
    <t>17BACHEL03</t>
  </si>
  <si>
    <t>2000 1st year without herbicides</t>
  </si>
  <si>
    <t>16BACHEL04</t>
  </si>
  <si>
    <r>
      <t>18</t>
    </r>
    <r>
      <rPr>
        <vertAlign val="superscript"/>
        <sz val="7"/>
        <color theme="1" tint="0.499984740745262"/>
        <rFont val="Noto Sans"/>
        <family val="2"/>
      </rPr>
      <t>th</t>
    </r>
    <r>
      <rPr>
        <sz val="7"/>
        <color theme="1" tint="0.499984740745262"/>
        <rFont val="Noto Sans"/>
        <family val="2"/>
      </rPr>
      <t xml:space="preserve"> century origins</t>
    </r>
  </si>
  <si>
    <t>15BACHEL04</t>
  </si>
  <si>
    <t>RVF 1* estate; B+D 2*</t>
  </si>
  <si>
    <t>14BACHEL04</t>
  </si>
  <si>
    <t>DomaineBachelet.com</t>
  </si>
  <si>
    <t>ROUGE EN MAGNUM etc.:</t>
  </si>
  <si>
    <t>Chassagne-Montrachet.com</t>
  </si>
  <si>
    <t>20BACHEL01JB</t>
  </si>
  <si>
    <t>GROWER CODE: BACHEL</t>
  </si>
  <si>
    <t>14BACHEL02MG</t>
  </si>
  <si>
    <t>15BACHEL04MG</t>
  </si>
  <si>
    <t>14BACHEL04MG</t>
  </si>
  <si>
    <t>13BACHEL03MG</t>
  </si>
  <si>
    <t>22BACHEL03</t>
  </si>
  <si>
    <t>BLANC 1C:</t>
  </si>
  <si>
    <t>22BACHEL05</t>
  </si>
  <si>
    <t>20BACHEL04</t>
  </si>
  <si>
    <t>22BACHEL04</t>
  </si>
  <si>
    <t>HENRI BOILLOT</t>
  </si>
  <si>
    <r>
      <t>5</t>
    </r>
    <r>
      <rPr>
        <vertAlign val="superscript"/>
        <sz val="8"/>
        <color theme="1" tint="0.14999847407452621"/>
        <rFont val="Noto Sans"/>
        <family val="2"/>
      </rPr>
      <t>th</t>
    </r>
    <r>
      <rPr>
        <sz val="8"/>
        <color theme="1" tint="0.14999847407452621"/>
        <rFont val="Noto Sans"/>
        <family val="2"/>
      </rPr>
      <t xml:space="preserve"> generation Boillot. ~15ha domaine</t>
    </r>
  </si>
  <si>
    <t>15HBOILL05</t>
  </si>
  <si>
    <t xml:space="preserve">Old cellar in Volnay, new cellar in Meursault </t>
  </si>
  <si>
    <t>14HBOILL07</t>
  </si>
  <si>
    <r>
      <rPr>
        <b/>
        <sz val="8"/>
        <color rgb="FF00B050"/>
        <rFont val="Noto Sans"/>
        <family val="2"/>
      </rPr>
      <t>sustainable</t>
    </r>
    <r>
      <rPr>
        <sz val="8"/>
        <color theme="1" tint="0.14999847407452621"/>
        <rFont val="Noto Sans"/>
        <family val="2"/>
      </rPr>
      <t xml:space="preserve"> agriculture:</t>
    </r>
  </si>
  <si>
    <t>BEAUNE &amp; POMMARD:</t>
  </si>
  <si>
    <t>no insecticide, no herbicide, worked soil,</t>
  </si>
  <si>
    <t>12HBOILL06</t>
  </si>
  <si>
    <t>old vines, modest yields, ambient yeast</t>
  </si>
  <si>
    <t>11HBOILL06</t>
  </si>
  <si>
    <r>
      <rPr>
        <b/>
        <sz val="8"/>
        <color theme="1" tint="0.14999847407452621"/>
        <rFont val="Noto Sans"/>
        <family val="2"/>
      </rPr>
      <t>white</t>
    </r>
    <r>
      <rPr>
        <sz val="8"/>
        <color theme="1" tint="0.14999847407452621"/>
        <rFont val="Noto Sans"/>
        <family val="2"/>
      </rPr>
      <t>: ferment in 350L oak casks</t>
    </r>
  </si>
  <si>
    <t>09HBOILL06</t>
  </si>
  <si>
    <r>
      <rPr>
        <b/>
        <sz val="8"/>
        <color theme="1" tint="0.14999847407452621"/>
        <rFont val="Noto Sans"/>
        <family val="2"/>
      </rPr>
      <t>red:</t>
    </r>
    <r>
      <rPr>
        <sz val="8"/>
        <color theme="1" tint="0.14999847407452621"/>
        <rFont val="Noto Sans"/>
        <family val="2"/>
      </rPr>
      <t xml:space="preserve"> until 2016s elevage in 228L pieces, then</t>
    </r>
  </si>
  <si>
    <t>22HBOILL05</t>
  </si>
  <si>
    <t>from 2017 ferment &amp; elevage in 350L &amp; 500L</t>
  </si>
  <si>
    <t>19HBOILL05</t>
  </si>
  <si>
    <t>18HBOILL05</t>
  </si>
  <si>
    <t>THE TWO DOMAINE MONOPOLES:</t>
  </si>
  <si>
    <t>VOLNAY - THE DOMAINE SPECIALITY:</t>
  </si>
  <si>
    <r>
      <rPr>
        <b/>
        <sz val="7"/>
        <color theme="1" tint="0.499984740745262"/>
        <rFont val="Noto Sans"/>
        <family val="2"/>
      </rPr>
      <t>Clos de La Mouchère 1C</t>
    </r>
    <r>
      <rPr>
        <sz val="7"/>
        <color theme="1" tint="0.499984740745262"/>
        <rFont val="Noto Sans"/>
        <family val="2"/>
      </rPr>
      <t>: 4ha within Puligny</t>
    </r>
  </si>
  <si>
    <t>22HBOILL04</t>
  </si>
  <si>
    <t xml:space="preserve">Les Perrieres 1C </t>
  </si>
  <si>
    <t>18HBOILL03</t>
  </si>
  <si>
    <r>
      <rPr>
        <b/>
        <sz val="7"/>
        <color theme="1" tint="0.499984740745262"/>
        <rFont val="Noto Sans"/>
        <family val="2"/>
      </rPr>
      <t>Clos Richemont 1C</t>
    </r>
    <r>
      <rPr>
        <sz val="7"/>
        <color theme="1" tint="0.499984740745262"/>
        <rFont val="Noto Sans"/>
        <family val="2"/>
      </rPr>
      <t>: 0.74ha VV in Meursault</t>
    </r>
  </si>
  <si>
    <t>17HBOILL03</t>
  </si>
  <si>
    <t>15HBOILL03</t>
  </si>
  <si>
    <t>2022 Guillaume founds new label with wife Camille</t>
  </si>
  <si>
    <t>14HBOILL04</t>
  </si>
  <si>
    <t>2019 purchase of Domaine Henri Darnat</t>
  </si>
  <si>
    <t>07HBOILL03V</t>
  </si>
  <si>
    <t>2017 reds now barrel fermented in 350L &amp; 500Ls</t>
  </si>
  <si>
    <t>22HBOILL03</t>
  </si>
  <si>
    <t>2017 new hydraulic press installed</t>
  </si>
  <si>
    <t>18HBOILL02</t>
  </si>
  <si>
    <t>2013 Guillaume now responsible for reds</t>
  </si>
  <si>
    <t>17HBOILL02</t>
  </si>
  <si>
    <t>2006 son Guillaume joins</t>
  </si>
  <si>
    <t>16HBOILL02</t>
  </si>
  <si>
    <t>2005 becomes Domaine Henri Boillot</t>
  </si>
  <si>
    <t>13HBOILL03</t>
  </si>
  <si>
    <t>2004 last vintage as father's Dom.Jean Boillot</t>
  </si>
  <si>
    <t>12HBOILL03</t>
  </si>
  <si>
    <t>1996 start of 350L barrels for whites</t>
  </si>
  <si>
    <t>11HBOILL03</t>
  </si>
  <si>
    <t>1984 Henri starts own negoce label</t>
  </si>
  <si>
    <t>08HBOILL02</t>
  </si>
  <si>
    <t>1885 first Boillot wine activity</t>
  </si>
  <si>
    <t>07HBOILLOT01V</t>
  </si>
  <si>
    <t>22HBOILL02</t>
  </si>
  <si>
    <t>2017 1st Wine &amp; Spirits Top 100 WOTY</t>
  </si>
  <si>
    <t>18HBOILL01</t>
  </si>
  <si>
    <t>14HBOILL02</t>
  </si>
  <si>
    <t>B+D4* estate; CC 1*, 2008</t>
  </si>
  <si>
    <t>GRANDS CRUS ROUGE:</t>
  </si>
  <si>
    <t>NB BLANC &amp; GCs USUALLY SELL OUT E.P.</t>
  </si>
  <si>
    <t>22HBOILL06</t>
  </si>
  <si>
    <t>Henri-Boillot.com</t>
  </si>
  <si>
    <t>13HBOILL09</t>
  </si>
  <si>
    <t>DEBRA MEIBURG MW INTERVIEW #223</t>
  </si>
  <si>
    <t>22HBOILL07</t>
  </si>
  <si>
    <t>GROWER CODE: HBOILL</t>
  </si>
  <si>
    <t>19HBOILL07</t>
  </si>
  <si>
    <t>17HBOILL07</t>
  </si>
  <si>
    <t>22HBOILL10</t>
  </si>
  <si>
    <t>22HBOILL09</t>
  </si>
  <si>
    <t>22HBOILL08</t>
  </si>
  <si>
    <t>ROUGE EN MAGNUM:</t>
  </si>
  <si>
    <t>19HBOILL04MG</t>
  </si>
  <si>
    <t>19HBOILL03MG</t>
  </si>
  <si>
    <t>18HBOILL11MG</t>
  </si>
  <si>
    <t>19HBOILL07MG</t>
  </si>
  <si>
    <t>18HBOILL08MG</t>
  </si>
  <si>
    <t>BOURGOGNE BLANC:</t>
  </si>
  <si>
    <t>22HBOILL11</t>
  </si>
  <si>
    <t>MEURSAULT:</t>
  </si>
  <si>
    <t>22HBOILL12</t>
  </si>
  <si>
    <t>22HBOILL15</t>
  </si>
  <si>
    <t>22HBOILL16</t>
  </si>
  <si>
    <t>20HBOILL17A</t>
  </si>
  <si>
    <t>22HBOILL14</t>
  </si>
  <si>
    <t>22HBOILL13</t>
  </si>
  <si>
    <t>19HBOILL12MG</t>
  </si>
  <si>
    <t>22HBOILL17</t>
  </si>
  <si>
    <t>22HBOILL21</t>
  </si>
  <si>
    <t>22HBOILL22</t>
  </si>
  <si>
    <t>22HBOILL20</t>
  </si>
  <si>
    <t>22HBOILL18</t>
  </si>
  <si>
    <t>GRANDS CRUS EN BLANC:</t>
  </si>
  <si>
    <t>22HBOILL23</t>
  </si>
  <si>
    <t>22HBOILL24</t>
  </si>
  <si>
    <t>22HBOILL25</t>
  </si>
  <si>
    <t>KIND WORDS ON CAMUS-BRUCHON:</t>
  </si>
  <si>
    <r>
      <rPr>
        <b/>
        <sz val="7"/>
        <color theme="1" tint="0.499984740745262"/>
        <rFont val="Noto Sans"/>
        <family val="2"/>
      </rPr>
      <t>Claude Kolm, Fine Wine Review, 2023</t>
    </r>
    <r>
      <rPr>
        <sz val="7"/>
        <color theme="1" tint="0.499984740745262"/>
        <rFont val="Noto Sans"/>
        <family val="2"/>
      </rPr>
      <t xml:space="preserve"> 'Savigny-les-Beaune from top producers provides some of the best values in both red and white Burgundy.'</t>
    </r>
  </si>
  <si>
    <t>Among those in the top tier of Savigny, Camus-Bruchon is less well-known than it should be, and its wines are worth your making an effort to find.'</t>
  </si>
  <si>
    <r>
      <rPr>
        <b/>
        <sz val="7"/>
        <color theme="1" tint="0.499984740745262"/>
        <rFont val="Noto Sans"/>
        <family val="2"/>
      </rPr>
      <t>William Kelley, TWA 2019</t>
    </r>
    <r>
      <rPr>
        <sz val="7"/>
        <color theme="1" tint="0.499984740745262"/>
        <rFont val="Noto Sans"/>
        <family val="2"/>
      </rPr>
      <t xml:space="preserve"> 'an excellent source for keenly priced, classically balanced wines. It's a mystery why this domaine isn't better known'</t>
    </r>
  </si>
  <si>
    <r>
      <rPr>
        <b/>
        <sz val="7"/>
        <color theme="1" tint="0.499984740745262"/>
        <rFont val="Noto Sans"/>
        <family val="2"/>
      </rPr>
      <t>William Kelley, TWA 2019</t>
    </r>
    <r>
      <rPr>
        <sz val="7"/>
        <color theme="1" tint="0.499984740745262"/>
        <rFont val="Noto Sans"/>
        <family val="2"/>
      </rPr>
      <t xml:space="preserve"> 'Proprietor and winemaker Guillaume Camus is increasingly using more larger format barrels to diminish the impact of new</t>
    </r>
  </si>
  <si>
    <t>wood. Especially enviable are the domaine's holdings of old vines, which helps explain the quality and consistency they routinely achieve. Readers who</t>
  </si>
  <si>
    <t>don't know this estate should give it serious consideration.'</t>
  </si>
  <si>
    <t>CAMUS-BRUCHON, Dom.</t>
  </si>
  <si>
    <t>SAVIGNY TVV ROUGE:</t>
  </si>
  <si>
    <t>Lucien (Luc) &amp; Guillaume Camus-Bruchon</t>
  </si>
  <si>
    <t>14CAM01</t>
  </si>
  <si>
    <r>
      <t>Savigny-Les-Beaune, 9.5ha</t>
    </r>
    <r>
      <rPr>
        <b/>
        <sz val="8"/>
        <color rgb="FF00B050"/>
        <rFont val="Noto Sans"/>
        <family val="2"/>
      </rPr>
      <t xml:space="preserve"> sustainable</t>
    </r>
  </si>
  <si>
    <t>12CAM03</t>
  </si>
  <si>
    <t>From 10% to 30% stems; cold soak; max</t>
  </si>
  <si>
    <t>11CAM03TB</t>
  </si>
  <si>
    <t xml:space="preserve">25% new oak, 225L &amp; 500L for 12-15mths; </t>
  </si>
  <si>
    <t>10CAM02</t>
  </si>
  <si>
    <t>bottled unfiltered</t>
  </si>
  <si>
    <t>SAVIGNY 1C ROUGE:</t>
  </si>
  <si>
    <t>14CAM02</t>
  </si>
  <si>
    <t>2010 start of inclusion of stems</t>
  </si>
  <si>
    <t>13CAM01</t>
  </si>
  <si>
    <t>1997 son Guillaume joins</t>
  </si>
  <si>
    <t>22CAM02</t>
  </si>
  <si>
    <t>1982 1st vintage exported</t>
  </si>
  <si>
    <t>21CAM01</t>
  </si>
  <si>
    <t>1978 deleafing starts</t>
  </si>
  <si>
    <t>20CAM01</t>
  </si>
  <si>
    <t>1970s start of domaine bottling</t>
  </si>
  <si>
    <t>19CAM01</t>
  </si>
  <si>
    <t>1971 Luc takes over</t>
  </si>
  <si>
    <t>18CAM01</t>
  </si>
  <si>
    <t>1949 Luc Camus born</t>
  </si>
  <si>
    <t>16CAM01</t>
  </si>
  <si>
    <t>1913 &amp; 1922 Grands Liards planted</t>
  </si>
  <si>
    <t>22CAM03</t>
  </si>
  <si>
    <t>VINEYARD AGES:</t>
  </si>
  <si>
    <t>21CAM02</t>
  </si>
  <si>
    <r>
      <rPr>
        <b/>
        <sz val="7"/>
        <color theme="1" tint="0.499984740745262"/>
        <rFont val="Noto Sans"/>
        <family val="2"/>
      </rPr>
      <t>Beaune Clos du Roi 1C:</t>
    </r>
    <r>
      <rPr>
        <sz val="7"/>
        <color theme="1" tint="0.499984740745262"/>
        <rFont val="Noto Sans"/>
        <family val="2"/>
      </rPr>
      <t xml:space="preserve"> 40 &amp; 80yr vines</t>
    </r>
  </si>
  <si>
    <t>20CAM02</t>
  </si>
  <si>
    <r>
      <rPr>
        <b/>
        <sz val="7"/>
        <color theme="1" tint="0.499984740745262"/>
        <rFont val="Noto Sans"/>
        <family val="2"/>
      </rPr>
      <t>Savigny Grands Liards:</t>
    </r>
    <r>
      <rPr>
        <sz val="7"/>
        <color theme="1" tint="0.499984740745262"/>
        <rFont val="Noto Sans"/>
        <family val="2"/>
      </rPr>
      <t xml:space="preserve"> 1913 &amp; 1922 vines</t>
    </r>
  </si>
  <si>
    <t>19CAM02</t>
  </si>
  <si>
    <r>
      <rPr>
        <b/>
        <sz val="7"/>
        <color theme="1" tint="0.499984740745262"/>
        <rFont val="Noto Sans"/>
        <family val="2"/>
      </rPr>
      <t>Savigny Pimentiers</t>
    </r>
    <r>
      <rPr>
        <sz val="7"/>
        <color theme="1" tint="0.499984740745262"/>
        <rFont val="Noto Sans"/>
        <family val="2"/>
      </rPr>
      <t>: 1929 vines</t>
    </r>
  </si>
  <si>
    <t>18CAM02</t>
  </si>
  <si>
    <r>
      <rPr>
        <b/>
        <sz val="7"/>
        <color theme="1" tint="0.499984740745262"/>
        <rFont val="Noto Sans"/>
        <family val="2"/>
      </rPr>
      <t>Savigny Gravains 1C:</t>
    </r>
    <r>
      <rPr>
        <sz val="7"/>
        <color theme="1" tint="0.499984740745262"/>
        <rFont val="Noto Sans"/>
        <family val="2"/>
      </rPr>
      <t xml:space="preserve"> 0.4ha 1975 vines. S facing,</t>
    </r>
  </si>
  <si>
    <t>17CAM01</t>
  </si>
  <si>
    <t>30-40cm stony white soil, over sandy clay-limestone</t>
  </si>
  <si>
    <t>16CAM02</t>
  </si>
  <si>
    <r>
      <rPr>
        <b/>
        <sz val="7"/>
        <color theme="1" tint="0.499984740745262"/>
        <rFont val="Noto Sans"/>
        <family val="2"/>
      </rPr>
      <t>Savigny Lavieres 1C:</t>
    </r>
    <r>
      <rPr>
        <sz val="7"/>
        <color theme="1" tint="0.499984740745262"/>
        <rFont val="Noto Sans"/>
        <family val="2"/>
      </rPr>
      <t xml:space="preserve"> 0.4ha 1960s. S facing deep,</t>
    </r>
  </si>
  <si>
    <t>15CAM02</t>
  </si>
  <si>
    <t>silty &amp; heavy soil, with flat limestone stones below</t>
  </si>
  <si>
    <t>22CAM01</t>
  </si>
  <si>
    <r>
      <rPr>
        <b/>
        <sz val="7"/>
        <color theme="1" tint="0.499984740745262"/>
        <rFont val="Noto Sans"/>
        <family val="2"/>
      </rPr>
      <t>Savigny Narbontons 1C:</t>
    </r>
    <r>
      <rPr>
        <sz val="7"/>
        <color theme="1" tint="0.499984740745262"/>
        <rFont val="Noto Sans"/>
        <family val="2"/>
      </rPr>
      <t xml:space="preserve"> 1950s. NE-facing on</t>
    </r>
  </si>
  <si>
    <t>21CAM03</t>
  </si>
  <si>
    <t>thin topsoil over clay-limestone</t>
  </si>
  <si>
    <t>20CAM03</t>
  </si>
  <si>
    <t>GROWER CODE: CAM</t>
  </si>
  <si>
    <t>19CAM03</t>
  </si>
  <si>
    <t>18CAM03</t>
  </si>
  <si>
    <t>17CAM02</t>
  </si>
  <si>
    <t>16CAM03</t>
  </si>
  <si>
    <t>15CAM03</t>
  </si>
  <si>
    <t>14CAM03</t>
  </si>
  <si>
    <t>13CAM02</t>
  </si>
  <si>
    <t>CHANDON DE BRIAILLES,</t>
  </si>
  <si>
    <t xml:space="preserve">by Famille Nicolay </t>
  </si>
  <si>
    <t>25NICOLAY07</t>
  </si>
  <si>
    <t>Savigny. 14ha. 13th century stone cellars</t>
  </si>
  <si>
    <t>Siblings Francois &amp; Claude de Nicolay</t>
  </si>
  <si>
    <t>25NICOLAY03</t>
  </si>
  <si>
    <t>Organic certified 2011 Ecocert</t>
  </si>
  <si>
    <t>24NICOLAY01</t>
  </si>
  <si>
    <t>23NICOLAY03</t>
  </si>
  <si>
    <t>Ambient yeast, modest SO2,</t>
  </si>
  <si>
    <t>24NICOLAY06</t>
  </si>
  <si>
    <t>bottled unfined, unfiltered</t>
  </si>
  <si>
    <t>23NICOLAY04</t>
  </si>
  <si>
    <t>23NICOLAY02</t>
  </si>
  <si>
    <t>2011 organic &amp; biodynamic certified</t>
  </si>
  <si>
    <t>24NICOLAY04</t>
  </si>
  <si>
    <t>2008 organic &amp; biodynamic conversion starts</t>
  </si>
  <si>
    <t>25NICOLAY04</t>
  </si>
  <si>
    <t>2005 start of biodynamic work</t>
  </si>
  <si>
    <t>24NICOLAY02</t>
  </si>
  <si>
    <t>2001 brother Francois joins</t>
  </si>
  <si>
    <t>24NICOLAY05</t>
  </si>
  <si>
    <t>2000 Francois starts Maison FDN</t>
  </si>
  <si>
    <t>24NICOLAY07</t>
  </si>
  <si>
    <t>1991 daughter Claude joins</t>
  </si>
  <si>
    <t>1982 mother Nadine took over</t>
  </si>
  <si>
    <t>25NICOLAY06</t>
  </si>
  <si>
    <t>1834 Domaine founded</t>
  </si>
  <si>
    <t>24NICOLAY03</t>
  </si>
  <si>
    <t>24NICOLAY08</t>
  </si>
  <si>
    <r>
      <rPr>
        <b/>
        <sz val="7"/>
        <color theme="1" tint="0.499984740745262"/>
        <rFont val="Noto Sans"/>
        <family val="2"/>
      </rPr>
      <t>Savigny Lavieres 1C:</t>
    </r>
    <r>
      <rPr>
        <sz val="7"/>
        <color theme="1" tint="0.499984740745262"/>
        <rFont val="Noto Sans"/>
        <family val="2"/>
      </rPr>
      <t xml:space="preserve"> 2.61ha 1954 VV, SSE facing</t>
    </r>
  </si>
  <si>
    <r>
      <rPr>
        <b/>
        <sz val="7"/>
        <color theme="1" tint="0.499984740745262"/>
        <rFont val="Noto Sans"/>
        <family val="2"/>
      </rPr>
      <t>Pernand Les Vergelesses 1C:</t>
    </r>
    <r>
      <rPr>
        <sz val="7"/>
        <color theme="1" tint="0.499984740745262"/>
        <rFont val="Noto Sans"/>
        <family val="2"/>
      </rPr>
      <t xml:space="preserve"> 1.22ha 1954 VV,</t>
    </r>
  </si>
  <si>
    <t>E facing, iron-rich clay at bottom of slope</t>
  </si>
  <si>
    <r>
      <rPr>
        <b/>
        <sz val="7"/>
        <color theme="1" tint="0.499984740745262"/>
        <rFont val="Noto Sans"/>
        <family val="2"/>
      </rPr>
      <t>Pernand Ile des Vergelesses 1C:</t>
    </r>
    <r>
      <rPr>
        <sz val="7"/>
        <color theme="1" tint="0.499984740745262"/>
        <rFont val="Noto Sans"/>
        <family val="2"/>
      </rPr>
      <t xml:space="preserve">  3.13ha, avg 50</t>
    </r>
  </si>
  <si>
    <t>years, E facing on mid slope over clay-limestone</t>
  </si>
  <si>
    <r>
      <rPr>
        <b/>
        <sz val="7"/>
        <color theme="1" tint="0.499984740745262"/>
        <rFont val="Noto Sans"/>
        <family val="2"/>
      </rPr>
      <t>Corton Bressandes GC</t>
    </r>
    <r>
      <rPr>
        <sz val="7"/>
        <color theme="1" tint="0.499984740745262"/>
        <rFont val="Noto Sans"/>
        <family val="2"/>
      </rPr>
      <t>: 1.12ha avg 45yrs, E facing</t>
    </r>
  </si>
  <si>
    <t>ChandondeBriailles.com</t>
  </si>
  <si>
    <t>GROWER CODE: NICOLAY</t>
  </si>
  <si>
    <r>
      <rPr>
        <b/>
        <sz val="7"/>
        <color theme="1" tint="0.499984740745262"/>
        <rFont val="Noto Sans"/>
        <family val="2"/>
      </rPr>
      <t xml:space="preserve">FDN </t>
    </r>
    <r>
      <rPr>
        <sz val="7"/>
        <color theme="1" tint="0.499984740745262"/>
        <rFont val="Noto Sans"/>
        <family val="2"/>
      </rPr>
      <t>« vigneron - éleveur - embouteilleur »</t>
    </r>
  </si>
  <si>
    <r>
      <rPr>
        <b/>
        <sz val="7"/>
        <color theme="1" tint="0.499984740745262"/>
        <rFont val="Noto Sans"/>
        <family val="2"/>
      </rPr>
      <t>FDN</t>
    </r>
    <r>
      <rPr>
        <sz val="7"/>
        <color theme="1" tint="0.499984740745262"/>
        <rFont val="Noto Sans"/>
        <family val="2"/>
      </rPr>
      <t xml:space="preserve"> 'La culture en biologie et plus en biodynamie est pour moi une évidence depuis les années 90'</t>
    </r>
  </si>
  <si>
    <r>
      <rPr>
        <b/>
        <sz val="7"/>
        <color theme="1" tint="0.499984740745262"/>
        <rFont val="Noto Sans"/>
        <family val="2"/>
      </rPr>
      <t>FDN</t>
    </r>
    <r>
      <rPr>
        <sz val="7"/>
        <color theme="1" tint="0.499984740745262"/>
        <rFont val="Noto Sans"/>
        <family val="2"/>
      </rPr>
      <t xml:space="preserve"> 'Avec la Maison François de Nicolay, petite structure commerciale, j'ai décidé de faire des vins sans artifice, sans additifs, à partir de raisins,</t>
    </r>
  </si>
  <si>
    <t>de culture biologique ou biodynamique. Les approvisionnements en raisins et moûts (jus de raisin non encore fermentés) ou en vins proviennent</t>
  </si>
  <si>
    <t>de vignobles certifiés biologiques voire biodynamiques ou en voie de transition vers l'agriculture biologique. S'ils sont de la plus haute qualité,</t>
  </si>
  <si>
    <t>on peut essayer de faire des vins purs! C'est-à-dire sans aucun produit ajouté. Ainsi, à la Maison François de Nicolay vous trouverez des cuvées</t>
  </si>
  <si>
    <t xml:space="preserve"> réalisées sans sulfites ajoutés, sans chaptalisation... Uniquement du raisin ! Pour les autres cultures, le seul ajout est une dose</t>
  </si>
  <si>
    <t>faible de soufre. Une fois acquis, les moûts ou vins sont élevés dans une ancienne cave à Savigny-Lès-Beaune, sans remontage, sans</t>
  </si>
  <si>
    <t>filtration, sans clarification et ils sont mis en bouteille naturellement, à la main, avec une chèvre à deux becs, directement de la barrique</t>
  </si>
  <si>
    <t>"a la chèvre" sans pompage. C'est un travail artisanal qui évite l'ajout de soufre et qui maintient le vin avec toute sa fraîcheur originelle.'</t>
  </si>
  <si>
    <t>FRANCOIS DE NICOLAY,</t>
  </si>
  <si>
    <t>Maison</t>
  </si>
  <si>
    <t>25NICOLAY01</t>
  </si>
  <si>
    <t>Old stone cellars, Savigny. Founded 2000</t>
  </si>
  <si>
    <t>23NICOLAY07</t>
  </si>
  <si>
    <t>Francois de Nicolay of Chandon de Briailles</t>
  </si>
  <si>
    <t>24NICOLAY10</t>
  </si>
  <si>
    <t>Mixed sources from grower friends,</t>
  </si>
  <si>
    <t>25NICOLAY02</t>
  </si>
  <si>
    <t>24NICOLAY11</t>
  </si>
  <si>
    <r>
      <rPr>
        <b/>
        <sz val="8"/>
        <color rgb="FF00B050"/>
        <rFont val="Noto Sans"/>
        <family val="2"/>
      </rPr>
      <t xml:space="preserve">Biodynamic </t>
    </r>
    <r>
      <rPr>
        <sz val="8"/>
        <color theme="1" tint="0.14999847407452621"/>
        <rFont val="Noto Sans"/>
        <family val="2"/>
      </rPr>
      <t>in conversion</t>
    </r>
  </si>
  <si>
    <t>23NICOLAY09</t>
  </si>
  <si>
    <t xml:space="preserve">No adjustments, ambient yeast, </t>
  </si>
  <si>
    <t>modest SO2, seasoned oak casks,</t>
  </si>
  <si>
    <t>24NICOLAY09</t>
  </si>
  <si>
    <t>23NICOLAY08</t>
  </si>
  <si>
    <t>instagram.com/francoisdenicolay/</t>
  </si>
  <si>
    <r>
      <rPr>
        <b/>
        <sz val="7"/>
        <color theme="1" tint="0.499984740745262"/>
        <rFont val="Noto Sans"/>
        <family val="2"/>
      </rPr>
      <t>Thibaud</t>
    </r>
    <r>
      <rPr>
        <sz val="7"/>
        <color theme="1" tint="0.499984740745262"/>
        <rFont val="Noto Sans"/>
        <family val="2"/>
      </rPr>
      <t xml:space="preserve"> ‘I prefer to make a smaller production, but better’</t>
    </r>
  </si>
  <si>
    <t>YVON CLERGET, Dom.</t>
  </si>
  <si>
    <t>by THIBAUD CLERGET</t>
  </si>
  <si>
    <t>20YCLERGET01A</t>
  </si>
  <si>
    <r>
      <t xml:space="preserve">Volnay, 6ha </t>
    </r>
    <r>
      <rPr>
        <b/>
        <sz val="8"/>
        <color rgb="FF00B050"/>
        <rFont val="Noto Sans"/>
        <family val="2"/>
      </rPr>
      <t xml:space="preserve">sustainable. </t>
    </r>
    <r>
      <rPr>
        <sz val="8"/>
        <color theme="1" tint="0.14999847407452621"/>
        <rFont val="Noto Sans"/>
        <family val="2"/>
      </rPr>
      <t>Average ~45yr</t>
    </r>
  </si>
  <si>
    <t xml:space="preserve">vines, de-stemmed, 5-7 day cold soak, </t>
  </si>
  <si>
    <t>22YCLERGET01</t>
  </si>
  <si>
    <t>ambient yeast, 12mths in fut, 2 months tank</t>
  </si>
  <si>
    <t>21YCLERGET01C6</t>
  </si>
  <si>
    <t>before bottling, ~30% new oak</t>
  </si>
  <si>
    <t>21YCLERGET02</t>
  </si>
  <si>
    <t>18YCLERGET02</t>
  </si>
  <si>
    <t>2022 buys Dom. Rossignol Changarnier</t>
  </si>
  <si>
    <t>17YCLERGET01</t>
  </si>
  <si>
    <t>2022 new cellar being constructed</t>
  </si>
  <si>
    <t>16YCLERGET01</t>
  </si>
  <si>
    <t>2015 Thibaud's 1st vintage of Yvon Clerget</t>
  </si>
  <si>
    <t>2009 Yvon retired; Domaine put on hold</t>
  </si>
  <si>
    <t>22YCLERGET03</t>
  </si>
  <si>
    <t>1991 Thibaud born</t>
  </si>
  <si>
    <t>21YCLERGET03</t>
  </si>
  <si>
    <t>1983-2009 Yvon runs the domaine</t>
  </si>
  <si>
    <t>20YCLERGET04</t>
  </si>
  <si>
    <t>1973-1983 Yvon worked at a swiss domaine</t>
  </si>
  <si>
    <t>18YCLERGET03</t>
  </si>
  <si>
    <t>1936 purchase of Clos du Verseuil monopole</t>
  </si>
  <si>
    <t>17YCLERGET02</t>
  </si>
  <si>
    <t>1811 Felix Clerget buys Clos de Vougeot parcel</t>
  </si>
  <si>
    <t>22YCLERGET04</t>
  </si>
  <si>
    <t>1268 1st record of Clerget family in Volnay</t>
  </si>
  <si>
    <t>20YCLERGET05</t>
  </si>
  <si>
    <t>19YCLERGET05</t>
  </si>
  <si>
    <r>
      <rPr>
        <b/>
        <sz val="7"/>
        <color theme="1" tint="0.499984740745262"/>
        <rFont val="Noto Sans"/>
        <family val="2"/>
      </rPr>
      <t>Volnay:</t>
    </r>
    <r>
      <rPr>
        <sz val="7"/>
        <color theme="1" tint="0.499984740745262"/>
        <rFont val="Noto Sans"/>
        <family val="2"/>
      </rPr>
      <t xml:space="preserve"> 1.1ha, 2plots, average 40yrs, no new oak</t>
    </r>
  </si>
  <si>
    <t>18YCLERGET04</t>
  </si>
  <si>
    <r>
      <t xml:space="preserve">Carelle Sous La Chapelle 1C: </t>
    </r>
    <r>
      <rPr>
        <sz val="7"/>
        <color theme="1" tint="0.499984740745262"/>
        <rFont val="Noto Sans"/>
        <family val="2"/>
      </rPr>
      <t>0.65ha, ~30yrs</t>
    </r>
  </si>
  <si>
    <t>22YCLERGET05</t>
  </si>
  <si>
    <r>
      <rPr>
        <b/>
        <sz val="7"/>
        <color theme="1" tint="0.499984740745262"/>
        <rFont val="Noto Sans"/>
        <family val="2"/>
      </rPr>
      <t>Santenots 1C:</t>
    </r>
    <r>
      <rPr>
        <sz val="7"/>
        <color theme="1" tint="0.499984740745262"/>
        <rFont val="Noto Sans"/>
        <family val="2"/>
      </rPr>
      <t xml:space="preserve"> 0.68ha ~30yrs</t>
    </r>
  </si>
  <si>
    <t>20YCLERGET06</t>
  </si>
  <si>
    <r>
      <rPr>
        <b/>
        <sz val="7"/>
        <color theme="1" tint="0.499984740745262"/>
        <rFont val="Noto Sans"/>
        <family val="2"/>
      </rPr>
      <t>Mitans 1C:</t>
    </r>
    <r>
      <rPr>
        <sz val="7"/>
        <color theme="1" tint="0.499984740745262"/>
        <rFont val="Noto Sans"/>
        <family val="2"/>
      </rPr>
      <t xml:space="preserve"> 0.16ha, ~50yrs</t>
    </r>
  </si>
  <si>
    <t>19YCLERGET06</t>
  </si>
  <si>
    <r>
      <t xml:space="preserve">Clos du Verseuil 1C monopole: </t>
    </r>
    <r>
      <rPr>
        <sz val="7"/>
        <color theme="1" tint="0.499984740745262"/>
        <rFont val="Noto Sans"/>
        <family val="2"/>
      </rPr>
      <t>0.68ha, ~40yrs</t>
    </r>
  </si>
  <si>
    <t>18YCLERGET05</t>
  </si>
  <si>
    <t>Lies between Taillepieds and Bousse d'Or 1Cs</t>
  </si>
  <si>
    <t>17YCLERGET04</t>
  </si>
  <si>
    <r>
      <rPr>
        <b/>
        <sz val="7"/>
        <color theme="1" tint="0.499984740745262"/>
        <rFont val="Noto Sans"/>
        <family val="2"/>
      </rPr>
      <t>Pommard Rugiens 1C</t>
    </r>
    <r>
      <rPr>
        <sz val="7"/>
        <color theme="1" tint="0.499984740745262"/>
        <rFont val="Noto Sans"/>
        <family val="2"/>
      </rPr>
      <t>: 0.85ha, ~45yrs</t>
    </r>
  </si>
  <si>
    <t>22YCLERGET06</t>
  </si>
  <si>
    <r>
      <t xml:space="preserve">Clos de Vougeot GC: </t>
    </r>
    <r>
      <rPr>
        <sz val="7"/>
        <color theme="1" tint="0.499984740745262"/>
        <rFont val="Noto Sans"/>
        <family val="2"/>
      </rPr>
      <t>0.32ha ~50yrs</t>
    </r>
  </si>
  <si>
    <t>20YCLERGET07</t>
  </si>
  <si>
    <t>Domaine-Clerget.com</t>
  </si>
  <si>
    <t>18YCLERGET06</t>
  </si>
  <si>
    <t>facebook.com/domaineclerget/</t>
  </si>
  <si>
    <t>20YCLERGET08A</t>
  </si>
  <si>
    <t>instagram.com/domaine.clerget/</t>
  </si>
  <si>
    <t>20YCLERGET09MG</t>
  </si>
  <si>
    <t>NEW LISTING FOR 2020</t>
  </si>
  <si>
    <t>22YCLERGET08</t>
  </si>
  <si>
    <t>21YCLERGET08</t>
  </si>
  <si>
    <t>GROWER CODE: YCLERGET</t>
  </si>
  <si>
    <t>18YCLERGET09</t>
  </si>
  <si>
    <t>20YCLERGET11</t>
  </si>
  <si>
    <r>
      <t>N.Martin, 2014</t>
    </r>
    <r>
      <rPr>
        <sz val="7"/>
        <color theme="1" tint="0.499984740745262"/>
        <rFont val="Noto Sans"/>
        <family val="2"/>
      </rPr>
      <t xml:space="preserve"> 'one of the best growers in the Côte de Beaune – you can quote me on that.'</t>
    </r>
  </si>
  <si>
    <t>MARC COLIN, Dom.</t>
  </si>
  <si>
    <r>
      <t xml:space="preserve">St.Aubin. 19ha, </t>
    </r>
    <r>
      <rPr>
        <b/>
        <sz val="8"/>
        <color rgb="FF00B050"/>
        <rFont val="Noto Sans"/>
        <family val="2"/>
      </rPr>
      <t>sustainable</t>
    </r>
    <r>
      <rPr>
        <sz val="8"/>
        <color theme="1" tint="0.14999847407452621"/>
        <rFont val="Noto Sans"/>
        <family val="2"/>
      </rPr>
      <t>, w.bio trials</t>
    </r>
  </si>
  <si>
    <t>14MCOLIN09</t>
  </si>
  <si>
    <t>70% white, 30% red production</t>
  </si>
  <si>
    <t>22MCOLIN09</t>
  </si>
  <si>
    <t>St.Aubin BLANCs are partly raised in foudres</t>
  </si>
  <si>
    <t>21MCOLIN08</t>
  </si>
  <si>
    <t>18MCOLIN09</t>
  </si>
  <si>
    <t>2004 Joseph, Caroline &amp; Damien take over</t>
  </si>
  <si>
    <t>17MCOLIN09</t>
  </si>
  <si>
    <t>late 1970s Domaine Marc Colin founded</t>
  </si>
  <si>
    <t>16MCOLIN09</t>
  </si>
  <si>
    <t>1944 Marc Colin born</t>
  </si>
  <si>
    <t>RVF 2*; B+D 3*; CC 1* estate 2008</t>
  </si>
  <si>
    <t>14MCOLIN10</t>
  </si>
  <si>
    <t>Marc-Colin.com</t>
  </si>
  <si>
    <t>22MCOLIN08</t>
  </si>
  <si>
    <t>GROWER CODE: MCOLIN</t>
  </si>
  <si>
    <t>21MCOLIN06</t>
  </si>
  <si>
    <t>20MCOLIN08</t>
  </si>
  <si>
    <t>18MCOLIN08</t>
  </si>
  <si>
    <t>17MCOLIN08</t>
  </si>
  <si>
    <t>16MCOLIN08</t>
  </si>
  <si>
    <t>15MCOLIN05</t>
  </si>
  <si>
    <t>14MCOLIN07</t>
  </si>
  <si>
    <t>22MCOLIN08MG</t>
  </si>
  <si>
    <t>20MCOLIN08MG</t>
  </si>
  <si>
    <t>20MCOLIN08JB</t>
  </si>
  <si>
    <t>22MCOLIN01</t>
  </si>
  <si>
    <t>22MCOLIN02</t>
  </si>
  <si>
    <t>20MCOLIN02A</t>
  </si>
  <si>
    <t>CHASSAGNE &amp; PULIGNY:</t>
  </si>
  <si>
    <t>22MCOLIN03</t>
  </si>
  <si>
    <t>Chassagne-Montrachet Enceignières BLANC</t>
  </si>
  <si>
    <t>22MCOLIN05</t>
  </si>
  <si>
    <t>22MCOLIN06</t>
  </si>
  <si>
    <t>22MCOLIN07</t>
  </si>
  <si>
    <t>KIND WORDS ON FOLLIN-ARBELET, etc.:</t>
  </si>
  <si>
    <r>
      <t>motto:</t>
    </r>
    <r>
      <rPr>
        <sz val="7"/>
        <color theme="1" tint="0.499984740745262"/>
        <rFont val="Noto Sans"/>
        <family val="2"/>
      </rPr>
      <t xml:space="preserve"> ‘le plus simple et le plus naturel possible’</t>
    </r>
  </si>
  <si>
    <r>
      <t xml:space="preserve">N.Martin, TWA Jan.2009 </t>
    </r>
    <r>
      <rPr>
        <sz val="7"/>
        <color theme="1" tint="0.499984740745262"/>
        <rFont val="Noto Sans"/>
        <family val="2"/>
      </rPr>
      <t>'Follin makes a wonderful sensuous RSV'</t>
    </r>
  </si>
  <si>
    <r>
      <t>N.Martin, TWA Dec.2014</t>
    </r>
    <r>
      <rPr>
        <sz val="7"/>
        <color theme="1" tint="0.499984740745262"/>
        <rFont val="Noto Sans"/>
        <family val="2"/>
      </rPr>
      <t xml:space="preserve"> 'one of the most picturesque domaines in Burg.'</t>
    </r>
  </si>
  <si>
    <r>
      <t>C.Kolm, TFWR Dec.2014</t>
    </r>
    <r>
      <rPr>
        <sz val="7"/>
        <color theme="1" tint="0.499984740745262"/>
        <rFont val="Noto Sans"/>
        <family val="2"/>
      </rPr>
      <t xml:space="preserve"> 'some of the more memorable wines of the vintage for me for their freshness and precision, recalling 1993 (high praise)'</t>
    </r>
  </si>
  <si>
    <t>FOLLIN-ARBELET, Dom.</t>
  </si>
  <si>
    <t>1C PERNAND BLANC:</t>
  </si>
  <si>
    <t>Franck Follin-Arbelet, wife Christine Masson,</t>
  </si>
  <si>
    <t>22ARBELET06</t>
  </si>
  <si>
    <t>son Simon. Aloxe Corton. 6ha</t>
  </si>
  <si>
    <t>21ARBELET01</t>
  </si>
  <si>
    <t>sustainable, no certification</t>
  </si>
  <si>
    <t>20ARBELET07</t>
  </si>
  <si>
    <t>whites occasionally fined; all are unfiltered</t>
  </si>
  <si>
    <t>19ARBELET07</t>
  </si>
  <si>
    <r>
      <rPr>
        <sz val="8"/>
        <color theme="1" tint="0.14999847407452621"/>
        <rFont val="Noto Sans"/>
        <family val="2"/>
      </rPr>
      <t>reds are</t>
    </r>
    <r>
      <rPr>
        <sz val="8"/>
        <color rgb="FF00B050"/>
        <rFont val="Noto Sans"/>
        <family val="2"/>
      </rPr>
      <t xml:space="preserve"> </t>
    </r>
    <r>
      <rPr>
        <b/>
        <sz val="8"/>
        <color rgb="FF00B050"/>
        <rFont val="Noto Sans"/>
        <family val="2"/>
      </rPr>
      <t>ⓋVegan compatible</t>
    </r>
  </si>
  <si>
    <t>18ARBELET01</t>
  </si>
  <si>
    <t>CORTON CHARLEMAGNE GC:</t>
  </si>
  <si>
    <t>2009 receives B+D 3 rating</t>
  </si>
  <si>
    <t>22ARBELET04</t>
  </si>
  <si>
    <t>2003 RSV receives 19 from Jancis Robinson MW</t>
  </si>
  <si>
    <t>21ARBELET02</t>
  </si>
  <si>
    <t>1993 starts with 1C plots; father-in-law retires</t>
  </si>
  <si>
    <t>20ARBELET04</t>
  </si>
  <si>
    <t>1990 starts with father-in-law at village level</t>
  </si>
  <si>
    <t>19ARBELET04</t>
  </si>
  <si>
    <t>19th century ancestors started</t>
  </si>
  <si>
    <t>1764 date of family house</t>
  </si>
  <si>
    <t>22ARBELET02</t>
  </si>
  <si>
    <t>21ARBELET04</t>
  </si>
  <si>
    <r>
      <rPr>
        <b/>
        <sz val="7"/>
        <color theme="1" tint="0.499984740745262"/>
        <rFont val="Noto Sans"/>
        <family val="2"/>
      </rPr>
      <t>Corton Charlemagne GC</t>
    </r>
    <r>
      <rPr>
        <sz val="7"/>
        <color theme="1" tint="0.499984740745262"/>
        <rFont val="Noto Sans"/>
        <family val="2"/>
      </rPr>
      <t>: 0.5ha @ 350m, East-</t>
    </r>
  </si>
  <si>
    <t>20ARBELET01</t>
  </si>
  <si>
    <t>facing planted 1955-60</t>
  </si>
  <si>
    <t>19ARBELET01</t>
  </si>
  <si>
    <r>
      <rPr>
        <b/>
        <sz val="7"/>
        <color theme="1" tint="0.499984740745262"/>
        <rFont val="Noto Sans"/>
        <family val="2"/>
      </rPr>
      <t>Aloxe Corton:</t>
    </r>
    <r>
      <rPr>
        <sz val="7"/>
        <color theme="1" tint="0.499984740745262"/>
        <rFont val="Noto Sans"/>
        <family val="2"/>
      </rPr>
      <t xml:space="preserve"> 0.8ha from 1950s &amp; 1969</t>
    </r>
  </si>
  <si>
    <t>18ARBELET03</t>
  </si>
  <si>
    <r>
      <rPr>
        <b/>
        <sz val="7"/>
        <color theme="1" tint="0.499984740745262"/>
        <rFont val="Noto Sans"/>
        <family val="2"/>
      </rPr>
      <t>Pernand Fichots 1C:</t>
    </r>
    <r>
      <rPr>
        <sz val="7"/>
        <color theme="1" tint="0.499984740745262"/>
        <rFont val="Noto Sans"/>
        <family val="2"/>
      </rPr>
      <t xml:space="preserve"> 0.5ha from 1976 &amp; 1985</t>
    </r>
  </si>
  <si>
    <t>17ARBELET01</t>
  </si>
  <si>
    <r>
      <rPr>
        <b/>
        <sz val="7"/>
        <color theme="1" tint="0.499984740745262"/>
        <rFont val="Noto Sans"/>
        <family val="2"/>
      </rPr>
      <t>Aloxe Vercots 1C:</t>
    </r>
    <r>
      <rPr>
        <sz val="7"/>
        <color theme="1" tint="0.499984740745262"/>
        <rFont val="Noto Sans"/>
        <family val="2"/>
      </rPr>
      <t xml:space="preserve"> 1.1ha from 1947 &amp; late 80s</t>
    </r>
  </si>
  <si>
    <t>16ARBELET01</t>
  </si>
  <si>
    <r>
      <rPr>
        <b/>
        <sz val="7"/>
        <color theme="1" tint="0.499984740745262"/>
        <rFont val="Noto Sans"/>
        <family val="2"/>
      </rPr>
      <t>Le Corton GC:</t>
    </r>
    <r>
      <rPr>
        <sz val="7"/>
        <color theme="1" tint="0.499984740745262"/>
        <rFont val="Noto Sans"/>
        <family val="2"/>
      </rPr>
      <t xml:space="preserve"> 0.4ha (within Charlemagne) 1978</t>
    </r>
  </si>
  <si>
    <t>15ARBELET01</t>
  </si>
  <si>
    <r>
      <rPr>
        <b/>
        <sz val="7"/>
        <color theme="1" tint="0.499984740745262"/>
        <rFont val="Noto Sans"/>
        <family val="2"/>
      </rPr>
      <t>Corton Bressandes GC:</t>
    </r>
    <r>
      <rPr>
        <sz val="7"/>
        <color theme="1" tint="0.499984740745262"/>
        <rFont val="Noto Sans"/>
        <family val="2"/>
      </rPr>
      <t xml:space="preserve"> 0.43ha planted 1955-60</t>
    </r>
  </si>
  <si>
    <t>14ARBELET06</t>
  </si>
  <si>
    <r>
      <rPr>
        <b/>
        <sz val="7"/>
        <color theme="1" tint="0.499984740745262"/>
        <rFont val="Noto Sans"/>
        <family val="2"/>
      </rPr>
      <t>RSV GC:</t>
    </r>
    <r>
      <rPr>
        <sz val="7"/>
        <color theme="1" tint="0.499984740745262"/>
        <rFont val="Noto Sans"/>
        <family val="2"/>
      </rPr>
      <t xml:space="preserve"> 0.5ha from 1973</t>
    </r>
  </si>
  <si>
    <t>13ARBELET01</t>
  </si>
  <si>
    <t>RVF 1* estate; B+D 3* 2022</t>
  </si>
  <si>
    <t>12ARBELET01</t>
  </si>
  <si>
    <t>Domaine-Follin-Arbelet.com</t>
  </si>
  <si>
    <t>11ARBELET02</t>
  </si>
  <si>
    <t>instagram.com/domainefollinarbelet/</t>
  </si>
  <si>
    <t>CÔTE DE BEAUNE 1C ROUGE:</t>
  </si>
  <si>
    <t>GROWER CODE: ARBELET</t>
  </si>
  <si>
    <t>22ARBELET05</t>
  </si>
  <si>
    <t>21ARBELET03</t>
  </si>
  <si>
    <t>20ARBELET06</t>
  </si>
  <si>
    <t>19ARBELET06</t>
  </si>
  <si>
    <t>18ARBELET02</t>
  </si>
  <si>
    <t>17ARBELET06</t>
  </si>
  <si>
    <t>15ARBELET03</t>
  </si>
  <si>
    <t>13ARBELET02</t>
  </si>
  <si>
    <t>12ARBELET02</t>
  </si>
  <si>
    <t>11ARBELET01</t>
  </si>
  <si>
    <t>03ARBELET01</t>
  </si>
  <si>
    <t>06ARBELET02</t>
  </si>
  <si>
    <t>04ARBELET01</t>
  </si>
  <si>
    <t>CÔTE DE BEAUNE GC ROUGE:</t>
  </si>
  <si>
    <t>22ARBELET03</t>
  </si>
  <si>
    <t>21ARBELET05</t>
  </si>
  <si>
    <t>20ARBELET02</t>
  </si>
  <si>
    <t>19ARBELET02</t>
  </si>
  <si>
    <t>18ARBELET04</t>
  </si>
  <si>
    <t>17ARBELET02</t>
  </si>
  <si>
    <t>16ARBELET02</t>
  </si>
  <si>
    <t>15ARBELET02</t>
  </si>
  <si>
    <t>14ARBELET02</t>
  </si>
  <si>
    <t>13ARBELET03</t>
  </si>
  <si>
    <t>11ARBELET04</t>
  </si>
  <si>
    <t>09ARBELET03</t>
  </si>
  <si>
    <t>08ARBELET03</t>
  </si>
  <si>
    <t>04ARBELET02</t>
  </si>
  <si>
    <t>20ARBELET03</t>
  </si>
  <si>
    <t>18ARBELET05</t>
  </si>
  <si>
    <t>17ARBELET03</t>
  </si>
  <si>
    <t>16ARBELET03</t>
  </si>
  <si>
    <t>14ARBELET03</t>
  </si>
  <si>
    <t>13ARBELET04</t>
  </si>
  <si>
    <t>08ARBELET02</t>
  </si>
  <si>
    <t>07ARBELET02</t>
  </si>
  <si>
    <t>RSV GC:</t>
  </si>
  <si>
    <t>22ARBELET01</t>
  </si>
  <si>
    <t>21ARBELET06</t>
  </si>
  <si>
    <t>20ARBELET05</t>
  </si>
  <si>
    <t>14ARBELET05</t>
  </si>
  <si>
    <t>CÔTE DE BEAUNE ROUGE EN MAGNUM:</t>
  </si>
  <si>
    <t>19ARBELET06MG</t>
  </si>
  <si>
    <t>15ARBELET03MG</t>
  </si>
  <si>
    <t>14ARBELET06MG</t>
  </si>
  <si>
    <t>13ARBELET01M</t>
  </si>
  <si>
    <t>13ARBELET03MG</t>
  </si>
  <si>
    <t>12ARBELET04M</t>
  </si>
  <si>
    <t>11ARBELET04M</t>
  </si>
  <si>
    <t>07ARBELET03M</t>
  </si>
  <si>
    <t>08ARBELET02M</t>
  </si>
  <si>
    <t>CÔTE DE BEAUNE ROUGE EN JEROBOAM:</t>
  </si>
  <si>
    <t>22ARBELET03JB</t>
  </si>
  <si>
    <t>17ARBELET02JB</t>
  </si>
  <si>
    <t>13ARBELET03JB</t>
  </si>
  <si>
    <t>18ARBELET05JB</t>
  </si>
  <si>
    <t>17ARBELET03JB</t>
  </si>
  <si>
    <t>KIND WORDS ON FRANCOIS GAUNOUX, etc.:</t>
  </si>
  <si>
    <r>
      <rPr>
        <b/>
        <sz val="7"/>
        <color theme="1" tint="0.499984740745262"/>
        <rFont val="Noto Sans"/>
        <family val="2"/>
      </rPr>
      <t>Bill Nanson, 2017</t>
    </r>
    <r>
      <rPr>
        <sz val="7"/>
        <color theme="1" tint="0.499984740745262"/>
        <rFont val="Noto Sans"/>
        <family val="2"/>
      </rPr>
      <t xml:space="preserve"> 'A super interesting domaine and set of wines. Wines I very-much like, but they need a little time...'</t>
    </r>
  </si>
  <si>
    <r>
      <rPr>
        <b/>
        <sz val="7"/>
        <color theme="1" tint="0.499984740745262"/>
        <rFont val="Noto Sans"/>
        <family val="2"/>
      </rPr>
      <t>Bill Nanson, 2017</t>
    </r>
    <r>
      <rPr>
        <sz val="7"/>
        <color theme="1" tint="0.499984740745262"/>
        <rFont val="Noto Sans"/>
        <family val="2"/>
      </rPr>
      <t xml:space="preserve"> 'Gaunoux is a great old Côte de Beaune family name.'</t>
    </r>
  </si>
  <si>
    <r>
      <rPr>
        <b/>
        <sz val="7"/>
        <color theme="1" tint="0.499984740745262"/>
        <rFont val="Noto Sans"/>
        <family val="2"/>
      </rPr>
      <t>Forbes.com, 2018</t>
    </r>
    <r>
      <rPr>
        <sz val="7"/>
        <color theme="1" tint="0.499984740745262"/>
        <rFont val="Noto Sans"/>
        <family val="2"/>
      </rPr>
      <t xml:space="preserve"> 'A Burgundy Secret'</t>
    </r>
  </si>
  <si>
    <r>
      <rPr>
        <b/>
        <sz val="7"/>
        <color theme="1" tint="0.499984740745262"/>
        <rFont val="Noto Sans"/>
        <family val="2"/>
      </rPr>
      <t>Motto:</t>
    </r>
    <r>
      <rPr>
        <sz val="7"/>
        <color theme="1" tint="0.499984740745262"/>
        <rFont val="Noto Sans"/>
        <family val="2"/>
      </rPr>
      <t xml:space="preserve"> 'QUI SEME LA QUALITÉ RECOLTE LA CONFIANCE'</t>
    </r>
  </si>
  <si>
    <r>
      <t>FRANCOIS GAUNOUX</t>
    </r>
    <r>
      <rPr>
        <b/>
        <sz val="9"/>
        <color theme="1" tint="0.14999847407452621"/>
        <rFont val="Noto Sans"/>
        <family val="2"/>
      </rPr>
      <t>,</t>
    </r>
    <r>
      <rPr>
        <sz val="9"/>
        <color theme="1" tint="0.14999847407452621"/>
        <rFont val="Noto Sans"/>
        <family val="2"/>
      </rPr>
      <t xml:space="preserve"> by</t>
    </r>
  </si>
  <si>
    <t>CLAUDINE GAUNOUX</t>
  </si>
  <si>
    <t>22FGAUNO01</t>
  </si>
  <si>
    <t>Meursault. ~12ha. Owner led viticulture</t>
  </si>
  <si>
    <t>22FGAUNO02</t>
  </si>
  <si>
    <t>4th gen. Claudine, &amp; husband Jean-Pierre</t>
  </si>
  <si>
    <r>
      <rPr>
        <b/>
        <sz val="8"/>
        <color rgb="FF00B050"/>
        <rFont val="Noto Sans"/>
        <family val="2"/>
      </rPr>
      <t>sustainable</t>
    </r>
    <r>
      <rPr>
        <sz val="8"/>
        <color theme="1" tint="0.14999847407452621"/>
        <rFont val="Noto Sans"/>
        <family val="2"/>
      </rPr>
      <t xml:space="preserve"> agriculture; ambient yeast</t>
    </r>
  </si>
  <si>
    <t>21FGAUNO02</t>
  </si>
  <si>
    <t>no adjustments of acidity or tannins</t>
  </si>
  <si>
    <t>21FGAUNO03</t>
  </si>
  <si>
    <t>whites see bentonite fining; reds are unfined</t>
  </si>
  <si>
    <t>21FGAUNO04</t>
  </si>
  <si>
    <t>21FGAUNO05</t>
  </si>
  <si>
    <t>22FGAUNO04</t>
  </si>
  <si>
    <r>
      <t xml:space="preserve">2013 puchased Clos de Meix Chavaux </t>
    </r>
    <r>
      <rPr>
        <b/>
        <sz val="7"/>
        <color theme="1" tint="0.499984740745262"/>
        <rFont val="Noto Sans"/>
        <family val="2"/>
      </rPr>
      <t>monopole</t>
    </r>
  </si>
  <si>
    <t>22FGAUNO05</t>
  </si>
  <si>
    <t>2009 last purchase of Pommard Rugiens</t>
  </si>
  <si>
    <t>22FGAUNO03</t>
  </si>
  <si>
    <t>2000 all elevage now in tank on fine lees</t>
  </si>
  <si>
    <t>22FGAUNO06</t>
  </si>
  <si>
    <t>2000 Claudine officially joined Francois</t>
  </si>
  <si>
    <t>21FGAUNO06</t>
  </si>
  <si>
    <t>post 2000 era of 100% elevage in horizontal tanks</t>
  </si>
  <si>
    <t>18GAUNO06</t>
  </si>
  <si>
    <t>pre 2000 era of 50:50 elevage in used futs &amp; tank</t>
  </si>
  <si>
    <t>22FGAUNO08</t>
  </si>
  <si>
    <t>1990 half-brother Jean-Michel set up own Domaine</t>
  </si>
  <si>
    <t>21FGAUNO07</t>
  </si>
  <si>
    <t>1988 Francois daughter Claudine Bordeaux training</t>
  </si>
  <si>
    <t>MARC DE BOURGOGNE:</t>
  </si>
  <si>
    <t>1978-1990 Francois' son Jean-Michel worked here</t>
  </si>
  <si>
    <t>a</t>
  </si>
  <si>
    <t>21FGAUNO08</t>
  </si>
  <si>
    <t>1972 Henri's land split between Francois &amp; Michel</t>
  </si>
  <si>
    <t>1970 Henri, 2nd gen. passed away</t>
  </si>
  <si>
    <t>1950 Francois founded own Domaine</t>
  </si>
  <si>
    <t>1947 1st Beaune puchase by Francois, aged 15</t>
  </si>
  <si>
    <t>1940 1st puchase of Pommard Rugiens</t>
  </si>
  <si>
    <t>1932 Francois born, 3rd gen. Brother of Michel</t>
  </si>
  <si>
    <t>1870/1885 Alexandre founded Gaunoux dynasty</t>
  </si>
  <si>
    <t>Also own Bar Aux Hospices (Beaune) &amp;</t>
  </si>
  <si>
    <t>Pavillon Francois Gaunoux (Volnay).</t>
  </si>
  <si>
    <t>Rabbits are kept in Clos de Meix Chavaux</t>
  </si>
  <si>
    <t>NO EN PRIMEUR</t>
  </si>
  <si>
    <t>NB NO OAK USED SINCE 2000</t>
  </si>
  <si>
    <t>Gaunoux.com</t>
  </si>
  <si>
    <t>instagram.com/claudinegaunoux/</t>
  </si>
  <si>
    <t>GROWER CODE: FGAUN</t>
  </si>
  <si>
    <t>KIND WORDS ON MICHEL GANOUX:</t>
  </si>
  <si>
    <r>
      <t>Allen Meadows</t>
    </r>
    <r>
      <rPr>
        <sz val="7"/>
        <color theme="1" tint="0.499984740745262"/>
        <rFont val="Noto Sans"/>
        <family val="2"/>
      </rPr>
      <t xml:space="preserve"> 'If you enjoy traditionally made Burgundy, then…this is one of the finest domaines in all Burgundy'</t>
    </r>
  </si>
  <si>
    <r>
      <rPr>
        <b/>
        <sz val="7"/>
        <color theme="1" tint="0.499984740745262"/>
        <rFont val="Noto Sans"/>
        <family val="2"/>
      </rPr>
      <t>William Kelley, TWA</t>
    </r>
    <r>
      <rPr>
        <sz val="7"/>
        <color theme="1" tint="0.499984740745262"/>
        <rFont val="Noto Sans"/>
        <family val="2"/>
      </rPr>
      <t xml:space="preserve"> 'among the region’s best kept secrets for lovers of traditionally styled red Burgundy'</t>
    </r>
  </si>
  <si>
    <r>
      <rPr>
        <b/>
        <sz val="7"/>
        <color theme="1" tint="0.499984740745262"/>
        <rFont val="Noto Sans"/>
        <family val="2"/>
      </rPr>
      <t>William Kelley, TWA 2018</t>
    </r>
    <r>
      <rPr>
        <sz val="7"/>
        <color theme="1" tint="0.499984740745262"/>
        <rFont val="Noto Sans"/>
        <family val="2"/>
      </rPr>
      <t xml:space="preserve"> 'Domaine Michel Gaunoux – Where Time Stands Still in Pommard'</t>
    </r>
  </si>
  <si>
    <r>
      <rPr>
        <b/>
        <sz val="7"/>
        <color theme="1" tint="0.499984740745262"/>
        <rFont val="Noto Sans"/>
        <family val="2"/>
      </rPr>
      <t>William Kelley, TWA 2021</t>
    </r>
    <r>
      <rPr>
        <sz val="7"/>
        <color theme="1" tint="0.499984740745262"/>
        <rFont val="Noto Sans"/>
        <family val="2"/>
      </rPr>
      <t xml:space="preserve"> 'I devoted an article to this important estate in Issue 239 of TWA (Oct.2018), so readers looking for more detail on the</t>
    </r>
  </si>
  <si>
    <t>domaine's history and approach will find them there.</t>
  </si>
  <si>
    <r>
      <rPr>
        <b/>
        <sz val="7"/>
        <color theme="1" tint="0.499984740745262"/>
        <rFont val="Noto Sans"/>
        <family val="2"/>
      </rPr>
      <t>William Kelley, TWA 2018</t>
    </r>
    <r>
      <rPr>
        <sz val="7"/>
        <color theme="1" tint="0.499984740745262"/>
        <rFont val="Noto Sans"/>
        <family val="2"/>
      </rPr>
      <t xml:space="preserve"> 'At maturity...wines display such glorious complexity, amplitude and dimension that patience is amply rewarded.' </t>
    </r>
  </si>
  <si>
    <r>
      <rPr>
        <b/>
        <sz val="7"/>
        <color theme="1" tint="0.499984740745262"/>
        <rFont val="Noto Sans"/>
        <family val="2"/>
      </rPr>
      <t>William Kelley, TWA 2020</t>
    </r>
    <r>
      <rPr>
        <sz val="7"/>
        <color theme="1" tint="0.499984740745262"/>
        <rFont val="Noto Sans"/>
        <family val="2"/>
      </rPr>
      <t xml:space="preserve"> 'The 2017s have turned out brilliantly chez Gaunoux, combining deceptive charm and succulence of fruit with serious</t>
    </r>
  </si>
  <si>
    <t>depth, concentration and structure...among the finest renditions of the vintage that I have tasted from bottle along the Côte....'</t>
  </si>
  <si>
    <r>
      <rPr>
        <b/>
        <sz val="7"/>
        <color theme="1" tint="0.499984740745262"/>
        <rFont val="Noto Sans"/>
        <family val="2"/>
      </rPr>
      <t>Steen Ohman, 2017</t>
    </r>
    <r>
      <rPr>
        <sz val="7"/>
        <color theme="1" tint="0.499984740745262"/>
        <rFont val="Noto Sans"/>
        <family val="2"/>
      </rPr>
      <t xml:space="preserve"> 'Michel Gaunoux is very different – traditional and old school in the best possible way, creating Burgundies of a very high quality</t>
    </r>
  </si>
  <si>
    <t>even by current standards – wines of beauty – and somehow beyond the new conventions of modern day'</t>
  </si>
  <si>
    <r>
      <rPr>
        <b/>
        <sz val="7"/>
        <color theme="1" tint="0.499984740745262"/>
        <rFont val="Noto Sans"/>
        <family val="2"/>
      </rPr>
      <t xml:space="preserve">Steen Ohman, 2017 </t>
    </r>
    <r>
      <rPr>
        <sz val="7"/>
        <color theme="1" tint="0.499984740745262"/>
        <rFont val="Noto Sans"/>
        <family val="2"/>
      </rPr>
      <t>'The viticulture and vinification seem to work well even in lesser years and a tremendous consistency style and quality</t>
    </r>
  </si>
  <si>
    <t>wise has been achieved .. without diminishing the expression of the individual vintage and terroir.</t>
  </si>
  <si>
    <r>
      <rPr>
        <b/>
        <sz val="7"/>
        <color theme="1" tint="0.499984740745262"/>
        <rFont val="Noto Sans"/>
        <family val="2"/>
      </rPr>
      <t>Steen Ohman, 2017</t>
    </r>
    <r>
      <rPr>
        <sz val="7"/>
        <color theme="1" tint="0.499984740745262"/>
        <rFont val="Noto Sans"/>
        <family val="2"/>
      </rPr>
      <t xml:space="preserve"> 'The wines that I experienced...are different from other wines I have tasted in Burgundy over the last 25 years.'</t>
    </r>
  </si>
  <si>
    <r>
      <rPr>
        <b/>
        <sz val="7"/>
        <color theme="1" tint="0.499984740745262"/>
        <rFont val="Noto Sans"/>
        <family val="2"/>
      </rPr>
      <t>Steen Ohman, 2017</t>
    </r>
    <r>
      <rPr>
        <sz val="7"/>
        <color theme="1" tint="0.499984740745262"/>
        <rFont val="Noto Sans"/>
        <family val="2"/>
      </rPr>
      <t xml:space="preserve"> 'They may be traditional and intense wines – coming from some of the more powerful terroirs – Pommard and Corton –</t>
    </r>
  </si>
  <si>
    <t xml:space="preserve"> yet somehow they seem to offer a special, effortless and refined pinot experience.'</t>
  </si>
  <si>
    <r>
      <rPr>
        <b/>
        <sz val="7"/>
        <color theme="1" tint="0.499984740745262"/>
        <rFont val="Noto Sans"/>
        <family val="2"/>
      </rPr>
      <t>Steen Ohman, 2017</t>
    </r>
    <r>
      <rPr>
        <sz val="7"/>
        <color theme="1" tint="0.499984740745262"/>
        <rFont val="Noto Sans"/>
        <family val="2"/>
      </rPr>
      <t xml:space="preserve"> 'a classic style with some special qualities – firstly very finely grained tannins that gives the wines structure and intensity without</t>
    </r>
  </si>
  <si>
    <t>being intrusive in appreciating the character of terroir and the vintage. Secondly a fine and fresh acidity that adds to the impression of</t>
  </si>
  <si>
    <t>transparency and refinement.</t>
  </si>
  <si>
    <r>
      <rPr>
        <b/>
        <sz val="7"/>
        <color theme="1" tint="0.499984740745262"/>
        <rFont val="Noto Sans"/>
        <family val="2"/>
      </rPr>
      <t>Steen Ohman, 2017</t>
    </r>
    <r>
      <rPr>
        <sz val="7"/>
        <color theme="1" tint="0.499984740745262"/>
        <rFont val="Noto Sans"/>
        <family val="2"/>
      </rPr>
      <t xml:space="preserve"> 'These wines are special, and a tremendous treat, as they offer a combination of modern purity and a traditional style'</t>
    </r>
  </si>
  <si>
    <r>
      <rPr>
        <b/>
        <sz val="7"/>
        <color theme="1" tint="0.499984740745262"/>
        <rFont val="Noto Sans"/>
        <family val="2"/>
      </rPr>
      <t>Steen Ohman, 2017</t>
    </r>
    <r>
      <rPr>
        <sz val="7"/>
        <color theme="1" tint="0.499984740745262"/>
        <rFont val="Noto Sans"/>
        <family val="2"/>
      </rPr>
      <t xml:space="preserve"> 'M.Gaunoux keep the wines in the cellar and release them three years after the harvest...same procedure as DRC'</t>
    </r>
  </si>
  <si>
    <r>
      <rPr>
        <b/>
        <sz val="7"/>
        <color theme="1" tint="0.499984740745262"/>
        <rFont val="Noto Sans"/>
        <family val="2"/>
      </rPr>
      <t>Steen Ohman, 2017</t>
    </r>
    <r>
      <rPr>
        <sz val="7"/>
        <color theme="1" tint="0.499984740745262"/>
        <rFont val="Noto Sans"/>
        <family val="2"/>
      </rPr>
      <t xml:space="preserve"> 'Summing up .. these wines offer some special qualities combining intensity, airiness in a refined and classic style presenting the </t>
    </r>
  </si>
  <si>
    <t>best sides of both the Pommard and Corton appellations.'</t>
  </si>
  <si>
    <t>MICHEL GAUNOUX, by</t>
  </si>
  <si>
    <t>Alexandre &amp; Anne Gaunoux</t>
  </si>
  <si>
    <t>24MGAUN21</t>
  </si>
  <si>
    <t>Pommard cellars, ~10ha pinot noir estate</t>
  </si>
  <si>
    <t>23MGAUN17</t>
  </si>
  <si>
    <t>Siblings Alexandre &amp; Anne Gaunoux,</t>
  </si>
  <si>
    <t>22MGAUN10</t>
  </si>
  <si>
    <t>4th generation, with maman Mme Gaunoux</t>
  </si>
  <si>
    <t>21MGAUN06</t>
  </si>
  <si>
    <t xml:space="preserve">destemmed, wooden fermenters, 15-20% </t>
  </si>
  <si>
    <t>20MGAUNOUX16</t>
  </si>
  <si>
    <t>new oak, 12-14mths elevage</t>
  </si>
  <si>
    <t>BEAUNE:</t>
  </si>
  <si>
    <t>23MGAUN16</t>
  </si>
  <si>
    <t>Corton Renardes GC: 0.63ha</t>
  </si>
  <si>
    <t>22MGAUN09</t>
  </si>
  <si>
    <t>Pommard Rugiens-Bas 1C: 0.69ha</t>
  </si>
  <si>
    <t>21MGAUN05</t>
  </si>
  <si>
    <t>Pommard Grands Epenots 1C: 1.75ha</t>
  </si>
  <si>
    <t>20MGAUNOUX15</t>
  </si>
  <si>
    <t>Pommard 1C: 0.75ha in 3 plots</t>
  </si>
  <si>
    <t>21MGAUN07</t>
  </si>
  <si>
    <t>Pommard  Arvelets 1C: 0.26ha</t>
  </si>
  <si>
    <t>23MGAUN15</t>
  </si>
  <si>
    <t>Beaune: 2.04ha, 4 plots (2x1C), Pommard sector</t>
  </si>
  <si>
    <t>POMMARD 1Cs:</t>
  </si>
  <si>
    <t>Bourgogne: 1ha below Pommard: Les Sorbins</t>
  </si>
  <si>
    <t>22MGAUN06</t>
  </si>
  <si>
    <t>23MGAUN10</t>
  </si>
  <si>
    <t>~2013 end of fining &amp; filtration</t>
  </si>
  <si>
    <t>24MGAUN14</t>
  </si>
  <si>
    <t>1986, 1991, 2000 &amp; 2004: all production bulked off</t>
  </si>
  <si>
    <t>22MGAUN05</t>
  </si>
  <si>
    <t>1990 4th gen. Alexandre joined</t>
  </si>
  <si>
    <t>23MGAUN09</t>
  </si>
  <si>
    <t>1984 Michel passed; Mme.Gaunoux took over</t>
  </si>
  <si>
    <t>24MGAUN13</t>
  </si>
  <si>
    <t>1980s Pommard 1C parcels purchased</t>
  </si>
  <si>
    <t>23MGAUN08</t>
  </si>
  <si>
    <t>1972 Alexandre, 4th gen is born</t>
  </si>
  <si>
    <t>23MGAUN06</t>
  </si>
  <si>
    <t>22MGAUN03</t>
  </si>
  <si>
    <t>1970 Henri, 2nd gen. passes away</t>
  </si>
  <si>
    <t>24MGAUN12</t>
  </si>
  <si>
    <t>1957 Corton Renardes purchased</t>
  </si>
  <si>
    <t>24MGAUN08</t>
  </si>
  <si>
    <t>1957 3rd gen Michel joins</t>
  </si>
  <si>
    <t>23MGAUN05</t>
  </si>
  <si>
    <t>22MGAUN01</t>
  </si>
  <si>
    <t>21MGAUN11</t>
  </si>
  <si>
    <t>23MGAUN02</t>
  </si>
  <si>
    <t>24MGAUN04</t>
  </si>
  <si>
    <t>GROWER CODE: MGAUN</t>
  </si>
  <si>
    <t>24MGAUN20</t>
  </si>
  <si>
    <t>23MGAUN14</t>
  </si>
  <si>
    <t>20MGAUNOUX13</t>
  </si>
  <si>
    <t>21MGAUN13</t>
  </si>
  <si>
    <t>24MGAUN18</t>
  </si>
  <si>
    <t>23MGAUN11</t>
  </si>
  <si>
    <t>24MGAUN17</t>
  </si>
  <si>
    <t>POMMARD 1Cs EN MAGNUM:</t>
  </si>
  <si>
    <t>23MGAUN07MG</t>
  </si>
  <si>
    <t>23MGAUN06MG</t>
  </si>
  <si>
    <t>24MGAUN07MG</t>
  </si>
  <si>
    <t>24MGAUN06MG</t>
  </si>
  <si>
    <t>23MGAUN04MG</t>
  </si>
  <si>
    <t>20MGAUNOUX03MG</t>
  </si>
  <si>
    <t>GC EN MAGNUM:</t>
  </si>
  <si>
    <t>20MGAUNOUX10MG</t>
  </si>
  <si>
    <t>KIND WORDS ON THIERRY GLANTENAY:</t>
  </si>
  <si>
    <r>
      <rPr>
        <b/>
        <sz val="7"/>
        <color theme="1" tint="0.499984740745262"/>
        <rFont val="Noto Sans"/>
        <family val="2"/>
      </rPr>
      <t xml:space="preserve">W.Kelley, TWA 2024 </t>
    </r>
    <r>
      <rPr>
        <sz val="7"/>
        <color theme="1" tint="0.499984740745262"/>
        <rFont val="Noto Sans"/>
        <family val="2"/>
      </rPr>
      <t>'The unassuming but passionate Thierry Glantenay continues to produce delicious, sensual wines in his cellars in Volnay.'</t>
    </r>
  </si>
  <si>
    <r>
      <rPr>
        <b/>
        <sz val="7"/>
        <color theme="1" tint="0.499984740745262"/>
        <rFont val="Noto Sans"/>
        <family val="2"/>
      </rPr>
      <t>W.Kelley, TWA 2022</t>
    </r>
    <r>
      <rPr>
        <sz val="7"/>
        <color theme="1" tint="0.499984740745262"/>
        <rFont val="Noto Sans"/>
        <family val="2"/>
      </rPr>
      <t xml:space="preserve"> 'Thierry Glantenay is one of the humblest, most discreet winemakers I visited in Burgundy, but that shouldn't lead anyone</t>
    </r>
  </si>
  <si>
    <t>to underestimate the quality of his wines, or the incremental but meaningful progress he makes every year.'</t>
  </si>
  <si>
    <r>
      <rPr>
        <b/>
        <sz val="7"/>
        <color theme="1" tint="0.499984740745262"/>
        <rFont val="Noto Sans"/>
        <family val="2"/>
      </rPr>
      <t>W.Kelley, TWA 2021</t>
    </r>
    <r>
      <rPr>
        <sz val="7"/>
        <color theme="1" tint="0.499984740745262"/>
        <rFont val="Noto Sans"/>
        <family val="2"/>
      </rPr>
      <t xml:space="preserve"> 'the disarmingly modest Thierry Glantenay produces a lovely range of elegant, pure and intense Volnays and Pommards at his</t>
    </r>
  </si>
  <si>
    <t>hillside winery overlooking the Marquis d'Angerville's Clos des Duc'</t>
  </si>
  <si>
    <r>
      <rPr>
        <b/>
        <sz val="7"/>
        <color theme="1" tint="0.499984740745262"/>
        <rFont val="Noto Sans"/>
        <family val="2"/>
      </rPr>
      <t xml:space="preserve">W.Kelley, TWA 2017 </t>
    </r>
    <r>
      <rPr>
        <sz val="7"/>
        <color theme="1" tint="0.499984740745262"/>
        <rFont val="Noto Sans"/>
        <family val="2"/>
      </rPr>
      <t>'one of Burgundy’s rising stars'</t>
    </r>
  </si>
  <si>
    <r>
      <rPr>
        <b/>
        <sz val="7"/>
        <color theme="1" tint="0.499984740745262"/>
        <rFont val="Noto Sans"/>
        <family val="2"/>
      </rPr>
      <t>N.Martin, Vinous 2020</t>
    </r>
    <r>
      <rPr>
        <sz val="7"/>
        <color theme="1" tint="0.499984740745262"/>
        <rFont val="Noto Sans"/>
        <family val="2"/>
      </rPr>
      <t xml:space="preserve"> 'I have been visiting Glantenay for a number of years and have always found Thierry Glantenay a softly spoken, self-effacing winemaker.'</t>
    </r>
  </si>
  <si>
    <r>
      <t>N.Martin, Vinous 2019</t>
    </r>
    <r>
      <rPr>
        <sz val="7"/>
        <color theme="1" tint="0.499984740745262"/>
        <rFont val="Noto Sans"/>
        <family val="2"/>
      </rPr>
      <t xml:space="preserve"> 'this domaine has quietly gone about producing some very fine wines in recent years'</t>
    </r>
  </si>
  <si>
    <r>
      <rPr>
        <b/>
        <sz val="7"/>
        <color theme="1" tint="0.499984740745262"/>
        <rFont val="Noto Sans"/>
        <family val="2"/>
      </rPr>
      <t>N.Martin, Vinous 2017</t>
    </r>
    <r>
      <rPr>
        <sz val="7"/>
        <color theme="1" tint="0.499984740745262"/>
        <rFont val="Noto Sans"/>
        <family val="2"/>
      </rPr>
      <t xml:space="preserve"> 'Following Glantenay for several years now...always liked their approach to winemaking...always excellent wines to be found'</t>
    </r>
  </si>
  <si>
    <r>
      <rPr>
        <b/>
        <sz val="7"/>
        <color theme="1" tint="0.499984740745262"/>
        <rFont val="Noto Sans"/>
        <family val="2"/>
      </rPr>
      <t>N.Martin, Vinous 2014</t>
    </r>
    <r>
      <rPr>
        <sz val="7"/>
        <color theme="1" tint="0.499984740745262"/>
        <rFont val="Noto Sans"/>
        <family val="2"/>
      </rPr>
      <t xml:space="preserve"> 'he does not have the worldwide renown to slap on a hefty premium. He just needs your average wine-lover to appreciate</t>
    </r>
  </si>
  <si>
    <t>the quality of their wines and remain a loyal follower. Loyalty is priceless.' </t>
  </si>
  <si>
    <r>
      <rPr>
        <b/>
        <sz val="7"/>
        <color theme="1" tint="0.499984740745262"/>
        <rFont val="Noto Sans"/>
        <family val="2"/>
      </rPr>
      <t xml:space="preserve">Bill Nanson, 2016 </t>
    </r>
    <r>
      <rPr>
        <sz val="7"/>
        <color theme="1" tint="0.499984740745262"/>
        <rFont val="Noto Sans"/>
        <family val="2"/>
      </rPr>
      <t>'This is a very fine address – you can buy blind without concern'</t>
    </r>
  </si>
  <si>
    <r>
      <t xml:space="preserve">Galloni, 2011 </t>
    </r>
    <r>
      <rPr>
        <sz val="7"/>
        <color theme="1" tint="0.499984740745262"/>
        <rFont val="Noto Sans"/>
        <family val="2"/>
      </rPr>
      <t>'one of Volnay's up and coming artisan growers. Glantenay does not fine or filter.'</t>
    </r>
  </si>
  <si>
    <r>
      <rPr>
        <b/>
        <sz val="7"/>
        <color theme="1" tint="0.499984740745262"/>
        <rFont val="Noto Sans"/>
        <family val="2"/>
      </rPr>
      <t>D.Schildknecht, 2010</t>
    </r>
    <r>
      <rPr>
        <sz val="7"/>
        <color theme="1" tint="0.499984740745262"/>
        <rFont val="Noto Sans"/>
        <family val="2"/>
      </rPr>
      <t xml:space="preserve"> 'a superb source of Burgundy'  </t>
    </r>
  </si>
  <si>
    <r>
      <rPr>
        <b/>
        <sz val="7"/>
        <color theme="1" tint="0.499984740745262"/>
        <rFont val="Noto Sans"/>
        <family val="2"/>
      </rPr>
      <t xml:space="preserve">D.Schildknecht, 2010 </t>
    </r>
    <r>
      <rPr>
        <sz val="7"/>
        <color theme="1" tint="0.499984740745262"/>
        <rFont val="Noto Sans"/>
        <family val="2"/>
      </rPr>
      <t>'old vines...in some of the most prestigious sites...applying to them evident care and intelligence'</t>
    </r>
  </si>
  <si>
    <t>THIERRY GLANTENAY</t>
  </si>
  <si>
    <t>PULIGNY 1C:</t>
  </si>
  <si>
    <r>
      <rPr>
        <b/>
        <sz val="11"/>
        <color theme="1" tint="0.14999847407452621"/>
        <rFont val="Noto Sans"/>
        <family val="2"/>
      </rPr>
      <t>Formally</t>
    </r>
    <r>
      <rPr>
        <sz val="11"/>
        <color theme="1" tint="0.14999847407452621"/>
        <rFont val="Noto Sans"/>
        <family val="2"/>
      </rPr>
      <t xml:space="preserve"> Dom. Bernard</t>
    </r>
  </si>
  <si>
    <t>22GLANT09</t>
  </si>
  <si>
    <t>&amp; Thierry Glantenay</t>
  </si>
  <si>
    <t>21GLANT09</t>
  </si>
  <si>
    <t>Volnay. 7ha, 10 appellations, 16 parcels</t>
  </si>
  <si>
    <t>20GLANT09</t>
  </si>
  <si>
    <r>
      <rPr>
        <b/>
        <sz val="8"/>
        <color rgb="FF00B050"/>
        <rFont val="Noto Sans"/>
        <family val="2"/>
      </rPr>
      <t>sustainable</t>
    </r>
    <r>
      <rPr>
        <sz val="8"/>
        <color theme="1" tint="0.14999847407452621"/>
        <rFont val="Noto Sans"/>
        <family val="2"/>
      </rPr>
      <t>. no herbicide/fungicide</t>
    </r>
  </si>
  <si>
    <t>cement ferment; ambient yeast;</t>
  </si>
  <si>
    <t>22GLANT01</t>
  </si>
  <si>
    <t>low-extraction regime; gentle pressing;</t>
  </si>
  <si>
    <t>21GLANT01</t>
  </si>
  <si>
    <t>no racking; max 30% new oak</t>
  </si>
  <si>
    <t>20GLANT01</t>
  </si>
  <si>
    <t>19GLANT01</t>
  </si>
  <si>
    <t>former suppliers of Leroy &amp; Dom.Laurent</t>
  </si>
  <si>
    <t>18GLANT01</t>
  </si>
  <si>
    <t>17GLANT01</t>
  </si>
  <si>
    <t>2020 end of rognage: now hand-trimming</t>
  </si>
  <si>
    <t>16GLANT01</t>
  </si>
  <si>
    <t>2016 Thierry heads up Volnay growers group</t>
  </si>
  <si>
    <t>15GLANT01</t>
  </si>
  <si>
    <t>2011 1st Galloni write up, on 2009s</t>
  </si>
  <si>
    <t>14GLANT01</t>
  </si>
  <si>
    <t>2005 Thierry takes over</t>
  </si>
  <si>
    <t>13GLANT01</t>
  </si>
  <si>
    <t>2000 Thierry joined Bernard (father); vrac reduced</t>
  </si>
  <si>
    <t>12GLANT01</t>
  </si>
  <si>
    <t>1980 Louis passes; Bernard takes over</t>
  </si>
  <si>
    <t>VOLNAY VILLAGE:</t>
  </si>
  <si>
    <t>1979 Louis acquires Folatieres</t>
  </si>
  <si>
    <t>22GLANT02</t>
  </si>
  <si>
    <t>1925 oldest vines, Pommard Saussilles 1C</t>
  </si>
  <si>
    <t>21GLANT02</t>
  </si>
  <si>
    <t>C.19th founded</t>
  </si>
  <si>
    <t>20GLANT02</t>
  </si>
  <si>
    <t>19GLANT02</t>
  </si>
  <si>
    <r>
      <rPr>
        <b/>
        <sz val="7"/>
        <color theme="1" tint="0.499984740745262"/>
        <rFont val="Noto Sans"/>
        <family val="2"/>
      </rPr>
      <t>Folatieres</t>
    </r>
    <r>
      <rPr>
        <sz val="7"/>
        <color theme="1" tint="0.499984740745262"/>
        <rFont val="Noto Sans"/>
        <family val="2"/>
      </rPr>
      <t>: 0.4ha VV planted 1958, bought 1979</t>
    </r>
  </si>
  <si>
    <t>18GLANT02</t>
  </si>
  <si>
    <t xml:space="preserve">S.E. exposure, hard shallow soil </t>
  </si>
  <si>
    <t>17GLANT02</t>
  </si>
  <si>
    <r>
      <rPr>
        <b/>
        <sz val="7"/>
        <color theme="1" tint="0.499984740745262"/>
        <rFont val="Noto Sans"/>
        <family val="2"/>
      </rPr>
      <t xml:space="preserve">Bourgogne Cote d’Or: </t>
    </r>
    <r>
      <rPr>
        <sz val="7"/>
        <color theme="1" tint="0.499984740745262"/>
        <rFont val="Noto Sans"/>
        <family val="2"/>
      </rPr>
      <t xml:space="preserve">3 parcels average &gt;30yrs, </t>
    </r>
  </si>
  <si>
    <t>16GLANT02</t>
  </si>
  <si>
    <t>below Volnay: Condemaine, En Vêves, Monpoulain</t>
  </si>
  <si>
    <t>15GLANT02</t>
  </si>
  <si>
    <r>
      <rPr>
        <b/>
        <sz val="7"/>
        <color theme="1" tint="0.499984740745262"/>
        <rFont val="Noto Sans"/>
        <family val="2"/>
      </rPr>
      <t>Volnay VV</t>
    </r>
    <r>
      <rPr>
        <sz val="7"/>
        <color theme="1" tint="0.499984740745262"/>
        <rFont val="Noto Sans"/>
        <family val="2"/>
      </rPr>
      <t xml:space="preserve">: ~1.5ha, average &gt;50yrs.. Incl. 25% 1C </t>
    </r>
  </si>
  <si>
    <t>14GLANT02</t>
  </si>
  <si>
    <t xml:space="preserve">L’Ormeau &amp; Les Lurets, plus lieux-dits Lurets, </t>
  </si>
  <si>
    <t>VOLNAY 1Cs:</t>
  </si>
  <si>
    <t>Grands Poisets, Buttes</t>
  </si>
  <si>
    <t>22GLANT03</t>
  </si>
  <si>
    <r>
      <rPr>
        <b/>
        <sz val="7"/>
        <color theme="1" tint="0.499984740745262"/>
        <rFont val="Noto Sans"/>
        <family val="2"/>
      </rPr>
      <t>Brouillards 1C:</t>
    </r>
    <r>
      <rPr>
        <sz val="7"/>
        <color theme="1" tint="0.499984740745262"/>
        <rFont val="Noto Sans"/>
        <family val="2"/>
      </rPr>
      <t xml:space="preserve"> 1.5ha VV planted 1947 &amp; 1955 on</t>
    </r>
  </si>
  <si>
    <t>21GLANT03</t>
  </si>
  <si>
    <t>brown limestone with deep silty soil</t>
  </si>
  <si>
    <t>20GLANT03</t>
  </si>
  <si>
    <r>
      <rPr>
        <b/>
        <sz val="7"/>
        <color theme="1" tint="0.499984740745262"/>
        <rFont val="Noto Sans"/>
        <family val="2"/>
      </rPr>
      <t>Santenots 1C:</t>
    </r>
    <r>
      <rPr>
        <sz val="7"/>
        <color theme="1" tint="0.499984740745262"/>
        <rFont val="Noto Sans"/>
        <family val="2"/>
      </rPr>
      <t xml:space="preserve"> 0.68ha in two mature parcels in </t>
    </r>
  </si>
  <si>
    <t>19GLANT03</t>
  </si>
  <si>
    <t xml:space="preserve">Meursault planted 1989 &amp; 1997. Max.25hl/ha. </t>
  </si>
  <si>
    <t>18GLANT03</t>
  </si>
  <si>
    <t>Red limestone with gravel clay</t>
  </si>
  <si>
    <t>17GLANT03</t>
  </si>
  <si>
    <r>
      <rPr>
        <b/>
        <sz val="7"/>
        <color theme="1" tint="0.499984740745262"/>
        <rFont val="Noto Sans"/>
        <family val="2"/>
      </rPr>
      <t>Clos de Chenes 1C:</t>
    </r>
    <r>
      <rPr>
        <sz val="7"/>
        <color theme="1" tint="0.499984740745262"/>
        <rFont val="Noto Sans"/>
        <family val="2"/>
      </rPr>
      <t xml:space="preserve"> 2 parcels. VV planted 1938 on</t>
    </r>
  </si>
  <si>
    <t>15GLANT03</t>
  </si>
  <si>
    <t>brown limestone with clay, one higher up planted</t>
  </si>
  <si>
    <t>22GLANT04</t>
  </si>
  <si>
    <t>2002 on white marl</t>
  </si>
  <si>
    <t>21GLANT04</t>
  </si>
  <si>
    <r>
      <t xml:space="preserve">Caillerets 1C: </t>
    </r>
    <r>
      <rPr>
        <sz val="7"/>
        <color theme="1" tint="0.499984740745262"/>
        <rFont val="Noto Sans"/>
        <family val="2"/>
      </rPr>
      <t>0.18ha VV planted 1962. S.E.facing.</t>
    </r>
  </si>
  <si>
    <t>18GLANT04</t>
  </si>
  <si>
    <t>Reddish brown clay-limestone soil with gravel</t>
  </si>
  <si>
    <t>17GLANT04</t>
  </si>
  <si>
    <r>
      <rPr>
        <b/>
        <sz val="7"/>
        <color theme="1" tint="0.499984740745262"/>
        <rFont val="Noto Sans"/>
        <family val="2"/>
      </rPr>
      <t>Saussilles 1C</t>
    </r>
    <r>
      <rPr>
        <sz val="7"/>
        <color theme="1" tint="0.499984740745262"/>
        <rFont val="Noto Sans"/>
        <family val="2"/>
      </rPr>
      <t xml:space="preserve">: 0.8ha TVV planted 1925, on </t>
    </r>
  </si>
  <si>
    <t>15GLANT04</t>
  </si>
  <si>
    <t>unknown rootstock. Stoney clay-limestone</t>
  </si>
  <si>
    <t>14GLANT04</t>
  </si>
  <si>
    <r>
      <rPr>
        <b/>
        <sz val="7"/>
        <color theme="1" tint="0.499984740745262"/>
        <rFont val="Noto Sans"/>
        <family val="2"/>
      </rPr>
      <t>Rugiens 1C:</t>
    </r>
    <r>
      <rPr>
        <sz val="7"/>
        <color theme="1" tint="0.499984740745262"/>
        <rFont val="Noto Sans"/>
        <family val="2"/>
      </rPr>
      <t xml:space="preserve"> 0.2ha VV planted 1935.</t>
    </r>
  </si>
  <si>
    <t>13GLANT04</t>
  </si>
  <si>
    <t>Fine red clay rich in iron oxide</t>
  </si>
  <si>
    <t>12GLANT04</t>
  </si>
  <si>
    <t>instagram.com/domainethierryglantenay/</t>
  </si>
  <si>
    <t>11GLANT08</t>
  </si>
  <si>
    <t>GROWER CODE: GLANT</t>
  </si>
  <si>
    <t>08GLANT05</t>
  </si>
  <si>
    <t>22GLANT05</t>
  </si>
  <si>
    <t>18GLANT05</t>
  </si>
  <si>
    <t>16GLANT04</t>
  </si>
  <si>
    <t>12GLANT05</t>
  </si>
  <si>
    <t>10GLANT07TB</t>
  </si>
  <si>
    <t>22GLANT06</t>
  </si>
  <si>
    <t>11GLANT04</t>
  </si>
  <si>
    <t>22GLANT07</t>
  </si>
  <si>
    <t>21GLANT07</t>
  </si>
  <si>
    <t>20GLANT07</t>
  </si>
  <si>
    <t>22GLANT08</t>
  </si>
  <si>
    <t>14GLANT08</t>
  </si>
  <si>
    <t>22GLANT01MG</t>
  </si>
  <si>
    <t>18GLANT02MG</t>
  </si>
  <si>
    <t>18GLANT03MG</t>
  </si>
  <si>
    <t>11GLANT03MG</t>
  </si>
  <si>
    <t>22GLANT07MG</t>
  </si>
  <si>
    <t>11GLANT05MG</t>
  </si>
  <si>
    <t>10GLANT05MTB</t>
  </si>
  <si>
    <t>09GLANT14MG</t>
  </si>
  <si>
    <t>KIND WORDS ON ALAIN GRAS:</t>
  </si>
  <si>
    <r>
      <rPr>
        <b/>
        <sz val="7"/>
        <color theme="1" tint="0.499984740745262"/>
        <rFont val="Noto Sans"/>
        <family val="2"/>
      </rPr>
      <t xml:space="preserve">W.Kelley, TWA 2021 </t>
    </r>
    <r>
      <rPr>
        <sz val="7"/>
        <color theme="1" tint="0.499984740745262"/>
        <rFont val="Noto Sans"/>
        <family val="2"/>
      </rPr>
      <t>'Pretty and precise...keenly priced whites and reds'</t>
    </r>
  </si>
  <si>
    <r>
      <rPr>
        <b/>
        <sz val="7"/>
        <color theme="1" tint="0.499984740745262"/>
        <rFont val="Noto Sans"/>
        <family val="2"/>
      </rPr>
      <t xml:space="preserve">W.Kelley, TWA 2019 </t>
    </r>
    <r>
      <rPr>
        <sz val="7"/>
        <color theme="1" tint="0.499984740745262"/>
        <rFont val="Noto Sans"/>
        <family val="2"/>
      </rPr>
      <t>(on Auxey tvv) 'an insider's choice in the appellation'</t>
    </r>
  </si>
  <si>
    <r>
      <rPr>
        <b/>
        <sz val="7"/>
        <color theme="1" tint="0.499984740745262"/>
        <rFont val="Noto Sans"/>
        <family val="2"/>
      </rPr>
      <t>W.Kelley, TWA 2019</t>
    </r>
    <r>
      <rPr>
        <sz val="7"/>
        <color theme="1" tint="0.499984740745262"/>
        <rFont val="Noto Sans"/>
        <family val="2"/>
      </rPr>
      <t xml:space="preserve"> 'More than anyone, Gras deserves credit for raising the reputation of Saint-Romain's wines, &amp; his bottles are</t>
    </r>
  </si>
  <si>
    <t>frequently found on the wine lists of France's better restaurants. ...keenly priced wines that number among the leaders in their AOCs'</t>
  </si>
  <si>
    <t>ALAIN GRAS, Dom.</t>
  </si>
  <si>
    <t>St.Romain Le Haut. 14ha vines ~46 parcels</t>
  </si>
  <si>
    <t>23AGRAS01HF</t>
  </si>
  <si>
    <t>St.Romain has 20-30cms topsoil, altitude</t>
  </si>
  <si>
    <t>23AGRAS01</t>
  </si>
  <si>
    <r>
      <t xml:space="preserve">280m-420m. </t>
    </r>
    <r>
      <rPr>
        <b/>
        <sz val="8"/>
        <color rgb="FF00B050"/>
        <rFont val="Noto Sans"/>
        <family val="2"/>
      </rPr>
      <t>Sustainable</t>
    </r>
    <r>
      <rPr>
        <sz val="8"/>
        <color theme="1" tint="0.14999847407452621"/>
        <rFont val="Noto Sans"/>
        <family val="2"/>
      </rPr>
      <t xml:space="preserve"> farming. </t>
    </r>
  </si>
  <si>
    <t>22AGRAS01</t>
  </si>
  <si>
    <t>Francois Freres casks, avg. 20% new oak</t>
  </si>
  <si>
    <t>21AGRAS01</t>
  </si>
  <si>
    <t>AUXEY ROUGE TVV:</t>
  </si>
  <si>
    <t>20AGRAS01</t>
  </si>
  <si>
    <t>1ha pinot in 2 parcels planted 1908, 90% remaining,</t>
  </si>
  <si>
    <t>19AGRAS01</t>
  </si>
  <si>
    <t>~320m, averages 35hl/ha, 30% new oak</t>
  </si>
  <si>
    <t>18AGRAS01</t>
  </si>
  <si>
    <t>17AGRAS01</t>
  </si>
  <si>
    <t>2022 1st bottling of Sous Le Chateau blanc</t>
  </si>
  <si>
    <t>16AGRAS01</t>
  </si>
  <si>
    <t>2022 1st bottling of Les Cinqs Climats blanc</t>
  </si>
  <si>
    <t>15AGRAS01</t>
  </si>
  <si>
    <t>2021 son Arthur, 5th gen. joining</t>
  </si>
  <si>
    <t>22AGRAS01MG</t>
  </si>
  <si>
    <t>2008 Clive Coates awards 1</t>
  </si>
  <si>
    <t>St.ROMAIN ROUGE:</t>
  </si>
  <si>
    <t>1998 takes over father Réné Gras' estate</t>
  </si>
  <si>
    <t>23AGRAS02HF</t>
  </si>
  <si>
    <t>1979 Alain Gras starts own estate</t>
  </si>
  <si>
    <t>22AGRAS02HF</t>
  </si>
  <si>
    <t>1957 Alain Gras, 4th gen. is born</t>
  </si>
  <si>
    <t xml:space="preserve">St.Romain ROUGE HVS </t>
  </si>
  <si>
    <t>37.5/12</t>
  </si>
  <si>
    <t>13AGRAS01HF</t>
  </si>
  <si>
    <t>Domaine-Alain-Gras.com</t>
  </si>
  <si>
    <t>23AGRAS02</t>
  </si>
  <si>
    <t>facebook.com/domainealaingras/</t>
  </si>
  <si>
    <t>22AGRAS02</t>
  </si>
  <si>
    <t>instagram.com/domaine_alain_gras/</t>
  </si>
  <si>
    <t>21AGRAS02</t>
  </si>
  <si>
    <t>GROWER CODE: AGRAS</t>
  </si>
  <si>
    <t>20AGRAS02</t>
  </si>
  <si>
    <t>19AGRAS02</t>
  </si>
  <si>
    <t>18AGRAS02</t>
  </si>
  <si>
    <t>17AGRAS02</t>
  </si>
  <si>
    <t>16AGRAS02</t>
  </si>
  <si>
    <t>15AGRAS02</t>
  </si>
  <si>
    <t>14AGRAS01</t>
  </si>
  <si>
    <t>12AGRAS01</t>
  </si>
  <si>
    <t>16AGRAS02MG</t>
  </si>
  <si>
    <t>AUXEY TVV ROUGE:</t>
  </si>
  <si>
    <t>23AGRAS03</t>
  </si>
  <si>
    <t>22AGRAS03</t>
  </si>
  <si>
    <t>21AGRAS03</t>
  </si>
  <si>
    <t>20AGRAS03</t>
  </si>
  <si>
    <t>19AGRAS03</t>
  </si>
  <si>
    <t>18AGRAS03</t>
  </si>
  <si>
    <t>17AGRAS03</t>
  </si>
  <si>
    <t>16AGRAS03</t>
  </si>
  <si>
    <t>15AGRAS03</t>
  </si>
  <si>
    <t>19AGRAS03MG</t>
  </si>
  <si>
    <t>18AGRAS03MG</t>
  </si>
  <si>
    <t>17AGRAS03MG</t>
  </si>
  <si>
    <t>16AGRAS03MG</t>
  </si>
  <si>
    <t>14AGRAS03MG</t>
  </si>
  <si>
    <t>13AGRAS03MG</t>
  </si>
  <si>
    <t>KIND WORDS ON LAFARGE:</t>
  </si>
  <si>
    <r>
      <t>W.Kelley, TWA 2021</t>
    </r>
    <r>
      <rPr>
        <sz val="7"/>
        <color theme="1" tint="0.499984740745262"/>
        <rFont val="Noto Sans"/>
        <family val="2"/>
      </rPr>
      <t xml:space="preserve"> 'another magical portfolio from this reference point. Beautifully balanced, with vibrant acids, ripe tannins and moderate alcohols.</t>
    </r>
  </si>
  <si>
    <t>Ultimately, time will tell which of the 2018–2019–2020 trio emerges as the most successful at this address (and in all three, the Lafarge family produced</t>
  </si>
  <si>
    <t>some of the wines of the vintage), but all serious Burgundy lovers are going to want a sampling of each in their cellars.</t>
  </si>
  <si>
    <r>
      <rPr>
        <b/>
        <sz val="7"/>
        <color theme="1" tint="0.499984740745262"/>
        <rFont val="Noto Sans"/>
        <family val="2"/>
      </rPr>
      <t>W.Kelley, TWA 2021</t>
    </r>
    <r>
      <rPr>
        <sz val="7"/>
        <color theme="1" tint="0.499984740745262"/>
        <rFont val="Noto Sans"/>
        <family val="2"/>
      </rPr>
      <t xml:space="preserve"> 'This exemplary domaine offers a wonderful example of living tradition, producing wines with a resolutely classical aesthetic,</t>
    </r>
  </si>
  <si>
    <t>but thoughtfully and with continual incremental progress in the vineyards and the cellar...There are signs that collectors' fixation of the red wines of</t>
  </si>
  <si>
    <t>the red wines of the Côte de Nuits at the expense of those of the Côte de Beaune is decisively changing, as Lafarge prices on the secondary market</t>
  </si>
  <si>
    <t>really begin to soar, a trend that long-time followers of the domaine will concede is merited even if they lament it. What is clear is that it is only just beginning'</t>
  </si>
  <si>
    <r>
      <rPr>
        <b/>
        <sz val="7"/>
        <color theme="1" tint="0.499984740745262"/>
        <rFont val="Noto Sans"/>
        <family val="2"/>
      </rPr>
      <t>W.Kelley, TWA 2020</t>
    </r>
    <r>
      <rPr>
        <sz val="7"/>
        <color theme="1" tint="0.499984740745262"/>
        <rFont val="Noto Sans"/>
        <family val="2"/>
      </rPr>
      <t xml:space="preserve"> 'The 2018 portfolio chez Lafarge is deep, concentrated, exquisitely elegant and—above all—lively and dynamic, in a vintage where</t>
    </r>
  </si>
  <si>
    <t>the nexus of all four of those qualities is rare, for all the lovely wines that have been produced.'</t>
  </si>
  <si>
    <r>
      <rPr>
        <b/>
        <sz val="7"/>
        <color theme="1" tint="0.499984740745262"/>
        <rFont val="Noto Sans"/>
        <family val="2"/>
      </rPr>
      <t>W.Kelley, TWA 2020</t>
    </r>
    <r>
      <rPr>
        <sz val="7"/>
        <color theme="1" tint="0.499984740745262"/>
        <rFont val="Noto Sans"/>
        <family val="2"/>
      </rPr>
      <t xml:space="preserve"> 'quite simply some of the finest wines produced in all the Côte d'Or in the 2018 vintage.'</t>
    </r>
  </si>
  <si>
    <r>
      <rPr>
        <b/>
        <sz val="7"/>
        <color theme="1" tint="0.499984740745262"/>
        <rFont val="Noto Sans"/>
        <family val="2"/>
      </rPr>
      <t>W.Kelley, TWA 2019</t>
    </r>
    <r>
      <rPr>
        <sz val="7"/>
        <color theme="1" tint="0.499984740745262"/>
        <rFont val="Noto Sans"/>
        <family val="2"/>
      </rPr>
      <t xml:space="preserve"> 'one of the great estates of the Côte de Beaune. As usual, these are elegant and classically proportioned wines'</t>
    </r>
  </si>
  <si>
    <r>
      <rPr>
        <b/>
        <sz val="7"/>
        <color theme="1" tint="0.499984740745262"/>
        <rFont val="Noto Sans"/>
        <family val="2"/>
      </rPr>
      <t>N.Martin, Vinous 202</t>
    </r>
    <r>
      <rPr>
        <sz val="7"/>
        <color theme="1" tint="0.499984740745262"/>
        <rFont val="Noto Sans"/>
        <family val="2"/>
      </rPr>
      <t xml:space="preserve">0 'Lafarge captures that essence of </t>
    </r>
    <r>
      <rPr>
        <i/>
        <sz val="7"/>
        <color theme="1" tint="0.499984740745262"/>
        <rFont val="Noto Sans"/>
        <family val="2"/>
      </rPr>
      <t>Pinoté</t>
    </r>
    <r>
      <rPr>
        <sz val="7"/>
        <color theme="1" tint="0.499984740745262"/>
        <rFont val="Noto Sans"/>
        <family val="2"/>
      </rPr>
      <t xml:space="preserve"> like few others.'</t>
    </r>
  </si>
  <si>
    <r>
      <rPr>
        <b/>
        <sz val="7"/>
        <color theme="1" tint="0.499984740745262"/>
        <rFont val="Noto Sans"/>
        <family val="2"/>
      </rPr>
      <t>N.Martin, TWA 2017</t>
    </r>
    <r>
      <rPr>
        <sz val="7"/>
        <color theme="1" tint="0.499984740745262"/>
        <rFont val="Noto Sans"/>
        <family val="2"/>
      </rPr>
      <t xml:space="preserve"> 'do not discount Lafarge’s excellent wines from Beaune'</t>
    </r>
  </si>
  <si>
    <r>
      <rPr>
        <b/>
        <sz val="7"/>
        <color theme="1" tint="0.499984740745262"/>
        <rFont val="Noto Sans"/>
        <family val="2"/>
      </rPr>
      <t>N.Martin, TWA 2017</t>
    </r>
    <r>
      <rPr>
        <sz val="7"/>
        <color theme="1" tint="0.499984740745262"/>
        <rFont val="Noto Sans"/>
        <family val="2"/>
      </rPr>
      <t xml:space="preserve"> 'Domaine Michel Lafarge is finally getting the recognition it has long deserved. As tastes have swung away from the overripe, labored</t>
    </r>
  </si>
  <si>
    <t>wines of the 1990s and toward what might be termed a more classic style, cognoscenti have begun to proselytize the wines of Michel and Frédéric</t>
  </si>
  <si>
    <t>Lafarge as the epitome of red Côte de Beaune. It encapsulates everything that makes Burgundy great, not just the quality of the wines that have no need</t>
  </si>
  <si>
    <t>for a grand cru to demonstrate their worth, but the simplicity of the winemaking, the tenets of the winemakers themselves, their tiny vaulted cellars...'</t>
  </si>
  <si>
    <r>
      <rPr>
        <b/>
        <sz val="7"/>
        <color theme="1" tint="0.499984740745262"/>
        <rFont val="Noto Sans"/>
        <family val="2"/>
      </rPr>
      <t xml:space="preserve">N.Martin, TWA 2016 </t>
    </r>
    <r>
      <rPr>
        <sz val="7"/>
        <color theme="1" tint="0.499984740745262"/>
        <rFont val="Noto Sans"/>
        <family val="2"/>
      </rPr>
      <t>'What can I say? These are occasionally spellbinding expressions of Volnay that frankly, have no equal. There is something beguiling</t>
    </r>
  </si>
  <si>
    <t>about these wines that articulate their respective terroirs with utmost clarity. They are totally unpretentious, traditional in the best sense of the word…</t>
  </si>
  <si>
    <t>I will not single any one out in particular but for certain, the premier crus are wondrous, awe-inspiring wines that are going to give a lot of pleasure,</t>
  </si>
  <si>
    <t xml:space="preserve"> especially those wise enough to give them appropriate time in the cellar.</t>
  </si>
  <si>
    <r>
      <rPr>
        <b/>
        <sz val="7"/>
        <color theme="1" tint="0.499984740745262"/>
        <rFont val="Noto Sans"/>
        <family val="2"/>
      </rPr>
      <t>N.Martin, TWA 2016 '</t>
    </r>
    <r>
      <rPr>
        <sz val="7"/>
        <color theme="1" tint="0.499984740745262"/>
        <rFont val="Noto Sans"/>
        <family val="2"/>
      </rPr>
      <t>Michel Lafarge is one of the greatest Burgundy domaines. Period.'</t>
    </r>
  </si>
  <si>
    <r>
      <rPr>
        <b/>
        <sz val="7"/>
        <color theme="1" tint="0.499984740745262"/>
        <rFont val="Noto Sans"/>
        <family val="2"/>
      </rPr>
      <t xml:space="preserve">N.Martin, TWA 2014 </t>
    </r>
    <r>
      <rPr>
        <sz val="7"/>
        <color theme="1" tint="0.499984740745262"/>
        <rFont val="Noto Sans"/>
        <family val="2"/>
      </rPr>
      <t>'I always look forward to my visit to Michel Lafarge in the maze-like alleys of Volnay. In many ways it encapsulates Burgundy:</t>
    </r>
  </si>
  <si>
    <t>small domaine, choice parcels, great history, a loyal following, dank and claustrophobic vaulted cellars thickly smothered with white mold like something</t>
  </si>
  <si>
    <t>out of a 1974 episode of Dr. Who, a bit disheveled in appearance…untidy perhaps, charismatic bordering upon legendary patriarch and wines so exquisite</t>
  </si>
  <si>
    <t>that they make you want to quit and just go home with that sweet nectar tingling in your mouth.'</t>
  </si>
  <si>
    <r>
      <rPr>
        <b/>
        <sz val="7"/>
        <color theme="1" tint="0.499984740745262"/>
        <rFont val="Noto Sans"/>
        <family val="2"/>
      </rPr>
      <t>N.Martin, TWA 2013</t>
    </r>
    <r>
      <rPr>
        <sz val="7"/>
        <color theme="1" tint="0.499984740745262"/>
        <rFont val="Noto Sans"/>
        <family val="2"/>
      </rPr>
      <t xml:space="preserve"> 'Lafarge’s wines tend to be deceptively long lived if you can manage to track them down (wth bottle age)'</t>
    </r>
  </si>
  <si>
    <r>
      <rPr>
        <b/>
        <sz val="7"/>
        <color theme="1" tint="0.499984740745262"/>
        <rFont val="Noto Sans"/>
        <family val="2"/>
      </rPr>
      <t>N.Martin, 2013</t>
    </r>
    <r>
      <rPr>
        <sz val="7"/>
        <color theme="1" tint="0.499984740745262"/>
        <rFont val="Noto Sans"/>
        <family val="2"/>
      </rPr>
      <t xml:space="preserve"> 'Frédéric Lafarge...escorted me through his cramped 13th-century arched cellars that are covered head to toe in thick black mold.</t>
    </r>
  </si>
  <si>
    <t>You could imagine a witches’ coven in a dark corner. Instead, the only thing being conjured up here is magical wine.'</t>
  </si>
  <si>
    <r>
      <rPr>
        <b/>
        <sz val="7"/>
        <color theme="1" tint="0.499984740745262"/>
        <rFont val="Noto Sans"/>
        <family val="2"/>
      </rPr>
      <t>N.Martin, TWA 2014</t>
    </r>
    <r>
      <rPr>
        <sz val="7"/>
        <color theme="1" tint="0.499984740745262"/>
        <rFont val="Noto Sans"/>
        <family val="2"/>
      </rPr>
      <t xml:space="preserve"> 'wines are so pure and elegant that you feel as if you are peering into the very vines, wines that leave you with a Cheshire cat grin'</t>
    </r>
  </si>
  <si>
    <r>
      <rPr>
        <b/>
        <sz val="7"/>
        <color theme="1" tint="0.499984740745262"/>
        <rFont val="Noto Sans"/>
        <family val="2"/>
      </rPr>
      <t xml:space="preserve">N.Martin, TWA 2014 </t>
    </r>
    <r>
      <rPr>
        <sz val="7"/>
        <color theme="1" tint="0.499984740745262"/>
        <rFont val="Noto Sans"/>
        <family val="2"/>
      </rPr>
      <t>'Frédéric absolutely loves 2013 and described how it was a long growing season after a humid and wet spring, one where the grapes</t>
    </r>
  </si>
  <si>
    <t>reached phenolic ripeness at low sugar levels. “We picked from 3 until 9 October,” he explained. “The last time that we had picked in October was in 1980"'</t>
  </si>
  <si>
    <r>
      <rPr>
        <b/>
        <sz val="7"/>
        <color theme="1" tint="0.499984740745262"/>
        <rFont val="Noto Sans"/>
        <family val="2"/>
      </rPr>
      <t>Galloni, 2011</t>
    </r>
    <r>
      <rPr>
        <sz val="7"/>
        <color theme="1" tint="0.499984740745262"/>
        <rFont val="Noto Sans"/>
        <family val="2"/>
      </rPr>
      <t xml:space="preserve"> 'many of the wines are at or near the top of their respective peer groups'</t>
    </r>
  </si>
  <si>
    <r>
      <rPr>
        <b/>
        <sz val="7"/>
        <color theme="1" tint="0.499984740745262"/>
        <rFont val="Noto Sans"/>
        <family val="2"/>
      </rPr>
      <t>D.Schildknecht, TWA 2009</t>
    </r>
    <r>
      <rPr>
        <sz val="7"/>
        <color theme="1" tint="0.499984740745262"/>
        <rFont val="Noto Sans"/>
        <family val="2"/>
      </rPr>
      <t xml:space="preserve"> 'Lafarge are consistently adept in challenging vintages, and (succeeded admirably in 2006)</t>
    </r>
  </si>
  <si>
    <r>
      <rPr>
        <b/>
        <sz val="7"/>
        <color theme="1" tint="0.499984740745262"/>
        <rFont val="Noto Sans"/>
        <family val="2"/>
      </rPr>
      <t>Decanter, 2018</t>
    </r>
    <r>
      <rPr>
        <sz val="7"/>
        <color theme="1" tint="0.499984740745262"/>
        <rFont val="Noto Sans"/>
        <family val="2"/>
      </rPr>
      <t xml:space="preserve"> 'one of the Côte d’Or’s most thoughtful and experienced observers'</t>
    </r>
  </si>
  <si>
    <r>
      <t>D.Lafon, 2017</t>
    </r>
    <r>
      <rPr>
        <sz val="7"/>
        <color theme="1" tint="0.499984740745262"/>
        <rFont val="Noto Sans"/>
        <family val="2"/>
      </rPr>
      <t xml:space="preserve"> 'Greves is an amazing vineyard, maybe the best in Beaune'</t>
    </r>
  </si>
  <si>
    <t>LAFARGE ON LAFARGE:</t>
  </si>
  <si>
    <r>
      <t xml:space="preserve">Frederic Lafarge, 2021 </t>
    </r>
    <r>
      <rPr>
        <sz val="7"/>
        <color theme="1" tint="0.499984740745262"/>
        <rFont val="Noto Sans"/>
        <family val="2"/>
      </rPr>
      <t>'2020 is a very great vintage'</t>
    </r>
  </si>
  <si>
    <r>
      <t>Frederic Lafarge, 2020</t>
    </r>
    <r>
      <rPr>
        <sz val="7"/>
        <color theme="1" tint="0.499984740745262"/>
        <rFont val="Noto Sans"/>
        <family val="2"/>
      </rPr>
      <t xml:space="preserve"> 'Burgundy's rhythms are changing, and we have to adapt'</t>
    </r>
  </si>
  <si>
    <r>
      <rPr>
        <b/>
        <sz val="7"/>
        <color theme="1" tint="0.499984740745262"/>
        <rFont val="Noto Sans"/>
        <family val="2"/>
      </rPr>
      <t>Frederic Lafarge, 2017</t>
    </r>
    <r>
      <rPr>
        <sz val="7"/>
        <color theme="1" tint="0.499984740745262"/>
        <rFont val="Noto Sans"/>
        <family val="2"/>
      </rPr>
      <t xml:space="preserve"> 'I had never seen anything like it. The 1974 vintage was the last time. Before that, budding had been regular, and then it turned</t>
    </r>
  </si>
  <si>
    <t>very cold on 27 April: -5 or -6 degrees Celsius. Then we had the sun. We lost between 65% to 70% of the total crop, and in Meursault it was very bad and</t>
  </si>
  <si>
    <t>we could only make 900 bottles of the village cru. In some parcels we lost up to 90% of the crop. Then we had mildew, and this was severe because the</t>
  </si>
  <si>
    <t>vines were so fatigued. We had to treat the vines at weekends. Then the weather turned warm and sunny so that we ended up picking ripe and healthy</t>
  </si>
  <si>
    <t>grapes from 21 September. You had to adapt your approach to each vineyard. There was nothing really to sort. We did a normal extraction and found a</t>
  </si>
  <si>
    <t>nice balance in the fruit, each climat very clear to see. The wines seem joyful, especially so after racking.' (on 2016s)</t>
  </si>
  <si>
    <r>
      <rPr>
        <b/>
        <sz val="7"/>
        <color theme="1" tint="0.499984740745262"/>
        <rFont val="Noto Sans"/>
        <family val="2"/>
      </rPr>
      <t xml:space="preserve">Frederic Lafarge, 2009 </t>
    </r>
    <r>
      <rPr>
        <sz val="7"/>
        <color theme="1" tint="0.499984740745262"/>
        <rFont val="Noto Sans"/>
        <family val="2"/>
      </rPr>
      <t>'Biodynamic treatments permit the vine to overcome the stress of weather extremes'</t>
    </r>
  </si>
  <si>
    <t>MICHEL LAFARGE, Dom.</t>
  </si>
  <si>
    <t>by Famille Lafarge</t>
  </si>
  <si>
    <t>22LFARGE07</t>
  </si>
  <si>
    <t>Volnay. ~12ha</t>
  </si>
  <si>
    <t>22LFARGE10</t>
  </si>
  <si>
    <t>Frédéric &amp; Chantal, daughter Clothilde</t>
  </si>
  <si>
    <t>BEAUNE 1C BLANC:</t>
  </si>
  <si>
    <t>all massale vines, cordon trained, low yield</t>
  </si>
  <si>
    <t>22LFARGE08</t>
  </si>
  <si>
    <t>farming was always sustainable in C.20th</t>
  </si>
  <si>
    <t>19LFARGE01</t>
  </si>
  <si>
    <t>part horse-ploughed; usually de-stemmed.</t>
  </si>
  <si>
    <t>18LFARGE01</t>
  </si>
  <si>
    <t>1/3 production is Bourgogne series</t>
  </si>
  <si>
    <t>17LFARGE01</t>
  </si>
  <si>
    <t>~5-15% new oak; barrels up to 5 wines</t>
  </si>
  <si>
    <t>15LFARGE01</t>
  </si>
  <si>
    <t>ambient yeast; unfiltered, reds always unfined</t>
  </si>
  <si>
    <t>13LFARGE03</t>
  </si>
  <si>
    <t>whites fined with bentonite if necessary</t>
  </si>
  <si>
    <t>12LFARGE03</t>
  </si>
  <si>
    <t>11LFARGE03</t>
  </si>
  <si>
    <t>Biodynamic cert.; ⓋVegan compatible</t>
  </si>
  <si>
    <t>08LFARGE02</t>
  </si>
  <si>
    <t>07LAFARGE02</t>
  </si>
  <si>
    <t>2020 Michel passes away</t>
  </si>
  <si>
    <t>06LAFARGE02</t>
  </si>
  <si>
    <t>2019 35% crop loss - natural 13.2%-13.5%</t>
  </si>
  <si>
    <t>BLANC 1C EN MAGNUM:</t>
  </si>
  <si>
    <t>2017 return to vertical press for whites</t>
  </si>
  <si>
    <t>18LFARGE01MG</t>
  </si>
  <si>
    <t>2016 IWR Top 100 WOTY - Clos du Chateau 2013</t>
  </si>
  <si>
    <t>16LFARGE01MG</t>
  </si>
  <si>
    <t>2016 70% crop loss (up to max 90% )</t>
  </si>
  <si>
    <t>2015 50% crop less (reds) - natural 12.8%-13.1%</t>
  </si>
  <si>
    <t>22LFARGE09</t>
  </si>
  <si>
    <t>2014 55% crop loss - natural 12%-12.3%</t>
  </si>
  <si>
    <t>22LFARGE12MG</t>
  </si>
  <si>
    <t>2013 65% crop loss - natural 11.7%-12%</t>
  </si>
  <si>
    <t>07LAFARGE09</t>
  </si>
  <si>
    <t>2013 1st vintage Organic Certified Ecocert</t>
  </si>
  <si>
    <t>2012 80% crop loss</t>
  </si>
  <si>
    <t>21LFARGE03</t>
  </si>
  <si>
    <t>2010 40% crop loss</t>
  </si>
  <si>
    <t>22LFARGE06</t>
  </si>
  <si>
    <t>2009 natural 12.8%-13.3%</t>
  </si>
  <si>
    <r>
      <t xml:space="preserve">2000 all domaine </t>
    </r>
    <r>
      <rPr>
        <b/>
        <sz val="7"/>
        <color rgb="FF00B050"/>
        <rFont val="Noto Sans"/>
        <family val="2"/>
      </rPr>
      <t>Biodynamic certified</t>
    </r>
  </si>
  <si>
    <t>22LFARGE01</t>
  </si>
  <si>
    <r>
      <t>1997 1st parcels</t>
    </r>
    <r>
      <rPr>
        <b/>
        <sz val="7"/>
        <color rgb="FF00B050"/>
        <rFont val="Noto Sans"/>
        <family val="2"/>
      </rPr>
      <t xml:space="preserve"> Biodynamic certified</t>
    </r>
  </si>
  <si>
    <t>21LFARGE04</t>
  </si>
  <si>
    <t>1993 Frédéric &amp; Chantal's daughter Clothilde born</t>
  </si>
  <si>
    <t>20LFARGE04</t>
  </si>
  <si>
    <t>1990 start of biodynamic farming</t>
  </si>
  <si>
    <t>18LFARGE05</t>
  </si>
  <si>
    <t>1987 new part of cellar built</t>
  </si>
  <si>
    <t>16LFARGE04</t>
  </si>
  <si>
    <t>1978 Frédéric Lafarge joined</t>
  </si>
  <si>
    <t>09LFARGE02DP</t>
  </si>
  <si>
    <t>1959 all wine now Dom. bottled; 1st mlf analysis</t>
  </si>
  <si>
    <t>04LAFARGE01</t>
  </si>
  <si>
    <t>1958 Frédéric Lafarge born</t>
  </si>
  <si>
    <t>04LAFARGE04</t>
  </si>
  <si>
    <t>1954 1st vines purchased outwith Volnay (Greves)</t>
  </si>
  <si>
    <t>21LFARGE06</t>
  </si>
  <si>
    <t>1950 1st vintage vinified by Michel</t>
  </si>
  <si>
    <t>19LFARGE06</t>
  </si>
  <si>
    <t>1940s to 1966 - Michel's father also directed the</t>
  </si>
  <si>
    <t>22LFARGE11</t>
  </si>
  <si>
    <t>Hospices de Beaune</t>
  </si>
  <si>
    <t>20LFARGE09</t>
  </si>
  <si>
    <t>1949 Michel Lafarge joined father</t>
  </si>
  <si>
    <t>20LFARGE07</t>
  </si>
  <si>
    <t>1934 domaine bottling started for sale</t>
  </si>
  <si>
    <t>1928 Michel Lafarge born</t>
  </si>
  <si>
    <t>18LFARGE05MG</t>
  </si>
  <si>
    <t>1920s Lafarge already use a sorting table</t>
  </si>
  <si>
    <t>17LFARGE05MG</t>
  </si>
  <si>
    <t>C.18th Domaine founded</t>
  </si>
  <si>
    <t>13LFARGE08MG</t>
  </si>
  <si>
    <t>C.13th oldest part of cellar built</t>
  </si>
  <si>
    <t>11LFARGE01MG</t>
  </si>
  <si>
    <t>KEY WHITE VINEYARD HOLDINGS:</t>
  </si>
  <si>
    <r>
      <rPr>
        <b/>
        <sz val="7"/>
        <color theme="1" tint="0.499984740745262"/>
        <rFont val="Noto Sans"/>
        <family val="2"/>
      </rPr>
      <t xml:space="preserve">Aligoté Raisins Dorées: </t>
    </r>
    <r>
      <rPr>
        <sz val="7"/>
        <color theme="1" tint="0.499984740745262"/>
        <rFont val="Noto Sans"/>
        <family val="2"/>
      </rPr>
      <t>0.8ha planted 1937</t>
    </r>
  </si>
  <si>
    <r>
      <rPr>
        <b/>
        <sz val="7"/>
        <color theme="1" tint="0.499984740745262"/>
        <rFont val="Noto Sans"/>
        <family val="2"/>
      </rPr>
      <t>Meursault:</t>
    </r>
    <r>
      <rPr>
        <sz val="7"/>
        <color theme="1" tint="0.499984740745262"/>
        <rFont val="Noto Sans"/>
        <family val="2"/>
      </rPr>
      <t xml:space="preserve"> 1.2ha planted 1968</t>
    </r>
  </si>
  <si>
    <r>
      <rPr>
        <b/>
        <sz val="7"/>
        <color theme="1" tint="0.499984740745262"/>
        <rFont val="Noto Sans"/>
        <family val="2"/>
      </rPr>
      <t>B.Aigrots 1C:</t>
    </r>
    <r>
      <rPr>
        <sz val="7"/>
        <color theme="1" tint="0.499984740745262"/>
        <rFont val="Noto Sans"/>
        <family val="2"/>
      </rPr>
      <t xml:space="preserve"> 0.23ha bought 2005, planted 1988</t>
    </r>
  </si>
  <si>
    <t>KEY RED VINEYARD HOLDINGS:</t>
  </si>
  <si>
    <r>
      <rPr>
        <b/>
        <sz val="7"/>
        <color theme="1" tint="0.499984740745262"/>
        <rFont val="Noto Sans"/>
        <family val="2"/>
      </rPr>
      <t>BPTG L'Exception</t>
    </r>
    <r>
      <rPr>
        <sz val="7"/>
        <color theme="1" tint="0.499984740745262"/>
        <rFont val="Noto Sans"/>
        <family val="2"/>
      </rPr>
      <t xml:space="preserve"> 1ha planted 1926 - i.e. ~tvv</t>
    </r>
  </si>
  <si>
    <r>
      <rPr>
        <b/>
        <sz val="7"/>
        <color theme="1" tint="0.499984740745262"/>
        <rFont val="Noto Sans"/>
        <family val="2"/>
      </rPr>
      <t>CDBV</t>
    </r>
    <r>
      <rPr>
        <sz val="7"/>
        <color theme="1" tint="0.499984740745262"/>
        <rFont val="Noto Sans"/>
        <family val="2"/>
      </rPr>
      <t>: 0.27ha in Meursault, below Santenots</t>
    </r>
  </si>
  <si>
    <r>
      <rPr>
        <b/>
        <sz val="7"/>
        <color theme="1" tint="0.499984740745262"/>
        <rFont val="Noto Sans"/>
        <family val="2"/>
      </rPr>
      <t>B.Greves 1C</t>
    </r>
    <r>
      <rPr>
        <sz val="7"/>
        <color theme="1" tint="0.499984740745262"/>
        <rFont val="Noto Sans"/>
        <family val="2"/>
      </rPr>
      <t>: 0.38ha bought '54, planted 1951/21</t>
    </r>
  </si>
  <si>
    <t>part being replanted 2018</t>
  </si>
  <si>
    <r>
      <rPr>
        <b/>
        <sz val="7"/>
        <color theme="1" tint="0.499984740745262"/>
        <rFont val="Noto Sans"/>
        <family val="2"/>
      </rPr>
      <t>B.Aigrots 1C:</t>
    </r>
    <r>
      <rPr>
        <sz val="7"/>
        <color theme="1" tint="0.499984740745262"/>
        <rFont val="Noto Sans"/>
        <family val="2"/>
      </rPr>
      <t xml:space="preserve"> 0.66ha bought 2005, planted 1949,</t>
    </r>
  </si>
  <si>
    <t>1964 &amp; 2012</t>
  </si>
  <si>
    <r>
      <rPr>
        <b/>
        <sz val="7"/>
        <color theme="1" tint="0.499984740745262"/>
        <rFont val="Noto Sans"/>
        <family val="2"/>
      </rPr>
      <t>P.Pezerolles:</t>
    </r>
    <r>
      <rPr>
        <sz val="7"/>
        <color theme="1" tint="0.499984740745262"/>
        <rFont val="Noto Sans"/>
        <family val="2"/>
      </rPr>
      <t xml:space="preserve"> 0.14ha planted 1967</t>
    </r>
  </si>
  <si>
    <r>
      <rPr>
        <b/>
        <sz val="7"/>
        <color theme="1" tint="0.499984740745262"/>
        <rFont val="Noto Sans"/>
        <family val="2"/>
      </rPr>
      <t>Volnay VS:</t>
    </r>
    <r>
      <rPr>
        <sz val="7"/>
        <color theme="1" tint="0.499984740745262"/>
        <rFont val="Noto Sans"/>
        <family val="2"/>
      </rPr>
      <t xml:space="preserve"> ~1.25ha of parcels avg.50yrs blended</t>
    </r>
  </si>
  <si>
    <r>
      <rPr>
        <b/>
        <sz val="7"/>
        <color theme="1" tint="0.499984740745262"/>
        <rFont val="Noto Sans"/>
        <family val="2"/>
      </rPr>
      <t>V.Mitans:</t>
    </r>
    <r>
      <rPr>
        <sz val="7"/>
        <color theme="1" tint="0.499984740745262"/>
        <rFont val="Noto Sans"/>
        <family val="2"/>
      </rPr>
      <t xml:space="preserve"> 0.39ha bought 2005, planted 1952&amp;1976 </t>
    </r>
  </si>
  <si>
    <r>
      <rPr>
        <b/>
        <sz val="7"/>
        <color theme="1" tint="0.499984740745262"/>
        <rFont val="Noto Sans"/>
        <family val="2"/>
      </rPr>
      <t>V.Caillerets:</t>
    </r>
    <r>
      <rPr>
        <sz val="7"/>
        <color theme="1" tint="0.499984740745262"/>
        <rFont val="Noto Sans"/>
        <family val="2"/>
      </rPr>
      <t xml:space="preserve"> 0.28ha bought 2000, planted 1957,</t>
    </r>
  </si>
  <si>
    <t>50% replanted in spiral training at 20,000 vines/ha</t>
  </si>
  <si>
    <r>
      <rPr>
        <b/>
        <sz val="7"/>
        <color theme="1" tint="0.499984740745262"/>
        <rFont val="Noto Sans"/>
        <family val="2"/>
      </rPr>
      <t>V.Clos des Chenes:</t>
    </r>
    <r>
      <rPr>
        <sz val="7"/>
        <color theme="1" tint="0.499984740745262"/>
        <rFont val="Noto Sans"/>
        <family val="2"/>
      </rPr>
      <t xml:space="preserve"> 0.9ha planted 1951-1971</t>
    </r>
  </si>
  <si>
    <r>
      <rPr>
        <b/>
        <sz val="7"/>
        <color theme="1" tint="0.499984740745262"/>
        <rFont val="Noto Sans"/>
        <family val="2"/>
      </rPr>
      <t>V.Clos des Ducs monopole:</t>
    </r>
    <r>
      <rPr>
        <sz val="7"/>
        <color theme="1" tint="0.499984740745262"/>
        <rFont val="Noto Sans"/>
        <family val="2"/>
      </rPr>
      <t xml:space="preserve"> 0.57ha, planted</t>
    </r>
  </si>
  <si>
    <t>1946 to 1985, plus 2000</t>
  </si>
  <si>
    <t>RVF 1* estate; CC 3* estate, 2008, B+D 3*</t>
  </si>
  <si>
    <t>DomaineLafarge.fr</t>
  </si>
  <si>
    <t>LEVI DALTON 'IDTT' INTERVIEW #249</t>
  </si>
  <si>
    <t>LEVI DALTON 'IDTT' INTERVIEW #415</t>
  </si>
  <si>
    <t xml:space="preserve">GROWER CODES: LFARGE / LAFARGE </t>
  </si>
  <si>
    <t>Côte de Beaune &amp; the</t>
  </si>
  <si>
    <r>
      <t>w/</t>
    </r>
    <r>
      <rPr>
        <b/>
        <sz val="7"/>
        <color rgb="FFFFC000"/>
        <rFont val="Noto Sans"/>
        <family val="2"/>
      </rPr>
      <t>o</t>
    </r>
  </si>
  <si>
    <t>NB From 2021s, Domaine wines are labelled:</t>
  </si>
  <si>
    <t>NB these are wines were formerly known as:</t>
  </si>
  <si>
    <t>21MTAWSE27</t>
  </si>
  <si>
    <t>20MTAWSE24</t>
  </si>
  <si>
    <t>19MTAWSE16</t>
  </si>
  <si>
    <t>21MTAWSE04</t>
  </si>
  <si>
    <t>20MTAWSE21</t>
  </si>
  <si>
    <t>20MTAWSE11</t>
  </si>
  <si>
    <t>POMMARD VILLAGE:</t>
  </si>
  <si>
    <t>21MTAWSE24</t>
  </si>
  <si>
    <t>20MTAWSE20</t>
  </si>
  <si>
    <t>19MTAWSE20</t>
  </si>
  <si>
    <t>21MTAWSE26</t>
  </si>
  <si>
    <t>20MTAWSE22</t>
  </si>
  <si>
    <t>19MTAWSE10</t>
  </si>
  <si>
    <t>15TAWSE02</t>
  </si>
  <si>
    <t>21MTAWSE01</t>
  </si>
  <si>
    <t>20MTAWSE01</t>
  </si>
  <si>
    <t>19MTAWSE04</t>
  </si>
  <si>
    <t>18MTAWSE04</t>
  </si>
  <si>
    <t>17MTAWSE04</t>
  </si>
  <si>
    <t>21MTAWSE02</t>
  </si>
  <si>
    <t>20MTAWSE02</t>
  </si>
  <si>
    <t>19MTAWSE03</t>
  </si>
  <si>
    <t>18MTAWSE03</t>
  </si>
  <si>
    <t>NB ALSO SEE COTE DE NUITS</t>
  </si>
  <si>
    <t>17MTAWSE03</t>
  </si>
  <si>
    <t>GROWER CODE: TAWSE</t>
  </si>
  <si>
    <t>22MTAWSE24</t>
  </si>
  <si>
    <t>21MTAWSE28</t>
  </si>
  <si>
    <t>20MTAWSE25</t>
  </si>
  <si>
    <t>19MTAWSE12</t>
  </si>
  <si>
    <t>18MTAWSE09</t>
  </si>
  <si>
    <t>17MTAWSE08</t>
  </si>
  <si>
    <t>16MTAWSE11</t>
  </si>
  <si>
    <t>15TAWSE05</t>
  </si>
  <si>
    <t>KIND WORDS ON &amp; BY BERNARD MOREAU:</t>
  </si>
  <si>
    <r>
      <rPr>
        <b/>
        <sz val="7"/>
        <color theme="1" tint="0.499984740745262"/>
        <rFont val="Noto Sans"/>
        <family val="2"/>
      </rPr>
      <t>A.Moreau, 2018</t>
    </r>
    <r>
      <rPr>
        <sz val="7"/>
        <color theme="1" tint="0.499984740745262"/>
        <rFont val="Noto Sans"/>
        <family val="2"/>
      </rPr>
      <t xml:space="preserve"> '(the Moreau style:) </t>
    </r>
    <r>
      <rPr>
        <i/>
        <sz val="7"/>
        <color theme="1" tint="0.499984740745262"/>
        <rFont val="Noto Sans"/>
        <family val="2"/>
      </rPr>
      <t xml:space="preserve">tonique </t>
    </r>
    <r>
      <rPr>
        <sz val="7"/>
        <color theme="1" tint="0.499984740745262"/>
        <rFont val="Noto Sans"/>
        <family val="2"/>
      </rPr>
      <t>wines'</t>
    </r>
  </si>
  <si>
    <r>
      <rPr>
        <b/>
        <sz val="7"/>
        <color theme="1" tint="0.499984740745262"/>
        <rFont val="Noto Sans"/>
        <family val="2"/>
      </rPr>
      <t>A.Moreau, 2018</t>
    </r>
    <r>
      <rPr>
        <sz val="7"/>
        <color theme="1" tint="0.499984740745262"/>
        <rFont val="Noto Sans"/>
        <family val="2"/>
      </rPr>
      <t xml:space="preserve"> 'I do not like wine with heaviness. I like fresh wines.'</t>
    </r>
  </si>
  <si>
    <r>
      <rPr>
        <b/>
        <sz val="7"/>
        <color theme="1" tint="0.499984740745262"/>
        <rFont val="Noto Sans"/>
        <family val="2"/>
      </rPr>
      <t>A.Moreau, 2017</t>
    </r>
    <r>
      <rPr>
        <sz val="7"/>
        <color theme="1" tint="0.499984740745262"/>
        <rFont val="Noto Sans"/>
        <family val="2"/>
      </rPr>
      <t xml:space="preserve"> 'the very ripe years last longer than the high-acid years.'</t>
    </r>
  </si>
  <si>
    <r>
      <rPr>
        <b/>
        <sz val="7"/>
        <color theme="1" tint="0.499984740745262"/>
        <rFont val="Noto Sans"/>
        <family val="2"/>
      </rPr>
      <t xml:space="preserve">Zubair, 2020 </t>
    </r>
    <r>
      <rPr>
        <sz val="7"/>
        <color theme="1" tint="0.499984740745262"/>
        <rFont val="Noto Sans"/>
        <family val="2"/>
      </rPr>
      <t>'an excellent source of top white Burgundy at still affordable prices'</t>
    </r>
  </si>
  <si>
    <r>
      <rPr>
        <b/>
        <sz val="7"/>
        <color theme="1" tint="0.499984740745262"/>
        <rFont val="Noto Sans"/>
        <family val="2"/>
      </rPr>
      <t>b+d Guide 2020</t>
    </r>
    <r>
      <rPr>
        <sz val="7"/>
        <color theme="1" tint="0.499984740745262"/>
        <rFont val="Noto Sans"/>
        <family val="2"/>
      </rPr>
      <t xml:space="preserve"> 'Le domaine constitue une priorité absolue pour l'amateur de Chassagne.'</t>
    </r>
  </si>
  <si>
    <r>
      <rPr>
        <b/>
        <sz val="7"/>
        <color theme="1" tint="0.499984740745262"/>
        <rFont val="Noto Sans"/>
        <family val="2"/>
      </rPr>
      <t>N.Martin, 2020</t>
    </r>
    <r>
      <rPr>
        <sz val="7"/>
        <color theme="1" tint="0.499984740745262"/>
        <rFont val="Noto Sans"/>
        <family val="2"/>
      </rPr>
      <t xml:space="preserve"> 'You want the best Chassagne-Montrachet? This is where you call first.'</t>
    </r>
  </si>
  <si>
    <r>
      <rPr>
        <b/>
        <sz val="7"/>
        <color theme="1" tint="0.499984740745262"/>
        <rFont val="Noto Sans"/>
        <family val="2"/>
      </rPr>
      <t>N.Martin, 2020</t>
    </r>
    <r>
      <rPr>
        <sz val="7"/>
        <color theme="1" tint="0.499984740745262"/>
        <rFont val="Noto Sans"/>
        <family val="2"/>
      </rPr>
      <t xml:space="preserve"> 'Readers will know the high esteem in which I hold Domaine Bernard Moreau and winemaker Alexandre Moreau.'</t>
    </r>
  </si>
  <si>
    <r>
      <rPr>
        <b/>
        <sz val="7"/>
        <color theme="1" tint="0.499984740745262"/>
        <rFont val="Noto Sans"/>
        <family val="2"/>
      </rPr>
      <t>A.Galloni, 2013</t>
    </r>
    <r>
      <rPr>
        <sz val="7"/>
        <color theme="1" tint="0.499984740745262"/>
        <rFont val="Noto Sans"/>
        <family val="2"/>
      </rPr>
      <t xml:space="preserve"> 'continues to be one of the most exciting addresses in the Cote de Beaune. From top to bottom, an impressive range.'</t>
    </r>
  </si>
  <si>
    <r>
      <rPr>
        <b/>
        <sz val="7"/>
        <color theme="1" tint="0.499984740745262"/>
        <rFont val="Noto Sans"/>
        <family val="2"/>
      </rPr>
      <t>A.Galloni, 2012</t>
    </r>
    <r>
      <rPr>
        <sz val="7"/>
        <color theme="1" tint="0.499984740745262"/>
        <rFont val="Noto Sans"/>
        <family val="2"/>
      </rPr>
      <t xml:space="preserve"> 'quite possibly the single finest under the radar grower in Burgundy today. '</t>
    </r>
  </si>
  <si>
    <r>
      <rPr>
        <b/>
        <sz val="7"/>
        <color theme="1" tint="0.499984740745262"/>
        <rFont val="Noto Sans"/>
        <family val="2"/>
      </rPr>
      <t>W.Kelley, TWA 2020</t>
    </r>
    <r>
      <rPr>
        <sz val="7"/>
        <color theme="1" tint="0.499984740745262"/>
        <rFont val="Noto Sans"/>
        <family val="2"/>
      </rPr>
      <t xml:space="preserve"> 'some of the most compelling white Burgundies being made today'</t>
    </r>
  </si>
  <si>
    <r>
      <rPr>
        <b/>
        <sz val="7"/>
        <color theme="1" tint="0.499984740745262"/>
        <rFont val="Noto Sans"/>
        <family val="2"/>
      </rPr>
      <t>W.Kelley, TWA 2020</t>
    </r>
    <r>
      <rPr>
        <sz val="7"/>
        <color theme="1" tint="0.499984740745262"/>
        <rFont val="Noto Sans"/>
        <family val="2"/>
      </rPr>
      <t xml:space="preserve"> 'it's hard to think of a better address...to take a tour of some of Chassagne's most interesting terroirs'</t>
    </r>
  </si>
  <si>
    <r>
      <rPr>
        <b/>
        <sz val="7"/>
        <color theme="1" tint="0.499984740745262"/>
        <rFont val="Noto Sans"/>
        <family val="2"/>
      </rPr>
      <t>W.Kelley, TWA 2018</t>
    </r>
    <r>
      <rPr>
        <sz val="7"/>
        <color theme="1" tint="0.499984740745262"/>
        <rFont val="Noto Sans"/>
        <family val="2"/>
      </rPr>
      <t xml:space="preserve"> 'Alex Moreau is one of the most talented and diligent producers of white Burgundy in the Côte de Beaune today'</t>
    </r>
  </si>
  <si>
    <r>
      <rPr>
        <b/>
        <sz val="7"/>
        <color theme="1" tint="0.499984740745262"/>
        <rFont val="Noto Sans"/>
        <family val="2"/>
      </rPr>
      <t>D.Schildknecht, 2009</t>
    </r>
    <r>
      <rPr>
        <sz val="7"/>
        <color theme="1" tint="0.499984740745262"/>
        <rFont val="Noto Sans"/>
        <family val="2"/>
      </rPr>
      <t xml:space="preserve"> 'With the ascendance of a new generation, the vines are getting more meticulous care, wines gentler, longer elevage'</t>
    </r>
  </si>
  <si>
    <t>MOREAU Alex, from 2021</t>
  </si>
  <si>
    <t>CHASSAGNE ROUGE:</t>
  </si>
  <si>
    <t>MOREAU Bernard, to 2020</t>
  </si>
  <si>
    <t>21BMORE06</t>
  </si>
  <si>
    <t>Chassagne-Montrachet. 5.5ha. ~2/3 white</t>
  </si>
  <si>
    <t>20BMORE10</t>
  </si>
  <si>
    <t>Alexandre Moreau, son of Bernard</t>
  </si>
  <si>
    <t>19BMORE03</t>
  </si>
  <si>
    <r>
      <t xml:space="preserve">ambient yeast; </t>
    </r>
    <r>
      <rPr>
        <b/>
        <sz val="8"/>
        <color rgb="FF00B050"/>
        <rFont val="Noto Sans"/>
        <family val="2"/>
      </rPr>
      <t>no certification</t>
    </r>
  </si>
  <si>
    <t>18BMORE03</t>
  </si>
  <si>
    <r>
      <t xml:space="preserve">reds are unfined, </t>
    </r>
    <r>
      <rPr>
        <b/>
        <sz val="8"/>
        <color rgb="FF00B050"/>
        <rFont val="Noto Sans"/>
        <family val="2"/>
      </rPr>
      <t>ⓋVegan compatible</t>
    </r>
  </si>
  <si>
    <t>14BMOREAU11</t>
  </si>
  <si>
    <t>~18mths élévage, depending on vintage</t>
  </si>
  <si>
    <t>13BMOREAU11</t>
  </si>
  <si>
    <t>18BMORE04</t>
  </si>
  <si>
    <t>2021 Bernard Moreau label becomes Alex Moreau</t>
  </si>
  <si>
    <t>VOLNAY 1C:</t>
  </si>
  <si>
    <t>2021 20ha domaine splits: Benoit starts own label</t>
  </si>
  <si>
    <t>20BMORE12</t>
  </si>
  <si>
    <t>2016 70% loss cause by frost; no new oak used</t>
  </si>
  <si>
    <t>19BMORE12</t>
  </si>
  <si>
    <t>2011 1st vintage with waxed tops on 1Cs</t>
  </si>
  <si>
    <t>18BMORE11</t>
  </si>
  <si>
    <t>2010 1st vintage Chevalier Montrachet GC</t>
  </si>
  <si>
    <t>20BMORE13</t>
  </si>
  <si>
    <t>1999 Alexandre, 3rd generation, took over cellar</t>
  </si>
  <si>
    <t>17BMOREAU10</t>
  </si>
  <si>
    <t>1995 1st vintage for the sons</t>
  </si>
  <si>
    <t>14BMOREAU07</t>
  </si>
  <si>
    <t>1960s Bernard took over, aged 14</t>
  </si>
  <si>
    <t>13BMOREAU05</t>
  </si>
  <si>
    <t>1939 old parcel planted in Grandes Ruchottes</t>
  </si>
  <si>
    <t>11BMOREAU09</t>
  </si>
  <si>
    <t>1930s Marcel Moreau expanded domaine</t>
  </si>
  <si>
    <t>St.AUBIN 1C BLANC:</t>
  </si>
  <si>
    <t>1809 1st cellar built by Auguste Moreau</t>
  </si>
  <si>
    <t>St. Aubin Sur Gamay 1C BLANC</t>
  </si>
  <si>
    <t>20BMORE01</t>
  </si>
  <si>
    <t>B+D 2* estate, 2022</t>
  </si>
  <si>
    <t>CHASSAGNE BLANC:</t>
  </si>
  <si>
    <t>Wine &amp; Spirits Top 100, Winery of the Year, 2009</t>
  </si>
  <si>
    <t>21BMORE01</t>
  </si>
  <si>
    <t>20BMORE02</t>
  </si>
  <si>
    <t>instagram.com/domainealexmoreau/</t>
  </si>
  <si>
    <t>CHASSAGNE 1C BLANC:</t>
  </si>
  <si>
    <t>CHASSAGNE 1C BLANCS SELL OUT E.P.</t>
  </si>
  <si>
    <t>22MOREAU04</t>
  </si>
  <si>
    <t>LEVI DALTON 'IDTT' INTERVIEW #128</t>
  </si>
  <si>
    <t>21BMORE02</t>
  </si>
  <si>
    <t>GROWER CODE: BMORE</t>
  </si>
  <si>
    <t>20BMORE05</t>
  </si>
  <si>
    <t>21BMORE09</t>
  </si>
  <si>
    <t>LES MONTRACHETS GC:</t>
  </si>
  <si>
    <t>22MOREAU07</t>
  </si>
  <si>
    <t>20BMORE09</t>
  </si>
  <si>
    <r>
      <t>Zubair, Oct.2016</t>
    </r>
    <r>
      <rPr>
        <sz val="7"/>
        <color theme="1" tint="0.499984740745262"/>
        <rFont val="Noto Sans"/>
        <family val="2"/>
      </rPr>
      <t xml:space="preserve"> '(Willy Roulendes is) an utterly brilliant man.'</t>
    </r>
  </si>
  <si>
    <r>
      <t>Dr.D.Morelot, 1831</t>
    </r>
    <r>
      <rPr>
        <sz val="7"/>
        <color theme="1" tint="0.499984740745262"/>
        <rFont val="Noto Sans"/>
        <family val="2"/>
      </rPr>
      <t xml:space="preserve"> '(Orgelot 1C is) among the most renowned areas of Pommard'</t>
    </r>
  </si>
  <si>
    <t>MOULIN AUX MOINES,</t>
  </si>
  <si>
    <t xml:space="preserve">(MAM) &amp; monopole CLOS </t>
  </si>
  <si>
    <t>24CMOULIN12</t>
  </si>
  <si>
    <t>DU MOULIN AUX MOINES</t>
  </si>
  <si>
    <t>17CMOUL06</t>
  </si>
  <si>
    <t>Auxey Duresses. ~15.5ha</t>
  </si>
  <si>
    <t>22CMOULIN09</t>
  </si>
  <si>
    <t xml:space="preserve">Willy Roulendes, régisseur. </t>
  </si>
  <si>
    <t>20CMOULIN06</t>
  </si>
  <si>
    <t>16CMOUL05TB</t>
  </si>
  <si>
    <t xml:space="preserve"> 'biodynamic-uncert'; ⓋVegan compatible</t>
  </si>
  <si>
    <t>22CMOULIN08</t>
  </si>
  <si>
    <t>ambient yeast; bottled unfined &amp; unfiltered</t>
  </si>
  <si>
    <t>20CMOULIN05</t>
  </si>
  <si>
    <t>modest new oak, ~10% new when used</t>
  </si>
  <si>
    <t>17CMOUL05</t>
  </si>
  <si>
    <t>225L for ROUGES; 350L &amp; 400L BLANCS</t>
  </si>
  <si>
    <t>24CMOULIN09</t>
  </si>
  <si>
    <t>plus cement, foudres &amp; terracotta</t>
  </si>
  <si>
    <t>24CMOULIN08</t>
  </si>
  <si>
    <t>10-12mths elevage for BLANC, lighter ROUGE</t>
  </si>
  <si>
    <t>CLOS DU MOULIN BLANC:</t>
  </si>
  <si>
    <t>14-16mths elevage for top ROUGES</t>
  </si>
  <si>
    <t>MONOPOLE PARCELS:</t>
  </si>
  <si>
    <r>
      <t xml:space="preserve">Bourgogne Clos de La Perriere </t>
    </r>
    <r>
      <rPr>
        <b/>
        <sz val="7"/>
        <color theme="1" tint="0.14999847407452621"/>
        <rFont val="Noto Sans"/>
        <family val="2"/>
      </rPr>
      <t>monopole</t>
    </r>
    <r>
      <rPr>
        <b/>
        <sz val="7"/>
        <color theme="1" tint="0.499984740745262"/>
        <rFont val="Noto Sans"/>
        <family val="2"/>
      </rPr>
      <t>:</t>
    </r>
  </si>
  <si>
    <t>20CMOULIN04</t>
  </si>
  <si>
    <t>1.25ha BLANC planted 1972/9 (foudre wine)</t>
  </si>
  <si>
    <t>1.6ha ROUGE planted 1967/8</t>
  </si>
  <si>
    <t>24CMOULIN10</t>
  </si>
  <si>
    <t>at Corpeau, below Puligny @ 220m on sandy clay/limestone</t>
  </si>
  <si>
    <t>24CMOULIN07</t>
  </si>
  <si>
    <r>
      <t xml:space="preserve">Pommard Orgelot 1C </t>
    </r>
    <r>
      <rPr>
        <b/>
        <sz val="7"/>
        <color theme="1" tint="0.14999847407452621"/>
        <rFont val="Noto Sans"/>
        <family val="2"/>
      </rPr>
      <t>monopole</t>
    </r>
    <r>
      <rPr>
        <b/>
        <sz val="7"/>
        <color theme="1" tint="0.499984740745262"/>
        <rFont val="Noto Sans"/>
        <family val="2"/>
      </rPr>
      <t>:</t>
    </r>
  </si>
  <si>
    <t>24CMOULIN06</t>
  </si>
  <si>
    <t>1.08ha planted 1920 (&amp; 1990) E facing at 280m on</t>
  </si>
  <si>
    <t>clay soils with limestone debris, by Pezerolles/Epenots</t>
  </si>
  <si>
    <t>20CMOULIN01</t>
  </si>
  <si>
    <r>
      <t xml:space="preserve">Auxey Duresses Clos du Moulin </t>
    </r>
    <r>
      <rPr>
        <b/>
        <sz val="7"/>
        <color theme="1" tint="0.14999847407452621"/>
        <rFont val="Noto Sans"/>
        <family val="2"/>
      </rPr>
      <t>monopole</t>
    </r>
    <r>
      <rPr>
        <b/>
        <sz val="7"/>
        <color theme="1" tint="0.499984740745262"/>
        <rFont val="Noto Sans"/>
        <family val="2"/>
      </rPr>
      <t xml:space="preserve">: </t>
    </r>
  </si>
  <si>
    <t>24CMOULIN05</t>
  </si>
  <si>
    <t>2.8ha Clos @250m-300m by Meursault Meix Chavaux:</t>
  </si>
  <si>
    <t>22CMOULIN01</t>
  </si>
  <si>
    <t>0.8ha blanc planted 2003, N to NE facing at 298m</t>
  </si>
  <si>
    <t>21CMOULIN01</t>
  </si>
  <si>
    <t>1.2ha rouge planted 1952, 1954, 1985 - silt, sand, limestone</t>
  </si>
  <si>
    <t>18CMOUL02</t>
  </si>
  <si>
    <t>0.8ha rouge VV planted 1952, 1954 on clay-limestone</t>
  </si>
  <si>
    <t>16CMOUL13TB</t>
  </si>
  <si>
    <r>
      <rPr>
        <b/>
        <sz val="6.5"/>
        <color theme="1" tint="0.499984740745262"/>
        <rFont val="Noto Sans"/>
        <family val="2"/>
      </rPr>
      <t xml:space="preserve">(Les Saunots) 'monopole': </t>
    </r>
    <r>
      <rPr>
        <sz val="6.5"/>
        <color theme="1" tint="0.499984740745262"/>
        <rFont val="Noto Sans"/>
        <family val="2"/>
      </rPr>
      <t>an unclassified 0.9ha plot</t>
    </r>
  </si>
  <si>
    <t>18CMOUL06</t>
  </si>
  <si>
    <t>by mill planted 1962 at 220m; makes pinot noir (SSA)</t>
  </si>
  <si>
    <t>16CMOUL14TB</t>
  </si>
  <si>
    <t>BLANC TERROIRS INCLUDE:</t>
  </si>
  <si>
    <t>14CMOUL08TB</t>
  </si>
  <si>
    <r>
      <rPr>
        <b/>
        <sz val="7"/>
        <color theme="1" tint="0.499984740745262"/>
        <rFont val="Noto Sans"/>
        <family val="2"/>
      </rPr>
      <t>St.Romain Blanc:</t>
    </r>
    <r>
      <rPr>
        <sz val="7"/>
        <color theme="1" tint="0.499984740745262"/>
        <rFont val="Noto Sans"/>
        <family val="2"/>
      </rPr>
      <t xml:space="preserve"> 0.54ha planted 1990s 360-400m</t>
    </r>
  </si>
  <si>
    <t>24CMOULIN03</t>
  </si>
  <si>
    <t>S/SW facing, in Combe Bazin</t>
  </si>
  <si>
    <t>22CMOULIN06</t>
  </si>
  <si>
    <r>
      <rPr>
        <b/>
        <sz val="7"/>
        <color theme="1" tint="0.499984740745262"/>
        <rFont val="Noto Sans"/>
        <family val="2"/>
      </rPr>
      <t xml:space="preserve">Monthelie Sous Le Cellier: </t>
    </r>
    <r>
      <rPr>
        <sz val="7"/>
        <color theme="1" tint="0.499984740745262"/>
        <rFont val="Noto Sans"/>
        <family val="2"/>
      </rPr>
      <t xml:space="preserve">0.69ha planted 2003/15 </t>
    </r>
  </si>
  <si>
    <t>20CMOULIN02</t>
  </si>
  <si>
    <t>SW facing at 330m on silt-limestone-sand</t>
  </si>
  <si>
    <t>19CMOULIN02</t>
  </si>
  <si>
    <r>
      <rPr>
        <b/>
        <sz val="7"/>
        <color theme="1" tint="0.499984740745262"/>
        <rFont val="Noto Sans"/>
        <family val="2"/>
      </rPr>
      <t>Pernand Combottes</t>
    </r>
    <r>
      <rPr>
        <sz val="7"/>
        <color theme="1" tint="0.499984740745262"/>
        <rFont val="Noto Sans"/>
        <family val="2"/>
      </rPr>
      <t>: 1.26ha planted 1982, SW</t>
    </r>
  </si>
  <si>
    <t>17CMOUL01</t>
  </si>
  <si>
    <t xml:space="preserve">at 250-300m, below Corton Charlemagne GC </t>
  </si>
  <si>
    <t>CLOS DU MOULIN (WITH STEMS):</t>
  </si>
  <si>
    <t>on white marl, clay over limestone</t>
  </si>
  <si>
    <t>23CMOULIN01</t>
  </si>
  <si>
    <r>
      <t xml:space="preserve">Beaune Montrevenots 1C: </t>
    </r>
    <r>
      <rPr>
        <sz val="7"/>
        <color theme="1" tint="0.499984740745262"/>
        <rFont val="Noto Sans"/>
        <family val="2"/>
      </rPr>
      <t>0.15ha planted 2017</t>
    </r>
  </si>
  <si>
    <t>22CMOULIN02</t>
  </si>
  <si>
    <t>SSW facing at 300m on clay-limestone, above</t>
  </si>
  <si>
    <t>Clos des Mouches, near Orgelot</t>
  </si>
  <si>
    <t>18CMOUL03</t>
  </si>
  <si>
    <r>
      <rPr>
        <b/>
        <sz val="7"/>
        <color theme="1" tint="0.499984740745262"/>
        <rFont val="Noto Sans"/>
        <family val="2"/>
      </rPr>
      <t>Meursault Le Pré de Manche:</t>
    </r>
    <r>
      <rPr>
        <sz val="7"/>
        <color theme="1" tint="0.499984740745262"/>
        <rFont val="Noto Sans"/>
        <family val="2"/>
      </rPr>
      <t xml:space="preserve"> 0.21ha planted </t>
    </r>
  </si>
  <si>
    <t>16CMOUL02TB</t>
  </si>
  <si>
    <t>1990 SE facing on clay-limestone. Bought 2022</t>
  </si>
  <si>
    <t>CLOS DU MOULIN VV (DE-STEMMED):</t>
  </si>
  <si>
    <r>
      <rPr>
        <b/>
        <sz val="7"/>
        <color theme="1" tint="0.499984740745262"/>
        <rFont val="Noto Sans"/>
        <family val="2"/>
      </rPr>
      <t>Meursault Les Charmes 1C:</t>
    </r>
    <r>
      <rPr>
        <sz val="7"/>
        <color theme="1" tint="0.499984740745262"/>
        <rFont val="Noto Sans"/>
        <family val="2"/>
      </rPr>
      <t xml:space="preserve"> 0.12ha VV planted</t>
    </r>
  </si>
  <si>
    <t>24CMOULIN04</t>
  </si>
  <si>
    <t>1950 SE facing at 230m on limestone. Bought 2022</t>
  </si>
  <si>
    <t>23CMOULIN02</t>
  </si>
  <si>
    <r>
      <rPr>
        <b/>
        <sz val="7"/>
        <color theme="1" tint="0.499984740745262"/>
        <rFont val="Noto Sans"/>
        <family val="2"/>
      </rPr>
      <t>Puligny Au Paupillot:</t>
    </r>
    <r>
      <rPr>
        <sz val="7"/>
        <color theme="1" tint="0.499984740745262"/>
        <rFont val="Noto Sans"/>
        <family val="2"/>
      </rPr>
      <t xml:space="preserve"> 0.29ha VV planted 1954</t>
    </r>
  </si>
  <si>
    <t>22CMOULIN03</t>
  </si>
  <si>
    <t>E facing at 230m on gravels over clay-limestone</t>
  </si>
  <si>
    <t>21CMOULIN03</t>
  </si>
  <si>
    <t>Bought 2022</t>
  </si>
  <si>
    <t>19CMOULIN03</t>
  </si>
  <si>
    <r>
      <rPr>
        <b/>
        <sz val="7"/>
        <color theme="1" tint="0.499984740745262"/>
        <rFont val="Noto Sans"/>
        <family val="2"/>
      </rPr>
      <t>Puligny Les Folatières 1C:</t>
    </r>
    <r>
      <rPr>
        <sz val="7"/>
        <color theme="1" tint="0.499984740745262"/>
        <rFont val="Noto Sans"/>
        <family val="2"/>
      </rPr>
      <t xml:space="preserve"> 0.2ha VV planted</t>
    </r>
  </si>
  <si>
    <t>1954 SW facing at 240m on clay-limestone. Bought 2022</t>
  </si>
  <si>
    <t>ROUGE TERROIRS INCLUDE:</t>
  </si>
  <si>
    <t>POMMARD:</t>
  </si>
  <si>
    <r>
      <rPr>
        <b/>
        <sz val="7"/>
        <color theme="1" tint="0.499984740745262"/>
        <rFont val="Noto Sans"/>
        <family val="2"/>
      </rPr>
      <t>Bourgogne Aux Seurrets</t>
    </r>
    <r>
      <rPr>
        <sz val="7"/>
        <color theme="1" tint="0.499984740745262"/>
        <rFont val="Noto Sans"/>
        <family val="2"/>
      </rPr>
      <t>: 0.53ha at 200m</t>
    </r>
  </si>
  <si>
    <t>23CMOULIN03</t>
  </si>
  <si>
    <t>replanted 2014, N.facing. Red clay &amp; limestone</t>
  </si>
  <si>
    <t>21CMOULIN04</t>
  </si>
  <si>
    <r>
      <rPr>
        <b/>
        <sz val="7"/>
        <color theme="1" tint="0.499984740745262"/>
        <rFont val="Noto Sans"/>
        <family val="2"/>
      </rPr>
      <t>St.Romain Sous Roches ROUGE:</t>
    </r>
    <r>
      <rPr>
        <sz val="7"/>
        <color theme="1" tint="0.499984740745262"/>
        <rFont val="Noto Sans"/>
        <family val="2"/>
      </rPr>
      <t xml:space="preserve"> 0.3ha planted</t>
    </r>
  </si>
  <si>
    <t>1951 (VV), 360m-400m, S to SW facing. Clay limestone</t>
  </si>
  <si>
    <t>24CMOULIN02</t>
  </si>
  <si>
    <r>
      <rPr>
        <b/>
        <sz val="7"/>
        <color theme="1" tint="0.499984740745262"/>
        <rFont val="Noto Sans"/>
        <family val="2"/>
      </rPr>
      <t>Beaune Cent Vignes 1C:</t>
    </r>
    <r>
      <rPr>
        <sz val="7"/>
        <color theme="1" tint="0.499984740745262"/>
        <rFont val="Noto Sans"/>
        <family val="2"/>
      </rPr>
      <t xml:space="preserve"> 0.24ha planted 1992</t>
    </r>
  </si>
  <si>
    <t>24CMOULIN01</t>
  </si>
  <si>
    <t>SSE facing at 230m on clay-limestone</t>
  </si>
  <si>
    <t>23CMOULIN04</t>
  </si>
  <si>
    <t>22CMOULIN05</t>
  </si>
  <si>
    <t>2022 purchase 0.5ha Puligny &amp; 0.33ha Meursault</t>
  </si>
  <si>
    <t>20CMOULIN03</t>
  </si>
  <si>
    <t>2021 new boxes free of plastic-tape arrive</t>
  </si>
  <si>
    <t>19CMOULIN05</t>
  </si>
  <si>
    <t>2021 wine bar opens at CMM</t>
  </si>
  <si>
    <t>18CMOUL07</t>
  </si>
  <si>
    <t>2021 new label for pinot noir (vin natur) 2020</t>
  </si>
  <si>
    <t>16CMOUL16TB</t>
  </si>
  <si>
    <t>2020 new lightweight enjambeur arrives</t>
  </si>
  <si>
    <t>2020 viticulturalist Michael Schwab joins</t>
  </si>
  <si>
    <t>2018 horse ploughing returns to the Clos</t>
  </si>
  <si>
    <t>2018 CMM bought by the Rollin family, Paris</t>
  </si>
  <si>
    <t>2015 1st vintage of Beaune Les Cent Vignes 1C</t>
  </si>
  <si>
    <t>2014 1st vintage of AMI label by Willy &amp; friend Paul</t>
  </si>
  <si>
    <t>2011 Last vintage Monthelie Rouge, before ripping</t>
  </si>
  <si>
    <t>2009 Willy Roulendes, régisseur joins</t>
  </si>
  <si>
    <t>2008 CMM bought by Andrieu family, Paris</t>
  </si>
  <si>
    <t>1650 chapel and dovecote built</t>
  </si>
  <si>
    <t>962 mill passes to Citeaux Abbey</t>
  </si>
  <si>
    <t>TBC mill and vineyard founded by Cluny Abbey</t>
  </si>
  <si>
    <t>MoulinAuxMoines.com</t>
  </si>
  <si>
    <t>facebook.com/ClosduMoulinAuxMoines/</t>
  </si>
  <si>
    <t>instagram.com/closdumoulinauxmoines/</t>
  </si>
  <si>
    <t>GROWER CODES: CMOULIN / CMOUL</t>
  </si>
  <si>
    <r>
      <t xml:space="preserve">CLIENTS FOR REDS MAY </t>
    </r>
    <r>
      <rPr>
        <b/>
        <i/>
        <sz val="8"/>
        <color theme="1" tint="0.14999847407452621"/>
        <rFont val="Noto Sans"/>
        <family val="2"/>
      </rPr>
      <t>ALSO</t>
    </r>
    <r>
      <rPr>
        <b/>
        <sz val="8"/>
        <color theme="1" tint="0.14999847407452621"/>
        <rFont val="Noto Sans"/>
        <family val="2"/>
      </rPr>
      <t xml:space="preserve"> ACCESS WHITES. WHITE</t>
    </r>
  </si>
  <si>
    <t>ONLY REQUESTS CANNOT BE ENTERTAINED. Thanks</t>
  </si>
  <si>
    <t>POTINET-AMPEAU, Dom.</t>
  </si>
  <si>
    <t>By Vincent Durrieu</t>
  </si>
  <si>
    <t>Vincent Durrieu, 5th gen., Monthelie. 8.7ha</t>
  </si>
  <si>
    <t>VILLAGE BLANC:</t>
  </si>
  <si>
    <t>50:50 white:red, and 56% 1C.</t>
  </si>
  <si>
    <t>16POTAMP18TB</t>
  </si>
  <si>
    <t>24POTAMP01</t>
  </si>
  <si>
    <t>mechanical press; max 30% new oak</t>
  </si>
  <si>
    <t>24POTAMP10</t>
  </si>
  <si>
    <t>reds unfined</t>
  </si>
  <si>
    <t>22POTAMP07</t>
  </si>
  <si>
    <t>NB mature wines are from their 4 cellars</t>
  </si>
  <si>
    <t>24POTAMP03</t>
  </si>
  <si>
    <t>24POTAMP11</t>
  </si>
  <si>
    <t>2015 1st vintage all with DIAM 30s</t>
  </si>
  <si>
    <t>24POTAMP02</t>
  </si>
  <si>
    <t>2007 0.26ha Meursault Porusots 1C bought</t>
  </si>
  <si>
    <t>24POTAMP04</t>
  </si>
  <si>
    <t>2003 Vincent took over production</t>
  </si>
  <si>
    <t>24POTAMP12</t>
  </si>
  <si>
    <t>1997 Puligny Champ Gains 1C bought</t>
  </si>
  <si>
    <t>1993 Volnay Carelles Sous La Chappelle 1C bought</t>
  </si>
  <si>
    <t>22POTAMP09</t>
  </si>
  <si>
    <t>1984 grandson Vincent Durrieu born</t>
  </si>
  <si>
    <t>1951 Henri started long bottle maturation</t>
  </si>
  <si>
    <t>14POTAMP11TB</t>
  </si>
  <si>
    <t>1939 Henri started full time</t>
  </si>
  <si>
    <t>24POTAMP05</t>
  </si>
  <si>
    <t>1924 3rd generation Henri born</t>
  </si>
  <si>
    <t>20POTAMP07</t>
  </si>
  <si>
    <t>WHITE VINEYARDS:</t>
  </si>
  <si>
    <t>24POTAMP14</t>
  </si>
  <si>
    <r>
      <rPr>
        <b/>
        <sz val="7"/>
        <color theme="1" tint="0.499984740745262"/>
        <rFont val="Noto Sans"/>
        <family val="2"/>
      </rPr>
      <t>aligoté</t>
    </r>
    <r>
      <rPr>
        <sz val="7"/>
        <color theme="1" tint="0.499984740745262"/>
        <rFont val="Noto Sans"/>
        <family val="2"/>
      </rPr>
      <t xml:space="preserve"> 0.35ha planted 1940</t>
    </r>
  </si>
  <si>
    <r>
      <rPr>
        <b/>
        <sz val="7"/>
        <color theme="1" tint="0.499984740745262"/>
        <rFont val="Noto Sans"/>
        <family val="2"/>
      </rPr>
      <t>Bourgogne bl</t>
    </r>
    <r>
      <rPr>
        <sz val="7"/>
        <color theme="1" tint="0.499984740745262"/>
        <rFont val="Noto Sans"/>
        <family val="2"/>
      </rPr>
      <t>. 0.57ha planted 1960/1978</t>
    </r>
  </si>
  <si>
    <t>24POTAMP06</t>
  </si>
  <si>
    <r>
      <rPr>
        <b/>
        <sz val="7"/>
        <color theme="1" tint="0.499984740745262"/>
        <rFont val="Noto Sans"/>
        <family val="2"/>
      </rPr>
      <t xml:space="preserve">Monthelie bl. </t>
    </r>
    <r>
      <rPr>
        <sz val="7"/>
        <color theme="1" tint="0.499984740745262"/>
        <rFont val="Noto Sans"/>
        <family val="2"/>
      </rPr>
      <t>0.52ha</t>
    </r>
  </si>
  <si>
    <t>24POTAMP13</t>
  </si>
  <si>
    <r>
      <rPr>
        <b/>
        <sz val="7"/>
        <color theme="1" tint="0.499984740745262"/>
        <rFont val="Noto Sans"/>
        <family val="2"/>
      </rPr>
      <t>Meursault Les Rougeots</t>
    </r>
    <r>
      <rPr>
        <sz val="7"/>
        <color theme="1" tint="0.499984740745262"/>
        <rFont val="Noto Sans"/>
        <family val="2"/>
      </rPr>
      <t xml:space="preserve"> 0.48ha planted 1980</t>
    </r>
  </si>
  <si>
    <t>21POTAMP03</t>
  </si>
  <si>
    <r>
      <rPr>
        <b/>
        <sz val="7"/>
        <color theme="1" tint="0.499984740745262"/>
        <rFont val="Noto Sans"/>
        <family val="2"/>
      </rPr>
      <t>Meursault Perrieres 1C</t>
    </r>
    <r>
      <rPr>
        <sz val="7"/>
        <color theme="1" tint="0.499984740745262"/>
        <rFont val="Noto Sans"/>
        <family val="2"/>
      </rPr>
      <t xml:space="preserve"> 0.3ha planted 1967</t>
    </r>
  </si>
  <si>
    <t>22POTAMP10</t>
  </si>
  <si>
    <r>
      <rPr>
        <b/>
        <sz val="7"/>
        <color theme="1" tint="0.499984740745262"/>
        <rFont val="Noto Sans"/>
        <family val="2"/>
      </rPr>
      <t>Meursault Charmes 1C</t>
    </r>
    <r>
      <rPr>
        <sz val="7"/>
        <color theme="1" tint="0.499984740745262"/>
        <rFont val="Noto Sans"/>
        <family val="2"/>
      </rPr>
      <t xml:space="preserve"> 0.43ha planted 1970</t>
    </r>
  </si>
  <si>
    <t>22POTAMP11</t>
  </si>
  <si>
    <r>
      <rPr>
        <b/>
        <sz val="7"/>
        <color theme="1" tint="0.499984740745262"/>
        <rFont val="Noto Sans"/>
        <family val="2"/>
      </rPr>
      <t>Meursault Porusots 1C</t>
    </r>
    <r>
      <rPr>
        <sz val="7"/>
        <color theme="1" tint="0.499984740745262"/>
        <rFont val="Noto Sans"/>
        <family val="2"/>
      </rPr>
      <t xml:space="preserve"> 0.26ha planted 1965</t>
    </r>
  </si>
  <si>
    <t>23POTAMP04</t>
  </si>
  <si>
    <r>
      <rPr>
        <b/>
        <sz val="7"/>
        <color theme="1" tint="0.499984740745262"/>
        <rFont val="Noto Sans"/>
        <family val="2"/>
      </rPr>
      <t>Puligny Montrachet</t>
    </r>
    <r>
      <rPr>
        <sz val="7"/>
        <color theme="1" tint="0.499984740745262"/>
        <rFont val="Noto Sans"/>
        <family val="2"/>
      </rPr>
      <t xml:space="preserve"> 0.48ha</t>
    </r>
  </si>
  <si>
    <t>23POTAMP05</t>
  </si>
  <si>
    <r>
      <rPr>
        <b/>
        <sz val="7"/>
        <color theme="1" tint="0.499984740745262"/>
        <rFont val="Noto Sans"/>
        <family val="2"/>
      </rPr>
      <t>PM Champs Gains 1C</t>
    </r>
    <r>
      <rPr>
        <sz val="7"/>
        <color theme="1" tint="0.499984740745262"/>
        <rFont val="Noto Sans"/>
        <family val="2"/>
      </rPr>
      <t xml:space="preserve"> 0.48ha planted 1980</t>
    </r>
  </si>
  <si>
    <t>21POTAMP02</t>
  </si>
  <si>
    <t>RED VINEYARDS:</t>
  </si>
  <si>
    <t>24POTAMP09</t>
  </si>
  <si>
    <r>
      <rPr>
        <b/>
        <sz val="7"/>
        <color theme="1" tint="0.499984740745262"/>
        <rFont val="Noto Sans"/>
        <family val="2"/>
      </rPr>
      <t>Monthelie rge</t>
    </r>
    <r>
      <rPr>
        <sz val="7"/>
        <color theme="1" tint="0.499984740745262"/>
        <rFont val="Noto Sans"/>
        <family val="2"/>
      </rPr>
      <t xml:space="preserve"> 1ha</t>
    </r>
  </si>
  <si>
    <t>24POTAMP08</t>
  </si>
  <si>
    <r>
      <rPr>
        <b/>
        <sz val="7"/>
        <color theme="1" tint="0.499984740745262"/>
        <rFont val="Noto Sans"/>
        <family val="2"/>
      </rPr>
      <t>Monthelie Les Riottes 1C</t>
    </r>
    <r>
      <rPr>
        <sz val="7"/>
        <color theme="1" tint="0.499984740745262"/>
        <rFont val="Noto Sans"/>
        <family val="2"/>
      </rPr>
      <t xml:space="preserve"> 1ha planted 1972</t>
    </r>
  </si>
  <si>
    <r>
      <rPr>
        <b/>
        <sz val="7"/>
        <color theme="1" tint="0.499984740745262"/>
        <rFont val="Noto Sans"/>
        <family val="2"/>
      </rPr>
      <t>Monthelie Ch.Fuillots 1C</t>
    </r>
    <r>
      <rPr>
        <sz val="7"/>
        <color theme="1" tint="0.499984740745262"/>
        <rFont val="Noto Sans"/>
        <family val="2"/>
      </rPr>
      <t xml:space="preserve"> 0.22ha planted 1976</t>
    </r>
  </si>
  <si>
    <t>15POTAMP06MTB</t>
  </si>
  <si>
    <r>
      <rPr>
        <b/>
        <sz val="7"/>
        <color theme="1" tint="0.499984740745262"/>
        <rFont val="Noto Sans"/>
        <family val="2"/>
      </rPr>
      <t>Auxey Bas des Duresses 1C</t>
    </r>
    <r>
      <rPr>
        <sz val="7"/>
        <color theme="1" tint="0.499984740745262"/>
        <rFont val="Noto Sans"/>
        <family val="2"/>
      </rPr>
      <t xml:space="preserve"> 0.26ha now fallow</t>
    </r>
  </si>
  <si>
    <t>15POTAMP05MTB</t>
  </si>
  <si>
    <r>
      <rPr>
        <b/>
        <sz val="7"/>
        <color theme="1" tint="0.499984740745262"/>
        <rFont val="Noto Sans"/>
        <family val="2"/>
      </rPr>
      <t>Pommard Pezerolles 1C</t>
    </r>
    <r>
      <rPr>
        <sz val="7"/>
        <color theme="1" tint="0.499984740745262"/>
        <rFont val="Noto Sans"/>
        <family val="2"/>
      </rPr>
      <t xml:space="preserve"> 0.57ha replanted 1999</t>
    </r>
  </si>
  <si>
    <t>15POTAMP04MTB</t>
  </si>
  <si>
    <r>
      <rPr>
        <b/>
        <sz val="7"/>
        <color theme="1" tint="0.499984740745262"/>
        <rFont val="Noto Sans"/>
        <family val="2"/>
      </rPr>
      <t>Volnay</t>
    </r>
    <r>
      <rPr>
        <sz val="7"/>
        <color theme="1" tint="0.499984740745262"/>
        <rFont val="Noto Sans"/>
        <family val="2"/>
      </rPr>
      <t xml:space="preserve"> 0.17ha </t>
    </r>
  </si>
  <si>
    <r>
      <rPr>
        <b/>
        <sz val="7"/>
        <color theme="1" tint="0.499984740745262"/>
        <rFont val="Noto Sans"/>
        <family val="2"/>
      </rPr>
      <t>Volnay Carelles Sous La Chappelle 1C</t>
    </r>
    <r>
      <rPr>
        <sz val="7"/>
        <color theme="1" tint="0.499984740745262"/>
        <rFont val="Noto Sans"/>
        <family val="2"/>
      </rPr>
      <t xml:space="preserve"> 0.39ha</t>
    </r>
  </si>
  <si>
    <r>
      <rPr>
        <b/>
        <sz val="7"/>
        <color theme="1" tint="0.499984740745262"/>
        <rFont val="Noto Sans"/>
        <family val="2"/>
      </rPr>
      <t>Volnay Clos des Chenes 1C</t>
    </r>
    <r>
      <rPr>
        <sz val="7"/>
        <color theme="1" tint="0.499984740745262"/>
        <rFont val="Noto Sans"/>
        <family val="2"/>
      </rPr>
      <t xml:space="preserve"> 0.7ha planted 1980</t>
    </r>
  </si>
  <si>
    <t>youtube.com/watch?v=4uR59RF7ATU</t>
  </si>
  <si>
    <t>GROWER CODE: POTAMP</t>
  </si>
  <si>
    <r>
      <t xml:space="preserve">A.Meadows, Burghound #63, Jun.2016: </t>
    </r>
    <r>
      <rPr>
        <sz val="7"/>
        <color theme="1" tint="0.499984740745262"/>
        <rFont val="Noto Sans"/>
        <family val="2"/>
      </rPr>
      <t>'worth seeking out'</t>
    </r>
  </si>
  <si>
    <t>HENRI PRUDHON</t>
  </si>
  <si>
    <t>St.Aubin. 14.5ha vines, 45% red</t>
  </si>
  <si>
    <t>23PRUDON02</t>
  </si>
  <si>
    <t>brothers Vincent &amp; Philippe Prudhon</t>
  </si>
  <si>
    <t>Training: chard' in guyot, pinot cordon royat</t>
  </si>
  <si>
    <t>23PRUDON01</t>
  </si>
  <si>
    <r>
      <t xml:space="preserve">sustainable </t>
    </r>
    <r>
      <rPr>
        <sz val="8"/>
        <color theme="1" tint="0.14999847407452621"/>
        <rFont val="Noto Sans"/>
        <family val="2"/>
      </rPr>
      <t>agriculture, in formal Chambre</t>
    </r>
  </si>
  <si>
    <t>d'Agriculture program. Ambient yeast,</t>
  </si>
  <si>
    <t>19PRUDON04</t>
  </si>
  <si>
    <t>all wines are raised in cask.</t>
  </si>
  <si>
    <t>11JAPRUDHON</t>
  </si>
  <si>
    <t>25-35% new oak for whites; none for reds</t>
  </si>
  <si>
    <t>bentonite fining IF required; light filtration</t>
  </si>
  <si>
    <r>
      <t xml:space="preserve">ⓋVegan compatible. </t>
    </r>
    <r>
      <rPr>
        <sz val="8"/>
        <color theme="1" tint="0.14999847407452621"/>
        <rFont val="Noto Sans"/>
        <family val="2"/>
      </rPr>
      <t>DIAM closures</t>
    </r>
  </si>
  <si>
    <t>2001 Philippe joins, after enology studies</t>
  </si>
  <si>
    <t>1997 Vincent joins, after business studies</t>
  </si>
  <si>
    <t>1980s Gérard started bottling wine</t>
  </si>
  <si>
    <t>1979 son Philippe born</t>
  </si>
  <si>
    <t>1974 son Vincent born</t>
  </si>
  <si>
    <t>1969 Gérard joins the domaine</t>
  </si>
  <si>
    <t>1949 2nd child Gérard born</t>
  </si>
  <si>
    <t>1945 Henri marries Marguerite, family vines pooled</t>
  </si>
  <si>
    <t>1921 Henri born into a vinegrowing family</t>
  </si>
  <si>
    <t>Chateniere: steep 0.11ha planted 1960s, ~800btls</t>
  </si>
  <si>
    <t>En Remilly: 0.27ha planted 1991 on plateau over GCs</t>
  </si>
  <si>
    <t>Rouge Gorge rge: 0.7ha 40-60yrs, several plots</t>
  </si>
  <si>
    <t>Sentier du Clou rge: 1.5ha 60-75yrs, several plots</t>
  </si>
  <si>
    <t>Henri-Prudhon.fr</t>
  </si>
  <si>
    <t>GROWER CODE: PRUDON</t>
  </si>
  <si>
    <t>ROLLIN ON ROLLIN:</t>
  </si>
  <si>
    <r>
      <rPr>
        <b/>
        <sz val="7"/>
        <color theme="1" tint="0.499984740745262"/>
        <rFont val="Noto Sans"/>
        <family val="2"/>
      </rPr>
      <t xml:space="preserve">Famille Rollin </t>
    </r>
    <r>
      <rPr>
        <sz val="7"/>
        <color theme="1" tint="0.499984740745262"/>
        <rFont val="Noto Sans"/>
        <family val="2"/>
      </rPr>
      <t>'We respect daily the balance of Nature, to preserve our terroirs and produce wines of exception.'</t>
    </r>
  </si>
  <si>
    <r>
      <rPr>
        <b/>
        <sz val="7"/>
        <color theme="1" tint="0.499984740745262"/>
        <rFont val="Noto Sans"/>
        <family val="2"/>
      </rPr>
      <t>Famille Rollin</t>
    </r>
    <r>
      <rPr>
        <sz val="7"/>
        <color theme="1" tint="0.499984740745262"/>
        <rFont val="Noto Sans"/>
        <family val="2"/>
      </rPr>
      <t xml:space="preserve"> 'It is impossible for us to create great wines without good grapes from well-maintained terroirs. This is why it is essential to work as</t>
    </r>
  </si>
  <si>
    <t>cleanly, neatly and naturally as possible. In this process we are certified by Terravitis since 2015.'</t>
  </si>
  <si>
    <r>
      <rPr>
        <b/>
        <sz val="7"/>
        <color theme="1" tint="0.499984740745262"/>
        <rFont val="Noto Sans"/>
        <family val="2"/>
      </rPr>
      <t xml:space="preserve">Famille Rollin </t>
    </r>
    <r>
      <rPr>
        <sz val="7"/>
        <color theme="1" tint="0.499984740745262"/>
        <rFont val="Noto Sans"/>
        <family val="2"/>
      </rPr>
      <t>'Good ‘common sense’ is essential in the choices we make.'</t>
    </r>
  </si>
  <si>
    <r>
      <rPr>
        <b/>
        <sz val="7"/>
        <color theme="1" tint="0.499984740745262"/>
        <rFont val="Noto Sans"/>
        <family val="2"/>
      </rPr>
      <t>Famille Rollin</t>
    </r>
    <r>
      <rPr>
        <sz val="7"/>
        <color theme="1" tint="0.499984740745262"/>
        <rFont val="Noto Sans"/>
        <family val="2"/>
      </rPr>
      <t xml:space="preserve"> 'The years follow one another but do not look the same! Nature is our guiding light; this is what makes our work so rich.'</t>
    </r>
  </si>
  <si>
    <t>RÉMI ROLLIN, Domaine</t>
  </si>
  <si>
    <t>PERNAND BLANC:</t>
  </si>
  <si>
    <t>by Simon &amp; Caroline</t>
  </si>
  <si>
    <t>21ROLLIN02</t>
  </si>
  <si>
    <t>Pernand Vergelesses.</t>
  </si>
  <si>
    <t>20ROLLIN04</t>
  </si>
  <si>
    <t>Simon &amp; Caroline Rollin, 4th generation</t>
  </si>
  <si>
    <t>18ROLLIN01</t>
  </si>
  <si>
    <t>14ha. 50:50 white:red. Ambient yeast</t>
  </si>
  <si>
    <t>17ROLLIN01</t>
  </si>
  <si>
    <t>reds unfined; whites w.bentonite IF required</t>
  </si>
  <si>
    <t>22ROLLIN02</t>
  </si>
  <si>
    <t>1C reds unfiltered. Damy casks for white</t>
  </si>
  <si>
    <t>21ROLLIN03</t>
  </si>
  <si>
    <t>20ROLLIN01</t>
  </si>
  <si>
    <t>19ROLLIN01</t>
  </si>
  <si>
    <t>18ROLLIN02</t>
  </si>
  <si>
    <t>2015 start of sustainable certified Terra Vitis</t>
  </si>
  <si>
    <t>GRAND CRU BLANC:</t>
  </si>
  <si>
    <t>2009 Simon's wife Caroline joins</t>
  </si>
  <si>
    <t>22ROLLIN01</t>
  </si>
  <si>
    <t>2003 Simon, 4th generation, joined father Rémi</t>
  </si>
  <si>
    <t>01ROLLIN01</t>
  </si>
  <si>
    <t>1992 new cuverie built under a Pernand vineyard</t>
  </si>
  <si>
    <t>BOURGOGNE HCDB ROUGE:</t>
  </si>
  <si>
    <t>1990s all now domaine bottled</t>
  </si>
  <si>
    <t>20ROLLIN05</t>
  </si>
  <si>
    <t>1980s grew to 10ha</t>
  </si>
  <si>
    <t>1976 Remi joined</t>
  </si>
  <si>
    <t>PERNAND ROUGE:</t>
  </si>
  <si>
    <t>1955 Maurice joins, starts to vinify &amp; sell</t>
  </si>
  <si>
    <t>19ROLLIN04</t>
  </si>
  <si>
    <t>1930s Raymond started purchasing vines</t>
  </si>
  <si>
    <t>15ROLLIN03</t>
  </si>
  <si>
    <t>13ROLLIN03</t>
  </si>
  <si>
    <r>
      <rPr>
        <b/>
        <sz val="7"/>
        <color theme="1" tint="0.499984740745262"/>
        <rFont val="Noto Sans"/>
        <family val="2"/>
      </rPr>
      <t>Pernand Les Cloux BLANC:</t>
    </r>
    <r>
      <rPr>
        <sz val="7"/>
        <color theme="1" tint="0.499984740745262"/>
        <rFont val="Noto Sans"/>
        <family val="2"/>
      </rPr>
      <t xml:space="preserve"> 1.7ha @ ~350m on</t>
    </r>
  </si>
  <si>
    <t>12ROLLIN03</t>
  </si>
  <si>
    <t>SE facing slope in the combe behind/above Corton</t>
  </si>
  <si>
    <t>22ROLLIN03</t>
  </si>
  <si>
    <r>
      <rPr>
        <b/>
        <sz val="7"/>
        <color theme="1" tint="0.499984740745262"/>
        <rFont val="Noto Sans"/>
        <family val="2"/>
      </rPr>
      <t>CC GC BLANC:</t>
    </r>
    <r>
      <rPr>
        <sz val="7"/>
        <color theme="1" tint="0.499984740745262"/>
        <rFont val="Noto Sans"/>
        <family val="2"/>
      </rPr>
      <t xml:space="preserve"> 0.47ha in 2 parcels, planted 1948</t>
    </r>
  </si>
  <si>
    <t>21ROLLIN04</t>
  </si>
  <si>
    <t>&amp; 1976. Both upper slope, in Le &amp; En Charlemagne</t>
  </si>
  <si>
    <t>20ROLLIN03</t>
  </si>
  <si>
    <r>
      <rPr>
        <b/>
        <sz val="7"/>
        <color theme="1" tint="0.499984740745262"/>
        <rFont val="Noto Sans"/>
        <family val="2"/>
      </rPr>
      <t xml:space="preserve">Pernand Fichots 1C: </t>
    </r>
    <r>
      <rPr>
        <sz val="7"/>
        <color theme="1" tint="0.499984740745262"/>
        <rFont val="Noto Sans"/>
        <family val="2"/>
      </rPr>
      <t>0.66ha, 25% planted 1945</t>
    </r>
  </si>
  <si>
    <t>19ROLLIN03</t>
  </si>
  <si>
    <r>
      <rPr>
        <b/>
        <sz val="7"/>
        <color theme="1" tint="0.499984740745262"/>
        <rFont val="Noto Sans"/>
        <family val="2"/>
      </rPr>
      <t>Pernand Ile de Vergelesses 1C:</t>
    </r>
    <r>
      <rPr>
        <sz val="7"/>
        <color theme="1" tint="0.499984740745262"/>
        <rFont val="Noto Sans"/>
        <family val="2"/>
      </rPr>
      <t xml:space="preserve"> 0.66ha, 66% 1946</t>
    </r>
  </si>
  <si>
    <t>18ROLLIN05</t>
  </si>
  <si>
    <t>Domaine-Rollin.com</t>
  </si>
  <si>
    <t>17ROLLIN03</t>
  </si>
  <si>
    <t>Terra Vitis</t>
  </si>
  <si>
    <t>16ROLLIN03</t>
  </si>
  <si>
    <t>instagram.com/domainerollinpereetfils/</t>
  </si>
  <si>
    <t>14ROLLIN01</t>
  </si>
  <si>
    <t>GROWER CODE: ROLLIN</t>
  </si>
  <si>
    <t>13ROLLIN04</t>
  </si>
  <si>
    <t>08ROLLIN02</t>
  </si>
  <si>
    <t>PERNAND 1C ROUGE EN MAGNUM:</t>
  </si>
  <si>
    <t>12ROLLIN03MG</t>
  </si>
  <si>
    <t>11ROLLIN03MG</t>
  </si>
  <si>
    <r>
      <rPr>
        <b/>
        <sz val="7"/>
        <color theme="1" tint="0.499984740745262"/>
        <rFont val="Noto Sans"/>
        <family val="2"/>
      </rPr>
      <t>Bill Nanson, 2015</t>
    </r>
    <r>
      <rPr>
        <sz val="7"/>
        <color theme="1" tint="0.499984740745262"/>
        <rFont val="Noto Sans"/>
        <family val="2"/>
      </rPr>
      <t xml:space="preserve"> 'unassuming 7 hectare family domaine'</t>
    </r>
  </si>
  <si>
    <t>SERRIGNY, Dom.</t>
  </si>
  <si>
    <t>Savigny Les Beaune. Marie-Laure Serrigny</t>
  </si>
  <si>
    <t>4th generation. 7ha in 10 AOCs</t>
  </si>
  <si>
    <t>14SERRIG06</t>
  </si>
  <si>
    <t>&gt;20parcels in Savigny</t>
  </si>
  <si>
    <t>16SERRIG08</t>
  </si>
  <si>
    <t>min.25yr vines, average 40+, to tvv &gt;100yrs</t>
  </si>
  <si>
    <t>15SERRIG08</t>
  </si>
  <si>
    <t>Ambient yeast. Destemmed. 1-4yr oak casks</t>
  </si>
  <si>
    <t>14SERRIG07</t>
  </si>
  <si>
    <t>sustainable; ⓋVegan compatible</t>
  </si>
  <si>
    <t>12SERRIG02</t>
  </si>
  <si>
    <t>13SERRIG07TB</t>
  </si>
  <si>
    <r>
      <rPr>
        <b/>
        <sz val="7"/>
        <color theme="1" tint="0.499984740745262"/>
        <rFont val="Noto Sans"/>
        <family val="2"/>
      </rPr>
      <t>Aligoté:</t>
    </r>
    <r>
      <rPr>
        <sz val="7"/>
        <color theme="1" tint="0.499984740745262"/>
        <rFont val="Noto Sans"/>
        <family val="2"/>
      </rPr>
      <t xml:space="preserve"> 0.13ha TVV &gt;100yrs in Savigny Perrieres</t>
    </r>
  </si>
  <si>
    <r>
      <rPr>
        <b/>
        <sz val="7"/>
        <color theme="1" tint="0.499984740745262"/>
        <rFont val="Noto Sans"/>
        <family val="2"/>
      </rPr>
      <t>Savigny Blanc</t>
    </r>
    <r>
      <rPr>
        <sz val="7"/>
        <color theme="1" tint="0.499984740745262"/>
        <rFont val="Noto Sans"/>
        <family val="2"/>
      </rPr>
      <t>: ~0.6ha 3 parcels planted 89/08/10</t>
    </r>
  </si>
  <si>
    <t>15SERRIG06</t>
  </si>
  <si>
    <r>
      <rPr>
        <b/>
        <sz val="7"/>
        <color theme="1" tint="0.499984740745262"/>
        <rFont val="Noto Sans"/>
        <family val="2"/>
      </rPr>
      <t xml:space="preserve">Serrignyssime: </t>
    </r>
    <r>
      <rPr>
        <sz val="7"/>
        <color theme="1" tint="0.499984740745262"/>
        <rFont val="Noto Sans"/>
        <family val="2"/>
      </rPr>
      <t>~1.2ha 70-80yr VV across Savigny</t>
    </r>
  </si>
  <si>
    <t>14SERRIG05</t>
  </si>
  <si>
    <r>
      <rPr>
        <b/>
        <sz val="7"/>
        <color theme="1" tint="0.499984740745262"/>
        <rFont val="Noto Sans"/>
        <family val="2"/>
      </rPr>
      <t>CDN Rouge</t>
    </r>
    <r>
      <rPr>
        <sz val="7"/>
        <color theme="1" tint="0.499984740745262"/>
        <rFont val="Noto Sans"/>
        <family val="2"/>
      </rPr>
      <t>: 0.56ha average 40yrs in 3 parcels</t>
    </r>
  </si>
  <si>
    <t>12SERRIG03</t>
  </si>
  <si>
    <r>
      <rPr>
        <b/>
        <sz val="7"/>
        <color theme="1" tint="0.499984740745262"/>
        <rFont val="Noto Sans"/>
        <family val="2"/>
      </rPr>
      <t>Pernand Rouge</t>
    </r>
    <r>
      <rPr>
        <sz val="7"/>
        <color theme="1" tint="0.499984740745262"/>
        <rFont val="Noto Sans"/>
        <family val="2"/>
      </rPr>
      <t>: 0.22ha ~50yrs in Les Noirets</t>
    </r>
  </si>
  <si>
    <t>15SERRIG05</t>
  </si>
  <si>
    <r>
      <rPr>
        <b/>
        <sz val="7"/>
        <color theme="1" tint="0.499984740745262"/>
        <rFont val="Noto Sans"/>
        <family val="2"/>
      </rPr>
      <t>Savigny Rouge</t>
    </r>
    <r>
      <rPr>
        <sz val="7"/>
        <color theme="1" tint="0.499984740745262"/>
        <rFont val="Noto Sans"/>
        <family val="2"/>
      </rPr>
      <t>: 1.94ha average ~45yrs across 3</t>
    </r>
  </si>
  <si>
    <t>16SERRIG04</t>
  </si>
  <si>
    <t>climats on stony clay soil</t>
  </si>
  <si>
    <t>12SERRIG04</t>
  </si>
  <si>
    <r>
      <rPr>
        <b/>
        <sz val="7"/>
        <color theme="1" tint="0.499984740745262"/>
        <rFont val="Noto Sans"/>
        <family val="2"/>
      </rPr>
      <t>Savigny Serrignyssime</t>
    </r>
    <r>
      <rPr>
        <sz val="7"/>
        <color theme="1" tint="0.499984740745262"/>
        <rFont val="Noto Sans"/>
        <family val="2"/>
      </rPr>
      <t>: 1.22ha VV over &gt;70yrs</t>
    </r>
  </si>
  <si>
    <t>13SERRIG04TB</t>
  </si>
  <si>
    <t>across four lieux dits; 1st made 2011</t>
  </si>
  <si>
    <t>13SERRIG05TB</t>
  </si>
  <si>
    <r>
      <rPr>
        <b/>
        <sz val="7"/>
        <color theme="1" tint="0.499984740745262"/>
        <rFont val="Noto Sans"/>
        <family val="2"/>
      </rPr>
      <t>Peuillets 1C:</t>
    </r>
    <r>
      <rPr>
        <sz val="7"/>
        <color theme="1" tint="0.499984740745262"/>
        <rFont val="Noto Sans"/>
        <family val="2"/>
      </rPr>
      <t xml:space="preserve"> 0.8ha average 45 vines. E/NE facing,</t>
    </r>
  </si>
  <si>
    <t>gravels on limestone. 50% stems in riper years</t>
  </si>
  <si>
    <t>13SERRIG06TB</t>
  </si>
  <si>
    <r>
      <rPr>
        <b/>
        <sz val="7"/>
        <color theme="1" tint="0.499984740745262"/>
        <rFont val="Noto Sans"/>
        <family val="2"/>
      </rPr>
      <t>Dominode 1C</t>
    </r>
    <r>
      <rPr>
        <sz val="7"/>
        <color theme="1" tint="0.499984740745262"/>
        <rFont val="Noto Sans"/>
        <family val="2"/>
      </rPr>
      <t>: 1/2ha ~100yr TVV facing E/NE on</t>
    </r>
  </si>
  <si>
    <t>15SERRIG09</t>
  </si>
  <si>
    <t>sandy terroir. 50% stems in riper years</t>
  </si>
  <si>
    <t>12SERRIG06</t>
  </si>
  <si>
    <r>
      <rPr>
        <b/>
        <sz val="7"/>
        <color theme="1" tint="0.499984740745262"/>
        <rFont val="Noto Sans"/>
        <family val="2"/>
      </rPr>
      <t xml:space="preserve">Auxey Bas des Duresses 1C: </t>
    </r>
    <r>
      <rPr>
        <sz val="7"/>
        <color theme="1" tint="0.499984740745262"/>
        <rFont val="Noto Sans"/>
        <family val="2"/>
      </rPr>
      <t>0.275ha planted</t>
    </r>
  </si>
  <si>
    <t>13SERRIG02TB</t>
  </si>
  <si>
    <t>1960s. Bought in 2016. Destemmed thus far</t>
  </si>
  <si>
    <r>
      <rPr>
        <b/>
        <sz val="7"/>
        <color theme="1" tint="0.499984740745262"/>
        <rFont val="Noto Sans"/>
        <family val="2"/>
      </rPr>
      <t xml:space="preserve">Monthelie Sur La Velle 1C: </t>
    </r>
    <r>
      <rPr>
        <sz val="7"/>
        <color theme="1" tint="0.499984740745262"/>
        <rFont val="Noto Sans"/>
        <family val="2"/>
      </rPr>
      <t>0.46ha ~50yrs</t>
    </r>
  </si>
  <si>
    <t>16SERRIG07</t>
  </si>
  <si>
    <r>
      <rPr>
        <b/>
        <sz val="7"/>
        <color theme="1" tint="0.499984740745262"/>
        <rFont val="Noto Sans"/>
        <family val="2"/>
      </rPr>
      <t xml:space="preserve">Volnay Mitans 1C: </t>
    </r>
    <r>
      <rPr>
        <sz val="7"/>
        <color theme="1" tint="0.499984740745262"/>
        <rFont val="Noto Sans"/>
        <family val="2"/>
      </rPr>
      <t>0.3ha ~30yrs</t>
    </r>
  </si>
  <si>
    <t>16SERRIG06</t>
  </si>
  <si>
    <t>2017 last vintage shipped by Raeburn</t>
  </si>
  <si>
    <t>2016 Francine sadly passes away</t>
  </si>
  <si>
    <t>2015 Jean-Luc Rousseau joins (ex-Vougeraie)</t>
  </si>
  <si>
    <t>2011 1st vintage of Savigny Serrignyssime</t>
  </si>
  <si>
    <t>2007 all wine estate bottled from now</t>
  </si>
  <si>
    <t>1995 Francine joined the domaine</t>
  </si>
  <si>
    <t>1995 father passes away, leaving 5ha domaine</t>
  </si>
  <si>
    <t>1988 Marie-Laure joins father after studies</t>
  </si>
  <si>
    <t>Domaine-Serrigny.fr</t>
  </si>
  <si>
    <t>GROWER CODE: SERRIG</t>
  </si>
  <si>
    <t>KIND WORDS ON TERRES DE VELLE:</t>
  </si>
  <si>
    <r>
      <t xml:space="preserve">Motto: </t>
    </r>
    <r>
      <rPr>
        <sz val="7"/>
        <color theme="1" tint="0.499984740745262"/>
        <rFont val="Noto Sans"/>
        <family val="2"/>
      </rPr>
      <t>'Working heart and soul to help each of our wines to express to the maximum their unique “climat”.'</t>
    </r>
  </si>
  <si>
    <r>
      <t xml:space="preserve">N.Martin, Vinous </t>
    </r>
    <r>
      <rPr>
        <sz val="7"/>
        <color theme="1" tint="0.499984740745262"/>
        <rFont val="Noto Sans"/>
        <family val="2"/>
      </rPr>
      <t>'venerable age of vines, with many over 50 years old. Furthermore, around 80% are pruned Cordon Royat instead of Guyot…</t>
    </r>
  </si>
  <si>
    <t>advantageous in terms of improved air circulation.'</t>
  </si>
  <si>
    <r>
      <rPr>
        <b/>
        <sz val="7"/>
        <color theme="1" tint="0.499984740745262"/>
        <rFont val="Noto Sans"/>
        <family val="2"/>
      </rPr>
      <t>Sarah Marsh MW, World of Fine Wine</t>
    </r>
    <r>
      <rPr>
        <sz val="7"/>
        <color theme="1" tint="0.499984740745262"/>
        <rFont val="Noto Sans"/>
        <family val="2"/>
      </rPr>
      <t xml:space="preserve"> 'The excellent Domaine des Terre de Velle is relatively new in Burgundy terms. Fabrice and Sophie Laronze,</t>
    </r>
  </si>
  <si>
    <t>who built a modern winery at the entry of Auxey-Duresses, have scattered parcels of vines in Auxey as well as neighbouring villages. …they export</t>
  </si>
  <si>
    <t>their wines and are well worth following'</t>
  </si>
  <si>
    <r>
      <rPr>
        <b/>
        <sz val="7"/>
        <color theme="1" tint="0.499984740745262"/>
        <rFont val="Noto Sans"/>
        <family val="2"/>
      </rPr>
      <t>Jasper Morris MW, 2020</t>
    </r>
    <r>
      <rPr>
        <sz val="7"/>
        <color theme="1" tint="0.499984740745262"/>
        <rFont val="Noto Sans"/>
        <family val="2"/>
      </rPr>
      <t xml:space="preserve"> 'The old vines are talking again!' (On Puligny 2018)</t>
    </r>
  </si>
  <si>
    <r>
      <rPr>
        <b/>
        <sz val="7"/>
        <color theme="1" tint="0.499984740745262"/>
        <rFont val="Noto Sans"/>
        <family val="2"/>
      </rPr>
      <t>Steen Ohmann, 2019</t>
    </r>
    <r>
      <rPr>
        <sz val="7"/>
        <color theme="1" tint="0.499984740745262"/>
        <rFont val="Noto Sans"/>
        <family val="2"/>
      </rPr>
      <t xml:space="preserve"> 'Lovely and enjoyable wines'</t>
    </r>
  </si>
  <si>
    <r>
      <rPr>
        <b/>
        <sz val="7"/>
        <color theme="1" tint="0.499984740745262"/>
        <rFont val="Noto Sans"/>
        <family val="2"/>
      </rPr>
      <t xml:space="preserve">RVF, 2015 </t>
    </r>
    <r>
      <rPr>
        <sz val="7"/>
        <color theme="1" tint="0.499984740745262"/>
        <rFont val="Noto Sans"/>
        <family val="2"/>
      </rPr>
      <t>'domaine «de poche»...Adeptes de la lutte raisonnée et du labour...accueillent l’œnophile avec passion'</t>
    </r>
  </si>
  <si>
    <r>
      <t xml:space="preserve">B.Nanson, 2011 </t>
    </r>
    <r>
      <rPr>
        <sz val="7"/>
        <color theme="1" tint="0.499984740745262"/>
        <rFont val="Noto Sans"/>
        <family val="2"/>
      </rPr>
      <t>'I would recommend to anybody. Bravo!'</t>
    </r>
  </si>
  <si>
    <t>TERRES DE VELLE, Dom.:</t>
  </si>
  <si>
    <t>Sophie &amp; Fabrice Laronze</t>
  </si>
  <si>
    <t>20TERRES05</t>
  </si>
  <si>
    <t>Auxey Duresses. 7.12ha vines (2023)</t>
  </si>
  <si>
    <t>19TERRES05</t>
  </si>
  <si>
    <t>Fabrice &amp; Sophie Laronze (ex-Alex Gambal)</t>
  </si>
  <si>
    <t>Founded 2009; sold in 2023 and renamed</t>
  </si>
  <si>
    <t>19TERRES09</t>
  </si>
  <si>
    <t>Domaine Pierre Vincent</t>
  </si>
  <si>
    <t>~80% cordon royat training system</t>
  </si>
  <si>
    <t>21TERRES09</t>
  </si>
  <si>
    <r>
      <t>winery is a C.19</t>
    </r>
    <r>
      <rPr>
        <vertAlign val="superscript"/>
        <sz val="8"/>
        <color theme="1" tint="0.14999847407452621"/>
        <rFont val="Noto Sans"/>
        <family val="2"/>
      </rPr>
      <t>th</t>
    </r>
    <r>
      <rPr>
        <sz val="8"/>
        <color theme="1" tint="0.14999847407452621"/>
        <rFont val="Noto Sans"/>
        <family val="2"/>
      </rPr>
      <t xml:space="preserve"> mill on the Velle stream</t>
    </r>
  </si>
  <si>
    <t>20TERRES13</t>
  </si>
  <si>
    <r>
      <rPr>
        <b/>
        <sz val="8"/>
        <color rgb="FF00B050"/>
        <rFont val="Noto Sans"/>
        <family val="2"/>
      </rPr>
      <t>sustainable</t>
    </r>
    <r>
      <rPr>
        <sz val="8"/>
        <color theme="1" tint="0.14999847407452621"/>
        <rFont val="Noto Sans"/>
        <family val="2"/>
      </rPr>
      <t>, w.some BD practices</t>
    </r>
  </si>
  <si>
    <t>19TERRES13</t>
  </si>
  <si>
    <t>~25% max new oak casks; ambient yeast</t>
  </si>
  <si>
    <t>BLANC EN MAGNUM:</t>
  </si>
  <si>
    <r>
      <rPr>
        <sz val="8"/>
        <color theme="1" tint="0.14999847407452621"/>
        <rFont val="Noto Sans"/>
        <family val="2"/>
      </rPr>
      <t xml:space="preserve">No fining in reds; </t>
    </r>
    <r>
      <rPr>
        <b/>
        <sz val="8"/>
        <color rgb="FF00B050"/>
        <rFont val="Noto Sans"/>
        <family val="2"/>
      </rPr>
      <t>ⓋVegan compatible</t>
    </r>
  </si>
  <si>
    <t>18TERRES11MG</t>
  </si>
  <si>
    <t>KEY VILLAGE BLANCS INCLUDE:</t>
  </si>
  <si>
    <t>18TERRES10MG</t>
  </si>
  <si>
    <r>
      <rPr>
        <b/>
        <sz val="7"/>
        <color theme="1" tint="0.499984740745262"/>
        <rFont val="Noto Sans"/>
        <family val="2"/>
      </rPr>
      <t>Meursault:</t>
    </r>
    <r>
      <rPr>
        <sz val="7"/>
        <color theme="1" tint="0.499984740745262"/>
        <rFont val="Noto Sans"/>
        <family val="2"/>
      </rPr>
      <t xml:space="preserve"> 0.261ha mature ~40yr vines in 2 plots:</t>
    </r>
  </si>
  <si>
    <t>20TERRES07MG</t>
  </si>
  <si>
    <t>Les Crotots &amp; Les Grands Charrons (1929 vv)</t>
  </si>
  <si>
    <t>18TERRES01MG</t>
  </si>
  <si>
    <r>
      <rPr>
        <b/>
        <sz val="7"/>
        <color theme="1" tint="0.499984740745262"/>
        <rFont val="Noto Sans"/>
        <family val="2"/>
      </rPr>
      <t>Meursault Les Luchets VV:</t>
    </r>
    <r>
      <rPr>
        <sz val="7"/>
        <color theme="1" tint="0.499984740745262"/>
        <rFont val="Noto Sans"/>
        <family val="2"/>
      </rPr>
      <t xml:space="preserve"> 0.36ha of E.facing</t>
    </r>
  </si>
  <si>
    <t>18TERRES04MG</t>
  </si>
  <si>
    <t>1936 VV on iron-oxide red clay-limestone at</t>
  </si>
  <si>
    <t>19TERRES13MG</t>
  </si>
  <si>
    <t>270-290m, above Les Meix Chavaux</t>
  </si>
  <si>
    <r>
      <rPr>
        <b/>
        <sz val="7"/>
        <color theme="1" tint="0.499984740745262"/>
        <rFont val="Noto Sans"/>
        <family val="2"/>
      </rPr>
      <t>Chassagne La Platière</t>
    </r>
    <r>
      <rPr>
        <sz val="7"/>
        <color theme="1" tint="0.499984740745262"/>
        <rFont val="Noto Sans"/>
        <family val="2"/>
      </rPr>
      <t xml:space="preserve">: 0.34ha on clay rich soil, </t>
    </r>
  </si>
  <si>
    <t>mature vines ~25yrs old</t>
  </si>
  <si>
    <t>20TERRES01</t>
  </si>
  <si>
    <r>
      <rPr>
        <b/>
        <sz val="7"/>
        <color theme="1" tint="0.499984740745262"/>
        <rFont val="Noto Sans"/>
        <family val="2"/>
      </rPr>
      <t>Puligny</t>
    </r>
    <r>
      <rPr>
        <sz val="7"/>
        <color theme="1" tint="0.499984740745262"/>
        <rFont val="Noto Sans"/>
        <family val="2"/>
      </rPr>
      <t>: 0.29ha in 2 parcels: 0.21ha of 1953 VV</t>
    </r>
  </si>
  <si>
    <t>19TERRES01</t>
  </si>
  <si>
    <t>in Les Nosroyes &amp; 0.08ha of mature 1982 vines in</t>
  </si>
  <si>
    <t>18TERRES08</t>
  </si>
  <si>
    <t>Les Levrons, below Perrieres 1C, S.E.facing</t>
  </si>
  <si>
    <t>17TERRES05</t>
  </si>
  <si>
    <t>KEY 1C &amp; GC BLANC CRUS INCLUDE:</t>
  </si>
  <si>
    <t>16TERRES01</t>
  </si>
  <si>
    <r>
      <rPr>
        <b/>
        <sz val="7"/>
        <color theme="1" tint="0.499984740745262"/>
        <rFont val="Noto Sans"/>
        <family val="2"/>
      </rPr>
      <t>Savigny Aux Vergelesses 1C BLANC:</t>
    </r>
    <r>
      <rPr>
        <sz val="7"/>
        <color theme="1" tint="0.499984740745262"/>
        <rFont val="Noto Sans"/>
        <family val="2"/>
      </rPr>
      <t xml:space="preserve"> 0.58ha E </t>
    </r>
  </si>
  <si>
    <t>15TERRES06</t>
  </si>
  <si>
    <t>facing steep mature 1989 &amp; 1999 vines on limestone-</t>
  </si>
  <si>
    <t>14TERRES01</t>
  </si>
  <si>
    <t>marl bedrock with clay rich soil. 1st made 2019</t>
  </si>
  <si>
    <r>
      <rPr>
        <b/>
        <sz val="7"/>
        <color theme="1" tint="0.499984740745262"/>
        <rFont val="Noto Sans"/>
        <family val="2"/>
      </rPr>
      <t>Chassagne Les Chaumées 1C:</t>
    </r>
    <r>
      <rPr>
        <sz val="7"/>
        <color theme="1" tint="0.499984740745262"/>
        <rFont val="Noto Sans"/>
        <family val="2"/>
      </rPr>
      <t xml:space="preserve"> 0.196ha planted</t>
    </r>
  </si>
  <si>
    <t>20TERRES03</t>
  </si>
  <si>
    <t>2001/4 on thin soil, top slope of 20-25%, E facing</t>
  </si>
  <si>
    <t>19TERRES03</t>
  </si>
  <si>
    <r>
      <rPr>
        <b/>
        <sz val="7"/>
        <color theme="1" tint="0.499984740745262"/>
        <rFont val="Noto Sans"/>
        <family val="2"/>
      </rPr>
      <t>Puligny Les Referts 1C:</t>
    </r>
    <r>
      <rPr>
        <sz val="7"/>
        <color theme="1" tint="0.499984740745262"/>
        <rFont val="Noto Sans"/>
        <family val="2"/>
      </rPr>
      <t xml:space="preserve"> 0.11ha VV planted 1949,</t>
    </r>
  </si>
  <si>
    <t>18TERRES06</t>
  </si>
  <si>
    <t>SE facing on limestone soil, by Meursault Charmes</t>
  </si>
  <si>
    <t>17TERRES03</t>
  </si>
  <si>
    <r>
      <rPr>
        <b/>
        <sz val="7"/>
        <color theme="1" tint="0.499984740745262"/>
        <rFont val="Noto Sans"/>
        <family val="2"/>
      </rPr>
      <t>Meursault Les Charmes (Dessous) 1C:</t>
    </r>
    <r>
      <rPr>
        <sz val="7"/>
        <color theme="1" tint="0.499984740745262"/>
        <rFont val="Noto Sans"/>
        <family val="2"/>
      </rPr>
      <t xml:space="preserve"> 0.164ha</t>
    </r>
  </si>
  <si>
    <t>16TERRES03</t>
  </si>
  <si>
    <t>S.E.facing VV planted 1936 on oolitic limestone</t>
  </si>
  <si>
    <t>15TERRES07</t>
  </si>
  <si>
    <r>
      <rPr>
        <b/>
        <sz val="7"/>
        <color theme="1" tint="0.499984740745262"/>
        <rFont val="Noto Sans"/>
        <family val="2"/>
      </rPr>
      <t>Corton Charlemagne GC:</t>
    </r>
    <r>
      <rPr>
        <sz val="7"/>
        <color theme="1" tint="0.499984740745262"/>
        <rFont val="Noto Sans"/>
        <family val="2"/>
      </rPr>
      <t xml:space="preserve"> 0.47ha in two ~40yr</t>
    </r>
  </si>
  <si>
    <t>14TERRES03</t>
  </si>
  <si>
    <t>parcels: Le Charlemagne [SW, Aloxe] &amp; En-</t>
  </si>
  <si>
    <t>13TERRES04</t>
  </si>
  <si>
    <t>Charlemagne [NW, Pernand] bought in 2019</t>
  </si>
  <si>
    <t>12TERRES04TB</t>
  </si>
  <si>
    <t>KEY ROUGES INCLUDE:</t>
  </si>
  <si>
    <r>
      <rPr>
        <b/>
        <sz val="7"/>
        <color theme="1" tint="0.499984740745262"/>
        <rFont val="Noto Sans"/>
        <family val="2"/>
      </rPr>
      <t>Monthelie Les Duresses 1C:</t>
    </r>
    <r>
      <rPr>
        <sz val="7"/>
        <color theme="1" tint="0.499984740745262"/>
        <rFont val="Noto Sans"/>
        <family val="2"/>
      </rPr>
      <t xml:space="preserve"> 0.171ha of E.facing</t>
    </r>
  </si>
  <si>
    <t>20TERRES02</t>
  </si>
  <si>
    <t>~40yr pinot in Cordon Royat on Oxfordian red soil</t>
  </si>
  <si>
    <t>19TERRES02</t>
  </si>
  <si>
    <r>
      <rPr>
        <b/>
        <sz val="7"/>
        <color theme="1" tint="0.499984740745262"/>
        <rFont val="Noto Sans"/>
        <family val="2"/>
      </rPr>
      <t xml:space="preserve">Volnay Ez Blanches: </t>
    </r>
    <r>
      <rPr>
        <sz val="7"/>
        <color theme="1" tint="0.499984740745262"/>
        <rFont val="Noto Sans"/>
        <family val="2"/>
      </rPr>
      <t>0.343ha of SSE/SE facing</t>
    </r>
  </si>
  <si>
    <t>18TERRES09</t>
  </si>
  <si>
    <t>1959 VV high up at 320-350m on thin limestone-</t>
  </si>
  <si>
    <t>16TERRES02</t>
  </si>
  <si>
    <t>pebble rich sandy marls, above Clos des Chênes</t>
  </si>
  <si>
    <t>15TERRES08</t>
  </si>
  <si>
    <r>
      <rPr>
        <b/>
        <sz val="7"/>
        <color theme="1" tint="0.499984740745262"/>
        <rFont val="Noto Sans"/>
        <family val="2"/>
      </rPr>
      <t>Volnay Ronceret 1C:</t>
    </r>
    <r>
      <rPr>
        <sz val="7"/>
        <color theme="1" tint="0.499984740745262"/>
        <rFont val="Noto Sans"/>
        <family val="2"/>
      </rPr>
      <t xml:space="preserve"> 0.21ha of S.E.facing ~35yr</t>
    </r>
  </si>
  <si>
    <t>14TERRES02</t>
  </si>
  <si>
    <t xml:space="preserve">mature pinot in Cordon Royat, on clay-limestone </t>
  </si>
  <si>
    <t>13TERRES03</t>
  </si>
  <si>
    <t>under Les Champans, by Carelle Dessous</t>
  </si>
  <si>
    <t>12TERRES08TB</t>
  </si>
  <si>
    <t>B+D 2* estate</t>
  </si>
  <si>
    <t>11TERRES12TB</t>
  </si>
  <si>
    <t>TerresDeVelle.fr</t>
  </si>
  <si>
    <t>20TERRES04</t>
  </si>
  <si>
    <t>instagram.com/terresdevelle/</t>
  </si>
  <si>
    <t>19TERRES04</t>
  </si>
  <si>
    <t>facebook.com/TerresdeVelle/</t>
  </si>
  <si>
    <t>18TERRES03</t>
  </si>
  <si>
    <t>GROWER CODE: TERRES</t>
  </si>
  <si>
    <t>17TERRES10</t>
  </si>
  <si>
    <t>16TERRES04</t>
  </si>
  <si>
    <t>15TERRES09</t>
  </si>
  <si>
    <t>14TERRES04</t>
  </si>
  <si>
    <t>13TERRES05</t>
  </si>
  <si>
    <t>12TERRES09TB</t>
  </si>
  <si>
    <t>11TERRES10TB</t>
  </si>
  <si>
    <t>20TERRES01MG</t>
  </si>
  <si>
    <t>18TERRES09MG</t>
  </si>
  <si>
    <t>20TERRES03MG</t>
  </si>
  <si>
    <t>19TERRES03MG</t>
  </si>
  <si>
    <t>18TERRES06MG</t>
  </si>
  <si>
    <t>18TERRES03MG</t>
  </si>
  <si>
    <t>KIND WORDS ON JM &amp; AM VINCENT:</t>
  </si>
  <si>
    <r>
      <t xml:space="preserve">Bill Nanson, Burgundy Report 2020 </t>
    </r>
    <r>
      <rPr>
        <sz val="7"/>
        <color theme="1" tint="0.499984740745262"/>
        <rFont val="Noto Sans"/>
        <family val="2"/>
      </rPr>
      <t>'It’s a virtuous circle here at JMV'</t>
    </r>
  </si>
  <si>
    <r>
      <t>Bill Nanson, Burgundy Report 2018</t>
    </r>
    <r>
      <rPr>
        <sz val="7"/>
        <color theme="1" tint="0.499984740745262"/>
        <rFont val="Noto Sans"/>
        <family val="2"/>
      </rPr>
      <t xml:space="preserve"> 'As always, a selection that astounds. Great viticulture plus great wine-making, equals great wines.'</t>
    </r>
  </si>
  <si>
    <r>
      <rPr>
        <b/>
        <sz val="7"/>
        <color theme="1" tint="0.499984740745262"/>
        <rFont val="Noto Sans"/>
        <family val="2"/>
      </rPr>
      <t xml:space="preserve">William Kelley, TWA WOTY 2021 </t>
    </r>
    <r>
      <rPr>
        <sz val="7"/>
        <color theme="1" tint="0.499984740745262"/>
        <rFont val="Noto Sans"/>
        <family val="2"/>
      </rPr>
      <t>'You’ll be hearing a lot more about Jean-Marc Vincent in the near future. Working with “humbler” appellations such as</t>
    </r>
  </si>
  <si>
    <t>Santenay or, in this case, Auxey-Duresses, his work in the vineyards is cutting edge: Ultra-high-density plantings with heritage vine genetics, cultivated</t>
  </si>
  <si>
    <t>without the use of tractors, and high canopies that don’t need to be trimmed throughout the growing season deliver impeccable fruit, and constant</t>
  </si>
  <si>
    <t>refinement in the winery and cellar mean that all its character makes it into the bottle these days. Always tirelessly striving to improve, Jean-Marc is now</t>
  </si>
  <si>
    <t>prolonging the time his wines mature in barrel to bring yet another step up in quality. Why isn’t this domaine a household name already? Simply because</t>
  </si>
  <si>
    <t>for far too long the wine press and trade have assessed the quality of Burgundy by “pedigree” as opposed to the wine in the glass and the work behind it.'</t>
  </si>
  <si>
    <r>
      <rPr>
        <b/>
        <sz val="7"/>
        <color theme="1" tint="0.499984740745262"/>
        <rFont val="Noto Sans"/>
        <family val="2"/>
      </rPr>
      <t>N.Martin, Vinous 2021</t>
    </r>
    <r>
      <rPr>
        <sz val="7"/>
        <color theme="1" tint="0.499984740745262"/>
        <rFont val="Noto Sans"/>
        <family val="2"/>
      </rPr>
      <t xml:space="preserve"> 'I was impressed by both colours. The whites are taut and crisp with ample substance. The bottom line is that his wines are just</t>
    </r>
  </si>
  <si>
    <t>delicious, and given the inflated prices you find elsewhere for less quality, I cannot recommend these high enough. I look forward to returning.'</t>
  </si>
  <si>
    <r>
      <rPr>
        <b/>
        <sz val="7"/>
        <color theme="1" tint="0.499984740745262"/>
        <rFont val="Noto Sans"/>
        <family val="2"/>
      </rPr>
      <t>W.Kelley TWA, 2020</t>
    </r>
    <r>
      <rPr>
        <sz val="7"/>
        <color theme="1" tint="0.499984740745262"/>
        <rFont val="Noto Sans"/>
        <family val="2"/>
      </rPr>
      <t xml:space="preserve"> 'exceptional five-hectare Santenay domaine is one of the Côte de Beaune's finest, deserves to be much better known. </t>
    </r>
  </si>
  <si>
    <r>
      <rPr>
        <b/>
        <sz val="7"/>
        <color theme="1" tint="0.499984740745262"/>
        <rFont val="Noto Sans"/>
        <family val="2"/>
      </rPr>
      <t xml:space="preserve">W.Kelley, TWA 2020 </t>
    </r>
    <r>
      <rPr>
        <sz val="7"/>
        <color theme="1" tint="0.499984740745262"/>
        <rFont val="Noto Sans"/>
        <family val="2"/>
      </rPr>
      <t>'It's no surprise that Jean-Marc Vincent numbers producers such as B.Lorenzon, O.Lamy, T.Bouley as friends</t>
    </r>
  </si>
  <si>
    <t>and inspirations; and like their wines, Vincent's own are the fruit of two decades of serious reflection and hard work.</t>
  </si>
  <si>
    <r>
      <rPr>
        <b/>
        <sz val="7"/>
        <color theme="1" tint="0.499984740745262"/>
        <rFont val="Noto Sans"/>
        <family val="2"/>
      </rPr>
      <t>W.Kelley, TWA 2020</t>
    </r>
    <r>
      <rPr>
        <sz val="7"/>
        <color theme="1" tint="0.499984740745262"/>
        <rFont val="Noto Sans"/>
        <family val="2"/>
      </rPr>
      <t xml:space="preserve"> 'the viticulture at this address is painstaking and cutting edge; and the result is, unsurprisingly, wines of</t>
    </r>
  </si>
  <si>
    <t>exceptional energy and concentration that smash the glass ceilings frequently imposed on appellations such as Santenay and Auxey'</t>
  </si>
  <si>
    <r>
      <rPr>
        <b/>
        <sz val="7"/>
        <color theme="1" tint="0.499984740745262"/>
        <rFont val="Noto Sans"/>
        <family val="2"/>
      </rPr>
      <t>W.Kelley, TWA 2020</t>
    </r>
    <r>
      <rPr>
        <sz val="7"/>
        <color theme="1" tint="0.499984740745262"/>
        <rFont val="Noto Sans"/>
        <family val="2"/>
      </rPr>
      <t xml:space="preserve"> 'readers looking for wines that subvert Burgundy's traditional hierarchy of appellations should beat a path to (the) Vincent's door.'</t>
    </r>
  </si>
  <si>
    <r>
      <rPr>
        <b/>
        <sz val="7"/>
        <color theme="1" tint="0.499984740745262"/>
        <rFont val="Noto Sans"/>
        <family val="2"/>
      </rPr>
      <t>W.Kelley, TWA 2019</t>
    </r>
    <r>
      <rPr>
        <sz val="7"/>
        <color theme="1" tint="0.499984740745262"/>
        <rFont val="Noto Sans"/>
        <family val="2"/>
      </rPr>
      <t xml:space="preserve"> 'a fine source of decidedly superior red and white Burgundy that deserves to be much better known.'</t>
    </r>
  </si>
  <si>
    <r>
      <rPr>
        <b/>
        <sz val="7"/>
        <color theme="1" tint="0.499984740745262"/>
        <rFont val="Noto Sans"/>
        <family val="2"/>
      </rPr>
      <t>W.Kelley, TWA 2019</t>
    </r>
    <r>
      <rPr>
        <sz val="7"/>
        <color theme="1" tint="0.499984740745262"/>
        <rFont val="Noto Sans"/>
        <family val="2"/>
      </rPr>
      <t xml:space="preserve"> 'The last few vintages have been so consistently excellent that it is now fair to say that this address can be</t>
    </r>
  </si>
  <si>
    <t>numbered among the Côte de Beaune's best. And if the Vincents' efforts can shine more light on Satenay's merits, so much the better.'</t>
  </si>
  <si>
    <r>
      <rPr>
        <b/>
        <sz val="7"/>
        <color theme="1" tint="0.499984740745262"/>
        <rFont val="Noto Sans"/>
        <family val="2"/>
      </rPr>
      <t>W.Kelley for Decanter, 2017</t>
    </r>
    <r>
      <rPr>
        <sz val="7"/>
        <color theme="1" tint="0.499984740745262"/>
        <rFont val="Noto Sans"/>
        <family val="2"/>
      </rPr>
      <t xml:space="preserve"> 'approaches the ceiling of what is possible in this appellation'</t>
    </r>
  </si>
  <si>
    <r>
      <t xml:space="preserve">S.Ohman, Winehog </t>
    </r>
    <r>
      <rPr>
        <sz val="7"/>
        <color theme="1" tint="0.499984740745262"/>
        <rFont val="Noto Sans"/>
        <family val="2"/>
      </rPr>
      <t>'One of the best visits I had in 2017…now I have a great veneration for Dom.Jean-Marc Vincent – lovely people'</t>
    </r>
  </si>
  <si>
    <t>S.Ohman, Winehog 2017 'Top 5 Burgundy Great Value Wineries'</t>
  </si>
  <si>
    <t>JEAN-MARC, ANNE-MARIE</t>
  </si>
  <si>
    <t>LES ROUGES:</t>
  </si>
  <si>
    <t>&amp; ANAIS VINCENT</t>
  </si>
  <si>
    <t>17JMV17TB</t>
  </si>
  <si>
    <t>Santenay, 5ha. Jean-Marc &amp; Anne-Marie</t>
  </si>
  <si>
    <t>16JMV04</t>
  </si>
  <si>
    <t>with daughter Anais</t>
  </si>
  <si>
    <t>15JMV01</t>
  </si>
  <si>
    <t>with some BD practices, Fukuoka inspired</t>
  </si>
  <si>
    <t>11JMV06</t>
  </si>
  <si>
    <t>Family Domaine was re-started 1998</t>
  </si>
  <si>
    <t>21JMVINCENT13</t>
  </si>
  <si>
    <t>no tractor usage in vines: hand &amp; chenillette</t>
  </si>
  <si>
    <t>21JMVINCENT11</t>
  </si>
  <si>
    <t>ambient yeast; minimal sulphites</t>
  </si>
  <si>
    <t>21JMVINCENT15</t>
  </si>
  <si>
    <t>30%-60% destem; 10% new oak now, from</t>
  </si>
  <si>
    <t>22JMV14</t>
  </si>
  <si>
    <t>Francois Freres &amp; Mercurey, light toast</t>
  </si>
  <si>
    <t xml:space="preserve">starting with 500L demi-muids. </t>
  </si>
  <si>
    <t>23JMV01</t>
  </si>
  <si>
    <t>KEY RED VINES &amp; WINES:</t>
  </si>
  <si>
    <t>22JMV13</t>
  </si>
  <si>
    <r>
      <rPr>
        <b/>
        <sz val="7"/>
        <color theme="1" tint="0.499984740745262"/>
        <rFont val="Noto Sans"/>
        <family val="2"/>
      </rPr>
      <t>Auxey Les Bretterins 1C</t>
    </r>
    <r>
      <rPr>
        <sz val="7"/>
        <color theme="1" tint="0.499984740745262"/>
        <rFont val="Noto Sans"/>
        <family val="2"/>
      </rPr>
      <t>: ~70yr pinot</t>
    </r>
  </si>
  <si>
    <r>
      <rPr>
        <b/>
        <sz val="7"/>
        <color theme="1" tint="0.499984740745262"/>
        <rFont val="Noto Sans"/>
        <family val="2"/>
      </rPr>
      <t xml:space="preserve">Santenay VV rouge: </t>
    </r>
    <r>
      <rPr>
        <sz val="7"/>
        <color theme="1" tint="0.499984740745262"/>
        <rFont val="Noto Sans"/>
        <family val="2"/>
      </rPr>
      <t>50-70yr pinot, mostly from</t>
    </r>
  </si>
  <si>
    <t>20JMV15</t>
  </si>
  <si>
    <t>2 parcels, Les Poirons &amp; Les Hâtes</t>
  </si>
  <si>
    <t>21JMVINCENT04</t>
  </si>
  <si>
    <r>
      <rPr>
        <b/>
        <sz val="7"/>
        <color theme="1" tint="0.499984740745262"/>
        <rFont val="Noto Sans"/>
        <family val="2"/>
      </rPr>
      <t>Santenay Passetemps 1C</t>
    </r>
    <r>
      <rPr>
        <sz val="7"/>
        <color theme="1" tint="0.499984740745262"/>
        <rFont val="Noto Sans"/>
        <family val="2"/>
      </rPr>
      <t>: 14K vines/ha pinot fin</t>
    </r>
  </si>
  <si>
    <t>21JMVINCENT02</t>
  </si>
  <si>
    <r>
      <rPr>
        <b/>
        <sz val="7"/>
        <color theme="1" tint="0.499984740745262"/>
        <rFont val="Noto Sans"/>
        <family val="2"/>
      </rPr>
      <t>Santenay Beaurepaire 1C</t>
    </r>
    <r>
      <rPr>
        <sz val="7"/>
        <color theme="1" tint="0.499984740745262"/>
        <rFont val="Noto Sans"/>
        <family val="2"/>
      </rPr>
      <t>: VV planted post '45</t>
    </r>
  </si>
  <si>
    <t>21JMVINCENT05</t>
  </si>
  <si>
    <r>
      <rPr>
        <b/>
        <sz val="7"/>
        <color theme="1" tint="0.499984740745262"/>
        <rFont val="Noto Sans"/>
        <family val="2"/>
      </rPr>
      <t>Santenay Gravieres 1C:</t>
    </r>
    <r>
      <rPr>
        <sz val="7"/>
        <color theme="1" tint="0.499984740745262"/>
        <rFont val="Noto Sans"/>
        <family val="2"/>
      </rPr>
      <t xml:space="preserve"> &gt;70yr VV on 3 limestones</t>
    </r>
  </si>
  <si>
    <t>21JMVINCENT06</t>
  </si>
  <si>
    <r>
      <rPr>
        <b/>
        <sz val="7"/>
        <color theme="1" tint="0.499984740745262"/>
        <rFont val="Noto Sans"/>
        <family val="2"/>
      </rPr>
      <t xml:space="preserve">Santenay Gravité: </t>
    </r>
    <r>
      <rPr>
        <sz val="7"/>
        <color theme="1" tint="0.499984740745262"/>
        <rFont val="Noto Sans"/>
        <family val="2"/>
      </rPr>
      <t>selection with longer elevage</t>
    </r>
  </si>
  <si>
    <t>KEY WHITE VINES &amp; WINES:</t>
  </si>
  <si>
    <r>
      <rPr>
        <b/>
        <sz val="7"/>
        <color theme="1" tint="0.499984740745262"/>
        <rFont val="Noto Sans"/>
        <family val="2"/>
      </rPr>
      <t>Montagny 1C BLANC</t>
    </r>
    <r>
      <rPr>
        <sz val="7"/>
        <color theme="1" tint="0.499984740745262"/>
        <rFont val="Noto Sans"/>
        <family val="2"/>
      </rPr>
      <t>: fruit from Lorenzon family</t>
    </r>
  </si>
  <si>
    <r>
      <rPr>
        <b/>
        <sz val="7"/>
        <color theme="1" tint="0.499984740745262"/>
        <rFont val="Noto Sans"/>
        <family val="2"/>
      </rPr>
      <t>Auxey Le Hautes BLANC</t>
    </r>
    <r>
      <rPr>
        <sz val="7"/>
        <color theme="1" tint="0.499984740745262"/>
        <rFont val="Noto Sans"/>
        <family val="2"/>
      </rPr>
      <t>: ~80yr VV</t>
    </r>
  </si>
  <si>
    <r>
      <rPr>
        <b/>
        <sz val="7"/>
        <color theme="1" tint="0.499984740745262"/>
        <rFont val="Noto Sans"/>
        <family val="2"/>
      </rPr>
      <t>Santenay Vignes Denses:</t>
    </r>
    <r>
      <rPr>
        <sz val="7"/>
        <color theme="1" tint="0.499984740745262"/>
        <rFont val="Noto Sans"/>
        <family val="2"/>
      </rPr>
      <t xml:space="preserve"> 14,000 vines/ha</t>
    </r>
  </si>
  <si>
    <r>
      <rPr>
        <b/>
        <sz val="7"/>
        <color theme="1" tint="0.499984740745262"/>
        <rFont val="Noto Sans"/>
        <family val="2"/>
      </rPr>
      <t>Santenay Gravieres 1C BLANC 'HD':</t>
    </r>
    <r>
      <rPr>
        <sz val="7"/>
        <color theme="1" tint="0.499984740745262"/>
        <rFont val="Noto Sans"/>
        <family val="2"/>
      </rPr>
      <t xml:space="preserve"> replanted in</t>
    </r>
  </si>
  <si>
    <t>2011 at 14K vines/ha and 2018 at 17K vines/ha</t>
  </si>
  <si>
    <t>2022 RVF Coup de Coeur (of all Burgundy)</t>
  </si>
  <si>
    <t>RVF 2*; B+D 3* 2022; CC 1* 2008</t>
  </si>
  <si>
    <t>instagram.com/domainejmvincent/</t>
  </si>
  <si>
    <t>GROWER CODE: JMV</t>
  </si>
  <si>
    <t xml:space="preserve">France, Burgundy - Côte Chalonnaise </t>
  </si>
  <si>
    <t>G&amp;X BESSON, Domaine</t>
  </si>
  <si>
    <t>GIVRY BLANC:</t>
  </si>
  <si>
    <t>Givry, Cote Chalonnaise. 8.5ha</t>
  </si>
  <si>
    <t>21BESSON03</t>
  </si>
  <si>
    <t>Guillemette &amp; Xavier Besson, son Henri</t>
  </si>
  <si>
    <t>20BESSON02</t>
  </si>
  <si>
    <t>GIVRY ROUGE:</t>
  </si>
  <si>
    <r>
      <rPr>
        <sz val="8"/>
        <color theme="1" tint="0.14999847407452621"/>
        <rFont val="Noto Sans"/>
        <family val="2"/>
      </rPr>
      <t>reds are unfined,</t>
    </r>
    <r>
      <rPr>
        <b/>
        <sz val="8"/>
        <color rgb="FF00B050"/>
        <rFont val="Noto Sans"/>
        <family val="2"/>
      </rPr>
      <t xml:space="preserve"> ⓋVegan compatible</t>
    </r>
  </si>
  <si>
    <t>22BESSON01</t>
  </si>
  <si>
    <t>~20mg/l SO2 in reds</t>
  </si>
  <si>
    <t>21BESSON02</t>
  </si>
  <si>
    <t>18BESSON02</t>
  </si>
  <si>
    <t>2018 Haut Colombier BLANC now Cuvée Amelie</t>
  </si>
  <si>
    <t>17BESSON02</t>
  </si>
  <si>
    <t>2017 son Henri-Vital joins</t>
  </si>
  <si>
    <t>16BESSON04</t>
  </si>
  <si>
    <t>2014 new gravity flow cuverie</t>
  </si>
  <si>
    <t>15BESSON03</t>
  </si>
  <si>
    <t>2009 Bois Gautiers 1C replanted</t>
  </si>
  <si>
    <t>GIVRY 1C ROUGE:</t>
  </si>
  <si>
    <t>2005 start of working the soil</t>
  </si>
  <si>
    <t>19BESSON02</t>
  </si>
  <si>
    <r>
      <t xml:space="preserve">1989 G&amp;X take over; end of </t>
    </r>
    <r>
      <rPr>
        <i/>
        <sz val="7"/>
        <color theme="1" tint="0.499984740745262"/>
        <rFont val="Noto Sans"/>
        <family val="2"/>
      </rPr>
      <t xml:space="preserve">en vrac </t>
    </r>
    <r>
      <rPr>
        <sz val="7"/>
        <color theme="1" tint="0.499984740745262"/>
        <rFont val="Noto Sans"/>
        <family val="2"/>
      </rPr>
      <t>sales</t>
    </r>
  </si>
  <si>
    <t>16BESSON02</t>
  </si>
  <si>
    <t>1930s domaine founded</t>
  </si>
  <si>
    <t>15BESSON01</t>
  </si>
  <si>
    <t>C.17th massive vaulted stone chai built</t>
  </si>
  <si>
    <t>14BESSON02</t>
  </si>
  <si>
    <t>22BESSON02</t>
  </si>
  <si>
    <r>
      <rPr>
        <b/>
        <sz val="7"/>
        <color theme="1" tint="0.499984740745262"/>
        <rFont val="Noto Sans"/>
        <family val="2"/>
      </rPr>
      <t>Haut Colombier BLANC</t>
    </r>
    <r>
      <rPr>
        <sz val="7"/>
        <color theme="1" tint="0.499984740745262"/>
        <rFont val="Noto Sans"/>
        <family val="2"/>
      </rPr>
      <t xml:space="preserve"> 0.5ha ~30yrs</t>
    </r>
  </si>
  <si>
    <t>21BESSON01</t>
  </si>
  <si>
    <r>
      <rPr>
        <b/>
        <sz val="7"/>
        <color theme="1" tint="0.499984740745262"/>
        <rFont val="Noto Sans"/>
        <family val="2"/>
      </rPr>
      <t>Haut Colombier rge</t>
    </r>
    <r>
      <rPr>
        <sz val="7"/>
        <color theme="1" tint="0.499984740745262"/>
        <rFont val="Noto Sans"/>
        <family val="2"/>
      </rPr>
      <t xml:space="preserve"> 2.2ha ~35yrs by the cellar,</t>
    </r>
  </si>
  <si>
    <t>20BESSON01</t>
  </si>
  <si>
    <r>
      <t xml:space="preserve">a </t>
    </r>
    <r>
      <rPr>
        <b/>
        <sz val="7"/>
        <color theme="1" tint="0.499984740745262"/>
        <rFont val="Noto Sans"/>
        <family val="2"/>
      </rPr>
      <t>monopole</t>
    </r>
    <r>
      <rPr>
        <sz val="7"/>
        <color theme="1" tint="0.499984740745262"/>
        <rFont val="Noto Sans"/>
        <family val="2"/>
      </rPr>
      <t xml:space="preserve"> in Les Petits Pretans; deep &amp; stony </t>
    </r>
  </si>
  <si>
    <t>19BESSON01</t>
  </si>
  <si>
    <r>
      <rPr>
        <b/>
        <sz val="7"/>
        <color theme="1" tint="0.499984740745262"/>
        <rFont val="Noto Sans"/>
        <family val="2"/>
      </rPr>
      <t>Grands Pretans 1C</t>
    </r>
    <r>
      <rPr>
        <sz val="7"/>
        <color theme="1" tint="0.499984740745262"/>
        <rFont val="Noto Sans"/>
        <family val="2"/>
      </rPr>
      <t xml:space="preserve"> 1.5ha ~35yrs SE facing</t>
    </r>
  </si>
  <si>
    <t>18BESSON01</t>
  </si>
  <si>
    <t>below Clos Salomon</t>
  </si>
  <si>
    <t>17BESSON01</t>
  </si>
  <si>
    <r>
      <rPr>
        <b/>
        <sz val="7"/>
        <color theme="1" tint="0.499984740745262"/>
        <rFont val="Noto Sans"/>
        <family val="2"/>
      </rPr>
      <t>Bois Gautiers 1C</t>
    </r>
    <r>
      <rPr>
        <sz val="7"/>
        <color theme="1" tint="0.499984740745262"/>
        <rFont val="Noto Sans"/>
        <family val="2"/>
      </rPr>
      <t>: 1ha planted 2009, SE facing,</t>
    </r>
  </si>
  <si>
    <t>16BESSON03</t>
  </si>
  <si>
    <t>very low yielding</t>
  </si>
  <si>
    <t>15BESSON02</t>
  </si>
  <si>
    <r>
      <rPr>
        <b/>
        <sz val="7"/>
        <color theme="1" tint="0.499984740745262"/>
        <rFont val="Noto Sans"/>
        <family val="2"/>
      </rPr>
      <t>Beaune Les Champs Pimont</t>
    </r>
    <r>
      <rPr>
        <sz val="7"/>
        <color theme="1" tint="0.499984740745262"/>
        <rFont val="Noto Sans"/>
        <family val="2"/>
      </rPr>
      <t xml:space="preserve"> 1C 0.9ha ~55yrs</t>
    </r>
  </si>
  <si>
    <t>14BESSON03</t>
  </si>
  <si>
    <t>massale selection in stony clay rich terroir</t>
  </si>
  <si>
    <t>13BESSON03</t>
  </si>
  <si>
    <t>DomaineBessonGivry.com</t>
  </si>
  <si>
    <t>BEAUNE 1C ROUGE:</t>
  </si>
  <si>
    <t>instagram.com/domaine.g.et.x.besson/</t>
  </si>
  <si>
    <t>22BESSON03</t>
  </si>
  <si>
    <t xml:space="preserve">GROWER CODES: BESSON / MMX </t>
  </si>
  <si>
    <t>20BESSON03</t>
  </si>
  <si>
    <t>19BESSON03</t>
  </si>
  <si>
    <t>18BESSON03</t>
  </si>
  <si>
    <t>17BESSON03</t>
  </si>
  <si>
    <t>12BESSON05</t>
  </si>
  <si>
    <t>11MMX05TB</t>
  </si>
  <si>
    <t>11MMX04TB</t>
  </si>
  <si>
    <t>GIVRY ROUGE EN MAGNUM:</t>
  </si>
  <si>
    <t>15BESSON03MG</t>
  </si>
  <si>
    <t>14BESSON02MG</t>
  </si>
  <si>
    <t>13BESSON04MG</t>
  </si>
  <si>
    <t>11MMX02MTB</t>
  </si>
  <si>
    <t xml:space="preserve">                                                                                                                                                                                                                                                                                                                                                                                                                                                                                                                                                                                                                                                                                                                                                                                                                                                                                                                                                                                                                                                                                                                                                                                                                                                                                                                                                                                                                                                    </t>
  </si>
  <si>
    <t>12BESSON04MG</t>
  </si>
  <si>
    <t>MICHEL BRIDAY, Dom.</t>
  </si>
  <si>
    <r>
      <rPr>
        <sz val="8"/>
        <color theme="1" tint="0.14999847407452621"/>
        <rFont val="Noto Sans"/>
        <family val="2"/>
      </rPr>
      <t xml:space="preserve">by </t>
    </r>
    <r>
      <rPr>
        <sz val="11"/>
        <color theme="1" tint="0.14999847407452621"/>
        <rFont val="Noto Sans"/>
        <family val="2"/>
      </rPr>
      <t>STEPHANE</t>
    </r>
    <r>
      <rPr>
        <sz val="8"/>
        <color theme="1" tint="0.14999847407452621"/>
        <rFont val="Noto Sans"/>
        <family val="2"/>
      </rPr>
      <t xml:space="preserve"> &amp; </t>
    </r>
    <r>
      <rPr>
        <sz val="11"/>
        <color theme="1" tint="0.14999847407452621"/>
        <rFont val="Noto Sans"/>
        <family val="2"/>
      </rPr>
      <t>SANDRINE</t>
    </r>
  </si>
  <si>
    <t>15BRIDAY04</t>
  </si>
  <si>
    <t>Rully, Cote Chalonnaise. 16ha domaine</t>
  </si>
  <si>
    <t>14BRIDAY06</t>
  </si>
  <si>
    <t>average vine age &gt;30yrs; ambient yeast;</t>
  </si>
  <si>
    <t>21BRIDAY01EX</t>
  </si>
  <si>
    <t>modest SO2. Reds are unfined, coarse-</t>
  </si>
  <si>
    <t>22BRIDAY02</t>
  </si>
  <si>
    <r>
      <t>filtered,</t>
    </r>
    <r>
      <rPr>
        <b/>
        <sz val="8"/>
        <color rgb="FF00B050"/>
        <rFont val="Noto Sans"/>
        <family val="2"/>
      </rPr>
      <t xml:space="preserve"> ⓋVegan compatible</t>
    </r>
  </si>
  <si>
    <t>RULLY 1C BLANC:</t>
  </si>
  <si>
    <t>22BRIDAY01</t>
  </si>
  <si>
    <t>NB whites fermented in 300L-400L casks,</t>
  </si>
  <si>
    <t>15BRIDAY02</t>
  </si>
  <si>
    <t>10-15% new only for whites; 25% for reds</t>
  </si>
  <si>
    <t>12BRIDAY03TB</t>
  </si>
  <si>
    <t>21BRIDAY02</t>
  </si>
  <si>
    <t>20BRIDAY03</t>
  </si>
  <si>
    <t>2014 Terra Vitis certification</t>
  </si>
  <si>
    <t>19BRIDAY02</t>
  </si>
  <si>
    <t>1994 started lutte raisonnée agriculture</t>
  </si>
  <si>
    <t>18BRIDAY02</t>
  </si>
  <si>
    <t>1989 Stephane &amp; Sandrine Briday joined</t>
  </si>
  <si>
    <t>17BRIDAY02</t>
  </si>
  <si>
    <t>1976 domaine founded by Michel &amp; Lucette</t>
  </si>
  <si>
    <t>16BRIDAY03</t>
  </si>
  <si>
    <t>RULLY ROUGE HVS:</t>
  </si>
  <si>
    <r>
      <rPr>
        <b/>
        <sz val="7"/>
        <color theme="1" tint="0.499984740745262"/>
        <rFont val="Noto Sans"/>
        <family val="2"/>
      </rPr>
      <t>Le Roc Blanc</t>
    </r>
    <r>
      <rPr>
        <sz val="7"/>
        <color theme="1" tint="0.499984740745262"/>
        <rFont val="Noto Sans"/>
        <family val="2"/>
      </rPr>
      <t xml:space="preserve"> is 0.19ha ~30yrs old</t>
    </r>
  </si>
  <si>
    <t>15BRIDAY05HF</t>
  </si>
  <si>
    <r>
      <rPr>
        <b/>
        <sz val="7"/>
        <color theme="1" tint="0.499984740745262"/>
        <rFont val="Noto Sans"/>
        <family val="2"/>
      </rPr>
      <t>Remenot monopole</t>
    </r>
    <r>
      <rPr>
        <sz val="7"/>
        <color theme="1" tint="0.499984740745262"/>
        <rFont val="Noto Sans"/>
        <family val="2"/>
      </rPr>
      <t xml:space="preserve"> is 0.54ha 1972 vines</t>
    </r>
  </si>
  <si>
    <t>14BRIDAY02HF</t>
  </si>
  <si>
    <r>
      <rPr>
        <b/>
        <sz val="7"/>
        <color theme="1" tint="0.499984740745262"/>
        <rFont val="Noto Sans"/>
        <family val="2"/>
      </rPr>
      <t>Pucelle 1C</t>
    </r>
    <r>
      <rPr>
        <sz val="7"/>
        <color theme="1" tint="0.499984740745262"/>
        <rFont val="Noto Sans"/>
        <family val="2"/>
      </rPr>
      <t xml:space="preserve"> is 0.5ha 1972 vines</t>
    </r>
  </si>
  <si>
    <t>12BRIDAY04HT</t>
  </si>
  <si>
    <r>
      <rPr>
        <b/>
        <sz val="7"/>
        <color theme="1" tint="0.499984740745262"/>
        <rFont val="Noto Sans"/>
        <family val="2"/>
      </rPr>
      <t>Gresigny</t>
    </r>
    <r>
      <rPr>
        <sz val="7"/>
        <color theme="1" tint="0.499984740745262"/>
        <rFont val="Noto Sans"/>
        <family val="2"/>
      </rPr>
      <t xml:space="preserve"> </t>
    </r>
    <r>
      <rPr>
        <b/>
        <sz val="7"/>
        <color theme="1" tint="0.499984740745262"/>
        <rFont val="Noto Sans"/>
        <family val="2"/>
      </rPr>
      <t>1C</t>
    </r>
    <r>
      <rPr>
        <sz val="7"/>
        <color theme="1" tint="0.499984740745262"/>
        <rFont val="Noto Sans"/>
        <family val="2"/>
      </rPr>
      <t xml:space="preserve"> is 1.1ha 1957/8 vines (vv)</t>
    </r>
  </si>
  <si>
    <t>RULLY VILLAGE ROUGE:</t>
  </si>
  <si>
    <r>
      <rPr>
        <b/>
        <sz val="7"/>
        <color theme="1" tint="0.499984740745262"/>
        <rFont val="Noto Sans"/>
        <family val="2"/>
      </rPr>
      <t>Les 4 Vignes:</t>
    </r>
    <r>
      <rPr>
        <sz val="7"/>
        <color theme="1" tint="0.499984740745262"/>
        <rFont val="Noto Sans"/>
        <family val="2"/>
      </rPr>
      <t xml:space="preserve"> 4.07ha in 4parcels &gt;50yrs old</t>
    </r>
  </si>
  <si>
    <t>21BRIDAY03</t>
  </si>
  <si>
    <r>
      <rPr>
        <b/>
        <sz val="7"/>
        <color theme="1" tint="0.499984740745262"/>
        <rFont val="Noto Sans"/>
        <family val="2"/>
      </rPr>
      <t>Champs Cloux 1C</t>
    </r>
    <r>
      <rPr>
        <sz val="7"/>
        <color theme="1" tint="0.499984740745262"/>
        <rFont val="Noto Sans"/>
        <family val="2"/>
      </rPr>
      <t xml:space="preserve"> is 0.63ha 1969 vines</t>
    </r>
  </si>
  <si>
    <t>20BRIDAY05</t>
  </si>
  <si>
    <r>
      <rPr>
        <b/>
        <sz val="7"/>
        <color theme="1" tint="0.499984740745262"/>
        <rFont val="Noto Sans"/>
        <family val="2"/>
      </rPr>
      <t>Clos Marcilly</t>
    </r>
    <r>
      <rPr>
        <sz val="7"/>
        <color theme="1" tint="0.499984740745262"/>
        <rFont val="Noto Sans"/>
        <family val="2"/>
      </rPr>
      <t xml:space="preserve"> </t>
    </r>
    <r>
      <rPr>
        <b/>
        <sz val="7"/>
        <color theme="1" tint="0.499984740745262"/>
        <rFont val="Noto Sans"/>
        <family val="2"/>
      </rPr>
      <t>1C</t>
    </r>
    <r>
      <rPr>
        <sz val="7"/>
        <color theme="1" tint="0.499984740745262"/>
        <rFont val="Noto Sans"/>
        <family val="2"/>
      </rPr>
      <t xml:space="preserve"> is 0.89ha av.45 yrs</t>
    </r>
  </si>
  <si>
    <t>19BRIDAY04</t>
  </si>
  <si>
    <t>17BRIDAY04</t>
  </si>
  <si>
    <t>16BRIDAY05</t>
  </si>
  <si>
    <t>Domaine-Briday.com</t>
  </si>
  <si>
    <t>15BRIDAY05</t>
  </si>
  <si>
    <t>instagram.com/domainebriday/</t>
  </si>
  <si>
    <t>RULLY 1C ROUGE:</t>
  </si>
  <si>
    <t>facebook.com/domainemichelbriday/</t>
  </si>
  <si>
    <t>21BRIDAY04</t>
  </si>
  <si>
    <t>22BRIDAY03</t>
  </si>
  <si>
    <t>GROWER CODE: BRIDAY</t>
  </si>
  <si>
    <t>19BRIDAY05</t>
  </si>
  <si>
    <t>18BRIDAY04</t>
  </si>
  <si>
    <t>17BRIDAY05</t>
  </si>
  <si>
    <t>16BRIDAY06</t>
  </si>
  <si>
    <t>15BRIDAY06</t>
  </si>
  <si>
    <t>13BRIDAY04</t>
  </si>
  <si>
    <t>22BRIDAY04</t>
  </si>
  <si>
    <t>20BRIDAY06</t>
  </si>
  <si>
    <t>19BRIDAY06</t>
  </si>
  <si>
    <t>18BRIDAY05</t>
  </si>
  <si>
    <t>17BRIDAY06</t>
  </si>
  <si>
    <t>16BRIDAY07</t>
  </si>
  <si>
    <t>15BRIDAY07</t>
  </si>
  <si>
    <t>14BRIDAY04</t>
  </si>
  <si>
    <t>12BRIDAY05MT</t>
  </si>
  <si>
    <t>MERCUREY 1C ROUGE:</t>
  </si>
  <si>
    <t>15BRIDAY08</t>
  </si>
  <si>
    <t>13BRIDAY06</t>
  </si>
  <si>
    <t>10BRIDAY06TB</t>
  </si>
  <si>
    <t>KIND WORDS ABOUT HASARD:</t>
  </si>
  <si>
    <r>
      <rPr>
        <b/>
        <sz val="7"/>
        <color theme="1" tint="0.499984740745262"/>
        <rFont val="Noto Sans"/>
        <family val="2"/>
      </rPr>
      <t>Motto:</t>
    </r>
    <r>
      <rPr>
        <sz val="7"/>
        <color theme="1" tint="0.499984740745262"/>
        <rFont val="Noto Sans"/>
        <family val="2"/>
      </rPr>
      <t xml:space="preserve"> 'Il faut aimer' (attributed to Romain Gary) </t>
    </r>
  </si>
  <si>
    <r>
      <rPr>
        <b/>
        <sz val="7"/>
        <color theme="1" tint="0.499984740745262"/>
        <rFont val="Noto Sans"/>
        <family val="2"/>
      </rPr>
      <t>W.Kelley, TWA 2021</t>
    </r>
    <r>
      <rPr>
        <sz val="7"/>
        <color theme="1" tint="0.499984740745262"/>
        <rFont val="Noto Sans"/>
        <family val="2"/>
      </rPr>
      <t xml:space="preserve"> 'I was taken aback by just how good these wines are: Hasard's concentrated, chiseled whites and his perfumed, enveloping</t>
    </r>
  </si>
  <si>
    <t>reds deserve to be far better known outside of France.'</t>
  </si>
  <si>
    <r>
      <rPr>
        <b/>
        <sz val="7"/>
        <color theme="1" tint="0.499984740745262"/>
        <rFont val="Noto Sans"/>
        <family val="2"/>
      </rPr>
      <t>W.Kelley, TWA 2021</t>
    </r>
    <r>
      <rPr>
        <sz val="7"/>
        <color theme="1" tint="0.499984740745262"/>
        <rFont val="Noto Sans"/>
        <family val="2"/>
      </rPr>
      <t xml:space="preserve"> 'a superb domaine that I can't recommend highly enough, and Hasard's wines will (now) be covered every year'</t>
    </r>
  </si>
  <si>
    <r>
      <rPr>
        <b/>
        <sz val="7"/>
        <color theme="1" tint="0.499984740745262"/>
        <rFont val="Noto Sans"/>
        <family val="2"/>
      </rPr>
      <t xml:space="preserve">W.Kelley, TWA 2021 </t>
    </r>
    <r>
      <rPr>
        <sz val="7"/>
        <color theme="1" tint="0.499984740745262"/>
        <rFont val="Noto Sans"/>
        <family val="2"/>
      </rPr>
      <t>'Hasard has planted at higher densities with massal selections and superior clones. Yields, at 25hl/ha for red, would be</t>
    </r>
  </si>
  <si>
    <t>considered low in the Côte de Nuits. In the winery, whites are pressed for two and a half hours to extract from the skins, and reds ferment with one-</t>
  </si>
  <si>
    <t xml:space="preserve"> to two-thirds whole cluster—though there are no rules.'</t>
  </si>
  <si>
    <r>
      <rPr>
        <b/>
        <sz val="7"/>
        <color theme="1" tint="0.499984740745262"/>
        <rFont val="Noto Sans"/>
        <family val="2"/>
      </rPr>
      <t>Bill Nanson, Burgundy Report, 2015</t>
    </r>
    <r>
      <rPr>
        <sz val="7"/>
        <color theme="1" tint="0.499984740745262"/>
        <rFont val="Noto Sans"/>
        <family val="2"/>
      </rPr>
      <t xml:space="preserve"> 'What a smart set of wines at this address'</t>
    </r>
  </si>
  <si>
    <r>
      <rPr>
        <b/>
        <sz val="7"/>
        <color theme="1" tint="0.499984740745262"/>
        <rFont val="Noto Sans"/>
        <family val="2"/>
      </rPr>
      <t>Bill Nanson, Burgundy Report, 2015</t>
    </r>
    <r>
      <rPr>
        <sz val="7"/>
        <color theme="1" tint="0.499984740745262"/>
        <rFont val="Noto Sans"/>
        <family val="2"/>
      </rPr>
      <t xml:space="preserve"> 'the wines have a focus and precision that are really top draw. </t>
    </r>
    <r>
      <rPr>
        <b/>
        <sz val="7"/>
        <color theme="1" tint="0.499984740745262"/>
        <rFont val="Noto Sans"/>
        <family val="2"/>
      </rPr>
      <t>Ones to search out!</t>
    </r>
  </si>
  <si>
    <r>
      <rPr>
        <b/>
        <sz val="7"/>
        <color theme="1" tint="0.499984740745262"/>
        <rFont val="Noto Sans"/>
        <family val="2"/>
      </rPr>
      <t>Bettane Desseauve, 2020</t>
    </r>
    <r>
      <rPr>
        <sz val="7"/>
        <color theme="1" tint="0.499984740745262"/>
        <rFont val="Noto Sans"/>
        <family val="2"/>
      </rPr>
      <t xml:space="preserve"> 'Un vrai travail d'orfevre!'</t>
    </r>
  </si>
  <si>
    <r>
      <rPr>
        <b/>
        <sz val="7"/>
        <color theme="1" tint="0.499984740745262"/>
        <rFont val="Noto Sans"/>
        <family val="2"/>
      </rPr>
      <t>Bettane Desseauve, 2016</t>
    </r>
    <r>
      <rPr>
        <sz val="7"/>
        <color theme="1" tint="0.499984740745262"/>
        <rFont val="Noto Sans"/>
        <family val="2"/>
      </rPr>
      <t xml:space="preserve"> 'Le domaine jongle avec l'acidité de ses vins, qui est avant tout recherché'</t>
    </r>
  </si>
  <si>
    <r>
      <rPr>
        <b/>
        <sz val="7"/>
        <color theme="1" tint="0.499984740745262"/>
        <rFont val="Noto Sans"/>
        <family val="2"/>
      </rPr>
      <t>Bettane Desseauve, 2016</t>
    </r>
    <r>
      <rPr>
        <sz val="7"/>
        <color theme="1" tint="0.499984740745262"/>
        <rFont val="Noto Sans"/>
        <family val="2"/>
      </rPr>
      <t xml:space="preserve"> 'blancs tres energetiques, vifs et tres purs...rouges se caractérisent par leur grande précision'</t>
    </r>
  </si>
  <si>
    <r>
      <rPr>
        <b/>
        <sz val="7"/>
        <color theme="1" tint="0.499984740745262"/>
        <rFont val="Noto Sans"/>
        <family val="2"/>
      </rPr>
      <t>Bourgogne Wineblog, 2012</t>
    </r>
    <r>
      <rPr>
        <sz val="7"/>
        <color theme="1" tint="0.499984740745262"/>
        <rFont val="Noto Sans"/>
        <family val="2"/>
      </rPr>
      <t xml:space="preserve"> 'it's divinely good' -</t>
    </r>
    <r>
      <rPr>
        <i/>
        <sz val="7"/>
        <color theme="1" tint="0.499984740745262"/>
        <rFont val="Noto Sans"/>
        <family val="2"/>
      </rPr>
      <t xml:space="preserve"> 'c’est divinement bon!'</t>
    </r>
  </si>
  <si>
    <t>ALAIN &amp; ISABELLE HASARD</t>
  </si>
  <si>
    <t>CREMANT DE BOURGOGNE:</t>
  </si>
  <si>
    <t>LES CHAMPS DE L'ABBAYE</t>
  </si>
  <si>
    <t>21HASARD07</t>
  </si>
  <si>
    <t>Aluze, Cote Chalonnaise. High vine density</t>
  </si>
  <si>
    <r>
      <rPr>
        <sz val="8"/>
        <color theme="1" tint="0.14999847407452621"/>
        <rFont val="Noto Sans"/>
        <family val="2"/>
      </rPr>
      <t xml:space="preserve">6ha </t>
    </r>
    <r>
      <rPr>
        <b/>
        <sz val="8"/>
        <color rgb="FF00B050"/>
        <rFont val="Noto Sans"/>
        <family val="2"/>
      </rPr>
      <t>Organic certified 2002 Ecocert</t>
    </r>
  </si>
  <si>
    <t>23HASARD01</t>
  </si>
  <si>
    <r>
      <rPr>
        <sz val="8"/>
        <color theme="1" tint="0.14999847407452621"/>
        <rFont val="Noto Sans"/>
        <family val="2"/>
      </rPr>
      <t>plus</t>
    </r>
    <r>
      <rPr>
        <b/>
        <sz val="8"/>
        <color rgb="FF00B050"/>
        <rFont val="Noto Sans"/>
        <family val="2"/>
      </rPr>
      <t xml:space="preserve"> 'biodynamic-uncert.'</t>
    </r>
  </si>
  <si>
    <t>22HASARD01</t>
  </si>
  <si>
    <t>pinot fin emphasis; high density; low yields</t>
  </si>
  <si>
    <t>20HASARD02</t>
  </si>
  <si>
    <t>ambient yeast ferment; low SO2; little racking</t>
  </si>
  <si>
    <t>19HASARD14</t>
  </si>
  <si>
    <t>founded 1997, being sold in 2025</t>
  </si>
  <si>
    <t>RULLY BLANC:</t>
  </si>
  <si>
    <t>B+D 3* estate</t>
  </si>
  <si>
    <t>23HASARD02</t>
  </si>
  <si>
    <t>GROWER CODE: HASARD</t>
  </si>
  <si>
    <t>22HASARD02</t>
  </si>
  <si>
    <t>17HASARD03</t>
  </si>
  <si>
    <t>23HASARD03</t>
  </si>
  <si>
    <t>12HASARD04</t>
  </si>
  <si>
    <t>MONTHÉLIE BLANC:</t>
  </si>
  <si>
    <t>20HASARD09</t>
  </si>
  <si>
    <t>20HASARD04</t>
  </si>
  <si>
    <t>23HASARD04</t>
  </si>
  <si>
    <t>22HASARD04</t>
  </si>
  <si>
    <t>20HASARD05</t>
  </si>
  <si>
    <t>19HASARD02</t>
  </si>
  <si>
    <t>21HASARD03</t>
  </si>
  <si>
    <t>16HASARD01</t>
  </si>
  <si>
    <t>MERCUREY ROUGE:</t>
  </si>
  <si>
    <t>21HASARD04</t>
  </si>
  <si>
    <t>20HASARD06</t>
  </si>
  <si>
    <t>19HASARD11</t>
  </si>
  <si>
    <t>18HASARD04</t>
  </si>
  <si>
    <t>17HASARD05</t>
  </si>
  <si>
    <t>16HASARD03</t>
  </si>
  <si>
    <t>15HASARD06</t>
  </si>
  <si>
    <t>13HASARD02</t>
  </si>
  <si>
    <t>12HASARD03</t>
  </si>
  <si>
    <t>23HASARD05</t>
  </si>
  <si>
    <t>22HASARD05</t>
  </si>
  <si>
    <t>21HASARD05</t>
  </si>
  <si>
    <t>20HASARD01</t>
  </si>
  <si>
    <t>19HASARD04</t>
  </si>
  <si>
    <t>18HASARD05</t>
  </si>
  <si>
    <t>17HASARD06</t>
  </si>
  <si>
    <t>16HASARD04</t>
  </si>
  <si>
    <t>13HASARD01</t>
  </si>
  <si>
    <t>MONTHÉLIE ROUGE:</t>
  </si>
  <si>
    <t>21HASARD06</t>
  </si>
  <si>
    <t>19HASARD13</t>
  </si>
  <si>
    <t>17HASARD07</t>
  </si>
  <si>
    <t>16HASARD05</t>
  </si>
  <si>
    <t>15HASARD07</t>
  </si>
  <si>
    <t>13HASARD03</t>
  </si>
  <si>
    <t>09HASARD04</t>
  </si>
  <si>
    <t>France, Burgundy - Maconnais</t>
  </si>
  <si>
    <t>DOMAINE DE L'ÉCHELETTE</t>
  </si>
  <si>
    <t>18LECHELE01</t>
  </si>
  <si>
    <t>Macon Cruzille, La Chapelle Sous Brancion</t>
  </si>
  <si>
    <t>16LECHELE01</t>
  </si>
  <si>
    <t>Guillaume Champliaud</t>
  </si>
  <si>
    <t>18LECHELE02</t>
  </si>
  <si>
    <t>13ha; mostly chardonnay; 10 to 60yr vines</t>
  </si>
  <si>
    <t>16LECHELE02</t>
  </si>
  <si>
    <t>La Belouse is a parcel on blue-marne soils</t>
  </si>
  <si>
    <t>1998 1st vintage totally vinified in house</t>
  </si>
  <si>
    <t>1976 to 1998 supplied grapes to co-op</t>
  </si>
  <si>
    <t>1976 Michel Champliaud bought L'Echelette</t>
  </si>
  <si>
    <t>1870s manor house &amp; winery built</t>
  </si>
  <si>
    <t>DomainedeLEchelette.com</t>
  </si>
  <si>
    <t>facebook.com/GuillaumeChampliaud/</t>
  </si>
  <si>
    <t>GROWER CODE: LECHELE</t>
  </si>
  <si>
    <t>RÉNÉ MICHEL, Dom.</t>
  </si>
  <si>
    <t>MACON VILLAGES:</t>
  </si>
  <si>
    <t>Cray, Maconnais. Franck Michel</t>
  </si>
  <si>
    <t>24MICHEL01</t>
  </si>
  <si>
    <r>
      <t xml:space="preserve">21ha </t>
    </r>
    <r>
      <rPr>
        <b/>
        <sz val="8"/>
        <color rgb="FF00B050"/>
        <rFont val="Noto Sans"/>
        <family val="2"/>
      </rPr>
      <t>sustainable</t>
    </r>
    <r>
      <rPr>
        <sz val="8"/>
        <color theme="1" tint="0.14999847407452621"/>
        <rFont val="Noto Sans"/>
        <family val="2"/>
      </rPr>
      <t>; ambient yeast</t>
    </r>
  </si>
  <si>
    <t>VIRÉ-CLESSÉ HVS:</t>
  </si>
  <si>
    <t>400 head of Charolais &amp; Aubrac cows</t>
  </si>
  <si>
    <t>24MICHEL02HF</t>
  </si>
  <si>
    <t>VIRÉ-CLESSÉ:</t>
  </si>
  <si>
    <r>
      <rPr>
        <b/>
        <sz val="7"/>
        <color theme="1" tint="0.499984740745262"/>
        <rFont val="Noto Sans"/>
        <family val="2"/>
      </rPr>
      <t>Macon Villages:</t>
    </r>
    <r>
      <rPr>
        <sz val="7"/>
        <color theme="1" tint="0.499984740745262"/>
        <rFont val="Noto Sans"/>
        <family val="2"/>
      </rPr>
      <t xml:space="preserve"> 2ha E facing below Clessé. Tank</t>
    </r>
  </si>
  <si>
    <t>24MICHEL02</t>
  </si>
  <si>
    <r>
      <rPr>
        <b/>
        <sz val="7"/>
        <color theme="1" tint="0.499984740745262"/>
        <rFont val="Noto Sans"/>
        <family val="2"/>
      </rPr>
      <t>VC Tradition</t>
    </r>
    <r>
      <rPr>
        <sz val="7"/>
        <color theme="1" tint="0.499984740745262"/>
        <rFont val="Noto Sans"/>
        <family val="2"/>
      </rPr>
      <t>: ~7ha mid-slope avg 50yr vines. Tank</t>
    </r>
  </si>
  <si>
    <t>22MICHEL01</t>
  </si>
  <si>
    <r>
      <rPr>
        <b/>
        <sz val="7"/>
        <color theme="1" tint="0.499984740745262"/>
        <rFont val="Noto Sans"/>
        <family val="2"/>
      </rPr>
      <t>VC Quintaine</t>
    </r>
    <r>
      <rPr>
        <sz val="7"/>
        <color theme="1" tint="0.499984740745262"/>
        <rFont val="Noto Sans"/>
        <family val="2"/>
      </rPr>
      <t>: 3ha in Quintaine, avg 50yr vines on</t>
    </r>
  </si>
  <si>
    <t>clay-limestone marnes. Tank, 18-20mths elevage</t>
  </si>
  <si>
    <t>18MICHEL03MG</t>
  </si>
  <si>
    <r>
      <rPr>
        <b/>
        <sz val="7"/>
        <color theme="1" tint="0.499984740745262"/>
        <rFont val="Noto Sans"/>
        <family val="2"/>
      </rPr>
      <t>VC VV:</t>
    </r>
    <r>
      <rPr>
        <sz val="7"/>
        <color theme="1" tint="0.499984740745262"/>
        <rFont val="Noto Sans"/>
        <family val="2"/>
      </rPr>
      <t xml:space="preserve"> older vines avg 60yrs on upper slope, e.g. </t>
    </r>
  </si>
  <si>
    <t xml:space="preserve">in Sur Le Chêne. Troncais cask ferment, 15-20% </t>
  </si>
  <si>
    <t>13MICHEL01VDP</t>
  </si>
  <si>
    <t xml:space="preserve">new &amp; 12mths elevage, followed by 10-12mths tank. </t>
  </si>
  <si>
    <t>B+D Guide 'Producteurs de L'Année' of 2015</t>
  </si>
  <si>
    <t>1850 founded</t>
  </si>
  <si>
    <t>ReneMichel.com</t>
  </si>
  <si>
    <t>GROWER CODE: MICHEL</t>
  </si>
  <si>
    <t>CORNIN, Dom.</t>
  </si>
  <si>
    <t>15CORNIN01TB</t>
  </si>
  <si>
    <t>Pouilly-Fuissé (formerly Dom. Lalande)</t>
  </si>
  <si>
    <t>15CORNIN03TB</t>
  </si>
  <si>
    <t xml:space="preserve">founded Dominique 1993; 11ha </t>
  </si>
  <si>
    <t>son Romain joined 2011/12</t>
  </si>
  <si>
    <r>
      <rPr>
        <b/>
        <sz val="8"/>
        <color rgb="FF00B050"/>
        <rFont val="Noto Sans"/>
        <family val="2"/>
      </rPr>
      <t>Biodynamic;</t>
    </r>
    <r>
      <rPr>
        <sz val="8"/>
        <color theme="1" tint="0.14999847407452621"/>
        <rFont val="Noto Sans"/>
        <family val="2"/>
      </rPr>
      <t xml:space="preserve"> horseplough; ambient yeast</t>
    </r>
  </si>
  <si>
    <t>225L to 600L barrel ferment</t>
  </si>
  <si>
    <t>Cornin.net</t>
  </si>
  <si>
    <t>GROWER CODE: CORNIN</t>
  </si>
  <si>
    <t>KIND WORDS ABOUT SAUMAIZE:</t>
  </si>
  <si>
    <t>B+D Guide 2022 '4 producer' (top 10 of all Chalonnaise &amp; Maconnais combined)</t>
  </si>
  <si>
    <r>
      <t>W.Kelley, TWA 2019</t>
    </r>
    <r>
      <rPr>
        <sz val="7"/>
        <color theme="1" tint="0.499984740745262"/>
        <rFont val="Noto Sans"/>
        <family val="2"/>
      </rPr>
      <t xml:space="preserve"> 'concentrated &amp; quite structured, exemplifying the artisanal excellence that seems to proliferate in Vergisson'</t>
    </r>
  </si>
  <si>
    <r>
      <t xml:space="preserve">N.Martin, 2017 </t>
    </r>
    <r>
      <rPr>
        <sz val="7"/>
        <color theme="1" tint="0.499984740745262"/>
        <rFont val="Noto Sans"/>
        <family val="2"/>
      </rPr>
      <t>'a go-to domaine if you are seeking terroir-driven, characterful wines that bristle with energy'</t>
    </r>
  </si>
  <si>
    <r>
      <t>N.Martin, 2017</t>
    </r>
    <r>
      <rPr>
        <sz val="7"/>
        <color theme="1" tint="0.499984740745262"/>
        <rFont val="Noto Sans"/>
        <family val="2"/>
      </rPr>
      <t xml:space="preserve"> 'one of the top producers in the Maconnais'</t>
    </r>
  </si>
  <si>
    <r>
      <t xml:space="preserve">N.Martin, 2014 </t>
    </r>
    <r>
      <rPr>
        <sz val="7"/>
        <color theme="1" tint="0.499984740745262"/>
        <rFont val="Noto Sans"/>
        <family val="2"/>
      </rPr>
      <t>'this is one of my favourite producers'</t>
    </r>
  </si>
  <si>
    <r>
      <t>RVF Guide Vert</t>
    </r>
    <r>
      <rPr>
        <sz val="7"/>
        <color theme="1" tint="0.499984740745262"/>
        <rFont val="Noto Sans"/>
        <family val="2"/>
      </rPr>
      <t xml:space="preserve"> '(les crus) rivalisent avec des 1Cs de la Cote d'Or'</t>
    </r>
  </si>
  <si>
    <r>
      <rPr>
        <b/>
        <sz val="7"/>
        <color theme="1" tint="0.499984740745262"/>
        <rFont val="Noto Sans"/>
        <family val="2"/>
      </rPr>
      <t>B+D</t>
    </r>
    <r>
      <rPr>
        <sz val="7"/>
        <color theme="1" tint="0.499984740745262"/>
        <rFont val="Noto Sans"/>
        <family val="2"/>
      </rPr>
      <t xml:space="preserve"> 'l'un des fers de lance du Maconnais'</t>
    </r>
  </si>
  <si>
    <t>SAUMAIZE-MICHELIN</t>
  </si>
  <si>
    <t>MACON:</t>
  </si>
  <si>
    <t>Vergisson, Pouilly-Fuissé. 10ha vines</t>
  </si>
  <si>
    <t>23SAUM01</t>
  </si>
  <si>
    <t>Siblings Vivien &amp; Lisa, with parents</t>
  </si>
  <si>
    <t>St.VERAN:</t>
  </si>
  <si>
    <t>Roger &amp; Christine Saumaize-Michelin</t>
  </si>
  <si>
    <t>23SAUM02</t>
  </si>
  <si>
    <t>10-15% new oak; bottled unfiltered</t>
  </si>
  <si>
    <t>23SAUM04</t>
  </si>
  <si>
    <t>'biodynamic-uncertified'</t>
  </si>
  <si>
    <t>23SAUM03</t>
  </si>
  <si>
    <t>POUILLY FUISSÉ:</t>
  </si>
  <si>
    <t>KEYS WINES (IN BRIEF):</t>
  </si>
  <si>
    <t>21SAUM03</t>
  </si>
  <si>
    <r>
      <rPr>
        <b/>
        <sz val="7"/>
        <color theme="1" tint="0.499984740745262"/>
        <rFont val="Noto Sans"/>
        <family val="2"/>
      </rPr>
      <t>Les Creches:</t>
    </r>
    <r>
      <rPr>
        <sz val="7"/>
        <color theme="1" tint="0.499984740745262"/>
        <rFont val="Noto Sans"/>
        <family val="2"/>
      </rPr>
      <t xml:space="preserve"> 1.08ha in Davayé, 2 parcels of</t>
    </r>
  </si>
  <si>
    <t>23SAUM05</t>
  </si>
  <si>
    <t>~40 &amp; &gt;60yrs on limestone &amp; clay. Purchased 1995</t>
  </si>
  <si>
    <t>21SAUM05</t>
  </si>
  <si>
    <r>
      <rPr>
        <b/>
        <sz val="7"/>
        <color theme="1" tint="0.499984740745262"/>
        <rFont val="Noto Sans"/>
        <family val="2"/>
      </rPr>
      <t>Pentacrine:</t>
    </r>
    <r>
      <rPr>
        <sz val="7"/>
        <color theme="1" tint="0.499984740745262"/>
        <rFont val="Noto Sans"/>
        <family val="2"/>
      </rPr>
      <t xml:space="preserve"> blended parcels of oyster-shell terroir</t>
    </r>
  </si>
  <si>
    <t>1C POUILLY FUISSÉ (FROM 2020s):</t>
  </si>
  <si>
    <t>raised in 600L demi-muids</t>
  </si>
  <si>
    <t>21SAUM09</t>
  </si>
  <si>
    <r>
      <rPr>
        <b/>
        <sz val="7"/>
        <color theme="1" tint="0.499984740745262"/>
        <rFont val="Noto Sans"/>
        <family val="2"/>
      </rPr>
      <t>Aux Charmes (from 2020), ex-Ronchevats</t>
    </r>
    <r>
      <rPr>
        <sz val="7"/>
        <color theme="1" tint="0.499984740745262"/>
        <rFont val="Noto Sans"/>
        <family val="2"/>
      </rPr>
      <t>:</t>
    </r>
  </si>
  <si>
    <t>23SAUM07</t>
  </si>
  <si>
    <t>vv &gt;60yrs facing SW on clay-rich soil with</t>
  </si>
  <si>
    <t>23SAUM08</t>
  </si>
  <si>
    <t>occasional limestone. 1st made 1988</t>
  </si>
  <si>
    <t>POUILLY FUISSÉ 'GRAND VIN':</t>
  </si>
  <si>
    <r>
      <rPr>
        <b/>
        <sz val="7"/>
        <color theme="1" tint="0.499984740745262"/>
        <rFont val="Noto Sans"/>
        <family val="2"/>
      </rPr>
      <t>La Marechaude 1C:</t>
    </r>
    <r>
      <rPr>
        <sz val="7"/>
        <color theme="1" tint="0.499984740745262"/>
        <rFont val="Noto Sans"/>
        <family val="2"/>
      </rPr>
      <t xml:space="preserve"> mature vines acquired 2013</t>
    </r>
  </si>
  <si>
    <t>23SAUM06</t>
  </si>
  <si>
    <t>on very steep limestone parcel. Hand-worked only.</t>
  </si>
  <si>
    <t>21SAUM08</t>
  </si>
  <si>
    <r>
      <rPr>
        <b/>
        <sz val="7"/>
        <color theme="1" tint="0.499984740745262"/>
        <rFont val="Noto Sans"/>
        <family val="2"/>
      </rPr>
      <t>'Clos' Sur La Roche 1C:</t>
    </r>
    <r>
      <rPr>
        <sz val="7"/>
        <color theme="1" tint="0.499984740745262"/>
        <rFont val="Noto Sans"/>
        <family val="2"/>
      </rPr>
      <t xml:space="preserve"> 1.65ha acquired 1979</t>
    </r>
  </si>
  <si>
    <t>MACON ROUGE:</t>
  </si>
  <si>
    <t>2/3 ~35yrs &amp; 1/3 TVV; South facing.</t>
  </si>
  <si>
    <t>18SAUM04</t>
  </si>
  <si>
    <r>
      <rPr>
        <b/>
        <sz val="7"/>
        <color theme="1" tint="0.499984740745262"/>
        <rFont val="Noto Sans"/>
        <family val="2"/>
      </rPr>
      <t xml:space="preserve">Ampelopsis: </t>
    </r>
    <r>
      <rPr>
        <sz val="7"/>
        <color theme="1" tint="0.499984740745262"/>
        <rFont val="Noto Sans"/>
        <family val="2"/>
      </rPr>
      <t>top 4 casks of Fuissé crus of the yr,</t>
    </r>
  </si>
  <si>
    <t>blended and raised 6mths longer. ('Batard-esque')</t>
  </si>
  <si>
    <r>
      <rPr>
        <b/>
        <sz val="7"/>
        <color theme="1" tint="0.499984740745262"/>
        <rFont val="Noto Sans"/>
        <family val="2"/>
      </rPr>
      <t>Les Bruyères:</t>
    </r>
    <r>
      <rPr>
        <sz val="7"/>
        <color theme="1" tint="0.499984740745262"/>
        <rFont val="Noto Sans"/>
        <family val="2"/>
      </rPr>
      <t xml:space="preserve"> 0.5ha gamay parcel on granite</t>
    </r>
  </si>
  <si>
    <t>2022 in Neal Martin's Most Memorable WOTY, Vinous</t>
  </si>
  <si>
    <t>2020 daughter Lisa joined</t>
  </si>
  <si>
    <t>2020 1st vintage of the P.Fuissé premiers crus (1C)</t>
  </si>
  <si>
    <t>2015 B+D Guide 'Producteurs de L'Année'</t>
  </si>
  <si>
    <t>2015 15 cuvées made; first Viré-Clessé</t>
  </si>
  <si>
    <t>2010 - 2013 very low yield era</t>
  </si>
  <si>
    <t>2007 new cellars built</t>
  </si>
  <si>
    <t>2005 started biodynamic farming; got Courtelongs</t>
  </si>
  <si>
    <t>2006 two former metayge parcels bought</t>
  </si>
  <si>
    <t>2003 - 2005 low yield period</t>
  </si>
  <si>
    <t>1987 start domaine bottling; follow lunar calendar</t>
  </si>
  <si>
    <t>1985 1st vintage of cru wines</t>
  </si>
  <si>
    <t>1981 Christine &amp; Roger marry</t>
  </si>
  <si>
    <t>1979 acquire Clos Sur La Roche, their largest parcel</t>
  </si>
  <si>
    <t>1978 Roger took over 3.5ha vines; sustainable</t>
  </si>
  <si>
    <t>RVF 1* estate; B+D 4* 2022</t>
  </si>
  <si>
    <t>Saumaize-Michelin.com</t>
  </si>
  <si>
    <t>GITES AVAILABLE IN SUMMER</t>
  </si>
  <si>
    <t>GROWER CODE: SAUM</t>
  </si>
  <si>
    <t>France, Burgundy - Beaujolais</t>
  </si>
  <si>
    <t>KIND WORDS ABOUT CLEMENT &amp; LOUIS BOILLOT's CRUs:</t>
  </si>
  <si>
    <r>
      <rPr>
        <b/>
        <sz val="7"/>
        <color theme="1" tint="0.499984740745262"/>
        <rFont val="Noto Sans"/>
        <family val="2"/>
      </rPr>
      <t xml:space="preserve">Winehog.com, 2022 </t>
    </r>
    <r>
      <rPr>
        <sz val="7"/>
        <color theme="1" tint="0.499984740745262"/>
        <rFont val="Noto Sans"/>
        <family val="2"/>
      </rPr>
      <t>'Clément Boillot wines are rather more traditionally made – some destemming, and with a sulphur level built to last...a welcome variation and change.'</t>
    </r>
  </si>
  <si>
    <r>
      <rPr>
        <b/>
        <sz val="7"/>
        <color theme="1" tint="0.499984740745262"/>
        <rFont val="Noto Sans"/>
        <family val="2"/>
      </rPr>
      <t>W.Kelley, TWA 2020</t>
    </r>
    <r>
      <rPr>
        <sz val="7"/>
        <color theme="1" tint="0.499984740745262"/>
        <rFont val="Noto Sans"/>
        <family val="2"/>
      </rPr>
      <t xml:space="preserve"> 'superb examples of Moulin-à-Vent and Fleurie. Classically vinified and given an unusually long élevage by the standards</t>
    </r>
  </si>
  <si>
    <t>of the region, these are serious, elegantly muscular cru Beaujolais built to age with grace...they come warmly recommended.'</t>
  </si>
  <si>
    <r>
      <rPr>
        <b/>
        <sz val="7"/>
        <color theme="1" tint="0.499984740745262"/>
        <rFont val="Noto Sans"/>
        <family val="2"/>
      </rPr>
      <t xml:space="preserve">J.Reynolds, Vinous 2017 </t>
    </r>
    <r>
      <rPr>
        <sz val="7"/>
        <color theme="1" tint="0.499984740745262"/>
        <rFont val="Noto Sans"/>
        <family val="2"/>
      </rPr>
      <t>'stand out for their depth and power...don’t lack for finesse'</t>
    </r>
  </si>
  <si>
    <r>
      <rPr>
        <b/>
        <sz val="7"/>
        <color theme="1" tint="0.499984740745262"/>
        <rFont val="Noto Sans"/>
        <family val="2"/>
      </rPr>
      <t>J.Reynolds, Vinous 2017</t>
    </r>
    <r>
      <rPr>
        <sz val="7"/>
        <color theme="1" tint="0.499984740745262"/>
        <rFont val="Noto Sans"/>
        <family val="2"/>
      </rPr>
      <t xml:space="preserve"> 'stash away for a while to allow them to show their full potential'</t>
    </r>
  </si>
  <si>
    <r>
      <rPr>
        <b/>
        <sz val="7"/>
        <color theme="1" tint="0.499984740745262"/>
        <rFont val="Noto Sans"/>
        <family val="2"/>
      </rPr>
      <t>Bill Nanson, 2017</t>
    </r>
    <r>
      <rPr>
        <sz val="7"/>
        <color theme="1" tint="0.499984740745262"/>
        <rFont val="Noto Sans"/>
        <family val="2"/>
      </rPr>
      <t xml:space="preserve"> 'simply a great selection here'</t>
    </r>
  </si>
  <si>
    <t>BOILLOT-BARTHOD by</t>
  </si>
  <si>
    <t>FLEURIE:</t>
  </si>
  <si>
    <t>Clement Boillot-Barthod</t>
  </si>
  <si>
    <t>22BOILBAR04</t>
  </si>
  <si>
    <t>with father Louis &amp; mother Ghislaine Barthod</t>
  </si>
  <si>
    <t>21BOILBAR05</t>
  </si>
  <si>
    <r>
      <t xml:space="preserve">~4ha. Founded 2014. </t>
    </r>
    <r>
      <rPr>
        <b/>
        <sz val="8"/>
        <color rgb="FF00B050"/>
        <rFont val="Noto Sans"/>
        <family val="2"/>
      </rPr>
      <t>sustainable</t>
    </r>
  </si>
  <si>
    <t>20BOILBAR04</t>
  </si>
  <si>
    <t>Romaneche-Thorins ferment; Chambolle elevage</t>
  </si>
  <si>
    <t>MOULIN A VENT:</t>
  </si>
  <si>
    <t>mostly de-stemmed; 12-20mths elevage in</t>
  </si>
  <si>
    <t>22BOILBAR01</t>
  </si>
  <si>
    <t>228L &amp; 500L casks, max 10% new</t>
  </si>
  <si>
    <t>21BOILBAR01</t>
  </si>
  <si>
    <t>KEY VINEYARDS / WINES:</t>
  </si>
  <si>
    <t>20BOILBAR01</t>
  </si>
  <si>
    <r>
      <rPr>
        <b/>
        <sz val="7"/>
        <color theme="1" tint="0.499984740745262"/>
        <rFont val="Noto Sans"/>
        <family val="2"/>
      </rPr>
      <t>MAV VV</t>
    </r>
    <r>
      <rPr>
        <sz val="7"/>
        <color theme="1" tint="0.499984740745262"/>
        <rFont val="Noto Sans"/>
        <family val="2"/>
      </rPr>
      <t>: old-vine parcels near the windmill</t>
    </r>
  </si>
  <si>
    <t>18BOILBAR01</t>
  </si>
  <si>
    <r>
      <rPr>
        <b/>
        <sz val="7"/>
        <color theme="1" tint="0.499984740745262"/>
        <rFont val="Noto Sans"/>
        <family val="2"/>
      </rPr>
      <t>MAV Rouchaux:</t>
    </r>
    <r>
      <rPr>
        <sz val="7"/>
        <color theme="1" tint="0.499984740745262"/>
        <rFont val="Noto Sans"/>
        <family val="2"/>
      </rPr>
      <t xml:space="preserve"> 1.2ha ~70yr vines, grey/blue granite</t>
    </r>
  </si>
  <si>
    <t>22BOILBAR02</t>
  </si>
  <si>
    <r>
      <rPr>
        <b/>
        <sz val="7"/>
        <color theme="1" tint="0.499984740745262"/>
        <rFont val="Noto Sans"/>
        <family val="2"/>
      </rPr>
      <t>MAV Plantier de Favre</t>
    </r>
    <r>
      <rPr>
        <sz val="7"/>
        <color theme="1" tint="0.499984740745262"/>
        <rFont val="Noto Sans"/>
        <family val="2"/>
      </rPr>
      <t>: VV on granite &amp; red sands</t>
    </r>
  </si>
  <si>
    <t>21BOILBAR02</t>
  </si>
  <si>
    <r>
      <rPr>
        <b/>
        <sz val="7"/>
        <color theme="1" tint="0.499984740745262"/>
        <rFont val="Noto Sans"/>
        <family val="2"/>
      </rPr>
      <t>MAV Brusselions</t>
    </r>
    <r>
      <rPr>
        <sz val="7"/>
        <color theme="1" tint="0.499984740745262"/>
        <rFont val="Noto Sans"/>
        <family val="2"/>
      </rPr>
      <t>: hilltop; alluvial soil, white sands</t>
    </r>
  </si>
  <si>
    <t>20BOILBAR02</t>
  </si>
  <si>
    <r>
      <rPr>
        <b/>
        <sz val="7"/>
        <color theme="1" tint="0.499984740745262"/>
        <rFont val="Noto Sans"/>
        <family val="2"/>
      </rPr>
      <t>MAV Thorins</t>
    </r>
    <r>
      <rPr>
        <sz val="7"/>
        <color theme="1" tint="0.499984740745262"/>
        <rFont val="Noto Sans"/>
        <family val="2"/>
      </rPr>
      <t>: new in 2022</t>
    </r>
  </si>
  <si>
    <t>21BOILBAR06</t>
  </si>
  <si>
    <r>
      <rPr>
        <b/>
        <sz val="7"/>
        <color theme="1" tint="0.499984740745262"/>
        <rFont val="Noto Sans"/>
        <family val="2"/>
      </rPr>
      <t>Fleurie Grille Midi</t>
    </r>
    <r>
      <rPr>
        <sz val="7"/>
        <color theme="1" tint="0.499984740745262"/>
        <rFont val="Noto Sans"/>
        <family val="2"/>
      </rPr>
      <t>: ~70yr vines purchased 2016</t>
    </r>
  </si>
  <si>
    <t>14LBOILLOT01</t>
  </si>
  <si>
    <t>20BOILBAR03</t>
  </si>
  <si>
    <t>2020 Wine Enthusiast Cellar Select Top 100</t>
  </si>
  <si>
    <t>18BOILBAR02</t>
  </si>
  <si>
    <t>2018 1st vintage Fleurie Grille Midi</t>
  </si>
  <si>
    <t>21BOILBAR04</t>
  </si>
  <si>
    <t>2016 1st vintage Plantier de Favre; Fleurie purchase</t>
  </si>
  <si>
    <t>21BOILBAR08</t>
  </si>
  <si>
    <t>2014 Louis Boillot purchases 4ha MAV; 1st vintage</t>
  </si>
  <si>
    <t>21BOILBAR07</t>
  </si>
  <si>
    <t>2013 Clement joins parents' businesses</t>
  </si>
  <si>
    <t>22BOILBAR03</t>
  </si>
  <si>
    <t>NB ALSO SEE G.BARTHOD, CDN</t>
  </si>
  <si>
    <t>MOULIN A VENT EN MAGNUM:</t>
  </si>
  <si>
    <t>NB ALSO SEE LOUIS BOILLOT, CDN</t>
  </si>
  <si>
    <t>14LBOILLOT01MG</t>
  </si>
  <si>
    <t>NB ALSO ON BURG EP OFFER</t>
  </si>
  <si>
    <t xml:space="preserve">GROWER CODES: BOILBAR / LBOILL </t>
  </si>
  <si>
    <t>JEAN-PAUL BRUN</t>
  </si>
  <si>
    <t>24JPBRUN01</t>
  </si>
  <si>
    <t>TERRES DORÉES, Dom.</t>
  </si>
  <si>
    <t>Charnay-en-Beaujolais</t>
  </si>
  <si>
    <t xml:space="preserve">GROWER CODE: JPBRUN </t>
  </si>
  <si>
    <r>
      <t>W.Kelley 2017</t>
    </r>
    <r>
      <rPr>
        <sz val="7"/>
        <color theme="1" tint="0.499984740745262"/>
        <rFont val="Noto Sans"/>
        <family val="2"/>
      </rPr>
      <t xml:space="preserve"> 'A star is born!'</t>
    </r>
  </si>
  <si>
    <t>MARC DELIENNE, Dom.</t>
  </si>
  <si>
    <t>Chateau de L'Abbaye St.Laurent d'Arpayé</t>
  </si>
  <si>
    <t>17DELIENNE01</t>
  </si>
  <si>
    <t>Fleurie. 4.85ha 40-80+yr high density vines</t>
  </si>
  <si>
    <t>17DELIENNE03</t>
  </si>
  <si>
    <t>labels by painter Laurent Reynès</t>
  </si>
  <si>
    <t>17DELIENNE02</t>
  </si>
  <si>
    <t>Organic certified 2018 BAC</t>
  </si>
  <si>
    <t>FLEURIE LARGE FORMAT:</t>
  </si>
  <si>
    <t>17DELIENNE01MG</t>
  </si>
  <si>
    <t xml:space="preserve">whole cluster; ambient yeast; modest SO2; </t>
  </si>
  <si>
    <t>17DELIENNE02MG</t>
  </si>
  <si>
    <t>no chaptalisation nor clarification; some BD</t>
  </si>
  <si>
    <t>17DELIENNE01JB</t>
  </si>
  <si>
    <r>
      <rPr>
        <b/>
        <sz val="7"/>
        <color theme="1" tint="0.499984740745262"/>
        <rFont val="Noto Sans"/>
        <family val="2"/>
      </rPr>
      <t>Avalanche:</t>
    </r>
    <r>
      <rPr>
        <sz val="7"/>
        <color theme="1" tint="0.499984740745262"/>
        <rFont val="Noto Sans"/>
        <family val="2"/>
      </rPr>
      <t xml:space="preserve"> semi-carbonic, 6/7day macerate; </t>
    </r>
  </si>
  <si>
    <t>cement elevage, early bottling</t>
  </si>
  <si>
    <r>
      <t>Abbaye:</t>
    </r>
    <r>
      <rPr>
        <sz val="7"/>
        <color theme="1" tint="0.499984740745262"/>
        <rFont val="Noto Sans"/>
        <family val="2"/>
      </rPr>
      <t xml:space="preserve"> semi-carbo, 6-12 day macerate; 11mth</t>
    </r>
  </si>
  <si>
    <t>elevage in 30hl foudres, + demi-muids &amp; used futs</t>
  </si>
  <si>
    <t>2015 Marc buys vines, starts organics; 1st vintage</t>
  </si>
  <si>
    <t xml:space="preserve">2005 Marc starts a decade of winery stages </t>
  </si>
  <si>
    <t>DomaineMarcDelienne.fr</t>
  </si>
  <si>
    <t>GROWER CODE: DELIENNE</t>
  </si>
  <si>
    <t>KIND WORDS ON DUTRAIVE:</t>
  </si>
  <si>
    <r>
      <rPr>
        <b/>
        <sz val="7"/>
        <color theme="1" tint="0.499984740745262"/>
        <rFont val="Noto Sans"/>
        <family val="2"/>
      </rPr>
      <t>motto</t>
    </r>
    <r>
      <rPr>
        <sz val="7"/>
        <color theme="1" tint="0.499984740745262"/>
        <rFont val="Noto Sans"/>
        <family val="2"/>
      </rPr>
      <t xml:space="preserve"> 'minimal intervention, maximum surveillance'</t>
    </r>
  </si>
  <si>
    <r>
      <rPr>
        <b/>
        <sz val="7"/>
        <color theme="1" tint="0.499984740745262"/>
        <rFont val="Noto Sans"/>
        <family val="2"/>
      </rPr>
      <t>W.Kelley, TWA 2019 '</t>
    </r>
    <r>
      <rPr>
        <sz val="7"/>
        <color theme="1" tint="0.499984740745262"/>
        <rFont val="Noto Sans"/>
        <family val="2"/>
      </rPr>
      <t>celebrated among wine lovers for producing some of the Beaujolais's most charming, seductive wines.'</t>
    </r>
  </si>
  <si>
    <r>
      <rPr>
        <b/>
        <sz val="7"/>
        <color theme="1" tint="0.499984740745262"/>
        <rFont val="Noto Sans"/>
        <family val="2"/>
      </rPr>
      <t>W.Kelley, TWA 2019</t>
    </r>
    <r>
      <rPr>
        <sz val="7"/>
        <color theme="1" tint="0.499984740745262"/>
        <rFont val="Noto Sans"/>
        <family val="2"/>
      </rPr>
      <t xml:space="preserve"> '(Dutraive) incapsulate everything that makes Fleurie great: extravagant perfume, succulent acids, satiny tannins.'</t>
    </r>
  </si>
  <si>
    <r>
      <rPr>
        <b/>
        <sz val="7"/>
        <color theme="1" tint="0.499984740745262"/>
        <rFont val="Noto Sans"/>
        <family val="2"/>
      </rPr>
      <t>W.Kelley, TWA 2019</t>
    </r>
    <r>
      <rPr>
        <sz val="7"/>
        <color theme="1" tint="0.499984740745262"/>
        <rFont val="Noto Sans"/>
        <family val="2"/>
      </rPr>
      <t xml:space="preserve"> 'all the wines reviewed here come recommended.'</t>
    </r>
  </si>
  <si>
    <r>
      <rPr>
        <b/>
        <sz val="7"/>
        <color theme="1" tint="0.499984740745262"/>
        <rFont val="Noto Sans"/>
        <family val="2"/>
      </rPr>
      <t>J.Suckling, 2019</t>
    </r>
    <r>
      <rPr>
        <sz val="7"/>
        <color theme="1" tint="0.499984740745262"/>
        <rFont val="Noto Sans"/>
        <family val="2"/>
      </rPr>
      <t xml:space="preserve"> 'a legend whose Domaine de la Grand’Cour is a reference for wine growing and quality in Fleurie and beyond'</t>
    </r>
  </si>
  <si>
    <r>
      <rPr>
        <b/>
        <sz val="7"/>
        <color theme="1" tint="0.499984740745262"/>
        <rFont val="Noto Sans"/>
        <family val="2"/>
      </rPr>
      <t>Jon Bonne, 2018</t>
    </r>
    <r>
      <rPr>
        <sz val="7"/>
        <color theme="1" tint="0.499984740745262"/>
        <rFont val="Noto Sans"/>
        <family val="2"/>
      </rPr>
      <t xml:space="preserve"> (one of the five) 'essential producers of Beaujolais'</t>
    </r>
  </si>
  <si>
    <r>
      <rPr>
        <b/>
        <sz val="7"/>
        <color theme="1" tint="0.499984740745262"/>
        <rFont val="Noto Sans"/>
        <family val="2"/>
      </rPr>
      <t>Jon Bonne, 2018</t>
    </r>
    <r>
      <rPr>
        <sz val="7"/>
        <color theme="1" tint="0.499984740745262"/>
        <rFont val="Noto Sans"/>
        <family val="2"/>
      </rPr>
      <t xml:space="preserve"> 'some of the most exquisite in Beaujolais, masterful in their winemaking'</t>
    </r>
  </si>
  <si>
    <r>
      <rPr>
        <b/>
        <sz val="7"/>
        <color theme="1" tint="0.499984740745262"/>
        <rFont val="Noto Sans"/>
        <family val="2"/>
      </rPr>
      <t>N.Martin, TWA 2017</t>
    </r>
    <r>
      <rPr>
        <sz val="7"/>
        <color theme="1" tint="0.499984740745262"/>
        <rFont val="Noto Sans"/>
        <family val="2"/>
      </rPr>
      <t xml:space="preserve"> 'distinctive, quite complex wines...can be some of the best in Beaujolais'</t>
    </r>
  </si>
  <si>
    <r>
      <rPr>
        <b/>
        <sz val="7"/>
        <color theme="1" tint="0.499984740745262"/>
        <rFont val="Noto Sans"/>
        <family val="2"/>
      </rPr>
      <t xml:space="preserve">Eric Asimov, NYT 2016 </t>
    </r>
    <r>
      <rPr>
        <sz val="7"/>
        <color theme="1" tint="0.499984740745262"/>
        <rFont val="Noto Sans"/>
        <family val="2"/>
      </rPr>
      <t>'well worth your time'</t>
    </r>
  </si>
  <si>
    <t>DOM. DE LA GRAND'COUR</t>
  </si>
  <si>
    <t>&amp; FAMILLE DUTRAIVE by</t>
  </si>
  <si>
    <t>17FAMDUT02MG</t>
  </si>
  <si>
    <t>OPHÉLIE DUTRAIVE</t>
  </si>
  <si>
    <t>CRUS:</t>
  </si>
  <si>
    <t>~12ha domaine, plus sustainable+ negoce</t>
  </si>
  <si>
    <t>19FAMDUT02</t>
  </si>
  <si>
    <t>Siblings Ophélie &amp; Lucas, &amp; dad Jean-Louis</t>
  </si>
  <si>
    <t>18FAMDUT02</t>
  </si>
  <si>
    <t>Organic certified 2009 BAC</t>
  </si>
  <si>
    <t>18FAMDUT06</t>
  </si>
  <si>
    <t xml:space="preserve">ambient yeast; low temp. carbo' maceration; </t>
  </si>
  <si>
    <t>24FAMDUT05</t>
  </si>
  <si>
    <t>whole cluster</t>
  </si>
  <si>
    <t>23FAMDUT05</t>
  </si>
  <si>
    <t>Raised in seasoned futs, demi-muids, tank.</t>
  </si>
  <si>
    <t>19FAMDUT04</t>
  </si>
  <si>
    <t>Bottled unfined, unfiltered, 10mg/l SO2 added</t>
  </si>
  <si>
    <t>CRUS EN MAGNUM:</t>
  </si>
  <si>
    <t xml:space="preserve">Fleurie terroirs are granite. </t>
  </si>
  <si>
    <t>17FAMDUT01MG</t>
  </si>
  <si>
    <t>NOT RECOMMENDED WBTG MATERIAL</t>
  </si>
  <si>
    <t>18FAMDUT02MG</t>
  </si>
  <si>
    <t>NOT RECOMMENDED UNDER CORAVIN</t>
  </si>
  <si>
    <t>18FAMDUT06MG</t>
  </si>
  <si>
    <t>KEY ESTATE PARCELS:</t>
  </si>
  <si>
    <t>23FAMDUT05MG</t>
  </si>
  <si>
    <r>
      <rPr>
        <b/>
        <sz val="6.5"/>
        <color theme="1" tint="0.499984740745262"/>
        <rFont val="Noto Sans"/>
        <family val="2"/>
      </rPr>
      <t xml:space="preserve">Fleurie Clos de La Grand'Cour, </t>
    </r>
    <r>
      <rPr>
        <sz val="6.5"/>
        <color theme="1" tint="0.499984740745262"/>
        <rFont val="Noto Sans"/>
        <family val="2"/>
      </rPr>
      <t xml:space="preserve">a 6.4ha </t>
    </r>
    <r>
      <rPr>
        <b/>
        <sz val="6.5"/>
        <color theme="1" tint="0.499984740745262"/>
        <rFont val="Noto Sans"/>
        <family val="2"/>
      </rPr>
      <t>monopole:</t>
    </r>
  </si>
  <si>
    <t>19FAMDUT04MG</t>
  </si>
  <si>
    <t>4.5ha are average ~40yrs for main cuvée (jv to 50yrs)</t>
  </si>
  <si>
    <t>FLEURIE CRU:</t>
  </si>
  <si>
    <r>
      <rPr>
        <b/>
        <sz val="6.5"/>
        <color theme="1" tint="0.499984740745262"/>
        <rFont val="Noto Sans"/>
        <family val="2"/>
      </rPr>
      <t>Fleurie Le Clos VV</t>
    </r>
    <r>
      <rPr>
        <sz val="6.5"/>
        <color theme="1" tint="0.499984740745262"/>
        <rFont val="Noto Sans"/>
        <family val="2"/>
      </rPr>
      <t xml:space="preserve"> (de la Grand'Cour): 1.5ha 50-80yrs</t>
    </r>
  </si>
  <si>
    <t>18FAMDUT04</t>
  </si>
  <si>
    <r>
      <rPr>
        <b/>
        <sz val="6.5"/>
        <color theme="1" tint="0.499984740745262"/>
        <rFont val="Noto Sans"/>
        <family val="2"/>
      </rPr>
      <t>Fleurie Champagne VV:</t>
    </r>
    <r>
      <rPr>
        <sz val="6.5"/>
        <color theme="1" tint="0.499984740745262"/>
        <rFont val="Noto Sans"/>
        <family val="2"/>
      </rPr>
      <t xml:space="preserve"> 1.5ha of 40-45 &amp; 90-95yrs</t>
    </r>
  </si>
  <si>
    <t>18FAMDUT05</t>
  </si>
  <si>
    <r>
      <rPr>
        <b/>
        <sz val="6.5"/>
        <color theme="1" tint="0.499984740745262"/>
        <rFont val="Noto Sans"/>
        <family val="2"/>
      </rPr>
      <t>Fleurie Chappelle des Bois:</t>
    </r>
    <r>
      <rPr>
        <sz val="6.5"/>
        <color theme="1" tint="0.499984740745262"/>
        <rFont val="Noto Sans"/>
        <family val="2"/>
      </rPr>
      <t xml:space="preserve"> 1.8ha, 20-70yrs old,</t>
    </r>
  </si>
  <si>
    <t>24FAMDUT01</t>
  </si>
  <si>
    <t>40-70cm soil over granite, N.facing</t>
  </si>
  <si>
    <t>23FAMDUT01</t>
  </si>
  <si>
    <r>
      <rPr>
        <b/>
        <sz val="6.5"/>
        <color theme="1" tint="0.499984740745262"/>
        <rFont val="Noto Sans"/>
        <family val="2"/>
      </rPr>
      <t>Brouilly (VV):</t>
    </r>
    <r>
      <rPr>
        <sz val="6.5"/>
        <color theme="1" tint="0.499984740745262"/>
        <rFont val="Noto Sans"/>
        <family val="2"/>
      </rPr>
      <t xml:space="preserve"> 1.6ha of South facing coteaux with</t>
    </r>
  </si>
  <si>
    <t>24FAMDUT02</t>
  </si>
  <si>
    <t>jv to vv on limestone/clay. Last VV bottling 2023</t>
  </si>
  <si>
    <t>18JLDUT01</t>
  </si>
  <si>
    <t>18JLDUT03</t>
  </si>
  <si>
    <t>2023 1st vintage Ophelie Dutraive estate wines</t>
  </si>
  <si>
    <t>FLEURIE CRU EN MAGNUM:</t>
  </si>
  <si>
    <t>2023 last VV bottling of Domaine Brouilly</t>
  </si>
  <si>
    <t>18FAMDUT03MG</t>
  </si>
  <si>
    <t>2022 1st year with some Portuliege organic corks</t>
  </si>
  <si>
    <t>18FAMDUT05MG</t>
  </si>
  <si>
    <t>2016/7 creation of Famille Dutraive ('FD') label</t>
  </si>
  <si>
    <t>24FAMDUT01MG</t>
  </si>
  <si>
    <t>2016 Ophélie joins father Jean-Louis</t>
  </si>
  <si>
    <t>23FAMDUT01MG</t>
  </si>
  <si>
    <t>2016 feature in Noble Rot magazine; &amp; Somm film</t>
  </si>
  <si>
    <t>24FAMDUT02MG</t>
  </si>
  <si>
    <t>2010 start of 100% full carbonic maceration</t>
  </si>
  <si>
    <t>2009 organic certified</t>
  </si>
  <si>
    <r>
      <t xml:space="preserve">NB see Somm: Into The Bottle (2016) - </t>
    </r>
    <r>
      <rPr>
        <b/>
        <u/>
        <sz val="8"/>
        <color rgb="FF0000FF"/>
        <rFont val="Noto Sans"/>
        <family val="2"/>
      </rPr>
      <t>somm-film.com</t>
    </r>
  </si>
  <si>
    <t>2000 end of any chemical use</t>
  </si>
  <si>
    <t>1989 Jean-Louis takes over; start of sustainable</t>
  </si>
  <si>
    <t>1977 Jean-Louis joins</t>
  </si>
  <si>
    <t>1969 Jean Dutraive buys Clos de La Grand'Cour</t>
  </si>
  <si>
    <t>1960 Jean-Louis born 28th October</t>
  </si>
  <si>
    <t>RVF 2* 2022; B+D 2* estate, 2016</t>
  </si>
  <si>
    <t>DomaineDeLaGrandCour.fr</t>
  </si>
  <si>
    <t>Portuliege.com</t>
  </si>
  <si>
    <t xml:space="preserve">GROWER CODES: FAMDUT / JLDUT </t>
  </si>
  <si>
    <t>KIND WORDS ON MEE GODARD, etc.:</t>
  </si>
  <si>
    <r>
      <rPr>
        <b/>
        <sz val="7"/>
        <color theme="1" tint="0.499984740745262"/>
        <rFont val="Noto Sans"/>
        <family val="2"/>
      </rPr>
      <t>Tamlyn Currin, JancisRobinson.com, 2022</t>
    </r>
    <r>
      <rPr>
        <sz val="7"/>
        <color theme="1" tint="0.499984740745262"/>
        <rFont val="Noto Sans"/>
        <family val="2"/>
      </rPr>
      <t xml:space="preserve"> 'Mee Godard is the goddess of poetry in the vineyards of Morgon. She gives rocks their voices through vines through wine.'</t>
    </r>
  </si>
  <si>
    <r>
      <t xml:space="preserve">Tamlyn Currin, JancisRobinson.com, 2024 </t>
    </r>
    <r>
      <rPr>
        <sz val="7"/>
        <color theme="1" tint="0.499984740745262"/>
        <rFont val="Noto Sans"/>
        <family val="2"/>
      </rPr>
      <t>'(a) cool, loamy-rich, deep-earth-ness that seems to frame all of Mee's wines.'</t>
    </r>
  </si>
  <si>
    <r>
      <rPr>
        <b/>
        <sz val="7"/>
        <color theme="1" tint="0.499984740745262"/>
        <rFont val="Noto Sans"/>
        <family val="2"/>
      </rPr>
      <t>Tamlyn Currin, JancisRobinson.com, 2023</t>
    </r>
    <r>
      <rPr>
        <sz val="7"/>
        <color theme="1" tint="0.499984740745262"/>
        <rFont val="Noto Sans"/>
        <family val="2"/>
      </rPr>
      <t xml:space="preserve"> 'Over the years I've been tasting them, Mee Godard's wines seem to be on the most extraordinary</t>
    </r>
  </si>
  <si>
    <t>trajectory from concentration to ethereality. At the same time, they are as compelling as they have ever been, perhaps more so.'</t>
  </si>
  <si>
    <r>
      <rPr>
        <b/>
        <sz val="7"/>
        <color theme="1" tint="0.499984740745262"/>
        <rFont val="Noto Sans"/>
        <family val="2"/>
      </rPr>
      <t>Tamlyn Currin, JancisRobinson.com, 2021</t>
    </r>
    <r>
      <rPr>
        <sz val="7"/>
        <color theme="1" tint="0.499984740745262"/>
        <rFont val="Noto Sans"/>
        <family val="2"/>
      </rPr>
      <t xml:space="preserve"> 'Mee takes Gamay to its edges, but never crosses the line. She is a magician. Or a dancer.'</t>
    </r>
  </si>
  <si>
    <r>
      <t>Tamlyn Currin, JancisRobinson.com, 2024</t>
    </r>
    <r>
      <rPr>
        <sz val="7"/>
        <color theme="1" tint="0.499984740745262"/>
        <rFont val="Noto Sans"/>
        <family val="2"/>
      </rPr>
      <t xml:space="preserve"> 'Godard's Passerelle is always dramatic. It's a wine that seems to take the mind toward orchestra and</t>
    </r>
  </si>
  <si>
    <t>architecture. It's structural; it's musical; it's visceral.'</t>
  </si>
  <si>
    <r>
      <rPr>
        <b/>
        <sz val="7"/>
        <color theme="1" tint="0.499984740745262"/>
        <rFont val="Noto Sans"/>
        <family val="2"/>
      </rPr>
      <t>Tamlyn Currin, JancisRobinson.com, 2024</t>
    </r>
    <r>
      <rPr>
        <sz val="7"/>
        <color theme="1" tint="0.499984740745262"/>
        <rFont val="Noto Sans"/>
        <family val="2"/>
      </rPr>
      <t xml:space="preserve"> 'Mee's Côte du Puy has always been a wine of midnight blue for me: iridescent black ink, cobalt, gravel &amp; shadows.'</t>
    </r>
  </si>
  <si>
    <r>
      <rPr>
        <b/>
        <sz val="7"/>
        <color rgb="FF808080"/>
        <rFont val="Noto Sans"/>
        <family val="2"/>
      </rPr>
      <t>Tamlyn Currin, JancisRobinson.com, 2021</t>
    </r>
    <r>
      <rPr>
        <sz val="7"/>
        <color rgb="FF808080"/>
        <rFont val="Noto Sans"/>
        <family val="2"/>
      </rPr>
      <t xml:space="preserve"> '(Corcelette) is always the Mee Godard wine that makes me think of Whoopi Goldberg in Sister Act. It's</t>
    </r>
  </si>
  <si>
    <t>a serious wine with a wickedly naughty streak. Every single time I taste it, I find myself first awed, then grinning, and then in the mood to get a tattoo.'</t>
  </si>
  <si>
    <r>
      <rPr>
        <b/>
        <sz val="7"/>
        <color theme="1" tint="0.499984740745262"/>
        <rFont val="Noto Sans"/>
        <family val="2"/>
      </rPr>
      <t>Tamlyn Currin, JancisRobinson.com, 2023</t>
    </r>
    <r>
      <rPr>
        <sz val="7"/>
        <color theme="1" tint="0.499984740745262"/>
        <rFont val="Noto Sans"/>
        <family val="2"/>
      </rPr>
      <t xml:space="preserve"> 'Not for the first time, Mee Godard's Michelon (MAV) brings the scents of rain, ozone and graphite.'</t>
    </r>
  </si>
  <si>
    <r>
      <rPr>
        <b/>
        <sz val="7"/>
        <color theme="1" tint="0.499984740745262"/>
        <rFont val="Noto Sans"/>
        <family val="2"/>
      </rPr>
      <t>Tamlyn Currin, JancisRobinson.com, 2023</t>
    </r>
    <r>
      <rPr>
        <sz val="7"/>
        <color theme="1" tint="0.499984740745262"/>
        <rFont val="Noto Sans"/>
        <family val="2"/>
      </rPr>
      <t xml:space="preserve"> 'Beaujolais-Villages at the quality level of a cru' (on 2021) </t>
    </r>
  </si>
  <si>
    <r>
      <rPr>
        <b/>
        <sz val="7"/>
        <color theme="1" tint="0.499984740745262"/>
        <rFont val="Noto Sans"/>
        <family val="2"/>
      </rPr>
      <t>Tamlyn Currin, JancisRobinson.com, 2022</t>
    </r>
    <r>
      <rPr>
        <sz val="7"/>
        <color theme="1" tint="0.499984740745262"/>
        <rFont val="Noto Sans"/>
        <family val="2"/>
      </rPr>
      <t xml:space="preserve"> 'It's almost a relief to taste a Godard that doesn't search my mind, body and soul when I taste it!' (on BV 2020)</t>
    </r>
  </si>
  <si>
    <r>
      <rPr>
        <b/>
        <sz val="7"/>
        <color theme="1" tint="0.499984740745262"/>
        <rFont val="Noto Sans"/>
        <family val="2"/>
      </rPr>
      <t>JancisRobinson.com, 2019</t>
    </r>
    <r>
      <rPr>
        <sz val="7"/>
        <color theme="1" tint="0.499984740745262"/>
        <rFont val="Noto Sans"/>
        <family val="2"/>
      </rPr>
      <t xml:space="preserve"> 'some of the classiest Beaujolais around'</t>
    </r>
  </si>
  <si>
    <r>
      <rPr>
        <b/>
        <sz val="7"/>
        <color theme="1" tint="0.499984740745262"/>
        <rFont val="Noto Sans"/>
        <family val="2"/>
      </rPr>
      <t>William Kelley, TWA 2022</t>
    </r>
    <r>
      <rPr>
        <sz val="7"/>
        <color theme="1" tint="0.499984740745262"/>
        <rFont val="Noto Sans"/>
        <family val="2"/>
      </rPr>
      <t xml:space="preserve"> 'The resulting wines are pure, elegantly structured and traditionally styled, with the substance to age but also considerable</t>
    </r>
  </si>
  <si>
    <t>upfront charm. What's more, each and every cuvée is beautifully differentiated by site...everything reviewed here comes warmly recommended'</t>
  </si>
  <si>
    <r>
      <rPr>
        <b/>
        <sz val="7"/>
        <color theme="1" tint="0.499984740745262"/>
        <rFont val="Noto Sans"/>
        <family val="2"/>
      </rPr>
      <t xml:space="preserve">Vinous, Josh Raynolds 2021 </t>
    </r>
    <r>
      <rPr>
        <sz val="7"/>
        <color theme="1" tint="0.499984740745262"/>
        <rFont val="Noto Sans"/>
        <family val="2"/>
      </rPr>
      <t>'Mee Godard has quickly become a reliable source for structured, age-worthy wines... All of her vines are organically</t>
    </r>
  </si>
  <si>
    <t>farmed, and she makes her wines with around 50% whole clusters, fermenting with indigenous yeasts, in concrete vats. They’re racked once, into</t>
  </si>
  <si>
    <t>mostly large, old oak foudres for up to 18 months of aging, before being bottled without fining or filtration.'</t>
  </si>
  <si>
    <r>
      <rPr>
        <b/>
        <sz val="7"/>
        <color theme="1" tint="0.499984740745262"/>
        <rFont val="Noto Sans"/>
        <family val="2"/>
      </rPr>
      <t>Vinous, Josh Raynolds 2021 '</t>
    </r>
    <r>
      <rPr>
        <sz val="7"/>
        <color theme="1" tint="0.499984740745262"/>
        <rFont val="Noto Sans"/>
        <family val="2"/>
      </rPr>
      <t>Her 2018s show the depth and power typical of the vintage but don’t come off ponderous. The 2019s here might be the</t>
    </r>
  </si>
  <si>
    <t>best wines that she has ever made since her debut vintage in 2013.'</t>
  </si>
  <si>
    <r>
      <rPr>
        <b/>
        <sz val="7"/>
        <color theme="1" tint="0.499984740745262"/>
        <rFont val="Noto Sans"/>
        <family val="2"/>
      </rPr>
      <t>B+D Guide, 2018</t>
    </r>
    <r>
      <rPr>
        <sz val="7"/>
        <color theme="1" tint="0.499984740745262"/>
        <rFont val="Noto Sans"/>
        <family val="2"/>
      </rPr>
      <t xml:space="preserve"> 'top ten Beaujolais wines of the year'</t>
    </r>
  </si>
  <si>
    <r>
      <t xml:space="preserve">B+D Guide, 2015 </t>
    </r>
    <r>
      <rPr>
        <sz val="7"/>
        <color theme="1" tint="0.499984740745262"/>
        <rFont val="Noto Sans"/>
        <family val="2"/>
      </rPr>
      <t>'Attention, nouveau talent!'</t>
    </r>
  </si>
  <si>
    <r>
      <t xml:space="preserve">J.Goode, 2016 </t>
    </r>
    <r>
      <rPr>
        <sz val="7"/>
        <color theme="1" tint="0.499984740745262"/>
        <rFont val="Noto Sans"/>
        <family val="2"/>
      </rPr>
      <t>'Right from the start, Mee has nailed it.' </t>
    </r>
  </si>
  <si>
    <r>
      <t>J.Goode, 2016 '</t>
    </r>
    <r>
      <rPr>
        <sz val="7"/>
        <color theme="1" tint="0.499984740745262"/>
        <rFont val="Noto Sans"/>
        <family val="2"/>
      </rPr>
      <t>This is the sort of domaine where you buy all you can'</t>
    </r>
  </si>
  <si>
    <r>
      <t>RVF Guide 2016</t>
    </r>
    <r>
      <rPr>
        <sz val="7"/>
        <color theme="1" tint="0.499984740745262"/>
        <rFont val="Noto Sans"/>
        <family val="2"/>
      </rPr>
      <t xml:space="preserve"> 'Stars de L'Année 2017'</t>
    </r>
  </si>
  <si>
    <r>
      <t>Bill Nanson, 2016</t>
    </r>
    <r>
      <rPr>
        <sz val="7"/>
        <color theme="1" tint="0.499984740745262"/>
        <rFont val="Noto Sans"/>
        <family val="2"/>
      </rPr>
      <t xml:space="preserve"> 'A must-have domaine'</t>
    </r>
  </si>
  <si>
    <r>
      <t>Bill Nanson, 2016</t>
    </r>
    <r>
      <rPr>
        <sz val="7"/>
        <color theme="1" tint="0.499984740745262"/>
        <rFont val="Noto Sans"/>
        <family val="2"/>
      </rPr>
      <t xml:space="preserve"> 'Simply a must-have domaine if you tastes even vaguely resemble mine – I would take anything here!'</t>
    </r>
  </si>
  <si>
    <r>
      <rPr>
        <b/>
        <sz val="7"/>
        <color theme="1" tint="0.499984740745262"/>
        <rFont val="Noto Sans"/>
        <family val="2"/>
      </rPr>
      <t>Bill Nanson, 2021</t>
    </r>
    <r>
      <rPr>
        <sz val="7"/>
        <color theme="1" tint="0.499984740745262"/>
        <rFont val="Noto Sans"/>
        <family val="2"/>
      </rPr>
      <t xml:space="preserve"> 'Mee was on super form in 2019 – excellent or great wines…'</t>
    </r>
  </si>
  <si>
    <r>
      <rPr>
        <b/>
        <sz val="7"/>
        <color theme="1" tint="0.499984740745262"/>
        <rFont val="Noto Sans"/>
        <family val="2"/>
      </rPr>
      <t>Bill Nanson, 2020</t>
    </r>
    <r>
      <rPr>
        <sz val="7"/>
        <color theme="1" tint="0.499984740745262"/>
        <rFont val="Noto Sans"/>
        <family val="2"/>
      </rPr>
      <t xml:space="preserve"> 'Highly recommended – simply a great set of 2018s – bravo!'</t>
    </r>
  </si>
  <si>
    <r>
      <rPr>
        <b/>
        <sz val="7"/>
        <color theme="1" tint="0.499984740745262"/>
        <rFont val="Noto Sans"/>
        <family val="2"/>
      </rPr>
      <t>Bill Nanson, 2018</t>
    </r>
    <r>
      <rPr>
        <sz val="7"/>
        <color theme="1" tint="0.499984740745262"/>
        <rFont val="Noto Sans"/>
        <family val="2"/>
      </rPr>
      <t xml:space="preserve"> 'The 2016s are aromatically tighter than either the 2014s or 2015 (today!). They are a range of fresh but relatively structured wines – </t>
    </r>
  </si>
  <si>
    <t>on the positive side there is fabulous clarity but on the other hand you will need some patience to enjoy it. But patience will be rewarded'</t>
  </si>
  <si>
    <r>
      <t xml:space="preserve">Bill Nanson, 2017 </t>
    </r>
    <r>
      <rPr>
        <sz val="7"/>
        <color theme="1" tint="0.499984740745262"/>
        <rFont val="Noto Sans"/>
        <family val="2"/>
      </rPr>
      <t>'The 2015s all are bottled. And they are all super – a great address in 2015.'</t>
    </r>
  </si>
  <si>
    <r>
      <t xml:space="preserve">Bill Nanson, 2016 </t>
    </r>
    <r>
      <rPr>
        <sz val="7"/>
        <color theme="1" tint="0.499984740745262"/>
        <rFont val="Noto Sans"/>
        <family val="2"/>
      </rPr>
      <t>'(2013/2014) really remind me of Corton (GC)… for their vibrancy, clarity, &amp; line of delivery'</t>
    </r>
  </si>
  <si>
    <r>
      <t>Mee Godard, 2016</t>
    </r>
    <r>
      <rPr>
        <sz val="7"/>
        <color theme="1" tint="0.499984740745262"/>
        <rFont val="Noto Sans"/>
        <family val="2"/>
      </rPr>
      <t xml:space="preserve"> 'I make wines for keeping'</t>
    </r>
  </si>
  <si>
    <t>BEAUJOLAIS BLANC:</t>
  </si>
  <si>
    <t>Morgon. 10ha. Cellar &amp; house in Cote du Py</t>
  </si>
  <si>
    <t>22MGODARD01</t>
  </si>
  <si>
    <t xml:space="preserve">High vine age, average well &gt;60yrs old </t>
  </si>
  <si>
    <t>BEAUJOLAIS VILLAGES:</t>
  </si>
  <si>
    <t xml:space="preserve">~50%-60% of stems since 2017. Usually </t>
  </si>
  <si>
    <t>22MGODARD07</t>
  </si>
  <si>
    <t>ambient ferment in tank, 3 types extraction</t>
  </si>
  <si>
    <t>21MGODARD02</t>
  </si>
  <si>
    <t>20-25 days maceration on crus, ~1yr elevage</t>
  </si>
  <si>
    <t>18MGODARD05</t>
  </si>
  <si>
    <t>in futs, demi-muids &amp; foudres, no new oak</t>
  </si>
  <si>
    <t>20MGODARD01MG</t>
  </si>
  <si>
    <t>Organic certified 2023 BAC</t>
  </si>
  <si>
    <t>METAMORPHOSES:</t>
  </si>
  <si>
    <t>22MGODARD02</t>
  </si>
  <si>
    <t>BEAUJOLAIS VINEYARDS:</t>
  </si>
  <si>
    <t>MORGON LIEUX-DITS:</t>
  </si>
  <si>
    <r>
      <rPr>
        <b/>
        <sz val="7"/>
        <color rgb="FF808080"/>
        <rFont val="Noto Sans"/>
        <family val="2"/>
      </rPr>
      <t>Beaujolais Villages</t>
    </r>
    <r>
      <rPr>
        <sz val="7"/>
        <color rgb="FF808080"/>
        <rFont val="Noto Sans"/>
        <family val="2"/>
      </rPr>
      <t>: &gt;60yrs, on granite at Quincie,</t>
    </r>
  </si>
  <si>
    <t>16MGODARD03</t>
  </si>
  <si>
    <t>in lieu dit Petit St.Cyr</t>
  </si>
  <si>
    <t>15MGODARD03</t>
  </si>
  <si>
    <r>
      <rPr>
        <b/>
        <sz val="7"/>
        <color theme="1" tint="0.499984740745262"/>
        <rFont val="Noto Sans"/>
        <family val="2"/>
      </rPr>
      <t>Beaujolais BLANC</t>
    </r>
    <r>
      <rPr>
        <sz val="7"/>
        <color theme="1" tint="0.499984740745262"/>
        <rFont val="Noto Sans"/>
        <family val="2"/>
      </rPr>
      <t>: 0.75ha jv alluvial, bought 2021</t>
    </r>
  </si>
  <si>
    <t>22MGODARD03</t>
  </si>
  <si>
    <t>CRU VINEYARDS:</t>
  </si>
  <si>
    <t>21MGODARD03</t>
  </si>
  <si>
    <r>
      <rPr>
        <b/>
        <sz val="7"/>
        <color theme="1" tint="0.499984740745262"/>
        <rFont val="Noto Sans"/>
        <family val="2"/>
      </rPr>
      <t>Grand Cras:</t>
    </r>
    <r>
      <rPr>
        <sz val="7"/>
        <color theme="1" tint="0.499984740745262"/>
        <rFont val="Noto Sans"/>
        <family val="2"/>
      </rPr>
      <t xml:space="preserve"> 1ha, 50yr SE facing on alluvial stones</t>
    </r>
  </si>
  <si>
    <t>20MGODARD04</t>
  </si>
  <si>
    <r>
      <rPr>
        <b/>
        <sz val="7"/>
        <color rgb="FF808080"/>
        <rFont val="Noto Sans"/>
        <family val="2"/>
      </rPr>
      <t>Courcelette:</t>
    </r>
    <r>
      <rPr>
        <sz val="7"/>
        <color rgb="FF808080"/>
        <rFont val="Noto Sans"/>
        <family val="2"/>
      </rPr>
      <t xml:space="preserve"> 2.3ha, &gt;70yrs, SE facing, in 4 parcels</t>
    </r>
  </si>
  <si>
    <t>19MGODARD01</t>
  </si>
  <si>
    <t>mostly in Bellevue. Plus 0.57ha planted 2024</t>
  </si>
  <si>
    <t>18MGODARD02</t>
  </si>
  <si>
    <t>High-density gobelet, on pink granite sands</t>
  </si>
  <si>
    <t>17MGODARD01</t>
  </si>
  <si>
    <r>
      <rPr>
        <b/>
        <sz val="7"/>
        <color rgb="FF808080"/>
        <rFont val="Noto Sans"/>
        <family val="2"/>
      </rPr>
      <t>L'Éveque:</t>
    </r>
    <r>
      <rPr>
        <sz val="7"/>
        <color rgb="FF808080"/>
        <rFont val="Noto Sans"/>
        <family val="2"/>
      </rPr>
      <t xml:space="preserve"> 1.5ha ~50yr (TBC) on blue granite</t>
    </r>
  </si>
  <si>
    <t>22MGODARD04</t>
  </si>
  <si>
    <t>purchased 2024 below the cellar at Cote du Py</t>
  </si>
  <si>
    <t>21MGODARD04</t>
  </si>
  <si>
    <r>
      <rPr>
        <b/>
        <sz val="7"/>
        <color rgb="FF808080"/>
        <rFont val="Noto Sans"/>
        <family val="2"/>
      </rPr>
      <t>Côte du Py:</t>
    </r>
    <r>
      <rPr>
        <sz val="7"/>
        <color rgb="FF808080"/>
        <rFont val="Noto Sans"/>
        <family val="2"/>
      </rPr>
      <t xml:space="preserve"> 1.7ha, av.80yrs on blue granite, in 4</t>
    </r>
  </si>
  <si>
    <t>20MGODARD06</t>
  </si>
  <si>
    <t>lieux-dits and aspects, incl. lieu-dit Cote de Py</t>
  </si>
  <si>
    <t>22MGODARD05</t>
  </si>
  <si>
    <t>NB Passerelle is a micro-bottling of Py parcel #577</t>
  </si>
  <si>
    <t>21MGODARD05P6</t>
  </si>
  <si>
    <r>
      <rPr>
        <b/>
        <sz val="7"/>
        <color rgb="FF808080"/>
        <rFont val="Noto Sans"/>
        <family val="2"/>
      </rPr>
      <t>M-A-V Deschanes:</t>
    </r>
    <r>
      <rPr>
        <sz val="7"/>
        <color rgb="FF808080"/>
        <rFont val="Noto Sans"/>
        <family val="2"/>
      </rPr>
      <t xml:space="preserve"> 0.7ha VV @ 400m on granite</t>
    </r>
  </si>
  <si>
    <t>20MGODARD05</t>
  </si>
  <si>
    <t>sands. 1st vintage 2023</t>
  </si>
  <si>
    <t>MOULIN-A-VENT LIEU-DIT:</t>
  </si>
  <si>
    <r>
      <rPr>
        <b/>
        <sz val="7"/>
        <color rgb="FF808080"/>
        <rFont val="Noto Sans"/>
        <family val="2"/>
      </rPr>
      <t>M-A-V au Michelon:</t>
    </r>
    <r>
      <rPr>
        <sz val="7"/>
        <color rgb="FF808080"/>
        <rFont val="Noto Sans"/>
        <family val="2"/>
      </rPr>
      <t xml:space="preserve"> 1.1ha, average 70yrs,</t>
    </r>
  </si>
  <si>
    <t>22MGODARD06</t>
  </si>
  <si>
    <t>includes TVV &gt;100yrs, 1958 VV &amp; 1997 plantings,</t>
  </si>
  <si>
    <t>21MGODARD01</t>
  </si>
  <si>
    <t>on granite sands. 1st vintage 2016</t>
  </si>
  <si>
    <t>20MGODARD02</t>
  </si>
  <si>
    <t>19MGODARD02</t>
  </si>
  <si>
    <t>2021 1st James Suckling Top 100 WOTY France</t>
  </si>
  <si>
    <t>18MGODARD01</t>
  </si>
  <si>
    <t>2017 Winner of GPJV Young Talent of Beaujolais</t>
  </si>
  <si>
    <t>17MGODARD03</t>
  </si>
  <si>
    <t>2016 RVF Guide 'Stars de L'Année' 2017!</t>
  </si>
  <si>
    <t>16MGODARD04</t>
  </si>
  <si>
    <t>MORGON EN MAGNUM:</t>
  </si>
  <si>
    <t>2025 Corcelette mini-vert' for JancisRobinson.com</t>
  </si>
  <si>
    <t>16MGODARD03MG</t>
  </si>
  <si>
    <t>2024 Cote du Py mini-vertical at Noble Rot</t>
  </si>
  <si>
    <t>2024 1st vintage Morgon L'Eveque</t>
  </si>
  <si>
    <t>22MGODARD03MG</t>
  </si>
  <si>
    <t>2024 0.57ha planted in Courcelette</t>
  </si>
  <si>
    <t>21MGODARD03MG</t>
  </si>
  <si>
    <t>2023 last vintage of the 6 Morgon 'climats'</t>
  </si>
  <si>
    <t>20MGODARD04MG</t>
  </si>
  <si>
    <t>2023 1st vintage Moulin a Vent Deschanes</t>
  </si>
  <si>
    <t>17MGODARD01MG</t>
  </si>
  <si>
    <t>2023 Corcelette mini-vertical at Winemaker's Club</t>
  </si>
  <si>
    <t>15MGODARD01M</t>
  </si>
  <si>
    <t>21MGODARD04MG</t>
  </si>
  <si>
    <t>2022 1st vintage Metamorphoses series</t>
  </si>
  <si>
    <t>16MGODARD02MG</t>
  </si>
  <si>
    <t>2021 4th parcel in Courcelette purchased</t>
  </si>
  <si>
    <t>15MGODARD02M</t>
  </si>
  <si>
    <t>2021 bought 0.75ha Beaujolais Blanc</t>
  </si>
  <si>
    <t>21MGODARD05MG</t>
  </si>
  <si>
    <t>2019 33hl/ha (like 2016), so ~20% down</t>
  </si>
  <si>
    <t>20MGODARD05MG</t>
  </si>
  <si>
    <t>2018 Cote du Py mini-vertical at Noble Rot</t>
  </si>
  <si>
    <t>MOULIN-A-VENT EN MAGNUM:</t>
  </si>
  <si>
    <t>2017 start of organic conversion</t>
  </si>
  <si>
    <t>21MGODARD01MG3</t>
  </si>
  <si>
    <t>2017 60% loss; MAV hailed; no Passerelle bottled</t>
  </si>
  <si>
    <t>20MGODARD03MG</t>
  </si>
  <si>
    <t>2016 1st vintage of Moulin-a-Vent au Michelon</t>
  </si>
  <si>
    <t>19MGODARD02MG</t>
  </si>
  <si>
    <t>2013 1st vintage: 5ha vines and 'garage' chai</t>
  </si>
  <si>
    <t>18MGODARD01MG</t>
  </si>
  <si>
    <t>2003 oenology diploma (after MSc in Oregon)</t>
  </si>
  <si>
    <t>17MGODARD03MG</t>
  </si>
  <si>
    <t>1978 Mée Godard born</t>
  </si>
  <si>
    <t>RVF 1*; B+D 3* estate 2022</t>
  </si>
  <si>
    <t>often James Suckling 100 WOTY France</t>
  </si>
  <si>
    <t>MeeGodard.com</t>
  </si>
  <si>
    <t>facebook.com/domaine.meegodard/</t>
  </si>
  <si>
    <t>instagram.com/domaine.meegodard/</t>
  </si>
  <si>
    <t>GROWER CODE: MGODARD</t>
  </si>
  <si>
    <t>GRANGE COCHARD, Ch.La</t>
  </si>
  <si>
    <t>16GCOCHARD01</t>
  </si>
  <si>
    <r>
      <t xml:space="preserve">Morgon; </t>
    </r>
    <r>
      <rPr>
        <b/>
        <sz val="8"/>
        <color rgb="FF00B050"/>
        <rFont val="Noto Sans"/>
        <family val="2"/>
      </rPr>
      <t>sustainable, no certification</t>
    </r>
  </si>
  <si>
    <t>16GCOCHARD04</t>
  </si>
  <si>
    <t>8ha. Sarah &amp; James Wilding of St.Albans</t>
  </si>
  <si>
    <t>70yr foudres, + futs of max.10-15% new</t>
  </si>
  <si>
    <r>
      <rPr>
        <sz val="8"/>
        <color theme="1" tint="0.14999847407452621"/>
        <rFont val="Noto Sans"/>
        <family val="2"/>
      </rPr>
      <t xml:space="preserve">Unfined; </t>
    </r>
    <r>
      <rPr>
        <b/>
        <sz val="8"/>
        <color rgb="FF00B050"/>
        <rFont val="Noto Sans"/>
        <family val="2"/>
      </rPr>
      <t>Ⓥ Vegan compatible</t>
    </r>
  </si>
  <si>
    <t>VV is 40-80yrs, with stems, matured in foudres</t>
  </si>
  <si>
    <t>Cote du Py is 1.5ha 40-60yrs, blue granite, futs</t>
  </si>
  <si>
    <t>Les Charmes is up to 100yrs, destemmed, futs</t>
  </si>
  <si>
    <t>2009 1st vintage</t>
  </si>
  <si>
    <t>2008 Chateau and 6ha bought</t>
  </si>
  <si>
    <t>1759 Chateau built, on roman foundations</t>
  </si>
  <si>
    <t>LaGrangeCochard.com</t>
  </si>
  <si>
    <t>GROWER CODE: GCOCHARD</t>
  </si>
  <si>
    <t>KIND WORDS ON PAUL JANIN:</t>
  </si>
  <si>
    <r>
      <t>B+D Guide 2019</t>
    </r>
    <r>
      <rPr>
        <b/>
        <i/>
        <sz val="7"/>
        <color theme="1" tint="0.499984740745262"/>
        <rFont val="Noto Sans"/>
        <family val="2"/>
      </rPr>
      <t xml:space="preserve"> </t>
    </r>
    <r>
      <rPr>
        <sz val="7"/>
        <color theme="1" tint="0.499984740745262"/>
        <rFont val="Noto Sans"/>
        <family val="2"/>
      </rPr>
      <t>'depechez-vous, il n'y en aura pas pour tout le monde' - 'Don't delay - there is not enough for everyone..'</t>
    </r>
  </si>
  <si>
    <r>
      <t>B+D Guide</t>
    </r>
    <r>
      <rPr>
        <b/>
        <i/>
        <sz val="7"/>
        <color theme="1" tint="0.499984740745262"/>
        <rFont val="Noto Sans"/>
        <family val="2"/>
      </rPr>
      <t xml:space="preserve"> </t>
    </r>
    <r>
      <rPr>
        <sz val="7"/>
        <color theme="1" tint="0.499984740745262"/>
        <rFont val="Noto Sans"/>
        <family val="2"/>
      </rPr>
      <t>'one of the leading lights of Romanèche-Thorins'</t>
    </r>
  </si>
  <si>
    <r>
      <t>RVF</t>
    </r>
    <r>
      <rPr>
        <sz val="7"/>
        <color theme="1" tint="0.499984740745262"/>
        <rFont val="Noto Sans"/>
        <family val="2"/>
      </rPr>
      <t xml:space="preserve"> 'they draw the quintessence. Congratulations!'</t>
    </r>
  </si>
  <si>
    <r>
      <t>Bill Nanson, 2020</t>
    </r>
    <r>
      <rPr>
        <sz val="7"/>
        <color theme="1" tint="0.499984740745262"/>
        <rFont val="Noto Sans"/>
        <family val="2"/>
      </rPr>
      <t xml:space="preserve"> 'really fantastic – 2018 (is) a great vintage here... I asked him if he was happy with his wines in 2018 – “Yes I’m really happy.” – me too!'</t>
    </r>
  </si>
  <si>
    <r>
      <t>Bill Nanson, 2019</t>
    </r>
    <r>
      <rPr>
        <sz val="7"/>
        <color theme="1" tint="0.499984740745262"/>
        <rFont val="Noto Sans"/>
        <family val="2"/>
      </rPr>
      <t xml:space="preserve"> 'Bravo, superb (2017s) wines in (Brouilly) – more serious wines from Moulin à Vent (all de-stemmed in 2017)'</t>
    </r>
  </si>
  <si>
    <r>
      <t>Bill Nanson, 2018</t>
    </r>
    <r>
      <rPr>
        <sz val="7"/>
        <color theme="1" tint="0.499984740745262"/>
        <rFont val="Noto Sans"/>
        <family val="2"/>
      </rPr>
      <t xml:space="preserve"> 'Given the circumstances of the vintage (2016) here, this is a great result...both reds you should wait for.'</t>
    </r>
  </si>
  <si>
    <r>
      <t>Bill Nanson, 2017</t>
    </r>
    <r>
      <rPr>
        <sz val="7"/>
        <color theme="1" tint="0.499984740745262"/>
        <rFont val="Noto Sans"/>
        <family val="2"/>
      </rPr>
      <t xml:space="preserve"> 'brilliant but powerful 2015s to wait for. All the 2015s here came in between 14 and 15°.'</t>
    </r>
  </si>
  <si>
    <r>
      <t>Bill Nanson, 2017</t>
    </r>
    <r>
      <rPr>
        <sz val="7"/>
        <color theme="1" tint="0.499984740745262"/>
        <rFont val="Noto Sans"/>
        <family val="2"/>
      </rPr>
      <t xml:space="preserve"> 'luckily, there are still those 2014s!'</t>
    </r>
  </si>
  <si>
    <t>PAUL JANIN ON JANIN:</t>
  </si>
  <si>
    <r>
      <rPr>
        <b/>
        <sz val="7"/>
        <color theme="1" tint="0.499984740745262"/>
        <rFont val="Noto Sans"/>
        <family val="2"/>
      </rPr>
      <t xml:space="preserve">Motto: </t>
    </r>
    <r>
      <rPr>
        <i/>
        <sz val="7"/>
        <color theme="1" tint="0.499984740745262"/>
        <rFont val="Noto Sans"/>
        <family val="2"/>
      </rPr>
      <t>Artisan de vignes et de vins</t>
    </r>
  </si>
  <si>
    <r>
      <t xml:space="preserve">Paul Janin, 2020 </t>
    </r>
    <r>
      <rPr>
        <sz val="7"/>
        <color theme="1" tint="0.499984740745262"/>
        <rFont val="Noto Sans"/>
        <family val="2"/>
      </rPr>
      <t>'I love to work with assembling wines, there are so many changes you can make or bring to the wines…'</t>
    </r>
  </si>
  <si>
    <r>
      <rPr>
        <b/>
        <sz val="7"/>
        <color theme="1" tint="0.499984740745262"/>
        <rFont val="Noto Sans"/>
        <family val="2"/>
      </rPr>
      <t>Paul Janin, 2017</t>
    </r>
    <r>
      <rPr>
        <sz val="7"/>
        <color theme="1" tint="0.499984740745262"/>
        <rFont val="Noto Sans"/>
        <family val="2"/>
      </rPr>
      <t xml:space="preserve"> 'I never pass 40 hl/ha'</t>
    </r>
  </si>
  <si>
    <r>
      <t>Paul Janin, 2022</t>
    </r>
    <r>
      <rPr>
        <sz val="7"/>
        <color theme="1" tint="0.499984740745262"/>
        <rFont val="Noto Sans"/>
        <family val="2"/>
      </rPr>
      <t xml:space="preserve"> '18 hl/ha in 2021 – I didn’t even harvest my Beaujolais Villages red and white as it was completely frozen'</t>
    </r>
  </si>
  <si>
    <r>
      <t>Paul Janin, 2021</t>
    </r>
    <r>
      <rPr>
        <sz val="7"/>
        <color theme="1" tint="0.499984740745262"/>
        <rFont val="Noto Sans"/>
        <family val="2"/>
      </rPr>
      <t xml:space="preserve"> '2020 was an easy year but also a fast year is my impression'</t>
    </r>
  </si>
  <si>
    <r>
      <t>Paul Janin, 2020 '</t>
    </r>
    <r>
      <rPr>
        <sz val="7"/>
        <color theme="1" tint="0.499984740745262"/>
        <rFont val="Noto Sans"/>
        <family val="2"/>
      </rPr>
      <t>2019. Another small vintage – it was the frost to blame – 16-17 hl/Ha about 25% of a normal vintage. It was hot, the vines suffered in</t>
    </r>
  </si>
  <si>
    <t>the summer, but the rendement was virtually set before. There’s a nicely coherent line of flavour in the frosted areas'</t>
  </si>
  <si>
    <r>
      <t xml:space="preserve">Paul Janin, 2020 </t>
    </r>
    <r>
      <rPr>
        <sz val="7"/>
        <color theme="1" tint="0.499984740745262"/>
        <rFont val="Noto Sans"/>
        <family val="2"/>
      </rPr>
      <t>'2018. A different scenario! The growth started quite early… About 40 hl/ha – which is about the maximum I can achieve with my older vines.'</t>
    </r>
  </si>
  <si>
    <r>
      <t>Paul Janin, 2019 '</t>
    </r>
    <r>
      <rPr>
        <sz val="7"/>
        <color theme="1" tint="0.499984740745262"/>
        <rFont val="Noto Sans"/>
        <family val="2"/>
      </rPr>
      <t>2017, 8-12hl/ha. A harvest that was complicated. It was hard to work with the grapes... It’s the first time I took so long to triage a harvest –</t>
    </r>
  </si>
  <si>
    <t>removing every single dry grape by hand – the whole (MAV) vintage destemmed'</t>
  </si>
  <si>
    <r>
      <rPr>
        <b/>
        <sz val="7"/>
        <color theme="1" tint="0.499984740745262"/>
        <rFont val="Noto Sans"/>
        <family val="2"/>
      </rPr>
      <t xml:space="preserve">Paul Janin, 2018 </t>
    </r>
    <r>
      <rPr>
        <sz val="7"/>
        <color theme="1" tint="0.499984740745262"/>
        <rFont val="Noto Sans"/>
        <family val="2"/>
      </rPr>
      <t>'2016, 13hl/ha. Never in the memory of vignerons was there such a powerful storm  (24th June)– 80% of the harvest was taken in 2016.'</t>
    </r>
  </si>
  <si>
    <r>
      <rPr>
        <b/>
        <sz val="7"/>
        <color theme="1" tint="0.499984740745262"/>
        <rFont val="Noto Sans"/>
        <family val="2"/>
      </rPr>
      <t>Paul Janin, 2017</t>
    </r>
    <r>
      <rPr>
        <sz val="7"/>
        <color theme="1" tint="0.499984740745262"/>
        <rFont val="Noto Sans"/>
        <family val="2"/>
      </rPr>
      <t xml:space="preserve"> '2015: Completely different! Still only 20-25 hl/ha, due to lots of old vines, plus the heat and the dryness – the number of grapes was really</t>
    </r>
  </si>
  <si>
    <t>correct, but due to the dryness they hardly grew. 45 mm of rain 3 weeks before the harvest...was what saved the vintage as many of the vines had a block'</t>
  </si>
  <si>
    <r>
      <rPr>
        <b/>
        <sz val="7"/>
        <color theme="1" tint="0.499984740745262"/>
        <rFont val="Noto Sans"/>
        <family val="2"/>
      </rPr>
      <t>Paul Janin, 2016</t>
    </r>
    <r>
      <rPr>
        <sz val="7"/>
        <color theme="1" tint="0.499984740745262"/>
        <rFont val="Noto Sans"/>
        <family val="2"/>
      </rPr>
      <t xml:space="preserve"> '2014. A classic vintage but a very nice classic!'</t>
    </r>
  </si>
  <si>
    <t>PAUL JANIN</t>
  </si>
  <si>
    <r>
      <t xml:space="preserve">BV PIÉMONTS - </t>
    </r>
    <r>
      <rPr>
        <b/>
        <i/>
        <u/>
        <sz val="8"/>
        <color theme="1" tint="0.14999847407452621"/>
        <rFont val="Noto Sans"/>
        <family val="2"/>
      </rPr>
      <t>'La gourmandise avec la solidité':</t>
    </r>
  </si>
  <si>
    <t>Domaine &amp; Maison</t>
  </si>
  <si>
    <t>19JANIN01</t>
  </si>
  <si>
    <t>Moulin à Vent (Romaneche-Thorins village)</t>
  </si>
  <si>
    <t>18JANIN01TB</t>
  </si>
  <si>
    <t>4th gen. Eric Janin with daughter Perrine</t>
  </si>
  <si>
    <t>14JANIN01DP</t>
  </si>
  <si>
    <t>8.5ha, 10parcels, average &gt;50yr vines on</t>
  </si>
  <si>
    <r>
      <t>BROUILLY - '</t>
    </r>
    <r>
      <rPr>
        <b/>
        <i/>
        <u/>
        <sz val="8"/>
        <color theme="1" tint="0.14999847407452621"/>
        <rFont val="Noto Sans"/>
        <family val="2"/>
      </rPr>
      <t>Le plaisir et l’éclat':</t>
    </r>
  </si>
  <si>
    <t>pink granite with manganese</t>
  </si>
  <si>
    <t>19JANIN04</t>
  </si>
  <si>
    <t>Organic certified 2024 BAC</t>
  </si>
  <si>
    <r>
      <t xml:space="preserve">EMPREINTE - </t>
    </r>
    <r>
      <rPr>
        <b/>
        <i/>
        <u/>
        <sz val="8"/>
        <color theme="1" tint="0.14999847407452621"/>
        <rFont val="Noto Sans"/>
        <family val="2"/>
      </rPr>
      <t>'L'onctuosité et l'identité du terroir':</t>
    </r>
  </si>
  <si>
    <t>target yields 20-30hl/ha top wines, 35-45 for BV</t>
  </si>
  <si>
    <t>21JANIN01</t>
  </si>
  <si>
    <t>70-100% whole clusters; now 11mths in cuves</t>
  </si>
  <si>
    <r>
      <t xml:space="preserve">VIGNES DU TREMBLAY - </t>
    </r>
    <r>
      <rPr>
        <b/>
        <i/>
        <u/>
        <sz val="8"/>
        <color theme="1" tint="0.14999847407452621"/>
        <rFont val="Noto Sans"/>
        <family val="2"/>
      </rPr>
      <t>'La finesse avec l’épure':</t>
    </r>
  </si>
  <si>
    <t>22JANIN01</t>
  </si>
  <si>
    <t>2024 RVF Vigneron de L'Année, Beaujolais</t>
  </si>
  <si>
    <t>21JANIN02</t>
  </si>
  <si>
    <t>2019 ~75% crop loss due to frost</t>
  </si>
  <si>
    <t>18JANIN04TB</t>
  </si>
  <si>
    <t>2018 daughter Perrine starts viti studies</t>
  </si>
  <si>
    <t>18JANIN02TB</t>
  </si>
  <si>
    <t xml:space="preserve">2018 1st vintage of MAV Saprolite from VV </t>
  </si>
  <si>
    <t>11JANIN05VDP</t>
  </si>
  <si>
    <t>2017 1st MAV vintage totally de-stemmed</t>
  </si>
  <si>
    <r>
      <t xml:space="preserve">SAPROLITE - </t>
    </r>
    <r>
      <rPr>
        <b/>
        <i/>
        <u/>
        <sz val="8"/>
        <color theme="1" tint="0.14999847407452621"/>
        <rFont val="Noto Sans"/>
        <family val="2"/>
      </rPr>
      <t>'La minéralité et l’équilibre':</t>
    </r>
  </si>
  <si>
    <t>2017 1st vintage of Maison Paul Janin négoce (MPJ)</t>
  </si>
  <si>
    <t>19JANIN02</t>
  </si>
  <si>
    <t>2016 &amp; 2017 80% hail loss</t>
  </si>
  <si>
    <t>19JANIN02MG</t>
  </si>
  <si>
    <t>2015 start of cuves, end of foudres</t>
  </si>
  <si>
    <r>
      <t xml:space="preserve">HERITAGE (ex-CLOS) - </t>
    </r>
    <r>
      <rPr>
        <b/>
        <i/>
        <u/>
        <sz val="8"/>
        <color theme="1" tint="0.14999847407452621"/>
        <rFont val="Noto Sans"/>
        <family val="2"/>
      </rPr>
      <t>'La structure et l’opulence':</t>
    </r>
  </si>
  <si>
    <t>2014 Clos du Tremblay renamed Heritage, etc.</t>
  </si>
  <si>
    <t>22JANIN02</t>
  </si>
  <si>
    <t>2013 purchase of 60yr vv in MAV Les Caves</t>
  </si>
  <si>
    <t>21JANIN03</t>
  </si>
  <si>
    <t>2012 1st time only one MAV cuvée made</t>
  </si>
  <si>
    <t>19JANIN03</t>
  </si>
  <si>
    <t>2008 Eric Janin took over</t>
  </si>
  <si>
    <t>18JANIN05TB</t>
  </si>
  <si>
    <t>1995 start of organic compliant sustainable viti'</t>
  </si>
  <si>
    <t>18JANIN03TB</t>
  </si>
  <si>
    <t>1983 Eric Janin, 4th generation joined</t>
  </si>
  <si>
    <t>14JANIN02VDP</t>
  </si>
  <si>
    <t>1967 Paul bought 1.1ha tvv parcels in Greneriers</t>
  </si>
  <si>
    <t>22JANIN02MG</t>
  </si>
  <si>
    <t>1962 Eric's father Paul joined the domaine</t>
  </si>
  <si>
    <t>19JANIN03MG</t>
  </si>
  <si>
    <t>1952 start of bottling and direct sales</t>
  </si>
  <si>
    <r>
      <t>GRENERIERS 1914 TVV - '</t>
    </r>
    <r>
      <rPr>
        <b/>
        <i/>
        <u/>
        <sz val="8"/>
        <color theme="1" tint="0.14999847407452621"/>
        <rFont val="Noto Sans"/>
        <family val="2"/>
      </rPr>
      <t>La force et l’intensité':</t>
    </r>
  </si>
  <si>
    <t xml:space="preserve">1937 domaine formed with purchase of Clos du </t>
  </si>
  <si>
    <t>11JANIN03VDP</t>
  </si>
  <si>
    <t>Tremblay - now renamed Les Burdelines</t>
  </si>
  <si>
    <t>09JANIN03</t>
  </si>
  <si>
    <r>
      <rPr>
        <b/>
        <sz val="7"/>
        <color theme="1" tint="0.499984740745262"/>
        <rFont val="Noto Sans"/>
        <family val="2"/>
      </rPr>
      <t>GRENERIERS:</t>
    </r>
    <r>
      <rPr>
        <sz val="7"/>
        <color theme="1" tint="0.499984740745262"/>
        <rFont val="Noto Sans"/>
        <family val="2"/>
      </rPr>
      <t xml:space="preserve"> 1.1ha planted pre-1914, +0.87ha</t>
    </r>
  </si>
  <si>
    <t>on terroir of saprolite, decomposing granite</t>
  </si>
  <si>
    <r>
      <rPr>
        <b/>
        <sz val="7"/>
        <color theme="1" tint="0.499984740745262"/>
        <rFont val="Noto Sans"/>
        <family val="2"/>
      </rPr>
      <t>HERITAGE (ex-Clos):</t>
    </r>
    <r>
      <rPr>
        <sz val="7"/>
        <color theme="1" tint="0.499984740745262"/>
        <rFont val="Noto Sans"/>
        <family val="2"/>
      </rPr>
      <t xml:space="preserve"> 80-100yr vines, usually</t>
    </r>
  </si>
  <si>
    <t>from Les Greneriers &amp; Les Burdelines, all gobelet</t>
  </si>
  <si>
    <r>
      <rPr>
        <b/>
        <sz val="7"/>
        <color theme="1" tint="0.499984740745262"/>
        <rFont val="Noto Sans"/>
        <family val="2"/>
      </rPr>
      <t>SAPROLITE:</t>
    </r>
    <r>
      <rPr>
        <sz val="7"/>
        <color theme="1" tint="0.499984740745262"/>
        <rFont val="Noto Sans"/>
        <family val="2"/>
      </rPr>
      <t xml:space="preserve"> 80-100yr vines, decomposed granite</t>
    </r>
  </si>
  <si>
    <t>from four parcels</t>
  </si>
  <si>
    <r>
      <rPr>
        <b/>
        <sz val="7"/>
        <color theme="1" tint="0.499984740745262"/>
        <rFont val="Noto Sans"/>
        <family val="2"/>
      </rPr>
      <t>VIGNES DU TREMBLAY:</t>
    </r>
    <r>
      <rPr>
        <sz val="7"/>
        <color theme="1" tint="0.499984740745262"/>
        <rFont val="Noto Sans"/>
        <family val="2"/>
      </rPr>
      <t xml:space="preserve"> 6parcels, ~40-70yrs</t>
    </r>
  </si>
  <si>
    <t xml:space="preserve">mostly plus 10yr jeunes vignes. </t>
  </si>
  <si>
    <r>
      <rPr>
        <b/>
        <sz val="7"/>
        <color theme="1" tint="0.499984740745262"/>
        <rFont val="Noto Sans"/>
        <family val="2"/>
      </rPr>
      <t>EMPREINTE:</t>
    </r>
    <r>
      <rPr>
        <sz val="7"/>
        <color theme="1" tint="0.499984740745262"/>
        <rFont val="Noto Sans"/>
        <family val="2"/>
      </rPr>
      <t xml:space="preserve"> 3 parcels: Greneriers, Perelles, &amp;</t>
    </r>
  </si>
  <si>
    <t>Brusselions. Mostly 25-30yr vines</t>
  </si>
  <si>
    <r>
      <rPr>
        <b/>
        <sz val="7"/>
        <color theme="1" tint="0.499984740745262"/>
        <rFont val="Noto Sans"/>
        <family val="2"/>
      </rPr>
      <t>PIÉMONTS RGE (ex-Jumeaux):</t>
    </r>
    <r>
      <rPr>
        <sz val="7"/>
        <color theme="1" tint="0.499984740745262"/>
        <rFont val="Noto Sans"/>
        <family val="2"/>
      </rPr>
      <t xml:space="preserve"> 1.2ha 30-60yrs</t>
    </r>
  </si>
  <si>
    <t>all gobelet aka bush-vine trained in two lieux-dits</t>
  </si>
  <si>
    <t>Les Peloux et Le Zacharie at Salles-Arbuissonnas</t>
  </si>
  <si>
    <r>
      <rPr>
        <b/>
        <sz val="7"/>
        <color theme="1" tint="0.499984740745262"/>
        <rFont val="Noto Sans"/>
        <family val="2"/>
      </rPr>
      <t>ARGILES BLANC (ex-Jumeaux):</t>
    </r>
    <r>
      <rPr>
        <sz val="7"/>
        <color theme="1" tint="0.499984740745262"/>
        <rFont val="Noto Sans"/>
        <family val="2"/>
      </rPr>
      <t xml:space="preserve"> 0.63ha chard.</t>
    </r>
  </si>
  <si>
    <t>planted 2008; fermented in used futs</t>
  </si>
  <si>
    <r>
      <rPr>
        <b/>
        <sz val="7"/>
        <color theme="1" tint="0.499984740745262"/>
        <rFont val="Noto Sans"/>
        <family val="2"/>
      </rPr>
      <t>BROUILLY</t>
    </r>
    <r>
      <rPr>
        <sz val="7"/>
        <color theme="1" tint="0.499984740745262"/>
        <rFont val="Noto Sans"/>
        <family val="2"/>
      </rPr>
      <t xml:space="preserve">: 1ha Les Jacquets ~80yr VV with deep </t>
    </r>
  </si>
  <si>
    <t>soils of decomposed granite. Terra Vitis. Vialla rootstock</t>
  </si>
  <si>
    <t>Domaine-Paul-Janin.fr</t>
  </si>
  <si>
    <t>instagram.com/domaine.pauljanin.etfils/</t>
  </si>
  <si>
    <t>youtube.com/watch?v=sMrTUk0HsYk</t>
  </si>
  <si>
    <t>GROWER CODE: JANIN</t>
  </si>
  <si>
    <t>CHRISTOPHE PACALET,</t>
  </si>
  <si>
    <t>Château des Labourons</t>
  </si>
  <si>
    <t>17PACALET01</t>
  </si>
  <si>
    <t>Beaujolais. Domaine &amp; negoce.</t>
  </si>
  <si>
    <t>CRU BEAUJOLAIS:</t>
  </si>
  <si>
    <t>Founded with uncle Marcel Lapierre's help</t>
  </si>
  <si>
    <t>20PACALET02</t>
  </si>
  <si>
    <t>Whole cluster, minimal SO2, ambient yeast,</t>
  </si>
  <si>
    <t>16PACALET02</t>
  </si>
  <si>
    <t>cement &amp; old-wooden vessels; old presses</t>
  </si>
  <si>
    <t>17PACALET02</t>
  </si>
  <si>
    <t>ESTATE:</t>
  </si>
  <si>
    <t>20PACALET01</t>
  </si>
  <si>
    <r>
      <rPr>
        <b/>
        <sz val="7"/>
        <color theme="1" tint="0.499984740745262"/>
        <rFont val="Noto Sans"/>
        <family val="2"/>
      </rPr>
      <t>Beaujolais Villages</t>
    </r>
    <r>
      <rPr>
        <sz val="7"/>
        <color theme="1" tint="0.499984740745262"/>
        <rFont val="Noto Sans"/>
        <family val="2"/>
      </rPr>
      <t xml:space="preserve"> 1.76ha leased from Chauvet</t>
    </r>
  </si>
  <si>
    <t>20PACALET03</t>
  </si>
  <si>
    <t xml:space="preserve"> family. 1.5ha 1946 vines, 0.25ha 1976 vines</t>
  </si>
  <si>
    <t>15PACALET06</t>
  </si>
  <si>
    <r>
      <rPr>
        <b/>
        <sz val="7"/>
        <color theme="1" tint="0.499984740745262"/>
        <rFont val="Noto Sans"/>
        <family val="2"/>
      </rPr>
      <t xml:space="preserve">Fleurie: </t>
    </r>
    <r>
      <rPr>
        <sz val="7"/>
        <color theme="1" tint="0.499984740745262"/>
        <rFont val="Noto Sans"/>
        <family val="2"/>
      </rPr>
      <t>4ha Chateau des Labourons (4ha to plant)</t>
    </r>
  </si>
  <si>
    <t>2018 purchase of Chateau des Labourons, Fleurie</t>
  </si>
  <si>
    <t>2012 Chauvet family lease starts (approx)</t>
  </si>
  <si>
    <t>2010 uncle Marcel Lapierre passes away</t>
  </si>
  <si>
    <t>2001 cousin Philippe Pacalet starts own label</t>
  </si>
  <si>
    <t>1999 cellar/label founded</t>
  </si>
  <si>
    <t>1946 Chauvet family B.Villages vines planted</t>
  </si>
  <si>
    <t>sustainable farming</t>
  </si>
  <si>
    <t>ChristophePacalet.com</t>
  </si>
  <si>
    <t>GROWER CODE: PACALET</t>
  </si>
  <si>
    <t>France, Jura</t>
  </si>
  <si>
    <r>
      <rPr>
        <b/>
        <sz val="7"/>
        <color theme="1" tint="0.499984740745262"/>
        <rFont val="Noto Sans"/>
        <family val="2"/>
      </rPr>
      <t>Motto</t>
    </r>
    <r>
      <rPr>
        <sz val="7"/>
        <color theme="1" tint="0.499984740745262"/>
        <rFont val="Noto Sans"/>
        <family val="2"/>
      </rPr>
      <t>: 'nous sommes avant tout épicuriens'</t>
    </r>
  </si>
  <si>
    <r>
      <rPr>
        <b/>
        <sz val="7"/>
        <color theme="1" tint="0.499984740745262"/>
        <rFont val="Noto Sans"/>
        <family val="2"/>
      </rPr>
      <t>Buronfosse:</t>
    </r>
    <r>
      <rPr>
        <sz val="7"/>
        <color theme="1" tint="0.499984740745262"/>
        <rFont val="Noto Sans"/>
        <family val="2"/>
      </rPr>
      <t xml:space="preserve"> 'Le vin - une affaire culturelle et pas une industrie'</t>
    </r>
  </si>
  <si>
    <t>BURONFOSSE</t>
  </si>
  <si>
    <t>CHARDONNAY OUILLÉ:</t>
  </si>
  <si>
    <t>Rotalier, Jura. 4.4ha estate vines</t>
  </si>
  <si>
    <t>25GBURON05</t>
  </si>
  <si>
    <t>Started 2001 with 0.4ha of Varron Chard.</t>
  </si>
  <si>
    <t>25GBURON08</t>
  </si>
  <si>
    <t>part horse-ploughed; ambient yeast</t>
  </si>
  <si>
    <t>25GBURON07</t>
  </si>
  <si>
    <t>all young vines &amp; most VV are massale</t>
  </si>
  <si>
    <t>25GBURON06</t>
  </si>
  <si>
    <t>Organic certified 2007 BAC</t>
  </si>
  <si>
    <t>25GBURON12MG</t>
  </si>
  <si>
    <t>SAVAGNIN OUILLÉ:</t>
  </si>
  <si>
    <t>25GBURON10</t>
  </si>
  <si>
    <r>
      <rPr>
        <b/>
        <sz val="7"/>
        <color theme="1" tint="0.499984740745262"/>
        <rFont val="Noto Sans"/>
        <family val="2"/>
      </rPr>
      <t>Chard' Ammonites:</t>
    </r>
    <r>
      <rPr>
        <sz val="7"/>
        <color theme="1" tint="0.499984740745262"/>
        <rFont val="Noto Sans"/>
        <family val="2"/>
      </rPr>
      <t xml:space="preserve"> 1994 vines, grey marl, 0.27ha</t>
    </r>
  </si>
  <si>
    <t>25GBURON09</t>
  </si>
  <si>
    <r>
      <rPr>
        <b/>
        <sz val="7"/>
        <color theme="1" tint="0.499984740745262"/>
        <rFont val="Noto Sans"/>
        <family val="2"/>
      </rPr>
      <t>Chard' Marcus:</t>
    </r>
    <r>
      <rPr>
        <sz val="7"/>
        <color theme="1" tint="0.499984740745262"/>
        <rFont val="Noto Sans"/>
        <family val="2"/>
      </rPr>
      <t xml:space="preserve"> 1982 vines, limestone, 0.62ha </t>
    </r>
  </si>
  <si>
    <t>25GBURON11MG</t>
  </si>
  <si>
    <r>
      <rPr>
        <b/>
        <sz val="7"/>
        <color theme="1" tint="0.499984740745262"/>
        <rFont val="Noto Sans"/>
        <family val="2"/>
      </rPr>
      <t>Chard' Soupois:</t>
    </r>
    <r>
      <rPr>
        <sz val="7"/>
        <color theme="1" tint="0.499984740745262"/>
        <rFont val="Noto Sans"/>
        <family val="2"/>
      </rPr>
      <t xml:space="preserve"> 1979 vines, silt &amp; sand, 0.15ha </t>
    </r>
  </si>
  <si>
    <r>
      <rPr>
        <b/>
        <sz val="7"/>
        <color theme="1" tint="0.499984740745262"/>
        <rFont val="Noto Sans"/>
        <family val="2"/>
      </rPr>
      <t>Chard' Varron</t>
    </r>
    <r>
      <rPr>
        <sz val="7"/>
        <color theme="1" tint="0.499984740745262"/>
        <rFont val="Noto Sans"/>
        <family val="2"/>
      </rPr>
      <t>: 1956 vines, limestone, 0.39ha</t>
    </r>
  </si>
  <si>
    <t>25GBURON04</t>
  </si>
  <si>
    <r>
      <rPr>
        <b/>
        <sz val="7"/>
        <color theme="1" tint="0.499984740745262"/>
        <rFont val="Noto Sans"/>
        <family val="2"/>
      </rPr>
      <t>Savagnins Varron:</t>
    </r>
    <r>
      <rPr>
        <sz val="7"/>
        <color theme="1" tint="0.499984740745262"/>
        <rFont val="Noto Sans"/>
        <family val="2"/>
      </rPr>
      <t xml:space="preserve"> 2008 massale vines en foule</t>
    </r>
  </si>
  <si>
    <t>24GBURON08</t>
  </si>
  <si>
    <t>all 3 colours/biotypes, on limestone, 0.37ha</t>
  </si>
  <si>
    <t>25GBURON01</t>
  </si>
  <si>
    <r>
      <rPr>
        <b/>
        <sz val="7"/>
        <color theme="1" tint="0.499984740745262"/>
        <rFont val="Noto Sans"/>
        <family val="2"/>
      </rPr>
      <t>Savagnins L'Hopital:</t>
    </r>
    <r>
      <rPr>
        <sz val="7"/>
        <color theme="1" tint="0.499984740745262"/>
        <rFont val="Noto Sans"/>
        <family val="2"/>
      </rPr>
      <t xml:space="preserve"> 2006 massale vines,</t>
    </r>
  </si>
  <si>
    <t>24GBURON05</t>
  </si>
  <si>
    <t>all 3 colours/biotypes, on scree &amp; marl, 0.31ha</t>
  </si>
  <si>
    <t>25GBURON03</t>
  </si>
  <si>
    <r>
      <rPr>
        <b/>
        <sz val="7"/>
        <color theme="1" tint="0.499984740745262"/>
        <rFont val="Noto Sans"/>
        <family val="2"/>
      </rPr>
      <t xml:space="preserve">Savagnin Le Monceau: </t>
    </r>
    <r>
      <rPr>
        <sz val="7"/>
        <color theme="1" tint="0.499984740745262"/>
        <rFont val="Noto Sans"/>
        <family val="2"/>
      </rPr>
      <t>1948 vines, savagnin vert</t>
    </r>
  </si>
  <si>
    <t>24GBURON07</t>
  </si>
  <si>
    <t>on scree &amp; grey marl, 0.13ha (ex-in Et Entre Deux)</t>
  </si>
  <si>
    <t>25GBURON02</t>
  </si>
  <si>
    <r>
      <rPr>
        <b/>
        <sz val="7"/>
        <color theme="1" tint="0.499984740745262"/>
        <rFont val="Noto Sans"/>
        <family val="2"/>
      </rPr>
      <t>Trousseau L'Hopital:</t>
    </r>
    <r>
      <rPr>
        <sz val="7"/>
        <color theme="1" tint="0.499984740745262"/>
        <rFont val="Noto Sans"/>
        <family val="2"/>
      </rPr>
      <t xml:space="preserve"> 2015 vines on scree &amp; grey-</t>
    </r>
  </si>
  <si>
    <t>24GBURON06</t>
  </si>
  <si>
    <t>marl, 0.18ha</t>
  </si>
  <si>
    <t>SWEET - VIN DE PAILLE:</t>
  </si>
  <si>
    <r>
      <rPr>
        <b/>
        <sz val="7"/>
        <color theme="1" tint="0.499984740745262"/>
        <rFont val="Noto Sans"/>
        <family val="2"/>
      </rPr>
      <t>Poulsard Sous le Monceau:</t>
    </r>
    <r>
      <rPr>
        <sz val="7"/>
        <color theme="1" tint="0.499984740745262"/>
        <rFont val="Noto Sans"/>
        <family val="2"/>
      </rPr>
      <t xml:space="preserve"> 1948 vines on scree </t>
    </r>
  </si>
  <si>
    <t>23GBURON06HF</t>
  </si>
  <si>
    <t>&amp; marl, planted to &gt;20 massale selected biotypes</t>
  </si>
  <si>
    <t>MARC:</t>
  </si>
  <si>
    <r>
      <rPr>
        <b/>
        <sz val="7"/>
        <color theme="1" tint="0.499984740745262"/>
        <rFont val="Noto Sans"/>
        <family val="2"/>
      </rPr>
      <t>Les Fontaines:</t>
    </r>
    <r>
      <rPr>
        <sz val="7"/>
        <color theme="1" tint="0.499984740745262"/>
        <rFont val="Noto Sans"/>
        <family val="2"/>
      </rPr>
      <t xml:space="preserve"> 1948 savagnin (i.e. pinot) noir</t>
    </r>
  </si>
  <si>
    <t>18GBURON06</t>
  </si>
  <si>
    <t>on a silty lower slope, 0.16ha</t>
  </si>
  <si>
    <t>GROWER CODE: GBURON</t>
  </si>
  <si>
    <t>KIND WORDS ON PIGNIER:</t>
  </si>
  <si>
    <r>
      <t>Claude Kolm TFWR, Jul.2016</t>
    </r>
    <r>
      <rPr>
        <sz val="7"/>
        <color theme="1" tint="0.499984740745262"/>
        <rFont val="Noto Sans"/>
        <family val="2"/>
      </rPr>
      <t xml:space="preserve"> 'If...you cannot afford the wines of Raveneau or Egon Müller, or many others... There are great alternatives out there</t>
    </r>
  </si>
  <si>
    <t>that are still largely undiscovered and therefore greatly underpriced. Pignier is one of the foremost among them.'</t>
  </si>
  <si>
    <r>
      <rPr>
        <b/>
        <sz val="7"/>
        <color theme="1" tint="0.499984740745262"/>
        <rFont val="Noto Sans"/>
        <family val="2"/>
      </rPr>
      <t>Wink Lorch, 2014</t>
    </r>
    <r>
      <rPr>
        <sz val="7"/>
        <color theme="1" tint="0.499984740745262"/>
        <rFont val="Noto Sans"/>
        <family val="2"/>
      </rPr>
      <t xml:space="preserve"> 'a fine range...that encapsulates and perhaps honours better than anyone else the historic development of the region' </t>
    </r>
  </si>
  <si>
    <r>
      <rPr>
        <b/>
        <sz val="7"/>
        <color theme="1" tint="0.499984740745262"/>
        <rFont val="Noto Sans"/>
        <family val="2"/>
      </rPr>
      <t>Wink Lorch, 2014</t>
    </r>
    <r>
      <rPr>
        <sz val="7"/>
        <color theme="1" tint="0.499984740745262"/>
        <rFont val="Noto Sans"/>
        <family val="2"/>
      </rPr>
      <t xml:space="preserve"> 'more than passion, it is the desire to achieve something through daily hard graft that creates success, and the Pignier</t>
    </r>
  </si>
  <si>
    <t>family epitomises this approach.'</t>
  </si>
  <si>
    <t>PIGNIER, Dom.</t>
  </si>
  <si>
    <t>CREMANT DE JURA:</t>
  </si>
  <si>
    <t>Montaigu, Jura. 15ha vines plus 10ha fallow</t>
  </si>
  <si>
    <t>25PIGNIER01</t>
  </si>
  <si>
    <t>in two reculé valleys @ 250-350m</t>
  </si>
  <si>
    <t>25PIGNIER02</t>
  </si>
  <si>
    <t>siblings Marie Florence, Antoine, Jean Etienne</t>
  </si>
  <si>
    <t>TOPPED UP / OUILLÉ WHITE:</t>
  </si>
  <si>
    <t>NB main appellation is Cotes de Jura</t>
  </si>
  <si>
    <t>25PIGNIER05</t>
  </si>
  <si>
    <t>small cluster, disease resistant biotypes</t>
  </si>
  <si>
    <t>24PIGNIER06</t>
  </si>
  <si>
    <t>avg 25-28hl/ha; ambient yeast; low/no SO2</t>
  </si>
  <si>
    <t>Biodynamic cert.; Ⓥ Vegan compatible</t>
  </si>
  <si>
    <t>25PIGNIER07</t>
  </si>
  <si>
    <t>Organic certified 2006 Ecocert</t>
  </si>
  <si>
    <t>22PIGNIER12</t>
  </si>
  <si>
    <t>THE TWO CELLARS:</t>
  </si>
  <si>
    <t>25PIGNIER06</t>
  </si>
  <si>
    <t>Cellier de Lacauzon C.17th for w/making &amp;</t>
  </si>
  <si>
    <t>24PIGNIER07</t>
  </si>
  <si>
    <t>Cellier des Chartreaux, C.13th, for long elevage</t>
  </si>
  <si>
    <t>25PIGNIER06MG</t>
  </si>
  <si>
    <t>THE TWO TOP REDS:</t>
  </si>
  <si>
    <t>24PIGNIER10</t>
  </si>
  <si>
    <r>
      <rPr>
        <b/>
        <sz val="7"/>
        <color theme="1" tint="0.499984740745262"/>
        <rFont val="Noto Sans"/>
        <family val="2"/>
      </rPr>
      <t>trousseau Les Gauthières:</t>
    </r>
    <r>
      <rPr>
        <sz val="7"/>
        <color theme="1" tint="0.499984740745262"/>
        <rFont val="Noto Sans"/>
        <family val="2"/>
      </rPr>
      <t xml:space="preserve"> (SSA) small pea-</t>
    </r>
  </si>
  <si>
    <t>24PIGNIER08</t>
  </si>
  <si>
    <t>berry trousseau biotype called 'trousseau a la dame'</t>
  </si>
  <si>
    <t>WHITE 'SOUS-VOILE' / SANS OUILLAGE:</t>
  </si>
  <si>
    <r>
      <rPr>
        <b/>
        <sz val="7"/>
        <color theme="1" tint="0.499984740745262"/>
        <rFont val="Noto Sans"/>
        <family val="2"/>
      </rPr>
      <t>A table avec Leandres:</t>
    </r>
    <r>
      <rPr>
        <sz val="7"/>
        <color theme="1" tint="0.499984740745262"/>
        <rFont val="Noto Sans"/>
        <family val="2"/>
      </rPr>
      <t xml:space="preserve"> field-blend of 11 Jura</t>
    </r>
  </si>
  <si>
    <t>24PIGNIER09</t>
  </si>
  <si>
    <t>grapes, co-fermented, sans souffre, vdf</t>
  </si>
  <si>
    <t>24PIGNIER01</t>
  </si>
  <si>
    <t>25PIGNIER10</t>
  </si>
  <si>
    <t>RED FIELD BLEND:</t>
  </si>
  <si>
    <t>22PIGNIER11</t>
  </si>
  <si>
    <t>2015 B+D Guide 'Producteurs en Progression'</t>
  </si>
  <si>
    <t>22PIGNIER05</t>
  </si>
  <si>
    <t>2003 Biodynamic certified</t>
  </si>
  <si>
    <t>18PIGNIER05</t>
  </si>
  <si>
    <t>2002 1st unsulphited cuvées</t>
  </si>
  <si>
    <t>17PIGNIER06</t>
  </si>
  <si>
    <t>2000 all vineyards see biodynamic farming</t>
  </si>
  <si>
    <t>POULSARD:</t>
  </si>
  <si>
    <t>1999 1st vintage of topped-up white, La Percenette</t>
  </si>
  <si>
    <t>25PIGNIER03</t>
  </si>
  <si>
    <t>1996 1st small biodynamic trials start</t>
  </si>
  <si>
    <t>24PIGNIER05</t>
  </si>
  <si>
    <t>1991 sister Marie-Florence joined</t>
  </si>
  <si>
    <t>TROUSSEAU:</t>
  </si>
  <si>
    <t>1990s start of sustainable farming</t>
  </si>
  <si>
    <t>19PIGNIER04HF</t>
  </si>
  <si>
    <t>1985 7th gen.brothers Jean-Etienne &amp; Antoine join</t>
  </si>
  <si>
    <t>24PIGNIER04</t>
  </si>
  <si>
    <t>1970 5th generation give up polyculture, go to 5ha</t>
  </si>
  <si>
    <t>22PIGNIER03</t>
  </si>
  <si>
    <t>1794 bought by Pignier family</t>
  </si>
  <si>
    <t>18PIGNIER03</t>
  </si>
  <si>
    <t>1200s-1700s Chartreux monastery winery</t>
  </si>
  <si>
    <t>19PIGNIER04MG</t>
  </si>
  <si>
    <t>B+D 3* estate 2022</t>
  </si>
  <si>
    <t>25PIGNIER04</t>
  </si>
  <si>
    <t>Domaine-Pignier.com</t>
  </si>
  <si>
    <t>22PIGNIER04</t>
  </si>
  <si>
    <t>facebook.com/domainepignier/</t>
  </si>
  <si>
    <t>18PIGNIER04</t>
  </si>
  <si>
    <t>25PIGNIER11HF</t>
  </si>
  <si>
    <t>22PIGNIER13HF</t>
  </si>
  <si>
    <t>PIGNIER VIDEOS:</t>
  </si>
  <si>
    <t>www.youtube.com/watch?v=vN3AdomVg-A</t>
  </si>
  <si>
    <t>'vines &amp; cows'</t>
  </si>
  <si>
    <t>www.youtube.com/watch?v=UoDOQ6gJhWQ</t>
  </si>
  <si>
    <t>2017 growing season montage</t>
  </si>
  <si>
    <t>www.youtube.com/watch?v=1P3BvRwcMfo</t>
  </si>
  <si>
    <t>creation of soil tools - Fr.</t>
  </si>
  <si>
    <r>
      <rPr>
        <b/>
        <sz val="7"/>
        <color theme="1" tint="0.499984740745262"/>
        <rFont val="Noto Sans"/>
        <family val="2"/>
      </rPr>
      <t>Famille Rolet</t>
    </r>
    <r>
      <rPr>
        <sz val="7"/>
        <color theme="1" tint="0.499984740745262"/>
        <rFont val="Noto Sans"/>
        <family val="2"/>
      </rPr>
      <t xml:space="preserve"> 'Within the calm of this magnum, the wine gathers itself together in it's temple: a living memorial of time, nature, and human effort.</t>
    </r>
  </si>
  <si>
    <t>On the chosen day, it will welcome you in.'</t>
  </si>
  <si>
    <r>
      <rPr>
        <b/>
        <sz val="7"/>
        <color theme="1" tint="0.499984740745262"/>
        <rFont val="Noto Sans"/>
        <family val="2"/>
      </rPr>
      <t xml:space="preserve">Famille Rolet </t>
    </r>
    <r>
      <rPr>
        <i/>
        <sz val="7"/>
        <color theme="1" tint="0.499984740745262"/>
        <rFont val="Noto Sans"/>
        <family val="2"/>
      </rPr>
      <t>'DANS LE CALME DE CE MAGNUM, LE VIN EN SON TEMPLE SE RECUEILLE. MEMORIAL VIVANT, DU TEMPS, DE LA NATURE</t>
    </r>
  </si>
  <si>
    <t>ET DES HOMMES. ET LE JOUR ATTENDU, VOUS CONVIE A LUI. MISE AU DOMAINE'</t>
  </si>
  <si>
    <t>ROLET P&amp;F</t>
  </si>
  <si>
    <t>Arbois, Jura. 65ha estate</t>
  </si>
  <si>
    <t>21ROLET01MG</t>
  </si>
  <si>
    <t>Rolet family's personal reserve stock</t>
  </si>
  <si>
    <t>21ROLET08MG</t>
  </si>
  <si>
    <t>Rolet P&amp;F was sold in 2018</t>
  </si>
  <si>
    <t>Mostly recorked with DIAM 30s</t>
  </si>
  <si>
    <t>GROWER CODE: ROLET</t>
  </si>
  <si>
    <t>France, Savoie &amp; Ain</t>
  </si>
  <si>
    <t>RENARDAT-FÂCHE, Elie</t>
  </si>
  <si>
    <t>DRY CHARDONNAY PET-NAT:</t>
  </si>
  <si>
    <t>Ain. Elie (son) &amp; Alain Renardat. 12.5ha</t>
  </si>
  <si>
    <t>23CERDO02</t>
  </si>
  <si>
    <t>MEDIUM ROSÉ METHODE-ANCESTRALE:</t>
  </si>
  <si>
    <t>Biodynamic certified; Ⓥ Vegan compatible</t>
  </si>
  <si>
    <t>sw.sp.p</t>
  </si>
  <si>
    <t>25CERDO01</t>
  </si>
  <si>
    <t>gamay &amp; poulsard, 200-300m altitude</t>
  </si>
  <si>
    <r>
      <t>2012</t>
    </r>
    <r>
      <rPr>
        <b/>
        <sz val="7"/>
        <color rgb="FF00B050"/>
        <rFont val="Noto Sans"/>
        <family val="2"/>
      </rPr>
      <t xml:space="preserve"> biodynamic certified</t>
    </r>
  </si>
  <si>
    <r>
      <t xml:space="preserve">2012 </t>
    </r>
    <r>
      <rPr>
        <b/>
        <sz val="7"/>
        <color rgb="FF00B050"/>
        <rFont val="Noto Sans"/>
        <family val="2"/>
      </rPr>
      <t>Organic certified</t>
    </r>
  </si>
  <si>
    <t>2009 Bugey (de) Cerdon AOC is granted</t>
  </si>
  <si>
    <t>2005 organic farming started</t>
  </si>
  <si>
    <t>2000 Élie's wife Christelle joins domaine</t>
  </si>
  <si>
    <t>1996 3rd gen. Élie joins after Beaune BTS</t>
  </si>
  <si>
    <t>1974 2nd gen. Alain joins after Beaune studies</t>
  </si>
  <si>
    <t>post 1945 Léon &amp; Cécile develop this</t>
  </si>
  <si>
    <t>méthode ancestrale</t>
  </si>
  <si>
    <t>renardat-fache.com</t>
  </si>
  <si>
    <t>GROWER CODE: CERDO</t>
  </si>
  <si>
    <t>France, Upper Loire</t>
  </si>
  <si>
    <t>BIZET, Domaine</t>
  </si>
  <si>
    <t>SANCERRE BLANC HVS:</t>
  </si>
  <si>
    <r>
      <t>Sury en Vaux, Sancerre. 8.5ha. 4</t>
    </r>
    <r>
      <rPr>
        <vertAlign val="superscript"/>
        <sz val="8"/>
        <color theme="1" tint="0.14999847407452621"/>
        <rFont val="Noto Sans"/>
        <family val="2"/>
      </rPr>
      <t>th</t>
    </r>
    <r>
      <rPr>
        <sz val="8"/>
        <color theme="1" tint="0.14999847407452621"/>
        <rFont val="Noto Sans"/>
        <family val="2"/>
      </rPr>
      <t xml:space="preserve"> gen.</t>
    </r>
  </si>
  <si>
    <t>17BIZET02HTB</t>
  </si>
  <si>
    <t>Thibault Bizet, B.1986, joined 2005</t>
  </si>
  <si>
    <t>SANCERRE BLANC:</t>
  </si>
  <si>
    <r>
      <rPr>
        <b/>
        <sz val="8"/>
        <color rgb="FF00B050"/>
        <rFont val="Noto Sans"/>
        <family val="2"/>
      </rPr>
      <t>sustainable</t>
    </r>
    <r>
      <rPr>
        <sz val="8"/>
        <color theme="1" tint="0.14999847407452621"/>
        <rFont val="Noto Sans"/>
        <family val="2"/>
      </rPr>
      <t xml:space="preserve"> agriculture across 30 parcels</t>
    </r>
  </si>
  <si>
    <t>24BIZET01</t>
  </si>
  <si>
    <t>Sancerre-Bizet.com</t>
  </si>
  <si>
    <t>24BIZET03</t>
  </si>
  <si>
    <t>GROWER CODE: BIZET</t>
  </si>
  <si>
    <t>SANCERRE ROSÉ:</t>
  </si>
  <si>
    <t>24BIZET02</t>
  </si>
  <si>
    <t>SANCERRE ROUGE:</t>
  </si>
  <si>
    <t>21BIZET05TB</t>
  </si>
  <si>
    <t>13BIZET04TB</t>
  </si>
  <si>
    <t>21BIZET04TB</t>
  </si>
  <si>
    <t>15BIZET03VDP</t>
  </si>
  <si>
    <t>13BIZET05TB</t>
  </si>
  <si>
    <t>FRANCOIS COTAT</t>
  </si>
  <si>
    <t>22COTAT01</t>
  </si>
  <si>
    <t>4.25ha in Chavignol, Sancerre (0.5ha red)</t>
  </si>
  <si>
    <t>23COTAT03</t>
  </si>
  <si>
    <t>Francois is Paul's son. (His cousin Pascal</t>
  </si>
  <si>
    <t>23COTAT05</t>
  </si>
  <si>
    <t>is Francis' son.)</t>
  </si>
  <si>
    <t>22COTAT04</t>
  </si>
  <si>
    <t>22COTAT03</t>
  </si>
  <si>
    <r>
      <t xml:space="preserve">sustainable farming - </t>
    </r>
    <r>
      <rPr>
        <b/>
        <sz val="8"/>
        <color rgb="FF00B050"/>
        <rFont val="Noto Sans"/>
        <family val="2"/>
      </rPr>
      <t>no certification</t>
    </r>
  </si>
  <si>
    <t>23COTAT01</t>
  </si>
  <si>
    <t>high density; modest yields; ambient yeast;</t>
  </si>
  <si>
    <t>demi-muids &amp; tonneaux ferment &amp; elevage</t>
  </si>
  <si>
    <t>'ni collé ni filtré': unfined &amp; unfiltered</t>
  </si>
  <si>
    <t>NB Rosé is made from gamay vv.</t>
  </si>
  <si>
    <t>1990s end of the era of brothers Paul &amp; Francis</t>
  </si>
  <si>
    <t xml:space="preserve">1987 Francois (Paul's son) 1st release </t>
  </si>
  <si>
    <t xml:space="preserve">1947 (ish) 1st year Cotat brothers Paul &amp; Francis </t>
  </si>
  <si>
    <t>RVF 2* estate; B+D 3*</t>
  </si>
  <si>
    <t>NB USUALLY SELLS OUT ON RELEASE</t>
  </si>
  <si>
    <t>MILLET, David et Hervé:</t>
  </si>
  <si>
    <t>DOMAINE DE LA LOGE</t>
  </si>
  <si>
    <t>24MILLET05</t>
  </si>
  <si>
    <t>Pouilly-Fumé, at St. Andelain</t>
  </si>
  <si>
    <t>24MILLET04</t>
  </si>
  <si>
    <r>
      <t>20ha</t>
    </r>
    <r>
      <rPr>
        <b/>
        <sz val="8"/>
        <color rgb="FF00B050"/>
        <rFont val="Noto Sans"/>
        <family val="2"/>
      </rPr>
      <t xml:space="preserve"> sustainable</t>
    </r>
    <r>
      <rPr>
        <sz val="8"/>
        <color theme="1" tint="0.14999847407452621"/>
        <rFont val="Noto Sans"/>
        <family val="2"/>
      </rPr>
      <t>. founded C.19th</t>
    </r>
  </si>
  <si>
    <t>21MILLET03TB</t>
  </si>
  <si>
    <r>
      <rPr>
        <sz val="8"/>
        <color theme="1" tint="0.14999847407452621"/>
        <rFont val="Noto Sans"/>
        <family val="2"/>
      </rPr>
      <t xml:space="preserve">most are tank aged; </t>
    </r>
    <r>
      <rPr>
        <b/>
        <sz val="8"/>
        <color rgb="FF00B050"/>
        <rFont val="Noto Sans"/>
        <family val="2"/>
      </rPr>
      <t>Ⓥ Vegan compatible</t>
    </r>
  </si>
  <si>
    <r>
      <rPr>
        <b/>
        <sz val="7"/>
        <color theme="1" tint="0.499984740745262"/>
        <rFont val="Noto Sans"/>
        <family val="2"/>
      </rPr>
      <t>Aveillons:</t>
    </r>
    <r>
      <rPr>
        <sz val="7"/>
        <color theme="1" tint="0.499984740745262"/>
        <rFont val="Noto Sans"/>
        <family val="2"/>
      </rPr>
      <t xml:space="preserve"> &gt;65yr VV on Kimmeridgian marls/marnes</t>
    </r>
  </si>
  <si>
    <t>13MILLET05MTB</t>
  </si>
  <si>
    <r>
      <rPr>
        <b/>
        <sz val="7"/>
        <color theme="1" tint="0.499984740745262"/>
        <rFont val="Noto Sans"/>
        <family val="2"/>
      </rPr>
      <t>Silex:</t>
    </r>
    <r>
      <rPr>
        <sz val="7"/>
        <color theme="1" tint="0.499984740745262"/>
        <rFont val="Noto Sans"/>
        <family val="2"/>
      </rPr>
      <t xml:space="preserve"> the rare flint stone rich terroir (~5% of AOC)</t>
    </r>
  </si>
  <si>
    <r>
      <rPr>
        <b/>
        <sz val="7"/>
        <color theme="1" tint="0.499984740745262"/>
        <rFont val="Noto Sans"/>
        <family val="2"/>
      </rPr>
      <t>Renaissance:</t>
    </r>
    <r>
      <rPr>
        <sz val="7"/>
        <color theme="1" tint="0.499984740745262"/>
        <rFont val="Noto Sans"/>
        <family val="2"/>
      </rPr>
      <t xml:space="preserve"> &gt;80-100yr VV/TVV on a mix of clay,</t>
    </r>
  </si>
  <si>
    <t>flint, marls; 1yr in acacia casks of 228L &amp; 500L</t>
  </si>
  <si>
    <t>Domaine-Loge.com</t>
  </si>
  <si>
    <t>GROWER CODE: MILLET</t>
  </si>
  <si>
    <t>SANCERRE NOËL,</t>
  </si>
  <si>
    <t>23PATNOEL03</t>
  </si>
  <si>
    <t>aka PATRICK NOËL</t>
  </si>
  <si>
    <t>25PATNOEL01</t>
  </si>
  <si>
    <t>Sancerre; run by daughter Julie today.</t>
  </si>
  <si>
    <t>23PATNOEL02</t>
  </si>
  <si>
    <t>Saint Satur village underground cellar,</t>
  </si>
  <si>
    <t>22PATNOEL02</t>
  </si>
  <si>
    <t>named Vinée de La Mivoy.</t>
  </si>
  <si>
    <t>23PATNOEL04</t>
  </si>
  <si>
    <t>19ha, &gt;50 plots, after 300yrs history in Chavignol</t>
  </si>
  <si>
    <t>Label founded 1988 by Patrick Noel</t>
  </si>
  <si>
    <t>~300yrs history in Chavignol.</t>
  </si>
  <si>
    <t>80% of Sancerre vines in Chavignol</t>
  </si>
  <si>
    <t>ambient yeast ferment</t>
  </si>
  <si>
    <t>THE TWO BLANCS:</t>
  </si>
  <si>
    <r>
      <rPr>
        <b/>
        <sz val="7"/>
        <color theme="1" tint="0.499984740745262"/>
        <rFont val="Noto Sans"/>
        <family val="2"/>
      </rPr>
      <t>Sancerre BLANC</t>
    </r>
    <r>
      <rPr>
        <sz val="7"/>
        <color theme="1" tint="0.499984740745262"/>
        <rFont val="Noto Sans"/>
        <family val="2"/>
      </rPr>
      <t>: 25 to 60+ year vines, on all 3</t>
    </r>
  </si>
  <si>
    <t xml:space="preserve">terroirs: Silex (flinty clay) in Sancerre; Kimmeridgian </t>
  </si>
  <si>
    <t>clay-limestone aka terres blanches in Chavignol</t>
  </si>
  <si>
    <t xml:space="preserve">and Saint-Satur; and finally caillottes (stony </t>
  </si>
  <si>
    <t>calcareous limestone) in Chavignol. 11mths on lies.</t>
  </si>
  <si>
    <r>
      <t>Etincelle du Loup:</t>
    </r>
    <r>
      <rPr>
        <sz val="7"/>
        <color theme="1" tint="0.499984740745262"/>
        <rFont val="Noto Sans"/>
        <family val="2"/>
      </rPr>
      <t xml:space="preserve"> 0.2ha silex (flinty) parcel in</t>
    </r>
  </si>
  <si>
    <t>L'Orme du Loup, Sancerre. Raised in Acacia casks</t>
  </si>
  <si>
    <t>Sancerre-Noel.com</t>
  </si>
  <si>
    <t>GROWER CODE: PATNOEL</t>
  </si>
  <si>
    <t>SEBASTIEN RIFFAULT</t>
  </si>
  <si>
    <t>17SRIFF02</t>
  </si>
  <si>
    <t>Sury-en-Vaux, Sancerre. 12ha vines</t>
  </si>
  <si>
    <r>
      <rPr>
        <b/>
        <sz val="8"/>
        <color rgb="FF00B050"/>
        <rFont val="Noto Sans"/>
        <family val="2"/>
      </rPr>
      <t>Biodynamic cert.</t>
    </r>
    <r>
      <rPr>
        <sz val="8"/>
        <color theme="1" tint="0.14999847407452621"/>
        <rFont val="Noto Sans"/>
        <family val="2"/>
      </rPr>
      <t>; horseplough, late-harvest</t>
    </r>
  </si>
  <si>
    <r>
      <rPr>
        <sz val="8"/>
        <color theme="1" tint="0.14999847407452621"/>
        <rFont val="Noto Sans"/>
        <family val="2"/>
      </rPr>
      <t xml:space="preserve">ambient yeast ferment; </t>
    </r>
    <r>
      <rPr>
        <b/>
        <sz val="8"/>
        <color rgb="FF00B050"/>
        <rFont val="Noto Sans"/>
        <family val="2"/>
      </rPr>
      <t>Ⓥ Vegan compat.</t>
    </r>
  </si>
  <si>
    <t>LEVI DALTON 'IDTT' INTERVIEW #180</t>
  </si>
  <si>
    <t>GROWER CODE: SRIFF</t>
  </si>
  <si>
    <t>France, Middle Loire</t>
  </si>
  <si>
    <r>
      <rPr>
        <b/>
        <sz val="7"/>
        <color theme="1" tint="0.499984740745262"/>
        <rFont val="Noto Sans"/>
        <family val="2"/>
      </rPr>
      <t>Bruno</t>
    </r>
    <r>
      <rPr>
        <sz val="7"/>
        <color theme="1" tint="0.499984740745262"/>
        <rFont val="Noto Sans"/>
        <family val="2"/>
      </rPr>
      <t xml:space="preserve"> 'The more diversity you have, the easier it is to protect the vine'</t>
    </r>
  </si>
  <si>
    <r>
      <rPr>
        <b/>
        <sz val="7"/>
        <color theme="1" tint="0.499984740745262"/>
        <rFont val="Noto Sans"/>
        <family val="2"/>
      </rPr>
      <t>Bruno,</t>
    </r>
    <r>
      <rPr>
        <sz val="7"/>
        <color theme="1" tint="0.499984740745262"/>
        <rFont val="Noto Sans"/>
        <family val="2"/>
      </rPr>
      <t xml:space="preserve"> 2020 'Dans les vignes, les arbres animent le paysage'</t>
    </r>
  </si>
  <si>
    <r>
      <rPr>
        <b/>
        <sz val="7"/>
        <color theme="1" tint="0.499984740745262"/>
        <rFont val="Noto Sans"/>
        <family val="2"/>
      </rPr>
      <t>Bruno</t>
    </r>
    <r>
      <rPr>
        <sz val="7"/>
        <color theme="1" tint="0.499984740745262"/>
        <rFont val="Noto Sans"/>
        <family val="2"/>
      </rPr>
      <t xml:space="preserve">  'The desire [for biodynamics] has always been there, but it's when you really throw yourself into this practice that you're truly going somewhere.'</t>
    </r>
  </si>
  <si>
    <r>
      <rPr>
        <b/>
        <sz val="7"/>
        <color theme="1" tint="0.499984740745262"/>
        <rFont val="Noto Sans"/>
        <family val="2"/>
      </rPr>
      <t>​Bruno</t>
    </r>
    <r>
      <rPr>
        <sz val="7"/>
        <color theme="1" tint="0.499984740745262"/>
        <rFont val="Noto Sans"/>
        <family val="2"/>
      </rPr>
      <t xml:space="preserve"> 'Choisir le "bio" n'est pas le choix le plus simple sur ces onze hectares plantés de chenin et de cabernet franc, c'est toujours une manière</t>
    </r>
  </si>
  <si>
    <t>de s'engager vers une qualité exigeante, de tendre vers le meilleur, le plus sain, le plus vif... mais l'aventure est aussi la plus risquée. C'est alors</t>
  </si>
  <si>
    <t>la nature qui commande. Et ses caprices sont parfois redoutables.  Au moment des vendanges des équipes légères arpentent les rangs, le tri</t>
  </si>
  <si>
    <t>s'opère ici d'abord, sur le terrain. Les raisins sont placés dans des seaux puis des petites caissettes pour ménager la baie.'</t>
  </si>
  <si>
    <t>BRUNO DUBOIS</t>
  </si>
  <si>
    <t>SAUMUR BLANC:</t>
  </si>
  <si>
    <t>Saumur, at St.Cyr-en-Bourg. ~22ha estate</t>
  </si>
  <si>
    <t>23DUBOIS04</t>
  </si>
  <si>
    <t>11.5ha vines, 11ha polyculture/agroforestry</t>
  </si>
  <si>
    <t>SAUMUR-CHAMPIGNY ROUGE:</t>
  </si>
  <si>
    <t>High average vine age &gt;50yrs, of</t>
  </si>
  <si>
    <t>23DUBOIS01</t>
  </si>
  <si>
    <t>8.8ha cabernet franc, 2.5ha chenin blanc</t>
  </si>
  <si>
    <t>23DUBOIS02</t>
  </si>
  <si>
    <t>at St.Cyr-en-Bourg and at Breze,</t>
  </si>
  <si>
    <t>23DUBOIS03</t>
  </si>
  <si>
    <t>planted on clay-limestone over chalk tuff</t>
  </si>
  <si>
    <t>Stoneware low-porosity 'amphora', mostly</t>
  </si>
  <si>
    <t>of 12hl, 10hl plus 5hl. Or concrete tanks.</t>
  </si>
  <si>
    <t>Ambient yeast, no stems, no pumps,</t>
  </si>
  <si>
    <t>unfined, sometimes unfiltered, modest SO2</t>
  </si>
  <si>
    <t>Biodynamic certified Demeter</t>
  </si>
  <si>
    <t>Organic certified 2009 Ecocert</t>
  </si>
  <si>
    <t>Other crops include wheat for pasta, lentils,</t>
  </si>
  <si>
    <t>buckwheat, barley and sunflowers, plus</t>
  </si>
  <si>
    <t>birdhouses, bat shelters and beehives</t>
  </si>
  <si>
    <r>
      <rPr>
        <b/>
        <sz val="7"/>
        <color theme="1" tint="0.499984740745262"/>
        <rFont val="Noto Sans"/>
        <family val="2"/>
      </rPr>
      <t>Vue Sur Loire:</t>
    </r>
    <r>
      <rPr>
        <sz val="7"/>
        <color theme="1" tint="0.499984740745262"/>
        <rFont val="Noto Sans"/>
        <family val="2"/>
      </rPr>
      <t xml:space="preserve"> 0.3ha parcel of 1954 cab franc, </t>
    </r>
  </si>
  <si>
    <t>12mths in stoneware 'amphora'</t>
  </si>
  <si>
    <r>
      <rPr>
        <b/>
        <sz val="7"/>
        <color theme="1" tint="0.499984740745262"/>
        <rFont val="Noto Sans"/>
        <family val="2"/>
      </rPr>
      <t>Rococo:</t>
    </r>
    <r>
      <rPr>
        <sz val="7"/>
        <color theme="1" tint="0.499984740745262"/>
        <rFont val="Noto Sans"/>
        <family val="2"/>
      </rPr>
      <t xml:space="preserve"> mature parcels blended, 12mths concrete</t>
    </r>
  </si>
  <si>
    <r>
      <rPr>
        <b/>
        <sz val="7"/>
        <color theme="1" tint="0.499984740745262"/>
        <rFont val="Noto Sans"/>
        <family val="2"/>
      </rPr>
      <t xml:space="preserve">Plume: </t>
    </r>
    <r>
      <rPr>
        <sz val="7"/>
        <color theme="1" tint="0.499984740745262"/>
        <rFont val="Noto Sans"/>
        <family val="2"/>
      </rPr>
      <t>new red created in 2018</t>
    </r>
  </si>
  <si>
    <r>
      <rPr>
        <b/>
        <sz val="7"/>
        <color theme="1" tint="0.499984740745262"/>
        <rFont val="Noto Sans"/>
        <family val="2"/>
      </rPr>
      <t xml:space="preserve">Perruches: </t>
    </r>
    <r>
      <rPr>
        <sz val="7"/>
        <color theme="1" tint="0.499984740745262"/>
        <rFont val="Noto Sans"/>
        <family val="2"/>
      </rPr>
      <t>0.85ha chenin blanc VV planted 1962</t>
    </r>
  </si>
  <si>
    <t>plus jeunes vignes, from stoneware 'amphora'</t>
  </si>
  <si>
    <t>2018 end of selling fruit to cooperative</t>
  </si>
  <si>
    <t>2018 end of SSA period</t>
  </si>
  <si>
    <t>2017-2018 1.7ha chenin planted at Brézé</t>
  </si>
  <si>
    <t>2017 cuvée names were changed</t>
  </si>
  <si>
    <t>2015 introduction of stoneware 'amphora'</t>
  </si>
  <si>
    <t>2015 start phasing out oak casks</t>
  </si>
  <si>
    <t>2015 300 trees planted</t>
  </si>
  <si>
    <t>2015 biodynamic certified</t>
  </si>
  <si>
    <t>2012 organic certified</t>
  </si>
  <si>
    <t>2009 organic in conversion</t>
  </si>
  <si>
    <t>2005 start reduction of SO2</t>
  </si>
  <si>
    <t>2004 1st vintage 100% organic work</t>
  </si>
  <si>
    <t>2002 1st vintage on family estate</t>
  </si>
  <si>
    <t>pre-2002 worked at Lapierre, &amp; La Tour du Bon</t>
  </si>
  <si>
    <t>C.14th - oldest part of cave cellars</t>
  </si>
  <si>
    <t>GROWER CODE: DUBOIS</t>
  </si>
  <si>
    <t>KIND WORDS ON ARNAUD LAMBERT, etc.:</t>
  </si>
  <si>
    <r>
      <t xml:space="preserve">Motto: </t>
    </r>
    <r>
      <rPr>
        <sz val="7"/>
        <color theme="1" tint="0.499984740745262"/>
        <rFont val="Noto Sans"/>
        <family val="2"/>
      </rPr>
      <t>'Great fine wines are not born by chance'</t>
    </r>
  </si>
  <si>
    <r>
      <rPr>
        <b/>
        <sz val="7"/>
        <color theme="1" tint="0.499984740745262"/>
        <rFont val="Noto Sans"/>
        <family val="2"/>
      </rPr>
      <t>Rajat Parr, Atlas 2018</t>
    </r>
    <r>
      <rPr>
        <sz val="7"/>
        <color theme="1" tint="0.499984740745262"/>
        <rFont val="Noto Sans"/>
        <family val="2"/>
      </rPr>
      <t xml:space="preserve"> 'For at least 500 years, these vines (Brézé) produced some of the most profound wines of France'</t>
    </r>
  </si>
  <si>
    <r>
      <t xml:space="preserve">Rajat Parr, Atlas 2018 </t>
    </r>
    <r>
      <rPr>
        <sz val="7"/>
        <color theme="1" tint="0.499984740745262"/>
        <rFont val="Noto Sans"/>
        <family val="2"/>
      </rPr>
      <t>'stunning single vineyard whites from Clos du Midi, Clos David and Clos de la Rue'</t>
    </r>
  </si>
  <si>
    <r>
      <t>b+d Guide des Vins 2020 '</t>
    </r>
    <r>
      <rPr>
        <sz val="7"/>
        <color theme="1" tint="0.499984740745262"/>
        <rFont val="Noto Sans"/>
        <family val="2"/>
      </rPr>
      <t>Top Producteurs de L'Année'</t>
    </r>
  </si>
  <si>
    <r>
      <t>b+d Guide des Vins 2019 '</t>
    </r>
    <r>
      <rPr>
        <sz val="7"/>
        <color theme="1" tint="0.499984740745262"/>
        <rFont val="Noto Sans"/>
        <family val="2"/>
      </rPr>
      <t>Top 100 Producteurs de L'Année'</t>
    </r>
  </si>
  <si>
    <r>
      <rPr>
        <b/>
        <sz val="7"/>
        <color theme="1" tint="0.499984740745262"/>
        <rFont val="Noto Sans"/>
        <family val="2"/>
      </rPr>
      <t>b+d Guide des Vins 2019</t>
    </r>
    <r>
      <rPr>
        <sz val="7"/>
        <color theme="1" tint="0.499984740745262"/>
        <rFont val="Noto Sans"/>
        <family val="2"/>
      </rPr>
      <t xml:space="preserve"> 'One of the most talented winemakers in the Loire. His whole range...have drive, regularly among the best'</t>
    </r>
  </si>
  <si>
    <r>
      <rPr>
        <b/>
        <sz val="7"/>
        <color theme="1" tint="0.499984740745262"/>
        <rFont val="Noto Sans"/>
        <family val="2"/>
      </rPr>
      <t xml:space="preserve">b+d Guide des Vins 2019 </t>
    </r>
    <r>
      <rPr>
        <sz val="7"/>
        <color theme="1" tint="0.499984740745262"/>
        <rFont val="Noto Sans"/>
        <family val="2"/>
      </rPr>
      <t>'The whites have remarkable finesse and are extremely delicate. Reds are at the same level.'</t>
    </r>
  </si>
  <si>
    <r>
      <t>b+d Guide des Vins 2019</t>
    </r>
    <r>
      <rPr>
        <sz val="7"/>
        <color theme="1" tint="0.499984740745262"/>
        <rFont val="Noto Sans"/>
        <family val="2"/>
      </rPr>
      <t xml:space="preserve"> 'Good vine age counts for a lot, his talent just as much. A benchmark winery!'</t>
    </r>
  </si>
  <si>
    <r>
      <t>b+d Guide des Vins 2015</t>
    </r>
    <r>
      <rPr>
        <sz val="7"/>
        <color theme="1" tint="0.499984740745262"/>
        <rFont val="Noto Sans"/>
        <family val="2"/>
      </rPr>
      <t xml:space="preserve"> 'Producteurs de L'Année'</t>
    </r>
  </si>
  <si>
    <r>
      <rPr>
        <b/>
        <sz val="7"/>
        <color theme="1" tint="0.499984740745262"/>
        <rFont val="Noto Sans"/>
        <family val="2"/>
      </rPr>
      <t>Motto:</t>
    </r>
    <r>
      <rPr>
        <sz val="7"/>
        <color theme="1" tint="0.499984740745262"/>
        <rFont val="Noto Sans"/>
        <family val="2"/>
      </rPr>
      <t xml:space="preserve"> 'Un grand terroir ne s'exprime que lorsqu'il croise le chemin d'un vigneron passioné. Il y a la, un binome nécessaire a toute grande réussite.'</t>
    </r>
  </si>
  <si>
    <r>
      <rPr>
        <b/>
        <sz val="7"/>
        <color theme="1" tint="0.499984740745262"/>
        <rFont val="Noto Sans"/>
        <family val="2"/>
      </rPr>
      <t>Un objectif:</t>
    </r>
    <r>
      <rPr>
        <sz val="7"/>
        <color theme="1" tint="0.499984740745262"/>
        <rFont val="Noto Sans"/>
        <family val="2"/>
      </rPr>
      <t xml:space="preserve"> 'redonner a ce vignoble d'exception son lustre d'antan.'</t>
    </r>
  </si>
  <si>
    <r>
      <rPr>
        <b/>
        <sz val="7"/>
        <color theme="1" tint="0.499984740745262"/>
        <rFont val="Noto Sans"/>
        <family val="2"/>
      </rPr>
      <t>Joachim de Bellay, C.16th:</t>
    </r>
    <r>
      <rPr>
        <sz val="7"/>
        <color theme="1" tint="0.499984740745262"/>
        <rFont val="Noto Sans"/>
        <family val="2"/>
      </rPr>
      <t xml:space="preserve"> 'Its Nectar seasons us, Nectar give it to us, My sweet Brézéen wine…'</t>
    </r>
  </si>
  <si>
    <t>ARNAUD LAMBERT, Dom. de, &amp;</t>
  </si>
  <si>
    <t>ex-DOMAINE ST.JUST &amp;</t>
  </si>
  <si>
    <t>17BREZE03</t>
  </si>
  <si>
    <t>CHÂTEAU DE BRÉZÉ</t>
  </si>
  <si>
    <t>Arnaud Lambert's twin Saumur properties</t>
  </si>
  <si>
    <t>Organic certified 2009 Veritas/Ecocert</t>
  </si>
  <si>
    <t>ambient yeast; destemmed</t>
  </si>
  <si>
    <r>
      <rPr>
        <b/>
        <sz val="8"/>
        <color theme="1" tint="0.14999847407452621"/>
        <rFont val="Noto Sans"/>
        <family val="2"/>
      </rPr>
      <t>Domaine de St.Just</t>
    </r>
    <r>
      <rPr>
        <sz val="8"/>
        <color theme="1" tint="0.14999847407452621"/>
        <rFont val="Noto Sans"/>
        <family val="2"/>
      </rPr>
      <t xml:space="preserve"> is ~40ha home estate, </t>
    </r>
  </si>
  <si>
    <t>at St.Cyr en Bourg, Saumur</t>
  </si>
  <si>
    <r>
      <rPr>
        <b/>
        <sz val="8"/>
        <color theme="1" tint="0.14999847407452621"/>
        <rFont val="Noto Sans"/>
        <family val="2"/>
      </rPr>
      <t>Chateau de Brézé</t>
    </r>
    <r>
      <rPr>
        <sz val="8"/>
        <color theme="1" tint="0.14999847407452621"/>
        <rFont val="Noto Sans"/>
        <family val="2"/>
      </rPr>
      <t xml:space="preserve"> is Count Colbert's 11th</t>
    </r>
  </si>
  <si>
    <t>century Chateau w.25ha vines</t>
  </si>
  <si>
    <t>Arnaud-Lambert.com</t>
  </si>
  <si>
    <t>LEVI DALTON 'IDTT' INTERVIEW #411</t>
  </si>
  <si>
    <t>GROWER CODE: BREZE</t>
  </si>
  <si>
    <r>
      <rPr>
        <b/>
        <sz val="7"/>
        <color theme="1" tint="0.499984740745262"/>
        <rFont val="Noto Sans"/>
        <family val="2"/>
      </rPr>
      <t>RVF Le Classement</t>
    </r>
    <r>
      <rPr>
        <sz val="7"/>
        <color theme="1" tint="0.499984740745262"/>
        <rFont val="Noto Sans"/>
        <family val="2"/>
      </rPr>
      <t xml:space="preserve"> 'Less well known than Huet or Clos Naudin, the Pichots merit as much praise'</t>
    </r>
  </si>
  <si>
    <t>PICHOT, Domaine</t>
  </si>
  <si>
    <t>SPARKLING VOUVRAY:</t>
  </si>
  <si>
    <t>Vouvray. Christophe &amp; Caroline Pichot,</t>
  </si>
  <si>
    <t>20PICHOT07</t>
  </si>
  <si>
    <t>friends of Noel Pinguet, ex-Domaine Huet</t>
  </si>
  <si>
    <t>DRY VOUVRAY:</t>
  </si>
  <si>
    <t>28ha. Winery is in Vallée de Nouys</t>
  </si>
  <si>
    <t>24PICHOT01</t>
  </si>
  <si>
    <t>16PICHOT01TB</t>
  </si>
  <si>
    <r>
      <t>Ⓥ Vegan compatible</t>
    </r>
    <r>
      <rPr>
        <sz val="8"/>
        <color theme="1"/>
        <rFont val="Noto Sans"/>
        <family val="2"/>
      </rPr>
      <t>; modest SO2</t>
    </r>
  </si>
  <si>
    <t>14PICHOT08TB</t>
  </si>
  <si>
    <r>
      <t>CORE WINES:</t>
    </r>
    <r>
      <rPr>
        <sz val="8"/>
        <color theme="1" tint="0.14999847407452621"/>
        <rFont val="Noto Sans"/>
        <family val="2"/>
      </rPr>
      <t xml:space="preserve"> (mostly on clay-limestone)</t>
    </r>
  </si>
  <si>
    <t>24PICHOT02</t>
  </si>
  <si>
    <r>
      <rPr>
        <b/>
        <sz val="7"/>
        <color theme="1" tint="0.499984740745262"/>
        <rFont val="Noto Sans"/>
        <family val="2"/>
      </rPr>
      <t>Coteau de la Biche:</t>
    </r>
    <r>
      <rPr>
        <sz val="7"/>
        <color theme="1" tint="0.499984740745262"/>
        <rFont val="Noto Sans"/>
        <family val="2"/>
      </rPr>
      <t xml:space="preserve"> 6ha in vallée de Nouys on</t>
    </r>
  </si>
  <si>
    <t>OFF-DRY VOUVRAY:</t>
  </si>
  <si>
    <t>silex terroir; makes Sec. 15-30yr vines</t>
  </si>
  <si>
    <t>24PICHOT03</t>
  </si>
  <si>
    <r>
      <t xml:space="preserve">Clos Cartaud: </t>
    </r>
    <r>
      <rPr>
        <sz val="7"/>
        <color theme="1" tint="0.499984740745262"/>
        <rFont val="Noto Sans"/>
        <family val="2"/>
      </rPr>
      <t>2ha 40-70yr vines for Sec</t>
    </r>
  </si>
  <si>
    <t>20PICHOT02RT</t>
  </si>
  <si>
    <t xml:space="preserve">(by Chidaine's Clos Baudoin) with 3-5g/l sugars </t>
  </si>
  <si>
    <t>20PICHOT01</t>
  </si>
  <si>
    <r>
      <rPr>
        <b/>
        <sz val="7"/>
        <color theme="1" tint="0.499984740745262"/>
        <rFont val="Noto Sans"/>
        <family val="2"/>
      </rPr>
      <t>Peu de la Moriette:</t>
    </r>
    <r>
      <rPr>
        <sz val="7"/>
        <color theme="1" tint="0.499984740745262"/>
        <rFont val="Noto Sans"/>
        <family val="2"/>
      </rPr>
      <t xml:space="preserve"> 10ha, makes Demi-Sec</t>
    </r>
  </si>
  <si>
    <t>14PICHOT02TB</t>
  </si>
  <si>
    <t>25-60yr vines, 20% cask ferment. 21-24g/l sugars</t>
  </si>
  <si>
    <t>SWEET VOUVRAY:</t>
  </si>
  <si>
    <r>
      <rPr>
        <b/>
        <sz val="7"/>
        <color theme="1" tint="0.499984740745262"/>
        <rFont val="Noto Sans"/>
        <family val="2"/>
      </rPr>
      <t>Clos Berger:</t>
    </r>
    <r>
      <rPr>
        <sz val="7"/>
        <color theme="1" tint="0.499984740745262"/>
        <rFont val="Noto Sans"/>
        <family val="2"/>
      </rPr>
      <t xml:space="preserve"> 1ha 25-30yr vines makes Demi-Sec</t>
    </r>
  </si>
  <si>
    <t>24PICHOT04</t>
  </si>
  <si>
    <r>
      <rPr>
        <b/>
        <sz val="7"/>
        <color theme="1" tint="0.499984740745262"/>
        <rFont val="Noto Sans"/>
        <family val="2"/>
      </rPr>
      <t>Le Marigny:</t>
    </r>
    <r>
      <rPr>
        <sz val="7"/>
        <color theme="1" tint="0.499984740745262"/>
        <rFont val="Noto Sans"/>
        <family val="2"/>
      </rPr>
      <t xml:space="preserve"> 8ha monopole (by Huet's Clos du Bourg)</t>
    </r>
  </si>
  <si>
    <t>20PICHOT06</t>
  </si>
  <si>
    <t>makes Moelleux. 20-70yr vines. 50% on silex</t>
  </si>
  <si>
    <t>20PICHOT05</t>
  </si>
  <si>
    <t>only 30-70cms topsoil. ~70g/l sugars</t>
  </si>
  <si>
    <t>14PICHOT06TB</t>
  </si>
  <si>
    <r>
      <rPr>
        <b/>
        <sz val="7"/>
        <color theme="1" tint="0.499984740745262"/>
        <rFont val="Noto Sans"/>
        <family val="2"/>
      </rPr>
      <t>Clos Mathurnin:</t>
    </r>
    <r>
      <rPr>
        <sz val="7"/>
        <color theme="1" tint="0.499984740745262"/>
        <rFont val="Noto Sans"/>
        <family val="2"/>
      </rPr>
      <t xml:space="preserve"> 2ha 15yrs, for sparkling wine </t>
    </r>
  </si>
  <si>
    <r>
      <rPr>
        <b/>
        <sz val="7"/>
        <color theme="1" tint="0.499984740745262"/>
        <rFont val="Noto Sans"/>
        <family val="2"/>
      </rPr>
      <t>Electron Libre:</t>
    </r>
    <r>
      <rPr>
        <sz val="7"/>
        <color theme="1" tint="0.499984740745262"/>
        <rFont val="Noto Sans"/>
        <family val="2"/>
      </rPr>
      <t xml:space="preserve"> selection from the estate, fermented</t>
    </r>
  </si>
  <si>
    <t>and raised 1yr in 300L casks. 1st made 2020</t>
  </si>
  <si>
    <t>2020 certified sustainable HVE level 3</t>
  </si>
  <si>
    <t>2016 Clos Cartaud &amp; Clos Berger purchased</t>
  </si>
  <si>
    <t>2014 inter-row cleaning tractor starts</t>
  </si>
  <si>
    <t>1998 - 2015 additions of new cellar equipment</t>
  </si>
  <si>
    <t>2010 Caroline Pichot creates new tasting room</t>
  </si>
  <si>
    <t>1997 new winery constructed at Coteau de La Biche</t>
  </si>
  <si>
    <t>1996 modern Domaine Pichot formed uniting terroirs</t>
  </si>
  <si>
    <t>1984 Christophe Pichot buys 8ha Le Marigny</t>
  </si>
  <si>
    <t>1957 JC Pichot buys house &amp; 10ha Peu de la Moriette</t>
  </si>
  <si>
    <t>1935 Gerard Pichot marries in; now 6ha</t>
  </si>
  <si>
    <t>1770 1st vineyards, 3ha Coteau de La Biche</t>
  </si>
  <si>
    <t>2010 Wine Spectator Top 100: Sec 2008</t>
  </si>
  <si>
    <t>1991 1st entry Wine Spectator Top 100: Sec 1989</t>
  </si>
  <si>
    <t>Domaine-Pichot.com</t>
  </si>
  <si>
    <t>GROWER CODE: PICHOT</t>
  </si>
  <si>
    <t>(fiche made with Famille Pichot, 2020)</t>
  </si>
  <si>
    <t>NB NEUILLY 2005 &amp; SOLEAU 2007 ARE COMING BACK INTO STOCK, AUTUMN 2024</t>
  </si>
  <si>
    <t>KIND WORDS ON SPELTY:</t>
  </si>
  <si>
    <r>
      <rPr>
        <b/>
        <sz val="7"/>
        <color theme="1" tint="0.499984740745262"/>
        <rFont val="Noto Sans"/>
        <family val="2"/>
      </rPr>
      <t>Guide Hachette, 2016</t>
    </r>
    <r>
      <rPr>
        <sz val="7"/>
        <color theme="1" tint="0.499984740745262"/>
        <rFont val="Noto Sans"/>
        <family val="2"/>
      </rPr>
      <t xml:space="preserve"> 'une addresse tres recommendable'</t>
    </r>
  </si>
  <si>
    <r>
      <rPr>
        <b/>
        <sz val="7"/>
        <color theme="1" tint="0.499984740745262"/>
        <rFont val="Noto Sans"/>
        <family val="2"/>
      </rPr>
      <t>RVF, 2014</t>
    </r>
    <r>
      <rPr>
        <sz val="7"/>
        <color theme="1" tint="0.499984740745262"/>
        <rFont val="Noto Sans"/>
        <family val="2"/>
      </rPr>
      <t xml:space="preserve"> 'Depuis quelques temps, une génération de jeunes vignerons ambitieux (e.g. Johann Spelty...), élevée aux côtés des</t>
    </r>
  </si>
  <si>
    <t>domaines de référence (Bernard Baudry, Charles Joguet, Philippe Alliet...), sonne le réveil de l'appellation.'</t>
  </si>
  <si>
    <t>RVF - TOP 30 LOIRE CABERNET FRANC GROWER</t>
  </si>
  <si>
    <t>SPELTY, Johann</t>
  </si>
  <si>
    <t>CHINON BLANC:</t>
  </si>
  <si>
    <t>CAROI PORTIER, Dom.du</t>
  </si>
  <si>
    <t>21SPELTY11</t>
  </si>
  <si>
    <r>
      <t>Chinon. 15ha. 5</t>
    </r>
    <r>
      <rPr>
        <vertAlign val="superscript"/>
        <sz val="8"/>
        <color theme="1" tint="0.14999847407452621"/>
        <rFont val="Noto Sans"/>
        <family val="2"/>
      </rPr>
      <t>th</t>
    </r>
    <r>
      <rPr>
        <sz val="8"/>
        <color theme="1" tint="0.14999847407452621"/>
        <rFont val="Noto Sans"/>
        <family val="2"/>
      </rPr>
      <t xml:space="preserve"> gen.</t>
    </r>
  </si>
  <si>
    <t>CHINON:</t>
  </si>
  <si>
    <t>21SPELTY10</t>
  </si>
  <si>
    <t>hand harvest; ambient yeast; elevage in</t>
  </si>
  <si>
    <t>CHINON EN MAGNUM:</t>
  </si>
  <si>
    <t>used 600L demi-muids, or cement cuves</t>
  </si>
  <si>
    <t>21SPELTY04MG</t>
  </si>
  <si>
    <r>
      <rPr>
        <sz val="8"/>
        <color theme="1" tint="0.14999847407452621"/>
        <rFont val="Noto Sans"/>
        <family val="2"/>
      </rPr>
      <t>unfined;</t>
    </r>
    <r>
      <rPr>
        <b/>
        <sz val="8"/>
        <color rgb="FF00B050"/>
        <rFont val="Noto Sans"/>
        <family val="2"/>
      </rPr>
      <t xml:space="preserve"> Ⓥ Vegan compatible</t>
    </r>
  </si>
  <si>
    <t>21SPELTY03MG</t>
  </si>
  <si>
    <t>KEY WINES &amp; VINEYARDS:</t>
  </si>
  <si>
    <t>21SPELTY06MG</t>
  </si>
  <si>
    <r>
      <rPr>
        <b/>
        <sz val="8"/>
        <color theme="1" tint="0.499984740745262"/>
        <rFont val="Noto Sans"/>
        <family val="2"/>
      </rPr>
      <t>Les Folies</t>
    </r>
    <r>
      <rPr>
        <sz val="8"/>
        <color theme="1" tint="0.499984740745262"/>
        <rFont val="Noto Sans"/>
        <family val="2"/>
      </rPr>
      <t>:</t>
    </r>
    <r>
      <rPr>
        <sz val="7"/>
        <color theme="1" tint="0.499984740745262"/>
        <rFont val="Noto Sans"/>
        <family val="2"/>
      </rPr>
      <t xml:space="preserve"> ~40yr vines, primeur, 'just-ripe' style</t>
    </r>
  </si>
  <si>
    <t>21SPELTY07MG</t>
  </si>
  <si>
    <r>
      <rPr>
        <b/>
        <sz val="8"/>
        <color theme="1" tint="0.499984740745262"/>
        <rFont val="Noto Sans"/>
        <family val="2"/>
      </rPr>
      <t>Les Graviers</t>
    </r>
    <r>
      <rPr>
        <sz val="7"/>
        <color theme="1" tint="0.499984740745262"/>
        <rFont val="Noto Sans"/>
        <family val="2"/>
      </rPr>
      <t xml:space="preserve">: 40-50yr vines on clay soils with </t>
    </r>
  </si>
  <si>
    <t>21SPELTY05MG</t>
  </si>
  <si>
    <t xml:space="preserve">silex and gravels. Raised in tank. </t>
  </si>
  <si>
    <r>
      <rPr>
        <b/>
        <sz val="8"/>
        <color theme="1" tint="0.499984740745262"/>
        <rFont val="Noto Sans"/>
        <family val="2"/>
      </rPr>
      <t>Clos de Neuilly:</t>
    </r>
    <r>
      <rPr>
        <b/>
        <sz val="7"/>
        <color theme="1" tint="0.499984740745262"/>
        <rFont val="Noto Sans"/>
        <family val="2"/>
      </rPr>
      <t xml:space="preserve"> </t>
    </r>
    <r>
      <rPr>
        <sz val="7"/>
        <color theme="1" tint="0.499984740745262"/>
        <rFont val="Noto Sans"/>
        <family val="2"/>
      </rPr>
      <t xml:space="preserve">3ha vv </t>
    </r>
    <r>
      <rPr>
        <b/>
        <sz val="7"/>
        <color theme="1" tint="0.499984740745262"/>
        <rFont val="Noto Sans"/>
        <family val="2"/>
      </rPr>
      <t>monopole</t>
    </r>
    <r>
      <rPr>
        <sz val="7"/>
        <color theme="1" tint="0.499984740745262"/>
        <rFont val="Noto Sans"/>
        <family val="2"/>
      </rPr>
      <t xml:space="preserve"> planted in</t>
    </r>
  </si>
  <si>
    <t>1935 &amp; 1950s, on clay-limestone with gravels.</t>
  </si>
  <si>
    <r>
      <rPr>
        <b/>
        <sz val="8"/>
        <color theme="1" tint="0.499984740745262"/>
        <rFont val="Noto Sans"/>
        <family val="2"/>
      </rPr>
      <t>Eloge du Soleau</t>
    </r>
    <r>
      <rPr>
        <sz val="7"/>
        <color theme="1" tint="0.499984740745262"/>
        <rFont val="Noto Sans"/>
        <family val="2"/>
      </rPr>
      <t>: 1.3ha vv mostly planted 1930</t>
    </r>
  </si>
  <si>
    <t>in lieu-dit Soleau, on the Chinon plateau over silex-</t>
  </si>
  <si>
    <t>rich clay terroir. Not made every year</t>
  </si>
  <si>
    <t>2024 Johann passes away</t>
  </si>
  <si>
    <t>2019 vines pass to cousin Alexandre of Belloniere</t>
  </si>
  <si>
    <t>2019 Johann diagnosed with motor neurone disease</t>
  </si>
  <si>
    <t>2011 in formal conversion to organics</t>
  </si>
  <si>
    <t>2011 Spelty starts to work with Raeburn Fine Wines</t>
  </si>
  <si>
    <t>2007 Johann takes over from his father</t>
  </si>
  <si>
    <t>DomaineJohannSpelty.com</t>
  </si>
  <si>
    <t>GROWER CODE: SPELTY</t>
  </si>
  <si>
    <t>France, Lower Loire</t>
  </si>
  <si>
    <r>
      <t xml:space="preserve">NB BONNET-BLANCS IS </t>
    </r>
    <r>
      <rPr>
        <b/>
        <i/>
        <sz val="8"/>
        <color theme="1" tint="0.14999847407452621"/>
        <rFont val="Noto Sans"/>
        <family val="2"/>
      </rPr>
      <t>ONLY</t>
    </r>
    <r>
      <rPr>
        <b/>
        <sz val="8"/>
        <color theme="1" tint="0.14999847407452621"/>
        <rFont val="Noto Sans"/>
        <family val="2"/>
      </rPr>
      <t xml:space="preserve"> IN THE VAULTS, EDINBURGH FOR SCOTLAND ONLY</t>
    </r>
  </si>
  <si>
    <t>BONNET-HUTEAU</t>
  </si>
  <si>
    <t>23BHUTEAU04</t>
  </si>
  <si>
    <t>Chateau de La Tarcière, Muscadet 40ha</t>
  </si>
  <si>
    <t>23BHUTEAU02</t>
  </si>
  <si>
    <r>
      <t>Jean-Jacques &amp; Remi Bonnet, 4</t>
    </r>
    <r>
      <rPr>
        <vertAlign val="superscript"/>
        <sz val="8"/>
        <color theme="1" tint="0.14999847407452621"/>
        <rFont val="Noto Sans"/>
        <family val="2"/>
      </rPr>
      <t>th</t>
    </r>
    <r>
      <rPr>
        <sz val="8"/>
        <color theme="1" tint="0.14999847407452621"/>
        <rFont val="Noto Sans"/>
        <family val="2"/>
      </rPr>
      <t xml:space="preserve"> gen.</t>
    </r>
  </si>
  <si>
    <t>23BHUTEAU03</t>
  </si>
  <si>
    <r>
      <rPr>
        <b/>
        <sz val="8"/>
        <color rgb="FF00B050"/>
        <rFont val="Noto Sans"/>
        <family val="2"/>
      </rPr>
      <t>Organic certified 2005 AB</t>
    </r>
    <r>
      <rPr>
        <sz val="8"/>
        <color theme="1" tint="0.14999847407452621"/>
        <rFont val="Noto Sans"/>
        <family val="2"/>
      </rPr>
      <t>; hand harvest</t>
    </r>
  </si>
  <si>
    <t>Biodynamic certified Biodyvin</t>
  </si>
  <si>
    <t>ambient yeast; all wines are sur-lie</t>
  </si>
  <si>
    <t>THESE CUVÉES:</t>
  </si>
  <si>
    <r>
      <t>BB:</t>
    </r>
    <r>
      <rPr>
        <sz val="7"/>
        <color theme="1" tint="0.499984740745262"/>
        <rFont val="Noto Sans"/>
        <family val="2"/>
      </rPr>
      <t xml:space="preserve"> shallow soil, on micaschiste and gneiss</t>
    </r>
  </si>
  <si>
    <r>
      <t>Gautronnieres:</t>
    </r>
    <r>
      <rPr>
        <sz val="7"/>
        <color theme="1" tint="0.499984740745262"/>
        <rFont val="Noto Sans"/>
        <family val="2"/>
      </rPr>
      <t xml:space="preserve"> on green stones and amphibolites</t>
    </r>
  </si>
  <si>
    <r>
      <t>Goulaine:</t>
    </r>
    <r>
      <rPr>
        <sz val="7"/>
        <color theme="1" tint="0.499984740745262"/>
        <rFont val="Noto Sans"/>
        <family val="2"/>
      </rPr>
      <t xml:space="preserve"> shallow soil, on schist and serpentinite</t>
    </r>
  </si>
  <si>
    <t>rock, 24mths on the lees</t>
  </si>
  <si>
    <t>Wine Enthusiast Top 100 Best Buys, 2015</t>
  </si>
  <si>
    <t>Bonnet-Huteau.com</t>
  </si>
  <si>
    <t>GROWER CODE: BHUTEAU</t>
  </si>
  <si>
    <t>France, Rhône - North</t>
  </si>
  <si>
    <t>THIERRY ALLEMAND</t>
  </si>
  <si>
    <t>usually sell out upon release</t>
  </si>
  <si>
    <t>DOMAINE J.L. CHAVE</t>
  </si>
  <si>
    <t>YVES GANGLOFF</t>
  </si>
  <si>
    <t>DOMAINE OGIER</t>
  </si>
  <si>
    <t>Cote Rotie crus - usually sell out upon release</t>
  </si>
  <si>
    <t>20ALLEMAND01</t>
  </si>
  <si>
    <t>Cornas, ~5ha. RVF 1* estate</t>
  </si>
  <si>
    <t>20ALLEMAND02</t>
  </si>
  <si>
    <t>founded 1982; first bottled 1990?</t>
  </si>
  <si>
    <t>full time since c.1997</t>
  </si>
  <si>
    <r>
      <t xml:space="preserve">some BD practices, </t>
    </r>
    <r>
      <rPr>
        <b/>
        <sz val="8"/>
        <color rgb="FF00B050"/>
        <rFont val="Noto Sans"/>
        <family val="2"/>
      </rPr>
      <t>no certification</t>
    </r>
  </si>
  <si>
    <t>ambient yeast; low/no SO2</t>
  </si>
  <si>
    <t>unfiltered; may fine lightly</t>
  </si>
  <si>
    <t>GROWER CODE: ALLEMAND</t>
  </si>
  <si>
    <r>
      <rPr>
        <b/>
        <sz val="7"/>
        <color theme="1" tint="0.499984740745262"/>
        <rFont val="Noto Sans"/>
        <family val="2"/>
      </rPr>
      <t>IMW</t>
    </r>
    <r>
      <rPr>
        <sz val="7"/>
        <color theme="1" tint="0.499984740745262"/>
        <rFont val="Noto Sans"/>
        <family val="2"/>
      </rPr>
      <t xml:space="preserve"> 'Winemakers' Winemaker of The Year 2022'</t>
    </r>
  </si>
  <si>
    <r>
      <rPr>
        <b/>
        <sz val="7"/>
        <color theme="1" tint="0.499984740745262"/>
        <rFont val="Noto Sans"/>
        <family val="2"/>
      </rPr>
      <t xml:space="preserve">J.Reynolds, Vinous 2018 </t>
    </r>
    <r>
      <rPr>
        <sz val="7"/>
        <color theme="1" tint="0.499984740745262"/>
        <rFont val="Noto Sans"/>
        <family val="2"/>
      </rPr>
      <t>'these continue to be among France’s vinous gems'</t>
    </r>
  </si>
  <si>
    <t>WHITE NORTH RHONE:</t>
  </si>
  <si>
    <t>J.L. CHAVE SELECTION</t>
  </si>
  <si>
    <t>22CHAVESL05</t>
  </si>
  <si>
    <t>Jean-Louis &amp; Erin Chave's 2nd label</t>
  </si>
  <si>
    <t>21CHAVESL05</t>
  </si>
  <si>
    <t>all or largely Domaine J.L.Chave fruit</t>
  </si>
  <si>
    <t>20CHAVESL06</t>
  </si>
  <si>
    <r>
      <rPr>
        <b/>
        <sz val="8"/>
        <color rgb="FF00B050"/>
        <rFont val="Noto Sans"/>
        <family val="2"/>
      </rPr>
      <t>no certification</t>
    </r>
    <r>
      <rPr>
        <sz val="8"/>
        <color theme="1" tint="0.14999847407452621"/>
        <rFont val="Noto Sans"/>
        <family val="2"/>
      </rPr>
      <t xml:space="preserve"> for estate fruit</t>
    </r>
  </si>
  <si>
    <t>19CHAVESL05</t>
  </si>
  <si>
    <t>SOME KEY WINES:</t>
  </si>
  <si>
    <t>22CHAVESL03</t>
  </si>
  <si>
    <r>
      <rPr>
        <b/>
        <sz val="7"/>
        <color theme="1" tint="0.499984740745262"/>
        <rFont val="Noto Sans"/>
        <family val="2"/>
      </rPr>
      <t>St.Joseph Circa Blanc:</t>
    </r>
    <r>
      <rPr>
        <sz val="7"/>
        <color theme="1" tint="0.499984740745262"/>
        <rFont val="Noto Sans"/>
        <family val="2"/>
      </rPr>
      <t xml:space="preserve"> 90-100% roussanne,</t>
    </r>
  </si>
  <si>
    <t>21CHAVESL03</t>
  </si>
  <si>
    <t>10-60yr vines on granite. 1st made 2009 ('Celeste')</t>
  </si>
  <si>
    <t>20CHAVESL04</t>
  </si>
  <si>
    <r>
      <rPr>
        <b/>
        <sz val="7"/>
        <color theme="1" tint="0.499984740745262"/>
        <rFont val="Noto Sans"/>
        <family val="2"/>
      </rPr>
      <t>CDR Mon Couer:</t>
    </r>
    <r>
      <rPr>
        <sz val="7"/>
        <color theme="1" tint="0.499984740745262"/>
        <rFont val="Noto Sans"/>
        <family val="2"/>
      </rPr>
      <t xml:space="preserve"> all bought in fruit. Mostly</t>
    </r>
  </si>
  <si>
    <t>grenache syrah, especially from Vinsobres</t>
  </si>
  <si>
    <t>22CHAVESL07</t>
  </si>
  <si>
    <t>often in Wine Spectator Top 100 WOTY</t>
  </si>
  <si>
    <t>21CHAVESL07</t>
  </si>
  <si>
    <r>
      <rPr>
        <b/>
        <sz val="7"/>
        <color theme="1" tint="0.499984740745262"/>
        <rFont val="Noto Sans"/>
        <family val="2"/>
      </rPr>
      <t>St.Joseph Rouge Offerus:</t>
    </r>
    <r>
      <rPr>
        <sz val="7"/>
        <color theme="1" tint="0.499984740745262"/>
        <rFont val="Noto Sans"/>
        <family val="2"/>
      </rPr>
      <t xml:space="preserve"> young Domaine Chave</t>
    </r>
  </si>
  <si>
    <t>20CHAVESL08</t>
  </si>
  <si>
    <t>vines, bought in fruit. 1st made 1995</t>
  </si>
  <si>
    <t>RED SOUTH RHONE:</t>
  </si>
  <si>
    <t>B+D 5* estate</t>
  </si>
  <si>
    <t>22CHAVESL01</t>
  </si>
  <si>
    <t xml:space="preserve">instagram.com/jeanlouischave/ </t>
  </si>
  <si>
    <t>21CHAVESL01</t>
  </si>
  <si>
    <t>LEVI DALTON 'IDTT' INTERVIEW #352</t>
  </si>
  <si>
    <t>20CHAVESL01</t>
  </si>
  <si>
    <t>GROWER CODES: CHAVE / CHAVESL</t>
  </si>
  <si>
    <t>19CHAVESL01</t>
  </si>
  <si>
    <t>18CHAVE01</t>
  </si>
  <si>
    <t>17CHAVE05</t>
  </si>
  <si>
    <t>22CHAVESL01MG</t>
  </si>
  <si>
    <t>21CHAVESL01MG</t>
  </si>
  <si>
    <t>20CHAVESL01MG</t>
  </si>
  <si>
    <t>19CHAVESL01MG</t>
  </si>
  <si>
    <t>RED NORTH RHONE:</t>
  </si>
  <si>
    <t>22CHAVESL04</t>
  </si>
  <si>
    <t>21CHAVESL04</t>
  </si>
  <si>
    <t>20CHAVESL05</t>
  </si>
  <si>
    <t>19CHAVESL04</t>
  </si>
  <si>
    <t>22CHAVESL02</t>
  </si>
  <si>
    <t>21CHAVESL02</t>
  </si>
  <si>
    <t>20CHAVESL03</t>
  </si>
  <si>
    <t>20CHAVESL02</t>
  </si>
  <si>
    <t>19CHAVESL02</t>
  </si>
  <si>
    <t>17CHAVE06</t>
  </si>
  <si>
    <t>22CHAVESL06</t>
  </si>
  <si>
    <t>21CHAVESL06</t>
  </si>
  <si>
    <t>20CHAVESL07</t>
  </si>
  <si>
    <t>19CHAVED02</t>
  </si>
  <si>
    <t>Mauves. 'de Pere en Fils depuis 1481'</t>
  </si>
  <si>
    <t>21CHAVED03</t>
  </si>
  <si>
    <t>~30ha domaine: incl. St.Joseph, Crozes,</t>
  </si>
  <si>
    <t>19CHAVED04</t>
  </si>
  <si>
    <t>10ha Hermitage rge, 5ha Hermitage bl., etc.</t>
  </si>
  <si>
    <t>21CHAVED01</t>
  </si>
  <si>
    <t>in 9 of the 18 lieux dits. vineyard crew of 45</t>
  </si>
  <si>
    <r>
      <t>some BD elements,</t>
    </r>
    <r>
      <rPr>
        <b/>
        <sz val="8"/>
        <color rgb="FF00B050"/>
        <rFont val="Noto Sans"/>
        <family val="2"/>
      </rPr>
      <t xml:space="preserve"> no certification</t>
    </r>
  </si>
  <si>
    <t>CHAVE ON HERMITAGE BLANC:</t>
  </si>
  <si>
    <t>all massale selection; min 20yrs for Dom.</t>
  </si>
  <si>
    <t>JL Chave: 'White Hermitage is a unique wine'</t>
  </si>
  <si>
    <t>all ambient yeast; all wines unfiltered</t>
  </si>
  <si>
    <t>JL Chave: 'White Hermitage is for the (1st) main course.'</t>
  </si>
  <si>
    <t>HERMITAGE BLANC:</t>
  </si>
  <si>
    <t>JL Chave: 'White Hermitage should not be too cold'</t>
  </si>
  <si>
    <t>~60yr avg, non-granitic. 80-85% marsanne, plus</t>
  </si>
  <si>
    <t>JL Chave: 'White Hermitage should be carafed just before serving'</t>
  </si>
  <si>
    <t>15-20% roussanne. Spine is Les Roccoules &amp;</t>
  </si>
  <si>
    <t>JL Chave: 'White Hermitage is a wine of glycerol, suited to drinking with a meal.'</t>
  </si>
  <si>
    <t>Péléat monopole. Steel ferment; ambient yeast;</t>
  </si>
  <si>
    <r>
      <t xml:space="preserve">JL Chave: 'White Hermitage is </t>
    </r>
    <r>
      <rPr>
        <i/>
        <sz val="7"/>
        <color theme="1" tint="0.499984740745262"/>
        <rFont val="Noto Sans"/>
        <family val="2"/>
      </rPr>
      <t>the</t>
    </r>
    <r>
      <rPr>
        <sz val="7"/>
        <color theme="1" tint="0.499984740745262"/>
        <rFont val="Noto Sans"/>
        <family val="2"/>
      </rPr>
      <t xml:space="preserve"> grand vin' (of Hermitage)</t>
    </r>
  </si>
  <si>
    <t>old barrel elevage. C.1250cses per annum</t>
  </si>
  <si>
    <t>JL Chave: '(White Hermitage:) you can't disconnect it from food.'</t>
  </si>
  <si>
    <t>HERMITAGE ROUGE:</t>
  </si>
  <si>
    <t>JL Chave: 'In Hermitage, you can push things to the limit and still be OK'</t>
  </si>
  <si>
    <t>~50 avg syrah. Spine is 2ha of Bessards &amp; Le Méal</t>
  </si>
  <si>
    <t>CHAVE ON WINE:</t>
  </si>
  <si>
    <t xml:space="preserve">Cement &amp; old-wood ferment, ambient yeast, ~50% </t>
  </si>
  <si>
    <r>
      <t xml:space="preserve">JL Chave : </t>
    </r>
    <r>
      <rPr>
        <i/>
        <sz val="7"/>
        <color theme="1" tint="0.499984740745262"/>
        <rFont val="Noto Sans"/>
        <family val="2"/>
      </rPr>
      <t>'La finalité de vin, c'est la table.'</t>
    </r>
  </si>
  <si>
    <t>destemmed. 228-1300L barrels, max 10-15% new.</t>
  </si>
  <si>
    <t>JL Chave : 'Wine doesn't exist until it is drunk'</t>
  </si>
  <si>
    <t>C.2000cases per annum</t>
  </si>
  <si>
    <t>JL Chave : 'In wine we need to keep the truth.'</t>
  </si>
  <si>
    <t>TIMELINE OF ESTATE:</t>
  </si>
  <si>
    <r>
      <t xml:space="preserve">JL Chave: </t>
    </r>
    <r>
      <rPr>
        <i/>
        <sz val="7"/>
        <color theme="1" tint="0.499984740745262"/>
        <rFont val="Noto Sans"/>
        <family val="2"/>
      </rPr>
      <t>'Avec le temps, les choses se font'</t>
    </r>
  </si>
  <si>
    <t>2022 IMW Winemakers' Winemaker of The Year</t>
  </si>
  <si>
    <t>JL Chave: 'Time is a problem, right now'</t>
  </si>
  <si>
    <t>2014 cellar expanded with Les Compagnons</t>
  </si>
  <si>
    <t xml:space="preserve">JL Chave: 'What hasn't changed is the philosophy. The philosophy is not about the winemaking, it is about </t>
  </si>
  <si>
    <t>2009 St.Joseph Clos Florentin bought</t>
  </si>
  <si>
    <t>where the wine is from and trying to capture that.'</t>
  </si>
  <si>
    <t>2003 Jean-Louis marries Erin</t>
  </si>
  <si>
    <t>JL Chave: 'Why would anyone want to drink what is (supposedly) a grand vin, find it is skinny, not rich?'</t>
  </si>
  <si>
    <t>2002 Crozes parcel re-terraced and planted</t>
  </si>
  <si>
    <t>JL Chave: 'Even when it's extreme, the grands terroirs are still the grands terroirs.'</t>
  </si>
  <si>
    <t>2000 temperature control of cellar rooms installed</t>
  </si>
  <si>
    <t>CHAVE ON St.JOSEPH:</t>
  </si>
  <si>
    <t>1996 start of St.Joseph replanting scheme</t>
  </si>
  <si>
    <t>JL Chave: 'St.Joseph is the family’s spiritual home'</t>
  </si>
  <si>
    <t>1995 1st JL Chave Selection: St.Joseph offerus</t>
  </si>
  <si>
    <t>JL Chave: 'St.Joseph potential is huge.'</t>
  </si>
  <si>
    <t>1992 Jean-Louis joins, after UC Davis studies</t>
  </si>
  <si>
    <t>JL Chave: 'Saint-Joseph embraces what I love in wine: elegance through truth and simplicity.'</t>
  </si>
  <si>
    <t>1991 1st vintage with temperature control for reds</t>
  </si>
  <si>
    <t xml:space="preserve">JL Chave: 'In the early 1990s...I bolstered even further my idea of a true St.Joseph. I began planting (and replanting) </t>
  </si>
  <si>
    <t>1990 first cuvée Cathelin</t>
  </si>
  <si>
    <t xml:space="preserve">parcels that had fallen fallow in the wake of phylloxera and then two world wars. We have rebuilt walls and </t>
  </si>
  <si>
    <t>1981 Domaine de L'Ermite bought</t>
  </si>
  <si>
    <t>terraces stone by stone to plant &amp; nurture the vines carefully that now flourish'</t>
  </si>
  <si>
    <t>1970 Gérard Chave took over</t>
  </si>
  <si>
    <t xml:space="preserve">JL Chave: 'The (St.Joseph) granite gives the wine a clear-cut quality of tannin which is framed and well defined </t>
  </si>
  <si>
    <t>1968 son Jean-Louis Chave born, 16th generation</t>
  </si>
  <si>
    <t>by acidity and tightness. The fruit is fresh, crisp, vibrant and layered.'</t>
  </si>
  <si>
    <t>1956 St.Joseph appellation formed</t>
  </si>
  <si>
    <t>JL Chave: 'St.Joseph expresses purity and finesse to complement food rather than overpower it.</t>
  </si>
  <si>
    <t>1935 Gérard Chave born</t>
  </si>
  <si>
    <t xml:space="preserve">JL Chave: 'I am very interested in St.Joseph. But the problem as it stands now is that St.Joseph means nothing as </t>
  </si>
  <si>
    <t>1890s Chaves start to farm at Hermitage</t>
  </si>
  <si>
    <t>an appellation. An appellation is something coherent.'</t>
  </si>
  <si>
    <t>1865 phylloxera hit the North Rhone</t>
  </si>
  <si>
    <t>JL Chave: 'We are lucky. Our Hermitage sponsors our work in St.Joseph.'</t>
  </si>
  <si>
    <t>1481 Chaves started at Mauves (now St.Joseph)</t>
  </si>
  <si>
    <t>2017 Jane Anson's Top 10 WOTY - St.Jo. Rge 2011</t>
  </si>
  <si>
    <t>2016 IWR Top 100 WOTY - Hermitage 2013</t>
  </si>
  <si>
    <t>2005 Robert Parker's World Top Wine Estates</t>
  </si>
  <si>
    <t>1994 1st entry in Wine Spectator Top 100</t>
  </si>
  <si>
    <t>Domaine is often in Wine Spectator Top 100</t>
  </si>
  <si>
    <t>GROWER CODES: CHAVE / CHAVED</t>
  </si>
  <si>
    <t>CUCHET-BELIANDO</t>
  </si>
  <si>
    <t>23CCUCHET01</t>
  </si>
  <si>
    <t>Cornas. Catherine Cuchet-Beliando</t>
  </si>
  <si>
    <t>22CCUCHET02VDP</t>
  </si>
  <si>
    <t>3.5ha terraces at Chaillot</t>
  </si>
  <si>
    <t>22CCUCHET03VDP</t>
  </si>
  <si>
    <t>Whole-bunch. 2yrs in old casks</t>
  </si>
  <si>
    <t>GROWER CODE: CCUCHET</t>
  </si>
  <si>
    <t>KIND WORDS ON TARDIEU:</t>
  </si>
  <si>
    <r>
      <rPr>
        <b/>
        <sz val="7"/>
        <color theme="1" tint="0.499984740745262"/>
        <rFont val="Noto Sans"/>
        <family val="2"/>
      </rPr>
      <t>J.Robinson MW, 2018</t>
    </r>
    <r>
      <rPr>
        <sz val="7"/>
        <color theme="1" tint="0.499984740745262"/>
        <rFont val="Noto Sans"/>
        <family val="2"/>
      </rPr>
      <t xml:space="preserve"> 'Tardieu-Laurent 2017s – rare jewels'</t>
    </r>
  </si>
  <si>
    <r>
      <rPr>
        <b/>
        <sz val="7"/>
        <color theme="1" tint="0.499984740745262"/>
        <rFont val="Noto Sans"/>
        <family val="2"/>
      </rPr>
      <t>J.Robinson MW, 2014</t>
    </r>
    <r>
      <rPr>
        <sz val="7"/>
        <color theme="1" tint="0.499984740745262"/>
        <rFont val="Noto Sans"/>
        <family val="2"/>
      </rPr>
      <t xml:space="preserve"> 'an exceptional négociant operation'</t>
    </r>
  </si>
  <si>
    <r>
      <rPr>
        <b/>
        <sz val="7"/>
        <color theme="1" tint="0.499984740745262"/>
        <rFont val="Noto Sans"/>
        <family val="2"/>
      </rPr>
      <t>J.Robinson MW, 2006</t>
    </r>
    <r>
      <rPr>
        <sz val="7"/>
        <color theme="1" tint="0.499984740745262"/>
        <rFont val="Noto Sans"/>
        <family val="2"/>
      </rPr>
      <t xml:space="preserve"> 'a very exciting range...one has to take one's hat off to Michel Tardieu'</t>
    </r>
  </si>
  <si>
    <r>
      <rPr>
        <b/>
        <sz val="7"/>
        <color theme="1" tint="0.499984740745262"/>
        <rFont val="Noto Sans"/>
        <family val="2"/>
      </rPr>
      <t>J.Dunnuck, TWA 2016</t>
    </r>
    <r>
      <rPr>
        <sz val="7"/>
        <color theme="1" tint="0.499984740745262"/>
        <rFont val="Noto Sans"/>
        <family val="2"/>
      </rPr>
      <t xml:space="preserve"> 'these 2015s are hold on to your hat good!'</t>
    </r>
  </si>
  <si>
    <r>
      <rPr>
        <b/>
        <sz val="7"/>
        <color theme="1" tint="0.499984740745262"/>
        <rFont val="Noto Sans"/>
        <family val="2"/>
      </rPr>
      <t>J.Dunnuck, TWA 2016</t>
    </r>
    <r>
      <rPr>
        <sz val="7"/>
        <color theme="1" tint="0.499984740745262"/>
        <rFont val="Noto Sans"/>
        <family val="2"/>
      </rPr>
      <t xml:space="preserve"> '2015s from Michel Tardieu are all noteworthy, which should surprise no one who’s familiar with Michel’s wines.'</t>
    </r>
  </si>
  <si>
    <r>
      <rPr>
        <b/>
        <sz val="7"/>
        <color theme="1" tint="0.499984740745262"/>
        <rFont val="Noto Sans"/>
        <family val="2"/>
      </rPr>
      <t>J.Dunnuck, TWA 2014</t>
    </r>
    <r>
      <rPr>
        <sz val="7"/>
        <color theme="1" tint="0.499984740745262"/>
        <rFont val="Noto Sans"/>
        <family val="2"/>
      </rPr>
      <t xml:space="preserve"> 'incredibly strong set of 2013s... The wines break the vintage stereotype, have fantastic richness, sweet tannin.'</t>
    </r>
  </si>
  <si>
    <r>
      <rPr>
        <b/>
        <sz val="7"/>
        <color theme="1" tint="0.499984740745262"/>
        <rFont val="Noto Sans"/>
        <family val="2"/>
      </rPr>
      <t>J.Dunnuck, TWA 2016</t>
    </r>
    <r>
      <rPr>
        <sz val="7"/>
        <color theme="1" tint="0.499984740745262"/>
        <rFont val="Noto Sans"/>
        <family val="2"/>
      </rPr>
      <t xml:space="preserve"> 'These are all brought up in barrels (some new), but the oak is rarely noticeable, and these wines show beautiful typicity.'</t>
    </r>
  </si>
  <si>
    <r>
      <rPr>
        <b/>
        <sz val="7"/>
        <color theme="1" tint="0.499984740745262"/>
        <rFont val="Noto Sans"/>
        <family val="2"/>
      </rPr>
      <t>J.Dunnuck, TWA 2015</t>
    </r>
    <r>
      <rPr>
        <sz val="7"/>
        <color theme="1" tint="0.499984740745262"/>
        <rFont val="Noto Sans"/>
        <family val="2"/>
      </rPr>
      <t xml:space="preserve"> 'a relatively modern style of wine that never lacks for fruit, texture or personality'</t>
    </r>
  </si>
  <si>
    <r>
      <rPr>
        <b/>
        <sz val="7"/>
        <color theme="1" tint="0.499984740745262"/>
        <rFont val="Noto Sans"/>
        <family val="2"/>
      </rPr>
      <t>J.Dunnuck, TWA 2013</t>
    </r>
    <r>
      <rPr>
        <sz val="7"/>
        <color theme="1" tint="0.499984740745262"/>
        <rFont val="Noto Sans"/>
        <family val="2"/>
      </rPr>
      <t xml:space="preserve"> 'a bevy of high-class efforts from throughout the entire Rhone Valley'</t>
    </r>
  </si>
  <si>
    <r>
      <rPr>
        <b/>
        <sz val="7"/>
        <color theme="1" tint="0.499984740745262"/>
        <rFont val="Noto Sans"/>
        <family val="2"/>
      </rPr>
      <t>R.Parker, TWA 2008</t>
    </r>
    <r>
      <rPr>
        <sz val="7"/>
        <color theme="1" tint="0.499984740745262"/>
        <rFont val="Noto Sans"/>
        <family val="2"/>
      </rPr>
      <t xml:space="preserve"> 'high-quality negociant operation...continues to turn out high-class wines'</t>
    </r>
  </si>
  <si>
    <r>
      <rPr>
        <b/>
        <sz val="7"/>
        <color theme="1" tint="0.499984740745262"/>
        <rFont val="Noto Sans"/>
        <family val="2"/>
      </rPr>
      <t>R.Parker, TWA 2007</t>
    </r>
    <r>
      <rPr>
        <sz val="7"/>
        <color theme="1" tint="0.499984740745262"/>
        <rFont val="Noto Sans"/>
        <family val="2"/>
      </rPr>
      <t xml:space="preserve"> 'has exceptional knowledge about some of the finest vineyards and grape sources in both the northern and southern Rhone...'</t>
    </r>
  </si>
  <si>
    <r>
      <rPr>
        <b/>
        <sz val="7"/>
        <color theme="1" tint="0.499984740745262"/>
        <rFont val="Noto Sans"/>
        <family val="2"/>
      </rPr>
      <t>R.Parker, TWA 2003</t>
    </r>
    <r>
      <rPr>
        <sz val="7"/>
        <color theme="1" tint="0.499984740745262"/>
        <rFont val="Noto Sans"/>
        <family val="2"/>
      </rPr>
      <t xml:space="preserve"> 'the most exciting negociant offerings of the southern Rhone... Bottom line...this is an extraordinary source of top quality wines.'
</t>
    </r>
  </si>
  <si>
    <r>
      <rPr>
        <b/>
        <sz val="7"/>
        <color theme="1" tint="0.499984740745262"/>
        <rFont val="Noto Sans"/>
        <family val="2"/>
      </rPr>
      <t>R.Parker, TWA 2003 '</t>
    </r>
    <r>
      <rPr>
        <sz val="7"/>
        <color theme="1" tint="0.499984740745262"/>
        <rFont val="Noto Sans"/>
        <family val="2"/>
      </rPr>
      <t>The wines are made according to minimalist theories... old vines and tiny yields. Sulphur additions are minimal. There is no</t>
    </r>
  </si>
  <si>
    <t>racking of the wines, and bottling is accomplished without fining or filtration. This is what is called "reductive winemaking"</t>
  </si>
  <si>
    <r>
      <rPr>
        <b/>
        <sz val="7"/>
        <color theme="1" tint="0.499984740745262"/>
        <rFont val="Noto Sans"/>
        <family val="2"/>
      </rPr>
      <t>R.Parker, TWA 2003</t>
    </r>
    <r>
      <rPr>
        <sz val="7"/>
        <color theme="1" tint="0.499984740745262"/>
        <rFont val="Noto Sans"/>
        <family val="2"/>
      </rPr>
      <t xml:space="preserve"> 'these brilliant efforts capture the essence of their particular appellations'
</t>
    </r>
  </si>
  <si>
    <t>NB RAEBURN WINES ARE OFFICIAL JOINT UK AGENTS</t>
  </si>
  <si>
    <r>
      <t xml:space="preserve">FAMILLE TARDIEU, </t>
    </r>
    <r>
      <rPr>
        <b/>
        <sz val="10"/>
        <color theme="1" tint="0.14999847407452621"/>
        <rFont val="Noto Sans"/>
        <family val="2"/>
      </rPr>
      <t>by</t>
    </r>
  </si>
  <si>
    <t>CROZES VV BLANC:</t>
  </si>
  <si>
    <r>
      <t>Bastien</t>
    </r>
    <r>
      <rPr>
        <sz val="10"/>
        <color theme="1" tint="0.14999847407452621"/>
        <rFont val="Noto Sans"/>
        <family val="2"/>
      </rPr>
      <t xml:space="preserve"> </t>
    </r>
    <r>
      <rPr>
        <b/>
        <sz val="10"/>
        <color theme="1" tint="0.14999847407452621"/>
        <rFont val="Noto Sans"/>
        <family val="2"/>
      </rPr>
      <t>&amp;</t>
    </r>
    <r>
      <rPr>
        <sz val="10"/>
        <color theme="1" tint="0.14999847407452621"/>
        <rFont val="Noto Sans"/>
        <family val="2"/>
      </rPr>
      <t xml:space="preserve"> </t>
    </r>
    <r>
      <rPr>
        <sz val="11"/>
        <color theme="1" tint="0.14999847407452621"/>
        <rFont val="Noto Sans"/>
        <family val="2"/>
      </rPr>
      <t>Camille Tardieu</t>
    </r>
  </si>
  <si>
    <t>22LAURENT02</t>
  </si>
  <si>
    <t>North Rhône range</t>
  </si>
  <si>
    <t>21LAURENT04</t>
  </si>
  <si>
    <r>
      <t>Lourmarin, Luberon. '</t>
    </r>
    <r>
      <rPr>
        <b/>
        <i/>
        <sz val="8"/>
        <color theme="1" tint="0.14999847407452621"/>
        <rFont val="Noto Sans"/>
        <family val="2"/>
      </rPr>
      <t>Haute négoce</t>
    </r>
    <r>
      <rPr>
        <b/>
        <sz val="8"/>
        <color theme="1" tint="0.14999847407452621"/>
        <rFont val="Noto Sans"/>
        <family val="2"/>
      </rPr>
      <t>'</t>
    </r>
  </si>
  <si>
    <t>20LAURENT02</t>
  </si>
  <si>
    <t>19LAURENT04</t>
  </si>
  <si>
    <t>PRODUCTION: Bastien Tardieu</t>
  </si>
  <si>
    <t>18LAURENT05</t>
  </si>
  <si>
    <t>ADMINSTRATION: Camille Tardieu</t>
  </si>
  <si>
    <t>St.PERAY VV BLANC:</t>
  </si>
  <si>
    <t>FOUNDER: Michel Tardieu (their father)</t>
  </si>
  <si>
    <t>23LAURENT04</t>
  </si>
  <si>
    <t>CO-FOUNDER: Dominque Laurent (casks)</t>
  </si>
  <si>
    <t>22LAURENT04</t>
  </si>
  <si>
    <t>focus on old vines, from mixed sources:</t>
  </si>
  <si>
    <t>21LAURENT06</t>
  </si>
  <si>
    <t>20LAURENT04</t>
  </si>
  <si>
    <t>some Organic certified 2013 Ecocert</t>
  </si>
  <si>
    <t>18LAURENT02</t>
  </si>
  <si>
    <t>seasoned casks; reds unfined unfiltered</t>
  </si>
  <si>
    <t>16LAURENT03</t>
  </si>
  <si>
    <t>whites are unfined and lightly filtered</t>
  </si>
  <si>
    <t>15LAURENT03</t>
  </si>
  <si>
    <r>
      <rPr>
        <sz val="8"/>
        <color theme="1" tint="0.14999847407452621"/>
        <rFont val="Noto Sans"/>
        <family val="2"/>
      </rPr>
      <t xml:space="preserve">all cuvées are </t>
    </r>
    <r>
      <rPr>
        <b/>
        <sz val="8"/>
        <color rgb="FF00B050"/>
        <rFont val="Noto Sans"/>
        <family val="2"/>
      </rPr>
      <t>Ⓥ Vegan compatible</t>
    </r>
  </si>
  <si>
    <t>St.JOSEPH VV BLANC:</t>
  </si>
  <si>
    <r>
      <rPr>
        <b/>
        <sz val="8"/>
        <color theme="1" tint="0.14999847407452621"/>
        <rFont val="Noto Sans"/>
        <family val="2"/>
      </rPr>
      <t>&lt;SC&gt;</t>
    </r>
    <r>
      <rPr>
        <sz val="8"/>
        <color theme="1" tint="0.14999847407452621"/>
        <rFont val="Noto Sans"/>
        <family val="2"/>
      </rPr>
      <t xml:space="preserve"> is the exclusive Single Cask series</t>
    </r>
  </si>
  <si>
    <t>23LAURENT03</t>
  </si>
  <si>
    <t xml:space="preserve">selected by Raeburn with Famille Tardieu </t>
  </si>
  <si>
    <t>22LAURENT03</t>
  </si>
  <si>
    <t>TIMELINE OF MAISON:</t>
  </si>
  <si>
    <t>21LAURENT05</t>
  </si>
  <si>
    <t>2019 1st vintage St.Joseph VV BLANC</t>
  </si>
  <si>
    <t>20LAURENT03</t>
  </si>
  <si>
    <t>2018 1st vintage Crozes VV BLANC</t>
  </si>
  <si>
    <t>19LAURENT05</t>
  </si>
  <si>
    <t>2018 Michel sells 49% to EPI</t>
  </si>
  <si>
    <t>CONDRIEU:</t>
  </si>
  <si>
    <r>
      <t xml:space="preserve">2015 1st vintage of RFW Single Cask </t>
    </r>
    <r>
      <rPr>
        <b/>
        <sz val="7"/>
        <color theme="1" tint="0.499984740745262"/>
        <rFont val="Noto Sans"/>
        <family val="2"/>
      </rPr>
      <t xml:space="preserve">&lt;SC&gt; </t>
    </r>
    <r>
      <rPr>
        <sz val="7"/>
        <color theme="1" tint="0.499984740745262"/>
        <rFont val="Noto Sans"/>
        <family val="2"/>
      </rPr>
      <t>bottlings</t>
    </r>
  </si>
  <si>
    <t>23LAURENT05</t>
  </si>
  <si>
    <t>2014s RFW allocation mostly bottled in MAGS</t>
  </si>
  <si>
    <r>
      <t xml:space="preserve">2013 first </t>
    </r>
    <r>
      <rPr>
        <b/>
        <sz val="7"/>
        <color rgb="FF00B050"/>
        <rFont val="Noto Sans"/>
        <family val="2"/>
      </rPr>
      <t>Organic certified</t>
    </r>
    <r>
      <rPr>
        <sz val="7"/>
        <color theme="1" tint="0.499984740745262"/>
        <rFont val="Noto Sans"/>
        <family val="2"/>
      </rPr>
      <t xml:space="preserve"> wines</t>
    </r>
  </si>
  <si>
    <t>23LAURENT06</t>
  </si>
  <si>
    <t>2012 1st yr finishing in Stockinger 22.5hl foudres</t>
  </si>
  <si>
    <t>22LAURENT07</t>
  </si>
  <si>
    <t>2011 name changing to Famille Tardieu</t>
  </si>
  <si>
    <t>21LAURENT08</t>
  </si>
  <si>
    <t>2009 Tardieu famille now have 100% control</t>
  </si>
  <si>
    <t>NORTH RHÔNE BLANC EN MAGNUM:</t>
  </si>
  <si>
    <t>2008 enologist son Bastien joins full time</t>
  </si>
  <si>
    <t>20LAURENT03MG</t>
  </si>
  <si>
    <t>2004/5 end of D.Laurent's practical involvement</t>
  </si>
  <si>
    <t>18LAURENT06MG</t>
  </si>
  <si>
    <t>1996 business launched as Tardieu-Laurent</t>
  </si>
  <si>
    <t>19LAURENT07MG</t>
  </si>
  <si>
    <t>1994 first vintage made</t>
  </si>
  <si>
    <t>1950s - Michel is born in Lauris, Luberon</t>
  </si>
  <si>
    <t>20LAURENT18</t>
  </si>
  <si>
    <t>VARIOUS AWARDS:</t>
  </si>
  <si>
    <r>
      <t>Condrieu 2020:</t>
    </r>
    <r>
      <rPr>
        <sz val="7"/>
        <color theme="1" tint="0.14999847407452621"/>
        <rFont val="Noto Sans"/>
        <family val="2"/>
      </rPr>
      <t xml:space="preserve"> lieu-dit Enrochement, Côte Bonnette. Granite &amp; phyllonite</t>
    </r>
  </si>
  <si>
    <t>viognier ~40yrs</t>
  </si>
  <si>
    <t>RVF 2* 2022; B+D 5* 2022</t>
  </si>
  <si>
    <r>
      <t>St.Joseph ROUGE 2018:</t>
    </r>
    <r>
      <rPr>
        <sz val="7"/>
        <color theme="1" tint="0.14999847407452621"/>
        <rFont val="Noto Sans"/>
        <family val="2"/>
      </rPr>
      <t xml:space="preserve"> lieu-dit Chaillets, Chavanay. Granite &amp; muscovite</t>
    </r>
  </si>
  <si>
    <t>vieille serine &gt;100yrs</t>
  </si>
  <si>
    <t>often Wine &amp; Spirits Top 100, Winery of the Year</t>
  </si>
  <si>
    <r>
      <t xml:space="preserve">Crozes ROUGE 2018: </t>
    </r>
    <r>
      <rPr>
        <sz val="7"/>
        <color theme="1" tint="0.14999847407452621"/>
        <rFont val="Noto Sans"/>
        <family val="2"/>
      </rPr>
      <t>lieu-dit Chaillets, Gervans. Granite with crystals</t>
    </r>
  </si>
  <si>
    <t>vieille serine &gt;60yrs</t>
  </si>
  <si>
    <t>NICELY MID-MATURE NORTH RHÔNE ROUGE, BY £:</t>
  </si>
  <si>
    <t>2010 Wine Enthusiast, Top 100 Cellar Selection</t>
  </si>
  <si>
    <t>14LAURENT07MG</t>
  </si>
  <si>
    <t>2010 1st Wine &amp; Spirits Top 100 Winery of The Year</t>
  </si>
  <si>
    <t>13LAURENT10</t>
  </si>
  <si>
    <t>FICHE (IN BRIEF) ON BLANCS DU NORD:</t>
  </si>
  <si>
    <t>15LAURENT14</t>
  </si>
  <si>
    <r>
      <rPr>
        <b/>
        <sz val="7"/>
        <color theme="1" tint="0.499984740745262"/>
        <rFont val="Noto Sans"/>
        <family val="2"/>
      </rPr>
      <t>ST PERAY:</t>
    </r>
    <r>
      <rPr>
        <sz val="7"/>
        <color theme="1" tint="0.499984740745262"/>
        <rFont val="Noto Sans"/>
        <family val="2"/>
      </rPr>
      <t xml:space="preserve"> Usually 50:50 blend of 50-100yr </t>
    </r>
  </si>
  <si>
    <t>15LAURENT15</t>
  </si>
  <si>
    <t xml:space="preserve">marsanne &amp; &gt;40yr roussanne, on clay-limestone in </t>
  </si>
  <si>
    <t>08LAURENT06</t>
  </si>
  <si>
    <t>La Cote &amp; La Beylesse. 10mths cask elevage</t>
  </si>
  <si>
    <r>
      <rPr>
        <b/>
        <sz val="7"/>
        <color theme="1" tint="0.499984740745262"/>
        <rFont val="Noto Sans"/>
        <family val="2"/>
      </rPr>
      <t>CROZES VV:</t>
    </r>
    <r>
      <rPr>
        <sz val="7"/>
        <color theme="1" tint="0.499984740745262"/>
        <rFont val="Noto Sans"/>
        <family val="2"/>
      </rPr>
      <t xml:space="preserve"> Usually 60-80% marsanne, remainder</t>
    </r>
  </si>
  <si>
    <t>CROZES VV ROUGE:</t>
  </si>
  <si>
    <t>roussanne, on granite in Gervans, Habrard, Teney</t>
  </si>
  <si>
    <t>23LAURENT13</t>
  </si>
  <si>
    <t>10mths cask elevage. 1st made 2018</t>
  </si>
  <si>
    <t>22LAURENT12</t>
  </si>
  <si>
    <r>
      <t xml:space="preserve">St.JOSEPH VV: </t>
    </r>
    <r>
      <rPr>
        <sz val="7"/>
        <color theme="1" tint="0.499984740745262"/>
        <rFont val="Noto Sans"/>
        <family val="2"/>
      </rPr>
      <t>85:15 ratio of Marsanne/Roussane</t>
    </r>
  </si>
  <si>
    <t>21LAURENT16</t>
  </si>
  <si>
    <t>raised 10mths in cask. 1st made 2019</t>
  </si>
  <si>
    <t>20LAURENT12</t>
  </si>
  <si>
    <r>
      <rPr>
        <b/>
        <sz val="7"/>
        <color theme="1" tint="0.499984740745262"/>
        <rFont val="Noto Sans"/>
        <family val="2"/>
      </rPr>
      <t>CONDRIEU</t>
    </r>
    <r>
      <rPr>
        <sz val="7"/>
        <color theme="1" tint="0.499984740745262"/>
        <rFont val="Noto Sans"/>
        <family val="2"/>
      </rPr>
      <t xml:space="preserve"> avg 45yr viognier on granite (&amp; loess)</t>
    </r>
  </si>
  <si>
    <t>19LAURENT12</t>
  </si>
  <si>
    <r>
      <rPr>
        <b/>
        <sz val="7"/>
        <color theme="1" tint="0.499984740745262"/>
        <rFont val="Noto Sans"/>
        <family val="2"/>
      </rPr>
      <t>HERMITAGE BLANC</t>
    </r>
    <r>
      <rPr>
        <sz val="7"/>
        <color theme="1" tint="0.499984740745262"/>
        <rFont val="Noto Sans"/>
        <family val="2"/>
      </rPr>
      <t xml:space="preserve"> 80:20 blend, &gt;50yr marsanne</t>
    </r>
  </si>
  <si>
    <t>18LAURENT20</t>
  </si>
  <si>
    <t xml:space="preserve">&amp; &gt;40yr roussanne on clay-granite. Usually from </t>
  </si>
  <si>
    <t>17LAURENT17</t>
  </si>
  <si>
    <t xml:space="preserve">Pierelles, Beaumes, Murets, etc. Since 2017, </t>
  </si>
  <si>
    <t>16LAURENT13</t>
  </si>
  <si>
    <t>raised 12mths cask then 12mths Stockinger foudres</t>
  </si>
  <si>
    <t>St.JOSEPH VV ROUGE:</t>
  </si>
  <si>
    <t>FICHE (IN BRIEF) ON ROUGES DU NORD:</t>
  </si>
  <si>
    <t>23LAURENT14</t>
  </si>
  <si>
    <r>
      <rPr>
        <b/>
        <sz val="7"/>
        <color theme="1" tint="0.499984740745262"/>
        <rFont val="Noto Sans"/>
        <family val="2"/>
      </rPr>
      <t>CROZES VV ROUGE</t>
    </r>
    <r>
      <rPr>
        <sz val="7"/>
        <color theme="1" tint="0.499984740745262"/>
        <rFont val="Noto Sans"/>
        <family val="2"/>
      </rPr>
      <t xml:space="preserve"> 60yr hillside syrah on </t>
    </r>
  </si>
  <si>
    <t>22LAURENT13</t>
  </si>
  <si>
    <t>decomposed granite with 33-75% stems</t>
  </si>
  <si>
    <t>21LAURENT17</t>
  </si>
  <si>
    <r>
      <rPr>
        <b/>
        <sz val="7"/>
        <color theme="1" tint="0.499984740745262"/>
        <rFont val="Noto Sans"/>
        <family val="2"/>
      </rPr>
      <t>St.JOSEPH VV ROUGE</t>
    </r>
    <r>
      <rPr>
        <sz val="7"/>
        <color theme="1" tint="0.499984740745262"/>
        <rFont val="Noto Sans"/>
        <family val="2"/>
      </rPr>
      <t xml:space="preserve"> 60yr syrah &amp; ~100yr serine</t>
    </r>
  </si>
  <si>
    <t>20LAURENT13</t>
  </si>
  <si>
    <t>on hard &amp; decomposed granite, with 33% stems</t>
  </si>
  <si>
    <t>19LAURENT13</t>
  </si>
  <si>
    <r>
      <rPr>
        <b/>
        <sz val="7"/>
        <color theme="1" tint="0.499984740745262"/>
        <rFont val="Noto Sans"/>
        <family val="2"/>
      </rPr>
      <t>CORNAS COTEAUX</t>
    </r>
    <r>
      <rPr>
        <sz val="7"/>
        <color theme="1" tint="0.499984740745262"/>
        <rFont val="Noto Sans"/>
        <family val="2"/>
      </rPr>
      <t xml:space="preserve"> 60yr syrah/serine (up to 100) </t>
    </r>
  </si>
  <si>
    <t>18LAURENT21</t>
  </si>
  <si>
    <t>on hard &amp; decomposed granite, 50% stems</t>
  </si>
  <si>
    <t>17LAURENT09</t>
  </si>
  <si>
    <r>
      <rPr>
        <b/>
        <sz val="7"/>
        <color theme="1" tint="0.499984740745262"/>
        <rFont val="Noto Sans"/>
        <family val="2"/>
      </rPr>
      <t>CORNAS VV</t>
    </r>
    <r>
      <rPr>
        <sz val="7"/>
        <color theme="1" tint="0.499984740745262"/>
        <rFont val="Noto Sans"/>
        <family val="2"/>
      </rPr>
      <t xml:space="preserve"> 80-100yr syrah/serine, 50% stems</t>
    </r>
  </si>
  <si>
    <t>16LAURENT14</t>
  </si>
  <si>
    <r>
      <rPr>
        <b/>
        <sz val="7"/>
        <color theme="1" tint="0.499984740745262"/>
        <rFont val="Noto Sans"/>
        <family val="2"/>
      </rPr>
      <t>COTE ROTIE</t>
    </r>
    <r>
      <rPr>
        <sz val="7"/>
        <color theme="1" tint="0.499984740745262"/>
        <rFont val="Noto Sans"/>
        <family val="2"/>
      </rPr>
      <t xml:space="preserve"> 50 to 60yr average syrah on schist</t>
    </r>
  </si>
  <si>
    <t>CORNAS COTEAUX:</t>
  </si>
  <si>
    <t>with 66% stems</t>
  </si>
  <si>
    <t>21LAURENT11</t>
  </si>
  <si>
    <r>
      <rPr>
        <b/>
        <sz val="7"/>
        <color theme="1" tint="0.499984740745262"/>
        <rFont val="Noto Sans"/>
        <family val="2"/>
      </rPr>
      <t>HERMITAGE ROUGE</t>
    </r>
    <r>
      <rPr>
        <sz val="7"/>
        <color theme="1" tint="0.499984740745262"/>
        <rFont val="Noto Sans"/>
        <family val="2"/>
      </rPr>
      <t xml:space="preserve"> ~60yr syrah on clay-granite, </t>
    </r>
  </si>
  <si>
    <t>18LAURENT14</t>
  </si>
  <si>
    <t>destemmed to 33% stems</t>
  </si>
  <si>
    <t>17LAURENT10</t>
  </si>
  <si>
    <t>SOME TARDIEU / RHÔNE STATS:</t>
  </si>
  <si>
    <t>16LAURENT15</t>
  </si>
  <si>
    <t>80-100 suppliers per vintage</t>
  </si>
  <si>
    <t>~50% cuvées organic certified (by 2017)</t>
  </si>
  <si>
    <t>CORNAS VV:</t>
  </si>
  <si>
    <t>85% red production, 15% white</t>
  </si>
  <si>
    <t>23LAURENT15</t>
  </si>
  <si>
    <t>33% North Rhone production, 66% South</t>
  </si>
  <si>
    <t>22LAURENT14</t>
  </si>
  <si>
    <t>[Rhone is 95% red, &gt;95% South, 66% co-op, &amp;</t>
  </si>
  <si>
    <t>20LAURENT14</t>
  </si>
  <si>
    <t>~50% Cotes du Rhone &amp; Cotes du Rhone Villages]</t>
  </si>
  <si>
    <t>19LAURENT14</t>
  </si>
  <si>
    <t>Tardieu-Laurent.fr</t>
  </si>
  <si>
    <t>18LAURENT15</t>
  </si>
  <si>
    <t>NB ALSO SEE SOUTH RHONE</t>
  </si>
  <si>
    <t>17LAURENT11</t>
  </si>
  <si>
    <t>NB ALSO SEE BANDOL</t>
  </si>
  <si>
    <t>16LAURENT16</t>
  </si>
  <si>
    <t>GROWER CODE: LAURENT</t>
  </si>
  <si>
    <t>11LAURENT14</t>
  </si>
  <si>
    <t>CÔTE ROTIE:</t>
  </si>
  <si>
    <t>20LAURENT15</t>
  </si>
  <si>
    <t>18LAURENT22</t>
  </si>
  <si>
    <t>17LAURENT12</t>
  </si>
  <si>
    <t>16LAURENT17</t>
  </si>
  <si>
    <t>11LAURENT15</t>
  </si>
  <si>
    <t>CÔTE ROTIE VV:</t>
  </si>
  <si>
    <t>23LAURENT16</t>
  </si>
  <si>
    <t>22LAURENT15</t>
  </si>
  <si>
    <t>21LAURENT18</t>
  </si>
  <si>
    <t>20LAURENT16</t>
  </si>
  <si>
    <t>19LAURENT15</t>
  </si>
  <si>
    <t>18LAURENT17</t>
  </si>
  <si>
    <t>17LAURENT13</t>
  </si>
  <si>
    <t>23LAURENT17</t>
  </si>
  <si>
    <t>22LAURENT16</t>
  </si>
  <si>
    <t>21LAURENT12</t>
  </si>
  <si>
    <t>20LAURENT17</t>
  </si>
  <si>
    <t>19LAURENT16</t>
  </si>
  <si>
    <t>18LAURENT16</t>
  </si>
  <si>
    <t>17LAURENT14</t>
  </si>
  <si>
    <t>16LAURENT11</t>
  </si>
  <si>
    <t>15LAURENT16</t>
  </si>
  <si>
    <t>13LAURENT11</t>
  </si>
  <si>
    <t>12LAURENT14</t>
  </si>
  <si>
    <t>11LAURENT16</t>
  </si>
  <si>
    <t>NORTH RHÔNE EN MAGNUM:</t>
  </si>
  <si>
    <t>20LAURENT12MG</t>
  </si>
  <si>
    <t>18LAURENT20MG</t>
  </si>
  <si>
    <t>17LAURENT17MG</t>
  </si>
  <si>
    <t>16LAURENT13MG</t>
  </si>
  <si>
    <t>15LAURENT12MG</t>
  </si>
  <si>
    <t>18LAURENT21MG</t>
  </si>
  <si>
    <t>16LAURENT14MG</t>
  </si>
  <si>
    <t>14LAURENT08MG</t>
  </si>
  <si>
    <t>14LAURENT09MG</t>
  </si>
  <si>
    <t>16LAURENT16MG</t>
  </si>
  <si>
    <t>15LAURENT14MG</t>
  </si>
  <si>
    <t>14LAURENT10MG</t>
  </si>
  <si>
    <t>18LAURENT22MG</t>
  </si>
  <si>
    <t>16LAURENT17MG</t>
  </si>
  <si>
    <t>15LAURENT15MG</t>
  </si>
  <si>
    <t>14LAURENT11MG</t>
  </si>
  <si>
    <t>12LAURENT13M</t>
  </si>
  <si>
    <t>15LAURENT16MG</t>
  </si>
  <si>
    <t>14LAURENT12MG</t>
  </si>
  <si>
    <t>12LAURENT14M</t>
  </si>
  <si>
    <t>21GANGL03</t>
  </si>
  <si>
    <t>Condrieu cellars. 8ha. founded 1988</t>
  </si>
  <si>
    <t>21GANGL01</t>
  </si>
  <si>
    <t xml:space="preserve">Yves recently joined by his children </t>
  </si>
  <si>
    <t>21GANGL02</t>
  </si>
  <si>
    <t>3ha C.Rôtie, 2.5ha Condrieu, 2.5ha St.Jo.</t>
  </si>
  <si>
    <t>22GANGL03</t>
  </si>
  <si>
    <t>low yields; ambient yeast ferment</t>
  </si>
  <si>
    <t>19GANGL04</t>
  </si>
  <si>
    <t>low sulphites; label artwork by brother Pierre</t>
  </si>
  <si>
    <t xml:space="preserve">B+D 3* estate </t>
  </si>
  <si>
    <t>NB NOW SELLS OUT UPON RELEASE</t>
  </si>
  <si>
    <t>GROWER CODE: GANGL</t>
  </si>
  <si>
    <t>KIND WORDS ON J.C.MARSANNE:</t>
  </si>
  <si>
    <r>
      <rPr>
        <b/>
        <sz val="7"/>
        <color theme="1" tint="0.499984740745262"/>
        <rFont val="Noto Sans"/>
        <family val="2"/>
      </rPr>
      <t>John Livingstone-Learmonth</t>
    </r>
    <r>
      <rPr>
        <sz val="7"/>
        <color theme="1" tint="0.499984740745262"/>
        <rFont val="Noto Sans"/>
        <family val="2"/>
      </rPr>
      <t xml:space="preserve"> 'An STGT domaine' (Soil to Glass Transfer group)</t>
    </r>
  </si>
  <si>
    <r>
      <rPr>
        <b/>
        <sz val="7"/>
        <color theme="1" tint="0.499984740745262"/>
        <rFont val="Noto Sans"/>
        <family val="2"/>
      </rPr>
      <t>Mike Bennie, The Wine Front</t>
    </r>
    <r>
      <rPr>
        <sz val="7"/>
        <color theme="1" tint="0.499984740745262"/>
        <rFont val="Noto Sans"/>
        <family val="2"/>
      </rPr>
      <t xml:space="preserve"> 'Glorious, old-school expression.'</t>
    </r>
  </si>
  <si>
    <t>MARSANNE, Jean-Claude</t>
  </si>
  <si>
    <t>Mauves, St.Joseph. 8.9ha vines. 28-40hl/ha</t>
  </si>
  <si>
    <t>23MARSAN02HF</t>
  </si>
  <si>
    <t>4th generation Jean-Claude joined in 1991</t>
  </si>
  <si>
    <t>22MARSAN03HF</t>
  </si>
  <si>
    <r>
      <rPr>
        <sz val="8"/>
        <color theme="1" tint="0.14999847407452621"/>
        <rFont val="Noto Sans"/>
        <family val="2"/>
      </rPr>
      <t xml:space="preserve">ambient yeast; </t>
    </r>
    <r>
      <rPr>
        <b/>
        <sz val="8"/>
        <color rgb="FF00B050"/>
        <rFont val="Noto Sans"/>
        <family val="2"/>
      </rPr>
      <t>no certification</t>
    </r>
  </si>
  <si>
    <t>22MARSAN05</t>
  </si>
  <si>
    <t>all vines are massale; all casks up to 10yrs</t>
  </si>
  <si>
    <t>23MARSAN02</t>
  </si>
  <si>
    <t>22MARSAN03</t>
  </si>
  <si>
    <r>
      <rPr>
        <b/>
        <sz val="7"/>
        <color theme="1" tint="0.499984740745262"/>
        <rFont val="Noto Sans"/>
        <family val="2"/>
      </rPr>
      <t>St.Jo ROUGE:</t>
    </r>
    <r>
      <rPr>
        <sz val="7"/>
        <color theme="1" tint="0.499984740745262"/>
        <rFont val="Noto Sans"/>
        <family val="2"/>
      </rPr>
      <t xml:space="preserve"> 6.5ha planted 1910-1990s; tank- </t>
    </r>
  </si>
  <si>
    <t>22MARSAN04MG</t>
  </si>
  <si>
    <t>ferment, 1yr elevage in 30% demi-muids, 70% futs;</t>
  </si>
  <si>
    <t>ROUGE HVS:</t>
  </si>
  <si>
    <t>unfined &amp; unfiltered; Ⓥ Vegan compatible</t>
  </si>
  <si>
    <t>22MARSAN01HF</t>
  </si>
  <si>
    <r>
      <t>St.Jo BLANC:</t>
    </r>
    <r>
      <rPr>
        <sz val="7"/>
        <color theme="1" tint="0.499984740745262"/>
        <rFont val="Noto Sans"/>
        <family val="2"/>
      </rPr>
      <t xml:space="preserve"> 0.8ha marsanne planted 1990 &amp;</t>
    </r>
  </si>
  <si>
    <t>2009; 1yr elevage in 1-10yr futs, does malo</t>
  </si>
  <si>
    <t>DomaineMarsanne.com</t>
  </si>
  <si>
    <t>23MARSAN03</t>
  </si>
  <si>
    <t>23MARSAN01</t>
  </si>
  <si>
    <t>GROWER CODE: MARSAN</t>
  </si>
  <si>
    <t>22MARSAN02</t>
  </si>
  <si>
    <t>22MARSAN01</t>
  </si>
  <si>
    <t>20MARSANNE01</t>
  </si>
  <si>
    <t>23MARSAN03MG</t>
  </si>
  <si>
    <t>22MARSAN02MG</t>
  </si>
  <si>
    <t>22MARSAN02JB</t>
  </si>
  <si>
    <r>
      <t>Wine Spectator</t>
    </r>
    <r>
      <rPr>
        <sz val="7"/>
        <color theme="1" tint="0.499984740745262"/>
        <rFont val="Noto Sans"/>
        <family val="2"/>
      </rPr>
      <t xml:space="preserve"> 'dynamic and elite'</t>
    </r>
  </si>
  <si>
    <r>
      <rPr>
        <b/>
        <sz val="7"/>
        <color theme="1" tint="0.499984740745262"/>
        <rFont val="Noto Sans"/>
        <family val="2"/>
      </rPr>
      <t>TWA</t>
    </r>
    <r>
      <rPr>
        <sz val="7"/>
        <color theme="1" tint="0.499984740745262"/>
        <rFont val="Noto Sans"/>
        <family val="2"/>
      </rPr>
      <t xml:space="preserve"> 'the estate is unquestionably in the top handful of domaines in the Rhône'</t>
    </r>
  </si>
  <si>
    <r>
      <t xml:space="preserve">Vinous </t>
    </r>
    <r>
      <rPr>
        <sz val="7"/>
        <color theme="1" tint="0.499984740745262"/>
        <rFont val="Noto Sans"/>
        <family val="2"/>
      </rPr>
      <t>'Stéphane Ogier has taken the M &amp; S Ogier d'Ampuis estate to impressive heights.'</t>
    </r>
  </si>
  <si>
    <r>
      <t>Jeb Dunnock</t>
    </r>
    <r>
      <rPr>
        <sz val="7"/>
        <color theme="1" tint="0.499984740745262"/>
        <rFont val="Noto Sans"/>
        <family val="2"/>
      </rPr>
      <t xml:space="preserve"> 'One of the most exciting domaines in the world of wine today, superstar winemaker Stéphane Ogier'</t>
    </r>
  </si>
  <si>
    <r>
      <t xml:space="preserve">Stephane Ogier </t>
    </r>
    <r>
      <rPr>
        <sz val="7"/>
        <color theme="1" tint="0.499984740745262"/>
        <rFont val="Noto Sans"/>
        <family val="2"/>
      </rPr>
      <t>'A Helene: C'est toujours ce qui éclaire qui demeure dans l'ombre'</t>
    </r>
  </si>
  <si>
    <t>Stéphane Ogier:</t>
  </si>
  <si>
    <t>WHITE:</t>
  </si>
  <si>
    <t>M&amp;S OGIER d'AMPUIS</t>
  </si>
  <si>
    <t>21OGIER03</t>
  </si>
  <si>
    <t>Ampuis, Côte Rôtie. ~27ha vines</t>
  </si>
  <si>
    <t>17OGIER01</t>
  </si>
  <si>
    <t>fanatical viticulture. Part horse-ploughed</t>
  </si>
  <si>
    <t>21OGIER01</t>
  </si>
  <si>
    <t>Stéphane, with father Michel</t>
  </si>
  <si>
    <t>20OGIER02</t>
  </si>
  <si>
    <t>BLENDED RANGE:</t>
  </si>
  <si>
    <t>21OGIER02</t>
  </si>
  <si>
    <r>
      <t>Le Temps est Venu BLANC</t>
    </r>
    <r>
      <rPr>
        <sz val="7"/>
        <color theme="1" tint="0.499984740745262"/>
        <rFont val="Noto Sans"/>
        <family val="2"/>
      </rPr>
      <t xml:space="preserve">: 30% ea grenache </t>
    </r>
  </si>
  <si>
    <t>RED HALVES:</t>
  </si>
  <si>
    <t>blanc &amp; roussanne, plus bourboulenc, marsanne,</t>
  </si>
  <si>
    <t>18OGIER07HF</t>
  </si>
  <si>
    <t>viognier and Clairette</t>
  </si>
  <si>
    <t>19OGIER04HF</t>
  </si>
  <si>
    <r>
      <rPr>
        <b/>
        <sz val="7"/>
        <color theme="1" tint="0.499984740745262"/>
        <rFont val="Noto Sans"/>
        <family val="2"/>
      </rPr>
      <t>Blanc d'Ogier:</t>
    </r>
    <r>
      <rPr>
        <sz val="7"/>
        <color theme="1" tint="0.499984740745262"/>
        <rFont val="Noto Sans"/>
        <family val="2"/>
      </rPr>
      <t xml:space="preserve"> viognier, marsanne &amp; roussane</t>
    </r>
  </si>
  <si>
    <t>19OGIER03HF</t>
  </si>
  <si>
    <t>IGP Collines Rhodaniennes</t>
  </si>
  <si>
    <t>19OGIER06HF</t>
  </si>
  <si>
    <r>
      <rPr>
        <b/>
        <sz val="7"/>
        <color theme="1" tint="0.499984740745262"/>
        <rFont val="Noto Sans"/>
        <family val="2"/>
      </rPr>
      <t xml:space="preserve">Le Temps est Venu ROUGE: </t>
    </r>
    <r>
      <rPr>
        <sz val="7"/>
        <color theme="1" tint="0.499984740745262"/>
        <rFont val="Noto Sans"/>
        <family val="2"/>
      </rPr>
      <t>grenache from Plan</t>
    </r>
  </si>
  <si>
    <t>RED:</t>
  </si>
  <si>
    <t>de Dieu, syrah from Visan at altitude</t>
  </si>
  <si>
    <t>18OGIER07</t>
  </si>
  <si>
    <t>RANGE OF NON AOC-VARIETALS:</t>
  </si>
  <si>
    <t>20OGIER03</t>
  </si>
  <si>
    <r>
      <rPr>
        <b/>
        <sz val="7"/>
        <color theme="1" tint="0.499984740745262"/>
        <rFont val="Noto Sans"/>
        <family val="2"/>
      </rPr>
      <t>La Rosine:</t>
    </r>
    <r>
      <rPr>
        <sz val="7"/>
        <color theme="1" tint="0.499984740745262"/>
        <rFont val="Noto Sans"/>
        <family val="2"/>
      </rPr>
      <t xml:space="preserve"> IGP Collines Rhodannienes varietal</t>
    </r>
  </si>
  <si>
    <t>19OGIER11</t>
  </si>
  <si>
    <t>series from right bank, on plateau over Côte Rotie</t>
  </si>
  <si>
    <t>18OGIER12</t>
  </si>
  <si>
    <r>
      <rPr>
        <b/>
        <sz val="7"/>
        <color theme="1" tint="0.499984740745262"/>
        <rFont val="Noto Sans"/>
        <family val="2"/>
      </rPr>
      <t xml:space="preserve">L’Âme Soeur: </t>
    </r>
    <r>
      <rPr>
        <sz val="7"/>
        <color theme="1" tint="0.499984740745262"/>
        <rFont val="Noto Sans"/>
        <family val="2"/>
      </rPr>
      <t>from schist at Seyssuel,</t>
    </r>
  </si>
  <si>
    <t>16OGIER10TB</t>
  </si>
  <si>
    <t>left bank, nr. Vienne</t>
  </si>
  <si>
    <t>CÔTE RÔTIE:</t>
  </si>
  <si>
    <t>18OGIER09HF</t>
  </si>
  <si>
    <t>2021 planting at Lancement on restored terraces</t>
  </si>
  <si>
    <t>21OGIER04</t>
  </si>
  <si>
    <t>20OGIER04</t>
  </si>
  <si>
    <t>2016 RVF Rhone Vigneron of the Year</t>
  </si>
  <si>
    <t>19OGIER14</t>
  </si>
  <si>
    <t>2015 IWR Top 100 WOTY</t>
  </si>
  <si>
    <t>18OGIER01</t>
  </si>
  <si>
    <t>2015 1st vintage Cote Rotie Cote Blonde</t>
  </si>
  <si>
    <t>21OGIER05</t>
  </si>
  <si>
    <t>2014 new winery finished</t>
  </si>
  <si>
    <t>75/1</t>
  </si>
  <si>
    <t>2013 1st vintage Stephane started in October</t>
  </si>
  <si>
    <t>Côte Rôtie Lancement</t>
  </si>
  <si>
    <t>2012 1st vintage Cote Rotie 'Village' label (TBC)</t>
  </si>
  <si>
    <t>Côte Rôtie Cote Blonde</t>
  </si>
  <si>
    <t>2011 1st vintage Selection de Lieux-dits mixed cse</t>
  </si>
  <si>
    <t>2009 1st Wine &amp; Spirits Top 100 Winery of The Yr</t>
  </si>
  <si>
    <t>2005 RP's World's Greatest Wine Estates book</t>
  </si>
  <si>
    <t>16OGIER06MTB</t>
  </si>
  <si>
    <t>2003 cellar renewal, incl. temp. control</t>
  </si>
  <si>
    <t>16OGIER10MTB</t>
  </si>
  <si>
    <t>2001 planting of L'Ame Soeur, Seyssuel, left-bank</t>
  </si>
  <si>
    <t>15OGIER10MTB</t>
  </si>
  <si>
    <t>1999 1st RP100 awarded to Belle Helene</t>
  </si>
  <si>
    <t>16OGIER08MTB</t>
  </si>
  <si>
    <t>1997 Stephane joined</t>
  </si>
  <si>
    <t>18OGIER01MG</t>
  </si>
  <si>
    <t>1983 Michel (father) ends selling to top negoce</t>
  </si>
  <si>
    <t>17OGIER03MG</t>
  </si>
  <si>
    <t>a Wine &amp; Spirits Top 100, Winery of The Yr</t>
  </si>
  <si>
    <t>150/1</t>
  </si>
  <si>
    <t>CÔTE RÔTIE CRUS 'SELECTION DE LIEUX-DITS' MIXED CASES:</t>
  </si>
  <si>
    <t>StephaneOgier.fr</t>
  </si>
  <si>
    <t>21OGIER07MC</t>
  </si>
  <si>
    <t>facebook.com/StephaneOgier01</t>
  </si>
  <si>
    <t xml:space="preserve"> Montlis, Fongeant, Cote-Bodin, Cognet, Montmain, Le Champon, Bertholon, Leyat, La Vialliere</t>
  </si>
  <si>
    <t>GROWER CODES: OGIER / OGIER MC</t>
  </si>
  <si>
    <t>20OGIER06MC</t>
  </si>
  <si>
    <t>But de Mont, Fongent, Cote-Bodin ,Cognet, Montmain, La Vialliere, Leyat, Bertholon, Le Champon</t>
  </si>
  <si>
    <t>19OGIER07MC</t>
  </si>
  <si>
    <t>Fongent, Bertholon, Cote-Bodin, Le Champon, Montmain, La Vialliere</t>
  </si>
  <si>
    <t>18OGIER02</t>
  </si>
  <si>
    <t>Fongent, Cote-Bodin, Bertholon, Le Champon, Cognet, Montmain, La Vialliere</t>
  </si>
  <si>
    <t>17OGIER05</t>
  </si>
  <si>
    <t xml:space="preserve"> But de Mont, Fongent, Cote-Bodin, Bertholon, Le Champon, La Vialiere</t>
  </si>
  <si>
    <t>REMIZIERES, Domaine</t>
  </si>
  <si>
    <t>MATURING WHITE:</t>
  </si>
  <si>
    <t>Mercurol. 36ha vines. Organic practices:</t>
  </si>
  <si>
    <t>06DESM03</t>
  </si>
  <si>
    <t>MATURING REDS:</t>
  </si>
  <si>
    <t>DomaineRemizieres.com</t>
  </si>
  <si>
    <t>06DESM01</t>
  </si>
  <si>
    <t>GROWER CODE: DESM</t>
  </si>
  <si>
    <t>06DESM02</t>
  </si>
  <si>
    <t>05DESM03</t>
  </si>
  <si>
    <t>05DESM02</t>
  </si>
  <si>
    <t>02DESMEURE01</t>
  </si>
  <si>
    <t>01DESMEURE01</t>
  </si>
  <si>
    <t>France, Rhône - South</t>
  </si>
  <si>
    <t>BARRILLON, Denis</t>
  </si>
  <si>
    <t>10VPERON01MG</t>
  </si>
  <si>
    <t>Châteauneuf du Pape</t>
  </si>
  <si>
    <t>aka Domaine Valmont de Peronny</t>
  </si>
  <si>
    <t>winery founded 2010; ~28hl/ha yield</t>
  </si>
  <si>
    <t>2ha red: 95% grenache, 5% mourvedre</t>
  </si>
  <si>
    <t>Valmont-de-Peronny.fr</t>
  </si>
  <si>
    <t>GROWER CODE: VPERON</t>
  </si>
  <si>
    <t>BONNEAU, Henri</t>
  </si>
  <si>
    <t>22BONNEAU01</t>
  </si>
  <si>
    <t>Châteauneuf du Pape. Son Marcel 13th gen.</t>
  </si>
  <si>
    <t>22BONNEAU02</t>
  </si>
  <si>
    <t xml:space="preserve">6.5ha CNDP, +3.5ha Laval St.Roman, Gard </t>
  </si>
  <si>
    <t>21BONNEAU02</t>
  </si>
  <si>
    <t>90% grenache, avg.30-50yr vines; 10parcels</t>
  </si>
  <si>
    <t>22BONNEAU04</t>
  </si>
  <si>
    <t>late harvest; not destemmed; ambient yeast</t>
  </si>
  <si>
    <t>18BONNEAU02MG</t>
  </si>
  <si>
    <t>old wood; 5yrs min.elevage; unfiltered</t>
  </si>
  <si>
    <t>20BONNEAU03MG</t>
  </si>
  <si>
    <t>2016 Henri Bonneau passes away</t>
  </si>
  <si>
    <t>1990 Celestins is RP100; 1st cuvée Spéciale</t>
  </si>
  <si>
    <t>1988 first cuvée Marie Beurrier</t>
  </si>
  <si>
    <t>1974 son Marcel born</t>
  </si>
  <si>
    <t>1956 Henri's 1st vintage</t>
  </si>
  <si>
    <t>1938 Henri born; end of Bonneau épicier activity</t>
  </si>
  <si>
    <t>1927 Dom. bottling started; 1st Reserve Celestins</t>
  </si>
  <si>
    <t>1667 1st family activity as viticulteurs &amp; épiciers</t>
  </si>
  <si>
    <t>GROWER CODE: BONNEAU</t>
  </si>
  <si>
    <t>KINDS WORDS ON LAURENT CHARVIN, etc.:</t>
  </si>
  <si>
    <r>
      <rPr>
        <b/>
        <sz val="7"/>
        <color theme="1" tint="0.499984740745262"/>
        <rFont val="Noto Sans"/>
        <family val="2"/>
      </rPr>
      <t>JLL</t>
    </r>
    <r>
      <rPr>
        <sz val="7"/>
        <color theme="1" tint="0.499984740745262"/>
        <rFont val="Noto Sans"/>
        <family val="2"/>
      </rPr>
      <t xml:space="preserve"> 'one of the unsung top addresses, the quality super consistent, the authenticity...beyond reproach'</t>
    </r>
  </si>
  <si>
    <r>
      <rPr>
        <b/>
        <sz val="7"/>
        <color theme="1" tint="0.499984740745262"/>
        <rFont val="Noto Sans"/>
        <family val="2"/>
      </rPr>
      <t xml:space="preserve">Stephen Tanzer, 2011 </t>
    </r>
    <r>
      <rPr>
        <sz val="7"/>
        <color theme="1" tint="0.499984740745262"/>
        <rFont val="Noto Sans"/>
        <family val="2"/>
      </rPr>
      <t>(on CDR Le Poutet) 'As usual, this wine punches above its weight.'</t>
    </r>
  </si>
  <si>
    <r>
      <rPr>
        <b/>
        <sz val="7"/>
        <color theme="1" tint="0.499984740745262"/>
        <rFont val="Noto Sans"/>
        <family val="2"/>
      </rPr>
      <t>Josh Reynolds, Vinous 2017</t>
    </r>
    <r>
      <rPr>
        <sz val="7"/>
        <color theme="1" tint="0.499984740745262"/>
        <rFont val="Noto Sans"/>
        <family val="2"/>
      </rPr>
      <t xml:space="preserve"> 'some of the most elegant, highly perfumed and pure wines of the appellation.</t>
    </r>
  </si>
  <si>
    <t>At the same time they are reliably deep in flavor and balanced to age, despite their suave, upfront appeal.'</t>
  </si>
  <si>
    <r>
      <rPr>
        <b/>
        <sz val="7"/>
        <color theme="1" tint="0.499984740745262"/>
        <rFont val="Noto Sans"/>
        <family val="2"/>
      </rPr>
      <t xml:space="preserve"> Josh Raynolds, Vinous 2012</t>
    </r>
    <r>
      <rPr>
        <sz val="7"/>
        <color theme="1" tint="0.499984740745262"/>
        <rFont val="Noto Sans"/>
        <family val="2"/>
      </rPr>
      <t xml:space="preserve"> 'Charvin is far more animated when he's talking vineyards than when discussing winemaking.'</t>
    </r>
  </si>
  <si>
    <r>
      <rPr>
        <b/>
        <sz val="7"/>
        <color theme="1" tint="0.499984740745262"/>
        <rFont val="Noto Sans"/>
        <family val="2"/>
      </rPr>
      <t xml:space="preserve">Motto: </t>
    </r>
    <r>
      <rPr>
        <sz val="7"/>
        <color theme="1" tint="0.499984740745262"/>
        <rFont val="Noto Sans"/>
        <family val="2"/>
      </rPr>
      <t>'Carrus vinum' - 'A cart of wine'</t>
    </r>
  </si>
  <si>
    <r>
      <rPr>
        <b/>
        <sz val="7"/>
        <color theme="1" tint="0.499984740745262"/>
        <rFont val="Noto Sans"/>
        <family val="2"/>
      </rPr>
      <t xml:space="preserve">Laurent, 2012 </t>
    </r>
    <r>
      <rPr>
        <sz val="7"/>
        <color theme="1" tint="0.499984740745262"/>
        <rFont val="Noto Sans"/>
        <family val="2"/>
      </rPr>
      <t>(my winemaking style) 'is simple and direct, with almost all grenache and no wood, there's more time to work in the vines, which</t>
    </r>
  </si>
  <si>
    <t>is where everything happens in the first place… There aren't really a lot of discoveries to be made in the cellar except for style preferences,</t>
  </si>
  <si>
    <t>but vineyard work is incredibly complex and every vintage has a different story to tell.'</t>
  </si>
  <si>
    <t>CHARVIN, Domaine</t>
  </si>
  <si>
    <t>CNDP BLANC:</t>
  </si>
  <si>
    <t>by Laurent Charvin</t>
  </si>
  <si>
    <t>20CHARVIN02</t>
  </si>
  <si>
    <r>
      <t>Laurent Charvin, 6</t>
    </r>
    <r>
      <rPr>
        <vertAlign val="superscript"/>
        <sz val="8"/>
        <color theme="1" tint="0.14999847407452621"/>
        <rFont val="Noto Sans"/>
        <family val="2"/>
      </rPr>
      <t xml:space="preserve">th </t>
    </r>
    <r>
      <rPr>
        <sz val="8"/>
        <color theme="1" tint="0.14999847407452621"/>
        <rFont val="Noto Sans"/>
        <family val="2"/>
      </rPr>
      <t>gen. ~30ha now</t>
    </r>
  </si>
  <si>
    <t>COTES DU RHONE:</t>
  </si>
  <si>
    <t xml:space="preserve">incl.10ha CNDP. Scottish Agent. </t>
  </si>
  <si>
    <t>20CHARVIN03</t>
  </si>
  <si>
    <t>19CHARVIN04</t>
  </si>
  <si>
    <t>19CHARVIN03</t>
  </si>
  <si>
    <r>
      <rPr>
        <b/>
        <sz val="7"/>
        <color theme="1" tint="0.499984740745262"/>
        <rFont val="Noto Sans"/>
        <family val="2"/>
      </rPr>
      <t>ALL REDS:</t>
    </r>
    <r>
      <rPr>
        <sz val="7"/>
        <color theme="1" tint="0.499984740745262"/>
        <rFont val="Noto Sans"/>
        <family val="2"/>
      </rPr>
      <t xml:space="preserve"> whole cluster; ambient yeast; </t>
    </r>
  </si>
  <si>
    <t>CNDP HALVES:</t>
  </si>
  <si>
    <t>ferment &amp; 21mths elevage in cement tanks only;</t>
  </si>
  <si>
    <t>18CHARVIN02HF</t>
  </si>
  <si>
    <t>CNDP:</t>
  </si>
  <si>
    <r>
      <rPr>
        <b/>
        <sz val="7"/>
        <color theme="1" tint="0.499984740745262"/>
        <rFont val="Noto Sans"/>
        <family val="2"/>
      </rPr>
      <t>CNdP RGE</t>
    </r>
    <r>
      <rPr>
        <sz val="7"/>
        <color theme="1" tint="0.499984740745262"/>
        <rFont val="Noto Sans"/>
        <family val="2"/>
      </rPr>
      <t>: ~10ha in NW sector, av.&gt;50yrs</t>
    </r>
  </si>
  <si>
    <t>20CHARVIN01</t>
  </si>
  <si>
    <t>~85% grenache; 5% vaccarese, syrah, mourvedre</t>
  </si>
  <si>
    <t>19CHARVIN02</t>
  </si>
  <si>
    <r>
      <rPr>
        <b/>
        <sz val="7"/>
        <color theme="1" tint="0.499984740745262"/>
        <rFont val="Noto Sans"/>
        <family val="2"/>
      </rPr>
      <t xml:space="preserve">CDR RGE: </t>
    </r>
    <r>
      <rPr>
        <sz val="7"/>
        <color theme="1" tint="0.499984740745262"/>
        <rFont val="Noto Sans"/>
        <family val="2"/>
      </rPr>
      <t>15ha; average ~40yrs; 80% grenache</t>
    </r>
  </si>
  <si>
    <t>19CHARVIN01</t>
  </si>
  <si>
    <t xml:space="preserve">10% syrah, 5% mourvedre, 5% carignan; 18mths </t>
  </si>
  <si>
    <t>18CHARVIN02</t>
  </si>
  <si>
    <r>
      <rPr>
        <b/>
        <sz val="7"/>
        <color theme="1" tint="0.499984740745262"/>
        <rFont val="Noto Sans"/>
        <family val="2"/>
      </rPr>
      <t>CNDP BLANC:</t>
    </r>
    <r>
      <rPr>
        <sz val="7"/>
        <color theme="1" tint="0.499984740745262"/>
        <rFont val="Noto Sans"/>
        <family val="2"/>
      </rPr>
      <t xml:space="preserve"> ~1000btls; 80-90% 1968 clairette</t>
    </r>
  </si>
  <si>
    <t>18CHARVIN01</t>
  </si>
  <si>
    <t>rose, plus 1940s bourboulenc. Tank raised.</t>
  </si>
  <si>
    <t>16CHARVIN01</t>
  </si>
  <si>
    <r>
      <rPr>
        <b/>
        <sz val="7"/>
        <color theme="1" tint="0.499984740745262"/>
        <rFont val="Noto Sans"/>
        <family val="2"/>
      </rPr>
      <t>PLUS:</t>
    </r>
    <r>
      <rPr>
        <sz val="7"/>
        <color theme="1" tint="0.499984740745262"/>
        <rFont val="Noto Sans"/>
        <family val="2"/>
      </rPr>
      <t xml:space="preserve"> spot IGP RGE, &amp; CDR BLANC</t>
    </r>
  </si>
  <si>
    <t>15CHARVIN01</t>
  </si>
  <si>
    <t>14CHARVIN01T</t>
  </si>
  <si>
    <t>2016 1st CNDP BLANC: ~90%1968 vines clairette</t>
  </si>
  <si>
    <t>12CHARVIN01</t>
  </si>
  <si>
    <t>2015 1st CDR BLANC; father Gerard retires</t>
  </si>
  <si>
    <t>CNDP EN MAGNUM:</t>
  </si>
  <si>
    <t>2014 Organic certified</t>
  </si>
  <si>
    <t>19CHARVIN02MG</t>
  </si>
  <si>
    <t>2011 start of Organic in Conversion</t>
  </si>
  <si>
    <t>19CHARVIN01MG</t>
  </si>
  <si>
    <t>1990 Laurent joins; domaine bottling starts</t>
  </si>
  <si>
    <t>18CHARVIN02MG</t>
  </si>
  <si>
    <t>1969 Laurent born</t>
  </si>
  <si>
    <t>15CHARVIN01MG</t>
  </si>
  <si>
    <t>1851 Guillaume Charvin starts family vine activity</t>
  </si>
  <si>
    <t>14CHARVIN01MT</t>
  </si>
  <si>
    <t>CNDP EN JEROBOAM:</t>
  </si>
  <si>
    <t>2021 RVF Coup de Coeur (of all Rhone)</t>
  </si>
  <si>
    <t>19CHARVIN02JB</t>
  </si>
  <si>
    <t>2005 RP World's Greatest Wine Estates</t>
  </si>
  <si>
    <t>2004 1st entry in Wine Spectator Top 100</t>
  </si>
  <si>
    <t>instagram.com/domaine_charvin/</t>
  </si>
  <si>
    <t>GROWER CODE: CHARVIN</t>
  </si>
  <si>
    <t>CLOS DES PAPES</t>
  </si>
  <si>
    <t>by Famille Avril</t>
  </si>
  <si>
    <t>22AVRIL01B</t>
  </si>
  <si>
    <t>Famille Avril. Châteauneuf du Pape. 37ha</t>
  </si>
  <si>
    <t>21AVRIL01B</t>
  </si>
  <si>
    <t>20AVRIL01B</t>
  </si>
  <si>
    <t>19AVRIL01B</t>
  </si>
  <si>
    <t>green harvest; low yields; triage; foudres</t>
  </si>
  <si>
    <t>red is ~95% GSM blend (65/20/10%) +5% others</t>
  </si>
  <si>
    <t>22AVRIL01R</t>
  </si>
  <si>
    <t>24 parcels, 1 within the Clos of the Chateau</t>
  </si>
  <si>
    <t>21AVRIL01R</t>
  </si>
  <si>
    <t>4ha white, 5 varieties, raised in tank</t>
  </si>
  <si>
    <t>20AVRIL01R</t>
  </si>
  <si>
    <t>19AVRIL01R</t>
  </si>
  <si>
    <r>
      <t xml:space="preserve">2009 (finally) </t>
    </r>
    <r>
      <rPr>
        <b/>
        <sz val="7"/>
        <color rgb="FF00B050"/>
        <rFont val="Noto Sans"/>
        <family val="2"/>
      </rPr>
      <t>Organic certified</t>
    </r>
  </si>
  <si>
    <t>18AVRIL01R</t>
  </si>
  <si>
    <t>1991 all red destemmed now on</t>
  </si>
  <si>
    <t>14AVRIL01R</t>
  </si>
  <si>
    <t>1988 Paul-Vincent Avril joins, alongside father</t>
  </si>
  <si>
    <t>13AVRIL01R</t>
  </si>
  <si>
    <t>1987 now 100% domaine bottled</t>
  </si>
  <si>
    <t>10AVRIL01R</t>
  </si>
  <si>
    <t>1955 1st white wine release</t>
  </si>
  <si>
    <t>1896 1st bottling with Clos des Papes name</t>
  </si>
  <si>
    <t>TIEMLINE OF AVRIL FAMILY:</t>
  </si>
  <si>
    <t>B.1965 - present - Paul-Vincent Avril, 4th gen.</t>
  </si>
  <si>
    <t>B.1937 - D.2009 - Paul Avril, 3rd generation</t>
  </si>
  <si>
    <t>B.1901 - D.1987 Régis Avril, 2nd generation</t>
  </si>
  <si>
    <t>B.1873 - D.1962 Paul Avril, founder</t>
  </si>
  <si>
    <t>2005 1st entry in Wine Spectator Top 100</t>
  </si>
  <si>
    <t>2005 RP's World's Greatest Wine Estates</t>
  </si>
  <si>
    <r>
      <rPr>
        <b/>
        <sz val="7"/>
        <color theme="1" tint="0.499984740745262"/>
        <rFont val="Noto Sans"/>
        <family val="2"/>
      </rPr>
      <t>often</t>
    </r>
    <r>
      <rPr>
        <sz val="7"/>
        <color theme="1" tint="0.499984740745262"/>
        <rFont val="Noto Sans"/>
        <family val="2"/>
      </rPr>
      <t xml:space="preserve"> in Wine Spectator Top 100</t>
    </r>
  </si>
  <si>
    <t>Clos-Des-Papes.fr</t>
  </si>
  <si>
    <t>GROWER CODE: AVRIL</t>
  </si>
  <si>
    <t>TWA: 'the Chambolle of Gigondas'</t>
  </si>
  <si>
    <t>L'ARGNÉE GIGONDAS</t>
  </si>
  <si>
    <t>21BEAU05</t>
  </si>
  <si>
    <t>by Famille Perrin</t>
  </si>
  <si>
    <t>20BEAU05</t>
  </si>
  <si>
    <t>Selection Parcellaire series</t>
  </si>
  <si>
    <t>19BEAU05</t>
  </si>
  <si>
    <t>Just under 1ha ungrafted grenache</t>
  </si>
  <si>
    <t>18BEAU05</t>
  </si>
  <si>
    <t xml:space="preserve">based on tvv vines on sandy soil. </t>
  </si>
  <si>
    <t xml:space="preserve">De-stem, wood fermenter, ambient yeast, </t>
  </si>
  <si>
    <t>1.5yrs elevage in used foudres</t>
  </si>
  <si>
    <t>Approx 1200-1500btls per vintage;</t>
  </si>
  <si>
    <t>2015 Wine &amp; Spirits Top 100 WOTY for Fam.Perrin</t>
  </si>
  <si>
    <t>2007 1st vintage</t>
  </si>
  <si>
    <t>NB Famille Perrin also own in Gigondas:</t>
  </si>
  <si>
    <t xml:space="preserve">Domaine du Clos des Tourelles, </t>
  </si>
  <si>
    <t>Le Nez bar a vins, &amp; Restaurant L'Oustalet</t>
  </si>
  <si>
    <t>FamillePerrin.com</t>
  </si>
  <si>
    <t>GROWER CODE: BEAU</t>
  </si>
  <si>
    <r>
      <t xml:space="preserve">BEAUCASTEL, </t>
    </r>
    <r>
      <rPr>
        <b/>
        <sz val="10"/>
        <color theme="1" tint="0.14999847407452621"/>
        <rFont val="Noto Sans"/>
        <family val="2"/>
      </rPr>
      <t>Chateau de</t>
    </r>
  </si>
  <si>
    <t>22BEAU01</t>
  </si>
  <si>
    <t>Châteauneuf du Pape &amp; Cotes du Rhône</t>
  </si>
  <si>
    <t>Perrin family, 4th &amp; 5th generations. 110ha</t>
  </si>
  <si>
    <t>CNDP ROUSSANNE VV BLANC:</t>
  </si>
  <si>
    <t>average vine age &gt;65yrs</t>
  </si>
  <si>
    <t>22BEAU02</t>
  </si>
  <si>
    <t>21BEAU04</t>
  </si>
  <si>
    <t>20BEAU04</t>
  </si>
  <si>
    <t>THE MAIN ESTATES:</t>
  </si>
  <si>
    <t>CÔTES DU RHÔNE ROUGE:</t>
  </si>
  <si>
    <r>
      <rPr>
        <b/>
        <sz val="7"/>
        <color theme="1" tint="0.499984740745262"/>
        <rFont val="Noto Sans"/>
        <family val="2"/>
      </rPr>
      <t>COUDOULET DE BEAUCASTEL,</t>
    </r>
    <r>
      <rPr>
        <sz val="7"/>
        <color theme="1" tint="0.499984740745262"/>
        <rFont val="Noto Sans"/>
        <family val="2"/>
      </rPr>
      <t xml:space="preserve"> Cotes du Rhone:</t>
    </r>
  </si>
  <si>
    <t>21BEAU02</t>
  </si>
  <si>
    <t>30ha red: GMCS blend</t>
  </si>
  <si>
    <t>20BEAU02</t>
  </si>
  <si>
    <t>3ha white: marsanne, viognier, bourboulenc, clairette</t>
  </si>
  <si>
    <t>CNDP ROUGE:</t>
  </si>
  <si>
    <r>
      <rPr>
        <b/>
        <sz val="7"/>
        <color theme="1" tint="0.499984740745262"/>
        <rFont val="Noto Sans"/>
        <family val="2"/>
      </rPr>
      <t>CHATEAU DE BEAUCASTEL,</t>
    </r>
    <r>
      <rPr>
        <sz val="7"/>
        <color theme="1" tint="0.499984740745262"/>
        <rFont val="Noto Sans"/>
        <family val="2"/>
      </rPr>
      <t>Châteauneuf:</t>
    </r>
  </si>
  <si>
    <t>21BEAU01</t>
  </si>
  <si>
    <t>70ha red =13 varieties. 10% counoise &amp; growing,</t>
  </si>
  <si>
    <t>20BEAU01</t>
  </si>
  <si>
    <t>30% each grenache &amp; mourvedre</t>
  </si>
  <si>
    <t>19BEAU01</t>
  </si>
  <si>
    <t>7ha of white, 80% roussanne, incl.vieilles vignes</t>
  </si>
  <si>
    <t>18BEAU02</t>
  </si>
  <si>
    <r>
      <rPr>
        <b/>
        <sz val="7"/>
        <color theme="1" tint="0.499984740745262"/>
        <rFont val="Noto Sans"/>
        <family val="2"/>
      </rPr>
      <t>HAJP CNDP:</t>
    </r>
    <r>
      <rPr>
        <sz val="7"/>
        <color theme="1" tint="0.499984740745262"/>
        <rFont val="Noto Sans"/>
        <family val="2"/>
      </rPr>
      <t xml:space="preserve"> based on a tvv parcel planted 1909</t>
    </r>
  </si>
  <si>
    <t>CNDP HAJP:</t>
  </si>
  <si>
    <t>18BEAU06</t>
  </si>
  <si>
    <t>2024 new winery by Studio Mumbai completes</t>
  </si>
  <si>
    <t>14BEAU01</t>
  </si>
  <si>
    <t>1989 1st vintage Hommage a Jacques Perrin</t>
  </si>
  <si>
    <t>1978 Jacques Perrin passes away</t>
  </si>
  <si>
    <t>1974 start with BD practices</t>
  </si>
  <si>
    <r>
      <t xml:space="preserve">1950 start with </t>
    </r>
    <r>
      <rPr>
        <b/>
        <sz val="7"/>
        <color rgb="FF00B050"/>
        <rFont val="Noto Sans"/>
        <family val="2"/>
      </rPr>
      <t>conscious</t>
    </r>
    <r>
      <rPr>
        <sz val="7"/>
        <color theme="1" tint="0.499984740745262"/>
        <rFont val="Noto Sans"/>
        <family val="2"/>
      </rPr>
      <t xml:space="preserve"> farming</t>
    </r>
  </si>
  <si>
    <t>1909 estate given to Pierre Perrin by father-in-law</t>
  </si>
  <si>
    <t>1549 1st record of estate</t>
  </si>
  <si>
    <t>2016 HAJP 2013 in Suckling's Top 100 WOTY</t>
  </si>
  <si>
    <t>2015 1st entry in IWR Top 100 WOTY</t>
  </si>
  <si>
    <t>2015 Wine Enthusiast, Top 100 Cellar Selection</t>
  </si>
  <si>
    <t>2010 HAJP 2007 in Wine Spectator Top 100</t>
  </si>
  <si>
    <t>2005 1st Wine &amp; Spirits Top 100 Winery of The Year</t>
  </si>
  <si>
    <t>1991 1st entry in Wine Spectator Top 100</t>
  </si>
  <si>
    <t>RVF 3* cellar; B+D 5* 2022</t>
  </si>
  <si>
    <t>often in IWR Top 100 WOTY</t>
  </si>
  <si>
    <t>often a Wine &amp; Spirits Top 100, Winery of the Year</t>
  </si>
  <si>
    <t>Beaucastel.com</t>
  </si>
  <si>
    <t>VINTAGE REPORT AVAIL ON EACH YEAR</t>
  </si>
  <si>
    <t>DEBRA MEIBURG MW INTERVIEW #162</t>
  </si>
  <si>
    <r>
      <rPr>
        <b/>
        <sz val="7"/>
        <color theme="1" tint="0.499984740745262"/>
        <rFont val="Noto Sans"/>
        <family val="2"/>
      </rPr>
      <t>J.Dunnuck, TWA 2016</t>
    </r>
    <r>
      <rPr>
        <sz val="7"/>
        <color theme="1" tint="0.499984740745262"/>
        <rFont val="Noto Sans"/>
        <family val="2"/>
      </rPr>
      <t xml:space="preserve"> 'make a rich, full-bodied, concentrated style of wine from throughout the Southern Rhône Valley.'</t>
    </r>
  </si>
  <si>
    <r>
      <rPr>
        <b/>
        <sz val="7"/>
        <color theme="1" tint="0.499984740745262"/>
        <rFont val="Noto Sans"/>
        <family val="2"/>
      </rPr>
      <t>J.Dunnuck, TWA 2014</t>
    </r>
    <r>
      <rPr>
        <sz val="7"/>
        <color theme="1" tint="0.499984740745262"/>
        <rFont val="Noto Sans"/>
        <family val="2"/>
      </rPr>
      <t xml:space="preserve"> 'incredibly strong...2013s. The wines break the vintage stereotype, have fantastic richness, sweet tannin.'</t>
    </r>
  </si>
  <si>
    <r>
      <rPr>
        <b/>
        <sz val="7"/>
        <color theme="1" tint="0.499984740745262"/>
        <rFont val="Noto Sans"/>
        <family val="2"/>
      </rPr>
      <t>J.Dunnuck, TWA 2016</t>
    </r>
    <r>
      <rPr>
        <sz val="7"/>
        <color theme="1" tint="0.499984740745262"/>
        <rFont val="Noto Sans"/>
        <family val="2"/>
      </rPr>
      <t xml:space="preserve"> 'all brought up in barrels (some new), but the oak is rarely noticeable, and these wines show beautiful typicity.'</t>
    </r>
  </si>
  <si>
    <r>
      <rPr>
        <b/>
        <sz val="7"/>
        <color theme="1" tint="0.499984740745262"/>
        <rFont val="Noto Sans"/>
        <family val="2"/>
      </rPr>
      <t>J.Dunnuck, TWA 2013</t>
    </r>
    <r>
      <rPr>
        <sz val="7"/>
        <color theme="1" tint="0.499984740745262"/>
        <rFont val="Noto Sans"/>
        <family val="2"/>
      </rPr>
      <t xml:space="preserve"> 'high-class efforts from throughout the entire Rhone Valley'</t>
    </r>
  </si>
  <si>
    <r>
      <rPr>
        <b/>
        <sz val="7"/>
        <color theme="1" tint="0.499984740745262"/>
        <rFont val="Noto Sans"/>
        <family val="2"/>
      </rPr>
      <t>R.Parker, TWA 2007</t>
    </r>
    <r>
      <rPr>
        <sz val="7"/>
        <color theme="1" tint="0.499984740745262"/>
        <rFont val="Noto Sans"/>
        <family val="2"/>
      </rPr>
      <t xml:space="preserve"> 'exceptional knowledge about some of the finest vineyards &amp; grape sources in both the northern and southern Rhone...'</t>
    </r>
  </si>
  <si>
    <r>
      <rPr>
        <b/>
        <sz val="7"/>
        <color theme="1" tint="0.499984740745262"/>
        <rFont val="Noto Sans"/>
        <family val="2"/>
      </rPr>
      <t>R.Parker, TWA 2003</t>
    </r>
    <r>
      <rPr>
        <sz val="7"/>
        <color theme="1" tint="0.499984740745262"/>
        <rFont val="Noto Sans"/>
        <family val="2"/>
      </rPr>
      <t xml:space="preserve"> 'the most exciting negociant offerings of the southern Rhone. Bottom line...extraordinary source of top quality wines.'
</t>
    </r>
  </si>
  <si>
    <r>
      <rPr>
        <b/>
        <sz val="7"/>
        <color theme="1" tint="0.499984740745262"/>
        <rFont val="Noto Sans"/>
        <family val="2"/>
      </rPr>
      <t>R.Parker, TWA 2003 '</t>
    </r>
    <r>
      <rPr>
        <sz val="7"/>
        <color theme="1" tint="0.499984740745262"/>
        <rFont val="Noto Sans"/>
        <family val="2"/>
      </rPr>
      <t xml:space="preserve">The wines are made according to minimalist theories... old vines and tiny yields. Sulphur additions are minimal. </t>
    </r>
  </si>
  <si>
    <t>There is no racking of the wines, and bottling is accomplished without fining or filtration. This is what is called "reductive winemaking" '</t>
  </si>
  <si>
    <r>
      <rPr>
        <b/>
        <sz val="7"/>
        <color theme="1" tint="0.499984740745262"/>
        <rFont val="Noto Sans"/>
        <family val="2"/>
      </rPr>
      <t xml:space="preserve">R.Parker, TWA 2003 </t>
    </r>
    <r>
      <rPr>
        <sz val="7"/>
        <color theme="1" tint="0.499984740745262"/>
        <rFont val="Noto Sans"/>
        <family val="2"/>
      </rPr>
      <t>'most exciting negociant offerings of the southern Rhone...an extraordinary source of top quality wines.’</t>
    </r>
  </si>
  <si>
    <t>CDR BLANC:</t>
  </si>
  <si>
    <t>21LAURENT01</t>
  </si>
  <si>
    <t>South Rhône range</t>
  </si>
  <si>
    <t>19LAURENT01</t>
  </si>
  <si>
    <r>
      <t>Lourmarin, Luberon. '</t>
    </r>
    <r>
      <rPr>
        <b/>
        <i/>
        <sz val="8"/>
        <color theme="1" tint="0.14999847407452621"/>
        <rFont val="Noto Sans"/>
        <family val="2"/>
      </rPr>
      <t>Haute négoce</t>
    </r>
    <r>
      <rPr>
        <sz val="8"/>
        <color theme="1" tint="0.14999847407452621"/>
        <rFont val="Noto Sans"/>
        <family val="2"/>
      </rPr>
      <t>' Rhône</t>
    </r>
  </si>
  <si>
    <t>18LAURENT01</t>
  </si>
  <si>
    <t>17LAURENT01</t>
  </si>
  <si>
    <t>VACQUEYRAS BLANC:</t>
  </si>
  <si>
    <t>23LAURENT01</t>
  </si>
  <si>
    <t>22LAURENT06</t>
  </si>
  <si>
    <t>CO-FOUNDER: Dominque Laurent (&amp; his casks)</t>
  </si>
  <si>
    <t>21LAURENT02</t>
  </si>
  <si>
    <t>18LAURENT04</t>
  </si>
  <si>
    <r>
      <rPr>
        <b/>
        <sz val="8"/>
        <color rgb="FF00B050"/>
        <rFont val="Noto Sans"/>
        <family val="2"/>
      </rPr>
      <t>sustainable</t>
    </r>
    <r>
      <rPr>
        <sz val="8"/>
        <color theme="1" tint="0.14999847407452621"/>
        <rFont val="Noto Sans"/>
        <family val="2"/>
      </rPr>
      <t xml:space="preserve"> </t>
    </r>
  </si>
  <si>
    <t>CHATEAUNEUF VV BLANC:</t>
  </si>
  <si>
    <t>23LAURENT02</t>
  </si>
  <si>
    <t>22LAURENT01</t>
  </si>
  <si>
    <t>21LAURENT03</t>
  </si>
  <si>
    <t>20LAURENT01</t>
  </si>
  <si>
    <t>19LAURENT03</t>
  </si>
  <si>
    <t>NICELY MID-MATURE SOUTH-RHÔNE ROUGE, BY £:</t>
  </si>
  <si>
    <t>2017 1st vintage of Lirac VV</t>
  </si>
  <si>
    <t>09LAURENT13</t>
  </si>
  <si>
    <t>12LAURENT07</t>
  </si>
  <si>
    <t>09LAURENT06</t>
  </si>
  <si>
    <t>2013 first certified organic wines</t>
  </si>
  <si>
    <t>12LAURENT09</t>
  </si>
  <si>
    <t>CDR ROUGE:</t>
  </si>
  <si>
    <t>21LAURENT09</t>
  </si>
  <si>
    <t>18LAURENT08</t>
  </si>
  <si>
    <t>17LAURENT04</t>
  </si>
  <si>
    <t>16LAURENT05</t>
  </si>
  <si>
    <t>15LAURENT06</t>
  </si>
  <si>
    <t>13LAURENT04</t>
  </si>
  <si>
    <t>12LAURENT04</t>
  </si>
  <si>
    <t>11LAURENT05</t>
  </si>
  <si>
    <t>a Wine &amp; Spirits Top 100, Winery of the Year</t>
  </si>
  <si>
    <t>COTES DU RHÔNE VV ROUGE:</t>
  </si>
  <si>
    <t>23LAURENT08</t>
  </si>
  <si>
    <t>22LAURENT08</t>
  </si>
  <si>
    <t>2010 1st Wine &amp; Spirits Top 100 Winery of The Yr</t>
  </si>
  <si>
    <t>21LAURENT19</t>
  </si>
  <si>
    <t>FICHE ON BLANCS DU SUD:</t>
  </si>
  <si>
    <t>20LAURENT07</t>
  </si>
  <si>
    <t>CDR NOBLES ORIGINES (ex-GUY LOUIS) BLANC:</t>
  </si>
  <si>
    <t>19LAURENT08</t>
  </si>
  <si>
    <t>1/3 North, 2/3 South terroirs. ~60yr marsanne,</t>
  </si>
  <si>
    <t>18LAURENT09</t>
  </si>
  <si>
    <t>~70yr grenache blanc,  ~40yr roussanne &amp; viognier,</t>
  </si>
  <si>
    <t>17LAURENT06</t>
  </si>
  <si>
    <t>~30yr clairette</t>
  </si>
  <si>
    <t>16LAURENT06</t>
  </si>
  <si>
    <r>
      <rPr>
        <b/>
        <sz val="7"/>
        <color theme="1" tint="0.499984740745262"/>
        <rFont val="Noto Sans"/>
        <family val="2"/>
      </rPr>
      <t>CNdP VV BLANC</t>
    </r>
    <r>
      <rPr>
        <sz val="7"/>
        <color theme="1" tint="0.499984740745262"/>
        <rFont val="Noto Sans"/>
        <family val="2"/>
      </rPr>
      <t xml:space="preserve"> blend now generally includes:</t>
    </r>
  </si>
  <si>
    <t>LIRAC VV ROUGE:</t>
  </si>
  <si>
    <t>grenache bl.(~60yrs), roussanne (~30yrs), clairette</t>
  </si>
  <si>
    <t>19LAURENT17</t>
  </si>
  <si>
    <t>&amp; bourboulenc (~40yrs) on pudding stone &amp; sand</t>
  </si>
  <si>
    <t>18LAURENT19</t>
  </si>
  <si>
    <t>NB pre-2014 it was grenache roussanne only</t>
  </si>
  <si>
    <t>17LAURENT18</t>
  </si>
  <si>
    <t>FICHE ON ROUGES DU SUD:</t>
  </si>
  <si>
    <t>RASTEAU VV ROUGE:</t>
  </si>
  <si>
    <r>
      <rPr>
        <b/>
        <sz val="7"/>
        <color theme="1" tint="0.499984740745262"/>
        <rFont val="Noto Sans"/>
        <family val="2"/>
      </rPr>
      <t>CDR NOBLES ORIGINES (ex-GUY LOUIS) ROUGE:</t>
    </r>
    <r>
      <rPr>
        <sz val="7"/>
        <color theme="1" tint="0.499984740745262"/>
        <rFont val="Noto Sans"/>
        <family val="2"/>
      </rPr>
      <t xml:space="preserve"> </t>
    </r>
  </si>
  <si>
    <t>23LAURENT18</t>
  </si>
  <si>
    <t>GSM blend, now: ~60% 50yr grenache, ~25% 40yr</t>
  </si>
  <si>
    <t>18LAURENT18</t>
  </si>
  <si>
    <t>syrah, 15% ~35yr av. Mourvedre; 33% stems.</t>
  </si>
  <si>
    <t>VACQUEYRAS VV ROUGE:</t>
  </si>
  <si>
    <t xml:space="preserve">Declassified sandier terroirs like Vacqueyras, </t>
  </si>
  <si>
    <t>23LAURENT09</t>
  </si>
  <si>
    <t>Rasteau, Lirac, Beaumes de Venise, Cairanne</t>
  </si>
  <si>
    <t>22LAURENT09</t>
  </si>
  <si>
    <r>
      <rPr>
        <b/>
        <sz val="7"/>
        <color theme="1" tint="0.499984740745262"/>
        <rFont val="Noto Sans"/>
        <family val="2"/>
      </rPr>
      <t>CDR C.SPECIALE VV</t>
    </r>
    <r>
      <rPr>
        <sz val="7"/>
        <color theme="1" tint="0.499984740745262"/>
        <rFont val="Noto Sans"/>
        <family val="2"/>
      </rPr>
      <t xml:space="preserve"> 95% grenache (~70yrs)</t>
    </r>
  </si>
  <si>
    <t>21LAURENT13</t>
  </si>
  <si>
    <t>on pebbles &amp; sand, destemmed (since 2014)</t>
  </si>
  <si>
    <t>20LAURENT08</t>
  </si>
  <si>
    <r>
      <rPr>
        <b/>
        <sz val="7"/>
        <color theme="1" tint="0.499984740745262"/>
        <rFont val="Noto Sans"/>
        <family val="2"/>
      </rPr>
      <t>RASTEAU VV</t>
    </r>
    <r>
      <rPr>
        <sz val="7"/>
        <color theme="1" tint="0.499984740745262"/>
        <rFont val="Noto Sans"/>
        <family val="2"/>
      </rPr>
      <t xml:space="preserve"> ~80yr grenache, ~40yr syrah &amp;</t>
    </r>
  </si>
  <si>
    <t>19LAURENT18</t>
  </si>
  <si>
    <t>mourvedre on limestone &amp; blue clay, 33% stems</t>
  </si>
  <si>
    <t>18LAURENT13</t>
  </si>
  <si>
    <r>
      <rPr>
        <b/>
        <sz val="7"/>
        <color theme="1" tint="0.499984740745262"/>
        <rFont val="Noto Sans"/>
        <family val="2"/>
      </rPr>
      <t>VACQUEYRAS VV</t>
    </r>
    <r>
      <rPr>
        <sz val="7"/>
        <color theme="1" tint="0.499984740745262"/>
        <rFont val="Noto Sans"/>
        <family val="2"/>
      </rPr>
      <t xml:space="preserve"> ~60yr grenache, plus ~40yr</t>
    </r>
  </si>
  <si>
    <t>17LAURENT15</t>
  </si>
  <si>
    <t>syrah/mourvedre, on pebbles &amp; sand, 66% stems</t>
  </si>
  <si>
    <t>16LAURENT07</t>
  </si>
  <si>
    <r>
      <rPr>
        <b/>
        <sz val="7"/>
        <color theme="1" tint="0.499984740745262"/>
        <rFont val="Noto Sans"/>
        <family val="2"/>
      </rPr>
      <t>GIGONDAS VV</t>
    </r>
    <r>
      <rPr>
        <sz val="7"/>
        <color theme="1" tint="0.499984740745262"/>
        <rFont val="Noto Sans"/>
        <family val="2"/>
      </rPr>
      <t xml:space="preserve"> 80-95% 70-100yr grenache, &amp; 40-50</t>
    </r>
  </si>
  <si>
    <t>GIGONDAS VV ROUGE:</t>
  </si>
  <si>
    <t>yr syrah/mourvedre on limestone. 66-100% stems</t>
  </si>
  <si>
    <t>23LAURENT10</t>
  </si>
  <si>
    <r>
      <rPr>
        <b/>
        <sz val="7"/>
        <color theme="1" tint="0.499984740745262"/>
        <rFont val="Noto Sans"/>
        <family val="2"/>
      </rPr>
      <t xml:space="preserve">CNdP VV </t>
    </r>
    <r>
      <rPr>
        <sz val="7"/>
        <color theme="1" tint="0.499984740745262"/>
        <rFont val="Noto Sans"/>
        <family val="2"/>
      </rPr>
      <t>mostly destemmed vv&amp;tvv grenache, with</t>
    </r>
  </si>
  <si>
    <t>22LAURENT10</t>
  </si>
  <si>
    <t>vv syrah/mourvedre/cinsault, on pudding stones</t>
  </si>
  <si>
    <t>21LAURENT14</t>
  </si>
  <si>
    <r>
      <rPr>
        <b/>
        <sz val="7"/>
        <color theme="1" tint="0.499984740745262"/>
        <rFont val="Noto Sans"/>
        <family val="2"/>
      </rPr>
      <t>CNdP C.SPECIALE</t>
    </r>
    <r>
      <rPr>
        <sz val="7"/>
        <color theme="1" tint="0.499984740745262"/>
        <rFont val="Noto Sans"/>
        <family val="2"/>
      </rPr>
      <t xml:space="preserve"> 100% grenache ~100yrs on</t>
    </r>
  </si>
  <si>
    <t>20LAURENT09</t>
  </si>
  <si>
    <t>sand, 100% stems, at La Crau</t>
  </si>
  <si>
    <t>19LAURENT09</t>
  </si>
  <si>
    <t>SOME TARDIEU/RHONE STATS:</t>
  </si>
  <si>
    <t>18LAURENT10</t>
  </si>
  <si>
    <t>17LAURENT07</t>
  </si>
  <si>
    <t>16LAURENT08</t>
  </si>
  <si>
    <t>15LAURENT10</t>
  </si>
  <si>
    <t>13LAURENT06</t>
  </si>
  <si>
    <t>[The Rhone is 95% red, &gt;95% South, 66% co-op,</t>
  </si>
  <si>
    <t>CHÂTEAUNEUF GSM VV ROUGE:</t>
  </si>
  <si>
    <t>RVF 1/2* cellar; B+D 5* 2022</t>
  </si>
  <si>
    <t>23LAURENT11</t>
  </si>
  <si>
    <t>21LAURENT15</t>
  </si>
  <si>
    <t>NB ALSO SEE NORTH RHONE</t>
  </si>
  <si>
    <t>20LAURENT11</t>
  </si>
  <si>
    <t>19LAURENT11</t>
  </si>
  <si>
    <t>18LAURENT12</t>
  </si>
  <si>
    <t>17LAURENT16</t>
  </si>
  <si>
    <t>16LAURENT10</t>
  </si>
  <si>
    <t>13LAURENT07</t>
  </si>
  <si>
    <t>12LAURENT08</t>
  </si>
  <si>
    <t>11LAURENT09</t>
  </si>
  <si>
    <t>10LAURENT09</t>
  </si>
  <si>
    <t>CHÂTEAUNEUF CUVÉE SPÉCIALE TVV ROUGE:</t>
  </si>
  <si>
    <t>23LAURENT12</t>
  </si>
  <si>
    <t>22LAURENT11</t>
  </si>
  <si>
    <t>21LAURENT10</t>
  </si>
  <si>
    <t>20LAURENT10</t>
  </si>
  <si>
    <t>19LAURENT10</t>
  </si>
  <si>
    <t>18LAURENT11</t>
  </si>
  <si>
    <t>17LAURENT08</t>
  </si>
  <si>
    <t>16LAURENT09</t>
  </si>
  <si>
    <t>15LAURENT11</t>
  </si>
  <si>
    <t>14LAURENT06</t>
  </si>
  <si>
    <t>11LAURENT10</t>
  </si>
  <si>
    <t>09LAURENT07</t>
  </si>
  <si>
    <t>SOUTH RHÔNE ROUGE EN MAGNUM:</t>
  </si>
  <si>
    <t>16LAURENT06MG</t>
  </si>
  <si>
    <t>14LAURENT04MG</t>
  </si>
  <si>
    <t>19LAURENT17MG</t>
  </si>
  <si>
    <t>18LAURENT19MG</t>
  </si>
  <si>
    <t>17LAURENT18MG</t>
  </si>
  <si>
    <t>18LAURENT18MG</t>
  </si>
  <si>
    <t>16LAURENT12MG</t>
  </si>
  <si>
    <t>17LAURENT15MG</t>
  </si>
  <si>
    <t>14LAURENT05MG</t>
  </si>
  <si>
    <t>19LAURENT09MG</t>
  </si>
  <si>
    <t>18LAURENT10MG</t>
  </si>
  <si>
    <t>17LAURENT07MG</t>
  </si>
  <si>
    <t>17LAURENT16MG</t>
  </si>
  <si>
    <t>12LAURENT08M</t>
  </si>
  <si>
    <t>14LAURENT06MG</t>
  </si>
  <si>
    <r>
      <rPr>
        <b/>
        <sz val="8"/>
        <color rgb="FF262626"/>
        <rFont val="Noto Sans"/>
        <family val="2"/>
      </rPr>
      <t>NB</t>
    </r>
    <r>
      <rPr>
        <b/>
        <i/>
        <sz val="8"/>
        <color rgb="FF262626"/>
        <rFont val="Noto Sans"/>
        <family val="2"/>
      </rPr>
      <t xml:space="preserve"> ALL </t>
    </r>
    <r>
      <rPr>
        <b/>
        <sz val="8"/>
        <color rgb="FF262626"/>
        <rFont val="Noto Sans"/>
        <family val="2"/>
      </rPr>
      <t>IN THE VAULTS, EDINBURGH</t>
    </r>
  </si>
  <si>
    <t>MORDORÉE, Dom. de La</t>
  </si>
  <si>
    <t>02DELORME03</t>
  </si>
  <si>
    <t>by Christophe Delorme</t>
  </si>
  <si>
    <t>Tavel. Founded 1986: now &gt;60ha in 38 plots</t>
  </si>
  <si>
    <r>
      <rPr>
        <b/>
        <sz val="8"/>
        <color rgb="FF00B050"/>
        <rFont val="Noto Sans"/>
        <family val="2"/>
      </rPr>
      <t>sustainable</t>
    </r>
    <r>
      <rPr>
        <sz val="8"/>
        <color theme="1" tint="0.14999847407452621"/>
        <rFont val="Noto Sans"/>
        <family val="2"/>
      </rPr>
      <t xml:space="preserve"> for &gt;15 years</t>
    </r>
  </si>
  <si>
    <t>RVF 1* estate, B+D 3* 2022</t>
  </si>
  <si>
    <t>Domaine-Mordoree.com</t>
  </si>
  <si>
    <t>GROWER CODE: DELORME</t>
  </si>
  <si>
    <r>
      <rPr>
        <b/>
        <sz val="7"/>
        <color theme="1" tint="0.499984740745262"/>
        <rFont val="Noto Sans"/>
        <family val="2"/>
      </rPr>
      <t>James Dunstan</t>
    </r>
    <r>
      <rPr>
        <sz val="7"/>
        <color theme="1" tint="0.499984740745262"/>
        <rFont val="Noto Sans"/>
        <family val="2"/>
      </rPr>
      <t xml:space="preserve"> 'pure and naturally refreshing - sustainably farmed, simply made, for everyday pleasure'</t>
    </r>
  </si>
  <si>
    <r>
      <rPr>
        <b/>
        <sz val="7"/>
        <color theme="1" tint="0.499984740745262"/>
        <rFont val="Noto Sans"/>
        <family val="2"/>
      </rPr>
      <t>Heraclitus, 500 BCE '</t>
    </r>
    <r>
      <rPr>
        <sz val="7"/>
        <color theme="1" tint="0.499984740745262"/>
        <rFont val="Noto Sans"/>
        <family val="2"/>
      </rPr>
      <t>We go down twice into the same river, and yet into a different river.</t>
    </r>
  </si>
  <si>
    <t>For the stream keeps the same name, but the water has already flowed past.'</t>
  </si>
  <si>
    <t>'SAME RIVER TWICE'</t>
  </si>
  <si>
    <t>22HELIOCENT02</t>
  </si>
  <si>
    <t>by Mr. James Dunstan</t>
  </si>
  <si>
    <t>24HELIOCENT01</t>
  </si>
  <si>
    <t>An English wine merchant in the Southern</t>
  </si>
  <si>
    <t>22HELIOCENT03</t>
  </si>
  <si>
    <t xml:space="preserve">Rhone valley, in a quest for freshness, </t>
  </si>
  <si>
    <t>23HELIOCENT03</t>
  </si>
  <si>
    <t>character, high drinkability</t>
  </si>
  <si>
    <t>all wines are ambient yeast, no-to-low filtration,</t>
  </si>
  <si>
    <t>capsule-free from 2022s</t>
  </si>
  <si>
    <t>THE WINES THUS FAR:</t>
  </si>
  <si>
    <r>
      <rPr>
        <b/>
        <sz val="7"/>
        <color theme="1" tint="0.14999847407452621"/>
        <rFont val="Noto Sans"/>
        <family val="2"/>
      </rPr>
      <t>BLANC</t>
    </r>
    <r>
      <rPr>
        <b/>
        <sz val="7"/>
        <color theme="1" tint="0.499984740745262"/>
        <rFont val="Noto Sans"/>
        <family val="2"/>
      </rPr>
      <t>:</t>
    </r>
    <r>
      <rPr>
        <sz val="7"/>
        <color theme="1" tint="0.499984740745262"/>
        <rFont val="Noto Sans"/>
        <family val="2"/>
      </rPr>
      <t xml:space="preserve"> 1st made 2020. From 2ha of clairette,</t>
    </r>
  </si>
  <si>
    <t>40-100yrs old, just outside CNDP at 120m on</t>
  </si>
  <si>
    <t>clay-limestone. Ambient yeast, bottled unfiltered.</t>
  </si>
  <si>
    <r>
      <rPr>
        <b/>
        <sz val="7"/>
        <color theme="1" tint="0.14999847407452621"/>
        <rFont val="Noto Sans"/>
        <family val="2"/>
      </rPr>
      <t>ORANGE</t>
    </r>
    <r>
      <rPr>
        <b/>
        <sz val="7"/>
        <color theme="1" tint="0.499984740745262"/>
        <rFont val="Noto Sans"/>
        <family val="2"/>
      </rPr>
      <t>:</t>
    </r>
    <r>
      <rPr>
        <sz val="7"/>
        <color theme="1" tint="0.499984740745262"/>
        <rFont val="Noto Sans"/>
        <family val="2"/>
      </rPr>
      <t xml:space="preserve"> 1st made 2022. A blend of grenache </t>
    </r>
  </si>
  <si>
    <t>blanc, rolle, viognier, roussanne, muscat PG</t>
  </si>
  <si>
    <r>
      <rPr>
        <b/>
        <sz val="7"/>
        <color theme="1" tint="0.14999847407452621"/>
        <rFont val="Noto Sans"/>
        <family val="2"/>
      </rPr>
      <t>ROSÉ</t>
    </r>
    <r>
      <rPr>
        <b/>
        <sz val="7"/>
        <color theme="1" tint="0.499984740745262"/>
        <rFont val="Noto Sans"/>
        <family val="2"/>
      </rPr>
      <t>:</t>
    </r>
    <r>
      <rPr>
        <sz val="7"/>
        <color theme="1" tint="0.499984740745262"/>
        <rFont val="Noto Sans"/>
        <family val="2"/>
      </rPr>
      <t xml:space="preserve"> mature cinsault &amp; grenache at 150-220m on</t>
    </r>
  </si>
  <si>
    <t>clay-limestone, Ventoux (nr Gigondas/Vacqueyras)</t>
  </si>
  <si>
    <t>ambient yeast, 1st made 2020</t>
  </si>
  <si>
    <r>
      <rPr>
        <b/>
        <sz val="7"/>
        <color theme="1" tint="0.14999847407452621"/>
        <rFont val="Noto Sans"/>
        <family val="2"/>
      </rPr>
      <t>ROUGE</t>
    </r>
    <r>
      <rPr>
        <b/>
        <sz val="7"/>
        <color theme="1" tint="0.499984740745262"/>
        <rFont val="Noto Sans"/>
        <family val="2"/>
      </rPr>
      <t>:</t>
    </r>
    <r>
      <rPr>
        <sz val="7"/>
        <color theme="1" tint="0.499984740745262"/>
        <rFont val="Noto Sans"/>
        <family val="2"/>
      </rPr>
      <t xml:space="preserve"> 40-50yr mature vines of grenache, plus </t>
    </r>
  </si>
  <si>
    <t>syrah, carignan &amp; mourvedre on clay-limestone</t>
  </si>
  <si>
    <t>in Ventoux (nr Gigondas &amp; Vacqueyras)</t>
  </si>
  <si>
    <t>Whole cluster, ambient yeast, cement elevage,</t>
  </si>
  <si>
    <t>lightly filtered, modest SO2. 1st made 2018</t>
  </si>
  <si>
    <t>SameRiverTwiceWines.com</t>
  </si>
  <si>
    <t>NEW LISTING FOR LATE 2022</t>
  </si>
  <si>
    <t>GROWER CODE: HELIOCENT</t>
  </si>
  <si>
    <t>DOMAINE DES PALLIERES</t>
  </si>
  <si>
    <t>19PALLIERES</t>
  </si>
  <si>
    <t>by Familles Brunier/Lynch</t>
  </si>
  <si>
    <t>18PALLIERESMG</t>
  </si>
  <si>
    <t xml:space="preserve">Gigondas. 125ha estate; 25ha vines. </t>
  </si>
  <si>
    <t>Bought 1998 by Fam.Brunier &amp; Kermit Lynch</t>
  </si>
  <si>
    <t>average 65-70yr vines, 250-400masl</t>
  </si>
  <si>
    <t>80% grenache, 15% syrah &amp; cinsault, 5% clairette</t>
  </si>
  <si>
    <t>Vieux-Telegraphe.fr</t>
  </si>
  <si>
    <t>KermitLynch.com/our-wines/les-pallieres</t>
  </si>
  <si>
    <t>GROWER CODE: PALLIERES</t>
  </si>
  <si>
    <t>PIEDLONG</t>
  </si>
  <si>
    <t>16PIEDLONG</t>
  </si>
  <si>
    <t>by Famille Brunier</t>
  </si>
  <si>
    <t xml:space="preserve">11ha. Lieu-dit Piedlong. </t>
  </si>
  <si>
    <t>90% grenache &gt;70yrs, 10% mourvedre &gt;50yrs</t>
  </si>
  <si>
    <t>20-22mths in 60hl foudres</t>
  </si>
  <si>
    <t>GROWER CODE: PIEDLONG</t>
  </si>
  <si>
    <t>VIEUX TELEGRAPHE</t>
  </si>
  <si>
    <t>19TELEGRAPHE</t>
  </si>
  <si>
    <t>17TELEGRAPHE</t>
  </si>
  <si>
    <t>Châteauneuf du Pape, on Crau plateau</t>
  </si>
  <si>
    <t>16TELEGRAPHE</t>
  </si>
  <si>
    <t>Brunier family since 1891</t>
  </si>
  <si>
    <t>15TELEGRAPHE</t>
  </si>
  <si>
    <r>
      <t xml:space="preserve">average 60yr old vines, </t>
    </r>
    <r>
      <rPr>
        <b/>
        <sz val="8"/>
        <color rgb="FF00B050"/>
        <rFont val="Noto Sans"/>
        <family val="2"/>
      </rPr>
      <t>no certification</t>
    </r>
  </si>
  <si>
    <t>18TELGRAPHEMG</t>
  </si>
  <si>
    <t>B+D 5* estate 2022</t>
  </si>
  <si>
    <t>GROWER CODE: TELEGRAPHE</t>
  </si>
  <si>
    <t>VILLENEUVE, Dom. de</t>
  </si>
  <si>
    <t xml:space="preserve">Châteauneuf du Pape/Cotes du Rhone. 11ha </t>
  </si>
  <si>
    <t>23VILLE02</t>
  </si>
  <si>
    <t>Stanislas Wallut. ~25hl/ha yield level</t>
  </si>
  <si>
    <t>22VILLE01</t>
  </si>
  <si>
    <t>Organic certified 1998 Ecocert</t>
  </si>
  <si>
    <t>23VILLE01</t>
  </si>
  <si>
    <t>8.4ha CNDP, 50% &gt;80-110 years old</t>
  </si>
  <si>
    <t>22VILLE03</t>
  </si>
  <si>
    <t>G70% M16% Sy8% + cinsault, clairette</t>
  </si>
  <si>
    <t>14VILLE02TB</t>
  </si>
  <si>
    <t>ambient yeast ferment; modest SO2</t>
  </si>
  <si>
    <r>
      <rPr>
        <b/>
        <sz val="8"/>
        <color theme="1" tint="0.14999847407452621"/>
        <rFont val="Noto Sans"/>
        <family val="2"/>
      </rPr>
      <t>HABEMUS PAPAM</t>
    </r>
    <r>
      <rPr>
        <sz val="8"/>
        <color theme="1" tint="0.14999847407452621"/>
        <rFont val="Noto Sans"/>
        <family val="2"/>
      </rPr>
      <t xml:space="preserve">: ~330 MAGS of </t>
    </r>
  </si>
  <si>
    <t>22VILLE03MG</t>
  </si>
  <si>
    <t>M80%, G20% in 5hl cement egg</t>
  </si>
  <si>
    <t>14VILLE02MTB</t>
  </si>
  <si>
    <t>22VILLE02</t>
  </si>
  <si>
    <t>2019 1st vintage of CNDP Habemus Papam</t>
  </si>
  <si>
    <t>2016 1st entry in IWR Top 100 WOTY: CNdP 2014</t>
  </si>
  <si>
    <t>2009 1st vintage CDR La Griffe</t>
  </si>
  <si>
    <t>2003 Roy de Blicquy departs</t>
  </si>
  <si>
    <r>
      <t xml:space="preserve">1998 certified </t>
    </r>
    <r>
      <rPr>
        <b/>
        <sz val="7"/>
        <color rgb="FF00B050"/>
        <rFont val="Noto Sans"/>
        <family val="2"/>
      </rPr>
      <t>Biodynamic</t>
    </r>
    <r>
      <rPr>
        <sz val="7"/>
        <color theme="1" tint="0.499984740745262"/>
        <rFont val="Noto Sans"/>
        <family val="2"/>
      </rPr>
      <t xml:space="preserve"> biodyvin </t>
    </r>
  </si>
  <si>
    <t>2000 new 6m deep stone cellar dug</t>
  </si>
  <si>
    <r>
      <t xml:space="preserve">1998 certified </t>
    </r>
    <r>
      <rPr>
        <b/>
        <sz val="7"/>
        <color rgb="FF00B050"/>
        <rFont val="Noto Sans"/>
        <family val="2"/>
      </rPr>
      <t>Organic</t>
    </r>
    <r>
      <rPr>
        <sz val="7"/>
        <color theme="1" tint="0.499984740745262"/>
        <rFont val="Noto Sans"/>
        <family val="2"/>
      </rPr>
      <t xml:space="preserve"> Ecocert</t>
    </r>
    <r>
      <rPr>
        <b/>
        <sz val="7"/>
        <color rgb="FF00B050"/>
        <rFont val="Arial"/>
        <family val="2"/>
      </rPr>
      <t/>
    </r>
  </si>
  <si>
    <t>1995 start organic &amp; biodynamic conversion</t>
  </si>
  <si>
    <t>1993 founded by Stan &amp; Roy de Blicquy</t>
  </si>
  <si>
    <t>RVF 2* estate; B+D 2*</t>
  </si>
  <si>
    <t>domaine-villeneuve.com</t>
  </si>
  <si>
    <t>GROWER CODE: VILLE</t>
  </si>
  <si>
    <t>France, South - Roussillon</t>
  </si>
  <si>
    <t>CALVET</t>
  </si>
  <si>
    <t>sw.f.r</t>
  </si>
  <si>
    <t>24CALVETMA</t>
  </si>
  <si>
    <t>GROWER CODE: CALVET</t>
  </si>
  <si>
    <t>CLOT DE L'ORIGINE, by</t>
  </si>
  <si>
    <t>Marc &amp; Caroline Barriot</t>
  </si>
  <si>
    <t>21CDORIG01</t>
  </si>
  <si>
    <t>Maury, Roussillon.</t>
  </si>
  <si>
    <t>17CDORIG02</t>
  </si>
  <si>
    <t>formerly known as Clos de L'Origine</t>
  </si>
  <si>
    <t>21CDORIG02</t>
  </si>
  <si>
    <t>12CDORIG02TB</t>
  </si>
  <si>
    <t xml:space="preserve"> 'practising-biodynamic' </t>
  </si>
  <si>
    <t>09CDORIG01VDP</t>
  </si>
  <si>
    <r>
      <t xml:space="preserve">Ⓥ Vegan compatible; </t>
    </r>
    <r>
      <rPr>
        <sz val="8"/>
        <color theme="1" tint="0.14999847407452621"/>
        <rFont val="Noto Sans"/>
        <family val="2"/>
      </rPr>
      <t>low/no SO2</t>
    </r>
  </si>
  <si>
    <t>08CDORIG05VDP</t>
  </si>
  <si>
    <r>
      <t xml:space="preserve">2009 </t>
    </r>
    <r>
      <rPr>
        <b/>
        <sz val="7"/>
        <color rgb="FF00B050"/>
        <rFont val="Noto Sans"/>
        <family val="2"/>
      </rPr>
      <t>Organic certified</t>
    </r>
  </si>
  <si>
    <t>21CDORIG03</t>
  </si>
  <si>
    <t>2004 founded; start of organic &amp; biodynamics</t>
  </si>
  <si>
    <t>17CDORIG03</t>
  </si>
  <si>
    <t>21CDORIG04</t>
  </si>
  <si>
    <r>
      <rPr>
        <b/>
        <sz val="7"/>
        <color theme="1" tint="0.499984740745262"/>
        <rFont val="Noto Sans"/>
        <family val="2"/>
      </rPr>
      <t>Trouble Fait:</t>
    </r>
    <r>
      <rPr>
        <sz val="7"/>
        <color theme="1" tint="0.499984740745262"/>
        <rFont val="Noto Sans"/>
        <family val="2"/>
      </rPr>
      <t xml:space="preserve"> macerated muscat d'Alexandrie</t>
    </r>
  </si>
  <si>
    <t>13CDORIG03TB</t>
  </si>
  <si>
    <r>
      <rPr>
        <b/>
        <sz val="7"/>
        <color theme="1" tint="0.499984740745262"/>
        <rFont val="Noto Sans"/>
        <family val="2"/>
      </rPr>
      <t>Original BLANC</t>
    </r>
    <r>
      <rPr>
        <sz val="7"/>
        <color theme="1" tint="0.499984740745262"/>
        <rFont val="Noto Sans"/>
        <family val="2"/>
      </rPr>
      <t>: macabeu/macabeo</t>
    </r>
  </si>
  <si>
    <t>08CDORIG04</t>
  </si>
  <si>
    <r>
      <rPr>
        <b/>
        <sz val="7"/>
        <color theme="1" tint="0.499984740745262"/>
        <rFont val="Noto Sans"/>
        <family val="2"/>
      </rPr>
      <t>Les Quilles Libres BLANC</t>
    </r>
    <r>
      <rPr>
        <sz val="7"/>
        <color theme="1" tint="0.499984740745262"/>
        <rFont val="Noto Sans"/>
        <family val="2"/>
      </rPr>
      <t>: grenaches blanc&amp;gris</t>
    </r>
  </si>
  <si>
    <t>ROUGE DOUX:</t>
  </si>
  <si>
    <r>
      <rPr>
        <b/>
        <sz val="7"/>
        <color theme="1" tint="0.499984740745262"/>
        <rFont val="Noto Sans"/>
        <family val="2"/>
      </rPr>
      <t xml:space="preserve">P'tit Barriot rouge: </t>
    </r>
    <r>
      <rPr>
        <sz val="7"/>
        <color theme="1" tint="0.499984740745262"/>
        <rFont val="Noto Sans"/>
        <family val="2"/>
      </rPr>
      <t>syrah jeunes vignes</t>
    </r>
  </si>
  <si>
    <t>sw.r</t>
  </si>
  <si>
    <t>17CDORIG04</t>
  </si>
  <si>
    <r>
      <rPr>
        <b/>
        <sz val="7"/>
        <color theme="1" tint="0.499984740745262"/>
        <rFont val="Noto Sans"/>
        <family val="2"/>
      </rPr>
      <t>Soif de Plaisir rouge</t>
    </r>
    <r>
      <rPr>
        <sz val="7"/>
        <color theme="1" tint="0.499984740745262"/>
        <rFont val="Noto Sans"/>
        <family val="2"/>
      </rPr>
      <t>: carignan vv based blend</t>
    </r>
  </si>
  <si>
    <r>
      <rPr>
        <b/>
        <sz val="7"/>
        <color theme="1" tint="0.499984740745262"/>
        <rFont val="Noto Sans"/>
        <family val="2"/>
      </rPr>
      <t>Les Quilles Libres rouge:</t>
    </r>
    <r>
      <rPr>
        <sz val="7"/>
        <color theme="1" tint="0.499984740745262"/>
        <rFont val="Noto Sans"/>
        <family val="2"/>
      </rPr>
      <t xml:space="preserve"> grenache rouge vv</t>
    </r>
  </si>
  <si>
    <t>ClotDeLOrigine.com</t>
  </si>
  <si>
    <t>GROWER CODE: CDORIG</t>
  </si>
  <si>
    <t>LE SOULA, Domaine</t>
  </si>
  <si>
    <t>régisseur Wendy Paillé. 350m-600m alt.</t>
  </si>
  <si>
    <t>20LESOULA06</t>
  </si>
  <si>
    <t>owner Mark Walford. 22ha vines</t>
  </si>
  <si>
    <t>23LESOULA03</t>
  </si>
  <si>
    <t>Fenouillèdes, Côtes Catalanes; Roussillon</t>
  </si>
  <si>
    <t>23LESOULA02</t>
  </si>
  <si>
    <t>ambient ferment; modest sulphites</t>
  </si>
  <si>
    <t>20LESOULA01MG</t>
  </si>
  <si>
    <t>Biodynamic Demeter cert.</t>
  </si>
  <si>
    <t>23LESOULA01</t>
  </si>
  <si>
    <t>21LESOULA01MG</t>
  </si>
  <si>
    <t>2016 Wendy Paillé becomes régisseur</t>
  </si>
  <si>
    <t>21LESOULA04</t>
  </si>
  <si>
    <t xml:space="preserve">2014 construction starts on new farm building </t>
  </si>
  <si>
    <t>2012 Le Soula is Organic certified</t>
  </si>
  <si>
    <t>2008 new cellar made in former Prugnanes co-op</t>
  </si>
  <si>
    <t>2008 Gerald Standley, régisseur starts BD</t>
  </si>
  <si>
    <t xml:space="preserve">2001 Le Soula founded by 3 partners: Mark </t>
  </si>
  <si>
    <t>Walford, Roy Richards and Gérard Gauby</t>
  </si>
  <si>
    <t>RVF 1* estate; B+D 3* estate 2022</t>
  </si>
  <si>
    <t>Le-Soula.com</t>
  </si>
  <si>
    <t>GROWER CODE: SOULA</t>
  </si>
  <si>
    <t>France, South - Languedoc</t>
  </si>
  <si>
    <t>NB AVAILABLE FROM LCB LONDON TILBURY:</t>
  </si>
  <si>
    <t>MONTMARIN, Dom. de</t>
  </si>
  <si>
    <t>WHITE/BLANC:</t>
  </si>
  <si>
    <t>Languedoc, Cotes de Thongue IGP</t>
  </si>
  <si>
    <t>24MONTMAR01TB</t>
  </si>
  <si>
    <t>HORIZON SERIES:</t>
  </si>
  <si>
    <r>
      <rPr>
        <b/>
        <sz val="7"/>
        <color theme="1" tint="0.499984740745262"/>
        <rFont val="Noto Sans"/>
        <family val="2"/>
      </rPr>
      <t>Horizon Blanc</t>
    </r>
    <r>
      <rPr>
        <sz val="7"/>
        <color theme="1" tint="0.499984740745262"/>
        <rFont val="Noto Sans"/>
        <family val="2"/>
      </rPr>
      <t>: sauv.blanc/viognier, 3mths lees</t>
    </r>
  </si>
  <si>
    <t>25MONTMAR02TB</t>
  </si>
  <si>
    <r>
      <t xml:space="preserve">Horizon Rosé: </t>
    </r>
    <r>
      <rPr>
        <sz val="7"/>
        <color theme="1" tint="0.499984740745262"/>
        <rFont val="Noto Sans"/>
        <family val="2"/>
      </rPr>
      <t>grenache/syrah, 3mths lees aging</t>
    </r>
  </si>
  <si>
    <t>Organic certified 2022 Veritas</t>
  </si>
  <si>
    <t>Tank wines, screwcap</t>
  </si>
  <si>
    <t>NB SEE VAULTS STOCK/FICHE BELOW</t>
  </si>
  <si>
    <t>GROWER CODE: MONTMAR</t>
  </si>
  <si>
    <r>
      <t xml:space="preserve">NB MOSTLY </t>
    </r>
    <r>
      <rPr>
        <b/>
        <i/>
        <sz val="8"/>
        <color theme="1"/>
        <rFont val="Noto Sans"/>
        <family val="2"/>
      </rPr>
      <t>ONLY</t>
    </r>
    <r>
      <rPr>
        <b/>
        <sz val="8"/>
        <color theme="1"/>
        <rFont val="Noto Sans"/>
        <family val="2"/>
      </rPr>
      <t xml:space="preserve"> LYING IN THE VAULTS, EDINBURGH:</t>
    </r>
  </si>
  <si>
    <t>Count Philippe de Bertier, 13th gen. famille</t>
  </si>
  <si>
    <t>25MONTMAR01TB</t>
  </si>
  <si>
    <t>Sarret, founded 1488. ~85ha sloping/terraced</t>
  </si>
  <si>
    <t>21MONTMAR02</t>
  </si>
  <si>
    <t>vineyards facing Golfe du Lion. 400ha estate</t>
  </si>
  <si>
    <t>between Béziers and the Etang de Thau</t>
  </si>
  <si>
    <t>Average &gt;20yrs old vines, Villafranchian era</t>
  </si>
  <si>
    <t>RED/ROUGE:</t>
  </si>
  <si>
    <t>clay-limestone soils. Tank wines, screwcap</t>
  </si>
  <si>
    <t>25MONTMAR03TB</t>
  </si>
  <si>
    <t>23MONTMAR02VDP</t>
  </si>
  <si>
    <r>
      <rPr>
        <b/>
        <sz val="7"/>
        <color theme="1" tint="0.499984740745262"/>
        <rFont val="Noto Sans"/>
        <family val="2"/>
      </rPr>
      <t>Horizon Rouge</t>
    </r>
    <r>
      <rPr>
        <sz val="7"/>
        <color theme="1" tint="0.499984740745262"/>
        <rFont val="Noto Sans"/>
        <family val="2"/>
      </rPr>
      <t>: merlot/cabernet sauvignon</t>
    </r>
  </si>
  <si>
    <t>NB SEE LONDON ONLY STOCK ABOVE</t>
  </si>
  <si>
    <t>LES PIERRES SECHES</t>
  </si>
  <si>
    <t>24AREVINS01</t>
  </si>
  <si>
    <t>X  Catherine Roque Collab</t>
  </si>
  <si>
    <t>24AREVINS02</t>
  </si>
  <si>
    <t>Faugères AOP, within Coteaux du Languedoc,</t>
  </si>
  <si>
    <t>Hérault, Languedoc. Soumatre village, schist.</t>
  </si>
  <si>
    <t>~7ha, bought 1997 at 350m-450m altitude</t>
  </si>
  <si>
    <t>Average vine age ~25yrs, to &gt;70/80yrs</t>
  </si>
  <si>
    <t>Typical yield of 20-25 hl/ha.</t>
  </si>
  <si>
    <r>
      <t>Biodynamic;</t>
    </r>
    <r>
      <rPr>
        <sz val="8"/>
        <color theme="1" tint="0.14999847407452621"/>
        <rFont val="Noto Sans"/>
        <family val="2"/>
      </rPr>
      <t xml:space="preserve"> ambient yeast</t>
    </r>
  </si>
  <si>
    <r>
      <rPr>
        <b/>
        <sz val="8"/>
        <color theme="1" tint="0.14999847407452621"/>
        <rFont val="Noto Sans"/>
        <family val="2"/>
      </rPr>
      <t>Rosé:</t>
    </r>
    <r>
      <rPr>
        <sz val="8"/>
        <color theme="1" tint="0.14999847407452621"/>
        <rFont val="Noto Sans"/>
        <family val="2"/>
      </rPr>
      <t xml:space="preserve"> cinsault, syrah </t>
    </r>
  </si>
  <si>
    <r>
      <rPr>
        <b/>
        <sz val="8"/>
        <color theme="1" tint="0.14999847407452621"/>
        <rFont val="Noto Sans"/>
        <family val="2"/>
      </rPr>
      <t>Rouges:</t>
    </r>
    <r>
      <rPr>
        <sz val="8"/>
        <color theme="1" tint="0.14999847407452621"/>
        <rFont val="Noto Sans"/>
        <family val="2"/>
      </rPr>
      <t xml:space="preserve"> grenache, mourvèdre, syrah, </t>
    </r>
  </si>
  <si>
    <t>Concrete eggs, chestnut casks etc.</t>
  </si>
  <si>
    <t>bottled unfined &amp; unfiltered, low SO2 at mise.</t>
  </si>
  <si>
    <t>Instagram.com/masalezon/</t>
  </si>
  <si>
    <t>GROWER CODE: AREVINS</t>
  </si>
  <si>
    <t>GILBERT &amp; GAILLARD, Ch.</t>
  </si>
  <si>
    <t>18CGG01</t>
  </si>
  <si>
    <t>St.Chinian, Languedoc, nr. Puisserguier</t>
  </si>
  <si>
    <t>18CGG02</t>
  </si>
  <si>
    <t>25ha incl.15ha vines in Natura 2000 reserve</t>
  </si>
  <si>
    <t>16CGG01TB</t>
  </si>
  <si>
    <t>clay-limestone terroir at 150-200m</t>
  </si>
  <si>
    <t>new Nico Velo concrete tulip tanks</t>
  </si>
  <si>
    <t>Organic certified 2021 Veritas; Ⓥ Vegan friendly</t>
  </si>
  <si>
    <t>2021 Organic certified</t>
  </si>
  <si>
    <t>2017 start of Organic in conversion</t>
  </si>
  <si>
    <t>2016 start of horse ploughing</t>
  </si>
  <si>
    <t>2012 G&amp;G bought the mas and vines</t>
  </si>
  <si>
    <t>gilbertgaillard.com</t>
  </si>
  <si>
    <t>GROWER CODE: CGG</t>
  </si>
  <si>
    <t>KIND WORDS ON ROC D'ANGLADE, etc.:</t>
  </si>
  <si>
    <r>
      <t xml:space="preserve">Motto: </t>
    </r>
    <r>
      <rPr>
        <sz val="7"/>
        <color theme="1" tint="0.499984740745262"/>
        <rFont val="Noto Sans"/>
        <family val="2"/>
      </rPr>
      <t>Veritas liberat - the truth shall set you free</t>
    </r>
  </si>
  <si>
    <r>
      <t xml:space="preserve">La RVF </t>
    </r>
    <r>
      <rPr>
        <sz val="7"/>
        <color theme="1" tint="0.499984740745262"/>
        <rFont val="Noto Sans"/>
        <family val="2"/>
      </rPr>
      <t>'La Reserva Especial, solera des derniers millésimes du vin rouge du domaine, approfondit un travail de style et de memoire,</t>
    </r>
  </si>
  <si>
    <t>hommage aux racines espagnoles du vigneron.'</t>
  </si>
  <si>
    <r>
      <rPr>
        <b/>
        <sz val="7"/>
        <color theme="1" tint="0.499984740745262"/>
        <rFont val="Noto Sans"/>
        <family val="2"/>
      </rPr>
      <t>Remy Pedreno:</t>
    </r>
    <r>
      <rPr>
        <sz val="7"/>
        <color theme="1" tint="0.499984740745262"/>
        <rFont val="Noto Sans"/>
        <family val="2"/>
      </rPr>
      <t xml:space="preserve"> 'There is an old tradition in Spain… In addition to single vintage wine, we make a blend called "Reserva Especial".  It combines different</t>
    </r>
  </si>
  <si>
    <t>harvests, to produce a wine that is the most representative of the whole estate.'</t>
  </si>
  <si>
    <t>ROC D'ANGLADE</t>
  </si>
  <si>
    <t>by Rémy Pedreno</t>
  </si>
  <si>
    <t>15ROCDAN01TB</t>
  </si>
  <si>
    <t>Rémy Pedreno. Langlade, Gard, Languedoc</t>
  </si>
  <si>
    <t>Organic cert. 2012 red/2020 white Ecocert</t>
  </si>
  <si>
    <t>25ROCDAN02</t>
  </si>
  <si>
    <t>10.5ha in &gt;10 plots, on limestone,</t>
  </si>
  <si>
    <t>24ROCDAN02</t>
  </si>
  <si>
    <t>mostly N.facing. 80% red, 20% white vines</t>
  </si>
  <si>
    <t>22ROCDAN02</t>
  </si>
  <si>
    <t>Cover cropped; ambient yeast; modest SO2</t>
  </si>
  <si>
    <t>21ROCDAN02</t>
  </si>
  <si>
    <r>
      <rPr>
        <sz val="8"/>
        <color theme="1" tint="0.14999847407452621"/>
        <rFont val="Noto Sans"/>
        <family val="2"/>
      </rPr>
      <t xml:space="preserve">unfined; </t>
    </r>
    <r>
      <rPr>
        <b/>
        <sz val="8"/>
        <color rgb="FF00B050"/>
        <rFont val="Noto Sans"/>
        <family val="2"/>
      </rPr>
      <t>Ⓥ Vegan compatible</t>
    </r>
  </si>
  <si>
    <t>22ROCDAN02MG</t>
  </si>
  <si>
    <t>NB all wines are IGP du Gard</t>
  </si>
  <si>
    <t>&lt;&lt;ANGLADA&gt;&gt; BLANC:</t>
  </si>
  <si>
    <t>25ROCDAN04</t>
  </si>
  <si>
    <r>
      <rPr>
        <b/>
        <sz val="7"/>
        <color theme="1" tint="0.499984740745262"/>
        <rFont val="Noto Sans"/>
        <family val="2"/>
      </rPr>
      <t>ROSÉ:</t>
    </r>
    <r>
      <rPr>
        <sz val="7"/>
        <color theme="1" tint="0.499984740745262"/>
        <rFont val="Noto Sans"/>
        <family val="2"/>
      </rPr>
      <t xml:space="preserve"> red blend, tank raised, 12%</t>
    </r>
  </si>
  <si>
    <t>24ROCDAN04</t>
  </si>
  <si>
    <r>
      <rPr>
        <b/>
        <sz val="7"/>
        <color rgb="FF808080"/>
        <rFont val="Noto Sans"/>
        <family val="2"/>
      </rPr>
      <t xml:space="preserve">BLANC: </t>
    </r>
    <r>
      <rPr>
        <sz val="7"/>
        <color rgb="FF808080"/>
        <rFont val="Noto Sans"/>
        <family val="2"/>
      </rPr>
      <t>~2ha chenin blanc, chardonnay, two</t>
    </r>
  </si>
  <si>
    <t>23ROCDAN02</t>
  </si>
  <si>
    <t>grenaches, demi-muids &amp; foudres then steel</t>
  </si>
  <si>
    <t>23ROCDAN02MG</t>
  </si>
  <si>
    <r>
      <rPr>
        <b/>
        <sz val="7"/>
        <color rgb="FF808080"/>
        <rFont val="Noto Sans"/>
        <family val="2"/>
      </rPr>
      <t xml:space="preserve">ANGLADA BLANC: </t>
    </r>
    <r>
      <rPr>
        <sz val="7"/>
        <color rgb="FF808080"/>
        <rFont val="Noto Sans"/>
        <family val="2"/>
      </rPr>
      <t xml:space="preserve">0.5ha 'Les Mégeres' massale </t>
    </r>
  </si>
  <si>
    <t>grenache blanc, N.facing, surrounded by garrigue</t>
  </si>
  <si>
    <t>22ROCDAN01HF</t>
  </si>
  <si>
    <t xml:space="preserve">on limestone. Demi-muids then steel. </t>
  </si>
  <si>
    <t>20ROCDAN01HF</t>
  </si>
  <si>
    <r>
      <rPr>
        <b/>
        <sz val="7"/>
        <color theme="1" tint="0.499984740745262"/>
        <rFont val="Noto Sans"/>
        <family val="2"/>
      </rPr>
      <t>ROUGE:</t>
    </r>
    <r>
      <rPr>
        <sz val="7"/>
        <color theme="1" tint="0.499984740745262"/>
        <rFont val="Noto Sans"/>
        <family val="2"/>
      </rPr>
      <t xml:space="preserve"> carignan, grenache, syrah 18mth foudres</t>
    </r>
  </si>
  <si>
    <t>25ROCDAN01</t>
  </si>
  <si>
    <r>
      <rPr>
        <b/>
        <sz val="7"/>
        <color rgb="FF808080"/>
        <rFont val="Noto Sans"/>
        <family val="2"/>
      </rPr>
      <t>ANGLADA ROUGE:</t>
    </r>
    <r>
      <rPr>
        <sz val="7"/>
        <color rgb="FF808080"/>
        <rFont val="Noto Sans"/>
        <family val="2"/>
      </rPr>
      <t xml:space="preserve"> 2 parcels cinsault &amp; syrah in </t>
    </r>
  </si>
  <si>
    <t>24ROCDAN01</t>
  </si>
  <si>
    <t xml:space="preserve">lieux dit Canzert &amp; Les Mégeres surrounded by </t>
  </si>
  <si>
    <t>23ROCDAN01</t>
  </si>
  <si>
    <t>garrigue on limestone</t>
  </si>
  <si>
    <t>22ROCDAN01</t>
  </si>
  <si>
    <r>
      <rPr>
        <b/>
        <sz val="7"/>
        <color theme="1" tint="0.499984740745262"/>
        <rFont val="Noto Sans"/>
        <family val="2"/>
      </rPr>
      <t>RESERVA ESPECIAL:</t>
    </r>
    <r>
      <rPr>
        <sz val="7"/>
        <color theme="1" tint="0.499984740745262"/>
        <rFont val="Noto Sans"/>
        <family val="2"/>
      </rPr>
      <t xml:space="preserve"> 5 vintage solera of rouge</t>
    </r>
  </si>
  <si>
    <t>21ROCDAN01</t>
  </si>
  <si>
    <t>20ROCDAN01</t>
  </si>
  <si>
    <t>2019 Mitis Blanc released: Chasselas VV, whole-</t>
  </si>
  <si>
    <t>19ROCDAN01</t>
  </si>
  <si>
    <t xml:space="preserve"> bunches dried 2mths, 2 casks only, 600btls</t>
  </si>
  <si>
    <t>18ROCDAN01</t>
  </si>
  <si>
    <t>2016 RVF Coup de Couer for Reserva No.3</t>
  </si>
  <si>
    <t>&lt;&lt;ANGLADA&gt;&gt; ROUGE:</t>
  </si>
  <si>
    <t>2014 plants new grenache blanc 'Anglada' parcel</t>
  </si>
  <si>
    <t>25ROCDAN05</t>
  </si>
  <si>
    <t>2013 1st Reserva Especiale No.1 (09-12 blend)</t>
  </si>
  <si>
    <t>24ROCDAN05</t>
  </si>
  <si>
    <t>2009 start of long elevage for Reserva program</t>
  </si>
  <si>
    <t>23ROCDAN05</t>
  </si>
  <si>
    <t>2002 1st vintage from own vines</t>
  </si>
  <si>
    <t>2001 new cellar built</t>
  </si>
  <si>
    <t>24ROCDAN01MG</t>
  </si>
  <si>
    <t>1999 to 2002 winemaker for R.Rostaing in South</t>
  </si>
  <si>
    <t>23ROCDAN01MG</t>
  </si>
  <si>
    <t>1996 Remy's first ferment, 1 barrel carignan VV</t>
  </si>
  <si>
    <t>22ROCDAN01MG</t>
  </si>
  <si>
    <t>2021 RVF Coup de Coeur (of all Languedoc)</t>
  </si>
  <si>
    <t>21ROCDAN01MG</t>
  </si>
  <si>
    <t>RVF 2* estate</t>
  </si>
  <si>
    <t>20ROCDAN01MG</t>
  </si>
  <si>
    <t>RocDAnglade.fr</t>
  </si>
  <si>
    <t>19ROCDAN01MG</t>
  </si>
  <si>
    <t>BeckyWasserman.com</t>
  </si>
  <si>
    <t>18ROCDAN01MG</t>
  </si>
  <si>
    <t>GROWER CODE: ROCDAN</t>
  </si>
  <si>
    <t>23ROCDAN01JB</t>
  </si>
  <si>
    <t>22ROCDAN01JB</t>
  </si>
  <si>
    <t>21ROCDAN01JB</t>
  </si>
  <si>
    <t>20ROCDAN01JB</t>
  </si>
  <si>
    <t>&lt;&lt; RESERVA ESPECIAL &gt;&gt; ROUGE:</t>
  </si>
  <si>
    <t>25ROCDAN03</t>
  </si>
  <si>
    <t>24ROCDAN03</t>
  </si>
  <si>
    <t>23ROCDAN04</t>
  </si>
  <si>
    <t>22ROCDAN04</t>
  </si>
  <si>
    <t>21ROCDAN03</t>
  </si>
  <si>
    <t>20ROCDAN03</t>
  </si>
  <si>
    <t>19ROCDAN04</t>
  </si>
  <si>
    <t>18ROCDAN04</t>
  </si>
  <si>
    <t>17ROCDAN02TB</t>
  </si>
  <si>
    <t>16ROCDAN02TB</t>
  </si>
  <si>
    <t>14ROCDAN01</t>
  </si>
  <si>
    <t>13ROCDAN01TB</t>
  </si>
  <si>
    <t>&lt;&lt; RESERVA ESPECIAL &gt;&gt; ROUGE EN MAGNUM:</t>
  </si>
  <si>
    <t>23ROCDAN04MG</t>
  </si>
  <si>
    <t>22ROCDAN04MG</t>
  </si>
  <si>
    <t>21ROCDAN03MG</t>
  </si>
  <si>
    <t>20ROCDAN03MG</t>
  </si>
  <si>
    <t>19ROCDAN04MG</t>
  </si>
  <si>
    <t>18ROCDAN04MG</t>
  </si>
  <si>
    <t>16ROCDAN02MTB</t>
  </si>
  <si>
    <t>14ROCDAN01MG</t>
  </si>
  <si>
    <t>France, South - Provence</t>
  </si>
  <si>
    <r>
      <rPr>
        <b/>
        <sz val="7"/>
        <color theme="1" tint="0.499984740745262"/>
        <rFont val="Noto Sans"/>
        <family val="2"/>
      </rPr>
      <t>Ray Jane</t>
    </r>
    <r>
      <rPr>
        <sz val="7"/>
        <color theme="1" tint="0.499984740745262"/>
        <rFont val="Noto Sans"/>
        <family val="2"/>
      </rPr>
      <t>: 'de pere en fils depuis 1288'</t>
    </r>
  </si>
  <si>
    <t>RAY-JANE, Domaine, by</t>
  </si>
  <si>
    <t>Famille CONSTANT</t>
  </si>
  <si>
    <t>22RJANE05</t>
  </si>
  <si>
    <t>Bandol, at Le Plan du Castellet, Provence</t>
  </si>
  <si>
    <t>24RJANE02</t>
  </si>
  <si>
    <t>34ha vines at Le Castellet, Bandol &amp;</t>
  </si>
  <si>
    <t>22RJANE02</t>
  </si>
  <si>
    <t>La Cadiere d'Azur (soon to be 39ha)</t>
  </si>
  <si>
    <t>~7ha is 110-140yr tvv, incl. mourvedre</t>
  </si>
  <si>
    <t>24RJANE01</t>
  </si>
  <si>
    <t>Parents Alain &amp; Anne Constant</t>
  </si>
  <si>
    <t>17RJANE01JB</t>
  </si>
  <si>
    <t>Sons Julien (vines) &amp; Vincent (cellar)</t>
  </si>
  <si>
    <t>22RJANE06</t>
  </si>
  <si>
    <t>24RJANE03</t>
  </si>
  <si>
    <t>all are unfined; reds unfiltered, ~30mg/l SO2</t>
  </si>
  <si>
    <t>21RJANE02</t>
  </si>
  <si>
    <t>RED WINES:</t>
  </si>
  <si>
    <t>18RJANE02</t>
  </si>
  <si>
    <r>
      <rPr>
        <b/>
        <sz val="7"/>
        <color theme="1" tint="0.499984740745262"/>
        <rFont val="Noto Sans"/>
        <family val="2"/>
      </rPr>
      <t>Bandol Falun:</t>
    </r>
    <r>
      <rPr>
        <sz val="7"/>
        <color theme="1" tint="0.499984740745262"/>
        <rFont val="Noto Sans"/>
        <family val="2"/>
      </rPr>
      <t xml:space="preserve"> 130yr tvv planted 1890 on Falun</t>
    </r>
  </si>
  <si>
    <t>22RJANE04</t>
  </si>
  <si>
    <t>terroir. 90% mourvedre, 5% grenache &amp; carignan</t>
  </si>
  <si>
    <t>21RJANE03</t>
  </si>
  <si>
    <t>un-destemmed; 2yrs in 40hl casks. 1st made 2012</t>
  </si>
  <si>
    <t>17RJANE04</t>
  </si>
  <si>
    <r>
      <rPr>
        <b/>
        <sz val="7"/>
        <color theme="1" tint="0.499984740745262"/>
        <rFont val="Noto Sans"/>
        <family val="2"/>
      </rPr>
      <t>Bandol rouge:</t>
    </r>
    <r>
      <rPr>
        <sz val="7"/>
        <color theme="1" tint="0.499984740745262"/>
        <rFont val="Noto Sans"/>
        <family val="2"/>
      </rPr>
      <t xml:space="preserve"> 80-100yr mourvedre with 5% each</t>
    </r>
  </si>
  <si>
    <t>13RJANE01MTB</t>
  </si>
  <si>
    <t>grenache &amp; cinsault; un-destemmed; 2yrs in 40hl</t>
  </si>
  <si>
    <r>
      <rPr>
        <b/>
        <sz val="7"/>
        <color theme="1" tint="0.499984740745262"/>
        <rFont val="Noto Sans"/>
        <family val="2"/>
      </rPr>
      <t>Ray Jane Rouge</t>
    </r>
    <r>
      <rPr>
        <sz val="7"/>
        <color theme="1" tint="0.499984740745262"/>
        <rFont val="Noto Sans"/>
        <family val="2"/>
      </rPr>
      <t>: ~60% mourvedre, mostly from</t>
    </r>
  </si>
  <si>
    <t>Bandol. 2yrs in foudres. Local igp du Var (ex-vdp)</t>
  </si>
  <si>
    <t>ROSÉ &amp; WHITE WINES:</t>
  </si>
  <si>
    <r>
      <rPr>
        <b/>
        <sz val="7"/>
        <color theme="1" tint="0.499984740745262"/>
        <rFont val="Noto Sans"/>
        <family val="2"/>
      </rPr>
      <t>Bandol Sanary rosé</t>
    </r>
    <r>
      <rPr>
        <sz val="7"/>
        <color theme="1" tint="0.499984740745262"/>
        <rFont val="Noto Sans"/>
        <family val="2"/>
      </rPr>
      <t>: free-run only, mourvedre</t>
    </r>
  </si>
  <si>
    <t>30-40%, grenache &amp; cinsault; 1yr in tank</t>
  </si>
  <si>
    <r>
      <rPr>
        <b/>
        <sz val="7"/>
        <color theme="1" tint="0.499984740745262"/>
        <rFont val="Noto Sans"/>
        <family val="2"/>
      </rPr>
      <t>Bandol rosé</t>
    </r>
    <r>
      <rPr>
        <sz val="7"/>
        <color theme="1" tint="0.499984740745262"/>
        <rFont val="Noto Sans"/>
        <family val="2"/>
      </rPr>
      <t>: free-run only grenache, cinsault &amp;</t>
    </r>
  </si>
  <si>
    <t>mourvedre; tank ferment &amp; 1yr elevage</t>
  </si>
  <si>
    <r>
      <rPr>
        <b/>
        <sz val="7"/>
        <color theme="1" tint="0.499984740745262"/>
        <rFont val="Noto Sans"/>
        <family val="2"/>
      </rPr>
      <t>Bandol Sanary Blanc</t>
    </r>
    <r>
      <rPr>
        <sz val="7"/>
        <color theme="1" tint="0.499984740745262"/>
        <rFont val="Noto Sans"/>
        <family val="2"/>
      </rPr>
      <t xml:space="preserve">: 90% clairette, 10% ugni </t>
    </r>
  </si>
  <si>
    <t>tank ferment &amp; 1yr elevage</t>
  </si>
  <si>
    <r>
      <rPr>
        <b/>
        <sz val="7"/>
        <color theme="1" tint="0.499984740745262"/>
        <rFont val="Noto Sans"/>
        <family val="2"/>
      </rPr>
      <t>Ray Jane Blanc</t>
    </r>
    <r>
      <rPr>
        <sz val="7"/>
        <color theme="1" tint="0.499984740745262"/>
        <rFont val="Noto Sans"/>
        <family val="2"/>
      </rPr>
      <t>: blend of 4 white grapes (1 unknown),</t>
    </r>
  </si>
  <si>
    <t>from Bandol. Tank ferment. Local igp du Var (ex-vdp)</t>
  </si>
  <si>
    <t>RVF 1* estate; B+D 1* estate</t>
  </si>
  <si>
    <t>Ray-Jane.fr</t>
  </si>
  <si>
    <t>NB WINE MUSEUM ON SITE</t>
  </si>
  <si>
    <t>GROWER CODE: RJANE</t>
  </si>
  <si>
    <t>23LAURENT07</t>
  </si>
  <si>
    <r>
      <rPr>
        <b/>
        <sz val="8"/>
        <color theme="1" tint="0.14999847407452621"/>
        <rFont val="Noto Sans"/>
        <family val="2"/>
      </rPr>
      <t xml:space="preserve">Bandol VV: </t>
    </r>
    <r>
      <rPr>
        <sz val="8"/>
        <color theme="1" tint="0.14999847407452621"/>
        <rFont val="Noto Sans"/>
        <family val="2"/>
      </rPr>
      <t>Limestone-clay at Le Castellet</t>
    </r>
  </si>
  <si>
    <t>95% mourvedre, 5% grenache, &gt;50yr VV</t>
  </si>
  <si>
    <t>2yrs elevage in seasoned Allier &amp; Tronçais</t>
  </si>
  <si>
    <t>bottled unfined unfiltered</t>
  </si>
  <si>
    <t>TEMPIER, Domaine by</t>
  </si>
  <si>
    <t>BANDOL BLANC:</t>
  </si>
  <si>
    <t>Daniel Ravier, régisseur</t>
  </si>
  <si>
    <t>24TEMP01</t>
  </si>
  <si>
    <t>&amp; Famille Peyraud</t>
  </si>
  <si>
    <t>BANDOL ROSÉ:</t>
  </si>
  <si>
    <t>24TEMP02</t>
  </si>
  <si>
    <t>~59ha around Plan du Castellet village. Reds are</t>
  </si>
  <si>
    <t>BANDOL ROUGE HALVES:</t>
  </si>
  <si>
    <t>ⓋVegan compatible, 'BD-uncert.' from 2013</t>
  </si>
  <si>
    <t>16TEMP02HF</t>
  </si>
  <si>
    <t>conscious farming from 1941</t>
  </si>
  <si>
    <t>BANDOL ROUGE:</t>
  </si>
  <si>
    <t>ambient yeast for reds, bottled unfined unfilt.</t>
  </si>
  <si>
    <t>24TEMP03</t>
  </si>
  <si>
    <t>KEY TERROIRS &amp; WINES:</t>
  </si>
  <si>
    <t>23TEMP02</t>
  </si>
  <si>
    <t>20TEMP02</t>
  </si>
  <si>
    <t xml:space="preserve">~6 ha since 2016. Mostly clairette &amp; ugni blanc,  </t>
  </si>
  <si>
    <t>19TEMP03</t>
  </si>
  <si>
    <t>plus bourboulenc &amp; marsanne. 8-10 months cask</t>
  </si>
  <si>
    <t>18TEMP03</t>
  </si>
  <si>
    <t>ALL REDS:</t>
  </si>
  <si>
    <t>BANDOL CRUS:</t>
  </si>
  <si>
    <t>Max 38hl/ha, ambient yeast, 18-20mths elevage in</t>
  </si>
  <si>
    <t>24TEMP04</t>
  </si>
  <si>
    <t>25-75hl foudres, bottled unfined &amp; unfiltered</t>
  </si>
  <si>
    <t>23TEMP03</t>
  </si>
  <si>
    <t>BANDOL CUVÉE CLASSIQUE:</t>
  </si>
  <si>
    <t>20TEMP03</t>
  </si>
  <si>
    <t>70-75% mourvedre + grenache cinsault carignan</t>
  </si>
  <si>
    <t>19TEMP04</t>
  </si>
  <si>
    <t>from various terroirs, max 35-38hl/ha</t>
  </si>
  <si>
    <t>17TEMP05</t>
  </si>
  <si>
    <t>BANDOL CRU LA MIGOUA, 270masl:</t>
  </si>
  <si>
    <t>24TEMP05</t>
  </si>
  <si>
    <t>9ha terraces at Le Beausset with pine, scrub etc.</t>
  </si>
  <si>
    <t>23TEMP04</t>
  </si>
  <si>
    <t xml:space="preserve">55%mourvedre, av.40yrs + 27%cinsault, 14%grenache </t>
  </si>
  <si>
    <t>20TEMP04</t>
  </si>
  <si>
    <t>4% syrah. Also 1997 mourvedre for future Migoua</t>
  </si>
  <si>
    <t>BANDOL CRU CABASSAOU - NB VERY LIMITED QUANTITIES:</t>
  </si>
  <si>
    <t>BANDOL CRU TOURTINE, 170masl:</t>
  </si>
  <si>
    <t>24TEMP06</t>
  </si>
  <si>
    <t>5.5ha exposed slopes at Le Castellet</t>
  </si>
  <si>
    <t>23TEMP05</t>
  </si>
  <si>
    <t xml:space="preserve">av.85% mourvedre, 30-35hl/ha, av.40+yrs old </t>
  </si>
  <si>
    <t>20TEMP05</t>
  </si>
  <si>
    <t>grenache 10%, cinsault 5%.</t>
  </si>
  <si>
    <t>19TEMP06</t>
  </si>
  <si>
    <t>BANDOL CRU CABASSAOU:</t>
  </si>
  <si>
    <t>18TEMP06</t>
  </si>
  <si>
    <t>lower slopes of Tourtine site. 95% mourvedre</t>
  </si>
  <si>
    <t>BANDOL EN MAGNUM:</t>
  </si>
  <si>
    <t>max 25hl/ha, av.50+yrs old, plus syrah &amp; carignan</t>
  </si>
  <si>
    <t>17TEMP03MG</t>
  </si>
  <si>
    <t>24TEMP04MG</t>
  </si>
  <si>
    <r>
      <t>2020 Bandol Classique renamed</t>
    </r>
    <r>
      <rPr>
        <i/>
        <sz val="7"/>
        <color theme="1" tint="0.499984740745262"/>
        <rFont val="Noto Sans"/>
        <family val="2"/>
      </rPr>
      <t xml:space="preserve"> 'Lulu &amp; Lucien'</t>
    </r>
  </si>
  <si>
    <t>23TEMP03MG</t>
  </si>
  <si>
    <t>2020 Lulu Peyraud passes away, aged 102</t>
  </si>
  <si>
    <t>20TEMP03MG</t>
  </si>
  <si>
    <r>
      <t xml:space="preserve">2017 Bandol Classique dedicated </t>
    </r>
    <r>
      <rPr>
        <i/>
        <sz val="7"/>
        <color theme="1" tint="0.499984740745262"/>
        <rFont val="Noto Sans"/>
        <family val="2"/>
      </rPr>
      <t>'Pour Lulu'</t>
    </r>
  </si>
  <si>
    <t>19TEMP04MG</t>
  </si>
  <si>
    <t>2017 Lulu's 100th Birthday</t>
  </si>
  <si>
    <t>18TEMP04MG</t>
  </si>
  <si>
    <t>2016 nearby 21ha Dom.de La Laidiere bought</t>
  </si>
  <si>
    <t>17TEMP05MG</t>
  </si>
  <si>
    <t>2015 Tempier start to farm nearby Dom.Laidiere</t>
  </si>
  <si>
    <t>24TEMP05MG</t>
  </si>
  <si>
    <t>2013 full biodynamic roll out with Mathieu Bouchet</t>
  </si>
  <si>
    <t>23TEMP04MG</t>
  </si>
  <si>
    <t>2000 Jean-Marie &amp; Francois retired</t>
  </si>
  <si>
    <t>20TEMP04MG</t>
  </si>
  <si>
    <t>2000 Daniel Ravier joins; Reynaud brothers retire</t>
  </si>
  <si>
    <t>19TEMP05MG</t>
  </si>
  <si>
    <t>1989 Daniel arrives in Bandol, starts at Ott</t>
  </si>
  <si>
    <t>BANDOL 300cl JEROS - NB VERY LIMITED QUANTITIES:</t>
  </si>
  <si>
    <t>1979 1st bottling of Bandol crus: Tourtine/Migoua</t>
  </si>
  <si>
    <t>23TEMP03JB</t>
  </si>
  <si>
    <t xml:space="preserve">1960 sons Jean-Marie &amp; Francois joined </t>
  </si>
  <si>
    <t>20TEMP03JB</t>
  </si>
  <si>
    <t>1940s Lucien chaired syndicat, joined INAO, OIV</t>
  </si>
  <si>
    <t>19TEMP04JB</t>
  </si>
  <si>
    <t>1943 1st rosé bottled</t>
  </si>
  <si>
    <t>18TEMP04JB</t>
  </si>
  <si>
    <t>1941 Bandol AOC formed; Tempier start organics</t>
  </si>
  <si>
    <t>17TEMP05JB</t>
  </si>
  <si>
    <t>1940s Peyrauds moved in, took over, drove quality</t>
  </si>
  <si>
    <t>16TEMP03JB</t>
  </si>
  <si>
    <t>1936 Lulu married Lucien Peyraud</t>
  </si>
  <si>
    <t>15TEMP03JB</t>
  </si>
  <si>
    <t>1917 Lucie (Lulu) Tempier is born</t>
  </si>
  <si>
    <t>14TEMP03JB</t>
  </si>
  <si>
    <t>1880 cellar built by Léonie Tempier</t>
  </si>
  <si>
    <t>23TEMP04JB</t>
  </si>
  <si>
    <t>1834 Tempier family house built</t>
  </si>
  <si>
    <t>20TEMP04JB</t>
  </si>
  <si>
    <t>C.18th Tempier wine activity was known</t>
  </si>
  <si>
    <t>19TEMP05JB</t>
  </si>
  <si>
    <t>18TEMP05JB</t>
  </si>
  <si>
    <t>2017 1st entry in IWR Top 100 WOTY</t>
  </si>
  <si>
    <t>17TEMP06JB</t>
  </si>
  <si>
    <t>16TEMP04JB</t>
  </si>
  <si>
    <t>2003 1st entry in Wine Spectator Top 100</t>
  </si>
  <si>
    <t>Bandol is often in Wine Spectator Top 100</t>
  </si>
  <si>
    <t>DomaineTempier.com</t>
  </si>
  <si>
    <t>NB ROSÉ SELLS OUT UPON RELEASE</t>
  </si>
  <si>
    <t>COOKBOOK AVAILABLE</t>
  </si>
  <si>
    <t>LEVI DALTON 'IDTT' INTERVIEW #218</t>
  </si>
  <si>
    <t>GROWER CODE: TEMP</t>
  </si>
  <si>
    <t>Italy, Aosta</t>
  </si>
  <si>
    <t>VEVEY, Albert</t>
  </si>
  <si>
    <t>19VALBERT01</t>
  </si>
  <si>
    <t>Mario &amp; Mirko Vevey, Morgex, on Mont Blanc</t>
  </si>
  <si>
    <t>~1.5ha terraced ungrafted prié blanc vines</t>
  </si>
  <si>
    <t>on stone and wood pergola system, at</t>
  </si>
  <si>
    <t>1100m-1200m altitude</t>
  </si>
  <si>
    <t>1990 sons Mario &amp; Mirko took over</t>
  </si>
  <si>
    <t>1986 label founded</t>
  </si>
  <si>
    <t>1968 production founded by Albert Vevey</t>
  </si>
  <si>
    <t>vievini.it</t>
  </si>
  <si>
    <t>GROWER CODE: VALBERT</t>
  </si>
  <si>
    <t>Italy, Liguria</t>
  </si>
  <si>
    <r>
      <t>Motto:</t>
    </r>
    <r>
      <rPr>
        <sz val="7"/>
        <color theme="1" tint="0.499984740745262"/>
        <rFont val="Noto Sans"/>
        <family val="2"/>
      </rPr>
      <t xml:space="preserve"> 'Vitis de Petra Vita' - 'vine(s) from the living rock'</t>
    </r>
  </si>
  <si>
    <t>TENUTA ANFOSSO</t>
  </si>
  <si>
    <t>'BIANCO' &amp; ROSATO:</t>
  </si>
  <si>
    <t>Dolceaqua. ~5.5ha vines. No cask aging</t>
  </si>
  <si>
    <t>19ANFOSSO01</t>
  </si>
  <si>
    <t>4th gen. Alessandro Anfosso&amp;Marisa Perrotti</t>
  </si>
  <si>
    <t>16ANFOSSO03</t>
  </si>
  <si>
    <t>son Lorenzo. 300m-450m altitude on flysch</t>
  </si>
  <si>
    <t>16ANFOSSO04</t>
  </si>
  <si>
    <t>ROSSESE:</t>
  </si>
  <si>
    <r>
      <rPr>
        <b/>
        <sz val="7"/>
        <color theme="1" tint="0.499984740745262"/>
        <rFont val="Noto Sans"/>
        <family val="2"/>
      </rPr>
      <t>Antea Bianco</t>
    </r>
    <r>
      <rPr>
        <sz val="7"/>
        <color theme="1" tint="0.499984740745262"/>
        <rFont val="Noto Sans"/>
        <family val="2"/>
      </rPr>
      <t>: 2 parcels of rossese bianco tvv,</t>
    </r>
  </si>
  <si>
    <t>18ANFOSSO02</t>
  </si>
  <si>
    <t>ungrafted &amp; &gt;170yrs old, at Soldano &amp; San Biagio</t>
  </si>
  <si>
    <t>16ANFOSSO02</t>
  </si>
  <si>
    <r>
      <rPr>
        <b/>
        <sz val="7"/>
        <color theme="1" tint="0.499984740745262"/>
        <rFont val="Noto Sans"/>
        <family val="2"/>
      </rPr>
      <t>cru Fulavin:</t>
    </r>
    <r>
      <rPr>
        <sz val="7"/>
        <color theme="1" tint="0.499984740745262"/>
        <rFont val="Noto Sans"/>
        <family val="2"/>
      </rPr>
      <t xml:space="preserve"> 0.65ha planted 1977, 1998</t>
    </r>
  </si>
  <si>
    <t>19ANFOSSO03</t>
  </si>
  <si>
    <r>
      <rPr>
        <b/>
        <sz val="7"/>
        <color theme="1" tint="0.499984740745262"/>
        <rFont val="Noto Sans"/>
        <family val="2"/>
      </rPr>
      <t>cru Luvaira:</t>
    </r>
    <r>
      <rPr>
        <sz val="7"/>
        <color theme="1" tint="0.499984740745262"/>
        <rFont val="Noto Sans"/>
        <family val="2"/>
      </rPr>
      <t xml:space="preserve"> 2.5ha SE-SW planted 1960, 2004</t>
    </r>
  </si>
  <si>
    <t>19ANFOSSO04</t>
  </si>
  <si>
    <r>
      <rPr>
        <b/>
        <sz val="7"/>
        <color theme="1" tint="0.499984740745262"/>
        <rFont val="Noto Sans"/>
        <family val="2"/>
      </rPr>
      <t>cru Poggio Pini:</t>
    </r>
    <r>
      <rPr>
        <sz val="7"/>
        <color theme="1" tint="0.499984740745262"/>
        <rFont val="Noto Sans"/>
        <family val="2"/>
      </rPr>
      <t xml:space="preserve"> 1.3ha SE facing, 60% slope</t>
    </r>
  </si>
  <si>
    <t>18ANFOSSO01</t>
  </si>
  <si>
    <t>with tvv terraces planted 1888 &amp; 1916 in Soldano</t>
  </si>
  <si>
    <t>TenutaAnfosso.it</t>
  </si>
  <si>
    <t>GROWER CODE: ANFOSSO</t>
  </si>
  <si>
    <t>Italy, Piedmont, Langhe - Barolo based cellars</t>
  </si>
  <si>
    <t>Flli ALESSANDRIA - Baroli</t>
  </si>
  <si>
    <t>BROVIA - Baroli</t>
  </si>
  <si>
    <t>CANONICA - all wines</t>
  </si>
  <si>
    <t>G.CONTERNO - all wines</t>
  </si>
  <si>
    <t>G.RINALDI - all wines</t>
  </si>
  <si>
    <t>ROAGNA - Baroli</t>
  </si>
  <si>
    <r>
      <rPr>
        <b/>
        <sz val="11"/>
        <color rgb="FF262626"/>
        <rFont val="Noto Sans"/>
        <family val="2"/>
      </rPr>
      <t xml:space="preserve">PASSATO </t>
    </r>
    <r>
      <rPr>
        <b/>
        <sz val="11"/>
        <color rgb="FF00B050"/>
        <rFont val="Noto Sans"/>
        <family val="2"/>
      </rPr>
      <t xml:space="preserve">ORGANIC </t>
    </r>
    <r>
      <rPr>
        <b/>
        <sz val="11"/>
        <color rgb="FF0D0D0D"/>
        <rFont val="Noto Sans"/>
        <family val="2"/>
      </rPr>
      <t>LABEL</t>
    </r>
  </si>
  <si>
    <t>LANGHE VARIETALS:</t>
  </si>
  <si>
    <t>By Bosio Family of Bel Colle</t>
  </si>
  <si>
    <t>22BELCOL06</t>
  </si>
  <si>
    <t>Verduno, Barolo zone. ~15ha estate vines</t>
  </si>
  <si>
    <t>22BELCOL05</t>
  </si>
  <si>
    <t>BARBARESCO:</t>
  </si>
  <si>
    <r>
      <rPr>
        <b/>
        <sz val="8"/>
        <color rgb="FF00B050"/>
        <rFont val="Noto Sans"/>
        <family val="2"/>
      </rPr>
      <t>Organic certified</t>
    </r>
    <r>
      <rPr>
        <sz val="8"/>
        <color rgb="FF00B050"/>
        <rFont val="Noto Sans"/>
        <family val="2"/>
      </rPr>
      <t xml:space="preserve"> </t>
    </r>
    <r>
      <rPr>
        <b/>
        <sz val="8"/>
        <color rgb="FF00B050"/>
        <rFont val="Noto Sans"/>
        <family val="2"/>
      </rPr>
      <t>Valoritalia</t>
    </r>
  </si>
  <si>
    <t>22BELCOL04</t>
  </si>
  <si>
    <t>cover cropping</t>
  </si>
  <si>
    <t>nebbiolo in botte grande, plus tonneaux</t>
  </si>
  <si>
    <r>
      <rPr>
        <b/>
        <sz val="7"/>
        <color theme="1" tint="0.499984740745262"/>
        <rFont val="Noto Sans"/>
        <family val="2"/>
      </rPr>
      <t>OWNERS</t>
    </r>
    <r>
      <rPr>
        <sz val="7"/>
        <color theme="1" tint="0.499984740745262"/>
        <rFont val="Noto Sans"/>
        <family val="2"/>
      </rPr>
      <t>: Valter &amp; Rosella Bosio</t>
    </r>
  </si>
  <si>
    <r>
      <rPr>
        <b/>
        <sz val="7"/>
        <color theme="1" tint="0.499984740745262"/>
        <rFont val="Noto Sans"/>
        <family val="2"/>
      </rPr>
      <t>ENOLOGISTS:</t>
    </r>
    <r>
      <rPr>
        <sz val="7"/>
        <color theme="1" tint="0.499984740745262"/>
        <rFont val="Noto Sans"/>
        <family val="2"/>
      </rPr>
      <t xml:space="preserve"> Luca Bosio and Mario Albrito</t>
    </r>
  </si>
  <si>
    <t>BosioFamilyEstates.it</t>
  </si>
  <si>
    <t>GROWER CODE: BELCOL</t>
  </si>
  <si>
    <t>NB ALSO SEE BEL COLLE MAIN LABEL</t>
  </si>
  <si>
    <t>BEL COLLE</t>
  </si>
  <si>
    <t>By Bosio Family</t>
  </si>
  <si>
    <t>19BELCOL07</t>
  </si>
  <si>
    <t>19BELCOL05</t>
  </si>
  <si>
    <t xml:space="preserve">sustainable farming; ⓋVegan compatible </t>
  </si>
  <si>
    <t>19BELCOL04</t>
  </si>
  <si>
    <r>
      <t xml:space="preserve">cover cropping; </t>
    </r>
    <r>
      <rPr>
        <b/>
        <sz val="8"/>
        <color rgb="FF00B050"/>
        <rFont val="Noto Sans"/>
        <family val="2"/>
      </rPr>
      <t>organic certified</t>
    </r>
    <r>
      <rPr>
        <sz val="8"/>
        <color rgb="FF00B050"/>
        <rFont val="Noto Sans"/>
        <family val="2"/>
      </rPr>
      <t xml:space="preserve"> </t>
    </r>
    <r>
      <rPr>
        <b/>
        <sz val="8"/>
        <color rgb="FF00B050"/>
        <rFont val="Noto Sans"/>
        <family val="2"/>
      </rPr>
      <t>Valoritalia</t>
    </r>
  </si>
  <si>
    <t>21BELCOL03</t>
  </si>
  <si>
    <t>16BELCOL15</t>
  </si>
  <si>
    <t>LANGHE VARIETALS EN MAGNUM:</t>
  </si>
  <si>
    <t>21BELCOL04MG</t>
  </si>
  <si>
    <t>20BELCOL02MG</t>
  </si>
  <si>
    <r>
      <rPr>
        <b/>
        <sz val="7"/>
        <color theme="1" tint="0.499984740745262"/>
        <rFont val="Noto Sans"/>
        <family val="2"/>
      </rPr>
      <t>Verduno Pelaverga:</t>
    </r>
    <r>
      <rPr>
        <sz val="7"/>
        <color theme="1" tint="0.499984740745262"/>
        <rFont val="Noto Sans"/>
        <family val="2"/>
      </rPr>
      <t xml:space="preserve"> 2.5ha of the 15ha of this grape</t>
    </r>
  </si>
  <si>
    <t>22BELCOL03</t>
  </si>
  <si>
    <t>label by Langhe artist Pinot Gallizio (1902-1964)</t>
  </si>
  <si>
    <t>BAROLO:</t>
  </si>
  <si>
    <r>
      <rPr>
        <b/>
        <sz val="7"/>
        <color theme="1" tint="0.499984740745262"/>
        <rFont val="Noto Sans"/>
        <family val="2"/>
      </rPr>
      <t>Barolo Monvigliero, Verduno</t>
    </r>
    <r>
      <rPr>
        <sz val="7"/>
        <color theme="1" tint="0.499984740745262"/>
        <rFont val="Noto Sans"/>
        <family val="2"/>
      </rPr>
      <t>: 1.5ha of 11ha tot.</t>
    </r>
  </si>
  <si>
    <t>21BELCOL01</t>
  </si>
  <si>
    <t>300m, 25yr vines on limestone terroir, 3yrs elevage</t>
  </si>
  <si>
    <t>22BELCOL02</t>
  </si>
  <si>
    <r>
      <rPr>
        <b/>
        <sz val="7"/>
        <color theme="1" tint="0.499984740745262"/>
        <rFont val="Noto Sans"/>
        <family val="2"/>
      </rPr>
      <t>Barolo Simposio</t>
    </r>
    <r>
      <rPr>
        <sz val="7"/>
        <color theme="1" tint="0.499984740745262"/>
        <rFont val="Noto Sans"/>
        <family val="2"/>
      </rPr>
      <t>: 50yr avg vines, 200-300m altitude</t>
    </r>
  </si>
  <si>
    <t>22BELCOL01</t>
  </si>
  <si>
    <t>on limestone based terroirs in Verduno, La Morra,</t>
  </si>
  <si>
    <t>21BELCOL02</t>
  </si>
  <si>
    <t>Novello. 3yrs elevage</t>
  </si>
  <si>
    <t>19BELCOL02</t>
  </si>
  <si>
    <r>
      <rPr>
        <b/>
        <sz val="7"/>
        <color theme="1" tint="0.499984740745262"/>
        <rFont val="Noto Sans"/>
        <family val="2"/>
      </rPr>
      <t>Barbaresco Pajoré</t>
    </r>
    <r>
      <rPr>
        <sz val="7"/>
        <color theme="1" tint="0.499984740745262"/>
        <rFont val="Noto Sans"/>
        <family val="2"/>
      </rPr>
      <t>: 1ha of 41ha 190-350m cru</t>
    </r>
  </si>
  <si>
    <t>16BELCOL07SM</t>
  </si>
  <si>
    <t>at Treiso on limestone-clay terroir. 2yrs elevage</t>
  </si>
  <si>
    <t>BAROLO &amp; BARBARESCO EN MAGNUM:</t>
  </si>
  <si>
    <t>19BELCOL03MG</t>
  </si>
  <si>
    <t>2015 Luca &amp; Mario Albrito take over production</t>
  </si>
  <si>
    <t>21BELCOL05MG</t>
  </si>
  <si>
    <t>2015 bought by Bosio Family Estates</t>
  </si>
  <si>
    <t>19BELCOL09MG</t>
  </si>
  <si>
    <t>1980 oenologist Paolo Torchio starts</t>
  </si>
  <si>
    <t>BAROLO &amp; BARBARESCO LARGE FORMAT:</t>
  </si>
  <si>
    <t>1980 1st vintage of Barolo Monvigliero</t>
  </si>
  <si>
    <t>19BELCOL03DMG</t>
  </si>
  <si>
    <t>1976 Bel Colle founded by Pontiglione &amp; Priola brothers</t>
  </si>
  <si>
    <t>19BELCOL03DDM</t>
  </si>
  <si>
    <t>1967 Egidio &amp; Angela start Bosio (Family Estates)</t>
  </si>
  <si>
    <t>19BELCOL08DDM</t>
  </si>
  <si>
    <t>BelColle.it</t>
  </si>
  <si>
    <t>21BELCOL05DMG</t>
  </si>
  <si>
    <t>21BELCOL05DDM</t>
  </si>
  <si>
    <t>19BELCOL09DDM</t>
  </si>
  <si>
    <t>NB ALSO SEE PASSATO ORGANIC LABEL</t>
  </si>
  <si>
    <t>BOGGIONE, Claudio</t>
  </si>
  <si>
    <t>Barolo. 2ha, incl.1.2ha in Barolo cru Brunate</t>
  </si>
  <si>
    <t>20BCLAUDIO01</t>
  </si>
  <si>
    <t>Ambient yeast; raised 2-3yrs in botte grande</t>
  </si>
  <si>
    <t>19BCLAUDIO01</t>
  </si>
  <si>
    <t xml:space="preserve">of Slavonian &amp; French oak </t>
  </si>
  <si>
    <t>BAROLO BRUNATE:</t>
  </si>
  <si>
    <t xml:space="preserve">bottled unfined &amp; unfiltered </t>
  </si>
  <si>
    <t>20BCLAUDIO02</t>
  </si>
  <si>
    <t>Founded 1900 by grandfather Antonio</t>
  </si>
  <si>
    <t>19BCLAUDIO02</t>
  </si>
  <si>
    <t>1st release 2006</t>
  </si>
  <si>
    <t>17BCLAUDIO01</t>
  </si>
  <si>
    <t>Sustainable cert., The Green Experience</t>
  </si>
  <si>
    <t>16BCLAUDIO01</t>
  </si>
  <si>
    <t xml:space="preserve">ⓋVegan compatible </t>
  </si>
  <si>
    <t>BAROLO BRUNATE LARGE FORMAT:</t>
  </si>
  <si>
    <t>BoggioneBarolo.it</t>
  </si>
  <si>
    <t>20BCLAUDIO02MG</t>
  </si>
  <si>
    <t>TheGreenExperience.it</t>
  </si>
  <si>
    <t>16BCLAUDIO01MG</t>
  </si>
  <si>
    <t>GROWER CODE: BCLAUDIO</t>
  </si>
  <si>
    <t>20BCLAUDIO02JB</t>
  </si>
  <si>
    <t>19BCLAUDIO02JB</t>
  </si>
  <si>
    <t>KIND WORDS ON BROVIA:</t>
  </si>
  <si>
    <r>
      <rPr>
        <b/>
        <sz val="7"/>
        <color rgb="FF808080"/>
        <rFont val="Noto Sans"/>
        <family val="2"/>
      </rPr>
      <t>Motto</t>
    </r>
    <r>
      <rPr>
        <sz val="7"/>
        <color rgb="FF808080"/>
        <rFont val="Noto Sans"/>
        <family val="2"/>
      </rPr>
      <t xml:space="preserve"> 'Nullum sacra vite prius severis arboreum' - 'You shall plant no tree before the sacred vine.' - Horace</t>
    </r>
  </si>
  <si>
    <r>
      <rPr>
        <b/>
        <sz val="7"/>
        <color theme="1" tint="0.499984740745262"/>
        <rFont val="Noto Sans"/>
        <family val="2"/>
      </rPr>
      <t>Slow Wine Guide 2018</t>
    </r>
    <r>
      <rPr>
        <sz val="7"/>
        <color theme="1" tint="0.499984740745262"/>
        <rFont val="Noto Sans"/>
        <family val="2"/>
      </rPr>
      <t xml:space="preserve"> 'The wines are brilliant and so are Cristina and Elena Brovia and the latter's husband Alex Sanchez.' (Etc.)</t>
    </r>
  </si>
  <si>
    <r>
      <rPr>
        <b/>
        <sz val="7"/>
        <color theme="1" tint="0.499984740745262"/>
        <rFont val="Noto Sans"/>
        <family val="2"/>
      </rPr>
      <t>Slow Wine Guide 2017</t>
    </r>
    <r>
      <rPr>
        <sz val="7"/>
        <color theme="1" tint="0.499984740745262"/>
        <rFont val="Noto Sans"/>
        <family val="2"/>
      </rPr>
      <t xml:space="preserve"> 'Brovia never cease to amaze: for their wines…the simplicity with which they speak…their willingness to explain'</t>
    </r>
  </si>
  <si>
    <r>
      <rPr>
        <b/>
        <sz val="7"/>
        <color theme="1" tint="0.499984740745262"/>
        <rFont val="Noto Sans"/>
        <family val="2"/>
      </rPr>
      <t>Slow Wine Guide 2016</t>
    </r>
    <r>
      <rPr>
        <sz val="7"/>
        <color theme="1" tint="0.499984740745262"/>
        <rFont val="Noto Sans"/>
        <family val="2"/>
      </rPr>
      <t xml:space="preserve"> 'In our opinion, their Barolos are among the best Langa wines, born of profound respect for the land.That's it!'</t>
    </r>
  </si>
  <si>
    <r>
      <rPr>
        <b/>
        <sz val="7"/>
        <color theme="1" tint="0.499984740745262"/>
        <rFont val="Noto Sans"/>
        <family val="2"/>
      </rPr>
      <t>Slow Wine Guide 2015</t>
    </r>
    <r>
      <rPr>
        <sz val="7"/>
        <color theme="1" tint="0.499984740745262"/>
        <rFont val="Noto Sans"/>
        <family val="2"/>
      </rPr>
      <t xml:space="preserve"> 'Virtuous viticulture managed with scrupulousness and passion, wines of great stylistic rigour &amp; exceptional quality, </t>
    </r>
  </si>
  <si>
    <t>openness to dialogue and simplicity - these are the keys to the success of this magnificent winery...never ceases to amaze us with its humanity &amp; quality.'</t>
  </si>
  <si>
    <r>
      <rPr>
        <b/>
        <sz val="7"/>
        <color theme="1" tint="0.499984740745262"/>
        <rFont val="Noto Sans"/>
        <family val="2"/>
      </rPr>
      <t>Slow Wine Guide 2014</t>
    </r>
    <r>
      <rPr>
        <sz val="7"/>
        <color theme="1" tint="0.499984740745262"/>
        <rFont val="Noto Sans"/>
        <family val="2"/>
      </rPr>
      <t xml:space="preserve"> 'Brovia is a cellar which strives incessantly to give its wines a sense of place and pure expressiveness. </t>
    </r>
  </si>
  <si>
    <t>Precise and clear cut, they combine complexity and elegance.'</t>
  </si>
  <si>
    <r>
      <rPr>
        <b/>
        <sz val="7"/>
        <color theme="1" tint="0.499984740745262"/>
        <rFont val="Noto Sans"/>
        <family val="2"/>
      </rPr>
      <t>Slow Wine Guide 2012</t>
    </r>
    <r>
      <rPr>
        <sz val="7"/>
        <color theme="1" tint="0.499984740745262"/>
        <rFont val="Noto Sans"/>
        <family val="2"/>
      </rPr>
      <t xml:space="preserve"> 'The atmosphere is seemingly old-fashioned but don't be deceived by appearances. The wines...throb with life &amp; energy.'</t>
    </r>
  </si>
  <si>
    <t>*BROVIA*</t>
  </si>
  <si>
    <t>METODO CLASSICO:</t>
  </si>
  <si>
    <t>by Elena &amp; Alex, &amp; Co.</t>
  </si>
  <si>
    <t>24BROV06</t>
  </si>
  <si>
    <t>Castiglione Falletto. founded 1863. 19ha</t>
  </si>
  <si>
    <t>ROERO ARNEIS:</t>
  </si>
  <si>
    <r>
      <t>4</t>
    </r>
    <r>
      <rPr>
        <vertAlign val="superscript"/>
        <sz val="8"/>
        <color theme="1" tint="0.14999847407452621"/>
        <rFont val="Noto Sans"/>
        <family val="2"/>
      </rPr>
      <t>th</t>
    </r>
    <r>
      <rPr>
        <sz val="8"/>
        <color theme="1" tint="0.14999847407452621"/>
        <rFont val="Noto Sans"/>
        <family val="2"/>
      </rPr>
      <t xml:space="preserve"> generation</t>
    </r>
  </si>
  <si>
    <t>24BROV10</t>
  </si>
  <si>
    <r>
      <t xml:space="preserve">Domaine </t>
    </r>
    <r>
      <rPr>
        <b/>
        <sz val="8"/>
        <color rgb="FF00B050"/>
        <rFont val="Noto Sans"/>
        <family val="2"/>
      </rPr>
      <t>Organic certified, Suolo e Salute</t>
    </r>
  </si>
  <si>
    <t>23BROV08</t>
  </si>
  <si>
    <r>
      <t xml:space="preserve">Roero arneis &amp; nebbiolo are </t>
    </r>
    <r>
      <rPr>
        <b/>
        <sz val="8"/>
        <color rgb="FF00B050"/>
        <rFont val="Noto Sans"/>
        <family val="2"/>
      </rPr>
      <t>sustainable</t>
    </r>
  </si>
  <si>
    <t>17BROV11A</t>
  </si>
  <si>
    <t>No press-wine; no filtration; ambient yeast</t>
  </si>
  <si>
    <t>cement ferment; botte grande elevage</t>
  </si>
  <si>
    <t>24BROV09</t>
  </si>
  <si>
    <r>
      <t xml:space="preserve">Ⓥ Vegan compatible </t>
    </r>
    <r>
      <rPr>
        <sz val="8"/>
        <color theme="1" tint="0.14999847407452621"/>
        <rFont val="Noto Sans"/>
        <family val="2"/>
      </rPr>
      <t>since 2016 releases</t>
    </r>
  </si>
  <si>
    <t>23BROV07</t>
  </si>
  <si>
    <t>BAROLO DI CASTIGLIONE CRUs:</t>
  </si>
  <si>
    <t>22BROV10</t>
  </si>
  <si>
    <r>
      <rPr>
        <b/>
        <sz val="7"/>
        <color theme="1" tint="0.499984740745262"/>
        <rFont val="Noto Sans"/>
        <family val="2"/>
      </rPr>
      <t xml:space="preserve">Garblet Sué: </t>
    </r>
    <r>
      <rPr>
        <sz val="7"/>
        <color theme="1" tint="0.499984740745262"/>
        <rFont val="Noto Sans"/>
        <family val="2"/>
      </rPr>
      <t>0.7ha '70/79vines @250m,</t>
    </r>
  </si>
  <si>
    <t>21BROV05</t>
  </si>
  <si>
    <r>
      <t>mix clay &amp;/or limestone. 1</t>
    </r>
    <r>
      <rPr>
        <vertAlign val="superscript"/>
        <sz val="7"/>
        <color theme="1" tint="0.499984740745262"/>
        <rFont val="Noto Sans"/>
        <family val="2"/>
      </rPr>
      <t>st</t>
    </r>
    <r>
      <rPr>
        <sz val="7"/>
        <color theme="1" tint="0.499984740745262"/>
        <rFont val="Noto Sans"/>
        <family val="2"/>
      </rPr>
      <t xml:space="preserve"> made 1985</t>
    </r>
  </si>
  <si>
    <t>18BROV03</t>
  </si>
  <si>
    <r>
      <rPr>
        <b/>
        <sz val="7"/>
        <color theme="1" tint="0.499984740745262"/>
        <rFont val="Noto Sans"/>
        <family val="2"/>
      </rPr>
      <t xml:space="preserve">Rocche di Castiglione: </t>
    </r>
    <r>
      <rPr>
        <sz val="7"/>
        <color theme="1" tint="0.499984740745262"/>
        <rFont val="Noto Sans"/>
        <family val="2"/>
      </rPr>
      <t>1.5ha 1966 vines @350m,</t>
    </r>
  </si>
  <si>
    <t>24BROV07</t>
  </si>
  <si>
    <r>
      <t>rocky sandy soil, SE facing. 1</t>
    </r>
    <r>
      <rPr>
        <vertAlign val="superscript"/>
        <sz val="7"/>
        <color theme="1" tint="0.499984740745262"/>
        <rFont val="Noto Sans"/>
        <family val="2"/>
      </rPr>
      <t>st</t>
    </r>
    <r>
      <rPr>
        <sz val="7"/>
        <color theme="1" tint="0.499984740745262"/>
        <rFont val="Noto Sans"/>
        <family val="2"/>
      </rPr>
      <t xml:space="preserve"> made 1968</t>
    </r>
  </si>
  <si>
    <t>22BROV09</t>
  </si>
  <si>
    <r>
      <rPr>
        <b/>
        <sz val="7"/>
        <color theme="1" tint="0.499984740745262"/>
        <rFont val="Noto Sans"/>
        <family val="2"/>
      </rPr>
      <t>Villero:</t>
    </r>
    <r>
      <rPr>
        <sz val="7"/>
        <color theme="1" tint="0.499984740745262"/>
        <rFont val="Noto Sans"/>
        <family val="2"/>
      </rPr>
      <t xml:space="preserve"> 1.5ha 1961 vines @ 350m, </t>
    </r>
  </si>
  <si>
    <t>21BROV07</t>
  </si>
  <si>
    <r>
      <t>clay, SW facing, 1</t>
    </r>
    <r>
      <rPr>
        <vertAlign val="superscript"/>
        <sz val="7"/>
        <color theme="1" tint="0.499984740745262"/>
        <rFont val="Noto Sans"/>
        <family val="2"/>
      </rPr>
      <t>st</t>
    </r>
    <r>
      <rPr>
        <sz val="7"/>
        <color theme="1" tint="0.499984740745262"/>
        <rFont val="Noto Sans"/>
        <family val="2"/>
      </rPr>
      <t xml:space="preserve"> made 1991</t>
    </r>
  </si>
  <si>
    <t>18BROV06</t>
  </si>
  <si>
    <t>BAROLO DI SERRALUNGA CRU:</t>
  </si>
  <si>
    <t>17BROV09</t>
  </si>
  <si>
    <r>
      <rPr>
        <b/>
        <sz val="7"/>
        <color theme="1" tint="0.499984740745262"/>
        <rFont val="Noto Sans"/>
        <family val="2"/>
      </rPr>
      <t>Brea Ca'Mia</t>
    </r>
    <r>
      <rPr>
        <sz val="7"/>
        <color theme="1" tint="0.499984740745262"/>
        <rFont val="Noto Sans"/>
        <family val="2"/>
      </rPr>
      <t>. 1ha 1955 vines @ 350m,</t>
    </r>
  </si>
  <si>
    <t>16BROV04TB</t>
  </si>
  <si>
    <r>
      <t>Clay-limestone, SE/S, 1</t>
    </r>
    <r>
      <rPr>
        <vertAlign val="superscript"/>
        <sz val="7"/>
        <color theme="1" tint="0.499984740745262"/>
        <rFont val="Noto Sans"/>
        <family val="2"/>
      </rPr>
      <t>st</t>
    </r>
    <r>
      <rPr>
        <sz val="7"/>
        <color theme="1" tint="0.499984740745262"/>
        <rFont val="Noto Sans"/>
        <family val="2"/>
      </rPr>
      <t xml:space="preserve"> made 1995 </t>
    </r>
    <r>
      <rPr>
        <b/>
        <sz val="7"/>
        <color theme="1" tint="0.499984740745262"/>
        <rFont val="Noto Sans"/>
        <family val="2"/>
      </rPr>
      <t>monopole</t>
    </r>
  </si>
  <si>
    <t>14BROV12TB</t>
  </si>
  <si>
    <t xml:space="preserve">Slow Wine 2011-18 'Snail' Award </t>
  </si>
  <si>
    <t>22BROV08</t>
  </si>
  <si>
    <t>Brovia.net</t>
  </si>
  <si>
    <t>21BROV09</t>
  </si>
  <si>
    <t>LEVI DALTON 'IDTT' INTERVIEW #364</t>
  </si>
  <si>
    <t>17BROV08</t>
  </si>
  <si>
    <t>24BROV08</t>
  </si>
  <si>
    <t>youtube.com/watch?v=FpMSXmUDlko</t>
  </si>
  <si>
    <t>21BROV08</t>
  </si>
  <si>
    <t>GROWER CODE: BROV</t>
  </si>
  <si>
    <t>24BROV01</t>
  </si>
  <si>
    <t>24BROV05</t>
  </si>
  <si>
    <t>22BROV04</t>
  </si>
  <si>
    <t>24BROV02</t>
  </si>
  <si>
    <t>19BROV01</t>
  </si>
  <si>
    <t>17BROV01</t>
  </si>
  <si>
    <t>16BROV12TBSA</t>
  </si>
  <si>
    <t>24BROV03</t>
  </si>
  <si>
    <t>21BROV03</t>
  </si>
  <si>
    <t>19BROV02</t>
  </si>
  <si>
    <t>16BROV06TB</t>
  </si>
  <si>
    <t>24BROV04</t>
  </si>
  <si>
    <t>20BROV04</t>
  </si>
  <si>
    <t>19BROV03</t>
  </si>
  <si>
    <t>17BROV04</t>
  </si>
  <si>
    <t>BAROLO EN MAGNUM:</t>
  </si>
  <si>
    <t>24BROV05MG</t>
  </si>
  <si>
    <t>22BROV04MG</t>
  </si>
  <si>
    <t>16BROV07MTB</t>
  </si>
  <si>
    <t>14BROV03MTB</t>
  </si>
  <si>
    <t>24BROV03MG</t>
  </si>
  <si>
    <t>24BROV04MG</t>
  </si>
  <si>
    <t>21BROV04MG</t>
  </si>
  <si>
    <t>20BROV04MG</t>
  </si>
  <si>
    <t>CANONICA, Giovanni</t>
  </si>
  <si>
    <t>Barolo village. ~3ha vineyards</t>
  </si>
  <si>
    <t>25CANON03</t>
  </si>
  <si>
    <r>
      <rPr>
        <b/>
        <sz val="8"/>
        <color rgb="FF00B050"/>
        <rFont val="Noto Sans"/>
        <family val="2"/>
      </rPr>
      <t>Sustainable.</t>
    </r>
    <r>
      <rPr>
        <sz val="8"/>
        <color rgb="FF00B050"/>
        <rFont val="Noto Sans"/>
        <family val="2"/>
      </rPr>
      <t xml:space="preserve"> </t>
    </r>
    <r>
      <rPr>
        <sz val="8"/>
        <color rgb="FF0D0D0D"/>
        <rFont val="Noto Sans"/>
        <family val="2"/>
      </rPr>
      <t>Minimal SO2. 30-40 days mac,</t>
    </r>
  </si>
  <si>
    <t>24CANON03</t>
  </si>
  <si>
    <t>ambient yeast, bottled unfined &amp; unfiltered</t>
  </si>
  <si>
    <t>23CANON03</t>
  </si>
  <si>
    <t>THE VINEYARDS:</t>
  </si>
  <si>
    <t>22CANON02</t>
  </si>
  <si>
    <t>PAIAGALLO: 1.5ha, average 350m, Barolo village</t>
  </si>
  <si>
    <t>GRINZANE CAVOUR: inherited from in-laws, 2010s</t>
  </si>
  <si>
    <t>25CANON02</t>
  </si>
  <si>
    <t>24CANON02</t>
  </si>
  <si>
    <t>2013 1st vintage Langhe nebbiolo</t>
  </si>
  <si>
    <t>23CANON02</t>
  </si>
  <si>
    <t>2012 1st vintage Grinzane Cavour (~50yr vines)</t>
  </si>
  <si>
    <t>25CANON01</t>
  </si>
  <si>
    <t>1983 1st harvest of Giovanni</t>
  </si>
  <si>
    <t>24CANON01</t>
  </si>
  <si>
    <t>NB SELLS OUT UPON RELEASE</t>
  </si>
  <si>
    <t>23CANON01</t>
  </si>
  <si>
    <t>GROWER CODE: CANON</t>
  </si>
  <si>
    <t>22CANON01</t>
  </si>
  <si>
    <t>21CANON03</t>
  </si>
  <si>
    <t>25CANON01MG</t>
  </si>
  <si>
    <t>24CANON01MG</t>
  </si>
  <si>
    <t>22CANON01MG</t>
  </si>
  <si>
    <t>21CANON03MG</t>
  </si>
  <si>
    <t>SOME KIND WORDS ON CASTELLO DI PERNO:</t>
  </si>
  <si>
    <r>
      <rPr>
        <b/>
        <sz val="7"/>
        <color theme="1" tint="0.499984740745262"/>
        <rFont val="Noto Sans"/>
        <family val="2"/>
      </rPr>
      <t>Tom Hyland, Forbes 2023</t>
    </r>
    <r>
      <rPr>
        <sz val="7"/>
        <color theme="1" tint="0.499984740745262"/>
        <rFont val="Noto Sans"/>
        <family val="2"/>
      </rPr>
      <t xml:space="preserve"> 'The best Barolo producer you’ve probably never heard of (yet)'</t>
    </r>
  </si>
  <si>
    <r>
      <rPr>
        <b/>
        <sz val="7"/>
        <color theme="1" tint="0.499984740745262"/>
        <rFont val="Noto Sans"/>
        <family val="2"/>
      </rPr>
      <t>Monica Larner, TWA 2022</t>
    </r>
    <r>
      <rPr>
        <sz val="7"/>
        <color theme="1" tint="0.499984740745262"/>
        <rFont val="Noto Sans"/>
        <family val="2"/>
      </rPr>
      <t xml:space="preserve"> 'I love the modern label design of this handsome bottle.'</t>
    </r>
  </si>
  <si>
    <t>CASTELLO DI PERNO</t>
  </si>
  <si>
    <t>LANGHE BIANCO:</t>
  </si>
  <si>
    <t>Perno, Monforte d'Alba. Famiglia Gitti</t>
  </si>
  <si>
    <t>24PERNO04</t>
  </si>
  <si>
    <t>13.1ha vines. Ambient yeast. Tested corks.</t>
  </si>
  <si>
    <t>Organic certified 2017 INOQ</t>
  </si>
  <si>
    <t>24PERNO02</t>
  </si>
  <si>
    <t>22PERNO02</t>
  </si>
  <si>
    <r>
      <rPr>
        <b/>
        <sz val="7"/>
        <color theme="1" tint="0.499984740745262"/>
        <rFont val="Noto Sans"/>
        <family val="2"/>
      </rPr>
      <t>Nascetta:</t>
    </r>
    <r>
      <rPr>
        <sz val="7"/>
        <color theme="1" tint="0.499984740745262"/>
        <rFont val="Noto Sans"/>
        <family val="2"/>
      </rPr>
      <t xml:space="preserve"> planted at Castelletto, and Alta Langhe</t>
    </r>
  </si>
  <si>
    <t>23PERNO01</t>
  </si>
  <si>
    <t>&gt;700m altitude</t>
  </si>
  <si>
    <t>22PERNO03</t>
  </si>
  <si>
    <r>
      <rPr>
        <b/>
        <sz val="7"/>
        <color theme="1" tint="0.499984740745262"/>
        <rFont val="Noto Sans"/>
        <family val="2"/>
      </rPr>
      <t>Ciama N'Aut:</t>
    </r>
    <r>
      <rPr>
        <sz val="7"/>
        <color theme="1" tint="0.499984740745262"/>
        <rFont val="Noto Sans"/>
        <family val="2"/>
      </rPr>
      <t xml:space="preserve"> dolcetto from Dogliani, whole cluster</t>
    </r>
  </si>
  <si>
    <t>24PERNO01</t>
  </si>
  <si>
    <t>carbo, raised in cement / tank</t>
  </si>
  <si>
    <t>23PERNO03</t>
  </si>
  <si>
    <r>
      <rPr>
        <b/>
        <sz val="7"/>
        <color theme="1" tint="0.499984740745262"/>
        <rFont val="Noto Sans"/>
        <family val="2"/>
      </rPr>
      <t>Nizza:</t>
    </r>
    <r>
      <rPr>
        <sz val="7"/>
        <color theme="1" tint="0.499984740745262"/>
        <rFont val="Noto Sans"/>
        <family val="2"/>
      </rPr>
      <t xml:space="preserve"> 1940 planted barbera VV in cru Bricco</t>
    </r>
  </si>
  <si>
    <t>24PERNO05</t>
  </si>
  <si>
    <r>
      <rPr>
        <b/>
        <sz val="7"/>
        <color theme="1" tint="0.499984740745262"/>
        <rFont val="Noto Sans"/>
        <family val="2"/>
      </rPr>
      <t>nebbiolo:</t>
    </r>
    <r>
      <rPr>
        <sz val="7"/>
        <color theme="1" tint="0.499984740745262"/>
        <rFont val="Noto Sans"/>
        <family val="2"/>
      </rPr>
      <t xml:space="preserve"> raised in 10 &amp; 20hl French/Slavonian oak</t>
    </r>
  </si>
  <si>
    <t>23PERNO02</t>
  </si>
  <si>
    <t>declassified from 3ha Gramolere @450m, N facing</t>
  </si>
  <si>
    <r>
      <rPr>
        <b/>
        <sz val="7"/>
        <color theme="1" tint="0.499984740745262"/>
        <rFont val="Noto Sans"/>
        <family val="2"/>
      </rPr>
      <t>Barolo:</t>
    </r>
    <r>
      <rPr>
        <sz val="7"/>
        <color theme="1" tint="0.499984740745262"/>
        <rFont val="Noto Sans"/>
        <family val="2"/>
      </rPr>
      <t xml:space="preserve"> raised in 50hl Stockinger botte</t>
    </r>
  </si>
  <si>
    <t>BAROLO (DI MONFORTE D'ALBA):</t>
  </si>
  <si>
    <r>
      <rPr>
        <b/>
        <sz val="7"/>
        <color theme="1" tint="0.499984740745262"/>
        <rFont val="Noto Sans"/>
        <family val="2"/>
      </rPr>
      <t xml:space="preserve">Barolo riserva: </t>
    </r>
    <r>
      <rPr>
        <sz val="7"/>
        <color theme="1" tint="0.499984740745262"/>
        <rFont val="Noto Sans"/>
        <family val="2"/>
      </rPr>
      <t>Vigna della Croce 1940 Michet VV</t>
    </r>
  </si>
  <si>
    <t>24PERNO06</t>
  </si>
  <si>
    <t>23PERNO04</t>
  </si>
  <si>
    <t>2023 1st Barolo Perno Ris. released, the 2017</t>
  </si>
  <si>
    <t>22PERNO05</t>
  </si>
  <si>
    <t>2023 Barolo Perno Riserva 2017 gets DWWA 97</t>
  </si>
  <si>
    <t>22PERNO05MG</t>
  </si>
  <si>
    <t>2022 Gianluca nominated Top 10 enologists (It)</t>
  </si>
  <si>
    <t>BAROLO CASTELLETTO:</t>
  </si>
  <si>
    <t>2022 1st write up by Monica Larner in TWA</t>
  </si>
  <si>
    <t>24PERNO07</t>
  </si>
  <si>
    <t>2022 1st write up by Walter Speller, Jancis Robinson</t>
  </si>
  <si>
    <t>23PERNO05</t>
  </si>
  <si>
    <t>2020 1.5ha nascetta planted in Castelletto</t>
  </si>
  <si>
    <t>22PERNO06</t>
  </si>
  <si>
    <t>2019 agriturismo &amp; tasting room developed</t>
  </si>
  <si>
    <t>23PERNO05MG2</t>
  </si>
  <si>
    <t>2017 organic certified</t>
  </si>
  <si>
    <t>22PERNO06MG</t>
  </si>
  <si>
    <t>2017 all other vineyards purchased</t>
  </si>
  <si>
    <t>BAROLO PERNO RISERVA:</t>
  </si>
  <si>
    <t>2014 1st vintage: Barolo produced</t>
  </si>
  <si>
    <t>24PERNO08</t>
  </si>
  <si>
    <t>2014 1st vineyard bought: cru Castelletto</t>
  </si>
  <si>
    <t>23PERNO06</t>
  </si>
  <si>
    <t>2013 cellar bought in cru Castelletto</t>
  </si>
  <si>
    <t>2012 Castello bought by Gregorio Gitti, law prof.</t>
  </si>
  <si>
    <t>1970 Castello bought by publisher Giulio Einaudi</t>
  </si>
  <si>
    <r>
      <rPr>
        <b/>
        <sz val="7"/>
        <color theme="1" tint="0.499984740745262"/>
        <rFont val="Noto Sans"/>
        <family val="2"/>
      </rPr>
      <t xml:space="preserve">ENOLOGIST: </t>
    </r>
    <r>
      <rPr>
        <sz val="7"/>
        <color theme="1" tint="0.499984740745262"/>
        <rFont val="Noto Sans"/>
        <family val="2"/>
      </rPr>
      <t>Gianluca Colombo</t>
    </r>
  </si>
  <si>
    <r>
      <t xml:space="preserve">AGRONOMIST: </t>
    </r>
    <r>
      <rPr>
        <sz val="7"/>
        <color theme="1" tint="0.499984740745262"/>
        <rFont val="Noto Sans"/>
        <family val="2"/>
      </rPr>
      <t>Roberto Abate</t>
    </r>
  </si>
  <si>
    <r>
      <rPr>
        <b/>
        <sz val="7"/>
        <color theme="1" tint="0.499984740745262"/>
        <rFont val="Noto Sans"/>
        <family val="2"/>
      </rPr>
      <t>OWNER</t>
    </r>
    <r>
      <rPr>
        <sz val="7"/>
        <color theme="1" tint="0.499984740745262"/>
        <rFont val="Noto Sans"/>
        <family val="2"/>
      </rPr>
      <t>: Gregorio Gritti &amp; family</t>
    </r>
  </si>
  <si>
    <t>CastelloDiPerno.it</t>
  </si>
  <si>
    <t>NB AGRITURISMO AVAILABLE</t>
  </si>
  <si>
    <t>GROWER CODE: PERNO</t>
  </si>
  <si>
    <t>PODERI COLLA</t>
  </si>
  <si>
    <t>17PCOLLA01</t>
  </si>
  <si>
    <t>Barolo, Monforte d'Alba. Pietro &amp; Federica</t>
  </si>
  <si>
    <t>S to SW facing section 300-350m altitude</t>
  </si>
  <si>
    <r>
      <t xml:space="preserve">Planted 1970-85. </t>
    </r>
    <r>
      <rPr>
        <b/>
        <sz val="8"/>
        <color rgb="FF00B050"/>
        <rFont val="Noto Sans"/>
        <family val="2"/>
      </rPr>
      <t>No certification</t>
    </r>
  </si>
  <si>
    <t>Max 40hl/ha. Slavonian botte elevage</t>
  </si>
  <si>
    <t xml:space="preserve">PoderiColla.it </t>
  </si>
  <si>
    <t>GROWER CODE: COLLA</t>
  </si>
  <si>
    <t>GALLONI ON GIACOMO CONTERNO:</t>
  </si>
  <si>
    <r>
      <rPr>
        <b/>
        <sz val="7"/>
        <color theme="1" tint="0.499984740745262"/>
        <rFont val="Noto Sans"/>
        <family val="2"/>
      </rPr>
      <t>Galloni, 2023</t>
    </r>
    <r>
      <rPr>
        <sz val="7"/>
        <color theme="1" tint="0.499984740745262"/>
        <rFont val="Noto Sans"/>
        <family val="2"/>
      </rPr>
      <t xml:space="preserve"> 'In my view, there is no stronger message a producer can send than investing in their own region.'</t>
    </r>
  </si>
  <si>
    <r>
      <rPr>
        <b/>
        <sz val="7"/>
        <color theme="1" tint="0.499984740745262"/>
        <rFont val="Noto Sans"/>
        <family val="2"/>
      </rPr>
      <t>Galloni, 2022</t>
    </r>
    <r>
      <rPr>
        <sz val="7"/>
        <color theme="1" tint="0.499984740745262"/>
        <rFont val="Noto Sans"/>
        <family val="2"/>
      </rPr>
      <t xml:space="preserve"> 'Leave it to Roberto Conterno to be two steps ahead of the game. ...the wines remain absolute benchmarks.'</t>
    </r>
  </si>
  <si>
    <r>
      <rPr>
        <b/>
        <sz val="7"/>
        <color theme="1" tint="0.499984740745262"/>
        <rFont val="Noto Sans"/>
        <family val="2"/>
      </rPr>
      <t>Galloni, 2022</t>
    </r>
    <r>
      <rPr>
        <sz val="7"/>
        <color theme="1" tint="0.499984740745262"/>
        <rFont val="Noto Sans"/>
        <family val="2"/>
      </rPr>
      <t xml:space="preserve"> '(Roberto) has elevated the wines at two estates through passion, conviction and relentless drive. Just as impressively, though,</t>
    </r>
  </si>
  <si>
    <t xml:space="preserve">Conterno has built a strong team to execute on his vision. The importance of that can’t possibly be overstated. </t>
  </si>
  <si>
    <r>
      <rPr>
        <b/>
        <sz val="7"/>
        <color theme="1" tint="0.499984740745262"/>
        <rFont val="Noto Sans"/>
        <family val="2"/>
      </rPr>
      <t>Galloni, 2022</t>
    </r>
    <r>
      <rPr>
        <sz val="7"/>
        <color theme="1" tint="0.499984740745262"/>
        <rFont val="Noto Sans"/>
        <family val="2"/>
      </rPr>
      <t xml:space="preserve"> 'One of the privileges of this job is having the opportunity to visit leading estates all over the world. It’s something that affords a great deal </t>
    </r>
  </si>
  <si>
    <t>of perspective. The Giacomo Conterno winery was already quite established when Roberto Conterno took over following his father’s death in 2004.</t>
  </si>
  <si>
    <t>Since then, Conterno has not only elevated the family winery to the top in Italy, he has placed it firmly among the greatest estates anywhere in the world.'</t>
  </si>
  <si>
    <r>
      <rPr>
        <b/>
        <sz val="7"/>
        <color theme="1" tint="0.499984740745262"/>
        <rFont val="Noto Sans"/>
        <family val="2"/>
      </rPr>
      <t>Galloni, 2021</t>
    </r>
    <r>
      <rPr>
        <sz val="7"/>
        <color theme="1" tint="0.499984740745262"/>
        <rFont val="Noto Sans"/>
        <family val="2"/>
      </rPr>
      <t xml:space="preserve"> 'I think it is important in understanding the vision the Conterno family has long had, a vision based on conviction more than anything else, </t>
    </r>
  </si>
  <si>
    <t>long before there was any sort of economic benefit to be gained.'</t>
  </si>
  <si>
    <r>
      <rPr>
        <b/>
        <sz val="7"/>
        <color theme="1" tint="0.499984740745262"/>
        <rFont val="Noto Sans"/>
        <family val="2"/>
      </rPr>
      <t>Galloni, 2021</t>
    </r>
    <r>
      <rPr>
        <sz val="7"/>
        <color theme="1" tint="0.499984740745262"/>
        <rFont val="Noto Sans"/>
        <family val="2"/>
      </rPr>
      <t xml:space="preserve"> '(Giovanni) Conterno was never satisfied with bottling large formats by hand. He knew this practice introduced a level of bottle variation, </t>
    </r>
  </si>
  <si>
    <t>and he didn’t like it. After the 1970, Conterno vowed to never bottle magnums again until he could do so on a bottling line.'</t>
  </si>
  <si>
    <r>
      <rPr>
        <b/>
        <sz val="7"/>
        <color theme="1" tint="0.499984740745262"/>
        <rFont val="Noto Sans"/>
        <family val="2"/>
      </rPr>
      <t>Galloni, 2021</t>
    </r>
    <r>
      <rPr>
        <sz val="7"/>
        <color theme="1" tint="0.499984740745262"/>
        <rFont val="Noto Sans"/>
        <family val="2"/>
      </rPr>
      <t xml:space="preserve"> 'that is what separates the elite from the rest, in any field – the willingness to do what others can’t or won’t.'</t>
    </r>
  </si>
  <si>
    <r>
      <rPr>
        <b/>
        <sz val="7"/>
        <color theme="1" tint="0.499984740745262"/>
        <rFont val="Noto Sans"/>
        <family val="2"/>
      </rPr>
      <t xml:space="preserve">Galloni, 2021 </t>
    </r>
    <r>
      <rPr>
        <sz val="7"/>
        <color theme="1" tint="0.499984740745262"/>
        <rFont val="Noto Sans"/>
        <family val="2"/>
      </rPr>
      <t>'an ascent into the stratosphere'</t>
    </r>
  </si>
  <si>
    <r>
      <rPr>
        <b/>
        <sz val="7"/>
        <color theme="1" tint="0.499984740745262"/>
        <rFont val="Noto Sans"/>
        <family val="2"/>
      </rPr>
      <t>Galloni, 2020</t>
    </r>
    <r>
      <rPr>
        <sz val="7"/>
        <color theme="1" tint="0.499984740745262"/>
        <rFont val="Noto Sans"/>
        <family val="2"/>
      </rPr>
      <t xml:space="preserve"> 'One of the most intriguing aspects of the Conterno winery is that the wines don't always fall into the general beliefs about...a given vintage'</t>
    </r>
  </si>
  <si>
    <r>
      <rPr>
        <b/>
        <sz val="7"/>
        <color theme="1" tint="0.499984740745262"/>
        <rFont val="Noto Sans"/>
        <family val="2"/>
      </rPr>
      <t>Galloni, 2019</t>
    </r>
    <r>
      <rPr>
        <sz val="7"/>
        <color theme="1" tint="0.499984740745262"/>
        <rFont val="Noto Sans"/>
        <family val="2"/>
      </rPr>
      <t xml:space="preserve"> ' Roberto Conterno’s relentless quest for perfection and remarkable attention to even the seemingly smallest detail comes through</t>
    </r>
  </si>
  <si>
    <t>in these breathtaking, captivating Barolos.'</t>
  </si>
  <si>
    <r>
      <t xml:space="preserve">Galloni, 2018 </t>
    </r>
    <r>
      <rPr>
        <sz val="7"/>
        <color theme="1" tint="0.499984740745262"/>
        <rFont val="Noto Sans"/>
        <family val="2"/>
      </rPr>
      <t>'the most prestigious producer in Italy'</t>
    </r>
  </si>
  <si>
    <r>
      <rPr>
        <b/>
        <sz val="7"/>
        <color theme="1" tint="0.499984740745262"/>
        <rFont val="Noto Sans"/>
        <family val="2"/>
      </rPr>
      <t>Galloini, 2017</t>
    </r>
    <r>
      <rPr>
        <sz val="7"/>
        <color theme="1" tint="0.499984740745262"/>
        <rFont val="Noto Sans"/>
        <family val="2"/>
      </rPr>
      <t xml:space="preserve"> '2014 is the first vintage Conterno made with his new state-of-the-art destemmer.'</t>
    </r>
  </si>
  <si>
    <r>
      <rPr>
        <b/>
        <sz val="7"/>
        <color theme="1" tint="0.499984740745262"/>
        <rFont val="Noto Sans"/>
        <family val="2"/>
      </rPr>
      <t>Galloni, 2017</t>
    </r>
    <r>
      <rPr>
        <sz val="7"/>
        <color theme="1" tint="0.499984740745262"/>
        <rFont val="Noto Sans"/>
        <family val="2"/>
      </rPr>
      <t xml:space="preserve"> 'What defines excellence? So often it comes down to a willingness to do things others won't. That pretty much sums up what Roberto</t>
    </r>
  </si>
  <si>
    <t>Conterno has done at his family's estate since assuming full control of the winery upon the passing of his father, Giovanni, in 2004. Readers who have</t>
  </si>
  <si>
    <t>visited the winery have seen the state of the art bottling line, the new destemmer and the new casks. But I won't bore readers with the details because</t>
  </si>
  <si>
    <t>at this level, wine has to be about emotion. Above all else, these are Barolos of total and exquisite finesse.'</t>
  </si>
  <si>
    <r>
      <rPr>
        <b/>
        <sz val="7"/>
        <color theme="1" tint="0.499984740745262"/>
        <rFont val="Noto Sans"/>
        <family val="2"/>
      </rPr>
      <t xml:space="preserve">Galloni, 2016 </t>
    </r>
    <r>
      <rPr>
        <sz val="7"/>
        <color theme="1" tint="0.499984740745262"/>
        <rFont val="Noto Sans"/>
        <family val="2"/>
      </rPr>
      <t>'the 2014s show what a diligent, quality obsessed producer can achieve, even in the most complicated of vintages.'</t>
    </r>
  </si>
  <si>
    <r>
      <rPr>
        <b/>
        <sz val="7"/>
        <color theme="1" tint="0.499984740745262"/>
        <rFont val="Noto Sans"/>
        <family val="2"/>
      </rPr>
      <t> Galloni, 2015</t>
    </r>
    <r>
      <rPr>
        <sz val="7"/>
        <color theme="1" tint="0.499984740745262"/>
        <rFont val="Noto Sans"/>
        <family val="2"/>
      </rPr>
      <t xml:space="preserve"> 'Over the last 7-8 years, Conterno has made significant investments in what is a total obsession with quality. ...I can't think of a single</t>
    </r>
  </si>
  <si>
    <t xml:space="preserve"> producer in Piedmont who has put so much on the line and who has made investments of this importance over the last decade.'</t>
  </si>
  <si>
    <r>
      <rPr>
        <b/>
        <sz val="7"/>
        <color theme="1" tint="0.499984740745262"/>
        <rFont val="Noto Sans"/>
        <family val="2"/>
      </rPr>
      <t>Galloni, 2015</t>
    </r>
    <r>
      <rPr>
        <sz val="7"/>
        <color theme="1" tint="0.499984740745262"/>
        <rFont val="Noto Sans"/>
        <family val="2"/>
      </rPr>
      <t xml:space="preserve"> 'Take it from someone who spends six months each year visiting wineries all over the US and Europe, Giacomo Conterno is as world</t>
    </r>
  </si>
  <si>
    <t>class as world class gets.'</t>
  </si>
  <si>
    <r>
      <t>Galloni, 2012</t>
    </r>
    <r>
      <rPr>
        <sz val="7"/>
        <color theme="1" tint="0.499984740745262"/>
        <rFont val="Noto Sans"/>
        <family val="2"/>
      </rPr>
      <t xml:space="preserve"> 'what really separates Conterno from the overwhelming majority of his peers is his intense intellectual curiosity about the world’s great wines.'</t>
    </r>
  </si>
  <si>
    <r>
      <t xml:space="preserve">Galloni, 2010 </t>
    </r>
    <r>
      <rPr>
        <sz val="7"/>
        <color theme="1" tint="0.499984740745262"/>
        <rFont val="Noto Sans"/>
        <family val="2"/>
      </rPr>
      <t>'rightly considered by most observers as among the most profound wines in the world'</t>
    </r>
  </si>
  <si>
    <r>
      <rPr>
        <b/>
        <sz val="7"/>
        <color theme="1" tint="0.499984740745262"/>
        <rFont val="Noto Sans"/>
        <family val="2"/>
      </rPr>
      <t>Galloni, 2008</t>
    </r>
    <r>
      <rPr>
        <sz val="7"/>
        <color theme="1" tint="0.499984740745262"/>
        <rFont val="Noto Sans"/>
        <family val="2"/>
      </rPr>
      <t xml:space="preserve"> 'Roberto Conterno makes wines that can hold their own with the very finest wines made anywhere in the world, and in that context these</t>
    </r>
  </si>
  <si>
    <t>Barolos remain fairly priced. This is an estate that has achieved its success the hard way, by earning it - not just over the years, but over the decades.'</t>
  </si>
  <si>
    <r>
      <t>Galloni, 2007</t>
    </r>
    <r>
      <rPr>
        <sz val="7"/>
        <color theme="1" tint="0.499984740745262"/>
        <rFont val="Noto Sans"/>
        <family val="2"/>
      </rPr>
      <t xml:space="preserve"> 'Giacomo Conterno one of the bastions of traditionally made Barolos. While Conterno’s wines have often been profound, in recent vintages</t>
    </r>
  </si>
  <si>
    <t>the estate has found another level of finesse that was sometimes missing in the wines. It is hard to say if that is because of a general trend towards</t>
  </si>
  <si>
    <t xml:space="preserve"> warmer vintages, or small improvements in vineyard and cellar work, but the fact remains that over the past few vintages Roberto Conterno has produced</t>
  </si>
  <si>
    <t>the best and most consistently outstanding wines in his venerable firm’s long history.'</t>
  </si>
  <si>
    <t>OTHERS' KIND WORDS ON GIACOMO CONTERNO:</t>
  </si>
  <si>
    <r>
      <rPr>
        <b/>
        <sz val="7"/>
        <color theme="1" tint="0.499984740745262"/>
        <rFont val="Noto Sans"/>
        <family val="2"/>
      </rPr>
      <t>Tanzer, 2013</t>
    </r>
    <r>
      <rPr>
        <sz val="7"/>
        <color theme="1" tint="0.499984740745262"/>
        <rFont val="Noto Sans"/>
        <family val="2"/>
      </rPr>
      <t xml:space="preserve"> 'Conterno has dedicated significant effort &amp; money to ensuring the quality &amp; consistency of the corks he uses for his widely sought Barolos.'</t>
    </r>
  </si>
  <si>
    <r>
      <t>M.Larner, TWA 2013 '</t>
    </r>
    <r>
      <rPr>
        <sz val="7"/>
        <color theme="1" tint="0.499984740745262"/>
        <rFont val="Noto Sans"/>
        <family val="2"/>
      </rPr>
      <t>There is something almost ecclesiastical about a cellar visit to Giacomo Conterno...you immediately cross an imaginary</t>
    </r>
  </si>
  <si>
    <t xml:space="preserve"> threshold into a spiritual and sobering world.'</t>
  </si>
  <si>
    <r>
      <t>Suckling, 2012</t>
    </r>
    <r>
      <rPr>
        <sz val="7"/>
        <color theme="1" tint="0.499984740745262"/>
        <rFont val="Noto Sans"/>
        <family val="2"/>
      </rPr>
      <t xml:space="preserve"> 'I have such respect for him. Great winemaker'</t>
    </r>
  </si>
  <si>
    <r>
      <t>E.Asimov, NYT 2010</t>
    </r>
    <r>
      <rPr>
        <sz val="7"/>
        <color theme="1" tint="0.499984740745262"/>
        <rFont val="Noto Sans"/>
        <family val="2"/>
      </rPr>
      <t xml:space="preserve"> 'among the most beautiful wines in the world.'</t>
    </r>
  </si>
  <si>
    <r>
      <t>Slow Wine Guide, 2014</t>
    </r>
    <r>
      <rPr>
        <sz val="7"/>
        <color theme="1" tint="0.499984740745262"/>
        <rFont val="Noto Sans"/>
        <family val="2"/>
      </rPr>
      <t xml:space="preserve"> '</t>
    </r>
    <r>
      <rPr>
        <i/>
        <sz val="7"/>
        <color theme="1" tint="0.499984740745262"/>
        <rFont val="Noto Sans"/>
        <family val="2"/>
      </rPr>
      <t>the</t>
    </r>
    <r>
      <rPr>
        <sz val="7"/>
        <color theme="1" tint="0.499984740745262"/>
        <rFont val="Noto Sans"/>
        <family val="2"/>
      </rPr>
      <t xml:space="preserve"> Barolo par excellence'</t>
    </r>
  </si>
  <si>
    <t>ROBERTO CONTERNO ON GIACOMO CONTERNO:</t>
  </si>
  <si>
    <t>2023 'At a certain point, we noticed the wines weren’t gaining anything by spending an additional year in cask'</t>
  </si>
  <si>
    <t>2022 'If my father asked me if I had changed anything at the estate since he passed away and (if) I replied: ‘No, we haven’t changed a thing’ he would</t>
  </si>
  <si>
    <t>tell me I was an idiot. Of course things have changed. Everything has changed.'</t>
  </si>
  <si>
    <t>2018 'I did something totally crazy. It doesn’t seem real.' (on the purchase of Nervi)</t>
  </si>
  <si>
    <t>2012 'The biggest critic of my wines is not a journalist – it’s me!'</t>
  </si>
  <si>
    <t>2010 'Whenever I enter the cellar, I feel my father and my grandfather with me'</t>
  </si>
  <si>
    <t>GIACOMO CONTERNO</t>
  </si>
  <si>
    <t>by Roberto Conterno</t>
  </si>
  <si>
    <t>24CONTERN01</t>
  </si>
  <si>
    <t>Roberto Conterno. cellar in Monforte d'Alba</t>
  </si>
  <si>
    <t>24CONTERN03</t>
  </si>
  <si>
    <r>
      <rPr>
        <b/>
        <sz val="8"/>
        <color rgb="FF00B050"/>
        <rFont val="Noto Sans"/>
        <family val="2"/>
      </rPr>
      <t>sustainable</t>
    </r>
    <r>
      <rPr>
        <sz val="8"/>
        <color theme="1" tint="0.14999847407452621"/>
        <rFont val="Noto Sans"/>
        <family val="2"/>
      </rPr>
      <t>; ambient yeast ferment</t>
    </r>
  </si>
  <si>
    <t>24CONTERN05</t>
  </si>
  <si>
    <t>~22ha vines, all in Serralunga d'Alba:</t>
  </si>
  <si>
    <t>24CONTERN06</t>
  </si>
  <si>
    <r>
      <rPr>
        <b/>
        <sz val="7"/>
        <color theme="1" tint="0.499984740745262"/>
        <rFont val="Noto Sans"/>
        <family val="2"/>
      </rPr>
      <t>C.Francia</t>
    </r>
    <r>
      <rPr>
        <sz val="7"/>
        <color theme="1" tint="0.499984740745262"/>
        <rFont val="Noto Sans"/>
        <family val="2"/>
      </rPr>
      <t xml:space="preserve">: 16ha </t>
    </r>
    <r>
      <rPr>
        <b/>
        <sz val="7"/>
        <color theme="1" tint="0.499984740745262"/>
        <rFont val="Noto Sans"/>
        <family val="2"/>
      </rPr>
      <t>MONOPOLE</t>
    </r>
    <r>
      <rPr>
        <sz val="7"/>
        <color theme="1" tint="0.499984740745262"/>
        <rFont val="Noto Sans"/>
        <family val="2"/>
      </rPr>
      <t xml:space="preserve"> bought 1974,</t>
    </r>
  </si>
  <si>
    <t>24CONTERN04</t>
  </si>
  <si>
    <t>9ha nebbiolo, 5ha barbera, +2ha woods</t>
  </si>
  <si>
    <t>16CONTERN01</t>
  </si>
  <si>
    <r>
      <rPr>
        <b/>
        <sz val="7"/>
        <color theme="1" tint="0.499984740745262"/>
        <rFont val="Noto Sans"/>
        <family val="2"/>
      </rPr>
      <t>Cerretta:</t>
    </r>
    <r>
      <rPr>
        <sz val="7"/>
        <color theme="1" tint="0.499984740745262"/>
        <rFont val="Noto Sans"/>
        <family val="2"/>
      </rPr>
      <t xml:space="preserve"> 3ha bought 2008,</t>
    </r>
  </si>
  <si>
    <t>19CONTERN01</t>
  </si>
  <si>
    <t>2ha nebbiolo, 1ha barbera. 1st Barolo in 2010</t>
  </si>
  <si>
    <r>
      <rPr>
        <b/>
        <sz val="7"/>
        <color theme="1" tint="0.499984740745262"/>
        <rFont val="Noto Sans"/>
        <family val="2"/>
      </rPr>
      <t>Arione</t>
    </r>
    <r>
      <rPr>
        <sz val="7"/>
        <color theme="1" tint="0.499984740745262"/>
        <rFont val="Noto Sans"/>
        <family val="2"/>
      </rPr>
      <t xml:space="preserve">: 9ha </t>
    </r>
    <r>
      <rPr>
        <b/>
        <sz val="7"/>
        <color theme="1" tint="0.499984740745262"/>
        <rFont val="Noto Sans"/>
        <family val="2"/>
      </rPr>
      <t>MONOPOLE</t>
    </r>
    <r>
      <rPr>
        <sz val="7"/>
        <color theme="1" tint="0.499984740745262"/>
        <rFont val="Noto Sans"/>
        <family val="2"/>
      </rPr>
      <t xml:space="preserve"> bought 2015, with</t>
    </r>
  </si>
  <si>
    <t>22CONTERN03MG</t>
  </si>
  <si>
    <t>4ha nebbiolo, 1ha barbera, 3.5ha woods</t>
  </si>
  <si>
    <t>21CONTERN05MG</t>
  </si>
  <si>
    <t>TIMELINE (IN BRIEF - ALSO SEE ABOVE):</t>
  </si>
  <si>
    <t>13CONTERN02M</t>
  </si>
  <si>
    <t>2018 Nervi of Gattinara purchased</t>
  </si>
  <si>
    <t>20CONTERN01MG</t>
  </si>
  <si>
    <t>2015 Arione purchased; 1st vintage of Arione</t>
  </si>
  <si>
    <t>2010 1st vintage released of Cerretta</t>
  </si>
  <si>
    <t>2008 3ha Cerretta purchased: 1st since 1974</t>
  </si>
  <si>
    <t>2004 Giovanni passes away; Roberto takes over</t>
  </si>
  <si>
    <t>1988 Giovanni's son Roberto joins</t>
  </si>
  <si>
    <t>1980s new cellar built</t>
  </si>
  <si>
    <t>1978 1st vintage of Cascina Francia</t>
  </si>
  <si>
    <t>1975 Cascina Francia planted, by Giovanni</t>
  </si>
  <si>
    <t>1974 Cascina Francia purchased fallow, by Giovanni</t>
  </si>
  <si>
    <t>1969 Aldo leaves and starts own label</t>
  </si>
  <si>
    <t>1968 Giovanni's son Roberto born</t>
  </si>
  <si>
    <t>1961 brothers Aldo &amp; Giovanni take over</t>
  </si>
  <si>
    <t>1930 son Giovanni born</t>
  </si>
  <si>
    <t xml:space="preserve">1920 1st vintage with Barolo Monfortino label </t>
  </si>
  <si>
    <t>1908 - 1977 era of negociant activity</t>
  </si>
  <si>
    <t>1908 Giacomo Conterno label founded</t>
  </si>
  <si>
    <t>2014 - 2016 in Suckling's Top 100 WOTY</t>
  </si>
  <si>
    <t>2013 IWR Top 100 Wines of The Year</t>
  </si>
  <si>
    <t>Slow Wine 2011-14 &amp; 2016-17, 'Bottle' Award</t>
  </si>
  <si>
    <t>youtube.com/watch?v=hIG-IMyrFAc</t>
  </si>
  <si>
    <t>Conterno.it</t>
  </si>
  <si>
    <t>LEVI DALTON 'IDTT' INTERVIEW #380</t>
  </si>
  <si>
    <t>NB ALSO SEE CONTERNO- NERVI, GATTINARA</t>
  </si>
  <si>
    <t>GROWER CODE: CONTER</t>
  </si>
  <si>
    <t>KIND WORDS ON FRATELLI ALESSANDRIA:</t>
  </si>
  <si>
    <r>
      <rPr>
        <b/>
        <sz val="7"/>
        <color theme="1" tint="0.499984740745262"/>
        <rFont val="Noto Sans"/>
        <family val="2"/>
      </rPr>
      <t>Galloni, 2020</t>
    </r>
    <r>
      <rPr>
        <sz val="7"/>
        <color theme="1" tint="0.499984740745262"/>
        <rFont val="Noto Sans"/>
        <family val="2"/>
      </rPr>
      <t xml:space="preserve"> 'one of my favorite under the radar estates in Piedmont.'</t>
    </r>
  </si>
  <si>
    <r>
      <rPr>
        <b/>
        <sz val="7"/>
        <color theme="1" tint="0.499984740745262"/>
        <rFont val="Noto Sans"/>
        <family val="2"/>
      </rPr>
      <t>Galloni, 2018</t>
    </r>
    <r>
      <rPr>
        <sz val="7"/>
        <color theme="1" tint="0.499984740745262"/>
        <rFont val="Noto Sans"/>
        <family val="2"/>
      </rPr>
      <t xml:space="preserve"> 'Barolos...are terrific and will appeal to readers who enjoy traditionally-made wines. Pricing remains very fair'</t>
    </r>
  </si>
  <si>
    <r>
      <rPr>
        <b/>
        <sz val="7"/>
        <color theme="1" tint="0.499984740745262"/>
        <rFont val="Noto Sans"/>
        <family val="2"/>
      </rPr>
      <t>Galloni, 2016</t>
    </r>
    <r>
      <rPr>
        <sz val="7"/>
        <color theme="1" tint="0.499984740745262"/>
        <rFont val="Noto Sans"/>
        <family val="2"/>
      </rPr>
      <t xml:space="preserve"> 'Readers who enjoy structured, age-worthy Barolos won't want to be without these wines'</t>
    </r>
  </si>
  <si>
    <r>
      <t>Galloni, 2015</t>
    </r>
    <r>
      <rPr>
        <sz val="7"/>
        <color theme="1" tint="0.499984740745262"/>
        <rFont val="Noto Sans"/>
        <family val="2"/>
      </rPr>
      <t xml:space="preserve"> 'Over the last decade or so Alessandria has made huge strides in quality, yet the wines remain under the radar' </t>
    </r>
  </si>
  <si>
    <r>
      <t>Galloni, 2015</t>
    </r>
    <r>
      <rPr>
        <sz val="7"/>
        <color theme="1" tint="0.499984740745262"/>
        <rFont val="Noto Sans"/>
        <family val="2"/>
      </rPr>
      <t xml:space="preserve"> 'these artisan, traditionally made Barolos are some of the most compelling wines being made in Piedmont today.'</t>
    </r>
  </si>
  <si>
    <r>
      <rPr>
        <b/>
        <sz val="7"/>
        <color theme="1" tint="0.499984740745262"/>
        <rFont val="Noto Sans"/>
        <family val="2"/>
      </rPr>
      <t>Galloni, 2010</t>
    </r>
    <r>
      <rPr>
        <sz val="7"/>
        <color theme="1" tint="0.499984740745262"/>
        <rFont val="Noto Sans"/>
        <family val="2"/>
      </rPr>
      <t xml:space="preserve"> 'one of Piedmont's up and coming producers'</t>
    </r>
  </si>
  <si>
    <r>
      <rPr>
        <b/>
        <sz val="7"/>
        <color theme="1" tint="0.499984740745262"/>
        <rFont val="Noto Sans"/>
        <family val="2"/>
      </rPr>
      <t xml:space="preserve">M.Larner, TWA 2019 </t>
    </r>
    <r>
      <rPr>
        <sz val="7"/>
        <color theme="1" tint="0.499984740745262"/>
        <rFont val="Noto Sans"/>
        <family val="2"/>
      </rPr>
      <t>'Monvigliero in the Verduno township is quickly becoming one of the most celebrated and talked about crus in Barolo.</t>
    </r>
  </si>
  <si>
    <t>The Fratelli Alessandria estate was among the first to understand its potential, and indeed, this wine was first released in 1978.'</t>
  </si>
  <si>
    <r>
      <rPr>
        <b/>
        <sz val="7"/>
        <color theme="1" tint="0.499984740745262"/>
        <rFont val="Noto Sans"/>
        <family val="2"/>
      </rPr>
      <t>Gian Battista:</t>
    </r>
    <r>
      <rPr>
        <sz val="7"/>
        <color theme="1" tint="0.499984740745262"/>
        <rFont val="Noto Sans"/>
        <family val="2"/>
      </rPr>
      <t xml:space="preserve"> 'A great wine comes from a great vineyard'</t>
    </r>
  </si>
  <si>
    <t>FRATELLI ALESSANDRIA</t>
  </si>
  <si>
    <t>Alessandria family, 5th generation.</t>
  </si>
  <si>
    <t>25ALESSAND01</t>
  </si>
  <si>
    <t>Gian Battista &amp; Flavia, w.son Vittore. 14ha</t>
  </si>
  <si>
    <t>24ALESSAND01</t>
  </si>
  <si>
    <r>
      <t xml:space="preserve">estate fruit only; </t>
    </r>
    <r>
      <rPr>
        <b/>
        <sz val="8"/>
        <color rgb="FF00B050"/>
        <rFont val="Noto Sans"/>
        <family val="2"/>
      </rPr>
      <t>sustainable</t>
    </r>
    <r>
      <rPr>
        <sz val="8"/>
        <color theme="1" tint="0.14999847407452621"/>
        <rFont val="Noto Sans"/>
        <family val="2"/>
      </rPr>
      <t>/'traditional'</t>
    </r>
  </si>
  <si>
    <t>23ALESSAND01</t>
  </si>
  <si>
    <t>ambient yeast; ovaline botte for nebbiolo</t>
  </si>
  <si>
    <t>22ALESSAND01</t>
  </si>
  <si>
    <r>
      <t xml:space="preserve">Barolo </t>
    </r>
    <r>
      <rPr>
        <sz val="7"/>
        <color theme="1" tint="0.14999847407452621"/>
        <rFont val="Noto Sans"/>
        <family val="2"/>
      </rPr>
      <t>normale</t>
    </r>
    <r>
      <rPr>
        <sz val="8"/>
        <color theme="1" tint="0.14999847407452621"/>
        <rFont val="Noto Sans"/>
        <family val="2"/>
      </rPr>
      <t xml:space="preserve"> ~75ql/ha; Barolo crus 50ql/ha</t>
    </r>
  </si>
  <si>
    <t>19ALESSAND01</t>
  </si>
  <si>
    <t>Baroli see 3yrs elevage in 20-40hl botte,</t>
  </si>
  <si>
    <t>18ALESSAND01</t>
  </si>
  <si>
    <t>French &amp; Slavonian, 2mths tank, 6+mths btl</t>
  </si>
  <si>
    <t>17ALESSAND01</t>
  </si>
  <si>
    <r>
      <rPr>
        <sz val="8"/>
        <color theme="1" tint="0.14999847407452621"/>
        <rFont val="Noto Sans"/>
        <family val="2"/>
      </rPr>
      <t>Fining is rare: usually</t>
    </r>
    <r>
      <rPr>
        <b/>
        <sz val="8"/>
        <color rgb="FF00B050"/>
        <rFont val="Noto Sans"/>
        <family val="2"/>
      </rPr>
      <t xml:space="preserve"> Ⓥ Vegan compatible</t>
    </r>
  </si>
  <si>
    <t>25ALESSAND02</t>
  </si>
  <si>
    <t>DOLCETTO:</t>
  </si>
  <si>
    <t>24ALESSAND02</t>
  </si>
  <si>
    <t>1ha E &amp; W-facing in 4 plots, 250-370m, ~40yrs old,</t>
  </si>
  <si>
    <t>23ALESSAND02</t>
  </si>
  <si>
    <t>from steel &amp; cement. 1st made 1974</t>
  </si>
  <si>
    <t>22ALESSAND02</t>
  </si>
  <si>
    <t>BARBERA:</t>
  </si>
  <si>
    <t>19ALESSAND02</t>
  </si>
  <si>
    <t>1.2ha W-facing in 2 plots at Verduno, 250m-400m,</t>
  </si>
  <si>
    <t>18ALESSAND02</t>
  </si>
  <si>
    <t>~20yrs old, from steel &amp; cement. 1st made 1968</t>
  </si>
  <si>
    <t>17ALESSAND02</t>
  </si>
  <si>
    <t>VERDUNO PELAVERGA SPEZIALE®:</t>
  </si>
  <si>
    <t>25ALESSAND03</t>
  </si>
  <si>
    <t>3ha across 6 E or W-facing Verduno sites</t>
  </si>
  <si>
    <t>24ALESSAND03</t>
  </si>
  <si>
    <t>at 250-400m on limestone or silt based terroirs,</t>
  </si>
  <si>
    <t>23ALESSAND03</t>
  </si>
  <si>
    <t>from steel &amp; cement. 1st made 1973</t>
  </si>
  <si>
    <t>19ALESSAND03</t>
  </si>
  <si>
    <t>Label painted by H.Spaeti</t>
  </si>
  <si>
    <t>BAROLI DI VERDUNO:</t>
  </si>
  <si>
    <t>25ALESSAND04</t>
  </si>
  <si>
    <r>
      <t xml:space="preserve">Barolo: </t>
    </r>
    <r>
      <rPr>
        <sz val="7"/>
        <color theme="1" tint="0.499984740745262"/>
        <rFont val="Noto Sans"/>
        <family val="2"/>
      </rPr>
      <t>4ha E &amp; SE-facing in 5 plots, av.25yr vines,</t>
    </r>
  </si>
  <si>
    <t>24ALESSAND04</t>
  </si>
  <si>
    <t>250-370m, 3yrs in French &amp; Slavonian botte</t>
  </si>
  <si>
    <t>23ALESSAND04</t>
  </si>
  <si>
    <t>Barolo 1st made 1880; di Verduno 1st made 2017</t>
  </si>
  <si>
    <t>25ALESSAND05</t>
  </si>
  <si>
    <r>
      <rPr>
        <b/>
        <sz val="7"/>
        <color theme="1" tint="0.499984740745262"/>
        <rFont val="Noto Sans"/>
        <family val="2"/>
      </rPr>
      <t>Barolo San Lorenzo</t>
    </r>
    <r>
      <rPr>
        <sz val="7"/>
        <color theme="1" tint="0.499984740745262"/>
        <rFont val="Noto Sans"/>
        <family val="2"/>
      </rPr>
      <t xml:space="preserve"> 0.8ha ~30yrs, S-facing,</t>
    </r>
  </si>
  <si>
    <t>24ALESSAND05</t>
  </si>
  <si>
    <t>240-260m altitude, bought 1995, 1st made 1997</t>
  </si>
  <si>
    <t>23ALESSAND05</t>
  </si>
  <si>
    <r>
      <rPr>
        <b/>
        <sz val="7"/>
        <color theme="1" tint="0.499984740745262"/>
        <rFont val="Noto Sans"/>
        <family val="2"/>
      </rPr>
      <t>Barolo Monvigliero</t>
    </r>
    <r>
      <rPr>
        <sz val="7"/>
        <color theme="1" tint="0.499984740745262"/>
        <rFont val="Noto Sans"/>
        <family val="2"/>
      </rPr>
      <t xml:space="preserve"> 1.4ha ~45yrs S/SW facing</t>
    </r>
  </si>
  <si>
    <t>25ALESSAND06</t>
  </si>
  <si>
    <t xml:space="preserve">vines, 250-310m altitude, 1st made 1978 </t>
  </si>
  <si>
    <t>24ALESSAND06</t>
  </si>
  <si>
    <t>BAROLO DI MONFORTE D'ALBA:</t>
  </si>
  <si>
    <t>23ALESSAND06</t>
  </si>
  <si>
    <r>
      <rPr>
        <b/>
        <sz val="7"/>
        <color theme="1" tint="0.499984740745262"/>
        <rFont val="Noto Sans"/>
        <family val="2"/>
      </rPr>
      <t>Barolo Gramolere</t>
    </r>
    <r>
      <rPr>
        <sz val="7"/>
        <color theme="1" tint="0.499984740745262"/>
        <rFont val="Noto Sans"/>
        <family val="2"/>
      </rPr>
      <t xml:space="preserve"> 2ha av.~55yrs S/SW facing,</t>
    </r>
  </si>
  <si>
    <t>20ALESSAND06</t>
  </si>
  <si>
    <t>400m altitude, sandy, bought &amp; 1st made 2001</t>
  </si>
  <si>
    <t>25ALESSAND07</t>
  </si>
  <si>
    <t>24ALESSAND07</t>
  </si>
  <si>
    <t>2011 start of Verduno pelaverga speziale® brand</t>
  </si>
  <si>
    <t>23ALESSAND07</t>
  </si>
  <si>
    <t>2010 start of sustainable farming</t>
  </si>
  <si>
    <t>20ALESSAND07</t>
  </si>
  <si>
    <t>2001 2ha purchased at Gramolere, Monforte</t>
  </si>
  <si>
    <t>BAROLO DI VERDUNO EN MAGNUM:</t>
  </si>
  <si>
    <t>2000 Vittore joined</t>
  </si>
  <si>
    <t>25ALESSAND04M</t>
  </si>
  <si>
    <t>1976 Vittore, 5th gen. born</t>
  </si>
  <si>
    <t>24ALESSAND04M</t>
  </si>
  <si>
    <t>1973 1st vintage of pelaverga piccolo</t>
  </si>
  <si>
    <t>23ALESSAND04M</t>
  </si>
  <si>
    <t>1950 1st parcel of Monvigliero bought</t>
  </si>
  <si>
    <t>22ALESSAND04M</t>
  </si>
  <si>
    <t>1949 Gian Battista, 4th gen. born</t>
  </si>
  <si>
    <t>BAROLO CRUS EN MAGNUM:</t>
  </si>
  <si>
    <t>1880 1st vintage of 'Barolo' wine</t>
  </si>
  <si>
    <t>25ALESSAND05M</t>
  </si>
  <si>
    <t>1870 Antonio Alessandria takes it on</t>
  </si>
  <si>
    <t>24ALESSAND05M</t>
  </si>
  <si>
    <t>1830 estate started</t>
  </si>
  <si>
    <t>23ALESSAND05M</t>
  </si>
  <si>
    <t>KEY AWARDS (IN BRIEF):</t>
  </si>
  <si>
    <t>25ALESSAND06M</t>
  </si>
  <si>
    <t>2019 1st Wine &amp; Spirits Top 100 Wineries</t>
  </si>
  <si>
    <t>24ALESSAND06M</t>
  </si>
  <si>
    <t>2016 Wine Enthusiast Top 100 Cellar Selection</t>
  </si>
  <si>
    <t>23ALESSAND06M</t>
  </si>
  <si>
    <t>often Wine &amp; Spirits Top 100 WOTY</t>
  </si>
  <si>
    <t>25ALESSAND07M</t>
  </si>
  <si>
    <t xml:space="preserve">Slow Wine 2011-23 'Snail' Award </t>
  </si>
  <si>
    <t>24ALESSAND07M</t>
  </si>
  <si>
    <t>regular Gambero Rosso Tre Bicchieri</t>
  </si>
  <si>
    <t>23ALESSAND07M</t>
  </si>
  <si>
    <t>FratelliAlessandria.it</t>
  </si>
  <si>
    <t>FIVI.it</t>
  </si>
  <si>
    <t>LEVI DALTON 'IDTT' INTERVIEW #246</t>
  </si>
  <si>
    <t>GROWER CODE: ALESSAND</t>
  </si>
  <si>
    <t>Cascina GRAMOLERE</t>
  </si>
  <si>
    <t>24CGRAMOL01</t>
  </si>
  <si>
    <t xml:space="preserve">by Claudio Pressenda </t>
  </si>
  <si>
    <t>Monforte d'Alba, Barolo, Localita Castelletto</t>
  </si>
  <si>
    <r>
      <t xml:space="preserve">Poems by Natale Seghesio, in </t>
    </r>
    <r>
      <rPr>
        <b/>
        <i/>
        <sz val="8"/>
        <color theme="1" tint="0.499984740745262"/>
        <rFont val="Noto Sans"/>
        <family val="2"/>
      </rPr>
      <t>E le stelle giocano a scopone:</t>
    </r>
  </si>
  <si>
    <t>~5ha at Gramolere cru incl. 2.5ha nebbiolo</t>
  </si>
  <si>
    <t>Silence, there is no wind,</t>
  </si>
  <si>
    <t>facing S/SW, planted 1964/'71/'00/'04/'05</t>
  </si>
  <si>
    <t>a bird is silent behind the bushes</t>
  </si>
  <si>
    <t>at 450m altitude. 35 to 50hl/ha yield range</t>
  </si>
  <si>
    <t>hidden in the green</t>
  </si>
  <si>
    <t>Ambient yeast, no temperature control,</t>
  </si>
  <si>
    <t>of this pale summer.</t>
  </si>
  <si>
    <t>submerged cap with pump overs, gentle</t>
  </si>
  <si>
    <t>basket-press</t>
  </si>
  <si>
    <t>A dark spot</t>
  </si>
  <si>
    <t>Elevage ~20mths in 30hl botte grande</t>
  </si>
  <si>
    <t>rises, far away on the horizon,</t>
  </si>
  <si>
    <t>Poetry by uncle Natale Seghesio, neighbour</t>
  </si>
  <si>
    <t>almost contrasting with</t>
  </si>
  <si>
    <t>a glassy, ​​diaphanous sky.</t>
  </si>
  <si>
    <r>
      <t>2019 Uncle Natale's book</t>
    </r>
    <r>
      <rPr>
        <i/>
        <sz val="7"/>
        <color theme="1" tint="0.499984740745262"/>
        <rFont val="Noto Sans"/>
        <family val="2"/>
      </rPr>
      <t xml:space="preserve"> 'Alba e Tramonto'</t>
    </r>
  </si>
  <si>
    <t>2013 Youtube video made</t>
  </si>
  <si>
    <t>2012 Uncle Natale's book published:</t>
  </si>
  <si>
    <t>tractors hidden in the rows wander by,</t>
  </si>
  <si>
    <r>
      <t>'</t>
    </r>
    <r>
      <rPr>
        <i/>
        <sz val="7"/>
        <color theme="1" tint="0.499984740745262"/>
        <rFont val="Noto Sans"/>
        <family val="2"/>
      </rPr>
      <t>E le stelle giocano a scopone</t>
    </r>
    <r>
      <rPr>
        <sz val="7"/>
        <color theme="1" tint="0.499984740745262"/>
        <rFont val="Noto Sans"/>
        <family val="2"/>
      </rPr>
      <t>', 80pp It.</t>
    </r>
  </si>
  <si>
    <t xml:space="preserve">a deep, impalpable, </t>
  </si>
  <si>
    <t>2007/8 botte grande replaced with Garbellottos</t>
  </si>
  <si>
    <t>indefinite rumble.</t>
  </si>
  <si>
    <t>1967 1st Barolo vintage by father, Oreste</t>
  </si>
  <si>
    <t>1940 poet-farmer uncle Natale born</t>
  </si>
  <si>
    <t>The dark spot, grown,</t>
  </si>
  <si>
    <t>CascinaGramolere.com</t>
  </si>
  <si>
    <t>now dominates the sky</t>
  </si>
  <si>
    <t>facebook.com/cascinagramolere</t>
  </si>
  <si>
    <t>a flash of lightning</t>
  </si>
  <si>
    <t>(3'38'' video)</t>
  </si>
  <si>
    <t>pierces the dying sun.</t>
  </si>
  <si>
    <t>youtube.com/watch?v=sH2PVI3HCvA</t>
  </si>
  <si>
    <t>Guarda la natura:</t>
  </si>
  <si>
    <t>GROWER CODE: CGRAMO</t>
  </si>
  <si>
    <t>un soffio d’aria mattutina</t>
  </si>
  <si>
    <t>osserva, il sole spunta</t>
  </si>
  <si>
    <t>il tramonto non farà paura.</t>
  </si>
  <si>
    <t>Senti la voce del bosco:</t>
  </si>
  <si>
    <t>l’eterno silenzio, il mistero</t>
  </si>
  <si>
    <t>il rumore dell’erba che cresce</t>
  </si>
  <si>
    <t>il brusio di un uccello nascosto.</t>
  </si>
  <si>
    <t>Un fiore vicino a un ruscello,</t>
  </si>
  <si>
    <t>una piuma scaldare un nido,</t>
  </si>
  <si>
    <t>una briciola per un uccello</t>
  </si>
  <si>
    <t>il mondo è sempre quello.</t>
  </si>
  <si>
    <t>Piccole cose di ogni giorno</t>
  </si>
  <si>
    <t>tutte normali, senza pretese:</t>
  </si>
  <si>
    <t>se tutti ci guardiamo attorno</t>
  </si>
  <si>
    <t>salviamo il mondo, senza spese.</t>
  </si>
  <si>
    <r>
      <rPr>
        <b/>
        <sz val="7"/>
        <color theme="1" tint="0.499984740745262"/>
        <rFont val="Noto Sans"/>
        <family val="2"/>
      </rPr>
      <t>Galloni, 2018</t>
    </r>
    <r>
      <rPr>
        <sz val="7"/>
        <color theme="1" tint="0.499984740745262"/>
        <rFont val="Noto Sans"/>
        <family val="2"/>
      </rPr>
      <t xml:space="preserve"> 'This tiny estate in Serralunga still sells most of their fruit to neighbor Pio Cesare. There is just one cask of the estate Barolo in each</t>
    </r>
  </si>
  <si>
    <t>vintage, but that will grow over time. Simona Grasso and her son, Daniele, are doing an admirable job after the unexpected passing of husband Tiziano…''</t>
  </si>
  <si>
    <r>
      <rPr>
        <b/>
        <sz val="7"/>
        <color theme="1" tint="0.499984740745262"/>
        <rFont val="Noto Sans"/>
        <family val="2"/>
      </rPr>
      <t>Monica Larner, TWA 2020</t>
    </r>
    <r>
      <rPr>
        <sz val="7"/>
        <color theme="1" tint="0.499984740745262"/>
        <rFont val="Noto Sans"/>
        <family val="2"/>
      </rPr>
      <t xml:space="preserve"> 'This is an interesting estate to watch.'</t>
    </r>
  </si>
  <si>
    <t>GRASSO, Tiziano, at</t>
  </si>
  <si>
    <t>25BRICCOL01</t>
  </si>
  <si>
    <t>LA BRICCOLINA, Az.Agr.</t>
  </si>
  <si>
    <t>24BRICCOL01</t>
  </si>
  <si>
    <t>Serralunga d'Alba, Barolo. Own 6.5ha of</t>
  </si>
  <si>
    <t>23BRICCOL01</t>
  </si>
  <si>
    <t>15ha cru Briccolina, by Falletto &amp; Ornato</t>
  </si>
  <si>
    <t>22BRICCOL01</t>
  </si>
  <si>
    <t>SW facing at ~350m altitude. All nebbiolo</t>
  </si>
  <si>
    <t>25BRICCOL01MG</t>
  </si>
  <si>
    <t>6th generation Grasso, Daniele ('Dany')</t>
  </si>
  <si>
    <t>23BRICCOL01MG</t>
  </si>
  <si>
    <t>22BRICCOL01MG</t>
  </si>
  <si>
    <t>Hand harvest in October; ambient yeast,</t>
  </si>
  <si>
    <t>Mix of Garbelloto &amp; Stockinger botte, plus</t>
  </si>
  <si>
    <t>vertical oak tini, &amp; cement</t>
  </si>
  <si>
    <r>
      <rPr>
        <b/>
        <sz val="7"/>
        <color theme="1" tint="0.499984740745262"/>
        <rFont val="Noto Sans"/>
        <family val="2"/>
      </rPr>
      <t>BAROLO LA BRICCOLINA:</t>
    </r>
    <r>
      <rPr>
        <sz val="7"/>
        <color theme="1" tint="0.499984740745262"/>
        <rFont val="Noto Sans"/>
        <family val="2"/>
      </rPr>
      <t xml:space="preserve"> 1969, 1997, 2014 vines</t>
    </r>
  </si>
  <si>
    <t>Pumping over. Submerged cap in some years.</t>
  </si>
  <si>
    <t>Approx 20mths elevage in botte, then 6-8 mths</t>
  </si>
  <si>
    <t>setlling in CLC cement tank</t>
  </si>
  <si>
    <r>
      <rPr>
        <b/>
        <sz val="7"/>
        <color theme="1" tint="0.499984740745262"/>
        <rFont val="Noto Sans"/>
        <family val="2"/>
      </rPr>
      <t>LANGHE NEBBIOLO</t>
    </r>
    <r>
      <rPr>
        <sz val="7"/>
        <color theme="1" tint="0.499984740745262"/>
        <rFont val="Noto Sans"/>
        <family val="2"/>
      </rPr>
      <t>: 1st production due 2023, TBC</t>
    </r>
  </si>
  <si>
    <t>2024 completion of cellar extension due</t>
  </si>
  <si>
    <t>2023 vertical tasting 2013 to 2019 held in London</t>
  </si>
  <si>
    <t>2023 1st Langhe nebbiolo TBC</t>
  </si>
  <si>
    <t>2022 13K btls now</t>
  </si>
  <si>
    <t>2019 1st vintage with 2014 Bricco vines; 9.3K btls</t>
  </si>
  <si>
    <t>2019 % of submerged cap era starts</t>
  </si>
  <si>
    <t>2017 1st vintage with 1997 vines; 6K btls now</t>
  </si>
  <si>
    <t>2017 Tiziano passes away; Daniele joins full time</t>
  </si>
  <si>
    <t>2016 last vintage with pigeage &amp; 3yrs elevage</t>
  </si>
  <si>
    <t>2012 1st vintage from 1969 vines, 14.8%, 3K btls</t>
  </si>
  <si>
    <t>1993 Daniele Grasso is born</t>
  </si>
  <si>
    <t>1922 Grasso family buys Bricollina cru</t>
  </si>
  <si>
    <t>GROWER CODE: BRICCOL</t>
  </si>
  <si>
    <t>KIND WORDS ON MARCARINI:</t>
  </si>
  <si>
    <r>
      <rPr>
        <b/>
        <sz val="7"/>
        <color theme="1" tint="0.499984740745262"/>
        <rFont val="Noto Sans"/>
        <family val="2"/>
      </rPr>
      <t>A.Galloni, 2012</t>
    </r>
    <r>
      <rPr>
        <sz val="7"/>
        <color theme="1" tint="0.499984740745262"/>
        <rFont val="Noto Sans"/>
        <family val="2"/>
      </rPr>
      <t xml:space="preserve"> 'Marcarini remains one of the best values in traditionally made, cellar-worthy Barolo.'</t>
    </r>
  </si>
  <si>
    <r>
      <t>A.Galloni, 2008</t>
    </r>
    <r>
      <rPr>
        <sz val="7"/>
        <color theme="1" tint="0.499984740745262"/>
        <rFont val="Noto Sans"/>
        <family val="2"/>
      </rPr>
      <t xml:space="preserve"> 'consistently excellent and sometimes outstanding' (Barolos)</t>
    </r>
  </si>
  <si>
    <r>
      <t xml:space="preserve">R.Parker, TWA 2002 </t>
    </r>
    <r>
      <rPr>
        <sz val="7"/>
        <color theme="1" tint="0.499984740745262"/>
        <rFont val="Noto Sans"/>
        <family val="2"/>
      </rPr>
      <t>'Made from Italy's oldest Dolcetto v/y (150yr old, pre-phylloxera vines). This is a distinctive, one of a kind Dolcetto that readers will either love or hate.'</t>
    </r>
  </si>
  <si>
    <r>
      <t xml:space="preserve">R.Parker, TWA 1994 </t>
    </r>
    <r>
      <rPr>
        <sz val="7"/>
        <color theme="1" tint="0.499984740745262"/>
        <rFont val="Noto Sans"/>
        <family val="2"/>
      </rPr>
      <t>'one of Barolo's most respected producers'</t>
    </r>
  </si>
  <si>
    <t>MARCARINI, Poderi. By</t>
  </si>
  <si>
    <t>Manuel Marchetti &amp; family</t>
  </si>
  <si>
    <t>sw.sp</t>
  </si>
  <si>
    <t>22MARC04</t>
  </si>
  <si>
    <t>La Morra, Barolo. ~25ha</t>
  </si>
  <si>
    <t>now with children Andrea, Chiara, Elisa</t>
  </si>
  <si>
    <t>17MARC04</t>
  </si>
  <si>
    <t>'Discovered' 1990s for UK by Zubair</t>
  </si>
  <si>
    <t>16MARC04</t>
  </si>
  <si>
    <t>16MARC03</t>
  </si>
  <si>
    <r>
      <rPr>
        <b/>
        <sz val="7"/>
        <color theme="1" tint="0.499984740745262"/>
        <rFont val="Noto Sans"/>
        <family val="2"/>
      </rPr>
      <t>Boschi di Berri dolcetto:</t>
    </r>
    <r>
      <rPr>
        <sz val="7"/>
        <color theme="1" tint="0.499984740745262"/>
        <rFont val="Noto Sans"/>
        <family val="2"/>
      </rPr>
      <t xml:space="preserve"> 0.5ha of late C.19th</t>
    </r>
  </si>
  <si>
    <t>15MARC01TB</t>
  </si>
  <si>
    <t>TW ungrafted at 400m in sandy soil at Berri</t>
  </si>
  <si>
    <t>BAROLO 'VILLAGE':</t>
  </si>
  <si>
    <r>
      <rPr>
        <b/>
        <sz val="7"/>
        <color theme="1" tint="0.499984740745262"/>
        <rFont val="Noto Sans"/>
        <family val="2"/>
      </rPr>
      <t>Barbera Ciabot Camerano:</t>
    </r>
    <r>
      <rPr>
        <sz val="7"/>
        <color theme="1" tint="0.499984740745262"/>
        <rFont val="Noto Sans"/>
        <family val="2"/>
      </rPr>
      <t xml:space="preserve"> 3ha in 2 sites,</t>
    </r>
  </si>
  <si>
    <t>22MARC01</t>
  </si>
  <si>
    <t>planted 1992/2001</t>
  </si>
  <si>
    <t>21MARC03</t>
  </si>
  <si>
    <r>
      <rPr>
        <b/>
        <sz val="7"/>
        <color theme="1" tint="0.499984740745262"/>
        <rFont val="Noto Sans"/>
        <family val="2"/>
      </rPr>
      <t>Barolo Brunate:</t>
    </r>
    <r>
      <rPr>
        <sz val="7"/>
        <color theme="1" tint="0.499984740745262"/>
        <rFont val="Noto Sans"/>
        <family val="2"/>
      </rPr>
      <t xml:space="preserve"> from 4.5ha of S/SW facing at</t>
    </r>
  </si>
  <si>
    <t>BAROLO CRUS:</t>
  </si>
  <si>
    <t>300m in Barolo &amp; La Morra, planted 1978/1987</t>
  </si>
  <si>
    <t>22MARC02</t>
  </si>
  <si>
    <r>
      <rPr>
        <b/>
        <sz val="7"/>
        <color theme="1" tint="0.499984740745262"/>
        <rFont val="Noto Sans"/>
        <family val="2"/>
      </rPr>
      <t>Barolo La Serra:</t>
    </r>
    <r>
      <rPr>
        <sz val="7"/>
        <color theme="1" tint="0.499984740745262"/>
        <rFont val="Noto Sans"/>
        <family val="2"/>
      </rPr>
      <t xml:space="preserve"> from 4ha of S/SW facing in La</t>
    </r>
  </si>
  <si>
    <t>21MARC02</t>
  </si>
  <si>
    <t>Morra at 380m, replanted 1992/2002</t>
  </si>
  <si>
    <t>20MARC01</t>
  </si>
  <si>
    <t>19MARC02</t>
  </si>
  <si>
    <t>18MARC01</t>
  </si>
  <si>
    <t>17MARC01</t>
  </si>
  <si>
    <t xml:space="preserve">1993 1st Brunate in Wine Spectator Top 100 </t>
  </si>
  <si>
    <t>16MARC02</t>
  </si>
  <si>
    <t>Marcarini.it</t>
  </si>
  <si>
    <t>22MARC03</t>
  </si>
  <si>
    <t>21MARC01</t>
  </si>
  <si>
    <t>GROWER CODE: MARC</t>
  </si>
  <si>
    <t>20MARC02</t>
  </si>
  <si>
    <t>19MARC03</t>
  </si>
  <si>
    <t>18MARC02</t>
  </si>
  <si>
    <t>BAROLO GRAND FORMAT:</t>
  </si>
  <si>
    <t>22MARC01MG</t>
  </si>
  <si>
    <t>22MARC02MG</t>
  </si>
  <si>
    <t>20MARC01MG</t>
  </si>
  <si>
    <t>19MARC02MG</t>
  </si>
  <si>
    <t>18MARC02MG</t>
  </si>
  <si>
    <t>18MARC02DM</t>
  </si>
  <si>
    <t>17MARC02DMG</t>
  </si>
  <si>
    <t>16MARC01DM</t>
  </si>
  <si>
    <t>BAROLO CHINATO:</t>
  </si>
  <si>
    <t>f.r</t>
  </si>
  <si>
    <t>14MARC05HTB</t>
  </si>
  <si>
    <t>KIND WORDS ON BARTOLO MASCARELLO:</t>
  </si>
  <si>
    <r>
      <rPr>
        <b/>
        <sz val="7"/>
        <color theme="1" tint="0.499984740745262"/>
        <rFont val="Noto Sans"/>
        <family val="2"/>
      </rPr>
      <t>Sheldon Wasserman, 1990</t>
    </r>
    <r>
      <rPr>
        <sz val="7"/>
        <color theme="1" tint="0.499984740745262"/>
        <rFont val="Noto Sans"/>
        <family val="2"/>
      </rPr>
      <t xml:space="preserve"> 'Bartolo Mascarello’s hand-crafted Barolo is the single finest Barolo made'</t>
    </r>
  </si>
  <si>
    <r>
      <rPr>
        <b/>
        <sz val="7"/>
        <color theme="1" tint="0.499984740745262"/>
        <rFont val="Noto Sans"/>
        <family val="2"/>
      </rPr>
      <t xml:space="preserve">Galloni, 2024 </t>
    </r>
    <r>
      <rPr>
        <sz val="7"/>
        <color theme="1" tint="0.499984740745262"/>
        <rFont val="Noto Sans"/>
        <family val="2"/>
      </rPr>
      <t>'Although Barolo is clearly the star here, Mascarello's entry-level offerings are every bit as compelling to this taster.'</t>
    </r>
  </si>
  <si>
    <r>
      <rPr>
        <b/>
        <sz val="7"/>
        <color theme="1" tint="0.499984740745262"/>
        <rFont val="Noto Sans"/>
        <family val="2"/>
      </rPr>
      <t>Galloni, 2022</t>
    </r>
    <r>
      <rPr>
        <sz val="7"/>
        <color theme="1" tint="0.499984740745262"/>
        <rFont val="Noto Sans"/>
        <family val="2"/>
      </rPr>
      <t xml:space="preserve"> 'Even after all these years, the Bartolo Mascarello Barolo remains a reference point, but the entire range has been impressive for some time.'</t>
    </r>
  </si>
  <si>
    <r>
      <rPr>
        <b/>
        <sz val="7"/>
        <color theme="1" tint="0.499984740745262"/>
        <rFont val="Noto Sans"/>
        <family val="2"/>
      </rPr>
      <t>Galloni, 2017</t>
    </r>
    <r>
      <rPr>
        <sz val="7"/>
        <color theme="1" tint="0.499984740745262"/>
        <rFont val="Noto Sans"/>
        <family val="2"/>
      </rPr>
      <t xml:space="preserve"> 'stellar wines from this benchmark estate'</t>
    </r>
  </si>
  <si>
    <r>
      <rPr>
        <b/>
        <sz val="7"/>
        <color theme="1" tint="0.499984740745262"/>
        <rFont val="Noto Sans"/>
        <family val="2"/>
      </rPr>
      <t>Galloni, 2014</t>
    </r>
    <r>
      <rPr>
        <sz val="7"/>
        <color theme="1" tint="0.499984740745262"/>
        <rFont val="Noto Sans"/>
        <family val="2"/>
      </rPr>
      <t xml:space="preserve"> 'I am not sure I possess the vocabulary to adequately capture just how much Maria Teresa Mascarello has accomplished in the few short</t>
    </r>
  </si>
  <si>
    <t>years she has been running her family's estate. Often, the best winemakers recognize the need to develop and make small adjustments rather than radical</t>
  </si>
  <si>
    <t>changes. That is exactly what has happened here over the last few years. One need only to look at Mascarello's entry-level wines to understand</t>
  </si>
  <si>
    <t>that the fruit that is coming into the winery today is cleaner, purer and far more articulate than at any point during this benchmark estate's long history. </t>
  </si>
  <si>
    <r>
      <rPr>
        <b/>
        <sz val="7"/>
        <color theme="1" tint="0.499984740745262"/>
        <rFont val="Noto Sans"/>
        <family val="2"/>
      </rPr>
      <t>Galloni, 2012</t>
    </r>
    <r>
      <rPr>
        <sz val="7"/>
        <color theme="1" tint="0.499984740745262"/>
        <rFont val="Noto Sans"/>
        <family val="2"/>
      </rPr>
      <t xml:space="preserve"> 'It's hard to go wrong with anything Maria Teresa Mascarello is making these days.'</t>
    </r>
  </si>
  <si>
    <r>
      <rPr>
        <b/>
        <sz val="7"/>
        <color theme="1" tint="0.499984740745262"/>
        <rFont val="Noto Sans"/>
        <family val="2"/>
      </rPr>
      <t>Galloni, 2011</t>
    </r>
    <r>
      <rPr>
        <sz val="7"/>
        <color theme="1" tint="0.499984740745262"/>
        <rFont val="Noto Sans"/>
        <family val="2"/>
      </rPr>
      <t xml:space="preserve"> 'Bartolo Mascarello was a true icon in Piedmont. Although Mascarello was famous for his wines, he was at least as well known</t>
    </r>
  </si>
  <si>
    <t>for his outspoken views on everything from winemaking to politics.'</t>
  </si>
  <si>
    <r>
      <rPr>
        <b/>
        <sz val="7"/>
        <color theme="1" tint="0.499984740745262"/>
        <rFont val="Noto Sans"/>
        <family val="2"/>
      </rPr>
      <t xml:space="preserve">Galloni, 2011 </t>
    </r>
    <r>
      <rPr>
        <sz val="7"/>
        <color theme="1" tint="0.499984740745262"/>
        <rFont val="Noto Sans"/>
        <family val="2"/>
      </rPr>
      <t>'The rebirth of Bartolo Mascarello (the winery) is one of the great, unheralded success stories in Piedmont over the last few years.'</t>
    </r>
  </si>
  <si>
    <t>MASCARELLO on MASCARELLO:</t>
  </si>
  <si>
    <r>
      <rPr>
        <b/>
        <sz val="7"/>
        <color theme="1" tint="0.499984740745262"/>
        <rFont val="Noto Sans"/>
        <family val="2"/>
      </rPr>
      <t>Maria-Teresa (to Galloni, 2006)</t>
    </r>
    <r>
      <rPr>
        <sz val="7"/>
        <color theme="1" tint="0.499984740745262"/>
        <rFont val="Noto Sans"/>
        <family val="2"/>
      </rPr>
      <t xml:space="preserve"> 'The idea of a perfect wine doesn’t exist. I am trying to make an honest wine, one that reflects all of the qualities of our</t>
    </r>
  </si>
  <si>
    <t>territory, both it's strengths as well as its flaws.'</t>
  </si>
  <si>
    <r>
      <rPr>
        <b/>
        <sz val="7"/>
        <color theme="1" tint="0.499984740745262"/>
        <rFont val="Noto Sans"/>
        <family val="2"/>
      </rPr>
      <t>Bartolo label:</t>
    </r>
    <r>
      <rPr>
        <sz val="7"/>
        <color theme="1" tint="0.499984740745262"/>
        <rFont val="Noto Sans"/>
        <family val="2"/>
      </rPr>
      <t xml:space="preserve"> 'No Barrique, no Berlusconi'</t>
    </r>
  </si>
  <si>
    <r>
      <rPr>
        <b/>
        <sz val="7"/>
        <color theme="1" tint="0.499984740745262"/>
        <rFont val="Noto Sans"/>
        <family val="2"/>
      </rPr>
      <t>Bartolo (to Stephen Tanzer, 2002)</t>
    </r>
    <r>
      <rPr>
        <sz val="7"/>
        <color theme="1" tint="0.499984740745262"/>
        <rFont val="Noto Sans"/>
        <family val="2"/>
      </rPr>
      <t xml:space="preserve"> 'No concentrators, no commercial yeasts, no rotofermenters, no crus, no wines with fantasy names, no barriques.'</t>
    </r>
  </si>
  <si>
    <r>
      <rPr>
        <b/>
        <sz val="7"/>
        <color theme="1" tint="0.499984740745262"/>
        <rFont val="Noto Sans"/>
        <family val="2"/>
      </rPr>
      <t xml:space="preserve">Bartolo (to Nick Belfrage MW) </t>
    </r>
    <r>
      <rPr>
        <sz val="7"/>
        <color theme="1" tint="0.499984740745262"/>
        <rFont val="Noto Sans"/>
        <family val="2"/>
      </rPr>
      <t>'I still make my wine as the land dictates. A single site does not necessarily come good every year—especially in dry</t>
    </r>
  </si>
  <si>
    <t> years—and Barolo to be consistently good needs the mutually compensating characteristics of different vineyards.'</t>
  </si>
  <si>
    <r>
      <rPr>
        <b/>
        <sz val="7"/>
        <color theme="1" tint="0.499984740745262"/>
        <rFont val="Noto Sans"/>
        <family val="2"/>
      </rPr>
      <t>Bartolo (to Stephen Tanzer)</t>
    </r>
    <r>
      <rPr>
        <sz val="7"/>
        <color theme="1" tint="0.499984740745262"/>
        <rFont val="Noto Sans"/>
        <family val="2"/>
      </rPr>
      <t xml:space="preserve"> 'I don’t make wines with fantasy names. I don’t make crus, I don’t make wine in barriques, my wines don’t have perfume</t>
    </r>
  </si>
  <si>
    <t>of vanilla and Limousin oak. I’m the last of the Mohicans.'</t>
  </si>
  <si>
    <t>BARTOLO MASCARELLO</t>
  </si>
  <si>
    <t>by Maria-Teresa Mascarello</t>
  </si>
  <si>
    <t>24MASCARE03</t>
  </si>
  <si>
    <t>Barolo. ~5ha. 'Barolo Tradizionale'. 3rd gen.</t>
  </si>
  <si>
    <t>23MASCARE03</t>
  </si>
  <si>
    <t>22MASCARE03</t>
  </si>
  <si>
    <t xml:space="preserve">Ambient yeast; no temp.control; lined cement </t>
  </si>
  <si>
    <t>21MASCARE03</t>
  </si>
  <si>
    <t>ferment; Slavonian 25hl-50hl botte for elevage</t>
  </si>
  <si>
    <t>20MASCARE03</t>
  </si>
  <si>
    <t>Re Barolo: co-fermented, no pigeage, usually</t>
  </si>
  <si>
    <t>17MASCARE02</t>
  </si>
  <si>
    <t>with submerged cap, 4-8 weeks maceration</t>
  </si>
  <si>
    <t>in good vintages, 3yrs elevage</t>
  </si>
  <si>
    <t>24MASCARE01</t>
  </si>
  <si>
    <t>23MASCARE01</t>
  </si>
  <si>
    <r>
      <rPr>
        <b/>
        <sz val="7"/>
        <color theme="1" tint="0.499984740745262"/>
        <rFont val="Noto Sans"/>
        <family val="2"/>
      </rPr>
      <t>BAROLO:</t>
    </r>
    <r>
      <rPr>
        <sz val="7"/>
        <color theme="1" tint="0.499984740745262"/>
        <rFont val="Noto Sans"/>
        <family val="2"/>
      </rPr>
      <t xml:space="preserve"> blended Canubbi, Rué &amp; San Lorenzo</t>
    </r>
  </si>
  <si>
    <t>22MASCARE01</t>
  </si>
  <si>
    <t>(all in Barolo), Rocche dell’Annunziata (La Morra)</t>
  </si>
  <si>
    <t>21MASCARE01</t>
  </si>
  <si>
    <t xml:space="preserve">NB San Lorenzo is currently replaced by 0.4ha </t>
  </si>
  <si>
    <t>vines leased in Monrobiolo di Bussia (Monforte)</t>
  </si>
  <si>
    <t>22MASCARE02MG</t>
  </si>
  <si>
    <r>
      <rPr>
        <b/>
        <sz val="7"/>
        <color theme="1" tint="0.499984740745262"/>
        <rFont val="Noto Sans"/>
        <family val="2"/>
      </rPr>
      <t>DOLCETTO</t>
    </r>
    <r>
      <rPr>
        <sz val="7"/>
        <color theme="1" tint="0.499984740745262"/>
        <rFont val="Noto Sans"/>
        <family val="2"/>
      </rPr>
      <t>: San Lorenzo, Rué, Monrobiolo di Bussia</t>
    </r>
  </si>
  <si>
    <t>2020 barbera vines ripped</t>
  </si>
  <si>
    <t>2016 San Lorenzo nebbiolo replanted</t>
  </si>
  <si>
    <t>2005 Bartolo passes away</t>
  </si>
  <si>
    <t>2002 no Barolo made</t>
  </si>
  <si>
    <t>1993 3rd generation Maria-Teresa joined</t>
  </si>
  <si>
    <t>1981 Guilio passes away</t>
  </si>
  <si>
    <t>1978 - 1980 end of 1.88L/1.9L 'bottiglione' MAGS</t>
  </si>
  <si>
    <t>1967 Maria-Teresa, 3rd generation born</t>
  </si>
  <si>
    <t>1960s Bartolo took over, working with Giulio</t>
  </si>
  <si>
    <t>1926 Bartolo born</t>
  </si>
  <si>
    <t>1918 - 1920 cellar/label founded by Giulio Mascarello</t>
  </si>
  <si>
    <t xml:space="preserve">1895 Giulio Mascarello born to Bartolomeo, </t>
  </si>
  <si>
    <t xml:space="preserve"> cellarman of the Cantina Sociale di Barolo</t>
  </si>
  <si>
    <t>GROWER CODE: MASCARE</t>
  </si>
  <si>
    <t>RENATO MOLINO</t>
  </si>
  <si>
    <t>ROSSO:</t>
  </si>
  <si>
    <t>&lt;&lt;Cantina Spluva di Renato Molino&gt;&gt;</t>
  </si>
  <si>
    <t>22MOLINO01</t>
  </si>
  <si>
    <t>founded 1926 in Annunziata, La Morra, Barolo</t>
  </si>
  <si>
    <t xml:space="preserve"> (nebbiolo, 70% 2019 &amp; 30% 2018, ~3yrs elevage in botte)</t>
  </si>
  <si>
    <t>3rd generation Renato &amp; Maddalena Molino,</t>
  </si>
  <si>
    <t>daughters Chiara, Grazia, Lucia &amp; Olimpia.</t>
  </si>
  <si>
    <t>22MOLINO02</t>
  </si>
  <si>
    <t>3.8ha in 6 parcels: Rocche dell'Annunziata,</t>
  </si>
  <si>
    <t>21MOLIINO01</t>
  </si>
  <si>
    <t>Annunziata, Boiolo, Roanco, plus Villero!</t>
  </si>
  <si>
    <t>21MOLIINO01MG</t>
  </si>
  <si>
    <t>all planted to nebbiolo (except Roanco)</t>
  </si>
  <si>
    <t>BAROLO CRU ROCCHE DELL'ANNUNZIATA:</t>
  </si>
  <si>
    <t>traditional chestnut poles used in the vines</t>
  </si>
  <si>
    <t>22MOLINO03</t>
  </si>
  <si>
    <r>
      <rPr>
        <b/>
        <sz val="8"/>
        <color rgb="FF00B050"/>
        <rFont val="Noto Sans"/>
        <family val="2"/>
      </rPr>
      <t>sustainable</t>
    </r>
    <r>
      <rPr>
        <sz val="8"/>
        <color theme="1" tint="0.14999847407452621"/>
        <rFont val="Noto Sans"/>
        <family val="2"/>
      </rPr>
      <t xml:space="preserve"> viticulture (uncertified.)</t>
    </r>
  </si>
  <si>
    <t>21MOLIINO02</t>
  </si>
  <si>
    <t>w.cover cropping &amp; green manure.</t>
  </si>
  <si>
    <t>21MOLIINO04</t>
  </si>
  <si>
    <t>ambient yeast &amp; malolactic fermentations</t>
  </si>
  <si>
    <t>BAROLO CRU ROCCHE DELL'ANNUNZIATA LARGE FORMAT:</t>
  </si>
  <si>
    <t>Baroli see 3yrs to 3.5yrs in Slavonian botte,</t>
  </si>
  <si>
    <t>22MOLINO03MG</t>
  </si>
  <si>
    <t>of 10-40hl, by Bruno Arcaro of Vicenza</t>
  </si>
  <si>
    <t>21MOLIINO02MG</t>
  </si>
  <si>
    <t>22MOLINO03JB</t>
  </si>
  <si>
    <r>
      <rPr>
        <b/>
        <sz val="7"/>
        <color theme="1" tint="0.499984740745262"/>
        <rFont val="Noto Sans"/>
        <family val="2"/>
      </rPr>
      <t>Rocche dell'Annunziata</t>
    </r>
    <r>
      <rPr>
        <sz val="7"/>
        <color theme="1" tint="0.499984740745262"/>
        <rFont val="Noto Sans"/>
        <family val="2"/>
      </rPr>
      <t>: South facing at 300m,</t>
    </r>
  </si>
  <si>
    <t>21MOLIINO02JB</t>
  </si>
  <si>
    <t>mid-slope, &gt;50yr pure Lampia clone, on clay-limestone</t>
  </si>
  <si>
    <r>
      <rPr>
        <b/>
        <sz val="7"/>
        <color theme="1" tint="0.499984740745262"/>
        <rFont val="Noto Sans"/>
        <family val="2"/>
      </rPr>
      <t>Villero</t>
    </r>
    <r>
      <rPr>
        <sz val="7"/>
        <color theme="1" tint="0.499984740745262"/>
        <rFont val="Noto Sans"/>
        <family val="2"/>
      </rPr>
      <t>: Castiglione Falleto, SW, 350m. Lampia/Michet</t>
    </r>
  </si>
  <si>
    <t>plus new biotypes, ~30yrs. Clay-rich, some sand</t>
  </si>
  <si>
    <r>
      <rPr>
        <b/>
        <sz val="7"/>
        <color theme="1" tint="0.499984740745262"/>
        <rFont val="Noto Sans"/>
        <family val="2"/>
      </rPr>
      <t>Annunziata &amp; Boiolo:</t>
    </r>
    <r>
      <rPr>
        <sz val="7"/>
        <color theme="1" tint="0.499984740745262"/>
        <rFont val="Noto Sans"/>
        <family val="2"/>
      </rPr>
      <t xml:space="preserve"> ~25yrs</t>
    </r>
  </si>
  <si>
    <t>RenatoMolino.it</t>
  </si>
  <si>
    <t>GROWER CODE: MOLINO</t>
  </si>
  <si>
    <t>STEFANO ORESTE</t>
  </si>
  <si>
    <t>Barolo cru Perno, Monforte d'Alba</t>
  </si>
  <si>
    <t>23STEFANO01</t>
  </si>
  <si>
    <t>6.5ha estate: 1.6ha vines &amp; 4.9ha forest</t>
  </si>
  <si>
    <t>22STEFANO01</t>
  </si>
  <si>
    <t>owners siblings Chiara, Flavio, Ornella, Vilna</t>
  </si>
  <si>
    <t>19STEFANO06</t>
  </si>
  <si>
    <t>led by Clemente Falcone, Chiara's husband</t>
  </si>
  <si>
    <t>Perno is 450m altitude on calcareous sands</t>
  </si>
  <si>
    <t>23STEFANO02</t>
  </si>
  <si>
    <r>
      <t xml:space="preserve">ambient yeast; </t>
    </r>
    <r>
      <rPr>
        <b/>
        <sz val="8"/>
        <color rgb="FF00B050"/>
        <rFont val="Noto Sans"/>
        <family val="2"/>
      </rPr>
      <t>Ⓥ Vegan compatible</t>
    </r>
  </si>
  <si>
    <t>22STEFANO02</t>
  </si>
  <si>
    <t>THE WINES (IN BRIEF):</t>
  </si>
  <si>
    <t>22STEFANO03</t>
  </si>
  <si>
    <r>
      <rPr>
        <b/>
        <sz val="7"/>
        <color theme="1" tint="0.499984740745262"/>
        <rFont val="Noto Sans"/>
        <family val="2"/>
      </rPr>
      <t>nebbiolo</t>
    </r>
    <r>
      <rPr>
        <sz val="7"/>
        <color theme="1" tint="0.499984740745262"/>
        <rFont val="Noto Sans"/>
        <family val="2"/>
      </rPr>
      <t xml:space="preserve"> 6mths tank, 6mths bottle</t>
    </r>
  </si>
  <si>
    <t>20STEFANO03</t>
  </si>
  <si>
    <r>
      <rPr>
        <b/>
        <sz val="7"/>
        <color theme="1" tint="0.499984740745262"/>
        <rFont val="Noto Sans"/>
        <family val="2"/>
      </rPr>
      <t xml:space="preserve">Barolo </t>
    </r>
    <r>
      <rPr>
        <sz val="7"/>
        <color theme="1" tint="0.499984740745262"/>
        <rFont val="Noto Sans"/>
        <family val="2"/>
      </rPr>
      <t>18mths 20-25hl Slavonian cask 18mths btl</t>
    </r>
  </si>
  <si>
    <t>20STEFANO02</t>
  </si>
  <si>
    <r>
      <rPr>
        <b/>
        <sz val="7"/>
        <color theme="1" tint="0.499984740745262"/>
        <rFont val="Noto Sans"/>
        <family val="2"/>
      </rPr>
      <t>B.Riserva</t>
    </r>
    <r>
      <rPr>
        <sz val="7"/>
        <color theme="1" tint="0.499984740745262"/>
        <rFont val="Noto Sans"/>
        <family val="2"/>
      </rPr>
      <t xml:space="preserve"> 24mths 500L tonneaux, 24mths btl</t>
    </r>
  </si>
  <si>
    <t>19STEFANO05</t>
  </si>
  <si>
    <t>OresteStefano.it</t>
  </si>
  <si>
    <t>BAROLO RISERVA:</t>
  </si>
  <si>
    <t>22STEFANO04</t>
  </si>
  <si>
    <t>GROWER CODE: STEFANO</t>
  </si>
  <si>
    <t>22STEFANO05</t>
  </si>
  <si>
    <t>20STEFANO01</t>
  </si>
  <si>
    <t>19STEFANO01</t>
  </si>
  <si>
    <t>23STEFANO02MG</t>
  </si>
  <si>
    <t>23STEFANO03MG</t>
  </si>
  <si>
    <t>19STEFANO03MG</t>
  </si>
  <si>
    <t>19STEFANO01MG</t>
  </si>
  <si>
    <t>BAROLO 5L:</t>
  </si>
  <si>
    <t>22STEFANO05DDM</t>
  </si>
  <si>
    <r>
      <rPr>
        <b/>
        <sz val="7"/>
        <color theme="1" tint="0.499984740745262"/>
        <rFont val="Noto Sans"/>
        <family val="2"/>
      </rPr>
      <t>Beppe, 2000</t>
    </r>
    <r>
      <rPr>
        <sz val="7"/>
        <color theme="1" tint="0.499984740745262"/>
        <rFont val="Noto Sans"/>
        <family val="2"/>
      </rPr>
      <t xml:space="preserve"> 'I don’t want a wine that pleases easily, when someone says I like it or I don’t like it and that’s it. It takes time. You have to study, </t>
    </r>
  </si>
  <si>
    <t>to think, to understand, like all of art. It isn’t simple but complex; it doesn’t please right away. It’s the opposite of a mass-produced product</t>
  </si>
  <si>
    <t xml:space="preserve"> It has angles, not curves. It’s not easy.'</t>
  </si>
  <si>
    <t>RINALDI, Giuseppe. By</t>
  </si>
  <si>
    <t>sisters Marta &amp; Carlotta</t>
  </si>
  <si>
    <t>24RINALD06</t>
  </si>
  <si>
    <t xml:space="preserve">Barolo. ~8ha. </t>
  </si>
  <si>
    <t>24RINALD05</t>
  </si>
  <si>
    <t>Rinaldi sisters with mother Alessia</t>
  </si>
  <si>
    <t>23RINALD05</t>
  </si>
  <si>
    <r>
      <rPr>
        <b/>
        <sz val="8"/>
        <color rgb="FF00B050"/>
        <rFont val="Noto Sans"/>
        <family val="2"/>
      </rPr>
      <t>sustainable+</t>
    </r>
    <r>
      <rPr>
        <sz val="8"/>
        <color theme="1" tint="0.14999847407452621"/>
        <rFont val="Noto Sans"/>
        <family val="2"/>
      </rPr>
      <t>; tressage; ambient yeast in</t>
    </r>
  </si>
  <si>
    <t>24RINALD07</t>
  </si>
  <si>
    <r>
      <t xml:space="preserve">trad oak </t>
    </r>
    <r>
      <rPr>
        <i/>
        <sz val="8"/>
        <color theme="1" tint="0.14999847407452621"/>
        <rFont val="Noto Sans"/>
        <family val="2"/>
      </rPr>
      <t>tini</t>
    </r>
    <r>
      <rPr>
        <sz val="8"/>
        <color theme="1" tint="0.14999847407452621"/>
        <rFont val="Noto Sans"/>
        <family val="2"/>
      </rPr>
      <t xml:space="preserve"> fermenters, oak</t>
    </r>
    <r>
      <rPr>
        <i/>
        <sz val="8"/>
        <color theme="1" tint="0.14999847407452621"/>
        <rFont val="Noto Sans"/>
        <family val="2"/>
      </rPr>
      <t xml:space="preserve"> botte</t>
    </r>
    <r>
      <rPr>
        <sz val="8"/>
        <color theme="1" tint="0.14999847407452621"/>
        <rFont val="Noto Sans"/>
        <family val="2"/>
      </rPr>
      <t xml:space="preserve"> elevage</t>
    </r>
  </si>
  <si>
    <t>24RINALD04</t>
  </si>
  <si>
    <t>2019 vineyards expand with 1.3ha Bussia</t>
  </si>
  <si>
    <t>24RINALD02</t>
  </si>
  <si>
    <t>2018 Beppe passes away</t>
  </si>
  <si>
    <t>24RINALD03</t>
  </si>
  <si>
    <t>2014 Wine Enthusiast, Top 100 Cellar Selection</t>
  </si>
  <si>
    <t>23RINALD01</t>
  </si>
  <si>
    <t>2014 Wine Spectator Top 100 (Brunate 2010)</t>
  </si>
  <si>
    <t>2012 Carlotta joined</t>
  </si>
  <si>
    <t>2007/8 Marta joined</t>
  </si>
  <si>
    <t>2004 main cellar extended</t>
  </si>
  <si>
    <t>1992 Beppe took over from father Battista</t>
  </si>
  <si>
    <t>1988 Carlotta is born</t>
  </si>
  <si>
    <t>1985 Marta is born</t>
  </si>
  <si>
    <t>1986 other parcels are replanted</t>
  </si>
  <si>
    <t>1980 Brunate is totally replanted</t>
  </si>
  <si>
    <t>1945 Giuseppe's son Battista took over</t>
  </si>
  <si>
    <t>1921 1st wine released under Giuseppe Rinaldi label</t>
  </si>
  <si>
    <t>1910-1916 house and cellar built</t>
  </si>
  <si>
    <t>1890 founded</t>
  </si>
  <si>
    <t>1.2ha Brunate, 3 parcels, deep marls</t>
  </si>
  <si>
    <t>1.3ha Bussia, SW facing, marls with sand and clay</t>
  </si>
  <si>
    <t>3ha Ravera &amp; Rivassi</t>
  </si>
  <si>
    <t>0.6ha Le Coste, by cellar</t>
  </si>
  <si>
    <t>0.2ha San Lorenzo (within Cannubi)</t>
  </si>
  <si>
    <t>Slow Wine 2011-17, 'Snail' Award</t>
  </si>
  <si>
    <t>youtube.com/watch?v=1qmhBFFNTus</t>
  </si>
  <si>
    <t>ViniVeri.net</t>
  </si>
  <si>
    <t>BaroloDiBarolo.com</t>
  </si>
  <si>
    <t>LEVI DALTON 'IDTT' INTERVIEW #378</t>
  </si>
  <si>
    <t>GROWER CODE: RINALD</t>
  </si>
  <si>
    <t>KIND WORDS ON A.R., etc.:</t>
  </si>
  <si>
    <r>
      <t xml:space="preserve">Motto: </t>
    </r>
    <r>
      <rPr>
        <sz val="7"/>
        <color theme="1" tint="0.499984740745262"/>
        <rFont val="Noto Sans"/>
        <family val="2"/>
      </rPr>
      <t>Vinum vita est - Wine is life</t>
    </r>
  </si>
  <si>
    <r>
      <t>M.Larner, TWA 2021</t>
    </r>
    <r>
      <rPr>
        <sz val="7"/>
        <color theme="1" tint="0.499984740745262"/>
        <rFont val="Noto Sans"/>
        <family val="2"/>
      </rPr>
      <t xml:space="preserve"> 'There is no wine like this in the appellation' (on Barolo Undicicomuni)</t>
    </r>
  </si>
  <si>
    <r>
      <t xml:space="preserve">Monica Larner, TWA 2020 </t>
    </r>
    <r>
      <rPr>
        <sz val="7"/>
        <color theme="1" tint="0.499984740745262"/>
        <rFont val="Noto Sans"/>
        <family val="2"/>
      </rPr>
      <t>'Three years ago (2013), the winery embarked on an ambitious renewal effort, and one of its biggest projects was to rebrand</t>
    </r>
  </si>
  <si>
    <t xml:space="preserve">the top-shelf wines under the name Arnaldo Rivera (the winery founder.) This set of wines represents that amazing access to fruit, vineyards, microclimates and exposures. </t>
  </si>
  <si>
    <r>
      <t>A.Jefford, Decanter 2021</t>
    </r>
    <r>
      <rPr>
        <sz val="7"/>
        <color theme="1" tint="0.499984740745262"/>
        <rFont val="Noto Sans"/>
        <family val="2"/>
      </rPr>
      <t xml:space="preserve"> 'The range is very good now. It could be great by 2030. No one else in Barolo has a treasure box quite like this.'</t>
    </r>
  </si>
  <si>
    <t>ARNALDO RIVERA</t>
  </si>
  <si>
    <t>BIANCO:</t>
  </si>
  <si>
    <t>Barolo. New cellar, at Castiglione Falletto</t>
  </si>
  <si>
    <t>18ARIVERA05</t>
  </si>
  <si>
    <t>Terre del Barolo's top single vineyard range</t>
  </si>
  <si>
    <t>600 growers with 300ha in all 11 communes</t>
  </si>
  <si>
    <t>19ARIVERA01</t>
  </si>
  <si>
    <t>raised in French tonneau, &amp; botte grande</t>
  </si>
  <si>
    <t>18ARIVERA01</t>
  </si>
  <si>
    <t>17ARIVERA01</t>
  </si>
  <si>
    <t>2018 Barolo 2013 in Wine Spectator Top 100</t>
  </si>
  <si>
    <t>2018 1st write up by Monica Larner in TWA</t>
  </si>
  <si>
    <t>19ARIVERA02</t>
  </si>
  <si>
    <t>2017 Arnaldo Rivera label launched</t>
  </si>
  <si>
    <t>18ARIVERA02</t>
  </si>
  <si>
    <t>2013 1st vintage of AR label</t>
  </si>
  <si>
    <t>19ARIVERA03</t>
  </si>
  <si>
    <t>2008 project &amp; winery investments started</t>
  </si>
  <si>
    <t>17ARIVERA02</t>
  </si>
  <si>
    <t>1999 coop buys some La Morra cru Boiolo</t>
  </si>
  <si>
    <t>17ARIVERA03</t>
  </si>
  <si>
    <t>1994 coop buys some Rocche di Castiglione</t>
  </si>
  <si>
    <t>19ARIVERA04</t>
  </si>
  <si>
    <t>1958 Terre del Barolo founded by A.Rivera</t>
  </si>
  <si>
    <t>19ARIVERA05</t>
  </si>
  <si>
    <t>1919 Arnoldo Rivera born</t>
  </si>
  <si>
    <t>19ARIVERA06</t>
  </si>
  <si>
    <t>Sustainable certified EMAS &amp; ISO14001</t>
  </si>
  <si>
    <t>17ARIVERA04</t>
  </si>
  <si>
    <t>ArnaldoRivera.com</t>
  </si>
  <si>
    <t>19ARIVERA07</t>
  </si>
  <si>
    <t>NEW LISTING FOR LATE 2017</t>
  </si>
  <si>
    <t>18ARIVERA03</t>
  </si>
  <si>
    <t>GROWER CODE: ARIVERA</t>
  </si>
  <si>
    <t>17ARIVERA05</t>
  </si>
  <si>
    <t>19ARIVERA08</t>
  </si>
  <si>
    <t>18ARIVERA04</t>
  </si>
  <si>
    <t>17ARIVERA06</t>
  </si>
  <si>
    <t>BAROLO 75cl MIXED CASES:</t>
  </si>
  <si>
    <t>19ARIVERA09MC</t>
  </si>
  <si>
    <t>BAROLO LARGE FORMAT:</t>
  </si>
  <si>
    <t>19ARIVERA01MG</t>
  </si>
  <si>
    <t>18ARIVERA01MG</t>
  </si>
  <si>
    <t>17ARIVERA01MG</t>
  </si>
  <si>
    <t>19ARIVERA01JB</t>
  </si>
  <si>
    <t>18ARIVERA02MG</t>
  </si>
  <si>
    <t>17ARIVERA02MG</t>
  </si>
  <si>
    <t>17ARIVERA03MG</t>
  </si>
  <si>
    <t>19ARIVERA04MG</t>
  </si>
  <si>
    <t>17ARIVERA04MG</t>
  </si>
  <si>
    <t>19ARIVERA07MG</t>
  </si>
  <si>
    <t>18ARIVERA03MG</t>
  </si>
  <si>
    <t>17ARIVERA05MG</t>
  </si>
  <si>
    <t>19ARIVERA08MG</t>
  </si>
  <si>
    <t>18ARIVERA04MG</t>
  </si>
  <si>
    <t>17ARIVERA06MG</t>
  </si>
  <si>
    <t>KIND WORDS BY GALLONI ON ROAGNA WINES:</t>
  </si>
  <si>
    <r>
      <t xml:space="preserve">Galloni, Vinous 2024 </t>
    </r>
    <r>
      <rPr>
        <sz val="7"/>
        <color theme="1" tint="0.499984740745262"/>
        <rFont val="Noto Sans"/>
        <family val="2"/>
      </rPr>
      <t>'The entry-level bottlings are every bit as distinctive and illustrative of style as the higher-end offerings.'</t>
    </r>
  </si>
  <si>
    <r>
      <t xml:space="preserve">Galloni, Vinous 2024 </t>
    </r>
    <r>
      <rPr>
        <sz val="7"/>
        <color theme="1" tint="0.499984740745262"/>
        <rFont val="Noto Sans"/>
        <family val="2"/>
      </rPr>
      <t>'In time, the wines often found their balance in bottle, something I have been reminded of a few times recently in tastings of older</t>
    </r>
  </si>
  <si>
    <t>vintages of the Barbaresco Crichët Pajé. Today, the wines are much more precise on release, especially in the aromatics and tannins.'</t>
  </si>
  <si>
    <r>
      <rPr>
        <b/>
        <sz val="7"/>
        <color theme="1" tint="0.499984740745262"/>
        <rFont val="Noto Sans"/>
        <family val="2"/>
      </rPr>
      <t>Galloni, Vinous 2023</t>
    </r>
    <r>
      <rPr>
        <sz val="7"/>
        <color theme="1" tint="0.499984740745262"/>
        <rFont val="Noto Sans"/>
        <family val="2"/>
      </rPr>
      <t xml:space="preserve"> 'a stellar set of wines from Luca Roagna' (on 2018 crus)</t>
    </r>
  </si>
  <si>
    <r>
      <rPr>
        <b/>
        <sz val="7"/>
        <color theme="1" tint="0.499984740745262"/>
        <rFont val="Noto Sans"/>
        <family val="2"/>
      </rPr>
      <t xml:space="preserve">Galloni, Vinous 2023 </t>
    </r>
    <r>
      <rPr>
        <sz val="7"/>
        <color theme="1" tint="0.499984740745262"/>
        <rFont val="Noto Sans"/>
        <family val="2"/>
      </rPr>
      <t>'wines that benefit considerably from cellaring, something I have learned over the two decades-plus I have been buying and drinking them.'</t>
    </r>
  </si>
  <si>
    <r>
      <rPr>
        <b/>
        <sz val="7"/>
        <color theme="1" tint="0.499984740745262"/>
        <rFont val="Noto Sans"/>
        <family val="2"/>
      </rPr>
      <t>Galloni, Vinous 2023</t>
    </r>
    <r>
      <rPr>
        <sz val="7"/>
        <color theme="1" tint="0.499984740745262"/>
        <rFont val="Noto Sans"/>
        <family val="2"/>
      </rPr>
      <t xml:space="preserve"> 'As always, low-intervention viticulture and super-traditional methods, with ambient fermentations and long time on the skins,</t>
    </r>
  </si>
  <si>
    <t>are cornerstones of the approach here.'</t>
  </si>
  <si>
    <r>
      <rPr>
        <b/>
        <sz val="7"/>
        <color theme="1" tint="0.499984740745262"/>
        <rFont val="Noto Sans"/>
        <family val="2"/>
      </rPr>
      <t>Galloni, Vinous 2022</t>
    </r>
    <r>
      <rPr>
        <sz val="7"/>
        <color theme="1" tint="0.499984740745262"/>
        <rFont val="Noto Sans"/>
        <family val="2"/>
      </rPr>
      <t xml:space="preserve"> 'Time always feels like it slows down here. That’s exactly what (the) wines feel like.' </t>
    </r>
  </si>
  <si>
    <r>
      <rPr>
        <b/>
        <sz val="7"/>
        <color theme="1" tint="0.499984740745262"/>
        <rFont val="Noto Sans"/>
        <family val="2"/>
      </rPr>
      <t>Galloni, Vinous 2021</t>
    </r>
    <r>
      <rPr>
        <sz val="7"/>
        <color theme="1" tint="0.499984740745262"/>
        <rFont val="Noto Sans"/>
        <family val="2"/>
      </rPr>
      <t xml:space="preserve"> 'potent, austere wines that will require a number of years to come around. I imagine the style of the year will thrill Roagna fans,</t>
    </r>
  </si>
  <si>
    <t>but readers should be warned: these taut, massively tannic wines are not for the uninitiated.' (on 2016 crus)</t>
  </si>
  <si>
    <r>
      <rPr>
        <b/>
        <sz val="7"/>
        <color theme="1" tint="0.499984740745262"/>
        <rFont val="Noto Sans"/>
        <family val="2"/>
      </rPr>
      <t>Galloni, Vinous 2019</t>
    </r>
    <r>
      <rPr>
        <sz val="7"/>
        <color theme="1" tint="0.499984740745262"/>
        <rFont val="Noto Sans"/>
        <family val="2"/>
      </rPr>
      <t xml:space="preserve"> 'an extraordinary set of wines from Luca Roagna. ... As always, the wines are super-classic in feel.' (on 2014s)</t>
    </r>
  </si>
  <si>
    <r>
      <rPr>
        <b/>
        <sz val="7"/>
        <color theme="1" tint="0.499984740745262"/>
        <rFont val="Noto Sans"/>
        <family val="2"/>
      </rPr>
      <t>Galloni, Vinous 2019</t>
    </r>
    <r>
      <rPr>
        <sz val="7"/>
        <color theme="1" tint="0.499984740745262"/>
        <rFont val="Noto Sans"/>
        <family val="2"/>
      </rPr>
      <t xml:space="preserve"> 'Over the last years, Roagna has quietly shortened the amount of time his wines spend in cask and began introducing cement'</t>
    </r>
  </si>
  <si>
    <r>
      <rPr>
        <b/>
        <sz val="7"/>
        <color theme="1" tint="0.499984740745262"/>
        <rFont val="Noto Sans"/>
        <family val="2"/>
      </rPr>
      <t xml:space="preserve">Galloni, Vinous 2018 </t>
    </r>
    <r>
      <rPr>
        <sz val="7"/>
        <color theme="1" tint="0.499984740745262"/>
        <rFont val="Noto Sans"/>
        <family val="2"/>
      </rPr>
      <t>'the biggest change here in recent years has been the shortening of time in barrel for most of the wines from about 5 yrs in cask to around 3.5yrs.'</t>
    </r>
  </si>
  <si>
    <r>
      <rPr>
        <b/>
        <sz val="7"/>
        <color theme="1" tint="0.499984740745262"/>
        <rFont val="Noto Sans"/>
        <family val="2"/>
      </rPr>
      <t>Galloni, Vinous 2017</t>
    </r>
    <r>
      <rPr>
        <sz val="7"/>
        <color theme="1" tint="0.499984740745262"/>
        <rFont val="Noto Sans"/>
        <family val="2"/>
      </rPr>
      <t xml:space="preserve"> 'My tasting with Luca Roagna was one of the highlights of my summer visit to Piedmont.'</t>
    </r>
  </si>
  <si>
    <r>
      <rPr>
        <b/>
        <sz val="7"/>
        <color theme="1" tint="0.499984740745262"/>
        <rFont val="Noto Sans"/>
        <family val="2"/>
      </rPr>
      <t xml:space="preserve">Galloni, Vinous 2015 </t>
    </r>
    <r>
      <rPr>
        <sz val="7"/>
        <color theme="1" tint="0.499984740745262"/>
        <rFont val="Noto Sans"/>
        <family val="2"/>
      </rPr>
      <t>'Roagna has made some important improvements over the last few years. The new cellar in Castiglione Falletto has plenty</t>
    </r>
  </si>
  <si>
    <t>of space, while investments in higher quality corks are sure to pay off with less bottle variation.' </t>
  </si>
  <si>
    <r>
      <t xml:space="preserve">Galloni, 2012 </t>
    </r>
    <r>
      <rPr>
        <sz val="7"/>
        <color theme="1" tint="0.499984740745262"/>
        <rFont val="Noto Sans"/>
        <family val="2"/>
      </rPr>
      <t>'wines of great personality.'</t>
    </r>
  </si>
  <si>
    <r>
      <t>Galloni, 2012</t>
    </r>
    <r>
      <rPr>
        <sz val="7"/>
        <color theme="1" tint="0.499984740745262"/>
        <rFont val="Noto Sans"/>
        <family val="2"/>
      </rPr>
      <t xml:space="preserve"> 'some of the most traditional, old school wines in Piemonte.'</t>
    </r>
  </si>
  <si>
    <r>
      <t xml:space="preserve">Galloni, 2010 </t>
    </r>
    <r>
      <rPr>
        <sz val="7"/>
        <color theme="1" tint="0.499984740745262"/>
        <rFont val="Noto Sans"/>
        <family val="2"/>
      </rPr>
      <t>'Crichët Pajé makes an eloquent case for being the Monfortino of Barbaresco'</t>
    </r>
  </si>
  <si>
    <t>KIND WORDS BY GALLONI ON LUCA ROAGNA:</t>
  </si>
  <si>
    <r>
      <t xml:space="preserve">Galloni, Vinous 2024 </t>
    </r>
    <r>
      <rPr>
        <sz val="7"/>
        <color theme="1" tint="0.499984740745262"/>
        <rFont val="Noto Sans"/>
        <family val="2"/>
      </rPr>
      <t>'Luca Roagna continues to move at a fast pace. His cellar is now outfitted with a collection of small 100- and 200-liter ceramic</t>
    </r>
  </si>
  <si>
    <t>tanks designed to age small volumes of Riservas for many years. "I used to move at a slower pace," Roagna told me. "Personal challenges a few years</t>
  </si>
  <si>
    <t xml:space="preserve"> ago greatly impacted me. Now, when I want to do something, I just do it."'</t>
  </si>
  <si>
    <r>
      <t xml:space="preserve">Galloni, Vinous 2016 </t>
    </r>
    <r>
      <rPr>
        <sz val="7"/>
        <color theme="1" tint="0.499984740745262"/>
        <rFont val="Noto Sans"/>
        <family val="2"/>
      </rPr>
      <t>'Luca Roagna continues to step up his game.' </t>
    </r>
  </si>
  <si>
    <r>
      <t>Galloni, Vinous 2014</t>
    </r>
    <r>
      <rPr>
        <sz val="7"/>
        <color theme="1" tint="0.499984740745262"/>
        <rFont val="Noto Sans"/>
        <family val="2"/>
      </rPr>
      <t xml:space="preserve"> 'great to see a producer with so much raw ambition'</t>
    </r>
  </si>
  <si>
    <r>
      <t>Galloni, 2009</t>
    </r>
    <r>
      <rPr>
        <sz val="7"/>
        <color theme="1" tint="0.499984740745262"/>
        <rFont val="Noto Sans"/>
        <family val="2"/>
      </rPr>
      <t xml:space="preserve"> 'Luca Roagna is one of Piedmont's most promising young producers.'</t>
    </r>
  </si>
  <si>
    <r>
      <t xml:space="preserve">Galloni, 2009 </t>
    </r>
    <r>
      <rPr>
        <sz val="7"/>
        <color theme="1" tint="0.499984740745262"/>
        <rFont val="Noto Sans"/>
        <family val="2"/>
      </rPr>
      <t xml:space="preserve">'one of the most fascinating properties in Piedmont.' </t>
    </r>
  </si>
  <si>
    <t>ROAGNA</t>
  </si>
  <si>
    <t>by Luca &amp; Alfredo Roagna</t>
  </si>
  <si>
    <t>24ROAGNA21</t>
  </si>
  <si>
    <t>formally Az.Agr. I Paglieri</t>
  </si>
  <si>
    <t>23ROAGNA21</t>
  </si>
  <si>
    <t xml:space="preserve">20ha estate: 15ha vines, mostly massale, </t>
  </si>
  <si>
    <t>24ROAGNA13</t>
  </si>
  <si>
    <t xml:space="preserve">and 5ha woodland. Farmed with cover crop, </t>
  </si>
  <si>
    <t>25ROAGNA13</t>
  </si>
  <si>
    <r>
      <rPr>
        <sz val="8"/>
        <color theme="1" tint="0.14999847407452621"/>
        <rFont val="Noto Sans"/>
        <family val="2"/>
      </rPr>
      <t xml:space="preserve">regenerative practices: </t>
    </r>
    <r>
      <rPr>
        <b/>
        <sz val="8"/>
        <color rgb="FF00B050"/>
        <rFont val="Noto Sans"/>
        <family val="2"/>
      </rPr>
      <t>no certification</t>
    </r>
  </si>
  <si>
    <t>certified self-sufficient renewable energy</t>
  </si>
  <si>
    <t>23ROAGNA15</t>
  </si>
  <si>
    <t>2 cellars: old cellar in Barbaresco village, and</t>
  </si>
  <si>
    <t>BIANCO EN MAGNUM:</t>
  </si>
  <si>
    <t>new one at La Pira in Castiglione Falleto</t>
  </si>
  <si>
    <t>23ROAGNA14</t>
  </si>
  <si>
    <t>Pied de cuve system, then long maceration</t>
  </si>
  <si>
    <t>24ROAGNA14MG</t>
  </si>
  <si>
    <t>Most reds see 3.5-5yrs elevage, in oak casks</t>
  </si>
  <si>
    <t>with 10cm thick staves (dolcetto is 1yr.)</t>
  </si>
  <si>
    <t>25ROAGNA14</t>
  </si>
  <si>
    <r>
      <t xml:space="preserve">Unfined &amp; unfiltered; </t>
    </r>
    <r>
      <rPr>
        <b/>
        <sz val="8"/>
        <color rgb="FF00B050"/>
        <rFont val="Noto Sans"/>
        <family val="2"/>
      </rPr>
      <t>Ⓥ Vegan compatible</t>
    </r>
  </si>
  <si>
    <t>24ROAGNA15</t>
  </si>
  <si>
    <t>Pira&amp;Pajé are 25-50yr vines, 3.5-5yrs elevage</t>
  </si>
  <si>
    <t>23ROAGNA16</t>
  </si>
  <si>
    <t>VV series are &gt;50yr vines, 3.5-5yrs elevage</t>
  </si>
  <si>
    <t>C.Pajé &amp; Riserva are VV with long elevage,</t>
  </si>
  <si>
    <t>24ROAGNA16</t>
  </si>
  <si>
    <t>finished in ceramic Clayver vessels</t>
  </si>
  <si>
    <t>25ROAGNA06</t>
  </si>
  <si>
    <t>2024 Gallina lease purchased; Faset lease ended</t>
  </si>
  <si>
    <t>22ROAGNA07</t>
  </si>
  <si>
    <t>2016 1st year of Barolo Rocche di Castiglione</t>
  </si>
  <si>
    <t>24ROAGNA12</t>
  </si>
  <si>
    <t>2014 1st year of Montemarzino timorasso, Tortona</t>
  </si>
  <si>
    <t>23ROAGNA13</t>
  </si>
  <si>
    <t>2014 1st vintage of Albesani &amp; Gallina crus, Neive</t>
  </si>
  <si>
    <t>24ROAGNA11</t>
  </si>
  <si>
    <t>2013 1st vintage of Faset cru</t>
  </si>
  <si>
    <t>23ROAGNA12</t>
  </si>
  <si>
    <t>2012 start of 'selection sexuelle' program at Pira</t>
  </si>
  <si>
    <t>24ROAGNA10</t>
  </si>
  <si>
    <t>2010 1st vintage in the new cellar at Pira</t>
  </si>
  <si>
    <t>25ROAGNA02</t>
  </si>
  <si>
    <t>2003 - 2006 Vigna Rionda era via Tommaso Canale</t>
  </si>
  <si>
    <t>24ROAGNA02</t>
  </si>
  <si>
    <t>2007 start of Vecchie Viti, aka VV series, &gt;50yrs</t>
  </si>
  <si>
    <t>23ROAGNA03</t>
  </si>
  <si>
    <t>2005 La Rocca e La Pira renamed La Pira</t>
  </si>
  <si>
    <t>23ROAGNA05</t>
  </si>
  <si>
    <t>2004 vinification of all crus starts again</t>
  </si>
  <si>
    <t>25ROAGNA05</t>
  </si>
  <si>
    <t>2001 Luca Roagna's 1st full-time vintage</t>
  </si>
  <si>
    <t>24ROAGNA05</t>
  </si>
  <si>
    <r>
      <t xml:space="preserve">1989 La Rocca e La Pira </t>
    </r>
    <r>
      <rPr>
        <b/>
        <sz val="7"/>
        <color theme="1" tint="0.499984740745262"/>
        <rFont val="Noto Sans"/>
        <family val="2"/>
      </rPr>
      <t>monopole</t>
    </r>
    <r>
      <rPr>
        <sz val="7"/>
        <color theme="1" tint="0.499984740745262"/>
        <rFont val="Noto Sans"/>
        <family val="2"/>
      </rPr>
      <t xml:space="preserve"> bought</t>
    </r>
  </si>
  <si>
    <t>BARBARESCO EN MAGNUM:</t>
  </si>
  <si>
    <t>1981 5th gen. Luca Roagna born</t>
  </si>
  <si>
    <t>23ROAGNA07MG</t>
  </si>
  <si>
    <t>1978 1st vintage Crichet Pajé label</t>
  </si>
  <si>
    <t>24ROAGNA12MG</t>
  </si>
  <si>
    <t>1974 1st vintage Barbaresco Riserva</t>
  </si>
  <si>
    <t>23ROAGNA13MG</t>
  </si>
  <si>
    <t>1971 Alfredo Roagna's 1st vintage</t>
  </si>
  <si>
    <t>24ROAGNA11MG</t>
  </si>
  <si>
    <t>1961 Giovanni purchases 0.22ha Asili</t>
  </si>
  <si>
    <t>23ROAGNA12MG</t>
  </si>
  <si>
    <t>1958 1st selection of what became Crichet Pajé</t>
  </si>
  <si>
    <t>24ROAGNA10MG</t>
  </si>
  <si>
    <t xml:space="preserve">1953 Giovanni &amp; Maria Candida bought Pajé parcel </t>
  </si>
  <si>
    <t>23ROAGNA05MG</t>
  </si>
  <si>
    <t>1953 4rd gen. Alfredo Roagna born</t>
  </si>
  <si>
    <t>23ROAGNA06MG</t>
  </si>
  <si>
    <t>1912 Giovanni Roagna born</t>
  </si>
  <si>
    <t>BARBARESCO CRICHĒT PAJÉ:</t>
  </si>
  <si>
    <t>1929 family bought Montefico parcel</t>
  </si>
  <si>
    <t>25ROAGNA01</t>
  </si>
  <si>
    <t>1880s 1st dry 'traditional' Barbaresco made</t>
  </si>
  <si>
    <t>24ROAGNA01</t>
  </si>
  <si>
    <t>WHITES / BIANCHI:</t>
  </si>
  <si>
    <t>24ROAGNA01MG</t>
  </si>
  <si>
    <t>Fermented in large neutral casks with pied de cuve,</t>
  </si>
  <si>
    <t>21ROAGNA11DM</t>
  </si>
  <si>
    <t xml:space="preserve">followed by ~2yrs elevage in same casks. NB a </t>
  </si>
  <si>
    <t>23ROAGNA02DD</t>
  </si>
  <si>
    <t>spot of nebbiolo is pressed with the chardonnays</t>
  </si>
  <si>
    <t>23ROAGNA02L12</t>
  </si>
  <si>
    <r>
      <rPr>
        <b/>
        <sz val="7"/>
        <color theme="1" tint="0.499984740745262"/>
        <rFont val="Noto Sans"/>
        <family val="2"/>
      </rPr>
      <t xml:space="preserve">Langhe Bianco: </t>
    </r>
    <r>
      <rPr>
        <sz val="7"/>
        <color theme="1" tint="0.499984740745262"/>
        <rFont val="Noto Sans"/>
        <family val="2"/>
      </rPr>
      <t>1980s chardonnay in cru Carso,</t>
    </r>
  </si>
  <si>
    <t>23ROAGNA02L18</t>
  </si>
  <si>
    <t>Barbaresco by the old cellar. 1st made 2003</t>
  </si>
  <si>
    <r>
      <rPr>
        <b/>
        <sz val="7"/>
        <color theme="1" tint="0.499984740745262"/>
        <rFont val="Noto Sans"/>
        <family val="2"/>
      </rPr>
      <t xml:space="preserve">Solea: </t>
    </r>
    <r>
      <rPr>
        <sz val="7"/>
        <color theme="1" tint="0.499984740745262"/>
        <rFont val="Noto Sans"/>
        <family val="2"/>
      </rPr>
      <t>chardonnay at Pira, Barolo, by new cellar</t>
    </r>
  </si>
  <si>
    <t>24ROAGNA09</t>
  </si>
  <si>
    <r>
      <rPr>
        <b/>
        <sz val="7"/>
        <color theme="1" tint="0.499984740745262"/>
        <rFont val="Noto Sans"/>
        <family val="2"/>
      </rPr>
      <t>Montmarzino:</t>
    </r>
    <r>
      <rPr>
        <sz val="7"/>
        <color theme="1" tint="0.499984740745262"/>
        <rFont val="Noto Sans"/>
        <family val="2"/>
      </rPr>
      <t xml:space="preserve"> 1ha at 450m, E facing, bought 2014</t>
    </r>
  </si>
  <si>
    <t>25ROAGNA08</t>
  </si>
  <si>
    <t>KEY BARBARESCO CRUS:</t>
  </si>
  <si>
    <t>24ROAGNA08</t>
  </si>
  <si>
    <r>
      <rPr>
        <b/>
        <sz val="7"/>
        <color theme="1" tint="0.499984740745262"/>
        <rFont val="Noto Sans"/>
        <family val="2"/>
      </rPr>
      <t>Pajé:</t>
    </r>
    <r>
      <rPr>
        <sz val="7"/>
        <color theme="1" tint="0.499984740745262"/>
        <rFont val="Noto Sans"/>
        <family val="2"/>
      </rPr>
      <t xml:space="preserve"> Bought 1953, S-SW facing amphitheatre.</t>
    </r>
  </si>
  <si>
    <t>23ROAGNA09</t>
  </si>
  <si>
    <t>Avg.230m altitude. 1.83ha nebbiolo, plus dolcetto</t>
  </si>
  <si>
    <t>25ROAGNA07</t>
  </si>
  <si>
    <r>
      <rPr>
        <b/>
        <sz val="7"/>
        <color theme="1" tint="0.499984740745262"/>
        <rFont val="Noto Sans"/>
        <family val="2"/>
      </rPr>
      <t xml:space="preserve">Crichet Pajé: </t>
    </r>
    <r>
      <rPr>
        <sz val="7"/>
        <color theme="1" tint="0.499984740745262"/>
        <rFont val="Noto Sans"/>
        <family val="2"/>
      </rPr>
      <t xml:space="preserve">0.5ha within Pajé of 1940 vines on </t>
    </r>
  </si>
  <si>
    <t>24ROAGNA07</t>
  </si>
  <si>
    <t>active limestone. ~10yrs elevage. Isolated in 1958</t>
  </si>
  <si>
    <t>23ROAGNA08</t>
  </si>
  <si>
    <r>
      <rPr>
        <b/>
        <sz val="7"/>
        <color theme="1" tint="0.499984740745262"/>
        <rFont val="Noto Sans"/>
        <family val="2"/>
      </rPr>
      <t>Asili:</t>
    </r>
    <r>
      <rPr>
        <sz val="7"/>
        <color theme="1" tint="0.499984740745262"/>
        <rFont val="Noto Sans"/>
        <family val="2"/>
      </rPr>
      <t xml:space="preserve"> 0.22ha SW facing at 250m bought 1961</t>
    </r>
  </si>
  <si>
    <t>24ROAGNA03</t>
  </si>
  <si>
    <t>chalky clay and sand with VV only</t>
  </si>
  <si>
    <t>23ROAGNA04MG</t>
  </si>
  <si>
    <r>
      <t xml:space="preserve">Montefico: </t>
    </r>
    <r>
      <rPr>
        <sz val="7"/>
        <color theme="1" tint="0.499984740745262"/>
        <rFont val="Noto Sans"/>
        <family val="2"/>
      </rPr>
      <t>0.24ha of SE facing VV (&amp;TVV) at</t>
    </r>
  </si>
  <si>
    <t>230m, bought 1929. The 1st cru Roagna ever made</t>
  </si>
  <si>
    <t>24ROAGNA09MG</t>
  </si>
  <si>
    <r>
      <rPr>
        <b/>
        <sz val="7"/>
        <color theme="1" tint="0.499984740745262"/>
        <rFont val="Noto Sans"/>
        <family val="2"/>
      </rPr>
      <t>Albesani:</t>
    </r>
    <r>
      <rPr>
        <sz val="7"/>
        <color theme="1" tint="0.499984740745262"/>
        <rFont val="Noto Sans"/>
        <family val="2"/>
      </rPr>
      <t xml:space="preserve"> Neive. ~50yr old massale nebbiolo in</t>
    </r>
  </si>
  <si>
    <t>23ROAGNA10MG</t>
  </si>
  <si>
    <t>upper-section, cultivated by Roagna since 2014</t>
  </si>
  <si>
    <t>25ROAGNA08MG</t>
  </si>
  <si>
    <t>(was previously Giacosa's Santo Stefano di Neive)</t>
  </si>
  <si>
    <t>24ROAGNA08MG</t>
  </si>
  <si>
    <r>
      <rPr>
        <b/>
        <sz val="7"/>
        <color theme="1" tint="0.499984740745262"/>
        <rFont val="Noto Sans"/>
        <family val="2"/>
      </rPr>
      <t>Gallina:</t>
    </r>
    <r>
      <rPr>
        <sz val="7"/>
        <color theme="1" tint="0.499984740745262"/>
        <rFont val="Noto Sans"/>
        <family val="2"/>
      </rPr>
      <t xml:space="preserve"> Neive. &gt;40/50yr vines, upper slope ~240m</t>
    </r>
  </si>
  <si>
    <t>24ROAGNA03MG</t>
  </si>
  <si>
    <t>on sandy Sant'Agata limestone-clay marl, S/SW.</t>
  </si>
  <si>
    <t>BAROLO LA PIRA RISERVA ETICHETTA NERA - ALL FORMATS:</t>
  </si>
  <si>
    <t>Cultivated since 2014, purchased ~2024</t>
  </si>
  <si>
    <t>22ROAGNA02</t>
  </si>
  <si>
    <r>
      <rPr>
        <b/>
        <sz val="7"/>
        <color theme="1" tint="0.499984740745262"/>
        <rFont val="Noto Sans"/>
        <family val="2"/>
      </rPr>
      <t>Faset:</t>
    </r>
    <r>
      <rPr>
        <sz val="7"/>
        <color theme="1" tint="0.499984740745262"/>
        <rFont val="Noto Sans"/>
        <family val="2"/>
      </rPr>
      <t xml:space="preserve"> ~0.5ha, 1st made 2013. Belongs to friends</t>
    </r>
  </si>
  <si>
    <t>22ROAGNA02MG</t>
  </si>
  <si>
    <r>
      <rPr>
        <b/>
        <sz val="7"/>
        <color theme="1" tint="0.499984740745262"/>
        <rFont val="Noto Sans"/>
        <family val="2"/>
      </rPr>
      <t>Carso:</t>
    </r>
    <r>
      <rPr>
        <sz val="7"/>
        <color theme="1" tint="0.499984740745262"/>
        <rFont val="Noto Sans"/>
        <family val="2"/>
      </rPr>
      <t xml:space="preserve"> 1.1ha of E facing dolcetto &amp; chardonnay,</t>
    </r>
  </si>
  <si>
    <t>KING &amp; QUEEN CASE, MIXED 6-PACKS:</t>
  </si>
  <si>
    <t>bought 1950s. Sited above Rocche di Barbaresco</t>
  </si>
  <si>
    <t>23ROAGNA20QC</t>
  </si>
  <si>
    <t>23ROAGNA19KC</t>
  </si>
  <si>
    <r>
      <rPr>
        <b/>
        <sz val="7"/>
        <color theme="1" tint="0.499984740745262"/>
        <rFont val="Noto Sans"/>
        <family val="2"/>
      </rPr>
      <t>Rocche di Castiglione:</t>
    </r>
    <r>
      <rPr>
        <sz val="7"/>
        <color theme="1" tint="0.499984740745262"/>
        <rFont val="Noto Sans"/>
        <family val="2"/>
      </rPr>
      <t xml:space="preserve">. 0.48ha planted from 1970s </t>
    </r>
  </si>
  <si>
    <t>BAROLO CHINATO - PIRA BASE:</t>
  </si>
  <si>
    <t>at upper 300m altitude of cru, bought in 2016.</t>
  </si>
  <si>
    <t>24ROAGNA19</t>
  </si>
  <si>
    <t>Limestone-clay soil with white rock and sand</t>
  </si>
  <si>
    <t>24ROAGNA18</t>
  </si>
  <si>
    <r>
      <rPr>
        <b/>
        <sz val="7"/>
        <color theme="1" tint="0.499984740745262"/>
        <rFont val="Noto Sans"/>
        <family val="2"/>
      </rPr>
      <t>La Pira monopole:</t>
    </r>
    <r>
      <rPr>
        <sz val="7"/>
        <color theme="1" tint="0.499984740745262"/>
        <rFont val="Noto Sans"/>
        <family val="2"/>
      </rPr>
      <t xml:space="preserve"> 11ha inc.4ha woods. SE facing</t>
    </r>
  </si>
  <si>
    <t>GRAPPA:</t>
  </si>
  <si>
    <t>Bought 1989. 6 blocks incl 0.34ha barbera &amp; 30y/o</t>
  </si>
  <si>
    <t>25ROAGNA16</t>
  </si>
  <si>
    <t>chardonnay. Oldest nebbiolo 1937. Next to Rocche</t>
  </si>
  <si>
    <t>25ROAGNA17</t>
  </si>
  <si>
    <t>di Castiglione in Castiglione Falleto. Part ungrafted.</t>
  </si>
  <si>
    <t>SHORT FILMS ON ROAGNA:</t>
  </si>
  <si>
    <t>Terroir is Rocche continuation, to bluish marl</t>
  </si>
  <si>
    <t>www.roagna.com/en/stories/the-documentary/</t>
  </si>
  <si>
    <t>by Montag 2016, 8'16''</t>
  </si>
  <si>
    <r>
      <rPr>
        <b/>
        <sz val="7"/>
        <color theme="1" tint="0.499984740745262"/>
        <rFont val="Noto Sans"/>
        <family val="2"/>
      </rPr>
      <t>Barolo di Barolo:</t>
    </r>
    <r>
      <rPr>
        <sz val="7"/>
        <color theme="1" tint="0.499984740745262"/>
        <rFont val="Noto Sans"/>
        <family val="2"/>
      </rPr>
      <t xml:space="preserve"> tiny 0.17ha in Terlo on the edge</t>
    </r>
  </si>
  <si>
    <t>www.youtube.com/watch?v=EF3R_K1Q8R8&amp;t=64s</t>
  </si>
  <si>
    <t>of Barolo village, planted 1967. 1st made in 2013</t>
  </si>
  <si>
    <t>www.youtube.com/watch?v=B-pWX_Txk-8</t>
  </si>
  <si>
    <t>by Slow Wine 2022, 6'17''</t>
  </si>
  <si>
    <t>Wine Enthusiast, Top 100 Cellar Selection of 2015</t>
  </si>
  <si>
    <t>Roagna.com</t>
  </si>
  <si>
    <t>NB VV SERIES SELLS OUT ON RELEASE</t>
  </si>
  <si>
    <t>NB MANIFESTO AVAILABLE</t>
  </si>
  <si>
    <t>GROWER CODE: ROAGNA</t>
  </si>
  <si>
    <r>
      <t xml:space="preserve">(NB the range of crus is </t>
    </r>
    <r>
      <rPr>
        <i/>
        <sz val="8"/>
        <color theme="1" tint="0.14999847407452621"/>
        <rFont val="Noto Sans"/>
        <family val="2"/>
      </rPr>
      <t>considerable</t>
    </r>
    <r>
      <rPr>
        <sz val="8"/>
        <color theme="1" tint="0.14999847407452621"/>
        <rFont val="Noto Sans"/>
        <family val="2"/>
      </rPr>
      <t xml:space="preserve">, as are </t>
    </r>
  </si>
  <si>
    <t>the formats available. Albeit in small #s for the</t>
  </si>
  <si>
    <t>exotic larger sizes. Please ask re availability.)</t>
  </si>
  <si>
    <t>KIND WORDS FROM GALLONI ON SANDRONE VARIETALS:</t>
  </si>
  <si>
    <r>
      <rPr>
        <b/>
        <sz val="7"/>
        <color theme="1" tint="0.499984740745262"/>
        <rFont val="Noto Sans"/>
        <family val="2"/>
      </rPr>
      <t>Galloni, 2013</t>
    </r>
    <r>
      <rPr>
        <sz val="7"/>
        <color theme="1" tint="0.499984740745262"/>
        <rFont val="Noto Sans"/>
        <family val="2"/>
      </rPr>
      <t xml:space="preserve"> 'Sandrone's entry-level reds are just as distinctive as their Barolos, and are made with just as much care'</t>
    </r>
  </si>
  <si>
    <r>
      <rPr>
        <b/>
        <sz val="7"/>
        <color theme="1" tint="0.499984740745262"/>
        <rFont val="Noto Sans"/>
        <family val="2"/>
      </rPr>
      <t>Galloni, 2019</t>
    </r>
    <r>
      <rPr>
        <sz val="7"/>
        <color theme="1" tint="0.499984740745262"/>
        <rFont val="Noto Sans"/>
        <family val="2"/>
      </rPr>
      <t xml:space="preserve"> 'In most vintages, the Valmaggiore is gracious to the point of being somewhat ethereal'</t>
    </r>
  </si>
  <si>
    <r>
      <rPr>
        <b/>
        <sz val="7"/>
        <color theme="1" tint="0.499984740745262"/>
        <rFont val="Noto Sans"/>
        <family val="2"/>
      </rPr>
      <t> Galloni, 2018</t>
    </r>
    <r>
      <rPr>
        <sz val="7"/>
        <color theme="1" tint="0.499984740745262"/>
        <rFont val="Noto Sans"/>
        <family val="2"/>
      </rPr>
      <t xml:space="preserve"> 'Valmaggiore...highly regarded Roero site.'</t>
    </r>
  </si>
  <si>
    <r>
      <rPr>
        <b/>
        <sz val="7"/>
        <color theme="1" tint="0.499984740745262"/>
        <rFont val="Noto Sans"/>
        <family val="2"/>
      </rPr>
      <t xml:space="preserve">Galloni, 2015 </t>
    </r>
    <r>
      <rPr>
        <sz val="7"/>
        <color theme="1" tint="0.499984740745262"/>
        <rFont val="Noto Sans"/>
        <family val="2"/>
      </rPr>
      <t>'Sandrone's Barberas are usually racier and finessed'</t>
    </r>
  </si>
  <si>
    <r>
      <rPr>
        <b/>
        <sz val="7"/>
        <color theme="1" tint="0.499984740745262"/>
        <rFont val="Noto Sans"/>
        <family val="2"/>
      </rPr>
      <t>Galloni, 2019</t>
    </r>
    <r>
      <rPr>
        <sz val="7"/>
        <color theme="1" tint="0.499984740745262"/>
        <rFont val="Noto Sans"/>
        <family val="2"/>
      </rPr>
      <t xml:space="preserve"> 'Sandrone's Dolcetto d'Alba is always potent'</t>
    </r>
  </si>
  <si>
    <r>
      <rPr>
        <b/>
        <sz val="7"/>
        <color theme="1" tint="0.499984740745262"/>
        <rFont val="Noto Sans"/>
        <family val="2"/>
      </rPr>
      <t>Galloni, 2008</t>
    </r>
    <r>
      <rPr>
        <sz val="7"/>
        <color theme="1" tint="0.499984740745262"/>
        <rFont val="Noto Sans"/>
        <family val="2"/>
      </rPr>
      <t xml:space="preserve"> 'Sandrone's Dolcetto is consistently one of the top versions in the region'</t>
    </r>
  </si>
  <si>
    <r>
      <rPr>
        <b/>
        <sz val="7"/>
        <color theme="1" tint="0.499984740745262"/>
        <rFont val="Noto Sans"/>
        <family val="2"/>
      </rPr>
      <t>Galloni, 2011</t>
    </r>
    <r>
      <rPr>
        <sz val="7"/>
        <color theme="1" tint="0.499984740745262"/>
        <rFont val="Noto Sans"/>
        <family val="2"/>
      </rPr>
      <t xml:space="preserve"> 'fabulous wines that make a great introduction to the work of one Piedmont's leading estates.'</t>
    </r>
  </si>
  <si>
    <r>
      <rPr>
        <b/>
        <sz val="7"/>
        <color theme="1" tint="0.499984740745262"/>
        <rFont val="Noto Sans"/>
        <family val="2"/>
      </rPr>
      <t>Galloni, 2008</t>
    </r>
    <r>
      <rPr>
        <sz val="7"/>
        <color theme="1" tint="0.499984740745262"/>
        <rFont val="Noto Sans"/>
        <family val="2"/>
      </rPr>
      <t xml:space="preserve"> 'Although Sandrone is most famous for his Barolos, (they) pay just as much attention to their entry-level wines…'</t>
    </r>
  </si>
  <si>
    <t>KIND WORDS FROM GALLONI ON SANDRONE BAROLO:</t>
  </si>
  <si>
    <r>
      <rPr>
        <b/>
        <sz val="7"/>
        <color theme="1" tint="0.499984740745262"/>
        <rFont val="Noto Sans"/>
        <family val="2"/>
      </rPr>
      <t>Galloni, 2020</t>
    </r>
    <r>
      <rPr>
        <sz val="7"/>
        <color theme="1" tint="0.499984740745262"/>
        <rFont val="Noto Sans"/>
        <family val="2"/>
      </rPr>
      <t xml:space="preserve"> 'today's wines are fresher and more vibrant, and yet they retain that textural lushness that has made these wines so coveted.'</t>
    </r>
  </si>
  <si>
    <r>
      <rPr>
        <b/>
        <sz val="7"/>
        <color theme="1" tint="0.499984740745262"/>
        <rFont val="Noto Sans"/>
        <family val="2"/>
      </rPr>
      <t>Galloni, 2020</t>
    </r>
    <r>
      <rPr>
        <sz val="7"/>
        <color theme="1" tint="0.499984740745262"/>
        <rFont val="Noto Sans"/>
        <family val="2"/>
      </rPr>
      <t xml:space="preserve"> 'As for the wines, well, they are truly special.'</t>
    </r>
  </si>
  <si>
    <r>
      <rPr>
        <b/>
        <sz val="7"/>
        <color theme="1" tint="0.499984740745262"/>
        <rFont val="Noto Sans"/>
        <family val="2"/>
      </rPr>
      <t>Galloni, 2018</t>
    </r>
    <r>
      <rPr>
        <sz val="7"/>
        <color theme="1" tint="0.499984740745262"/>
        <rFont val="Noto Sans"/>
        <family val="2"/>
      </rPr>
      <t xml:space="preserve"> 'brilliant track record...built over the last four decades. Sandrone remains a benchmark for Piedmont.'</t>
    </r>
  </si>
  <si>
    <r>
      <rPr>
        <b/>
        <sz val="7"/>
        <color theme="1" tint="0.499984740745262"/>
        <rFont val="Noto Sans"/>
        <family val="2"/>
      </rPr>
      <t xml:space="preserve">Galloni, 2017 </t>
    </r>
    <r>
      <rPr>
        <sz val="7"/>
        <color theme="1" tint="0.499984740745262"/>
        <rFont val="Noto Sans"/>
        <family val="2"/>
      </rPr>
      <t>'Sandrone is making some of his finest wines in what has been a long and extraordinary career full of successes.'</t>
    </r>
  </si>
  <si>
    <r>
      <rPr>
        <b/>
        <sz val="7"/>
        <color theme="1" tint="0.499984740745262"/>
        <rFont val="Noto Sans"/>
        <family val="2"/>
      </rPr>
      <t>Galloni, 2014</t>
    </r>
    <r>
      <rPr>
        <sz val="7"/>
        <color theme="1" tint="0.499984740745262"/>
        <rFont val="Noto Sans"/>
        <family val="2"/>
      </rPr>
      <t xml:space="preserve"> 'No one has done a better job of bridging traditional and modern style than Sandrone'</t>
    </r>
  </si>
  <si>
    <r>
      <rPr>
        <b/>
        <sz val="7"/>
        <color theme="1" tint="0.499984740745262"/>
        <rFont val="Noto Sans"/>
        <family val="2"/>
      </rPr>
      <t>Galloni, 2014</t>
    </r>
    <r>
      <rPr>
        <sz val="7"/>
        <color theme="1" tint="0.499984740745262"/>
        <rFont val="Noto Sans"/>
        <family val="2"/>
      </rPr>
      <t xml:space="preserve"> 'very much middle of the road wines from a stylistic perspective, while quality has never been higher.'</t>
    </r>
  </si>
  <si>
    <r>
      <rPr>
        <b/>
        <sz val="7"/>
        <color theme="1" tint="0.499984740745262"/>
        <rFont val="Noto Sans"/>
        <family val="2"/>
      </rPr>
      <t>Galloni, 2014</t>
    </r>
    <r>
      <rPr>
        <sz val="7"/>
        <color theme="1" tint="0.499984740745262"/>
        <rFont val="Noto Sans"/>
        <family val="2"/>
      </rPr>
      <t xml:space="preserve"> 'Barolos are made with an approach that emphasizes fruit and intensity...equivalents to...Dugat or Leroy'</t>
    </r>
  </si>
  <si>
    <r>
      <rPr>
        <b/>
        <sz val="7"/>
        <color theme="1" tint="0.499984740745262"/>
        <rFont val="Noto Sans"/>
        <family val="2"/>
      </rPr>
      <t xml:space="preserve">Galloni, 2008 </t>
    </r>
    <r>
      <rPr>
        <sz val="7"/>
        <color theme="1" tint="0.499984740745262"/>
        <rFont val="Noto Sans"/>
        <family val="2"/>
      </rPr>
      <t>'Sandrone remains soft-spoken and rather shy, but his wines speak for themselves rather eloquently.'</t>
    </r>
  </si>
  <si>
    <r>
      <rPr>
        <b/>
        <sz val="7"/>
        <color theme="1" tint="0.499984740745262"/>
        <rFont val="Noto Sans"/>
        <family val="2"/>
      </rPr>
      <t xml:space="preserve">Galloni, 2007 </t>
    </r>
    <r>
      <rPr>
        <sz val="7"/>
        <color theme="1" tint="0.499984740745262"/>
        <rFont val="Noto Sans"/>
        <family val="2"/>
      </rPr>
      <t>'Sandrone is one of the leading lights in Piedmont.'</t>
    </r>
  </si>
  <si>
    <r>
      <rPr>
        <b/>
        <sz val="7"/>
        <color theme="1" tint="0.499984740745262"/>
        <rFont val="Noto Sans"/>
        <family val="2"/>
      </rPr>
      <t>Galloni, 2007</t>
    </r>
    <r>
      <rPr>
        <sz val="7"/>
        <color theme="1" tint="0.499984740745262"/>
        <rFont val="Noto Sans"/>
        <family val="2"/>
      </rPr>
      <t xml:space="preserve"> 'No grower has managed to so brilliantly reconcile modern and traditional approaches in making wines that are soft, supple and</t>
    </r>
  </si>
  <si>
    <t>approachable when young, but also capable of aging beautifully.'</t>
  </si>
  <si>
    <r>
      <rPr>
        <b/>
        <sz val="7"/>
        <color theme="1" tint="0.499984740745262"/>
        <rFont val="Noto Sans"/>
        <family val="2"/>
      </rPr>
      <t xml:space="preserve">Galloni, 2006 </t>
    </r>
    <r>
      <rPr>
        <sz val="7"/>
        <color theme="1" tint="0.499984740745262"/>
        <rFont val="Noto Sans"/>
        <family val="2"/>
      </rPr>
      <t>'Few winemakers offer the kind of thorough insight into the wines as Luciano Sandrone does. Time spent in Sandrone's cellar</t>
    </r>
  </si>
  <si>
    <t>is always a fascinating and educational experience.'</t>
  </si>
  <si>
    <t>SANDRONE</t>
  </si>
  <si>
    <t>LANGHE &amp; ROERO VARIETALS:</t>
  </si>
  <si>
    <r>
      <t xml:space="preserve">Barolo. ~27ha in </t>
    </r>
    <r>
      <rPr>
        <b/>
        <sz val="8"/>
        <color rgb="FF00B050"/>
        <rFont val="Noto Sans"/>
        <family val="2"/>
      </rPr>
      <t>sustainable</t>
    </r>
    <r>
      <rPr>
        <sz val="8"/>
        <color theme="1" tint="0.14999847407452621"/>
        <rFont val="Noto Sans"/>
        <family val="2"/>
      </rPr>
      <t xml:space="preserve"> agriculture</t>
    </r>
  </si>
  <si>
    <t>16SAND04TB</t>
  </si>
  <si>
    <t>Barbara Sandrone, &amp; uncle Luca, with</t>
  </si>
  <si>
    <t>Barbara's children Alessia &amp; Stefano</t>
  </si>
  <si>
    <t>20SAND08</t>
  </si>
  <si>
    <t>75% domaine; 25% long farming contract</t>
  </si>
  <si>
    <t>BAROLO LE VIGNE:</t>
  </si>
  <si>
    <t>KEY WINES/VINEYARDS:</t>
  </si>
  <si>
    <t>21SAND02</t>
  </si>
  <si>
    <r>
      <t xml:space="preserve">Vite Talin: </t>
    </r>
    <r>
      <rPr>
        <sz val="7"/>
        <color theme="1" tint="0.499984740745262"/>
        <rFont val="Noto Sans"/>
        <family val="2"/>
      </rPr>
      <t>nebbiolo biotype planted in 3 crus:</t>
    </r>
  </si>
  <si>
    <t>21SAND02MG</t>
  </si>
  <si>
    <t>with small vines, small grapes</t>
  </si>
  <si>
    <t>21SAND02JB</t>
  </si>
  <si>
    <r>
      <rPr>
        <b/>
        <sz val="7"/>
        <color theme="1" tint="0.499984740745262"/>
        <rFont val="Noto Sans"/>
        <family val="2"/>
      </rPr>
      <t>Aleste/Cannubi (Boschis):</t>
    </r>
    <r>
      <rPr>
        <sz val="7"/>
        <color theme="1" tint="0.499984740745262"/>
        <rFont val="Noto Sans"/>
        <family val="2"/>
      </rPr>
      <t xml:space="preserve"> 'organic self-cert.'</t>
    </r>
  </si>
  <si>
    <t>20SAND02JB</t>
  </si>
  <si>
    <r>
      <rPr>
        <b/>
        <sz val="7"/>
        <color theme="1" tint="0.499984740745262"/>
        <rFont val="Noto Sans"/>
        <family val="2"/>
      </rPr>
      <t xml:space="preserve">Le Vigne: </t>
    </r>
    <r>
      <rPr>
        <sz val="7"/>
        <color theme="1" tint="0.499984740745262"/>
        <rFont val="Noto Sans"/>
        <family val="2"/>
      </rPr>
      <t>Baudana (Serralunga,) Villero</t>
    </r>
  </si>
  <si>
    <t>(Castiglione,) Vignane (Barolo,) Merli (Novello)</t>
  </si>
  <si>
    <t>21SAND01MG</t>
  </si>
  <si>
    <r>
      <rPr>
        <b/>
        <sz val="7"/>
        <color theme="1" tint="0.499984740745262"/>
        <rFont val="Noto Sans"/>
        <family val="2"/>
      </rPr>
      <t>Valmaggiore:</t>
    </r>
    <r>
      <rPr>
        <sz val="7"/>
        <color theme="1" tint="0.499984740745262"/>
        <rFont val="Noto Sans"/>
        <family val="2"/>
      </rPr>
      <t xml:space="preserve"> amphitheatre at Vezza d'Alba </t>
    </r>
  </si>
  <si>
    <t>20SAND01MG</t>
  </si>
  <si>
    <t>all stainless steel ferment; ambient yeast;</t>
  </si>
  <si>
    <t>21SAND01JB</t>
  </si>
  <si>
    <t>all elevage in 500L French oak tonneaux:</t>
  </si>
  <si>
    <t>18SAND01DM</t>
  </si>
  <si>
    <t>Talin is 50% new; Baroli 15-20%; barbera</t>
  </si>
  <si>
    <t>&amp; nebbiolo in used; (dolcetto sees tank)</t>
  </si>
  <si>
    <t>36mths for Talin, 18mths for other Baroli</t>
  </si>
  <si>
    <t>2023 Luciano passes away</t>
  </si>
  <si>
    <t>2013 1st vintage Barolo Vite Talin</t>
  </si>
  <si>
    <t>2013 1st vintage Barolo Aleste (ex-Cannubi Boschis)</t>
  </si>
  <si>
    <t>2011 purchase 1.3ha Baudana, Serralunga</t>
  </si>
  <si>
    <r>
      <t xml:space="preserve">2004 start of </t>
    </r>
    <r>
      <rPr>
        <i/>
        <sz val="7"/>
        <color theme="1" tint="0.499984740745262"/>
        <rFont val="Noto Sans"/>
        <family val="2"/>
      </rPr>
      <t>Sibi et Paucis</t>
    </r>
    <r>
      <rPr>
        <sz val="7"/>
        <color theme="1" tint="0.499984740745262"/>
        <rFont val="Noto Sans"/>
        <family val="2"/>
      </rPr>
      <t xml:space="preserve"> ageing program</t>
    </r>
  </si>
  <si>
    <t>2003 start of sustainable agriculture</t>
  </si>
  <si>
    <t>1998 new winery started next to Cannubi Boschis</t>
  </si>
  <si>
    <t>1994 daughter Barbara joined full time</t>
  </si>
  <si>
    <t>1994 1st vintage Valmaggiore; land purchased</t>
  </si>
  <si>
    <t>1992 brother Luca joined</t>
  </si>
  <si>
    <t>1990 Luciano now full-time</t>
  </si>
  <si>
    <t>1990 1st vintage Le Vigne</t>
  </si>
  <si>
    <t>1989 daughter Barbara started</t>
  </si>
  <si>
    <t>1987 Vite Talin biotype identified - SEE FICHE</t>
  </si>
  <si>
    <t>1985 1st vintage Cannubi-Boschis</t>
  </si>
  <si>
    <t>1981/82 first barbera &amp; dolcetto</t>
  </si>
  <si>
    <t>1978 to 1990 cellar master, Marchesi di Barolo</t>
  </si>
  <si>
    <t>1978 1st Sandrone label vintage</t>
  </si>
  <si>
    <t>1977 1st parcel purchased on Cannubi Boschis</t>
  </si>
  <si>
    <t>1973 Luciano starts at Borgogno</t>
  </si>
  <si>
    <t>1970 Barbara Sandrone born</t>
  </si>
  <si>
    <t>2015 1st entry in IWR Top 100 WOTY - Le Vigne</t>
  </si>
  <si>
    <t>2014 Le Vigne 2010 in Suckling's Top 100 Italians</t>
  </si>
  <si>
    <t>2012 1st Wine &amp; Spirits Top 100, Winery of the Yr</t>
  </si>
  <si>
    <t xml:space="preserve">2010 1st Wine Enthusiast, Top 100 Cellar Selection </t>
  </si>
  <si>
    <t>1993 1st entry in Wine Spectator's Top 100</t>
  </si>
  <si>
    <t xml:space="preserve">1990 1st Cannubi Boschis to receive RP100 </t>
  </si>
  <si>
    <r>
      <t xml:space="preserve">Barolo is </t>
    </r>
    <r>
      <rPr>
        <b/>
        <sz val="7"/>
        <color theme="1" tint="0.499984740745262"/>
        <rFont val="Noto Sans"/>
        <family val="2"/>
      </rPr>
      <t>often</t>
    </r>
    <r>
      <rPr>
        <sz val="7"/>
        <color theme="1" tint="0.499984740745262"/>
        <rFont val="Noto Sans"/>
        <family val="2"/>
      </rPr>
      <t xml:space="preserve"> in Wine Spectator Top 100</t>
    </r>
  </si>
  <si>
    <t>SandroneLuciano.com</t>
  </si>
  <si>
    <t>GROWER CODE: SAND</t>
  </si>
  <si>
    <t>Italy, Piedmont, Langhe - Barbaresco cellars</t>
  </si>
  <si>
    <t>ROAGNA - Barbaresco</t>
  </si>
  <si>
    <t>SERAFINO-RIVELLA</t>
  </si>
  <si>
    <t>KIND WORDS ON CASCINA LUISIN:</t>
  </si>
  <si>
    <r>
      <rPr>
        <b/>
        <sz val="7"/>
        <color theme="1" tint="0.499984740745262"/>
        <rFont val="Noto Sans"/>
        <family val="2"/>
      </rPr>
      <t>Monica Larner, TWA 2013</t>
    </r>
    <r>
      <rPr>
        <sz val="7"/>
        <color theme="1" tint="0.499984740745262"/>
        <rFont val="Noto Sans"/>
        <family val="2"/>
      </rPr>
      <t xml:space="preserve"> 'Luisin Barbaresco &amp; Barolo...turned out to be one of the best surprises of my time in the Langhe.'</t>
    </r>
  </si>
  <si>
    <r>
      <rPr>
        <b/>
        <sz val="7"/>
        <color theme="1" tint="0.499984740745262"/>
        <rFont val="Noto Sans"/>
        <family val="2"/>
      </rPr>
      <t>Monica Larner, TWA 2013</t>
    </r>
    <r>
      <rPr>
        <sz val="7"/>
        <color theme="1" tint="0.499984740745262"/>
        <rFont val="Noto Sans"/>
        <family val="2"/>
      </rPr>
      <t xml:space="preserve"> 'Cascina Luisin makes excellent Dolcetto and Barbera.'</t>
    </r>
  </si>
  <si>
    <r>
      <rPr>
        <b/>
        <sz val="7"/>
        <color theme="1" tint="0.499984740745262"/>
        <rFont val="Noto Sans"/>
        <family val="2"/>
      </rPr>
      <t>Monica Larner, TWA 2014</t>
    </r>
    <r>
      <rPr>
        <sz val="7"/>
        <color theme="1" tint="0.499984740745262"/>
        <rFont val="Noto Sans"/>
        <family val="2"/>
      </rPr>
      <t xml:space="preserve"> 'Cascina Luisin has been doing impressive work under current owner Roberto Minuto</t>
    </r>
  </si>
  <si>
    <t>'Cascina Luisin dal 1913 Barbaresco'</t>
  </si>
  <si>
    <t>CASCINA LUISIN</t>
  </si>
  <si>
    <t>by Roberto Minuto</t>
  </si>
  <si>
    <t>25LUISIN01</t>
  </si>
  <si>
    <t>Cellar at cru Rabaja, Barbaresco</t>
  </si>
  <si>
    <t>24LUISIN01</t>
  </si>
  <si>
    <t>Roberto Minuto, 8th gen. &amp; his father Luigi</t>
  </si>
  <si>
    <t>21LUISIN01</t>
  </si>
  <si>
    <t>8ha; 60% nebbiolo; average vine age &gt;50yrs</t>
  </si>
  <si>
    <t>25LUISIN02</t>
  </si>
  <si>
    <r>
      <t xml:space="preserve">very </t>
    </r>
    <r>
      <rPr>
        <b/>
        <sz val="8"/>
        <color rgb="FF00B050"/>
        <rFont val="Noto Sans"/>
        <family val="2"/>
      </rPr>
      <t>sustainable</t>
    </r>
    <r>
      <rPr>
        <sz val="8"/>
        <color theme="1" tint="0.14999847407452621"/>
        <rFont val="Noto Sans"/>
        <family val="2"/>
      </rPr>
      <t xml:space="preserve"> farming;</t>
    </r>
    <r>
      <rPr>
        <sz val="8"/>
        <color rgb="FF00B050"/>
        <rFont val="Noto Sans"/>
        <family val="2"/>
      </rPr>
      <t xml:space="preserve"> </t>
    </r>
    <r>
      <rPr>
        <b/>
        <sz val="8"/>
        <color rgb="FF00B050"/>
        <rFont val="Noto Sans"/>
        <family val="2"/>
      </rPr>
      <t>no certification</t>
    </r>
  </si>
  <si>
    <t>24LUISIN02</t>
  </si>
  <si>
    <t>cover cropping; copper sulphate &amp; sulphur;</t>
  </si>
  <si>
    <t>23LUISIN01</t>
  </si>
  <si>
    <t xml:space="preserve">ambient yeast ferment; unfined &amp; unfiltered; </t>
  </si>
  <si>
    <t>25LUISIN03</t>
  </si>
  <si>
    <t>NEBBIOLO M.O. (IN BRIEF):</t>
  </si>
  <si>
    <t>23LUISIN04</t>
  </si>
  <si>
    <t>maceration avg 60days; submerged cap in tank</t>
  </si>
  <si>
    <t>21LUISIN03</t>
  </si>
  <si>
    <t>~24mths elevage in Stockinger &amp; Slavonian botte</t>
  </si>
  <si>
    <t>25LUISIN05</t>
  </si>
  <si>
    <t>NEBBIOLO VINES &amp; WINES:</t>
  </si>
  <si>
    <t>24LUISIN06</t>
  </si>
  <si>
    <r>
      <t xml:space="preserve">PAOLIN: </t>
    </r>
    <r>
      <rPr>
        <sz val="7"/>
        <color theme="1" tint="0.499984740745262"/>
        <rFont val="Noto Sans"/>
        <family val="2"/>
      </rPr>
      <t xml:space="preserve">village blend of 3 crus, 2.5ha total: </t>
    </r>
  </si>
  <si>
    <t>23LUISIN03</t>
  </si>
  <si>
    <t xml:space="preserve">Basarin (planted 1962), Moccagatta (1982), </t>
  </si>
  <si>
    <t>22LUISIN04</t>
  </si>
  <si>
    <t>&amp; now Balluri (1962). 1st released 1990</t>
  </si>
  <si>
    <t>25LUISIN06</t>
  </si>
  <si>
    <r>
      <t>ASILI:</t>
    </r>
    <r>
      <rPr>
        <sz val="7"/>
        <color theme="1" tint="0.499984740745262"/>
        <rFont val="Noto Sans"/>
        <family val="2"/>
      </rPr>
      <t xml:space="preserve"> 0.8ha planted 1958 vv in Barbaresco,</t>
    </r>
  </si>
  <si>
    <t>25LUISIN04</t>
  </si>
  <si>
    <t>S facing, 300m, on Tortonian calcium-rich, sandy,</t>
  </si>
  <si>
    <t>24LUISIN05</t>
  </si>
  <si>
    <t>blue clay-marl. (14ha amphitheatre.) Debut 2011</t>
  </si>
  <si>
    <t>24LUISIN04</t>
  </si>
  <si>
    <r>
      <t xml:space="preserve">RABAJA: </t>
    </r>
    <r>
      <rPr>
        <sz val="7"/>
        <color theme="1" tint="0.499984740745262"/>
        <rFont val="Noto Sans"/>
        <family val="2"/>
      </rPr>
      <t>1ha planted 1969 in Barbaresco, SW</t>
    </r>
  </si>
  <si>
    <t>23LUISIN02</t>
  </si>
  <si>
    <t>facing, average 310m, terroir grey marne clay</t>
  </si>
  <si>
    <t>22LUISIN03</t>
  </si>
  <si>
    <r>
      <t>LEON:</t>
    </r>
    <r>
      <rPr>
        <sz val="7"/>
        <color theme="1" tint="0.499984740745262"/>
        <rFont val="Noto Sans"/>
        <family val="2"/>
      </rPr>
      <t xml:space="preserve"> (cuvée name) 1.5ha mature 1975 vines in</t>
    </r>
  </si>
  <si>
    <t>22LUISIN02</t>
  </si>
  <si>
    <t>Ceretta in Serralunga d'Alba, leased since 2001</t>
  </si>
  <si>
    <t>BARBARESCO RISERVA:</t>
  </si>
  <si>
    <r>
      <t>RISERVA:</t>
    </r>
    <r>
      <rPr>
        <sz val="7"/>
        <color theme="1" tint="0.499984740745262"/>
        <rFont val="Noto Sans"/>
        <family val="2"/>
      </rPr>
      <t xml:space="preserve"> made in top years only. Blended from</t>
    </r>
  </si>
  <si>
    <t>24LUISIN07</t>
  </si>
  <si>
    <t>Asili, Balluri, Basarin, Moccagatta, Rabaja (&amp; bas)</t>
  </si>
  <si>
    <t>23LUISIN06</t>
  </si>
  <si>
    <t>BARBERA VINES &amp; WINES:</t>
  </si>
  <si>
    <t>BAROLO CRU CERETTA, SERRALUNGA:</t>
  </si>
  <si>
    <r>
      <rPr>
        <b/>
        <sz val="7"/>
        <color theme="1" tint="0.499984740745262"/>
        <rFont val="Noto Sans"/>
        <family val="2"/>
      </rPr>
      <t>MAGGIUR:</t>
    </r>
    <r>
      <rPr>
        <sz val="7"/>
        <color theme="1" tint="0.499984740745262"/>
        <rFont val="Noto Sans"/>
        <family val="2"/>
      </rPr>
      <t xml:space="preserve"> 2ha planted ~1930, San Rocco d'Elvio</t>
    </r>
  </si>
  <si>
    <t>25LUISIN08</t>
  </si>
  <si>
    <t>south facing, 300m, raised 1yr in botte grande</t>
  </si>
  <si>
    <t>24LUISIN08</t>
  </si>
  <si>
    <r>
      <rPr>
        <b/>
        <sz val="7"/>
        <color theme="1" tint="0.499984740745262"/>
        <rFont val="Noto Sans"/>
        <family val="2"/>
      </rPr>
      <t>AXILIUM:</t>
    </r>
    <r>
      <rPr>
        <sz val="7"/>
        <color theme="1" tint="0.499984740745262"/>
        <rFont val="Noto Sans"/>
        <family val="2"/>
      </rPr>
      <t xml:space="preserve"> 0.5ha planted 1947 vv at Asili. 320m,</t>
    </r>
  </si>
  <si>
    <t>23LUISIN05</t>
  </si>
  <si>
    <t>E facing, raised 20mths in 1hl tonneaux</t>
  </si>
  <si>
    <t>21LUISIN06</t>
  </si>
  <si>
    <t>14LUISIN01TB</t>
  </si>
  <si>
    <t>2018 purchase of Barbaresco Balluri</t>
  </si>
  <si>
    <t>2002 &amp; 2014 vintages that called for other treatment</t>
  </si>
  <si>
    <t>2001 Barolo Serralunga vines leased; 1st Barolo</t>
  </si>
  <si>
    <t>1998 end of using selected yeast, fining &amp; filtering</t>
  </si>
  <si>
    <t>1994 1st purchase of Stockinger large casks/botte</t>
  </si>
  <si>
    <r>
      <t xml:space="preserve">1990s move to </t>
    </r>
    <r>
      <rPr>
        <b/>
        <sz val="7"/>
        <color rgb="FF00B050"/>
        <rFont val="Noto Sans"/>
        <family val="2"/>
      </rPr>
      <t>sustainable</t>
    </r>
    <r>
      <rPr>
        <sz val="7"/>
        <color theme="1" tint="0.499984740745262"/>
        <rFont val="Noto Sans"/>
        <family val="2"/>
      </rPr>
      <t xml:space="preserve"> viticulture</t>
    </r>
  </si>
  <si>
    <t>1990s rotoformerntor trial era (abandonned)</t>
  </si>
  <si>
    <t>1995 Roberto 8th gen. joins</t>
  </si>
  <si>
    <t>1990 1st release of Barbaresco (Sori) Paolin</t>
  </si>
  <si>
    <t>1980s 1st cru bottling from Rabaja</t>
  </si>
  <si>
    <t>1974 Roberto 8th gen. is born</t>
  </si>
  <si>
    <t>1952 sons Mario &amp; Lorenzo split: latter keeps cellar</t>
  </si>
  <si>
    <t>1930 oldest vines planted, barbera d'Alba Maggiur</t>
  </si>
  <si>
    <t>1913 Luigi Minuto ('Luisin') is 2nd to bottle Barbaresco</t>
  </si>
  <si>
    <t>1860s deep past, selling wine in demijohns in Turin</t>
  </si>
  <si>
    <t>CascinaLuisin.it</t>
  </si>
  <si>
    <t>instagram.com/CascinaLuisin/</t>
  </si>
  <si>
    <t>GROWER CODE: LUISIN</t>
  </si>
  <si>
    <t>fiche by Roberto Minuto &amp; David, 2022</t>
  </si>
  <si>
    <t>KIND WORDS ON CECILIA MONTE:</t>
  </si>
  <si>
    <r>
      <rPr>
        <b/>
        <sz val="7"/>
        <color theme="1" tint="0.499984740745262"/>
        <rFont val="Noto Sans"/>
        <family val="2"/>
      </rPr>
      <t xml:space="preserve">Galloni, Vinous, Oct.2018 </t>
    </r>
    <r>
      <rPr>
        <sz val="7"/>
        <color theme="1" tint="0.499984740745262"/>
        <rFont val="Noto Sans"/>
        <family val="2"/>
      </rPr>
      <t>'Readers looking for an emerging star in Piedmont will want to check out the wines immediately.'</t>
    </r>
  </si>
  <si>
    <t>'Viticultrice in Neive'</t>
  </si>
  <si>
    <t>CECILIA MONTE</t>
  </si>
  <si>
    <t>WHITE VARIETALS:</t>
  </si>
  <si>
    <r>
      <t xml:space="preserve">Neive, Barbaresco. 3.5ha </t>
    </r>
    <r>
      <rPr>
        <b/>
        <sz val="8"/>
        <color rgb="FF00B050"/>
        <rFont val="Noto Sans"/>
        <family val="2"/>
      </rPr>
      <t>sustainable</t>
    </r>
    <r>
      <rPr>
        <sz val="8"/>
        <color theme="1" tint="0.14999847407452621"/>
        <rFont val="Noto Sans"/>
        <family val="2"/>
      </rPr>
      <t xml:space="preserve"> vines</t>
    </r>
  </si>
  <si>
    <t>22CMONTE04</t>
  </si>
  <si>
    <t>Founded 2000 on old family estate, @ 300m</t>
  </si>
  <si>
    <t>22CMONTE05</t>
  </si>
  <si>
    <t>Cecilia was at Sandrone until 2000; her father</t>
  </si>
  <si>
    <t xml:space="preserve">Dr.Paolo worked the vines at the weekend </t>
  </si>
  <si>
    <t>22CMONTE03</t>
  </si>
  <si>
    <t>18CMONTE01</t>
  </si>
  <si>
    <r>
      <rPr>
        <b/>
        <sz val="7"/>
        <color theme="1" tint="0.499984740745262"/>
        <rFont val="Noto Sans"/>
        <family val="2"/>
      </rPr>
      <t xml:space="preserve">dolcetto </t>
    </r>
    <r>
      <rPr>
        <sz val="7"/>
        <color theme="1" tint="0.499984740745262"/>
        <rFont val="Noto Sans"/>
        <family val="2"/>
      </rPr>
      <t>is tank raised, at lower alcohol levels</t>
    </r>
  </si>
  <si>
    <t>17CMONTE01</t>
  </si>
  <si>
    <r>
      <rPr>
        <b/>
        <sz val="7"/>
        <color theme="1" tint="0.499984740745262"/>
        <rFont val="Noto Sans"/>
        <family val="2"/>
      </rPr>
      <t>barbera</t>
    </r>
    <r>
      <rPr>
        <sz val="7"/>
        <color theme="1" tint="0.499984740745262"/>
        <rFont val="Noto Sans"/>
        <family val="2"/>
      </rPr>
      <t xml:space="preserve"> is ~50yr vines, raised in used casks</t>
    </r>
  </si>
  <si>
    <t>20CMONTE04</t>
  </si>
  <si>
    <r>
      <rPr>
        <b/>
        <sz val="7"/>
        <color theme="1" tint="0.499984740745262"/>
        <rFont val="Noto Sans"/>
        <family val="2"/>
      </rPr>
      <t>Barbaresco Serracapelli</t>
    </r>
    <r>
      <rPr>
        <sz val="7"/>
        <color theme="1" tint="0.499984740745262"/>
        <rFont val="Noto Sans"/>
        <family val="2"/>
      </rPr>
      <t xml:space="preserve"> has ~10days mac.</t>
    </r>
  </si>
  <si>
    <t>with pumpovers, elevage in seasoned small casks</t>
  </si>
  <si>
    <t>22CMONTE02</t>
  </si>
  <si>
    <r>
      <rPr>
        <b/>
        <sz val="7"/>
        <color theme="1" tint="0.499984740745262"/>
        <rFont val="Noto Sans"/>
        <family val="2"/>
      </rPr>
      <t>Dedicato a Paolo</t>
    </r>
    <r>
      <rPr>
        <sz val="7"/>
        <color theme="1" tint="0.499984740745262"/>
        <rFont val="Noto Sans"/>
        <family val="2"/>
      </rPr>
      <t xml:space="preserve"> Paolo's original 1956 VV planting </t>
    </r>
  </si>
  <si>
    <t>19CMONTE02</t>
  </si>
  <si>
    <t>at Serracapelli. 1st vintage 2011</t>
  </si>
  <si>
    <t>22CMONTE01</t>
  </si>
  <si>
    <t>CeciliaMonte.it</t>
  </si>
  <si>
    <t>20CMONTE05</t>
  </si>
  <si>
    <t>GROWER CODE: CMONTE</t>
  </si>
  <si>
    <t>19CMONTE04</t>
  </si>
  <si>
    <t>17CMONTE01MG</t>
  </si>
  <si>
    <t>20CMONTE03MG</t>
  </si>
  <si>
    <r>
      <rPr>
        <b/>
        <i/>
        <sz val="7"/>
        <color theme="1" tint="0.499984740745262"/>
        <rFont val="Noto Sans"/>
        <family val="2"/>
      </rPr>
      <t>Dedicato a Paolo. '</t>
    </r>
    <r>
      <rPr>
        <i/>
        <sz val="7"/>
        <color theme="1" tint="0.499984740745262"/>
        <rFont val="Noto Sans"/>
        <family val="2"/>
      </rPr>
      <t>Serracapelli is a cru in the village of Neive, nestled in the northernmost</t>
    </r>
  </si>
  <si>
    <t>strip of the Barbaresco denominazione. This place full of contrasts and charm, as only border</t>
  </si>
  <si>
    <t>country can evoke, timelessly links the love of my father Paolo for the Langhe hills and for wine.</t>
  </si>
  <si>
    <t xml:space="preserve">One parcel of vines in particular struck us in many vintages, to the point that we always harvested </t>
  </si>
  <si>
    <t xml:space="preserve">it in isolation, imagining that one day it would give us another expression of Serracapelli. That day </t>
  </si>
  <si>
    <t>arrived with the 2011 vintage. The name of this new wine could only be my tribute to the person</t>
  </si>
  <si>
    <t>who made me discover so much beauty: it is 'Dedicated to Paolo', my father.'</t>
  </si>
  <si>
    <r>
      <rPr>
        <b/>
        <sz val="7"/>
        <color theme="1" tint="0.499984740745262"/>
        <rFont val="Noto Sans"/>
        <family val="2"/>
      </rPr>
      <t xml:space="preserve">Runchet: </t>
    </r>
    <r>
      <rPr>
        <sz val="7"/>
        <color theme="1" tint="0.499984740745262"/>
        <rFont val="Noto Sans"/>
        <family val="2"/>
      </rPr>
      <t>'Our philosophy, it is to use the traditional ways of winemaking.'</t>
    </r>
  </si>
  <si>
    <t>RUNCHET, Az.Agr.</t>
  </si>
  <si>
    <t>LANGHE VARIETALS - WHITE:</t>
  </si>
  <si>
    <t>Beatrice Bongiovanni &amp; Andrea Danusso</t>
  </si>
  <si>
    <t>24RUNCHET01HF</t>
  </si>
  <si>
    <t>Treiso, Barbaresco. 7ha vines</t>
  </si>
  <si>
    <t>24RUNCHET01</t>
  </si>
  <si>
    <t>Sustainable certified SQNPI</t>
  </si>
  <si>
    <t>23RUNCHET01</t>
  </si>
  <si>
    <t>18RUNCHET05</t>
  </si>
  <si>
    <t>reds: ambient yeast; ~30mg/l SO2</t>
  </si>
  <si>
    <t>17RUNCHET01</t>
  </si>
  <si>
    <t>label designed by Tilla</t>
  </si>
  <si>
    <t>LANGHE VARIETALS - RED:</t>
  </si>
  <si>
    <t>19RUNCHET03</t>
  </si>
  <si>
    <t>2012 label founded in Beatrice's family cellar</t>
  </si>
  <si>
    <t>18RUNCHET03</t>
  </si>
  <si>
    <t>2010 Beatrice &amp; Andrea work in Oceania wineries</t>
  </si>
  <si>
    <t>16RUNCHET03</t>
  </si>
  <si>
    <t xml:space="preserve">1950s grandpa Francesco plants all to Moscato </t>
  </si>
  <si>
    <t>23RUNCHET03</t>
  </si>
  <si>
    <t>Runchet.it</t>
  </si>
  <si>
    <t>19RUNCHET04</t>
  </si>
  <si>
    <t>18RUNCHET02</t>
  </si>
  <si>
    <t>GROWER CODE: RUNCHET</t>
  </si>
  <si>
    <t>23RUNCHET02</t>
  </si>
  <si>
    <t>22RUNCHET03</t>
  </si>
  <si>
    <t>19RUNCHET05</t>
  </si>
  <si>
    <t>18RUNCHET01</t>
  </si>
  <si>
    <t>22RUNCHET02</t>
  </si>
  <si>
    <t>17RUNCHET03</t>
  </si>
  <si>
    <t>16RUNCHET04</t>
  </si>
  <si>
    <t>19RUNCHET02MG</t>
  </si>
  <si>
    <t>KIND WORDS ON SERAFINO-RIVELLA:</t>
  </si>
  <si>
    <r>
      <rPr>
        <b/>
        <sz val="7"/>
        <color theme="1" tint="0.499984740745262"/>
        <rFont val="Noto Sans"/>
        <family val="2"/>
      </rPr>
      <t>Slow Wine Guide 2018</t>
    </r>
    <r>
      <rPr>
        <sz val="7"/>
        <color theme="1" tint="0.499984740745262"/>
        <rFont val="Noto Sans"/>
        <family val="2"/>
      </rPr>
      <t xml:space="preserve"> 'the quintessence of Langa simplicity, in which family dimension and rural modesty...give life to outstanding wines.'</t>
    </r>
  </si>
  <si>
    <r>
      <rPr>
        <b/>
        <sz val="7"/>
        <color theme="1" tint="0.499984740745262"/>
        <rFont val="Noto Sans"/>
        <family val="2"/>
      </rPr>
      <t>Slow Wine Guide 2016</t>
    </r>
    <r>
      <rPr>
        <sz val="7"/>
        <color theme="1" tint="0.499984740745262"/>
        <rFont val="Noto Sans"/>
        <family val="2"/>
      </rPr>
      <t xml:space="preserve"> 'being welcomed into their indestructible sphere of classicism and industry is just like crossing the threshhold of one's own home.'</t>
    </r>
  </si>
  <si>
    <r>
      <rPr>
        <b/>
        <sz val="7"/>
        <color theme="1" tint="0.499984740745262"/>
        <rFont val="Noto Sans"/>
        <family val="2"/>
      </rPr>
      <t>Slow Wine Guide 2014</t>
    </r>
    <r>
      <rPr>
        <sz val="7"/>
        <color theme="1" tint="0.499984740745262"/>
        <rFont val="Noto Sans"/>
        <family val="2"/>
      </rPr>
      <t xml:space="preserve"> 'Low stats but high standards when it comes to farm management and wine quality.'</t>
    </r>
  </si>
  <si>
    <r>
      <rPr>
        <b/>
        <sz val="7"/>
        <color theme="1" tint="0.499984740745262"/>
        <rFont val="Noto Sans"/>
        <family val="2"/>
      </rPr>
      <t>Slow Wine Guide 2013</t>
    </r>
    <r>
      <rPr>
        <sz val="7"/>
        <color theme="1" tint="0.499984740745262"/>
        <rFont val="Noto Sans"/>
        <family val="2"/>
      </rPr>
      <t xml:space="preserve"> 'A "weding cake" of a cellar with a laid-back approach and a single aim: to make wines with a sense of place.'</t>
    </r>
  </si>
  <si>
    <t>SERAFINO RIVELLA</t>
  </si>
  <si>
    <t>20RIVELLA01</t>
  </si>
  <si>
    <t>Barbaresco. Teobaldo Rivella &amp; Maria Musso</t>
  </si>
  <si>
    <t>19RIVELLA01</t>
  </si>
  <si>
    <t>2ha Montestefano planted 1963; 1st yr 1967</t>
  </si>
  <si>
    <t>ambient yeast ferment; botte grande</t>
  </si>
  <si>
    <t>Slow Wine 2012-18, 'Snail' Award</t>
  </si>
  <si>
    <t>GROWER CODE: RIVELLA</t>
  </si>
  <si>
    <r>
      <t xml:space="preserve">Logo: </t>
    </r>
    <r>
      <rPr>
        <sz val="7"/>
        <color theme="1" tint="0.499984740745262"/>
        <rFont val="Noto Sans"/>
        <family val="2"/>
      </rPr>
      <t>citra flumen et ultra - 'across the river &amp; beyond'</t>
    </r>
  </si>
  <si>
    <t>SOCRÉ</t>
  </si>
  <si>
    <t>METHODE TRADITIONELLE / METODO CLASSICO</t>
  </si>
  <si>
    <t xml:space="preserve">Barbaresco. Piacentino family. </t>
  </si>
  <si>
    <t>21SOCRE07</t>
  </si>
  <si>
    <t>20ha total estate, 11ha vines today</t>
  </si>
  <si>
    <t>olive trees also grown</t>
  </si>
  <si>
    <t>22SOCRE01</t>
  </si>
  <si>
    <t>19SOCRE04</t>
  </si>
  <si>
    <t>ambient yeast, usually infined, unfiltered</t>
  </si>
  <si>
    <t>19SOCRE04MG</t>
  </si>
  <si>
    <t>KEY VINEYARD SITES:</t>
  </si>
  <si>
    <t>23SOCRE01</t>
  </si>
  <si>
    <r>
      <rPr>
        <b/>
        <sz val="7"/>
        <color theme="1" tint="0.499984740745262"/>
        <rFont val="Noto Sans"/>
        <family val="2"/>
      </rPr>
      <t>Barbaresco Roncaglie</t>
    </r>
    <r>
      <rPr>
        <sz val="7"/>
        <color theme="1" tint="0.499984740745262"/>
        <rFont val="Noto Sans"/>
        <family val="2"/>
      </rPr>
      <t xml:space="preserve"> 3ha, nebbiolo only</t>
    </r>
  </si>
  <si>
    <t>22SOCRE05</t>
  </si>
  <si>
    <t>South to West facing, 250-290m altitude, on clay</t>
  </si>
  <si>
    <t>21SOCRE03</t>
  </si>
  <si>
    <r>
      <rPr>
        <b/>
        <sz val="7"/>
        <color theme="1" tint="0.499984740745262"/>
        <rFont val="Noto Sans"/>
        <family val="2"/>
      </rPr>
      <t xml:space="preserve">Alba </t>
    </r>
    <r>
      <rPr>
        <sz val="7"/>
        <color theme="1" tint="0.499984740745262"/>
        <rFont val="Noto Sans"/>
        <family val="2"/>
      </rPr>
      <t>1ha South (top East), dolcetto barbera nebb.</t>
    </r>
  </si>
  <si>
    <t>23SOCRE02</t>
  </si>
  <si>
    <r>
      <rPr>
        <b/>
        <sz val="7"/>
        <color theme="1" tint="0.499984740745262"/>
        <rFont val="Noto Sans"/>
        <family val="2"/>
      </rPr>
      <t>Cisterna d'Asti</t>
    </r>
    <r>
      <rPr>
        <sz val="7"/>
        <color theme="1" tint="0.499984740745262"/>
        <rFont val="Noto Sans"/>
        <family val="2"/>
      </rPr>
      <t xml:space="preserve"> 2ha 240-270m, compact sands</t>
    </r>
  </si>
  <si>
    <t>21SOCRE06</t>
  </si>
  <si>
    <t>20SOCRE07</t>
  </si>
  <si>
    <t>ELEVAGE:</t>
  </si>
  <si>
    <t>19SOCRE02</t>
  </si>
  <si>
    <r>
      <t>Barbaresco</t>
    </r>
    <r>
      <rPr>
        <sz val="7"/>
        <color theme="1" tint="0.499984740745262"/>
        <rFont val="Noto Sans"/>
        <family val="2"/>
      </rPr>
      <t xml:space="preserve"> 18mths used futs, then cement</t>
    </r>
  </si>
  <si>
    <t>18SOCRE03</t>
  </si>
  <si>
    <r>
      <t xml:space="preserve">B.Roncaglie </t>
    </r>
    <r>
      <rPr>
        <sz val="7"/>
        <color theme="1" tint="0.499984740745262"/>
        <rFont val="Noto Sans"/>
        <family val="2"/>
      </rPr>
      <t>12-15mths futs, 12mths 20hl botte</t>
    </r>
  </si>
  <si>
    <t>22SOCRE03</t>
  </si>
  <si>
    <t>23SOCRE04</t>
  </si>
  <si>
    <t>2011 sons Giulio and Lorenzo join</t>
  </si>
  <si>
    <t>22SOCRE06</t>
  </si>
  <si>
    <t>2010 - 2012 new cellar constructed</t>
  </si>
  <si>
    <t>20SOCRE04</t>
  </si>
  <si>
    <t>1990 son Marco &amp; wife Rosella join</t>
  </si>
  <si>
    <t>23SOCRE03</t>
  </si>
  <si>
    <t>1958 Benedetto overhauls farm, starts winemaking</t>
  </si>
  <si>
    <t>1869 farm is started</t>
  </si>
  <si>
    <t>22SOCRE05MG</t>
  </si>
  <si>
    <t>Socre.it</t>
  </si>
  <si>
    <t>20SOCRE03MG</t>
  </si>
  <si>
    <t>GROWER CODE: SOCRE</t>
  </si>
  <si>
    <t>21SOCRE06MG</t>
  </si>
  <si>
    <t>22SOCRE06MG</t>
  </si>
  <si>
    <t>Italy, Piedmont - Gattinara, Alto Piemonte</t>
  </si>
  <si>
    <t>GALLONI ON CONTERNO-NERVI:</t>
  </si>
  <si>
    <r>
      <rPr>
        <b/>
        <sz val="7"/>
        <color theme="1" tint="0.499984740745262"/>
        <rFont val="Noto Sans"/>
        <family val="2"/>
      </rPr>
      <t>Galloni, 2020</t>
    </r>
    <r>
      <rPr>
        <sz val="7"/>
        <color theme="1" tint="0.499984740745262"/>
        <rFont val="Noto Sans"/>
        <family val="2"/>
      </rPr>
      <t xml:space="preserve"> 'Roberto Conterno continues to take Nervi to new heights.'</t>
    </r>
  </si>
  <si>
    <r>
      <rPr>
        <b/>
        <sz val="7"/>
        <color theme="1" tint="0.499984740745262"/>
        <rFont val="Noto Sans"/>
        <family val="2"/>
      </rPr>
      <t>Galloni, 2020</t>
    </r>
    <r>
      <rPr>
        <sz val="7"/>
        <color theme="1" tint="0.499984740745262"/>
        <rFont val="Noto Sans"/>
        <family val="2"/>
      </rPr>
      <t xml:space="preserve"> 'I can't say I am surprised by the level of quality. Conterno has taken his maniacal attention to detail and the best practices he has</t>
    </r>
  </si>
  <si>
    <t>developed at his Giacomo Conterno estate in Serralunga and applied them at Nervi. The results speak for themselves.'</t>
  </si>
  <si>
    <r>
      <rPr>
        <b/>
        <sz val="7"/>
        <color theme="1" tint="0.499984740745262"/>
        <rFont val="Noto Sans"/>
        <family val="2"/>
      </rPr>
      <t>Galloni, 2020</t>
    </r>
    <r>
      <rPr>
        <sz val="7"/>
        <color theme="1" tint="0.499984740745262"/>
        <rFont val="Noto Sans"/>
        <family val="2"/>
      </rPr>
      <t xml:space="preserve"> 'I visited just a few months after the purchase was complete and Conterno had already added temperature control to the cellar. Since then,</t>
    </r>
  </si>
  <si>
    <t>Conterno has built a new winery and added the same state of the art bottling line he has at Giacomo Conterno.'</t>
  </si>
  <si>
    <r>
      <rPr>
        <b/>
        <sz val="7"/>
        <color theme="1" tint="0.499984740745262"/>
        <rFont val="Noto Sans"/>
        <family val="2"/>
      </rPr>
      <t xml:space="preserve">Galloni, 2018 </t>
    </r>
    <r>
      <rPr>
        <sz val="7"/>
        <color theme="1" tint="0.499984740745262"/>
        <rFont val="Noto Sans"/>
        <family val="2"/>
      </rPr>
      <t>'Roberto Conterno's recent acquisition of Nervi is sure to shake things up in sleepy Gattinara.'</t>
    </r>
  </si>
  <si>
    <r>
      <rPr>
        <b/>
        <sz val="7"/>
        <color theme="1" tint="0.499984740745262"/>
        <rFont val="Noto Sans"/>
        <family val="2"/>
      </rPr>
      <t xml:space="preserve">Galloni, 2018 </t>
    </r>
    <r>
      <rPr>
        <sz val="7"/>
        <color theme="1" tint="0.499984740745262"/>
        <rFont val="Noto Sans"/>
        <family val="2"/>
      </rPr>
      <t>'For Gattinara, the arrival of the most prestigious producer in Italy is clearly a huge positive.'</t>
    </r>
  </si>
  <si>
    <t>RAEBURN WINES WERE SOLE UK AGENTS UNTIL 2018</t>
  </si>
  <si>
    <t>NB CONTERNO-NERVI GATTINARA ARE AVAILABLE FOR EXISTING NERVI CLIENTS</t>
  </si>
  <si>
    <t>CONTERNO-NERVI</t>
  </si>
  <si>
    <t>(ex-CANTINA NERVI)</t>
  </si>
  <si>
    <t>15NERVI07TB</t>
  </si>
  <si>
    <t>GATTINARA:</t>
  </si>
  <si>
    <t>Gattinara, 28.5ha vines. Roberto Conterno</t>
  </si>
  <si>
    <t>of Giacomo Conterno, with the Astrup family</t>
  </si>
  <si>
    <t>Gattinara cru Valferana</t>
  </si>
  <si>
    <r>
      <rPr>
        <b/>
        <sz val="8"/>
        <color rgb="FF00B050"/>
        <rFont val="Noto Sans"/>
        <family val="2"/>
      </rPr>
      <t>sustainable</t>
    </r>
    <r>
      <rPr>
        <sz val="8"/>
        <color theme="1" tint="0.14999847407452621"/>
        <rFont val="Noto Sans"/>
        <family val="2"/>
      </rPr>
      <t>. All reds &amp; the rosé are nebbiolo</t>
    </r>
  </si>
  <si>
    <t>Gattinara cru Molsino</t>
  </si>
  <si>
    <t>ambient yeast. Swiss/Austrian botte of 10-50hl</t>
  </si>
  <si>
    <t>GATTINARA EN MAGNUM:</t>
  </si>
  <si>
    <t>incl.5.6ha new plantings of massale/diverse clones</t>
  </si>
  <si>
    <t>Gattinara MAGS</t>
  </si>
  <si>
    <t>150/6</t>
  </si>
  <si>
    <t>Gattinara cru Valferana MAGS</t>
  </si>
  <si>
    <t>Rosé is young vine nebbiolo</t>
  </si>
  <si>
    <t>Gattinara cru Molsino MAGS</t>
  </si>
  <si>
    <t>Gattinara village &amp; crus now see 32-36mths botte</t>
  </si>
  <si>
    <t>GATTINARA 300CL JEROS:</t>
  </si>
  <si>
    <t>KEY GATTINARA VINEYARDS:</t>
  </si>
  <si>
    <t>300/1</t>
  </si>
  <si>
    <t>Molsino(14.6ha), Valferana(4.4ha), Ronco(0.5ha jv)</t>
  </si>
  <si>
    <t>Garavoglie (3.9ha y/v), Castelle (0.9ha to plant)</t>
  </si>
  <si>
    <t>2019 Gattinara 2015 in Wine Spectator Top 100</t>
  </si>
  <si>
    <t>ROBERTO CONTERNO ON CONTERNO-NERVI:</t>
  </si>
  <si>
    <t>2018 vintage, label changes to Conterno-Nervi</t>
  </si>
  <si>
    <r>
      <rPr>
        <b/>
        <sz val="7"/>
        <color theme="1" tint="0.499984740745262"/>
        <rFont val="Noto Sans"/>
        <family val="2"/>
      </rPr>
      <t>2018</t>
    </r>
    <r>
      <rPr>
        <sz val="7"/>
        <color theme="1" tint="0.499984740745262"/>
        <rFont val="Noto Sans"/>
        <family val="2"/>
      </rPr>
      <t xml:space="preserve"> (On purchasing Nervi) 'I did something totally crazy. It doesn’t seem real. If you love Nebbiolo, that means</t>
    </r>
  </si>
  <si>
    <t>2018 purchased by Roberto Conterno of Barolo</t>
  </si>
  <si>
    <t>you love all the areas where Nebbiolo grows. The Nervi property has a half hectare of forest, and the Vigna Molsino</t>
  </si>
  <si>
    <t>2016 cru Ronco replanted to Chiavannasca clones</t>
  </si>
  <si>
    <t xml:space="preserve">sits in a little amphitheater of hills. (On the potential of Gattinara:) I’m not sure yet, but I should be able to answer </t>
  </si>
  <si>
    <t>2015 2.6ha cru Valferana &amp; 0.5ha cru Ronco bought</t>
  </si>
  <si>
    <t>that question in four or five years. What I do know is that these wines can age up to 45 years, thanks to their</t>
  </si>
  <si>
    <t>2011 Norwegian consortium purchase Nervi, 24.5ha</t>
  </si>
  <si>
    <t>structure and freshness. Maybe the only thing Gattinara lacks now is confidence. I will not change the style of</t>
  </si>
  <si>
    <t>1992/6 5ha amphitheatre of Molsino planted</t>
  </si>
  <si>
    <t>these wines. Instead, I hope to learn from these wines. My goal is to bring Gattinara to important new heights.'</t>
  </si>
  <si>
    <t>1982 enologist Enrico Fileppo joins</t>
  </si>
  <si>
    <t>pre-1973 1ha of VV in Garavoglie planted</t>
  </si>
  <si>
    <t>1973 current viticulturist Ettore Bornatesince joins</t>
  </si>
  <si>
    <t>1919 shop and current cellars purchased</t>
  </si>
  <si>
    <t>1906 founded by brother in law of Luigi Nervi</t>
  </si>
  <si>
    <t>Slow Wine 2014, 'Snail' Award</t>
  </si>
  <si>
    <t>Slow Wine 2013, 2015-16 'Bottle' Award</t>
  </si>
  <si>
    <t>NerviCantine.it</t>
  </si>
  <si>
    <t>NB OLD PHOTOS AND MAPS AVAIL.</t>
  </si>
  <si>
    <t>GROWER CODE: NERVI</t>
  </si>
  <si>
    <t>KIND WORDS ON PETTERINO:</t>
  </si>
  <si>
    <r>
      <rPr>
        <b/>
        <sz val="7"/>
        <color theme="1" tint="0.499984740745262"/>
        <rFont val="Noto Sans"/>
        <family val="2"/>
      </rPr>
      <t>Franco Ziliani, 2010</t>
    </r>
    <r>
      <rPr>
        <sz val="7"/>
        <color theme="1" tint="0.499984740745262"/>
        <rFont val="Noto Sans"/>
        <family val="2"/>
      </rPr>
      <t xml:space="preserve"> 'I can only tell of my surprise and my naive happiness for having come across (this)'</t>
    </r>
  </si>
  <si>
    <r>
      <rPr>
        <b/>
        <sz val="7"/>
        <color theme="1" tint="0.499984740745262"/>
        <rFont val="Noto Sans"/>
        <family val="2"/>
      </rPr>
      <t>Franco Ziliani, 2010</t>
    </r>
    <r>
      <rPr>
        <sz val="7"/>
        <color theme="1" tint="0.499984740745262"/>
        <rFont val="Noto Sans"/>
        <family val="2"/>
      </rPr>
      <t xml:space="preserve"> 'a Gattinara full of poetry, nicely old fashioned, reassuring...Marco Petterino's.'</t>
    </r>
  </si>
  <si>
    <r>
      <rPr>
        <b/>
        <sz val="7"/>
        <color theme="1" tint="0.499984740745262"/>
        <rFont val="Noto Sans"/>
        <family val="2"/>
      </rPr>
      <t>Franco Ziliani, 2010</t>
    </r>
    <r>
      <rPr>
        <sz val="7"/>
        <color theme="1" tint="0.499984740745262"/>
        <rFont val="Noto Sans"/>
        <family val="2"/>
      </rPr>
      <t xml:space="preserve"> 'Wines that struck me and almost moved me'</t>
    </r>
  </si>
  <si>
    <r>
      <rPr>
        <b/>
        <sz val="7"/>
        <color theme="1" tint="0.499984740745262"/>
        <rFont val="Noto Sans"/>
        <family val="2"/>
      </rPr>
      <t>Franco Ziliani, 2010</t>
    </r>
    <r>
      <rPr>
        <sz val="7"/>
        <color theme="1" tint="0.499984740745262"/>
        <rFont val="Noto Sans"/>
        <family val="2"/>
      </rPr>
      <t xml:space="preserve"> 'there is still salvation and hope in this world of wine thanks to beautiful people and outspoken winegrowers and winemakers,</t>
    </r>
  </si>
  <si>
    <t>children of another time and another civilization, like him (Petterino)'</t>
  </si>
  <si>
    <t>PETTERINO, MARCO</t>
  </si>
  <si>
    <t>Gattinara. 2.5ha vines, SW facing, in crus:</t>
  </si>
  <si>
    <t>24PMARCO02</t>
  </si>
  <si>
    <t>Permolone, Castelle, Guardie. 100% nebbiolo</t>
  </si>
  <si>
    <t>23PMARCO03</t>
  </si>
  <si>
    <t>brothers Marco &amp; Giancarlo Petterino</t>
  </si>
  <si>
    <t>23PMARCO02</t>
  </si>
  <si>
    <r>
      <t xml:space="preserve">~15 days maceration; </t>
    </r>
    <r>
      <rPr>
        <i/>
        <sz val="8"/>
        <color theme="1" tint="0.14999847407452621"/>
        <rFont val="Noto Sans"/>
        <family val="2"/>
      </rPr>
      <t>long</t>
    </r>
    <r>
      <rPr>
        <sz val="8"/>
        <color theme="1" tint="0.14999847407452621"/>
        <rFont val="Noto Sans"/>
        <family val="2"/>
      </rPr>
      <t xml:space="preserve"> elevage in</t>
    </r>
  </si>
  <si>
    <t>23PMARCO01</t>
  </si>
  <si>
    <t>25hl botte, then 6mths in tank before bottling</t>
  </si>
  <si>
    <r>
      <rPr>
        <i/>
        <sz val="8"/>
        <color theme="1" tint="0.14999847407452621"/>
        <rFont val="Noto Sans"/>
        <family val="2"/>
      </rPr>
      <t>generally</t>
    </r>
    <r>
      <rPr>
        <sz val="8"/>
        <color theme="1" tint="0.14999847407452621"/>
        <rFont val="Noto Sans"/>
        <family val="2"/>
      </rPr>
      <t xml:space="preserve"> first released @ 7-10yrs old</t>
    </r>
  </si>
  <si>
    <t>23PMARCO03MG</t>
  </si>
  <si>
    <t>23PMARCO02MG</t>
  </si>
  <si>
    <t>Bacchus drawing on the label</t>
  </si>
  <si>
    <t>GATTINARA EN 300cl JERO:</t>
  </si>
  <si>
    <t>23PMARCO03JB</t>
  </si>
  <si>
    <t>2007 1st use of Riserva designation</t>
  </si>
  <si>
    <t>1982 1st vintage of labelled wine</t>
  </si>
  <si>
    <t>1908 grandfather replants the vineyards</t>
  </si>
  <si>
    <t>NO WEBSITE, NO EMAIL</t>
  </si>
  <si>
    <t>GROWER CODE: PMARCO</t>
  </si>
  <si>
    <t>Italy, Piedmont</t>
  </si>
  <si>
    <t>Tortona, Gavi, Monferrato, Pinerolese, etc.</t>
  </si>
  <si>
    <r>
      <rPr>
        <b/>
        <sz val="7"/>
        <color theme="1" tint="0.499984740745262"/>
        <rFont val="Noto Sans"/>
        <family val="2"/>
      </rPr>
      <t xml:space="preserve">Slow Wine Guide 2017 </t>
    </r>
    <r>
      <rPr>
        <sz val="7"/>
        <color theme="1" tint="0.499984740745262"/>
        <rFont val="Noto Sans"/>
        <family val="2"/>
      </rPr>
      <t>'a benchmark winery for the Tortona area in the space of just a few years.'</t>
    </r>
  </si>
  <si>
    <r>
      <rPr>
        <b/>
        <sz val="7"/>
        <color theme="1" tint="0.499984740745262"/>
        <rFont val="Noto Sans"/>
        <family val="2"/>
      </rPr>
      <t xml:space="preserve">Slow Wine Guide 2016 </t>
    </r>
    <r>
      <rPr>
        <sz val="7"/>
        <color theme="1" tint="0.499984740745262"/>
        <rFont val="Noto Sans"/>
        <family val="2"/>
      </rPr>
      <t>'one of the best interpreters of the wine phenomenon that goes under the name of Timorasso.'</t>
    </r>
  </si>
  <si>
    <t>LA COLOMBERA</t>
  </si>
  <si>
    <t>17LACOLOM01</t>
  </si>
  <si>
    <t>Elisa Semino, 4th generation. 22ha vines</t>
  </si>
  <si>
    <t>17LACOLOM03</t>
  </si>
  <si>
    <t>Vho village, Derthona, nr Tortona. 240-300m</t>
  </si>
  <si>
    <r>
      <t>sustainable agriculture</t>
    </r>
    <r>
      <rPr>
        <sz val="8"/>
        <color theme="1" tint="0.14999847407452621"/>
        <rFont val="Noto Sans"/>
        <family val="2"/>
      </rPr>
      <t>, plus polyculture</t>
    </r>
  </si>
  <si>
    <t>2006 1st cru Timorasso, cru Montino</t>
  </si>
  <si>
    <t>2000 1st Timorasso</t>
  </si>
  <si>
    <t>1998 1st release under own label</t>
  </si>
  <si>
    <t>1950s vines replanted</t>
  </si>
  <si>
    <t>1937 La Colombera bought</t>
  </si>
  <si>
    <t>Slow Wine Guide 'Bottle' award, 2013-2017</t>
  </si>
  <si>
    <t>LaColomberaVini.it</t>
  </si>
  <si>
    <t>GROWER CODE: LACOLOM</t>
  </si>
  <si>
    <r>
      <t xml:space="preserve">NB </t>
    </r>
    <r>
      <rPr>
        <b/>
        <i/>
        <sz val="8"/>
        <color theme="1"/>
        <rFont val="Noto Sans"/>
        <family val="2"/>
      </rPr>
      <t>MOSTLY</t>
    </r>
    <r>
      <rPr>
        <b/>
        <sz val="8"/>
        <color theme="1"/>
        <rFont val="Noto Sans"/>
        <family val="2"/>
      </rPr>
      <t xml:space="preserve"> IN THE VAULTS, EDINBURGH</t>
    </r>
  </si>
  <si>
    <t>BRONDA, Cascina Conti</t>
  </si>
  <si>
    <t>12BRONDA03</t>
  </si>
  <si>
    <t>Nino Bronda, Nizza Monferrato. ~3ha</t>
  </si>
  <si>
    <r>
      <t>rich biodiversity;</t>
    </r>
    <r>
      <rPr>
        <b/>
        <sz val="8"/>
        <color rgb="FF00B050"/>
        <rFont val="Noto Sans"/>
        <family val="2"/>
      </rPr>
      <t xml:space="preserve"> no certification</t>
    </r>
  </si>
  <si>
    <t>ambient yeast ferment; no SO2</t>
  </si>
  <si>
    <t>NB vines sold post 2015 harvest, &amp; ripped</t>
  </si>
  <si>
    <t>NO LONGER EXISTS - VINES WERE RIPPED</t>
  </si>
  <si>
    <t>GROWER CODE: BRONDA</t>
  </si>
  <si>
    <t>KIND WORDS ON LA MESMA:</t>
  </si>
  <si>
    <r>
      <rPr>
        <b/>
        <sz val="7"/>
        <color theme="1" tint="0.499984740745262"/>
        <rFont val="Noto Sans"/>
        <family val="2"/>
      </rPr>
      <t>Eric Asimov, NYT 2020</t>
    </r>
    <r>
      <rPr>
        <sz val="7"/>
        <color theme="1" tint="0.499984740745262"/>
        <rFont val="Noto Sans"/>
        <family val="2"/>
      </rPr>
      <t xml:space="preserve"> 'examples like INDI are helping to resurrect the reputation of Gavi.'</t>
    </r>
  </si>
  <si>
    <r>
      <rPr>
        <b/>
        <sz val="7"/>
        <color theme="1" tint="0.499984740745262"/>
        <rFont val="Noto Sans"/>
        <family val="2"/>
      </rPr>
      <t>Slow Wine Guide 2020</t>
    </r>
    <r>
      <rPr>
        <sz val="7"/>
        <color theme="1" tint="0.499984740745262"/>
        <rFont val="Noto Sans"/>
        <family val="2"/>
      </rPr>
      <t xml:space="preserve"> 'After following the growth in quality of this cellar with great interest, we </t>
    </r>
    <r>
      <rPr>
        <b/>
        <sz val="7"/>
        <color theme="1" tint="0.499984740745262"/>
        <rFont val="Noto Sans"/>
        <family val="2"/>
      </rPr>
      <t>would now place it at the top</t>
    </r>
    <r>
      <rPr>
        <sz val="7"/>
        <color theme="1" tint="0.499984740745262"/>
        <rFont val="Noto Sans"/>
        <family val="2"/>
      </rPr>
      <t xml:space="preserve"> of the DOCG'</t>
    </r>
  </si>
  <si>
    <r>
      <rPr>
        <b/>
        <sz val="7"/>
        <color theme="1" tint="0.499984740745262"/>
        <rFont val="Noto Sans"/>
        <family val="2"/>
      </rPr>
      <t>Slow Wine Guide 2018</t>
    </r>
    <r>
      <rPr>
        <sz val="7"/>
        <color theme="1" tint="0.499984740745262"/>
        <rFont val="Noto Sans"/>
        <family val="2"/>
      </rPr>
      <t xml:space="preserve"> 'The pursuit of quality, experimentation and sustainable farming are the paths that they have followed over the last</t>
    </r>
  </si>
  <si>
    <t>few years. The outcome is wines that are now a touchstone for the denomination.'</t>
  </si>
  <si>
    <r>
      <rPr>
        <b/>
        <sz val="7"/>
        <color theme="1" tint="0.499984740745262"/>
        <rFont val="Noto Sans"/>
        <family val="2"/>
      </rPr>
      <t>Slow Wine Guide 2016</t>
    </r>
    <r>
      <rPr>
        <sz val="7"/>
        <color theme="1" tint="0.499984740745262"/>
        <rFont val="Noto Sans"/>
        <family val="2"/>
      </rPr>
      <t xml:space="preserve"> '(La Mesma) hit heights of quality for the DO at every harvest and convey the passions of the sisters…for their terroir &amp; grape.'</t>
    </r>
  </si>
  <si>
    <t>LA MESMA</t>
  </si>
  <si>
    <t>SPARKLING GAVI:</t>
  </si>
  <si>
    <t>By the Rosina sisters</t>
  </si>
  <si>
    <t>23LMESMA03</t>
  </si>
  <si>
    <t>Gavi, Novi Ligure, Piedmont</t>
  </si>
  <si>
    <t>18LMESMA07</t>
  </si>
  <si>
    <t>100ha estate: 25ha vines, 75ha woods</t>
  </si>
  <si>
    <t>18LMESMA08MG</t>
  </si>
  <si>
    <t>vines at 270m - 330m altitude</t>
  </si>
  <si>
    <t>'GAVI DI GAVI':</t>
  </si>
  <si>
    <t>propolis sprays; cover cropping; DIAMs</t>
  </si>
  <si>
    <t>25LMESMA03</t>
  </si>
  <si>
    <t xml:space="preserve">Organic certified 2015 Valoritalia </t>
  </si>
  <si>
    <t>24LMESMA04</t>
  </si>
  <si>
    <t>23LMESMA07</t>
  </si>
  <si>
    <t>Black Label &amp; Riserva are fermented in</t>
  </si>
  <si>
    <t>21LMESMA02</t>
  </si>
  <si>
    <t>Nico Velo cement</t>
  </si>
  <si>
    <t>22LMESMA03</t>
  </si>
  <si>
    <t>Gavi Riserva has beeswax finishing</t>
  </si>
  <si>
    <t>21LMESMA05</t>
  </si>
  <si>
    <t>INDI Con Le Bolle has crown cap</t>
  </si>
  <si>
    <t>16LMESMA08S</t>
  </si>
  <si>
    <t>THE PEOPLE:</t>
  </si>
  <si>
    <t>GAVI RISERVA:</t>
  </si>
  <si>
    <r>
      <t>PRODUCTION:</t>
    </r>
    <r>
      <rPr>
        <sz val="7"/>
        <color rgb="FF808080"/>
        <rFont val="Noto Sans"/>
        <family val="2"/>
      </rPr>
      <t xml:space="preserve"> Francesca &amp; Anna Rosina</t>
    </r>
  </si>
  <si>
    <t>25LMESMA01</t>
  </si>
  <si>
    <r>
      <t xml:space="preserve">SALES: </t>
    </r>
    <r>
      <rPr>
        <sz val="7"/>
        <color rgb="FF808080"/>
        <rFont val="Noto Sans"/>
        <family val="2"/>
      </rPr>
      <t>Paola Rosina</t>
    </r>
  </si>
  <si>
    <t>18LMESMA03MG</t>
  </si>
  <si>
    <r>
      <t xml:space="preserve">AGRONOMIST: </t>
    </r>
    <r>
      <rPr>
        <sz val="7"/>
        <color rgb="FF808080"/>
        <rFont val="Noto Sans"/>
        <family val="2"/>
      </rPr>
      <t>Davide Ferrarese</t>
    </r>
  </si>
  <si>
    <t>16LMESMA07M</t>
  </si>
  <si>
    <r>
      <t>ENOLOGIST:</t>
    </r>
    <r>
      <rPr>
        <sz val="7"/>
        <color rgb="FF808080"/>
        <rFont val="Noto Sans"/>
        <family val="2"/>
      </rPr>
      <t xml:space="preserve"> Massimo Azzolini</t>
    </r>
  </si>
  <si>
    <t>GAVI LATE RELEASE:</t>
  </si>
  <si>
    <r>
      <t>PRUNING TEACHER:</t>
    </r>
    <r>
      <rPr>
        <sz val="7"/>
        <color rgb="FF808080"/>
        <rFont val="Noto Sans"/>
        <family val="2"/>
      </rPr>
      <t xml:space="preserve"> Simonit e Sirch</t>
    </r>
  </si>
  <si>
    <t>22LMESMA05HF</t>
  </si>
  <si>
    <t>THE TERROIRS / WINES:</t>
  </si>
  <si>
    <t>24LMESMA05</t>
  </si>
  <si>
    <r>
      <t>cru Monterotondo:</t>
    </r>
    <r>
      <rPr>
        <sz val="7"/>
        <color rgb="FF808080"/>
        <rFont val="Noto Sans"/>
        <family val="2"/>
      </rPr>
      <t xml:space="preserve"> 15ha of the limestone hill</t>
    </r>
  </si>
  <si>
    <t>19LMESMA02</t>
  </si>
  <si>
    <t>in Gavi del Comune di Gavi (aka Gavi di Gavi)</t>
  </si>
  <si>
    <t>for Yellow label, Black label &amp; INDI</t>
  </si>
  <si>
    <r>
      <t>La Bella Alleanza:</t>
    </r>
    <r>
      <rPr>
        <sz val="7"/>
        <color rgb="FF808080"/>
        <rFont val="Noto Sans"/>
        <family val="2"/>
      </rPr>
      <t xml:space="preserve"> 10ha red clay soil at the winery </t>
    </r>
  </si>
  <si>
    <t>in Gavi del Comune di Tassarolo (Gavi di Tassarolo)</t>
  </si>
  <si>
    <t>for sparkling, &amp; riserva Vigna della Rovere Verde</t>
  </si>
  <si>
    <t>2020 1st vintage INDI Con Le Bolle, Metodo Ancestrale</t>
  </si>
  <si>
    <r>
      <t xml:space="preserve">2017 1st vintage all </t>
    </r>
    <r>
      <rPr>
        <b/>
        <sz val="7"/>
        <color rgb="FF00B050"/>
        <rFont val="Noto Sans"/>
        <family val="2"/>
      </rPr>
      <t>Organic certified</t>
    </r>
  </si>
  <si>
    <t>2016 Slow Wine awards 'Vino Quotidiano'</t>
  </si>
  <si>
    <r>
      <t xml:space="preserve">2015 1st parcels &amp; wines </t>
    </r>
    <r>
      <rPr>
        <b/>
        <sz val="7"/>
        <color rgb="FF00B050"/>
        <rFont val="Noto Sans"/>
        <family val="2"/>
      </rPr>
      <t>Organic certified</t>
    </r>
  </si>
  <si>
    <t>2012 took classes in Simmonit &amp; Sirch pruning</t>
  </si>
  <si>
    <t>2006 purchase of 3ha VV in Tassarolo</t>
  </si>
  <si>
    <t>2004 purchase of La Bella Alleanza winery &amp; 7ha</t>
  </si>
  <si>
    <t>2003 - 2005 purchase of 10ha Monterotondo</t>
  </si>
  <si>
    <t>2003 label started</t>
  </si>
  <si>
    <t>2000 planted 5ha on Monterotondo</t>
  </si>
  <si>
    <t>Slow Wine Guide 'Bottle' award, 2018-2020</t>
  </si>
  <si>
    <t>Slow Wine Guide 'Coin' (value) award, 2017</t>
  </si>
  <si>
    <t>LaMesma.it</t>
  </si>
  <si>
    <t>GROWER CODE: LMESMA</t>
  </si>
  <si>
    <t>RUGRA, Az.Agr.</t>
  </si>
  <si>
    <t>GAVI:</t>
  </si>
  <si>
    <t>Luigia Zucchi @ Monferrato/Gavi</t>
  </si>
  <si>
    <t>18RUGRA06</t>
  </si>
  <si>
    <t>2ha vines plus 4ha polyculture</t>
  </si>
  <si>
    <t>18RUGRA03</t>
  </si>
  <si>
    <r>
      <rPr>
        <b/>
        <sz val="8"/>
        <color rgb="FF00B050"/>
        <rFont val="Noto Sans"/>
        <family val="2"/>
      </rPr>
      <t>Organic certified ICEA</t>
    </r>
    <r>
      <rPr>
        <sz val="8"/>
        <color theme="1" tint="0.14999847407452621"/>
        <rFont val="Noto Sans"/>
        <family val="2"/>
      </rPr>
      <t>; some BD practices</t>
    </r>
  </si>
  <si>
    <t>15RUGRA01TB</t>
  </si>
  <si>
    <t>GROWER CODE: RUGRA</t>
  </si>
  <si>
    <t>18RUGRA01</t>
  </si>
  <si>
    <t>18RUGRA02</t>
  </si>
  <si>
    <t>(local  rare 'Nibio/Nivö' red-stemmed dolcetto biotype)</t>
  </si>
  <si>
    <t>COUTANDIN, Daniele</t>
  </si>
  <si>
    <t>1ha, West Piedmont hills, towards France</t>
  </si>
  <si>
    <t>21COUTANDIN02</t>
  </si>
  <si>
    <r>
      <t xml:space="preserve">ZONE: </t>
    </r>
    <r>
      <rPr>
        <sz val="7"/>
        <color theme="1" tint="0.499984740745262"/>
        <rFont val="Noto Sans"/>
        <family val="2"/>
      </rPr>
      <t>in the woods of Pomaretto &amp; Perosa Argentina</t>
    </r>
  </si>
  <si>
    <t>21COUTANDIN01</t>
  </si>
  <si>
    <r>
      <t xml:space="preserve">ALTITUDE: </t>
    </r>
    <r>
      <rPr>
        <sz val="7"/>
        <color theme="1" tint="0.499984740745262"/>
        <rFont val="Noto Sans"/>
        <family val="2"/>
      </rPr>
      <t>~800m above sea level</t>
    </r>
  </si>
  <si>
    <t>20COUTANDIN01</t>
  </si>
  <si>
    <r>
      <t xml:space="preserve">GRAPES: </t>
    </r>
    <r>
      <rPr>
        <sz val="7"/>
        <color theme="1" tint="0.499984740745262"/>
        <rFont val="Noto Sans"/>
        <family val="2"/>
      </rPr>
      <t>avanà, avarengo, chatus, becuet, barbera…</t>
    </r>
  </si>
  <si>
    <r>
      <t xml:space="preserve">SIZE: </t>
    </r>
    <r>
      <rPr>
        <sz val="7"/>
        <color theme="1" tint="0.499984740745262"/>
        <rFont val="Noto Sans"/>
        <family val="2"/>
      </rPr>
      <t>1ha vines, ~2000 bottles per annum</t>
    </r>
  </si>
  <si>
    <t xml:space="preserve">'As a winemaker I am a member of the Vignerons d 'Europe 2009 Manifesto. My vineyards are small, </t>
  </si>
  <si>
    <r>
      <t>FARMING:</t>
    </r>
    <r>
      <rPr>
        <sz val="7"/>
        <color theme="1" tint="0.499984740745262"/>
        <rFont val="Noto Sans"/>
        <family val="2"/>
      </rPr>
      <t xml:space="preserve"> </t>
    </r>
    <r>
      <rPr>
        <b/>
        <sz val="7"/>
        <color rgb="FF00B050"/>
        <rFont val="Noto Sans"/>
        <family val="2"/>
      </rPr>
      <t>no certification</t>
    </r>
  </si>
  <si>
    <t>steeply sloping mountain plots set in the woods of Pomaretto and Perosa Argentina. I grow them with</t>
  </si>
  <si>
    <r>
      <t xml:space="preserve">FERMENTATION: </t>
    </r>
    <r>
      <rPr>
        <sz val="7"/>
        <color theme="1" tint="0.499984740745262"/>
        <rFont val="Noto Sans"/>
        <family val="2"/>
      </rPr>
      <t>ambient yeast; no adjustments</t>
    </r>
  </si>
  <si>
    <t xml:space="preserve">the utmost respect for plants, the soil and all forms of life and, thanks to this, they enjoy a remarkable </t>
  </si>
  <si>
    <r>
      <t>VESSELS:</t>
    </r>
    <r>
      <rPr>
        <sz val="7"/>
        <color theme="1" tint="0.499984740745262"/>
        <rFont val="Noto Sans"/>
        <family val="2"/>
      </rPr>
      <t xml:space="preserve"> stainless steel</t>
    </r>
  </si>
  <si>
    <t>biodiversity which favors the presence of many useful insects, abundant spontaneous flowers, and</t>
  </si>
  <si>
    <r>
      <t xml:space="preserve">MANIFESTO: </t>
    </r>
    <r>
      <rPr>
        <sz val="7"/>
        <color theme="1" tint="0.499984740745262"/>
        <rFont val="Noto Sans"/>
        <family val="2"/>
      </rPr>
      <t>'Vignerons d'Europe 2009'</t>
    </r>
  </si>
  <si>
    <t xml:space="preserve">healthy, very long lived vines. From native varities Avanà, Avarengo, Chatus, Becuet, Barbera, etc. </t>
  </si>
  <si>
    <r>
      <t xml:space="preserve">HISTORY: </t>
    </r>
    <r>
      <rPr>
        <sz val="7"/>
        <color theme="1" tint="0.499984740745262"/>
        <rFont val="Noto Sans"/>
        <family val="2"/>
      </rPr>
      <t>started 1995; Daniele took over 2008</t>
    </r>
  </si>
  <si>
    <t>we harvest the grapes at full maturity, ferment with their own yeasts, without additions or corrections.</t>
  </si>
  <si>
    <t>The wine then matures in steel and is not subjected to any treatment. This wine is the result of a lot</t>
  </si>
  <si>
    <t>youtube.com/watch?v=U8I5A7FmD9E</t>
  </si>
  <si>
    <t>of effort, but has unique, unrepeatable characteristics.'</t>
  </si>
  <si>
    <t>GROWER CODE: COUTANDIN</t>
  </si>
  <si>
    <t>Italy, Lombardia</t>
  </si>
  <si>
    <t>'We believe in natural viticulture where man and his knowledge are focused on serving land and terroir. With no fiction nor artifice, we shepherd our healthy</t>
  </si>
  <si>
    <t xml:space="preserve"> and living grapes, accompanying a vibrant wild fermentation. We are farmers on the Alps, we preserve the plurality and diversity of our ancient local varieties</t>
  </si>
  <si>
    <t xml:space="preserve">and the cultural identity of traditional agronomic practices. In the vineyard we observe what nature is communicating to us: the melting of the snow in the </t>
  </si>
  <si>
    <t>alpine peaks, the ripe hay on the meadows in the lower valleys, a spontaneous mountain spring being birthed from the ancient rocks. Every single message</t>
  </si>
  <si>
    <t xml:space="preserve">is for us a precious source of wisdom, stimulating us to act following the teachings of those who came before us. In our wine, we seek to fully express </t>
  </si>
  <si>
    <t>every single vintage, with its idiosyncrasies and sublime equilibrium, each and every time different, unpredictable. With every new season, we repeat</t>
  </si>
  <si>
    <t xml:space="preserve"> ancient gestures, continuing and giving new life to the identity of an Alpine people who from time immemorial has been intimately linked to the cultivation</t>
  </si>
  <si>
    <t xml:space="preserve"> of the Chiavennasca grape, i.e the Chiavennasce grape family.'</t>
  </si>
  <si>
    <t>BARBACAN, by</t>
  </si>
  <si>
    <t>VALTELLINA ROSSO:</t>
  </si>
  <si>
    <t>Famiglia SEGA</t>
  </si>
  <si>
    <t>24BARBACAN01</t>
  </si>
  <si>
    <t>Valtellina, Valgella zone. ~8ha vines above</t>
  </si>
  <si>
    <t>23BARBACAN01</t>
  </si>
  <si>
    <t>San Giacomo di Teglio from 400m-800m</t>
  </si>
  <si>
    <t>LIOM - 700m FIELD BLEND FROM TERRACOTTA:</t>
  </si>
  <si>
    <t>Chiavennasce grape family, aka nebbiolo</t>
  </si>
  <si>
    <t>24BARBACAN02</t>
  </si>
  <si>
    <t>100% massale, of ALL permitted varieties</t>
  </si>
  <si>
    <t>VALGELLA CRUS, VALTELLINA - 1 YR ELEVAGE:</t>
  </si>
  <si>
    <t>15 parcels on schist &amp; mica-schist, no topsoil</t>
  </si>
  <si>
    <t>24BARBACAN03</t>
  </si>
  <si>
    <t>Brothers Luca &amp; Matteo Sega</t>
  </si>
  <si>
    <t>24BARBACAN04</t>
  </si>
  <si>
    <t>Usual harvest period is start Oct to late Oct</t>
  </si>
  <si>
    <t>22BARBACAN03</t>
  </si>
  <si>
    <t>Organic certified 2012 Bioagricert</t>
  </si>
  <si>
    <t>20BARBACAN04</t>
  </si>
  <si>
    <t>VALGELLA CRU RISERVA, VALTELLINA - 3 YRS ELEVAGE:</t>
  </si>
  <si>
    <t>50-60days maceration, pumpovers only</t>
  </si>
  <si>
    <t>23BARBACAN05</t>
  </si>
  <si>
    <t>bottled unfined &amp; unfiltered; modest SO2</t>
  </si>
  <si>
    <t>21BARBACAN04</t>
  </si>
  <si>
    <t>THE TWO MAIN RANGES:</t>
  </si>
  <si>
    <t>22BARBACAN04</t>
  </si>
  <si>
    <r>
      <rPr>
        <b/>
        <sz val="7"/>
        <color theme="1" tint="0.499984740745262"/>
        <rFont val="Noto Sans"/>
        <family val="2"/>
      </rPr>
      <t>Cru series</t>
    </r>
    <r>
      <rPr>
        <sz val="7"/>
        <color theme="1" tint="0.499984740745262"/>
        <rFont val="Noto Sans"/>
        <family val="2"/>
      </rPr>
      <t>: dry-farmed chiavennasca, mostly</t>
    </r>
  </si>
  <si>
    <t>SFORZATO (AMARONE METHOD):</t>
  </si>
  <si>
    <t>old-vines, raised 1yr in Stockinger cask 20-40hl.</t>
  </si>
  <si>
    <t>22BARBACAN05</t>
  </si>
  <si>
    <t>1st made 2005</t>
  </si>
  <si>
    <r>
      <rPr>
        <b/>
        <sz val="7"/>
        <color theme="1" tint="0.499984740745262"/>
        <rFont val="Noto Sans"/>
        <family val="2"/>
      </rPr>
      <t>Riserva series</t>
    </r>
    <r>
      <rPr>
        <sz val="7"/>
        <color theme="1" tint="0.499984740745262"/>
        <rFont val="Noto Sans"/>
        <family val="2"/>
      </rPr>
      <t>: vv &amp; tvv selection only, 2-3yrs in</t>
    </r>
  </si>
  <si>
    <t>21BARBACAN01MG</t>
  </si>
  <si>
    <t>Stockinger cask 20-40hl. 1st made 2016</t>
  </si>
  <si>
    <t>20BARBACAN01MG</t>
  </si>
  <si>
    <t>20BARBACAN03MG</t>
  </si>
  <si>
    <r>
      <rPr>
        <b/>
        <sz val="7"/>
        <color theme="1" tint="0.499984740745262"/>
        <rFont val="Noto Sans"/>
        <family val="2"/>
      </rPr>
      <t>Rosso:</t>
    </r>
    <r>
      <rPr>
        <sz val="7"/>
        <color theme="1" tint="0.499984740745262"/>
        <rFont val="Noto Sans"/>
        <family val="2"/>
      </rPr>
      <t xml:space="preserve"> ~85% chiavennasca, ex-cask/cement/tank</t>
    </r>
  </si>
  <si>
    <t>20BARBACAN04MG</t>
  </si>
  <si>
    <r>
      <rPr>
        <b/>
        <sz val="7"/>
        <color rgb="FF808080"/>
        <rFont val="Noto Sans"/>
        <family val="2"/>
      </rPr>
      <t>Liom:</t>
    </r>
    <r>
      <rPr>
        <sz val="7"/>
        <color rgb="FF808080"/>
        <rFont val="Noto Sans"/>
        <family val="2"/>
      </rPr>
      <t xml:space="preserve"> Rossola, Rossolino, Rossolino Rosa, 700m-</t>
    </r>
  </si>
  <si>
    <t>21BARBACAN04MG</t>
  </si>
  <si>
    <t>800m altitude, recovered ancient grapes, terracotta</t>
  </si>
  <si>
    <r>
      <rPr>
        <b/>
        <sz val="7"/>
        <color theme="1" tint="0.499984740745262"/>
        <rFont val="Noto Sans"/>
        <family val="2"/>
      </rPr>
      <t>cru Sol:</t>
    </r>
    <r>
      <rPr>
        <sz val="7"/>
        <color theme="1" tint="0.499984740745262"/>
        <rFont val="Noto Sans"/>
        <family val="2"/>
      </rPr>
      <t xml:space="preserve"> 1.5ha 20yr-100yr tvv vines, average 60yrs.</t>
    </r>
  </si>
  <si>
    <t>Previously abandoned SE amphitheatre, 450-500m</t>
  </si>
  <si>
    <t>90% chiavennasca, &amp; rossola/rossolino. Since 2005</t>
  </si>
  <si>
    <r>
      <rPr>
        <b/>
        <sz val="7"/>
        <color theme="1" tint="0.499984740745262"/>
        <rFont val="Noto Sans"/>
        <family val="2"/>
      </rPr>
      <t>cru Jazpemi (Pizamej)</t>
    </r>
    <r>
      <rPr>
        <sz val="7"/>
        <color theme="1" tint="0.499984740745262"/>
        <rFont val="Noto Sans"/>
        <family val="2"/>
      </rPr>
      <t>: 0.7ha SE 1920s vines</t>
    </r>
  </si>
  <si>
    <t>(tvv) on 15 v.steep terraces from 500m-550m</t>
  </si>
  <si>
    <t>~90% chiavennasca, &amp; pignola etc. Since 2014</t>
  </si>
  <si>
    <r>
      <rPr>
        <b/>
        <sz val="7"/>
        <color theme="1" tint="0.499984740745262"/>
        <rFont val="Noto Sans"/>
        <family val="2"/>
      </rPr>
      <t>cru Fracia</t>
    </r>
    <r>
      <rPr>
        <sz val="7"/>
        <color theme="1" tint="0.499984740745262"/>
        <rFont val="Noto Sans"/>
        <family val="2"/>
      </rPr>
      <t>: 1ha 500m-600m very steep SW facing,</t>
    </r>
  </si>
  <si>
    <t>selection of 1920s plantings, ~95% chiavennasca</t>
  </si>
  <si>
    <r>
      <rPr>
        <b/>
        <sz val="7"/>
        <color theme="1" tint="0.499984740745262"/>
        <rFont val="Noto Sans"/>
        <family val="2"/>
      </rPr>
      <t>cru Livel</t>
    </r>
    <r>
      <rPr>
        <sz val="7"/>
        <color theme="1" tint="0.499984740745262"/>
        <rFont val="Noto Sans"/>
        <family val="2"/>
      </rPr>
      <t>: 0.7ha S facing 520m-550m vv, planted</t>
    </r>
  </si>
  <si>
    <t>1947/48, &amp; pre-1939. 1st made 2016</t>
  </si>
  <si>
    <r>
      <rPr>
        <b/>
        <sz val="7"/>
        <color theme="1" tint="0.499984740745262"/>
        <rFont val="Noto Sans"/>
        <family val="2"/>
      </rPr>
      <t>Sforzato</t>
    </r>
    <r>
      <rPr>
        <sz val="7"/>
        <color theme="1" tint="0.499984740745262"/>
        <rFont val="Noto Sans"/>
        <family val="2"/>
      </rPr>
      <t>: late Sept selection of highest altitude</t>
    </r>
  </si>
  <si>
    <t>chiavennasca &amp; chiavennascino, dried 2 to 2.5mths</t>
  </si>
  <si>
    <t>focus is on freshness, not power or oak</t>
  </si>
  <si>
    <t>2016 1st vintage of Riserva progrgam</t>
  </si>
  <si>
    <t>2012 organic certified vines; 1st vintage Sforzato</t>
  </si>
  <si>
    <t>2005 1st vintage bottled, Rosso &amp; Sol, from 0.5ha</t>
  </si>
  <si>
    <t>1887 start of family activity</t>
  </si>
  <si>
    <t>Barbacan.it</t>
  </si>
  <si>
    <t>facebook.com/BARBACAN.sa/</t>
  </si>
  <si>
    <t>GROWER CODE: BARBACAN</t>
  </si>
  <si>
    <t>MEZZACANE, Cantina</t>
  </si>
  <si>
    <t>'YELLOW':</t>
  </si>
  <si>
    <t>Rivanazzano Terme, Piedmont borders</t>
  </si>
  <si>
    <t>22MEZZAC02</t>
  </si>
  <si>
    <t>4ha hillside vines at Retorbido, Lombardy</t>
  </si>
  <si>
    <t>23MEZZAC01</t>
  </si>
  <si>
    <t>Fukuoka inspired - no certification</t>
  </si>
  <si>
    <t>23MEZZAC03</t>
  </si>
  <si>
    <t>23MEZZAC05</t>
  </si>
  <si>
    <t>23MEZZAC04</t>
  </si>
  <si>
    <r>
      <rPr>
        <b/>
        <sz val="7"/>
        <color theme="1" tint="0.499984740745262"/>
        <rFont val="Noto Sans"/>
        <family val="2"/>
      </rPr>
      <t>WINE:</t>
    </r>
    <r>
      <rPr>
        <sz val="7"/>
        <color theme="1" tint="0.499984740745262"/>
        <rFont val="Noto Sans"/>
        <family val="2"/>
      </rPr>
      <t xml:space="preserve"> Eugenio Barbieri (ex- Podere Il Santo)</t>
    </r>
  </si>
  <si>
    <t>'YELLOW' EN MAGNUM:</t>
  </si>
  <si>
    <r>
      <rPr>
        <b/>
        <sz val="7"/>
        <color theme="1" tint="0.499984740745262"/>
        <rFont val="Noto Sans"/>
        <family val="2"/>
      </rPr>
      <t xml:space="preserve">OWNER: </t>
    </r>
    <r>
      <rPr>
        <sz val="7"/>
        <color theme="1" tint="0.499984740745262"/>
        <rFont val="Noto Sans"/>
        <family val="2"/>
      </rPr>
      <t>Andrea &amp; Caterina Vistarini</t>
    </r>
  </si>
  <si>
    <t>22MEZZAC02MG</t>
  </si>
  <si>
    <t>VESSEL TYPES:</t>
  </si>
  <si>
    <t>22MEZZAC03MG</t>
  </si>
  <si>
    <r>
      <rPr>
        <b/>
        <sz val="7"/>
        <color theme="1" tint="0.499984740745262"/>
        <rFont val="Noto Sans"/>
        <family val="2"/>
      </rPr>
      <t>Qvevri:</t>
    </r>
    <r>
      <rPr>
        <sz val="7"/>
        <color theme="1" tint="0.499984740745262"/>
        <rFont val="Noto Sans"/>
        <family val="2"/>
      </rPr>
      <t xml:space="preserve"> Georgian, beeswax-lined, buried terracotta</t>
    </r>
  </si>
  <si>
    <t>22MEZZAC04MG</t>
  </si>
  <si>
    <r>
      <rPr>
        <b/>
        <sz val="7"/>
        <color theme="1" tint="0.499984740745262"/>
        <rFont val="Noto Sans"/>
        <family val="2"/>
      </rPr>
      <t>Oak tonneaux:</t>
    </r>
    <r>
      <rPr>
        <sz val="7"/>
        <color theme="1" tint="0.499984740745262"/>
        <rFont val="Noto Sans"/>
        <family val="2"/>
      </rPr>
      <t xml:space="preserve"> 500L Mastro-Bottaio cooperage ex-</t>
    </r>
  </si>
  <si>
    <t>Gaja, customised &amp; used vertically (see website)</t>
  </si>
  <si>
    <t>23MEZZAC02</t>
  </si>
  <si>
    <r>
      <t xml:space="preserve">Cement: </t>
    </r>
    <r>
      <rPr>
        <sz val="7"/>
        <color theme="1" tint="0.499984740745262"/>
        <rFont val="Noto Sans"/>
        <family val="2"/>
      </rPr>
      <t>cylinders</t>
    </r>
  </si>
  <si>
    <t>22MEZZAC01</t>
  </si>
  <si>
    <t>THE FUJA ROSSO BLEND:</t>
  </si>
  <si>
    <t>22MEZZAC01MG</t>
  </si>
  <si>
    <t xml:space="preserve">Croatina, Barbera, Pinot Nero, Dolcetto, Nibio, Ciliegiolo, </t>
  </si>
  <si>
    <t>Moscato Rosa, Aleatico, Moradella, Don Antonio. </t>
  </si>
  <si>
    <t>Our project:</t>
  </si>
  <si>
    <t>We have set ourselves objectives that concern our emotional sphere, even before material. It is not possible to</t>
  </si>
  <si>
    <t>2020 1st vintage in screwcap</t>
  </si>
  <si>
    <t xml:space="preserve"> think of a good wine without this being an "ethical" wine; the good is not expressed in the mouth but in the spirit.</t>
  </si>
  <si>
    <t>2020 1st vintage SSA cuvées</t>
  </si>
  <si>
    <t>Perhaps, it is no coincidence that alcohol, due to its ethereal nature, is called spirit. Ethics is our behavior.</t>
  </si>
  <si>
    <t>2019 1st vintage of the 'new' Mezzacane label</t>
  </si>
  <si>
    <t>In moments of joy and despair, our behavior will have to instill trust in those who want to place a bottle of wine</t>
  </si>
  <si>
    <t>1954 awarded best medium sized Italian co.</t>
  </si>
  <si>
    <t>on their table and decide to share it with their loved ones. The act of introducing food into the body is the most</t>
  </si>
  <si>
    <t>CantinaMezzacane.it</t>
  </si>
  <si>
    <t>intimate gesture that each individual can perform. Think about it.</t>
  </si>
  <si>
    <t>instagram.com/cantinamezzacane/</t>
  </si>
  <si>
    <t>TenutaPizzone.it</t>
  </si>
  <si>
    <t>Cultivate - a wonderful word:</t>
  </si>
  <si>
    <t>A gesture that is cultivation, when our attention is turned to plants.</t>
  </si>
  <si>
    <t>NB ALSO SEE PODERE IL SANTO</t>
  </si>
  <si>
    <t>It becomes culture, when it is addressed to us, as an intellectual exercise.</t>
  </si>
  <si>
    <t>NB AGRITURISMO IS CASCINA PIZZONE</t>
  </si>
  <si>
    <t>It rises to worship, when it addresses the spirit.</t>
  </si>
  <si>
    <t>GROWER CODE: MEZZA</t>
  </si>
  <si>
    <t xml:space="preserve">Wine contains all this in itself: </t>
  </si>
  <si>
    <t>materializing cultivation and culture and, sometimes, becoming itself an element of worship.</t>
  </si>
  <si>
    <t>PODERE IL SANTO</t>
  </si>
  <si>
    <t>17LSANTO02TB</t>
  </si>
  <si>
    <t>17LSANTO01TB</t>
  </si>
  <si>
    <t>Eugenio Barbieri. Label founded 2000</t>
  </si>
  <si>
    <t>16LSANTO01TB</t>
  </si>
  <si>
    <t>3ha vines on polycultural 10ha farm</t>
  </si>
  <si>
    <t>ambient yeast ferment outside; 1yr skins,</t>
  </si>
  <si>
    <t>low SO2, no press wine, 7-10yrs cask</t>
  </si>
  <si>
    <t>6000btls/yr.</t>
  </si>
  <si>
    <t>no certification, Ⓥ Vegan compatible</t>
  </si>
  <si>
    <t>THE TWO REDS:</t>
  </si>
  <si>
    <r>
      <rPr>
        <b/>
        <sz val="7"/>
        <color theme="1" tint="0.499984740745262"/>
        <rFont val="Noto Sans"/>
        <family val="2"/>
      </rPr>
      <t>Rairon:</t>
    </r>
    <r>
      <rPr>
        <sz val="7"/>
        <color theme="1" tint="0.499984740745262"/>
        <rFont val="Noto Sans"/>
        <family val="2"/>
      </rPr>
      <t xml:space="preserve"> uva rara vv, 1yr skins, 8yrs elevage</t>
    </r>
  </si>
  <si>
    <r>
      <rPr>
        <b/>
        <sz val="7"/>
        <color theme="1" tint="0.499984740745262"/>
        <rFont val="Noto Sans"/>
        <family val="2"/>
      </rPr>
      <t xml:space="preserve">Cento9: </t>
    </r>
    <r>
      <rPr>
        <sz val="7"/>
        <color theme="1" tint="0.499984740745262"/>
        <rFont val="Noto Sans"/>
        <family val="2"/>
      </rPr>
      <t>barbera with croatina vv, 9-10yrs elevage</t>
    </r>
  </si>
  <si>
    <t>Slow Wine 2013-14, 'Snail' Award</t>
  </si>
  <si>
    <t>NB NOW SEE MEZZACANE</t>
  </si>
  <si>
    <t>GROWER CODE: LSANTO</t>
  </si>
  <si>
    <t>Italy, Alto-Adige aka Südtirol</t>
  </si>
  <si>
    <t>KIND WORDS ON NUSSERHOF:</t>
  </si>
  <si>
    <r>
      <t xml:space="preserve">Walter Speller, 2017 </t>
    </r>
    <r>
      <rPr>
        <sz val="7"/>
        <color theme="1" tint="0.499984740745262"/>
        <rFont val="Noto Sans"/>
        <family val="2"/>
      </rPr>
      <t>'the most important estate in the whole of Alto Adige'</t>
    </r>
  </si>
  <si>
    <r>
      <t> Eric Guido, Vinous 2023/4</t>
    </r>
    <r>
      <rPr>
        <sz val="7"/>
        <color theme="1" tint="0.499984740745262"/>
        <rFont val="Noto Sans"/>
        <family val="2"/>
      </rPr>
      <t xml:space="preserve"> 'Gloria Mayr is now fully in charge of her family's historical winery, which is located right in the middle of Bolzano…</t>
    </r>
  </si>
  <si>
    <t>Nusserhof fans need not to worry about this change of guard, as Mayr is incredibly open-minded and was raised in these vineyards and cellars.</t>
  </si>
  <si>
    <t>What’s more, the only transformations spoken of are ones that will bring back more traditional approaches to their processes...I left feeling reassured</t>
  </si>
  <si>
    <t>about not just the future of Nusserhof but its past as well. I expect we will see many more great vintages from Gloria Mayr in the future.'</t>
  </si>
  <si>
    <r>
      <t xml:space="preserve"> Eric Guido, Vinous 2020 </t>
    </r>
    <r>
      <rPr>
        <sz val="7"/>
        <color theme="1" tint="0.499984740745262"/>
        <rFont val="Noto Sans"/>
        <family val="2"/>
      </rPr>
      <t>'wines of soul, dark in nature, but also teeming with energy while communicating their alpine roots...'</t>
    </r>
  </si>
  <si>
    <r>
      <t>Galloni, Vinous 2016</t>
    </r>
    <r>
      <rPr>
        <sz val="7"/>
        <color theme="1" tint="0.499984740745262"/>
        <rFont val="Noto Sans"/>
        <family val="2"/>
      </rPr>
      <t xml:space="preserve"> 'Heinrich Mayr sits atop the quality pyramid in Alto Adige'</t>
    </r>
  </si>
  <si>
    <r>
      <t xml:space="preserve">Galloni, Vinous 2015 </t>
    </r>
    <r>
      <rPr>
        <sz val="7"/>
        <color theme="1" tint="0.499984740745262"/>
        <rFont val="Noto Sans"/>
        <family val="2"/>
      </rPr>
      <t>'If I have to pick one estate that truly excels across the board this year it is Nusserhof. Readers who can find these wines should</t>
    </r>
  </si>
  <si>
    <t>not hesitate, as they are magnificent.'</t>
  </si>
  <si>
    <r>
      <t>Galloni, Vinous 2013</t>
    </r>
    <r>
      <rPr>
        <sz val="7"/>
        <color theme="1" tint="0.499984740745262"/>
        <rFont val="Noto Sans"/>
        <family val="2"/>
      </rPr>
      <t xml:space="preserve"> 'one of the most remarkable estates I have ever visited... Nusserhof remains one of the stars not just of Alto Adige, but of Italy'</t>
    </r>
  </si>
  <si>
    <r>
      <t xml:space="preserve">Galloni, 2008 </t>
    </r>
    <r>
      <rPr>
        <sz val="7"/>
        <color theme="1" tint="0.499984740745262"/>
        <rFont val="Noto Sans"/>
        <family val="2"/>
      </rPr>
      <t>'artisan tradition...at its very finest'</t>
    </r>
  </si>
  <si>
    <r>
      <t xml:space="preserve">Slow Wine Guide, 2018 </t>
    </r>
    <r>
      <rPr>
        <sz val="7"/>
        <color theme="1" tint="0.499984740745262"/>
        <rFont val="Noto Sans"/>
        <family val="2"/>
      </rPr>
      <t>'Heinrich and Elda Mayr tend this oasis of biodiversity…treating us to very personal wines of superlative quality'</t>
    </r>
  </si>
  <si>
    <r>
      <t xml:space="preserve">Slow Wine Guide, 2017 </t>
    </r>
    <r>
      <rPr>
        <sz val="7"/>
        <color theme="1" tint="0.499984740745262"/>
        <rFont val="Noto Sans"/>
        <family val="2"/>
      </rPr>
      <t>'For more than 20 years the Mayrs have been practising healthy, sensible organic agriculture.'</t>
    </r>
  </si>
  <si>
    <r>
      <t xml:space="preserve">Slow Wine Guide, 2015 </t>
    </r>
    <r>
      <rPr>
        <sz val="7"/>
        <color theme="1" tint="0.499984740745262"/>
        <rFont val="Noto Sans"/>
        <family val="2"/>
      </rPr>
      <t>'an emblem of agricultural resistance'</t>
    </r>
  </si>
  <si>
    <r>
      <t>Slow Wine Guide, 2015</t>
    </r>
    <r>
      <rPr>
        <sz val="7"/>
        <color theme="1" tint="0.499984740745262"/>
        <rFont val="Noto Sans"/>
        <family val="2"/>
      </rPr>
      <t xml:space="preserve"> 'old-fashioned labels hark back to an era when chemicals had yet to appear &amp; wine was made by grapes alone'</t>
    </r>
  </si>
  <si>
    <r>
      <t>Slow Wine Guide, 2014</t>
    </r>
    <r>
      <rPr>
        <sz val="7"/>
        <color theme="1" tint="0.499984740745262"/>
        <rFont val="Noto Sans"/>
        <family val="2"/>
      </rPr>
      <t xml:space="preserve"> 'all the wines have personailty and aging capacity.'</t>
    </r>
  </si>
  <si>
    <t>NUSSERHOF</t>
  </si>
  <si>
    <t>by Mayr family</t>
  </si>
  <si>
    <r>
      <t>w</t>
    </r>
    <r>
      <rPr>
        <b/>
        <sz val="7"/>
        <color rgb="FFFFC000"/>
        <rFont val="Noto Sans"/>
        <family val="2"/>
      </rPr>
      <t>/o</t>
    </r>
  </si>
  <si>
    <t>24NUSSERHOF01</t>
  </si>
  <si>
    <t>Estate is inside Bolzano (It) i.e.Bozen (De)</t>
  </si>
  <si>
    <t>18NUSSERHOF01</t>
  </si>
  <si>
    <t>Gloria Mayr, w.parents Heinrich &amp; Elda</t>
  </si>
  <si>
    <t>ROSATO:</t>
  </si>
  <si>
    <t>4ha vines, 10ha forest</t>
  </si>
  <si>
    <t>20NUSSERHOF02</t>
  </si>
  <si>
    <t>ambient yeast;  local Mittelberger botte</t>
  </si>
  <si>
    <t>18NUSSERHOF02</t>
  </si>
  <si>
    <t>Organic certified ABCERT</t>
  </si>
  <si>
    <t>Reds see ~30day maceration, 2.5yrs elevage</t>
  </si>
  <si>
    <t>24NUSSERHOF04</t>
  </si>
  <si>
    <t>TWO VINEYARD SITES:</t>
  </si>
  <si>
    <t>24NUSSERHOF02</t>
  </si>
  <si>
    <r>
      <rPr>
        <b/>
        <sz val="7"/>
        <color theme="1" tint="0.499984740745262"/>
        <rFont val="Noto Sans"/>
        <family val="2"/>
      </rPr>
      <t>Bolzano:</t>
    </r>
    <r>
      <rPr>
        <sz val="7"/>
        <color theme="1" tint="0.499984740745262"/>
        <rFont val="Noto Sans"/>
        <family val="2"/>
      </rPr>
      <t xml:space="preserve"> ~2.4ha in town on alluvial sands with</t>
    </r>
  </si>
  <si>
    <t>20NUSSERHOF05</t>
  </si>
  <si>
    <t>porphry. ~80% lagrein, plus 10 rows teroldego,</t>
  </si>
  <si>
    <t>20NUSSERHOF06</t>
  </si>
  <si>
    <t>&amp; 1/2ha blatterle (bianco)</t>
  </si>
  <si>
    <t>18NUSSERHOF06</t>
  </si>
  <si>
    <r>
      <rPr>
        <b/>
        <sz val="7"/>
        <color theme="1" tint="0.499984740745262"/>
        <rFont val="Noto Sans"/>
        <family val="2"/>
      </rPr>
      <t>Sta.Maddalena:</t>
    </r>
    <r>
      <rPr>
        <sz val="7"/>
        <color theme="1" tint="0.499984740745262"/>
        <rFont val="Noto Sans"/>
        <family val="2"/>
      </rPr>
      <t xml:space="preserve"> ~1ha &gt;90yrs old of old-biotypes </t>
    </r>
  </si>
  <si>
    <t>24NUSSERHOF03</t>
  </si>
  <si>
    <t>of schiava in pergola, with ~15% other varieties.</t>
  </si>
  <si>
    <t>20NUSSERHOF04</t>
  </si>
  <si>
    <t>Steep hillside parcel on porphry (iron rich granite)</t>
  </si>
  <si>
    <t>18NUSSERHOF04</t>
  </si>
  <si>
    <r>
      <rPr>
        <b/>
        <sz val="7"/>
        <color theme="1" tint="0.499984740745262"/>
        <rFont val="Noto Sans"/>
        <family val="2"/>
      </rPr>
      <t>B…..:</t>
    </r>
    <r>
      <rPr>
        <sz val="7"/>
        <color theme="1" tint="0.499984740745262"/>
        <rFont val="Noto Sans"/>
        <family val="2"/>
      </rPr>
      <t xml:space="preserve"> 0.5ha Blatterle VV, two weeks maceration,</t>
    </r>
  </si>
  <si>
    <t>the grape is unregistered. The only existing example.</t>
  </si>
  <si>
    <r>
      <rPr>
        <b/>
        <sz val="7"/>
        <color theme="1" tint="0.499984740745262"/>
        <rFont val="Noto Sans"/>
        <family val="2"/>
      </rPr>
      <t>T……:</t>
    </r>
    <r>
      <rPr>
        <sz val="7"/>
        <color theme="1" tint="0.499984740745262"/>
        <rFont val="Noto Sans"/>
        <family val="2"/>
      </rPr>
      <t xml:space="preserve"> Teroldego/tyreldego/tiroldego, planted 1992</t>
    </r>
  </si>
  <si>
    <r>
      <rPr>
        <b/>
        <sz val="7"/>
        <color theme="1" tint="0.499984740745262"/>
        <rFont val="Noto Sans"/>
        <family val="2"/>
      </rPr>
      <t>Elda</t>
    </r>
    <r>
      <rPr>
        <sz val="7"/>
        <color theme="1" tint="0.499984740745262"/>
        <rFont val="Noto Sans"/>
        <family val="2"/>
      </rPr>
      <t xml:space="preserve"> is the Sta.Maddalena vv schiava based field-</t>
    </r>
  </si>
  <si>
    <t>blend (schiava aka vernatsch or trollinger)</t>
  </si>
  <si>
    <r>
      <rPr>
        <b/>
        <sz val="7"/>
        <color theme="1" tint="0.499984740745262"/>
        <rFont val="Noto Sans"/>
        <family val="2"/>
      </rPr>
      <t>Gloria</t>
    </r>
    <r>
      <rPr>
        <sz val="7"/>
        <color theme="1" tint="0.499984740745262"/>
        <rFont val="Noto Sans"/>
        <family val="2"/>
      </rPr>
      <t xml:space="preserve"> is lagrein, 1st made ~2010, 100% stems</t>
    </r>
  </si>
  <si>
    <t>2018 daughter Gloria joins</t>
  </si>
  <si>
    <t>2007 Uncle Josef Mayr-Nusser beatified</t>
  </si>
  <si>
    <t>2007 1st Galloni write up</t>
  </si>
  <si>
    <t>1994 organic certified</t>
  </si>
  <si>
    <t>1992 teroldego planted</t>
  </si>
  <si>
    <t>1988 1st bottling</t>
  </si>
  <si>
    <t>1930 Sta Maddalena vineyard for Elda planted</t>
  </si>
  <si>
    <t>1788 farm, aka 'maso' is founded</t>
  </si>
  <si>
    <t>Slow Wine 2011-2020, 'Snail' Award</t>
  </si>
  <si>
    <t>Elda is regularly awarded 'Vino Slow'</t>
  </si>
  <si>
    <t>Lagrein Riserva 2013 is awarded 'Vino Slow'</t>
  </si>
  <si>
    <t>GROWER CODE: NUSSERHOF</t>
  </si>
  <si>
    <r>
      <t xml:space="preserve">NB </t>
    </r>
    <r>
      <rPr>
        <b/>
        <i/>
        <sz val="8"/>
        <color theme="1" tint="0.14999847407452621"/>
        <rFont val="Noto Sans"/>
        <family val="2"/>
      </rPr>
      <t>MOSTLY</t>
    </r>
    <r>
      <rPr>
        <b/>
        <sz val="8"/>
        <color theme="1" tint="0.14999847407452621"/>
        <rFont val="Noto Sans"/>
        <family val="2"/>
      </rPr>
      <t xml:space="preserve"> IN THE VAULTS, EDINBURGH</t>
    </r>
  </si>
  <si>
    <t>CANTINA CALDARO, aka</t>
  </si>
  <si>
    <t>BIANCO / WEISS:</t>
  </si>
  <si>
    <t>KELLEREI KALTERN</t>
  </si>
  <si>
    <t>23KALTERN01VDP</t>
  </si>
  <si>
    <t>440ha, 590 growers. 50/50 white/red vines</t>
  </si>
  <si>
    <t>18KALTERN05TB</t>
  </si>
  <si>
    <t>100% hand-harvest; 25% planted to schiava</t>
  </si>
  <si>
    <t>18KALTERN04TB</t>
  </si>
  <si>
    <t>Vineyards at 200m-700m altitude range</t>
  </si>
  <si>
    <t>18KALTERN07TB</t>
  </si>
  <si>
    <t>Founded 1900. Andrea Moser, winemaker</t>
  </si>
  <si>
    <t>18KALTERN08TB</t>
  </si>
  <si>
    <t>Sustainable certified Fair'n'Green, 2018</t>
  </si>
  <si>
    <t>ROSSO / ROT:</t>
  </si>
  <si>
    <r>
      <t>plus some growers</t>
    </r>
    <r>
      <rPr>
        <b/>
        <sz val="8"/>
        <color rgb="FF00B050"/>
        <rFont val="Noto Sans"/>
        <family val="2"/>
      </rPr>
      <t xml:space="preserve"> Biodynamic</t>
    </r>
  </si>
  <si>
    <t>22KALTERN02VDP</t>
  </si>
  <si>
    <t>18KALTERN09TB</t>
  </si>
  <si>
    <t>KellereiKaltern.com</t>
  </si>
  <si>
    <t>GROWER CODE: KALTERN</t>
  </si>
  <si>
    <t>Italy, Trentino</t>
  </si>
  <si>
    <t>KIND WORDS ON DALZOCCHIO PINOT:</t>
  </si>
  <si>
    <r>
      <rPr>
        <b/>
        <sz val="7"/>
        <color theme="1" tint="0.499984740745262"/>
        <rFont val="Noto Sans"/>
        <family val="2"/>
      </rPr>
      <t>Eric Guido, Vinous 2020</t>
    </r>
    <r>
      <rPr>
        <sz val="7"/>
        <color theme="1" tint="0.499984740745262"/>
        <rFont val="Noto Sans"/>
        <family val="2"/>
      </rPr>
      <t xml:space="preserve"> 'stunning, reminding me of some of the more adventurous and experimental Pinots coming out of Oregon'</t>
    </r>
  </si>
  <si>
    <t>DALZOCCHIO, Elisabetta</t>
  </si>
  <si>
    <t>19DALZO01</t>
  </si>
  <si>
    <t>2ha vines, 2ha forest. Rovereto, 340m</t>
  </si>
  <si>
    <t>17DALZO01MG</t>
  </si>
  <si>
    <t>Organic certified ICEA</t>
  </si>
  <si>
    <r>
      <rPr>
        <b/>
        <sz val="8"/>
        <color rgb="FF00B050"/>
        <rFont val="Noto Sans"/>
        <family val="2"/>
      </rPr>
      <t>Biodynamic</t>
    </r>
    <r>
      <rPr>
        <sz val="8"/>
        <color theme="1" tint="0.14999847407452621"/>
        <rFont val="Noto Sans"/>
        <family val="2"/>
      </rPr>
      <t>; ambient ferment. Since 1995</t>
    </r>
  </si>
  <si>
    <t>Wine is labelled IGT Vigneti delle Dolomiti</t>
  </si>
  <si>
    <t>Dalzocchio.it</t>
  </si>
  <si>
    <t>GROWER CODE: DALZO</t>
  </si>
  <si>
    <t>Italy, Veneto - Valpolicella hills</t>
  </si>
  <si>
    <t>CORTE LENGUIN, by</t>
  </si>
  <si>
    <t>DRY RED:</t>
  </si>
  <si>
    <t>Silvio Fantini &amp; family</t>
  </si>
  <si>
    <t>18CORTEL01</t>
  </si>
  <si>
    <t>10ha on Monte Sant'Urbano, classico zone</t>
  </si>
  <si>
    <t>at 150-300m. Classic blend of grapes:</t>
  </si>
  <si>
    <t>19CORTEL01</t>
  </si>
  <si>
    <t>corvina, corvinone, rondinella, molinara</t>
  </si>
  <si>
    <t>24CORTEL02</t>
  </si>
  <si>
    <t>22hl Slavonian, 500L &amp; 225L French casks:</t>
  </si>
  <si>
    <t>22CORTEL01</t>
  </si>
  <si>
    <t>ELEVAGE PROGRAM:</t>
  </si>
  <si>
    <t>SWEET RED:</t>
  </si>
  <si>
    <t>Valpolicella &amp; Recioto are raised in tank</t>
  </si>
  <si>
    <t>24CORTEL03</t>
  </si>
  <si>
    <t>Valpol' Ripasso sees 12months mixed barrels</t>
  </si>
  <si>
    <t>Amarone has 36mths elevage in 22hl botte</t>
  </si>
  <si>
    <t>CorteLenguin.it</t>
  </si>
  <si>
    <t>NB SEE DISTILLATO BY GOBETTI</t>
  </si>
  <si>
    <t>GROWER CODE: CORTEL</t>
  </si>
  <si>
    <t>CORTE LAVEL by Marion,</t>
  </si>
  <si>
    <t>VALPOLICELLA:</t>
  </si>
  <si>
    <t>Famiglia Campadelli</t>
  </si>
  <si>
    <t>19MARION07</t>
  </si>
  <si>
    <t>Stefano Campedelli. Valpolicella</t>
  </si>
  <si>
    <t>18MARION04</t>
  </si>
  <si>
    <r>
      <rPr>
        <b/>
        <sz val="8"/>
        <color rgb="FF00B050"/>
        <rFont val="Noto Sans"/>
        <family val="2"/>
      </rPr>
      <t>sustainable</t>
    </r>
    <r>
      <rPr>
        <sz val="8"/>
        <color theme="1" tint="0.14999847407452621"/>
        <rFont val="Noto Sans"/>
        <family val="2"/>
      </rPr>
      <t xml:space="preserve"> on limestone at Marcellise</t>
    </r>
  </si>
  <si>
    <t>AMARONE:</t>
  </si>
  <si>
    <t>natural drying by air/wind practiced</t>
  </si>
  <si>
    <t>24MARION01</t>
  </si>
  <si>
    <t>most all wines from partly dried grapes</t>
  </si>
  <si>
    <t>no barriques: tonneaux &amp; botte used</t>
  </si>
  <si>
    <t>introduced to Raeburn by dal'Forno</t>
  </si>
  <si>
    <t>2017 11ha Corte Lavel bought back, with 6ha v/y</t>
  </si>
  <si>
    <t>2013 1st vintage of Corte Lavel terroir</t>
  </si>
  <si>
    <t>2006 new cellar built</t>
  </si>
  <si>
    <t>1996 first vintage released</t>
  </si>
  <si>
    <t>1986 initial estate purchased</t>
  </si>
  <si>
    <t>MarionVini.it</t>
  </si>
  <si>
    <t>GROWER CODE: MARION</t>
  </si>
  <si>
    <t>NB SEE MARION BELOW</t>
  </si>
  <si>
    <t>MARION</t>
  </si>
  <si>
    <t>MARION HALVES:</t>
  </si>
  <si>
    <t>by Famiglia Campadelli</t>
  </si>
  <si>
    <t>20MARION01HF</t>
  </si>
  <si>
    <t>Stefano Campedelli. Valpolicella, 25ha</t>
  </si>
  <si>
    <t>20MARION02HF</t>
  </si>
  <si>
    <t>MARION IN BOTTLES:</t>
  </si>
  <si>
    <t>24MARION03</t>
  </si>
  <si>
    <t>19MARION02</t>
  </si>
  <si>
    <t>20MARION03</t>
  </si>
  <si>
    <t>19MARION05</t>
  </si>
  <si>
    <t>24MARION02</t>
  </si>
  <si>
    <t>MARION LARGE FORMAT:</t>
  </si>
  <si>
    <t>19MARION06MG</t>
  </si>
  <si>
    <t>19MARION03MG</t>
  </si>
  <si>
    <t>15MARION05MG</t>
  </si>
  <si>
    <t>17MARION04MG</t>
  </si>
  <si>
    <t>15MARION01MG</t>
  </si>
  <si>
    <t>NB SEE CORTE LAVEL ABOVE</t>
  </si>
  <si>
    <t>DAL’FORNO, Romano</t>
  </si>
  <si>
    <t>17DALFORNO05DM</t>
  </si>
  <si>
    <r>
      <t xml:space="preserve">Illasi, Valpolicella. 25ha; </t>
    </r>
    <r>
      <rPr>
        <b/>
        <sz val="8"/>
        <color rgb="FF00B050"/>
        <rFont val="Noto Sans"/>
        <family val="2"/>
      </rPr>
      <t>sustainable</t>
    </r>
  </si>
  <si>
    <t>21DALFORNO03MC</t>
  </si>
  <si>
    <t>Romano &amp; Loretta, sons Luca, Michele,</t>
  </si>
  <si>
    <t>17DALFORNO04HF</t>
  </si>
  <si>
    <t>&amp; Marco. meticulous viticulture by hand</t>
  </si>
  <si>
    <t>08DALFORNO06</t>
  </si>
  <si>
    <t>no adjustments made in cellar</t>
  </si>
  <si>
    <t>36mths elevage in French barrels</t>
  </si>
  <si>
    <t>2015 &amp; 2014 in Suckling's Top 100 Italian WOTY</t>
  </si>
  <si>
    <t>2014 Amarone 2008 in Suckling's Top 100 WOTY</t>
  </si>
  <si>
    <t>2013 1st entry in IWR Top 100 WOTY</t>
  </si>
  <si>
    <t>2009 Wine Enthusiast, Top 100 Cellar Selection</t>
  </si>
  <si>
    <t>1983 founded by Romano &amp; Loretta Dal'Forno</t>
  </si>
  <si>
    <t>1957 Romano dal'Forno born</t>
  </si>
  <si>
    <t>DalFornoRomano.it</t>
  </si>
  <si>
    <t>GROWER CODE: DALFORNO</t>
  </si>
  <si>
    <t>Italy, Veneto, rest of</t>
  </si>
  <si>
    <r>
      <t>'Where Lugana meets the Lake' - '</t>
    </r>
    <r>
      <rPr>
        <i/>
        <sz val="7"/>
        <color theme="1" tint="0.499984740745262"/>
        <rFont val="Noto Sans"/>
        <family val="2"/>
      </rPr>
      <t>Dove Il Lugana incontra il Lago</t>
    </r>
    <r>
      <rPr>
        <sz val="7"/>
        <color theme="1" tint="0.499984740745262"/>
        <rFont val="Noto Sans"/>
        <family val="2"/>
      </rPr>
      <t>'</t>
    </r>
  </si>
  <si>
    <r>
      <rPr>
        <b/>
        <sz val="7"/>
        <color theme="1" tint="0.499984740745262"/>
        <rFont val="Noto Sans"/>
        <family val="2"/>
      </rPr>
      <t>Luigi Veronelli</t>
    </r>
    <r>
      <rPr>
        <sz val="7"/>
        <color theme="1" tint="0.499984740745262"/>
        <rFont val="Noto Sans"/>
        <family val="2"/>
      </rPr>
      <t xml:space="preserve"> 'Lugana, which is rare in wines, has a distinctive flavour that is instantly recognizable… Once you have tried Lugana, if you are</t>
    </r>
  </si>
  <si>
    <t>a true connoisseur, you will remember it.'</t>
  </si>
  <si>
    <t>CORTE SERMANA</t>
  </si>
  <si>
    <t>23CSERMANA01</t>
  </si>
  <si>
    <t>Lugana DOC, at Peschiera di Garda,</t>
  </si>
  <si>
    <t>22CSERMANA01</t>
  </si>
  <si>
    <t>on the South shore. Filippo Bottaccini</t>
  </si>
  <si>
    <t>23CSERMANA02</t>
  </si>
  <si>
    <t>2ha turbiana vines (i.e. trebbiano di Soave)</t>
  </si>
  <si>
    <t>22CSERMANA02</t>
  </si>
  <si>
    <t>(NB actually stradlles Lombardy &amp; Veneto)</t>
  </si>
  <si>
    <t>2ha vines; no herbicide used</t>
  </si>
  <si>
    <r>
      <rPr>
        <b/>
        <sz val="7"/>
        <color theme="1" tint="0.499984740745262"/>
        <rFont val="Noto Sans"/>
        <family val="2"/>
      </rPr>
      <t>CROMALGO</t>
    </r>
    <r>
      <rPr>
        <sz val="7"/>
        <color theme="1" tint="0.499984740745262"/>
        <rFont val="Noto Sans"/>
        <family val="2"/>
      </rPr>
      <t>: 6mths on lees in tank</t>
    </r>
  </si>
  <si>
    <r>
      <rPr>
        <b/>
        <sz val="7"/>
        <color theme="1" tint="0.499984740745262"/>
        <rFont val="Noto Sans"/>
        <family val="2"/>
      </rPr>
      <t>RISERVA</t>
    </r>
    <r>
      <rPr>
        <sz val="7"/>
        <color theme="1" tint="0.499984740745262"/>
        <rFont val="Noto Sans"/>
        <family val="2"/>
      </rPr>
      <t>: 12-18mths on lees in tank &amp; tonneaux</t>
    </r>
  </si>
  <si>
    <t>CorteSermana.it</t>
  </si>
  <si>
    <t>facebook.com/cortesermana</t>
  </si>
  <si>
    <t>GROWER CODE: CSERMANA</t>
  </si>
  <si>
    <t>RAVAL</t>
  </si>
  <si>
    <t>Bardolino, Lago di Garda. 12ha</t>
  </si>
  <si>
    <t>24RAVAL02</t>
  </si>
  <si>
    <t>22RAVAL02</t>
  </si>
  <si>
    <t>AgriturismoRaval.it</t>
  </si>
  <si>
    <t>CHIARETTO / ROSATO:</t>
  </si>
  <si>
    <t>ilBardolino.com</t>
  </si>
  <si>
    <t>24RAVAL03</t>
  </si>
  <si>
    <t>23RAVAL03</t>
  </si>
  <si>
    <t>GROWER CODE: RAVAL</t>
  </si>
  <si>
    <t>24RAVAL01</t>
  </si>
  <si>
    <t>FILIPPI, Alessandro</t>
  </si>
  <si>
    <t>21DLUCE01TB</t>
  </si>
  <si>
    <t>Soave, at Castelcerino. Ambient yeast</t>
  </si>
  <si>
    <t>21DLUCE02TB</t>
  </si>
  <si>
    <t>no certification; Ⓥ Vegan compatible</t>
  </si>
  <si>
    <t>ViniDiLuce.com</t>
  </si>
  <si>
    <t>NB SEE RADO KOCJANCIC (Carso)</t>
  </si>
  <si>
    <t>NB SEE MEGGIOLARO (Veneto)</t>
  </si>
  <si>
    <t xml:space="preserve">GROWER CODE: DLUCE </t>
  </si>
  <si>
    <t>MEGGIOLARO, Cristiana</t>
  </si>
  <si>
    <t>Lessina zone cellar, plus other vineyards</t>
  </si>
  <si>
    <t>16DLUCE06TB</t>
  </si>
  <si>
    <t>~5ha. Founded 2008. Unfined</t>
  </si>
  <si>
    <r>
      <t>Alessandro Filippi consults since</t>
    </r>
    <r>
      <rPr>
        <sz val="8"/>
        <color theme="1" tint="0.14999847407452621"/>
        <rFont val="Noto Sans"/>
        <family val="2"/>
      </rPr>
      <t xml:space="preserve"> </t>
    </r>
    <r>
      <rPr>
        <sz val="7.5"/>
        <color theme="1" tint="0.14999847407452621"/>
        <rFont val="Noto Sans"/>
        <family val="2"/>
      </rPr>
      <t>2012</t>
    </r>
  </si>
  <si>
    <t>Sottoca' col fondo SSA is under crown cap,</t>
  </si>
  <si>
    <t>(now mid-mature, low-pressure)</t>
  </si>
  <si>
    <t>Organic certified Suolo e Salute 2017</t>
  </si>
  <si>
    <t>MeggiolaroVini.it</t>
  </si>
  <si>
    <t xml:space="preserve">GROWER CODES: MEGG / DLUCE </t>
  </si>
  <si>
    <t>LA BIANCARA</t>
  </si>
  <si>
    <t>14LABIAN05TB</t>
  </si>
  <si>
    <t>Maule family, Gambellara. 12ha</t>
  </si>
  <si>
    <t>09BIANCAR02P</t>
  </si>
  <si>
    <t>ambient yeast; low/no added SO2</t>
  </si>
  <si>
    <t>actually in 'forest farming' school</t>
  </si>
  <si>
    <t>BiancaraVini.it</t>
  </si>
  <si>
    <t>VinNatur.it</t>
  </si>
  <si>
    <t>GROWER CODE: LABIAN</t>
  </si>
  <si>
    <t>ORTO</t>
  </si>
  <si>
    <t>19ORTO01TB</t>
  </si>
  <si>
    <t>Sant'Erasmo island, Venice. 4.5ha. 0.5masl</t>
  </si>
  <si>
    <t>19ORTO02TB</t>
  </si>
  <si>
    <t>Michel Thoulouze, with A.Graillot (to 2022),</t>
  </si>
  <si>
    <t>16ORTO03JB</t>
  </si>
  <si>
    <t>consultants Claude &amp; Lydia Bourguignon</t>
  </si>
  <si>
    <t xml:space="preserve">ungrafted malvasia Istriana, et al. </t>
  </si>
  <si>
    <t>OrtoDiVenezia.com</t>
  </si>
  <si>
    <t>GROWER CODE: ORTO</t>
  </si>
  <si>
    <t>Italy, Veneto - Prosecco country</t>
  </si>
  <si>
    <t>BORGO FRARE / IL COLLE</t>
  </si>
  <si>
    <t>24ILCOLL01</t>
  </si>
  <si>
    <t>San Pietro di Feletto. Fabio Ceschin &amp; fam.</t>
  </si>
  <si>
    <t>24ILCOLL02</t>
  </si>
  <si>
    <t>sustainable, Ⓥ Vegan compatible</t>
  </si>
  <si>
    <r>
      <rPr>
        <sz val="8"/>
        <rFont val="Noto Sans"/>
        <family val="2"/>
      </rPr>
      <t xml:space="preserve">partly </t>
    </r>
    <r>
      <rPr>
        <b/>
        <sz val="8"/>
        <color rgb="FF00B050"/>
        <rFont val="Noto Sans"/>
        <family val="2"/>
      </rPr>
      <t>Organic certified 'BIOLOGICO' ICEA</t>
    </r>
  </si>
  <si>
    <t>2015 next generation join the business</t>
  </si>
  <si>
    <t>1978 label founded by Fabio</t>
  </si>
  <si>
    <t>1920s orgins of family winemaking</t>
  </si>
  <si>
    <t>NB spumante wines have full pressure</t>
  </si>
  <si>
    <t>ProseccoIlColle.it</t>
  </si>
  <si>
    <t>GROWER CODE: ILCOLL</t>
  </si>
  <si>
    <t>KIND WORDS ON ZAGO:</t>
  </si>
  <si>
    <r>
      <t>Slow Wine Guide 2018</t>
    </r>
    <r>
      <rPr>
        <sz val="7"/>
        <color theme="1" tint="0.499984740745262"/>
        <rFont val="Noto Sans"/>
        <family val="2"/>
      </rPr>
      <t xml:space="preserve"> 'Christian &amp; Marika Zago are now a point of reference in the 'Prosecco-with-the-lees' world.</t>
    </r>
  </si>
  <si>
    <r>
      <t>Slow Wine Guide 2017</t>
    </r>
    <r>
      <rPr>
        <sz val="7"/>
        <color theme="1" tint="0.499984740745262"/>
        <rFont val="Noto Sans"/>
        <family val="2"/>
      </rPr>
      <t xml:space="preserve"> 'showing the world that the most famous Italian bubbly is contrived not with strange alchemies but by fierce commitment.'</t>
    </r>
  </si>
  <si>
    <t>CA'DEI ZAGO</t>
  </si>
  <si>
    <t>COL-FONDO METHOD:</t>
  </si>
  <si>
    <t>Cristian Zago &amp; sister Marika</t>
  </si>
  <si>
    <t>19ZAGO02TB</t>
  </si>
  <si>
    <r>
      <t xml:space="preserve">6ha. </t>
    </r>
    <r>
      <rPr>
        <b/>
        <sz val="8"/>
        <color rgb="FF00B050"/>
        <rFont val="Noto Sans"/>
        <family val="2"/>
      </rPr>
      <t>Biodynamic</t>
    </r>
    <r>
      <rPr>
        <sz val="8"/>
        <color theme="1" tint="0.14999847407452621"/>
        <rFont val="Noto Sans"/>
        <family val="2"/>
      </rPr>
      <t xml:space="preserve"> vines, avg. &gt;50yrs, incl:</t>
    </r>
  </si>
  <si>
    <t>19ZAGO01TB</t>
  </si>
  <si>
    <t>4.5ha at Valdobbiadene, 1.5ha at Cartizze</t>
  </si>
  <si>
    <t>19ZAGO01MTB</t>
  </si>
  <si>
    <t>old dry farmed pergola vines, at 220-400m</t>
  </si>
  <si>
    <t>ambient yeast; modest SO2</t>
  </si>
  <si>
    <t>founded 1924; 1st bottling 1955</t>
  </si>
  <si>
    <r>
      <rPr>
        <b/>
        <sz val="7"/>
        <color theme="1" tint="0.499984740745262"/>
        <rFont val="Noto Sans"/>
        <family val="2"/>
      </rPr>
      <t>Zago prosecco:</t>
    </r>
    <r>
      <rPr>
        <sz val="7"/>
        <color theme="1" tint="0.499984740745262"/>
        <rFont val="Noto Sans"/>
        <family val="2"/>
      </rPr>
      <t xml:space="preserve"> col-fondo, crown cap, DOC, from</t>
    </r>
  </si>
  <si>
    <t>old clone glera, plus verdiso, perera, bianchetta</t>
  </si>
  <si>
    <r>
      <rPr>
        <b/>
        <sz val="7"/>
        <color theme="1" tint="0.499984740745262"/>
        <rFont val="Noto Sans"/>
        <family val="2"/>
      </rPr>
      <t>Zago spumante:</t>
    </r>
    <r>
      <rPr>
        <sz val="7"/>
        <color theme="1" tint="0.499984740745262"/>
        <rFont val="Noto Sans"/>
        <family val="2"/>
      </rPr>
      <t xml:space="preserve"> metodo classico DOCG, aka </t>
    </r>
  </si>
  <si>
    <t>methode traditionelle, Champagne method</t>
  </si>
  <si>
    <t>Glera 90%, verdiso 5%, 5% perera &amp; bianchetta</t>
  </si>
  <si>
    <t>Slow Wine 2017-2018, 'Snail' Award</t>
  </si>
  <si>
    <t>CaDeiZago.it</t>
  </si>
  <si>
    <t>GROWER CODE: ZAGO</t>
  </si>
  <si>
    <t>CASA COSTE PIANE</t>
  </si>
  <si>
    <t>16COSTE01TB</t>
  </si>
  <si>
    <t>Follador family; Valdobbiadene. ~6ha</t>
  </si>
  <si>
    <t>18COSTE01TB</t>
  </si>
  <si>
    <r>
      <t>60-100yr</t>
    </r>
    <r>
      <rPr>
        <b/>
        <sz val="8"/>
        <color rgb="FF00B050"/>
        <rFont val="Noto Sans"/>
        <family val="2"/>
      </rPr>
      <t xml:space="preserve"> </t>
    </r>
    <r>
      <rPr>
        <sz val="8"/>
        <color theme="1" tint="0.14999847407452621"/>
        <rFont val="Noto Sans"/>
        <family val="2"/>
      </rPr>
      <t xml:space="preserve">terraced vines; </t>
    </r>
    <r>
      <rPr>
        <b/>
        <sz val="8"/>
        <color rgb="FF00B050"/>
        <rFont val="Noto Sans"/>
        <family val="2"/>
      </rPr>
      <t>no certification</t>
    </r>
  </si>
  <si>
    <t xml:space="preserve">at 300-400m, for 40K bottles/yr </t>
  </si>
  <si>
    <t>bottle refermented, undisgorged, low SO2</t>
  </si>
  <si>
    <r>
      <t xml:space="preserve">bentonite-clay fined; </t>
    </r>
    <r>
      <rPr>
        <b/>
        <sz val="8"/>
        <color rgb="FF00B050"/>
        <rFont val="Noto Sans"/>
        <family val="2"/>
      </rPr>
      <t>Ⓥ Vegan compatible</t>
    </r>
  </si>
  <si>
    <t>Slow Wine 2011-23, 'Snail' Award</t>
  </si>
  <si>
    <t>NB: Scottish Agent</t>
  </si>
  <si>
    <t>GROWER CODE: COSTE</t>
  </si>
  <si>
    <t>Italy, Collio, COF &amp; Carso</t>
  </si>
  <si>
    <t>KIND WORDS ON DULINE, etc.:</t>
  </si>
  <si>
    <r>
      <t xml:space="preserve">Slow Wine Guide, 2020 </t>
    </r>
    <r>
      <rPr>
        <sz val="7"/>
        <color theme="1" tint="0.499984740745262"/>
        <rFont val="Noto Sans"/>
        <family val="2"/>
      </rPr>
      <t>'(a) life project that Lorenzo Mochiutti &amp; his wife Federica Magrini have been developing with originality &amp; absolute rigor since '97'</t>
    </r>
  </si>
  <si>
    <r>
      <t xml:space="preserve">Slow Wine Guide, 2016 </t>
    </r>
    <r>
      <rPr>
        <sz val="7"/>
        <color theme="1" tint="0.499984740745262"/>
        <rFont val="Noto Sans"/>
        <family val="2"/>
      </rPr>
      <t>'by studying the past they could bring back to light the 'secrets' of healthy organic viticulture.'</t>
    </r>
  </si>
  <si>
    <r>
      <t>Slow Wine Guide, 2015</t>
    </r>
    <r>
      <rPr>
        <sz val="7"/>
        <color theme="1" tint="0.499984740745262"/>
        <rFont val="Noto Sans"/>
        <family val="2"/>
      </rPr>
      <t xml:space="preserve"> 'For it's singularity, for it's young history, for its particular approach in the vineyard…one of the most interesting wineries</t>
    </r>
  </si>
  <si>
    <t>on the whole regional wine scene.'</t>
  </si>
  <si>
    <r>
      <t>Slow Wine Guide, 2015</t>
    </r>
    <r>
      <rPr>
        <sz val="7"/>
        <color theme="1" tint="0.499984740745262"/>
        <rFont val="Noto Sans"/>
        <family val="2"/>
      </rPr>
      <t xml:space="preserve"> 'an ode to biodiversity'</t>
    </r>
  </si>
  <si>
    <r>
      <t>Slow Wine Guide, 2013</t>
    </r>
    <r>
      <rPr>
        <sz val="7"/>
        <color theme="1" tint="0.499984740745262"/>
        <rFont val="Noto Sans"/>
        <family val="2"/>
      </rPr>
      <t xml:space="preserve"> 'His vines have achieved a natural balance which reduces human intervention in the field'  </t>
    </r>
  </si>
  <si>
    <r>
      <t>Slow Wine Guide, 2012</t>
    </r>
    <r>
      <rPr>
        <sz val="7"/>
        <color theme="1" tint="0.499984740745262"/>
        <rFont val="Noto Sans"/>
        <family val="2"/>
      </rPr>
      <t xml:space="preserve"> 'Making wine here is an art form, a matter of active contemplation based on agronomic and oenological skill. The end result</t>
    </r>
  </si>
  <si>
    <t>conveys emotion, in the vineyard and in the glass.'</t>
  </si>
  <si>
    <t>DULINE ON DULINE:</t>
  </si>
  <si>
    <r>
      <rPr>
        <b/>
        <sz val="7"/>
        <color theme="1" tint="0.499984740745262"/>
        <rFont val="Noto Sans"/>
        <family val="2"/>
      </rPr>
      <t>Duline motto</t>
    </r>
    <r>
      <rPr>
        <sz val="7"/>
        <color theme="1" tint="0.499984740745262"/>
        <rFont val="Noto Sans"/>
        <family val="2"/>
      </rPr>
      <t xml:space="preserve"> - '</t>
    </r>
    <r>
      <rPr>
        <i/>
        <sz val="7"/>
        <color theme="1" tint="0.499984740745262"/>
        <rFont val="Noto Sans"/>
        <family val="2"/>
      </rPr>
      <t>Chioma Integrale</t>
    </r>
    <r>
      <rPr>
        <sz val="7"/>
        <color theme="1" tint="0.499984740745262"/>
        <rFont val="Noto Sans"/>
        <family val="2"/>
      </rPr>
      <t>®' - 'No trimming of the shoots'</t>
    </r>
  </si>
  <si>
    <r>
      <rPr>
        <b/>
        <sz val="7"/>
        <color theme="1" tint="0.499984740745262"/>
        <rFont val="Noto Sans"/>
        <family val="2"/>
      </rPr>
      <t>Duline label</t>
    </r>
    <r>
      <rPr>
        <b/>
        <i/>
        <sz val="7"/>
        <color theme="1" tint="0.499984740745262"/>
        <rFont val="Noto Sans"/>
        <family val="2"/>
      </rPr>
      <t xml:space="preserve"> </t>
    </r>
    <r>
      <rPr>
        <i/>
        <sz val="7"/>
        <color theme="1" tint="0.499984740745262"/>
        <rFont val="Noto Sans"/>
        <family val="2"/>
      </rPr>
      <t>'La Poesia - Il Sogno - La Rivoluzione - L'Amore'</t>
    </r>
    <r>
      <rPr>
        <sz val="7"/>
        <color theme="1" tint="0.499984740745262"/>
        <rFont val="Noto Sans"/>
        <family val="2"/>
      </rPr>
      <t xml:space="preserve"> i.e. 'Poetry - Dreams - Revolution - Love'</t>
    </r>
  </si>
  <si>
    <r>
      <rPr>
        <b/>
        <sz val="7"/>
        <color theme="1" tint="0.499984740745262"/>
        <rFont val="Noto Sans"/>
        <family val="2"/>
      </rPr>
      <t xml:space="preserve">Lorenzo &amp; Federica: </t>
    </r>
    <r>
      <rPr>
        <sz val="7"/>
        <color theme="1" tint="0.499984740745262"/>
        <rFont val="Noto Sans"/>
        <family val="2"/>
      </rPr>
      <t>'Vignai da Duline è un progetto creativo di due persone tornate in sinergia con la Terra'</t>
    </r>
  </si>
  <si>
    <r>
      <rPr>
        <b/>
        <sz val="7"/>
        <color theme="1" tint="0.499984740745262"/>
        <rFont val="Noto Sans"/>
        <family val="2"/>
      </rPr>
      <t>Lorenzo &amp; Federica:</t>
    </r>
    <r>
      <rPr>
        <sz val="7"/>
        <color theme="1" tint="0.499984740745262"/>
        <rFont val="Noto Sans"/>
        <family val="2"/>
      </rPr>
      <t xml:space="preserve"> 'We believe our wines can convey our respect for the delicate balance of our environment, the care and personal attention we afford</t>
    </r>
  </si>
  <si>
    <t>to every stage of the production process, and our pursuit of the highest quality wine and viticulture. The grapes carry a memory of the earth they grew in…'</t>
  </si>
  <si>
    <r>
      <rPr>
        <b/>
        <sz val="7"/>
        <color theme="1" tint="0.499984740745262"/>
        <rFont val="Noto Sans"/>
        <family val="2"/>
      </rPr>
      <t>Intro:</t>
    </r>
    <r>
      <rPr>
        <sz val="7"/>
        <color theme="1" tint="0.499984740745262"/>
        <rFont val="Noto Sans"/>
        <family val="2"/>
      </rPr>
      <t xml:space="preserve"> 'Vignai da Duline was born from a creative and agro-cultural project by Lorenzo Mocchiutti and Federica Magrini. With this spirit we</t>
    </r>
  </si>
  <si>
    <r>
      <t xml:space="preserve">continually manage our company: small in numbers but </t>
    </r>
    <r>
      <rPr>
        <i/>
        <sz val="7"/>
        <color theme="1" tint="0.499984740745262"/>
        <rFont val="Noto Sans"/>
        <family val="2"/>
      </rPr>
      <t>not</t>
    </r>
    <r>
      <rPr>
        <sz val="7"/>
        <color theme="1" tint="0.499984740745262"/>
        <rFont val="Noto Sans"/>
        <family val="2"/>
      </rPr>
      <t xml:space="preserve"> in ambitions. The recovery and preservation of the old vines remains the primary objective</t>
    </r>
  </si>
  <si>
    <t>for us, not only for the search for the absolute quality of the raw material, but also as a modern interpretation of the recovery of tradition.</t>
  </si>
  <si>
    <t>Our logo with the married vines, chosen from the beginning of our history, represents us in everything: solidity but also the ability to 'grow forth' into</t>
  </si>
  <si>
    <t>many projects. The 'Chioma Integrale®' management of our vineyards, together with the synergistic cover-cropping, together best represent our way</t>
  </si>
  <si>
    <t>to bring innovation without forgetting the generations that preceded us in the vineyards. And thanks to these intuitions that we have experimented</t>
  </si>
  <si>
    <t>with tenacity, we reap great satisfaction.'</t>
  </si>
  <si>
    <r>
      <rPr>
        <b/>
        <sz val="7"/>
        <color theme="1" tint="0.499984740745262"/>
        <rFont val="Noto Sans"/>
        <family val="2"/>
      </rPr>
      <t xml:space="preserve">Lorenzo &amp; Federica: </t>
    </r>
    <r>
      <rPr>
        <sz val="7"/>
        <color theme="1" tint="0.499984740745262"/>
        <rFont val="Noto Sans"/>
        <family val="2"/>
      </rPr>
      <t>'In Refosco we trust!'</t>
    </r>
  </si>
  <si>
    <t>VIGNAI DA DULINE, by</t>
  </si>
  <si>
    <t>RONCO PITOTTI PINOT GRIGIO BIANCO - 1958 VV &amp; 1984</t>
  </si>
  <si>
    <t>LORENZO MOCCHIUTI &amp;</t>
  </si>
  <si>
    <t>VINES, FROM LARGE 12hl TRONCONIC OAK VAT:</t>
  </si>
  <si>
    <t>FEDERICA MAGRINI</t>
  </si>
  <si>
    <t>23DULINE02</t>
  </si>
  <si>
    <t>Collio Orientali &amp; Grave del Friuli</t>
  </si>
  <si>
    <t>22DULINE02</t>
  </si>
  <si>
    <t>now ~10ha vines in 2 terroirs (see below)</t>
  </si>
  <si>
    <t>21DULINE01</t>
  </si>
  <si>
    <t>alfalfa based cover cropping</t>
  </si>
  <si>
    <t>20DULINE01</t>
  </si>
  <si>
    <t xml:space="preserve">all wines made in wood; ambient yeast </t>
  </si>
  <si>
    <t>19DULINE01</t>
  </si>
  <si>
    <t>mostly old vine, old clone, loose cluster</t>
  </si>
  <si>
    <t>MALVASIA ISTRIANA 'CHIOMA INTEGRALE®' - 1960 VV, 2005 &amp;</t>
  </si>
  <si>
    <t>'biodynamic uncert./Fukuoka inspired'</t>
  </si>
  <si>
    <t>2015 AT LA DULINE, FROM LARGE &amp; SEASONED 225L CASKS,</t>
  </si>
  <si>
    <t>Organic cert 1992 (RP) &amp; 1997 (Duline) CSQA</t>
  </si>
  <si>
    <t>WITH 'LORENZO' LABEL BY LUCA GREMESE. 1st MADE 2014:</t>
  </si>
  <si>
    <t>23DULINE01</t>
  </si>
  <si>
    <t>THE TWO VINEYARDS:</t>
  </si>
  <si>
    <t>22DULINE01</t>
  </si>
  <si>
    <r>
      <rPr>
        <b/>
        <sz val="7"/>
        <color theme="1" tint="0.499984740745262"/>
        <rFont val="Noto Sans"/>
        <family val="2"/>
      </rPr>
      <t>La Duline:</t>
    </r>
    <r>
      <rPr>
        <sz val="7"/>
        <color theme="1" tint="0.499984740745262"/>
        <rFont val="Noto Sans"/>
        <family val="2"/>
      </rPr>
      <t xml:space="preserve"> 4ha at San Giovanni al Natisone, Grave-</t>
    </r>
  </si>
  <si>
    <t>18DULINE08</t>
  </si>
  <si>
    <t>del Friuli zone, with limestone gravels and red clay</t>
  </si>
  <si>
    <t>16DULINE10TB</t>
  </si>
  <si>
    <t>Family vines back to 1920, with wooden house,</t>
  </si>
  <si>
    <t>DULINE FRIULANO - THEIR OLDEST VINES FROM 1920 TVV</t>
  </si>
  <si>
    <t>and stabling for the draft-horses</t>
  </si>
  <si>
    <t>&amp; 1936 VV, FROM 12hl OAK VAT &amp; SEASONED 250L CASKS:</t>
  </si>
  <si>
    <r>
      <rPr>
        <b/>
        <sz val="7"/>
        <color theme="1" tint="0.499984740745262"/>
        <rFont val="Noto Sans"/>
        <family val="2"/>
      </rPr>
      <t>Ronco Pitotti:</t>
    </r>
    <r>
      <rPr>
        <sz val="7"/>
        <color theme="1" tint="0.499984740745262"/>
        <rFont val="Noto Sans"/>
        <family val="2"/>
      </rPr>
      <t xml:space="preserve"> 6ha vines, 20ha woods, Manzano,</t>
    </r>
  </si>
  <si>
    <t>23DULINE04</t>
  </si>
  <si>
    <t>Friuli Colli Orientali zone. Organic work since 1970s</t>
  </si>
  <si>
    <t>22DULINE04</t>
  </si>
  <si>
    <t xml:space="preserve">Flysch: compacted clay terroir with some sand </t>
  </si>
  <si>
    <t>21DULINE02</t>
  </si>
  <si>
    <t>MORUS BIANCO &amp; MORUS NIGRA:</t>
  </si>
  <si>
    <t>20DULINE03</t>
  </si>
  <si>
    <t>Two ''flagship'' blended wines, named after the</t>
  </si>
  <si>
    <t>19DULINE03</t>
  </si>
  <si>
    <t>pollarded mulberry trees, Morus in Latin, which</t>
  </si>
  <si>
    <t>18DULINE01</t>
  </si>
  <si>
    <t>stand at La Duline: the logo of the winery.</t>
  </si>
  <si>
    <t>17DULINE01</t>
  </si>
  <si>
    <r>
      <rPr>
        <b/>
        <sz val="7"/>
        <color theme="1" tint="0.499984740745262"/>
        <rFont val="Noto Sans"/>
        <family val="2"/>
      </rPr>
      <t>MORUS ALBA:</t>
    </r>
    <r>
      <rPr>
        <sz val="7"/>
        <color theme="1" tint="0.499984740745262"/>
        <rFont val="Noto Sans"/>
        <family val="2"/>
      </rPr>
      <t xml:space="preserve"> malvasia Istriana from La Duline,</t>
    </r>
  </si>
  <si>
    <t>16DULINE01TB</t>
  </si>
  <si>
    <t>sauvignon (1979) from Pitotti. Great, &amp; ageworthy</t>
  </si>
  <si>
    <t>14DULINE04TB</t>
  </si>
  <si>
    <r>
      <rPr>
        <b/>
        <sz val="7"/>
        <color theme="1" tint="0.499984740745262"/>
        <rFont val="Noto Sans"/>
        <family val="2"/>
      </rPr>
      <t>MORUS NIGRA:</t>
    </r>
    <r>
      <rPr>
        <sz val="7"/>
        <color theme="1" tint="0.499984740745262"/>
        <rFont val="Noto Sans"/>
        <family val="2"/>
      </rPr>
      <t xml:space="preserve"> refosco dal peduncolo rosso from</t>
    </r>
  </si>
  <si>
    <t>12DULINE02TB</t>
  </si>
  <si>
    <t>both sites, planted 1996 &amp; 2005. Wild but not OTT</t>
  </si>
  <si>
    <t>RONCO PITOTTI CHARDONNAY - 1979 VINES, FROM MOSTLY</t>
  </si>
  <si>
    <t>MATERIALS:</t>
  </si>
  <si>
    <t>SEASONED MASTRO BOTTAIO 500L DEMI-MUID CASKS:</t>
  </si>
  <si>
    <r>
      <rPr>
        <b/>
        <sz val="7"/>
        <color theme="1" tint="0.499984740745262"/>
        <rFont val="Noto Sans"/>
        <family val="2"/>
      </rPr>
      <t xml:space="preserve">MASTRO BOTTAIO: </t>
    </r>
    <r>
      <rPr>
        <sz val="7"/>
        <color theme="1" tint="0.499984740745262"/>
        <rFont val="Noto Sans"/>
        <family val="2"/>
      </rPr>
      <t xml:space="preserve"> 500L demi muids, 5yr stave </t>
    </r>
  </si>
  <si>
    <t>23DULINE05</t>
  </si>
  <si>
    <t>aging, 5cm staves. Buy approx 2 per annum since</t>
  </si>
  <si>
    <t>22DULINE05</t>
  </si>
  <si>
    <t>2014. Used for top whites, new ones on Chard.</t>
  </si>
  <si>
    <t>21DULINE05</t>
  </si>
  <si>
    <r>
      <rPr>
        <b/>
        <sz val="7"/>
        <color theme="1" tint="0.499984740745262"/>
        <rFont val="Noto Sans"/>
        <family val="2"/>
      </rPr>
      <t>CADUS Tonnellerie:</t>
    </r>
    <r>
      <rPr>
        <sz val="7"/>
        <color theme="1" tint="0.499984740745262"/>
        <rFont val="Noto Sans"/>
        <family val="2"/>
      </rPr>
      <t xml:space="preserve"> 225L casks, 2.5cm staves</t>
    </r>
  </si>
  <si>
    <t>20DULINE05</t>
  </si>
  <si>
    <r>
      <rPr>
        <b/>
        <sz val="7"/>
        <color theme="1" tint="0.499984740745262"/>
        <rFont val="Noto Sans"/>
        <family val="2"/>
      </rPr>
      <t>J.VIGAS</t>
    </r>
    <r>
      <rPr>
        <sz val="7"/>
        <color theme="1" tint="0.499984740745262"/>
        <rFont val="Noto Sans"/>
        <family val="2"/>
      </rPr>
      <t>: corks from Catalonia, nosed in research</t>
    </r>
  </si>
  <si>
    <t>19DULINE06</t>
  </si>
  <si>
    <t>program with Udine University</t>
  </si>
  <si>
    <t>18DULINE03</t>
  </si>
  <si>
    <r>
      <rPr>
        <b/>
        <sz val="7"/>
        <color theme="1" tint="0.499984740745262"/>
        <rFont val="Noto Sans"/>
        <family val="2"/>
      </rPr>
      <t>AEFFE:</t>
    </r>
    <r>
      <rPr>
        <sz val="7"/>
        <color theme="1" tint="0.499984740745262"/>
        <rFont val="Noto Sans"/>
        <family val="2"/>
      </rPr>
      <t xml:space="preserve"> high density tested corks from Sardinia</t>
    </r>
  </si>
  <si>
    <t>16DULINE09TB</t>
  </si>
  <si>
    <t>MORUS ALBA® ('WHITE MULBERRY') MALVASIA ISTRIANA VV</t>
  </si>
  <si>
    <t>2023 mutliple vertical tastings held in London</t>
  </si>
  <si>
    <t>&amp; 1979 SAUVIGNON PROPRIETARY BLEND, FROM SEASONED</t>
  </si>
  <si>
    <t>2021 25th vintage</t>
  </si>
  <si>
    <t>MASTRO BOTTAIO 500L DEMI-MUID CASKS:</t>
  </si>
  <si>
    <t>2020 oldest friulano vines become 100yr old tvv</t>
  </si>
  <si>
    <t>23DULINE08</t>
  </si>
  <si>
    <t>2018 Simonetta Lorigliola writes book on Duline</t>
  </si>
  <si>
    <t>22DULINE08</t>
  </si>
  <si>
    <t>2017 new JVigas &amp; Aeffe nosed cork program</t>
  </si>
  <si>
    <t>21DULINE04</t>
  </si>
  <si>
    <t xml:space="preserve">2016 1st vintage sauvignon Ronco Pitotti 'Bamboo' </t>
  </si>
  <si>
    <t>20DULINE04</t>
  </si>
  <si>
    <t>2014 1st vintage malvasia Chioma Integrale®</t>
  </si>
  <si>
    <t>19DULINE04</t>
  </si>
  <si>
    <t>2014 1st use of 5yr 5cm stave 500L Mastro Bottaio</t>
  </si>
  <si>
    <t>18DULINE10SD</t>
  </si>
  <si>
    <t>2009 1st vintage pinot noir Ronco Pitotti</t>
  </si>
  <si>
    <t>17DULINE03</t>
  </si>
  <si>
    <t>2002 1st vintage Giallodi (Tocai Friulano)</t>
  </si>
  <si>
    <t>RONCO PITOTTI SAUVIGNON 1920-1939 VINES WITH BAMBOO</t>
  </si>
  <si>
    <t>2001 Federica &amp; Lorenzo take on Ronco Pitotti</t>
  </si>
  <si>
    <t>LABEL BY FEDERICA &amp; STEFANO PALLAVISINI. 1st MADE 2016</t>
  </si>
  <si>
    <t>1999 1st 'official' vintage: BD farming course</t>
  </si>
  <si>
    <t>MASTRO BOTTAIO 500L DEMI-MUID CASKS. MAX ~600 BTLS:</t>
  </si>
  <si>
    <r>
      <t xml:space="preserve">1997 La Duline is </t>
    </r>
    <r>
      <rPr>
        <b/>
        <sz val="7"/>
        <color rgb="FF00B050"/>
        <rFont val="Noto Sans"/>
        <family val="2"/>
      </rPr>
      <t>Organic certified</t>
    </r>
  </si>
  <si>
    <t>22DULINE11</t>
  </si>
  <si>
    <t>1997 Federica &amp; Lorenzo take on La Duline</t>
  </si>
  <si>
    <t>19DULINE10</t>
  </si>
  <si>
    <t>1990s (early) Lorenzo starts to help grandfather</t>
  </si>
  <si>
    <t>GIALLODI (TOCAI) - YELLOW SKINNED FRIULANO AT DULINE</t>
  </si>
  <si>
    <r>
      <t xml:space="preserve">1992 Ronco Pitotti is </t>
    </r>
    <r>
      <rPr>
        <b/>
        <sz val="7"/>
        <color rgb="FF00B050"/>
        <rFont val="Noto Sans"/>
        <family val="2"/>
      </rPr>
      <t>Organic certified</t>
    </r>
  </si>
  <si>
    <t>FROM SEASONED MASTRO BOTTAIO 500L DEMI-MUID CASKS.</t>
  </si>
  <si>
    <t>1979 start of organics at Ronco Pitotti</t>
  </si>
  <si>
    <t>1st MADE 2002. NB MAX ~500 MAGNUMS ONLY PRODUCED:</t>
  </si>
  <si>
    <t>1920-1939 oldest sauvignon storico planted</t>
  </si>
  <si>
    <t>23DULINE06MG</t>
  </si>
  <si>
    <t>1920s Lorenzo's grandparents plant La Duline</t>
  </si>
  <si>
    <t>22DULINE06MG</t>
  </si>
  <si>
    <r>
      <t>RISERVA / SELEZIONE IN</t>
    </r>
    <r>
      <rPr>
        <sz val="8"/>
        <color theme="1" tint="0.14999847407452621"/>
        <rFont val="Noto Sans"/>
        <family val="2"/>
      </rPr>
      <t xml:space="preserve"> </t>
    </r>
    <r>
      <rPr>
        <b/>
        <sz val="8"/>
        <color theme="1" tint="0.14999847407452621"/>
        <rFont val="Noto Sans"/>
        <family val="2"/>
      </rPr>
      <t>MAGS ONLY</t>
    </r>
  </si>
  <si>
    <t>21DULINE09MG</t>
  </si>
  <si>
    <t>20DULINE08MG</t>
  </si>
  <si>
    <t xml:space="preserve">facebook.com/vignaidaduline/ </t>
  </si>
  <si>
    <t>19DULINE11MG</t>
  </si>
  <si>
    <t xml:space="preserve">instagram.com/vignaidaduline/ </t>
  </si>
  <si>
    <t>18DULINE07MG</t>
  </si>
  <si>
    <t>17DULINE06MG</t>
  </si>
  <si>
    <t>vimeo.com/53747416</t>
  </si>
  <si>
    <t>14DULINE08MT</t>
  </si>
  <si>
    <t>GROWER CODE: DULINE</t>
  </si>
  <si>
    <t>13DULINE07MT</t>
  </si>
  <si>
    <t>12DULINE06MT</t>
  </si>
  <si>
    <t>DULINE SCHIOPPETTINO, aka RIBOLLA NERA - 1977 &amp; 2005</t>
  </si>
  <si>
    <t>VINES, FROM SEASONED 225L CADUS CASKS:</t>
  </si>
  <si>
    <t>23DULINE03</t>
  </si>
  <si>
    <t>22DULINE03</t>
  </si>
  <si>
    <t>21DULINE07</t>
  </si>
  <si>
    <t>MORUS NIGRA® ('BLACK MULBERRY') - 1996 &amp; 2005 VINES OF</t>
  </si>
  <si>
    <t>FROM MOSTLY-SEASONED 225L CADUS CASKS (~20-30% NEW):</t>
  </si>
  <si>
    <t>10-20% STEMS, 6 WEEKS MACERATION, STIRRING OF THE SEEDS,</t>
  </si>
  <si>
    <t>THEN MOSTLY-SEASONED 225L CADUS CASKS (~20-30% NEW):</t>
  </si>
  <si>
    <t>23DULINE09</t>
  </si>
  <si>
    <t>22DULINE09</t>
  </si>
  <si>
    <t>21DULINE08</t>
  </si>
  <si>
    <t>20DULINE09</t>
  </si>
  <si>
    <t>19DULINE05</t>
  </si>
  <si>
    <t>18DULINE06</t>
  </si>
  <si>
    <t>17DULINE05</t>
  </si>
  <si>
    <t>16DULINE05TB</t>
  </si>
  <si>
    <t>14DULINE07TB</t>
  </si>
  <si>
    <t>13DULINE06TB</t>
  </si>
  <si>
    <t>12DULINE05TB</t>
  </si>
  <si>
    <t>RONCO PITOTTI PINOT NOIR - 1940 VV &amp; 1980 VINES. 18 MTHS</t>
  </si>
  <si>
    <t>IN SEASONED 225L CADUS CASKS. 1st MADE 2009; ~600 BOTTLES:</t>
  </si>
  <si>
    <t>23DULINE10</t>
  </si>
  <si>
    <t>22DULINE10</t>
  </si>
  <si>
    <t>21DULINE06</t>
  </si>
  <si>
    <t>20DULINE06</t>
  </si>
  <si>
    <t>19DULINE07</t>
  </si>
  <si>
    <t>18DULINE05</t>
  </si>
  <si>
    <t>17DULINE04</t>
  </si>
  <si>
    <t>RONCO PITOTTI 'IL' MERLOT - 1920 TVV &amp; 1999 RARE</t>
  </si>
  <si>
    <t>MERLOT ROUGE RED-STEMMED BIOTYPE, FROM SEASONED</t>
  </si>
  <si>
    <t>225L CADUS CASKS. NB ~500 MAGNUMS ONLY PRODUCED:</t>
  </si>
  <si>
    <t>23DULINE07MG</t>
  </si>
  <si>
    <t>22DULINE07</t>
  </si>
  <si>
    <t>21DULINE10MG</t>
  </si>
  <si>
    <t>KIND WORDS ON GRAVNER:</t>
  </si>
  <si>
    <r>
      <rPr>
        <b/>
        <sz val="7"/>
        <color theme="1" tint="0.499984740745262"/>
        <rFont val="Noto Sans"/>
        <family val="2"/>
      </rPr>
      <t xml:space="preserve">Danielle Cernilli, Doctor Wine 2023 </t>
    </r>
    <r>
      <rPr>
        <sz val="7"/>
        <color theme="1" tint="0.499984740745262"/>
        <rFont val="Noto Sans"/>
        <family val="2"/>
      </rPr>
      <t>'100+/100. What I added a "plus" to is truly incredible. This is Josko Gravner's 2007 Breg Rosso, now released after</t>
    </r>
  </si>
  <si>
    <t>14 years of maturation and refinement. The first for five years in cask, after a vinification in amphora, the second for nine years in the bottle. It comes from</t>
  </si>
  <si>
    <t>Pignolo grapes, which seems to be a distant relative of Nebbiolo, and is simply one the greatest wines I have ever tasted in forty years of honorable service.'</t>
  </si>
  <si>
    <r>
      <t xml:space="preserve">Slow Wine Guide 2018 </t>
    </r>
    <r>
      <rPr>
        <sz val="7"/>
        <color theme="1" tint="0.499984740745262"/>
        <rFont val="Noto Sans"/>
        <family val="2"/>
      </rPr>
      <t>'a sine qua non for any wine buff'</t>
    </r>
  </si>
  <si>
    <r>
      <t>Slow Wine Guide 2014</t>
    </r>
    <r>
      <rPr>
        <sz val="7"/>
        <color theme="1" tint="0.499984740745262"/>
        <rFont val="Noto Sans"/>
        <family val="2"/>
      </rPr>
      <t xml:space="preserve"> 'Ten years ago Luigi Veronelli said that Josko Gravner was the best winemaker in the world. Josko must have taken</t>
    </r>
  </si>
  <si>
    <t>him very seriously indeed… he has done everything possible to make those words true.'</t>
  </si>
  <si>
    <r>
      <rPr>
        <b/>
        <sz val="7"/>
        <color theme="1" tint="0.499984740745262"/>
        <rFont val="Noto Sans"/>
        <family val="2"/>
      </rPr>
      <t>Laura Bruno, Vinous 2024</t>
    </r>
    <r>
      <rPr>
        <sz val="7"/>
        <color theme="1" tint="0.499984740745262"/>
        <rFont val="Noto Sans"/>
        <family val="2"/>
      </rPr>
      <t xml:space="preserve"> 'The land is picturesque. Biodiversity abounds, with polyculture influencing each plot. Ponds, flowers, various crops and</t>
    </r>
  </si>
  <si>
    <t>birds cohabitate with the vines, creating a unique and rare ecosystem.'</t>
  </si>
  <si>
    <r>
      <rPr>
        <b/>
        <sz val="7"/>
        <color theme="1" tint="0.499984740745262"/>
        <rFont val="Noto Sans"/>
        <family val="2"/>
      </rPr>
      <t>Laura Bruno, Vinous 2024</t>
    </r>
    <r>
      <rPr>
        <sz val="7"/>
        <color theme="1" tint="0.499984740745262"/>
        <rFont val="Noto Sans"/>
        <family val="2"/>
      </rPr>
      <t xml:space="preserve"> 'It is like experiencing three wines all at once. ...the wine is a meal in itself. Overall, I find the Ribolla Gialla savory and, like</t>
    </r>
  </si>
  <si>
    <t>its makers, stoic. The idea of a parallel cultural cuisine goes unconsidered in its production. The wines are not designed to be an accessory to a meal,</t>
  </si>
  <si>
    <t>making them more akin to marble statues than an agricultural byproduct. Aesthetic, structured and standing alone.'</t>
  </si>
  <si>
    <r>
      <rPr>
        <b/>
        <sz val="7"/>
        <color theme="1" tint="0.499984740745262"/>
        <rFont val="Noto Sans"/>
        <family val="2"/>
      </rPr>
      <t>Eric Guido, Vinous 2023</t>
    </r>
    <r>
      <rPr>
        <sz val="7"/>
        <color theme="1" tint="0.499984740745262"/>
        <rFont val="Noto Sans"/>
        <family val="2"/>
      </rPr>
      <t xml:space="preserve"> 'The Gravner family are genuine masters of Pignolo (in Breg Rosso)'</t>
    </r>
  </si>
  <si>
    <r>
      <rPr>
        <b/>
        <sz val="7"/>
        <color theme="1" tint="0.499984740745262"/>
        <rFont val="Noto Sans"/>
        <family val="2"/>
      </rPr>
      <t>Eric Guido, Vinous 2022</t>
    </r>
    <r>
      <rPr>
        <sz val="7"/>
        <color theme="1" tint="0.499984740745262"/>
        <rFont val="Noto Sans"/>
        <family val="2"/>
      </rPr>
      <t xml:space="preserve"> 'true treasures...there’s simply something about the wines of Gravner that transcends these categories.'</t>
    </r>
  </si>
  <si>
    <r>
      <rPr>
        <b/>
        <sz val="7"/>
        <color theme="1" tint="0.499984740745262"/>
        <rFont val="Noto Sans"/>
        <family val="2"/>
      </rPr>
      <t>Eric Guido, Vinous 2022</t>
    </r>
    <r>
      <rPr>
        <sz val="7"/>
        <color theme="1" tint="0.499984740745262"/>
        <rFont val="Noto Sans"/>
        <family val="2"/>
      </rPr>
      <t xml:space="preserve"> 'the wines of Gravner are so unique, containing a depth of texture and richness that can sometimes seem like it might be too</t>
    </r>
  </si>
  <si>
    <t>much, only to be perfectly balanced by the wine's structure and acidity. And while Gravner has certainly inspired a generation of winemakers, very few</t>
  </si>
  <si>
    <t>can come close to the magic that is created in this vineyard and cellar.'</t>
  </si>
  <si>
    <r>
      <rPr>
        <b/>
        <sz val="7"/>
        <color theme="1" tint="0.499984740745262"/>
        <rFont val="Noto Sans"/>
        <family val="2"/>
      </rPr>
      <t>Eric Guido, Vinous 2022</t>
    </r>
    <r>
      <rPr>
        <sz val="7"/>
        <color theme="1" tint="0.499984740745262"/>
        <rFont val="Noto Sans"/>
        <family val="2"/>
      </rPr>
      <t xml:space="preserve"> 'If you’re looking for an experience to test your imagination and your palate, or to understand the skin-contact wines of Friuli</t>
    </r>
  </si>
  <si>
    <t>from their inception–this is the address to do it.'</t>
  </si>
  <si>
    <r>
      <rPr>
        <b/>
        <sz val="7"/>
        <color theme="1" tint="0.499984740745262"/>
        <rFont val="Noto Sans"/>
        <family val="2"/>
      </rPr>
      <t xml:space="preserve">Galloni, 2013 </t>
    </r>
    <r>
      <rPr>
        <sz val="7"/>
        <color theme="1" tint="0.499984740745262"/>
        <rFont val="Noto Sans"/>
        <family val="2"/>
      </rPr>
      <t>'Josko Gravner continues to push the outer boundaries of viticulture and winemaking. ... The whites are now routinely picked into November.</t>
    </r>
  </si>
  <si>
    <t>Gravner seeks botrytis in his dry whites when vintage conditions permit. Following vinification and a total of about a year in amphora, the whites see</t>
  </si>
  <si>
    <t>6 years in cask, which is pretty much unprecedented in the world of white wine. Gravner has begun pulling out his international grapes to focus solely on</t>
  </si>
  <si>
    <t>Ribolla and Pignolo. These remain some of the most uncompromising and compelling wines being made anywhere, and the work of a true visionary</t>
  </si>
  <si>
    <t xml:space="preserve"> not afraid to follow his convictions.'</t>
  </si>
  <si>
    <r>
      <rPr>
        <b/>
        <sz val="7"/>
        <color theme="1" tint="0.499984740745262"/>
        <rFont val="Noto Sans"/>
        <family val="2"/>
      </rPr>
      <t>Galloni, 2011</t>
    </r>
    <r>
      <rPr>
        <sz val="7"/>
        <color theme="1" tint="0.499984740745262"/>
        <rFont val="Noto Sans"/>
        <family val="2"/>
      </rPr>
      <t xml:space="preserve"> 'My recent visit with Josko Gravner was an incredible experience, as I had a chance to taste a huge number of wines spanning a full 20 years.</t>
    </r>
  </si>
  <si>
    <t>... Gravner remarked that the only thing left for him to do in life is to make great wines and it is quite clear that he is willing to risk everything in the pursuit</t>
  </si>
  <si>
    <t xml:space="preserve">of profoundness. Increasingly, Gravner is focused on his whites, which will now spend six years in barrel and another year in bottle prior to being released.' </t>
  </si>
  <si>
    <r>
      <rPr>
        <b/>
        <sz val="7"/>
        <color theme="1" tint="0.499984740745262"/>
        <rFont val="Noto Sans"/>
        <family val="2"/>
      </rPr>
      <t xml:space="preserve">Galloni, 2009 </t>
    </r>
    <r>
      <rPr>
        <sz val="7"/>
        <color theme="1" tint="0.499984740745262"/>
        <rFont val="Noto Sans"/>
        <family val="2"/>
      </rPr>
      <t>'These remain some of the most unique wines being made anywhere on the planet. They are especially remarkable for their textural</t>
    </r>
  </si>
  <si>
    <t>elegance and finesse.'</t>
  </si>
  <si>
    <r>
      <rPr>
        <b/>
        <sz val="7"/>
        <color theme="1" tint="0.499984740745262"/>
        <rFont val="Noto Sans"/>
        <family val="2"/>
      </rPr>
      <t>Galloni, 2008</t>
    </r>
    <r>
      <rPr>
        <sz val="7"/>
        <color theme="1" tint="0.499984740745262"/>
        <rFont val="Noto Sans"/>
        <family val="2"/>
      </rPr>
      <t xml:space="preserve"> 'My visit with Josko Gravner in May was memorable, as we spent several hours tasting through every cask in the cellar. No other</t>
    </r>
  </si>
  <si>
    <t xml:space="preserve"> grower in Italy has pushed the boundaries so ambitiously as has Gravner over the last 20+ years. Today, Gravner has inspired a whole new generation</t>
  </si>
  <si>
    <t>of younger producers, but at the end of the day, Gravner remains in a league by himself. When I taste these wines I often feel I am in front of the work</t>
  </si>
  <si>
    <t>of a gifted musician or painter, where the work is easily classified into periods that each hold significance. His approach reminds me of that of Miles Davis;</t>
  </si>
  <si>
    <t xml:space="preserve"> always looking forward and never behind.'</t>
  </si>
  <si>
    <r>
      <rPr>
        <b/>
        <sz val="7"/>
        <color theme="1" tint="0.499984740745262"/>
        <rFont val="Noto Sans"/>
        <family val="2"/>
      </rPr>
      <t xml:space="preserve">Galloni, 2007 </t>
    </r>
    <r>
      <rPr>
        <sz val="7"/>
        <color theme="1" tint="0.499984740745262"/>
        <rFont val="Noto Sans"/>
        <family val="2"/>
      </rPr>
      <t>'Josko Gravner is a man of few words. He comes across as quite reserved yet I sense a certain spirituality and timelessness about him,</t>
    </r>
  </si>
  <si>
    <t>a longing for a time in the past when life was simpler and more rooted to the land. Gravner continues to cast a large presence in the region, continually</t>
  </si>
  <si>
    <t>pushing the envelope with his wines...'</t>
  </si>
  <si>
    <r>
      <rPr>
        <b/>
        <sz val="7"/>
        <color theme="1" tint="0.499984740745262"/>
        <rFont val="Noto Sans"/>
        <family val="2"/>
      </rPr>
      <t>Galloni, 2007</t>
    </r>
    <r>
      <rPr>
        <sz val="7"/>
        <color theme="1" tint="0.499984740745262"/>
        <rFont val="Noto Sans"/>
        <family val="2"/>
      </rPr>
      <t xml:space="preserve"> 'the house and the attached cellar are the embodiment of Gravner's Spartan aesthetic. Gravner works mostly with older vineyards which</t>
    </r>
  </si>
  <si>
    <t>he prunes to produce tiny yields. All work in the vineyards and cellar is done in strict accordance with lunar phases. The wines are fermented in amphoras</t>
  </si>
  <si>
    <t>using only natural yeasts, where they are then left on the skins for about seven months prior to being racked into oak casks for aging. The wines are</t>
  </si>
  <si>
    <t>without fining or filtration.'</t>
  </si>
  <si>
    <r>
      <rPr>
        <b/>
        <sz val="7"/>
        <color theme="1" tint="0.499984740745262"/>
        <rFont val="Noto Sans"/>
        <family val="2"/>
      </rPr>
      <t>Galloni, 2007</t>
    </r>
    <r>
      <rPr>
        <sz val="7"/>
        <color theme="1" tint="0.499984740745262"/>
        <rFont val="Noto Sans"/>
        <family val="2"/>
      </rPr>
      <t xml:space="preserve"> 'Gravner's whites behave like red wines. They will be even more expressive a day after opening…'</t>
    </r>
  </si>
  <si>
    <r>
      <rPr>
        <b/>
        <sz val="7"/>
        <color theme="1" tint="0.499984740745262"/>
        <rFont val="Noto Sans"/>
        <family val="2"/>
      </rPr>
      <t>Monica Larner, TWA 2013</t>
    </r>
    <r>
      <rPr>
        <sz val="7"/>
        <color theme="1" tint="0.499984740745262"/>
        <rFont val="Noto Sans"/>
        <family val="2"/>
      </rPr>
      <t xml:space="preserve"> 'More than a winery, Gravner is a pilgrimage destination that has reached epic cult status among wine intelligentsia…</t>
    </r>
  </si>
  <si>
    <t>Gravner’s wines are indeed controversial and polarizing. Those who profess to love them make an equally bold statement as those who don’t.</t>
  </si>
  <si>
    <t>.</t>
  </si>
  <si>
    <t>The important thing is to take a stand'</t>
  </si>
  <si>
    <t>GRAVNER, Josko</t>
  </si>
  <si>
    <t>RIBOLLA GIALLA:</t>
  </si>
  <si>
    <t>Oslavje, Collio. Josko with wife Maria,</t>
  </si>
  <si>
    <t>24GRAV01</t>
  </si>
  <si>
    <t>their daughter Mateja, her son Gregor.</t>
  </si>
  <si>
    <t>23GRAV07MG</t>
  </si>
  <si>
    <t>32ha estate: 15ha vines, 3ha to plant</t>
  </si>
  <si>
    <t>low yields, ambient ferment, 1yr in</t>
  </si>
  <si>
    <t>PINOT GRIS RAMATO / SIVI:</t>
  </si>
  <si>
    <t>in buried terracotta, 6yr long aging in botte,</t>
  </si>
  <si>
    <t>23GRAV02</t>
  </si>
  <si>
    <t>modest sulphites, unfined &amp; unfiltered.</t>
  </si>
  <si>
    <t>TCA tested corks by Mureddu, Sardinia</t>
  </si>
  <si>
    <t>23GRAV08</t>
  </si>
  <si>
    <t>23GRAV09</t>
  </si>
  <si>
    <t>23GRAV03</t>
  </si>
  <si>
    <t>2017 Ribolla is off-dry, bottled in MAGS only</t>
  </si>
  <si>
    <t>21GRAV03MG</t>
  </si>
  <si>
    <r>
      <t xml:space="preserve">2015 2nd book published; start </t>
    </r>
    <r>
      <rPr>
        <b/>
        <sz val="7"/>
        <color rgb="FF00B050"/>
        <rFont val="Noto Sans"/>
        <family val="2"/>
      </rPr>
      <t>biodynamics</t>
    </r>
  </si>
  <si>
    <t>2012 last vintage of Breg 'Bianco'</t>
  </si>
  <si>
    <t>2008 Wine &amp; Spirits Top 100, Winery of the Year</t>
  </si>
  <si>
    <t>2006 Breg Rosso pignolo: just 760 MAGS produced</t>
  </si>
  <si>
    <t>2006 1st vintage with 7yrs elevage</t>
  </si>
  <si>
    <t>2003 last vintage of ribolla riserva from the vv</t>
  </si>
  <si>
    <t>2003 1st Breg rosso vintage; the Veronelli quote</t>
  </si>
  <si>
    <t>2001 1st vintage entirely fermented in terracotta</t>
  </si>
  <si>
    <t>1998 1st vintage of only 'amber' wines</t>
  </si>
  <si>
    <t>1996 1st amber experiments; 1st Gravner book</t>
  </si>
  <si>
    <t>1990s start clean farming</t>
  </si>
  <si>
    <t>1973 - 75 Josko takes over</t>
  </si>
  <si>
    <t>1901 Josko's grandparents arrive, farming 2ha</t>
  </si>
  <si>
    <t>VINEYARDS IN PRODUCTION:</t>
  </si>
  <si>
    <r>
      <rPr>
        <b/>
        <sz val="7"/>
        <color theme="1" tint="0.499984740745262"/>
        <rFont val="Noto Sans"/>
        <family val="2"/>
      </rPr>
      <t xml:space="preserve">Dedno: </t>
    </r>
    <r>
      <rPr>
        <sz val="7"/>
        <color theme="1" tint="0.499984740745262"/>
        <rFont val="Noto Sans"/>
        <family val="2"/>
      </rPr>
      <t>2 steep parcels joined in 1996. Started</t>
    </r>
  </si>
  <si>
    <t>planting to ribolla in 2010</t>
  </si>
  <si>
    <r>
      <rPr>
        <b/>
        <sz val="7"/>
        <color theme="1" tint="0.499984740745262"/>
        <rFont val="Noto Sans"/>
        <family val="2"/>
      </rPr>
      <t>Hum:</t>
    </r>
    <r>
      <rPr>
        <sz val="7"/>
        <color theme="1" tint="0.499984740745262"/>
        <rFont val="Noto Sans"/>
        <family val="2"/>
      </rPr>
      <t xml:space="preserve"> 1966 merlot vv for Gravner Rosso; 1998</t>
    </r>
  </si>
  <si>
    <t>pignolo for Breg Rosso; 1996 ribolla, 1st section</t>
  </si>
  <si>
    <t>advised by Simonit &amp; Sirch, now rolled out</t>
  </si>
  <si>
    <r>
      <rPr>
        <b/>
        <sz val="7"/>
        <color theme="1" tint="0.499984740745262"/>
        <rFont val="Noto Sans"/>
        <family val="2"/>
      </rPr>
      <t>Runk:</t>
    </r>
    <r>
      <rPr>
        <sz val="7"/>
        <color theme="1" tint="0.499984740745262"/>
        <rFont val="Noto Sans"/>
        <family val="2"/>
      </rPr>
      <t xml:space="preserve"> had 1919 &amp; 1952 ribolla vv, ripped late 2003.</t>
    </r>
  </si>
  <si>
    <t>Now 1998 &amp; 2005 ribolla, 2005 pignolo. The plot</t>
  </si>
  <si>
    <t>that made Josko fall in love with ribolla</t>
  </si>
  <si>
    <t>Gravner.it</t>
  </si>
  <si>
    <t>LEVI DALTON 'IDTT' INTERVIEW #245</t>
  </si>
  <si>
    <t>GROWER CODE: GRAV</t>
  </si>
  <si>
    <t>KIND WORDS ON KANTE:</t>
  </si>
  <si>
    <r>
      <t>Do Bianchi, 2016</t>
    </r>
    <r>
      <rPr>
        <sz val="7"/>
        <color theme="1" tint="0.499984740745262"/>
        <rFont val="Noto Sans"/>
        <family val="2"/>
      </rPr>
      <t xml:space="preserve"> 'the once and future king of Carso-Karst'</t>
    </r>
  </si>
  <si>
    <r>
      <rPr>
        <b/>
        <sz val="7"/>
        <color theme="1" tint="0.499984740745262"/>
        <rFont val="Noto Sans"/>
        <family val="2"/>
      </rPr>
      <t>A.Galloni, 2015</t>
    </r>
    <r>
      <rPr>
        <sz val="7"/>
        <color theme="1" tint="0.499984740745262"/>
        <rFont val="Noto Sans"/>
        <family val="2"/>
      </rPr>
      <t xml:space="preserve"> 'The Kante style is defined by intense minerality and focus that places them alongside wines like the  best Chablis in terms of</t>
    </r>
  </si>
  <si>
    <t>weight and energy.' </t>
  </si>
  <si>
    <r>
      <rPr>
        <b/>
        <sz val="7"/>
        <color theme="1" tint="0.499984740745262"/>
        <rFont val="Noto Sans"/>
        <family val="2"/>
      </rPr>
      <t>A.Galloni, 2015</t>
    </r>
    <r>
      <rPr>
        <sz val="7"/>
        <color theme="1" tint="0.499984740745262"/>
        <rFont val="Noto Sans"/>
        <family val="2"/>
      </rPr>
      <t xml:space="preserve"> 'Edi Kante is one of Friuli's few true superstar producers.'</t>
    </r>
  </si>
  <si>
    <r>
      <rPr>
        <b/>
        <sz val="7"/>
        <color theme="1" tint="0.499984740745262"/>
        <rFont val="Noto Sans"/>
        <family val="2"/>
      </rPr>
      <t>A.Galloni, 2013</t>
    </r>
    <r>
      <rPr>
        <sz val="7"/>
        <color theme="1" tint="0.499984740745262"/>
        <rFont val="Noto Sans"/>
        <family val="2"/>
      </rPr>
      <t xml:space="preserve"> 'Emotional. Moving. Intense. At their best, these are some of the most compelling, gripping whites being made in the world, anywhere.</t>
    </r>
  </si>
  <si>
    <t xml:space="preserve"> The late-release Selezioni in particular are well worth the effort of seeking out.'</t>
  </si>
  <si>
    <r>
      <rPr>
        <b/>
        <sz val="7"/>
        <color theme="1" tint="0.499984740745262"/>
        <rFont val="Noto Sans"/>
        <family val="2"/>
      </rPr>
      <t>A.Galloni, 2011</t>
    </r>
    <r>
      <rPr>
        <sz val="7"/>
        <color theme="1" tint="0.499984740745262"/>
        <rFont val="Noto Sans"/>
        <family val="2"/>
      </rPr>
      <t xml:space="preserve"> 'What can I say about...Kante? Words are pretty superfluous when confronted with this stunning overall level of quality.'</t>
    </r>
  </si>
  <si>
    <r>
      <rPr>
        <b/>
        <sz val="7"/>
        <color theme="1" tint="0.499984740745262"/>
        <rFont val="Noto Sans"/>
        <family val="2"/>
      </rPr>
      <t>A.Galloni, 2011</t>
    </r>
    <r>
      <rPr>
        <sz val="7"/>
        <color theme="1" tint="0.499984740745262"/>
        <rFont val="Noto Sans"/>
        <family val="2"/>
      </rPr>
      <t xml:space="preserve"> 'Edi Kante's wines are at once intensely varietal yet also imbued with the deepest sense of the Carso, the rocky,  hillside stretch of</t>
    </r>
  </si>
  <si>
    <t>mountains where these vineyards lie. Think of Kante as Italy's Coche-Dury.'</t>
  </si>
  <si>
    <r>
      <rPr>
        <b/>
        <sz val="7"/>
        <color theme="1" tint="0.499984740745262"/>
        <rFont val="Noto Sans"/>
        <family val="2"/>
      </rPr>
      <t>Edi Kante, 2015</t>
    </r>
    <r>
      <rPr>
        <sz val="7"/>
        <color theme="1" tint="0.499984740745262"/>
        <rFont val="Noto Sans"/>
        <family val="2"/>
      </rPr>
      <t xml:space="preserve"> 'How can you be clear headed if you're in love with what you do?'</t>
    </r>
  </si>
  <si>
    <r>
      <rPr>
        <b/>
        <sz val="7"/>
        <color theme="1" tint="0.499984740745262"/>
        <rFont val="Noto Sans"/>
        <family val="2"/>
      </rPr>
      <t>Slow Wine Guide 2016</t>
    </r>
    <r>
      <rPr>
        <sz val="7"/>
        <color theme="1" tint="0.499984740745262"/>
        <rFont val="Noto Sans"/>
        <family val="2"/>
      </rPr>
      <t xml:space="preserve"> 'Kante &amp; Carso: they could be synonyms…one of the 1st producers to really believe in raising the profile of this amazing terroir'</t>
    </r>
  </si>
  <si>
    <r>
      <rPr>
        <b/>
        <sz val="7"/>
        <color theme="1" tint="0.499984740745262"/>
        <rFont val="Noto Sans"/>
        <family val="2"/>
      </rPr>
      <t>Slow Wine Guide 2014</t>
    </r>
    <r>
      <rPr>
        <sz val="7"/>
        <color theme="1" tint="0.499984740745262"/>
        <rFont val="Noto Sans"/>
        <family val="2"/>
      </rPr>
      <t xml:space="preserve"> 'Kante is an artist without a school, without a patron…his two inspiring muses; viticulture and enology.'</t>
    </r>
  </si>
  <si>
    <r>
      <rPr>
        <b/>
        <sz val="7"/>
        <color theme="1" tint="0.499984740745262"/>
        <rFont val="Noto Sans"/>
        <family val="2"/>
      </rPr>
      <t>Slow Wine Guide 2012</t>
    </r>
    <r>
      <rPr>
        <sz val="7"/>
        <color theme="1" tint="0.499984740745262"/>
        <rFont val="Noto Sans"/>
        <family val="2"/>
      </rPr>
      <t xml:space="preserve"> 'With his rigourous viticultural style, Kante has written the wine grammar of Carso'</t>
    </r>
  </si>
  <si>
    <t>KANTE, Edi</t>
  </si>
  <si>
    <t>'KK' SERIES - METODO CLASSICO - METHODE TRADITIONELLE:</t>
  </si>
  <si>
    <t>Carso/Kras. 15ha; 65K bottles. Started 1980</t>
  </si>
  <si>
    <t>25KANTE01</t>
  </si>
  <si>
    <r>
      <rPr>
        <b/>
        <sz val="8"/>
        <color rgb="FF00B050"/>
        <rFont val="Noto Sans"/>
        <family val="2"/>
      </rPr>
      <t>sustainable</t>
    </r>
    <r>
      <rPr>
        <sz val="8"/>
        <color theme="1" tint="0.14999847407452621"/>
        <rFont val="Noto Sans"/>
        <family val="2"/>
      </rPr>
      <t>; hard limestone hilly terroir</t>
    </r>
  </si>
  <si>
    <t>'K' SERIES - SENZA SOLFITI AGGIUNTI - NO ADDED SO2:</t>
  </si>
  <si>
    <t>27m deep, cold humid clean cellar w.custom-</t>
  </si>
  <si>
    <t>25KANTE02</t>
  </si>
  <si>
    <t>steam-formed French oak, max 5% new</t>
  </si>
  <si>
    <t>18KANTE05TB</t>
  </si>
  <si>
    <t>minimal sulphites; all wines unfiltered</t>
  </si>
  <si>
    <t>19KANTE04TB</t>
  </si>
  <si>
    <r>
      <rPr>
        <sz val="8"/>
        <color theme="1" tint="0.14999847407452621"/>
        <rFont val="Noto Sans"/>
        <family val="2"/>
      </rPr>
      <t xml:space="preserve">bentonite if needed; </t>
    </r>
    <r>
      <rPr>
        <b/>
        <sz val="8"/>
        <color rgb="FF00B050"/>
        <rFont val="Noto Sans"/>
        <family val="2"/>
      </rPr>
      <t>Ⓥ Vegan compatible</t>
    </r>
  </si>
  <si>
    <t>'CLASSIC' SERIES:</t>
  </si>
  <si>
    <t>SSA series are tank fermented, no malo.</t>
  </si>
  <si>
    <t>22KANTE01</t>
  </si>
  <si>
    <t>20KANTE02</t>
  </si>
  <si>
    <t>2016 1st release of unsulphited SSA / K series</t>
  </si>
  <si>
    <t>1997 1st vintage of Selezione series</t>
  </si>
  <si>
    <t>17KANTE05TB</t>
  </si>
  <si>
    <t>1993 27m deep cellar dug into the limestone</t>
  </si>
  <si>
    <t>24KANTE02</t>
  </si>
  <si>
    <t>1980 Edi starts</t>
  </si>
  <si>
    <t>24KANTE01</t>
  </si>
  <si>
    <t>THE THREE (MAIN) RANGES:</t>
  </si>
  <si>
    <t>21KANTE03</t>
  </si>
  <si>
    <r>
      <rPr>
        <b/>
        <sz val="7"/>
        <color theme="1" tint="0.499984740745262"/>
        <rFont val="Noto Sans"/>
        <family val="2"/>
      </rPr>
      <t>Senza Solfiti Aggiunti 'K-series':</t>
    </r>
    <r>
      <rPr>
        <sz val="7"/>
        <color theme="1" tint="0.499984740745262"/>
        <rFont val="Noto Sans"/>
        <family val="2"/>
      </rPr>
      <t xml:space="preserve"> Edi's dream</t>
    </r>
  </si>
  <si>
    <t>'SELEZIONE' SERIES:</t>
  </si>
  <si>
    <r>
      <rPr>
        <b/>
        <sz val="7"/>
        <color theme="1" tint="0.499984740745262"/>
        <rFont val="Noto Sans"/>
        <family val="2"/>
      </rPr>
      <t xml:space="preserve">Classic line: </t>
    </r>
    <r>
      <rPr>
        <sz val="7"/>
        <color theme="1" tint="0.499984740745262"/>
        <rFont val="Noto Sans"/>
        <family val="2"/>
      </rPr>
      <t>1yr cask +1/2yr tank</t>
    </r>
  </si>
  <si>
    <t>21KANTE05</t>
  </si>
  <si>
    <r>
      <rPr>
        <b/>
        <sz val="7"/>
        <color theme="1" tint="0.499984740745262"/>
        <rFont val="Noto Sans"/>
        <family val="2"/>
      </rPr>
      <t>Selezione/La Annate:</t>
    </r>
    <r>
      <rPr>
        <sz val="7"/>
        <color theme="1" tint="0.499984740745262"/>
        <rFont val="Noto Sans"/>
        <family val="2"/>
      </rPr>
      <t xml:space="preserve"> as per Classic, plus ~5yrs</t>
    </r>
  </si>
  <si>
    <t>25KANTE03</t>
  </si>
  <si>
    <t>btl aging, and art-series label painted by Edi</t>
  </si>
  <si>
    <t>22KANTE03</t>
  </si>
  <si>
    <t>SELEZIONE MADE TO DATE (2020):</t>
  </si>
  <si>
    <t>'SELEZIONE' SERIES EN MAGNUM:</t>
  </si>
  <si>
    <t>2011 chardonnay Bora</t>
  </si>
  <si>
    <t>25KANTE03MG</t>
  </si>
  <si>
    <t>2010 sauvignon, vitovska</t>
  </si>
  <si>
    <t>22KANTE02MG</t>
  </si>
  <si>
    <t>2009 chardonnay Bora, sauvignon</t>
  </si>
  <si>
    <t>22KANTE03MG</t>
  </si>
  <si>
    <t>2008 chardonnay Bora</t>
  </si>
  <si>
    <t>20KANTE04MG</t>
  </si>
  <si>
    <t>2007 vitovska</t>
  </si>
  <si>
    <t>TERRANO ROSSO:</t>
  </si>
  <si>
    <r>
      <t xml:space="preserve">2006 </t>
    </r>
    <r>
      <rPr>
        <i/>
        <sz val="7"/>
        <color theme="1" tint="0.499984740745262"/>
        <rFont val="Noto Sans"/>
        <family val="2"/>
      </rPr>
      <t>everything</t>
    </r>
    <r>
      <rPr>
        <sz val="7"/>
        <color theme="1" tint="0.499984740745262"/>
        <rFont val="Noto Sans"/>
        <family val="2"/>
      </rPr>
      <t>, plus pinot bianco Pikante vdt</t>
    </r>
  </si>
  <si>
    <t>21KANTE04</t>
  </si>
  <si>
    <t>2005 chardonnay Bora, vitovska</t>
  </si>
  <si>
    <t>20KANTE03</t>
  </si>
  <si>
    <t>2004 vitovska</t>
  </si>
  <si>
    <t>2003 malvasia Istriana</t>
  </si>
  <si>
    <t>2001 chardonnay Bora</t>
  </si>
  <si>
    <t>2000 chardonnay, malvasia Istriana</t>
  </si>
  <si>
    <t>1999 chardonnay, malvasia Istriana, sauvignon</t>
  </si>
  <si>
    <t>1997 chardonnay, sauvignon</t>
  </si>
  <si>
    <t>a Wine &amp; Spirits Top 100, Winery of the Yr</t>
  </si>
  <si>
    <t>Slow Wine 2011, 'Bottle' Award</t>
  </si>
  <si>
    <t>Slow Wine 2011-16, 'Snail' Award</t>
  </si>
  <si>
    <t>Kante.it</t>
  </si>
  <si>
    <t>GROWER CODE: KANTE</t>
  </si>
  <si>
    <t>RADO KOCJANCIC</t>
  </si>
  <si>
    <t>16DLUCE05TB</t>
  </si>
  <si>
    <t>Carso (at Dolina) on limestone</t>
  </si>
  <si>
    <t>16DLUCE04TB</t>
  </si>
  <si>
    <t>&amp; Collio/Brda (at Slovrenc) on flysch clay</t>
  </si>
  <si>
    <t>5ha vines &amp; 3ha olives for 15K btls &amp; 1K litres</t>
  </si>
  <si>
    <t>Alessandro Filippi consulted; ambient yeast</t>
  </si>
  <si>
    <t>2014 start of 'organic-uncertified'</t>
  </si>
  <si>
    <t>1999 Rado started</t>
  </si>
  <si>
    <t>1866 family wine activity started</t>
  </si>
  <si>
    <t>RadoKocjancic.eu</t>
  </si>
  <si>
    <t>GROWER CODE: DLUCE</t>
  </si>
  <si>
    <t>VIGNA DEL LAURO, by</t>
  </si>
  <si>
    <t>Famiglia Coser</t>
  </si>
  <si>
    <t>22COSER01</t>
  </si>
  <si>
    <t>Fabio Coser, sons Enrico &amp; Matteo</t>
  </si>
  <si>
    <t>22COSER03</t>
  </si>
  <si>
    <t>Collio &amp; Isonzo zones; ~10ha</t>
  </si>
  <si>
    <t>22COSER04</t>
  </si>
  <si>
    <r>
      <rPr>
        <b/>
        <sz val="8"/>
        <color rgb="FF00B050"/>
        <rFont val="Noto Sans"/>
        <family val="2"/>
      </rPr>
      <t>sustainable</t>
    </r>
    <r>
      <rPr>
        <sz val="8"/>
        <color theme="1" tint="0.14999847407452621"/>
        <rFont val="Noto Sans"/>
        <family val="2"/>
      </rPr>
      <t xml:space="preserve"> agriculture. Founded 1994</t>
    </r>
  </si>
  <si>
    <t>18COSER01</t>
  </si>
  <si>
    <t>Bianchi are tank wines, except chardonnay</t>
  </si>
  <si>
    <t>19COSER02</t>
  </si>
  <si>
    <t>DIAM closures</t>
  </si>
  <si>
    <t>16COSER13TB</t>
  </si>
  <si>
    <t>GROWER CODE: COSER</t>
  </si>
  <si>
    <t>22COSER07</t>
  </si>
  <si>
    <t>18COSER03</t>
  </si>
  <si>
    <t>18COSER02</t>
  </si>
  <si>
    <t>22COSER02</t>
  </si>
  <si>
    <t>22COSER05</t>
  </si>
  <si>
    <t>18COSER04</t>
  </si>
  <si>
    <t>22COSER06</t>
  </si>
  <si>
    <t>16COSER16TB</t>
  </si>
  <si>
    <t>Italy, Tuscany - Val d'Arno di Sopra</t>
  </si>
  <si>
    <t>KIND WORDS ON CARNASCIALE:</t>
  </si>
  <si>
    <r>
      <t>A.Galloni, 2022</t>
    </r>
    <r>
      <rPr>
        <sz val="7"/>
        <color rgb="FF808080"/>
        <rFont val="Noto Sans"/>
        <family val="2"/>
      </rPr>
      <t xml:space="preserve"> 'Imagine Cheval Blanc, but with a good dose of Tuscan sun (on 2018)'</t>
    </r>
  </si>
  <si>
    <r>
      <t xml:space="preserve">A.Galloni, 2022 </t>
    </r>
    <r>
      <rPr>
        <sz val="7"/>
        <color theme="1" tint="0.499984740745262"/>
        <rFont val="Noto Sans"/>
        <family val="2"/>
      </rPr>
      <t>'Caberlot remains one of the most distinctive wines in all of Tuscany.'</t>
    </r>
  </si>
  <si>
    <r>
      <t>A.Galloni, 2019</t>
    </r>
    <r>
      <rPr>
        <sz val="7"/>
        <color theme="1" tint="0.499984740745262"/>
        <rFont val="Noto Sans"/>
        <family val="2"/>
      </rPr>
      <t xml:space="preserve"> 'The Rogosky family has made compelling wines at Il Carnasciale pretty much since the beginning'</t>
    </r>
  </si>
  <si>
    <r>
      <rPr>
        <b/>
        <sz val="7"/>
        <color theme="1" tint="0.499984740745262"/>
        <rFont val="Noto Sans"/>
        <family val="2"/>
      </rPr>
      <t>A.Galloni, 2019</t>
    </r>
    <r>
      <rPr>
        <sz val="7"/>
        <color theme="1" tint="0.499984740745262"/>
        <rFont val="Noto Sans"/>
        <family val="2"/>
      </rPr>
      <t xml:space="preserve"> 'Il Carnasicale’s unique Cabernet Franc/Merlot crossing yields a wine of rare aromatic and flavor intensity ’</t>
    </r>
  </si>
  <si>
    <r>
      <rPr>
        <b/>
        <sz val="7"/>
        <color theme="1" tint="0.499984740745262"/>
        <rFont val="Noto Sans"/>
        <family val="2"/>
      </rPr>
      <t>A.Galloni, 2019</t>
    </r>
    <r>
      <rPr>
        <sz val="7"/>
        <color theme="1" tint="0.499984740745262"/>
        <rFont val="Noto Sans"/>
        <family val="2"/>
      </rPr>
      <t xml:space="preserve"> 'Readers won't want to miss these gorgeous wines from Il Carnasciale and the Rogosky family.’</t>
    </r>
  </si>
  <si>
    <r>
      <t>A.Galloni 2010</t>
    </r>
    <r>
      <rPr>
        <sz val="7"/>
        <color theme="1" tint="0.499984740745262"/>
        <rFont val="Noto Sans"/>
        <family val="2"/>
      </rPr>
      <t xml:space="preserve"> 'one of Italy’s cult wineries. The tiny production is typically snapped up by those in the know'</t>
    </r>
  </si>
  <si>
    <r>
      <t>A.Galloni 2009</t>
    </r>
    <r>
      <rPr>
        <sz val="7"/>
        <color theme="1" tint="0.499984740745262"/>
        <rFont val="Noto Sans"/>
        <family val="2"/>
      </rPr>
      <t xml:space="preserve"> 'Over the years Il Carnasciale has acquired cult status among readers who crave the finest Tuscany has to offer'</t>
    </r>
  </si>
  <si>
    <r>
      <t>A.Galloni, 2007</t>
    </r>
    <r>
      <rPr>
        <sz val="7"/>
        <color theme="1" tint="0.499984740745262"/>
        <rFont val="Noto Sans"/>
        <family val="2"/>
      </rPr>
      <t xml:space="preserve"> 'I was especially struck by how reminiscent Il Caberlot is of Giuseppe Quintarelli’s Alzero, minus (the) sweetness'</t>
    </r>
  </si>
  <si>
    <r>
      <t>A.Galloni 2009</t>
    </r>
    <r>
      <rPr>
        <sz val="7"/>
        <color theme="1" tint="0.499984740745262"/>
        <rFont val="Noto Sans"/>
        <family val="2"/>
      </rPr>
      <t xml:space="preserve"> 'These are some of the most unique wines from Italy.'</t>
    </r>
  </si>
  <si>
    <r>
      <t>A.Galloni 2008</t>
    </r>
    <r>
      <rPr>
        <sz val="7"/>
        <color theme="1" tint="0.499984740745262"/>
        <rFont val="Noto Sans"/>
        <family val="2"/>
      </rPr>
      <t xml:space="preserve"> 'some truly magical wines'</t>
    </r>
  </si>
  <si>
    <r>
      <t>Slow Wine Guide 2018 '</t>
    </r>
    <r>
      <rPr>
        <sz val="7"/>
        <color theme="1" tint="0.499984740745262"/>
        <rFont val="Noto Sans"/>
        <family val="2"/>
      </rPr>
      <t>A visit to Podere Il Carnasciale is something we recommend to all wine buffs.'</t>
    </r>
  </si>
  <si>
    <r>
      <t>Slow Wine Guide 2014</t>
    </r>
    <r>
      <rPr>
        <sz val="7"/>
        <color theme="1" tint="0.499984740745262"/>
        <rFont val="Noto Sans"/>
        <family val="2"/>
      </rPr>
      <t xml:space="preserve"> 'Careful selection and assemblage produce two unique, unforgettable wines'</t>
    </r>
  </si>
  <si>
    <r>
      <t>Slow Wine Guide 2013</t>
    </r>
    <r>
      <rPr>
        <sz val="7"/>
        <color theme="1" tint="0.499984740745262"/>
        <rFont val="Noto Sans"/>
        <family val="2"/>
      </rPr>
      <t xml:space="preserve"> 'highly original wine reflects the decision to go for elegance, minerality, and a...never over the top potency.'</t>
    </r>
  </si>
  <si>
    <r>
      <t>N.Belfrage MW, 2014 in WFW</t>
    </r>
    <r>
      <rPr>
        <sz val="7"/>
        <color theme="1" tint="0.499984740745262"/>
        <rFont val="Noto Sans"/>
        <family val="2"/>
      </rPr>
      <t xml:space="preserve"> 'not a simple wine - none of the great wines are - but rather a wine of contrasts that can be glorious.'</t>
    </r>
  </si>
  <si>
    <r>
      <t>&amp;:</t>
    </r>
    <r>
      <rPr>
        <sz val="7"/>
        <color theme="1" tint="0.499984740745262"/>
        <rFont val="Noto Sans"/>
        <family val="2"/>
      </rPr>
      <t xml:space="preserve"> 'doesn’t Italy have enough wine grapes of it's own, for gawd's sake? But this is different. This is unique. This is Il Caberlot.'</t>
    </r>
  </si>
  <si>
    <r>
      <t>W.Speller, 2014</t>
    </r>
    <r>
      <rPr>
        <sz val="7"/>
        <color theme="1" tint="0.499984740745262"/>
        <rFont val="Noto Sans"/>
        <family val="2"/>
      </rPr>
      <t xml:space="preserve"> 'in only 20 vintages Il Caberlot has established itself as a real cru from a
 piece of dirt'</t>
    </r>
  </si>
  <si>
    <t>IL CARNASCIALE, Podere</t>
  </si>
  <si>
    <t>OTTANTADUE - THE SANGIOVESE:</t>
  </si>
  <si>
    <t>by Famille Rogosky</t>
  </si>
  <si>
    <t>24PODER04</t>
  </si>
  <si>
    <t>Mercatale Valdarno, Tuscany. ~4.5ha vines</t>
  </si>
  <si>
    <t>20PODER04SM</t>
  </si>
  <si>
    <t>L32, aka 'caberlot' biotype, 125-420m altitude,</t>
  </si>
  <si>
    <t>CARNASCIALE - THE 2nd WINE:</t>
  </si>
  <si>
    <t>ambient yeast; 22mths elevage</t>
  </si>
  <si>
    <t>24PODER03</t>
  </si>
  <si>
    <r>
      <t xml:space="preserve">Historically, top wine in </t>
    </r>
    <r>
      <rPr>
        <b/>
        <sz val="8"/>
        <color theme="1" tint="0.14999847407452621"/>
        <rFont val="Noto Sans"/>
        <family val="2"/>
      </rPr>
      <t>MAGS</t>
    </r>
    <r>
      <rPr>
        <sz val="8"/>
        <color theme="1" tint="0.14999847407452621"/>
        <rFont val="Noto Sans"/>
        <family val="2"/>
      </rPr>
      <t xml:space="preserve"> or larger only</t>
    </r>
  </si>
  <si>
    <t>23PODER04</t>
  </si>
  <si>
    <r>
      <rPr>
        <b/>
        <sz val="9"/>
        <color theme="1" tint="0.14999847407452621"/>
        <rFont val="Noto Sans"/>
        <family val="2"/>
      </rPr>
      <t>'X'</t>
    </r>
    <r>
      <rPr>
        <sz val="8"/>
        <color theme="1" tint="0.14999847407452621"/>
        <rFont val="Noto Sans"/>
        <family val="2"/>
      </rPr>
      <t xml:space="preserve"> label design drawn with a brush of</t>
    </r>
  </si>
  <si>
    <t>22PODER04</t>
  </si>
  <si>
    <t>twigs at Carnasciale by an artist friend</t>
  </si>
  <si>
    <t>21PODER03</t>
  </si>
  <si>
    <t>Organic certified 2023 Suolo e Salute</t>
  </si>
  <si>
    <t>20PODER02</t>
  </si>
  <si>
    <t>19PODER02</t>
  </si>
  <si>
    <t>17PODER02TB</t>
  </si>
  <si>
    <t>2023 estate is Organic Certified</t>
  </si>
  <si>
    <t>16PODER03TB</t>
  </si>
  <si>
    <t xml:space="preserve">2018 1st vintage to receive Vinous AG100 </t>
  </si>
  <si>
    <t>15PODER02TB</t>
  </si>
  <si>
    <t>2014 start 'free-range practising-biodynamics'</t>
  </si>
  <si>
    <t>GRAND VIN 75cls - NB FOR ON-TRADE / SOMMELIERS ONLY:</t>
  </si>
  <si>
    <t>2012 Marco Maffei joins; 'organic-uncert.' starts</t>
  </si>
  <si>
    <t>24PODER01</t>
  </si>
  <si>
    <t>2004 1st vintage of Carnasciale, 2nd wine</t>
  </si>
  <si>
    <t>23PODER01</t>
  </si>
  <si>
    <t>2003 Peter Schilling joins</t>
  </si>
  <si>
    <t>22PODER01</t>
  </si>
  <si>
    <t>1999 beginning of tasting &amp; rating by critics</t>
  </si>
  <si>
    <t>21PODER01</t>
  </si>
  <si>
    <t>1996 Wolf Rososky passes away</t>
  </si>
  <si>
    <t>19PODER01</t>
  </si>
  <si>
    <t>1993, 1999, 2010-11, 2013 further plantings</t>
  </si>
  <si>
    <t>18PODER01</t>
  </si>
  <si>
    <t>1991 vineyards fenced</t>
  </si>
  <si>
    <t>17PODER01TB</t>
  </si>
  <si>
    <t>1990 grapes entirely eaten by wild boar</t>
  </si>
  <si>
    <t>1989 &amp; 1992 both bottled in 75cl bottles</t>
  </si>
  <si>
    <t>24PODER01MG</t>
  </si>
  <si>
    <t>1988 1st vintage: made from Bordini's fruit</t>
  </si>
  <si>
    <t>23PODER01MG</t>
  </si>
  <si>
    <t>1986 1st block of L32 Caberlot planted @ 420m</t>
  </si>
  <si>
    <t>21PODER01MG</t>
  </si>
  <si>
    <t>1985 frost kills all the olive trees</t>
  </si>
  <si>
    <t>19PODER01MG</t>
  </si>
  <si>
    <t>1972 Rogoskys buy Podere Il Carnasciale</t>
  </si>
  <si>
    <t>18PODER01MG</t>
  </si>
  <si>
    <t>1960s Bordini isolates L32 aka Caberlot</t>
  </si>
  <si>
    <t>17PODER01MTB</t>
  </si>
  <si>
    <t>Slow Wine Guide 2012-18, 'Bottle' award</t>
  </si>
  <si>
    <t>16PODER01MTB</t>
  </si>
  <si>
    <t>regular Slow Wine Guide 'Great Wine' award</t>
  </si>
  <si>
    <t>15PODER01MTB</t>
  </si>
  <si>
    <t>Regular Tre Bicchiere winner</t>
  </si>
  <si>
    <t>14PODER01MTB</t>
  </si>
  <si>
    <t>Caberlot.eu</t>
  </si>
  <si>
    <t>13PODER01MTB</t>
  </si>
  <si>
    <t>GROWER CODE: PODER</t>
  </si>
  <si>
    <t>RISERVA:</t>
  </si>
  <si>
    <t>24PODER02</t>
  </si>
  <si>
    <t>22PODER02MG</t>
  </si>
  <si>
    <t>GRAND VIN 300CL JEROS:</t>
  </si>
  <si>
    <t>24PODER01JB</t>
  </si>
  <si>
    <t>23PODER01JB</t>
  </si>
  <si>
    <t>21PODER01DM</t>
  </si>
  <si>
    <t>20PODER01DM</t>
  </si>
  <si>
    <t>19PODER01DM</t>
  </si>
  <si>
    <t>18PODER01DM</t>
  </si>
  <si>
    <t>17PODER01JTB</t>
  </si>
  <si>
    <t>16PODER01JTB</t>
  </si>
  <si>
    <t>15PODER01DMTB</t>
  </si>
  <si>
    <t>Italy, Tuscany - San Gimignano</t>
  </si>
  <si>
    <r>
      <rPr>
        <b/>
        <sz val="7"/>
        <color theme="1" tint="0.499984740745262"/>
        <rFont val="Noto Sans"/>
        <family val="2"/>
      </rPr>
      <t>Motto:</t>
    </r>
    <r>
      <rPr>
        <sz val="7"/>
        <color theme="1" tint="0.499984740745262"/>
        <rFont val="Noto Sans"/>
        <family val="2"/>
      </rPr>
      <t xml:space="preserve"> </t>
    </r>
    <r>
      <rPr>
        <i/>
        <sz val="7"/>
        <color theme="1" tint="0.499984740745262"/>
        <rFont val="Noto Sans"/>
        <family val="2"/>
      </rPr>
      <t>'IN RERUM NATURA</t>
    </r>
    <r>
      <rPr>
        <sz val="7"/>
        <color theme="1" tint="0.499984740745262"/>
        <rFont val="Noto Sans"/>
        <family val="2"/>
      </rPr>
      <t>' - 'In the nature of things'</t>
    </r>
  </si>
  <si>
    <t>FALCHINI, Az.Agr. Casale</t>
  </si>
  <si>
    <t>VERNACCIA - TANK RAISED:</t>
  </si>
  <si>
    <t>San Gimignano. 60ha total; 35ha vines</t>
  </si>
  <si>
    <t>21FALC01</t>
  </si>
  <si>
    <t>65% of production is Vernaccia</t>
  </si>
  <si>
    <t>VERNACCIA - CASK RAISED:</t>
  </si>
  <si>
    <t>average altitude 280m asl. DIAM closures</t>
  </si>
  <si>
    <t>20FALC03</t>
  </si>
  <si>
    <t>20FALC02</t>
  </si>
  <si>
    <t>2010 sons Michael &amp; Christopher took over</t>
  </si>
  <si>
    <t>1985 1st vintage of Campora cabernet</t>
  </si>
  <si>
    <t>23FALC02</t>
  </si>
  <si>
    <t>1976 new cellar, designed by Tachis</t>
  </si>
  <si>
    <t>23FALC01</t>
  </si>
  <si>
    <t>1968 1st vines planted</t>
  </si>
  <si>
    <t>23FALC05</t>
  </si>
  <si>
    <t>1964 Casale founded by Riccardo Falchini</t>
  </si>
  <si>
    <t>23FALC04</t>
  </si>
  <si>
    <r>
      <t xml:space="preserve">1720 Domenico F. wrote </t>
    </r>
    <r>
      <rPr>
        <i/>
        <sz val="7"/>
        <color theme="1" tint="0.499984740745262"/>
        <rFont val="Noto Sans"/>
        <family val="2"/>
      </rPr>
      <t>Il Trattato Agricoltura</t>
    </r>
  </si>
  <si>
    <t>16FALC02TB</t>
  </si>
  <si>
    <t>1627 1st written records of Falchini family</t>
  </si>
  <si>
    <t>23FALC03</t>
  </si>
  <si>
    <t>Casale-Falchini.it</t>
  </si>
  <si>
    <t>ROSSO EN MAGNUM:</t>
  </si>
  <si>
    <t>GROWER CODE: FALC</t>
  </si>
  <si>
    <t>23FALC02MG</t>
  </si>
  <si>
    <t>20FALC06MG</t>
  </si>
  <si>
    <t>VIN SANTO - 3 ANNI DI CARATELLO:</t>
  </si>
  <si>
    <t>BROGIONI, William, aka</t>
  </si>
  <si>
    <t>20BWILL02</t>
  </si>
  <si>
    <t>Az.Agr. POGGIO AL SOLE</t>
  </si>
  <si>
    <t>19BWILL03</t>
  </si>
  <si>
    <t>'NETTARE DEGLI DEI'</t>
  </si>
  <si>
    <t>19BWILL01</t>
  </si>
  <si>
    <t>Colle di Val d'Elsa, nr.San Gimignano. 0.1ha</t>
  </si>
  <si>
    <t>18BWILL01</t>
  </si>
  <si>
    <t>solely makes Vin Santo; malvasia &amp; trebbiano</t>
  </si>
  <si>
    <t>18BWILL02</t>
  </si>
  <si>
    <t>3mths drying (passito) of the grapes</t>
  </si>
  <si>
    <t>16BWILL01</t>
  </si>
  <si>
    <t>Min. 3yrs elevage in caratello (cask) di rovere</t>
  </si>
  <si>
    <t>3mths settling in demi-john</t>
  </si>
  <si>
    <t>VIN SANTO - RARE LATE BOTTLINGS:</t>
  </si>
  <si>
    <t>William retired in 1994, started winemaking.</t>
  </si>
  <si>
    <t>20BWILL01</t>
  </si>
  <si>
    <t>Approx 300L per annum; bottled unfiltered</t>
  </si>
  <si>
    <t>19BWILL02</t>
  </si>
  <si>
    <t>brogionivinsanto.wixsite.com</t>
  </si>
  <si>
    <t>18BWILL03</t>
  </si>
  <si>
    <t>GROWER CODE: BWILL</t>
  </si>
  <si>
    <t>Italy, Tuscany - Chianti-shire</t>
  </si>
  <si>
    <r>
      <rPr>
        <b/>
        <sz val="7"/>
        <color theme="1" tint="0.499984740745262"/>
        <rFont val="Noto Sans"/>
        <family val="2"/>
      </rPr>
      <t>Galloni, Vinous</t>
    </r>
    <r>
      <rPr>
        <sz val="7"/>
        <color theme="1" tint="0.499984740745262"/>
        <rFont val="Noto Sans"/>
        <family val="2"/>
      </rPr>
      <t xml:space="preserve"> 'The wildness of Vigna Barbischio is compelling, as is the wine.'</t>
    </r>
  </si>
  <si>
    <t>VIGNA BARBISCHIO</t>
  </si>
  <si>
    <t>24MAURIZIO01</t>
  </si>
  <si>
    <t>by Maurizio Alongi</t>
  </si>
  <si>
    <t>Barbischio near Gaiole, Chianti Classico.</t>
  </si>
  <si>
    <t>Vigna Barbischio launched in 2015 vintage</t>
  </si>
  <si>
    <t>1.267ha in 2 parcels, Sabbie &amp; Poggio, on</t>
  </si>
  <si>
    <t>complex terroir including local 'macigno'</t>
  </si>
  <si>
    <t xml:space="preserve">Planted 1973, average 435m altitude, </t>
  </si>
  <si>
    <t>on southerly facing slopes to:</t>
  </si>
  <si>
    <t>&gt;90% Sangiovese, malvasia nera &amp; canaiolo</t>
  </si>
  <si>
    <t>Surrounded by oak and chestnut forests</t>
  </si>
  <si>
    <t>Ambient yeast ferment</t>
  </si>
  <si>
    <t>Elevage: 550L French tonneaux, 15% new</t>
  </si>
  <si>
    <t>Organic certified 2019 Qcertificazioni</t>
  </si>
  <si>
    <t>GROWER CODE: MAURIZIO</t>
  </si>
  <si>
    <r>
      <rPr>
        <b/>
        <sz val="7"/>
        <color theme="1" tint="0.499984740745262"/>
        <rFont val="Noto Sans"/>
        <family val="2"/>
      </rPr>
      <t>Walter Speller Chianti Classico grand cru, 2020</t>
    </r>
    <r>
      <rPr>
        <sz val="7"/>
        <color theme="1" tint="0.499984740745262"/>
        <rFont val="Noto Sans"/>
        <family val="2"/>
      </rPr>
      <t xml:space="preserve"> 'Classifica A - Fuori Concorso' (for Chianti Classico Riserva)</t>
    </r>
  </si>
  <si>
    <t>VILLA DEL CIGLIANO</t>
  </si>
  <si>
    <t>CHIANTI CLASSICO:</t>
  </si>
  <si>
    <t>Chianti Classico, San Casciano, Val di Pesa</t>
  </si>
  <si>
    <t>19CIGLIANO01</t>
  </si>
  <si>
    <t>Was Niccolò &amp; Elisabetta Montecchi</t>
  </si>
  <si>
    <t>16CIGLIANO02M</t>
  </si>
  <si>
    <t>Niccolo was grandson of Elenora Antinori</t>
  </si>
  <si>
    <t>CHIANTI CLASSICO RISERVA:</t>
  </si>
  <si>
    <t>60ha estate, 25ha vines, at 300m: now sold</t>
  </si>
  <si>
    <t>17CIGLIANO02</t>
  </si>
  <si>
    <r>
      <rPr>
        <sz val="8"/>
        <color theme="1" tint="0.14999847407452621"/>
        <rFont val="Noto Sans"/>
        <family val="2"/>
      </rPr>
      <t xml:space="preserve">These wines are </t>
    </r>
    <r>
      <rPr>
        <b/>
        <sz val="8"/>
        <color rgb="FF00B050"/>
        <rFont val="Noto Sans"/>
        <family val="2"/>
      </rPr>
      <t>ⓋVegan compatible</t>
    </r>
  </si>
  <si>
    <t>16CIGLIANO01M</t>
  </si>
  <si>
    <r>
      <t>Decades of sustainable;</t>
    </r>
    <r>
      <rPr>
        <b/>
        <sz val="8"/>
        <color rgb="FF00B050"/>
        <rFont val="Noto Sans"/>
        <family val="2"/>
      </rPr>
      <t xml:space="preserve"> no certification</t>
    </r>
  </si>
  <si>
    <t>since 2013. Chianti is sangiovese &amp; colorino</t>
  </si>
  <si>
    <t>raised 20mths in botte + 4mths cement</t>
  </si>
  <si>
    <t>Riserva is from cru Traliccio, 36mths in botte</t>
  </si>
  <si>
    <t>DWWA 2019 Best In Show (Riserva 2016)</t>
  </si>
  <si>
    <t>GROWER CODE: CIGLIANO</t>
  </si>
  <si>
    <t>MONTELLORI, Fattoria</t>
  </si>
  <si>
    <t>17MONTELL01</t>
  </si>
  <si>
    <t xml:space="preserve">Cerreto Guidi hills, Fucecchio, Chianti. 55ha </t>
  </si>
  <si>
    <t>Alessandro Nieri; founded 1895</t>
  </si>
  <si>
    <t>Chianti is 12mths in steel &amp; cement</t>
  </si>
  <si>
    <t>FattoriaMontellori.it</t>
  </si>
  <si>
    <t>GROWER CODE: MONTELL</t>
  </si>
  <si>
    <t>KIND WORDS ON LPDV:</t>
  </si>
  <si>
    <r>
      <t>A.Galloni, 2012</t>
    </r>
    <r>
      <rPr>
        <sz val="7"/>
        <color theme="1" tint="0.499984740745262"/>
        <rFont val="Noto Sans"/>
        <family val="2"/>
      </rPr>
      <t xml:space="preserve"> 'Compelling and highly individual wines that stand apart from the vast majority of (Chianti) wines being made today'</t>
    </r>
  </si>
  <si>
    <r>
      <t xml:space="preserve">M.Larner for TWA, 2014 </t>
    </r>
    <r>
      <rPr>
        <sz val="7"/>
        <color theme="1" tint="0.499984740745262"/>
        <rFont val="Noto Sans"/>
        <family val="2"/>
      </rPr>
      <t>'a level of aromatic muscle and power that is almost unmatched.' (on Riserva 2010)</t>
    </r>
  </si>
  <si>
    <t>LA PORTA DI VERTINE</t>
  </si>
  <si>
    <t>CHIANTI CLASSICO &amp; RISERVA:</t>
  </si>
  <si>
    <t>Gaiole, Chianti. Was ~9.5ha vines @550m</t>
  </si>
  <si>
    <t>17VERT01TB</t>
  </si>
  <si>
    <t>low yield; late harvest; ambient ferment; long-</t>
  </si>
  <si>
    <t>18VERT01TB</t>
  </si>
  <si>
    <t>maceration; Chiantis aged in Stockinger botte</t>
  </si>
  <si>
    <t>17VERT04MTB</t>
  </si>
  <si>
    <t>Now part of Bertinga estate</t>
  </si>
  <si>
    <t>17VERT03MTB</t>
  </si>
  <si>
    <t>Organic certified Qcertificazioni</t>
  </si>
  <si>
    <t>17VERT03DMTB</t>
  </si>
  <si>
    <t>SASSI CHIUSI - CABERNET-MERLOT BLEND:</t>
  </si>
  <si>
    <t>manager/winemaker: Giacomo Mastretta (to 2013s)</t>
  </si>
  <si>
    <t>17VERT07TB</t>
  </si>
  <si>
    <t>Agronomist: Dr Ruggero Mazzili</t>
  </si>
  <si>
    <t>17VERT06TB</t>
  </si>
  <si>
    <t>Inspiration &amp; early advice: Giulio Gambelli</t>
  </si>
  <si>
    <t>17VERT06MTB</t>
  </si>
  <si>
    <t>1st owners: Dan &amp; Ellen Lugosch</t>
  </si>
  <si>
    <t>17VERT05MTB</t>
  </si>
  <si>
    <t>17VERT06DMTB</t>
  </si>
  <si>
    <t>2020s Giacomo Mastretta now runs Torre alle Tolfe</t>
  </si>
  <si>
    <t>17VERT05DMTB</t>
  </si>
  <si>
    <t>2019 1st vintage from new owners of cru Bertinga</t>
  </si>
  <si>
    <t>2015 estate sold; founders return to USA</t>
  </si>
  <si>
    <t>2013 last vintage made and bottled by Mastretta</t>
  </si>
  <si>
    <t>2006 1st vineyard bought; 1st vintage; Mastretta joins</t>
  </si>
  <si>
    <t>PorteDiVertine.wordpress.com</t>
  </si>
  <si>
    <t>NB ALSO SEE TORRE ALLE TOLFE</t>
  </si>
  <si>
    <t>GROWER CODE: VERT</t>
  </si>
  <si>
    <t>TORRE ALLE TOLFE</t>
  </si>
  <si>
    <t>22TOLFE01</t>
  </si>
  <si>
    <t>Castelli Family estate, 3km from Siena walls</t>
  </si>
  <si>
    <t>20TOLFE01</t>
  </si>
  <si>
    <t>50ha estate incl. 13ha vines, 15ha olives</t>
  </si>
  <si>
    <t>21TOLFE02</t>
  </si>
  <si>
    <t xml:space="preserve">Pliocene sandstone with oyster shells &amp; </t>
  </si>
  <si>
    <t>seashore stones, like Castelnuovo Berardenga</t>
  </si>
  <si>
    <t>Organic certified QCertificazioni, 2004</t>
  </si>
  <si>
    <t>Diversity Ark certified, 2023</t>
  </si>
  <si>
    <t>ambient yeast; unfined; modest SO2</t>
  </si>
  <si>
    <t>THE KEY WINES:</t>
  </si>
  <si>
    <r>
      <rPr>
        <b/>
        <sz val="7"/>
        <color theme="1" tint="0.499984740745262"/>
        <rFont val="Noto Sans"/>
        <family val="2"/>
      </rPr>
      <t>CCS</t>
    </r>
    <r>
      <rPr>
        <sz val="7"/>
        <color theme="1" tint="0.499984740745262"/>
        <rFont val="Noto Sans"/>
        <family val="2"/>
      </rPr>
      <t>: usually 100% sangiovese, from concrete</t>
    </r>
  </si>
  <si>
    <t>sometimes with 10% canaiolo</t>
  </si>
  <si>
    <r>
      <rPr>
        <b/>
        <sz val="7"/>
        <color theme="1" tint="0.499984740745262"/>
        <rFont val="Noto Sans"/>
        <family val="2"/>
      </rPr>
      <t>CCSR</t>
    </r>
    <r>
      <rPr>
        <sz val="7"/>
        <color theme="1" tint="0.499984740745262"/>
        <rFont val="Noto Sans"/>
        <family val="2"/>
      </rPr>
      <t>: 100% sangiovese, from older vines,</t>
    </r>
  </si>
  <si>
    <t>concrete ferment, 10-12mths in chestnut cask</t>
  </si>
  <si>
    <t>2025 Teresa becomes Head Winemaker</t>
  </si>
  <si>
    <t>2023 Diversity Ark certified</t>
  </si>
  <si>
    <t>2022 Teresa Castellani joins winemaker team</t>
  </si>
  <si>
    <t>2017 agronomist Stefano Amadeo begins</t>
  </si>
  <si>
    <t>2015 3rd gen Mania Spalding takes over</t>
  </si>
  <si>
    <t>2004 Organic certified</t>
  </si>
  <si>
    <t>1993 - 2014 vineyards planted</t>
  </si>
  <si>
    <t>1953 Castelli family purchase Le Tolfe</t>
  </si>
  <si>
    <t>1316 1st metnion of vines at Le Tolfe</t>
  </si>
  <si>
    <t>785 French knight Tolfo dei Gricci built the tower</t>
  </si>
  <si>
    <t>www.LaTorreAlleTolfe.com</t>
  </si>
  <si>
    <t>www.DiversityArk.it</t>
  </si>
  <si>
    <t>GROWER CODE: TOLFE</t>
  </si>
  <si>
    <r>
      <rPr>
        <b/>
        <sz val="7"/>
        <color theme="1" tint="0.499984740745262"/>
        <rFont val="Noto Sans"/>
        <family val="2"/>
      </rPr>
      <t>Walter Speller Chianti Classico grand cru, 2020</t>
    </r>
    <r>
      <rPr>
        <sz val="7"/>
        <color theme="1" tint="0.499984740745262"/>
        <rFont val="Noto Sans"/>
        <family val="2"/>
      </rPr>
      <t xml:space="preserve"> 'Classifica B' (for Chianti Classico)</t>
    </r>
  </si>
  <si>
    <t>VALLONE DI CECIONE</t>
  </si>
  <si>
    <t>22VCECIONE02</t>
  </si>
  <si>
    <t>Francesco Anichini &amp; family. 8ha by house</t>
  </si>
  <si>
    <t>19VCECIONE03</t>
  </si>
  <si>
    <t>Cecione valley, in Panzano's Conca de Oro</t>
  </si>
  <si>
    <t>17VCECIONE02</t>
  </si>
  <si>
    <t>4ha vines; 4ha olives, with 700 trees</t>
  </si>
  <si>
    <t>19VCECIONE04</t>
  </si>
  <si>
    <t>ambient yeast; unfined &amp; unflitered</t>
  </si>
  <si>
    <t>18VCECIONE02</t>
  </si>
  <si>
    <t>19VCECIONE05</t>
  </si>
  <si>
    <r>
      <t>Chianti Classico:</t>
    </r>
    <r>
      <rPr>
        <sz val="7"/>
        <color theme="1" tint="0.499984740745262"/>
        <rFont val="Noto Sans"/>
        <family val="2"/>
      </rPr>
      <t xml:space="preserve"> 90% sangiovese, 10% canaiolo</t>
    </r>
  </si>
  <si>
    <t>raised 8mths in botte grande</t>
  </si>
  <si>
    <r>
      <rPr>
        <b/>
        <sz val="7"/>
        <color theme="1" tint="0.499984740745262"/>
        <rFont val="Noto Sans"/>
        <family val="2"/>
      </rPr>
      <t xml:space="preserve">Malvasia nera: </t>
    </r>
    <r>
      <rPr>
        <sz val="7"/>
        <color theme="1" tint="0.499984740745262"/>
        <rFont val="Noto Sans"/>
        <family val="2"/>
      </rPr>
      <t>raised in local 500L terracotta</t>
    </r>
  </si>
  <si>
    <r>
      <rPr>
        <b/>
        <sz val="7"/>
        <color theme="1" tint="0.499984740745262"/>
        <rFont val="Noto Sans"/>
        <family val="2"/>
      </rPr>
      <t>Canaiolo:</t>
    </r>
    <r>
      <rPr>
        <sz val="7"/>
        <color theme="1" tint="0.499984740745262"/>
        <rFont val="Noto Sans"/>
        <family val="2"/>
      </rPr>
      <t xml:space="preserve"> cement elevage</t>
    </r>
  </si>
  <si>
    <r>
      <rPr>
        <b/>
        <sz val="7"/>
        <color theme="1" tint="0.499984740745262"/>
        <rFont val="Noto Sans"/>
        <family val="2"/>
      </rPr>
      <t>Campo dell'Orzo:</t>
    </r>
    <r>
      <rPr>
        <sz val="7"/>
        <color theme="1" tint="0.499984740745262"/>
        <rFont val="Noto Sans"/>
        <family val="2"/>
      </rPr>
      <t xml:space="preserve"> long macerated</t>
    </r>
  </si>
  <si>
    <t>Sangiovese, raised in cement tanks</t>
  </si>
  <si>
    <t>Organic certified QCertificazioni; ⓋVegan compatible</t>
  </si>
  <si>
    <t>ilvallonedicecione.it</t>
  </si>
  <si>
    <t>GROWER CODE: VCECIONE</t>
  </si>
  <si>
    <t>Italy, Tuscany - Montalcino, Montepulciano, etc.</t>
  </si>
  <si>
    <t>CASE BASSE di SOLDERA</t>
  </si>
  <si>
    <t>usually sells out upon release</t>
  </si>
  <si>
    <t>STELLA DI CAMPALTO</t>
  </si>
  <si>
    <r>
      <rPr>
        <b/>
        <sz val="7"/>
        <color theme="1" tint="0.499984740745262"/>
        <rFont val="Noto Sans"/>
        <family val="2"/>
      </rPr>
      <t>Nello</t>
    </r>
    <r>
      <rPr>
        <sz val="7"/>
        <color theme="1" tint="0.499984740745262"/>
        <rFont val="Noto Sans"/>
        <family val="2"/>
      </rPr>
      <t xml:space="preserve"> 'what you receive from the earth comes from all that you gave to the earth'</t>
    </r>
  </si>
  <si>
    <t>BARICCI, from PODERE</t>
  </si>
  <si>
    <t>COLOMBAIO DI MONTESOLI</t>
  </si>
  <si>
    <t>23BARIC02</t>
  </si>
  <si>
    <t>Montesoli hill. 5ha vines of the 15ha 'cru',</t>
  </si>
  <si>
    <t>22BARIC02</t>
  </si>
  <si>
    <t>North of Montalcino, average 280m altitude</t>
  </si>
  <si>
    <t>Francesco &amp; Federico Buffi, 3rd gen.</t>
  </si>
  <si>
    <t>BRUNELLO:</t>
  </si>
  <si>
    <t>SE &amp; E facing, surrounded by woods</t>
  </si>
  <si>
    <t>22BARIC01</t>
  </si>
  <si>
    <t>Terroir is Pliocene, clay-based with marnes,</t>
  </si>
  <si>
    <t>20BARIC02</t>
  </si>
  <si>
    <t>quartz-rich schist, poor in organic matter,</t>
  </si>
  <si>
    <t>BRUNELLO RISERVA:</t>
  </si>
  <si>
    <t>draining and also water retaining</t>
  </si>
  <si>
    <t>21BARIC03E</t>
  </si>
  <si>
    <t>cover cropped with barley &amp; beans</t>
  </si>
  <si>
    <t>20BARIC03</t>
  </si>
  <si>
    <r>
      <rPr>
        <b/>
        <sz val="8"/>
        <color rgb="FF00B050"/>
        <rFont val="Noto Sans"/>
        <family val="2"/>
      </rPr>
      <t xml:space="preserve">sustainable </t>
    </r>
    <r>
      <rPr>
        <sz val="8"/>
        <color theme="1" tint="0.14999847407452621"/>
        <rFont val="Noto Sans"/>
        <family val="2"/>
      </rPr>
      <t>agriculture; ambient yeast</t>
    </r>
  </si>
  <si>
    <t>17BARIC02TB</t>
  </si>
  <si>
    <r>
      <t>Ⓥ Vegan compatible</t>
    </r>
    <r>
      <rPr>
        <sz val="8"/>
        <color theme="1" tint="0.14999847407452621"/>
        <rFont val="Noto Sans"/>
        <family val="2"/>
      </rPr>
      <t xml:space="preserve"> (bentonite fining)</t>
    </r>
  </si>
  <si>
    <t>BRUNELLO EN MAGNUM:</t>
  </si>
  <si>
    <t>Medium sized 20-40hl Garbellotto botte</t>
  </si>
  <si>
    <t>22BARIC01MG</t>
  </si>
  <si>
    <t>1yr elevage for Rosso, 3yrs for Brunello</t>
  </si>
  <si>
    <t>21BARIC02MG</t>
  </si>
  <si>
    <t>2017 Nonno Nello passes away</t>
  </si>
  <si>
    <t>2010 1st ever vintage of Riserva 'Nello'</t>
  </si>
  <si>
    <t>1975 Federico born</t>
  </si>
  <si>
    <t>1971 1st  vintage of Brunello</t>
  </si>
  <si>
    <t>1968 1st vintage of Rosso</t>
  </si>
  <si>
    <t>1955 founded by Nello Baricci, son of sharecroppers</t>
  </si>
  <si>
    <t>1555 Montesoli farm built by Baldassare Peruzzi</t>
  </si>
  <si>
    <t>Ris' in Wine Enthusiast Top 100 Cellar Select 2019</t>
  </si>
  <si>
    <t>Ris' in Wine Enthusiast Top 100 Cellar Select 2016</t>
  </si>
  <si>
    <t>DEBRA MEIBURG MW INTERVIEW #235</t>
  </si>
  <si>
    <t>Baricci.it</t>
  </si>
  <si>
    <t>GROWER CODE: BARIC</t>
  </si>
  <si>
    <t>CASE BASSE by</t>
  </si>
  <si>
    <t>Case Basse di Soldera</t>
  </si>
  <si>
    <t>FAMIGLIA SOLDERA</t>
  </si>
  <si>
    <t>18SOLDERGLAS</t>
  </si>
  <si>
    <t>Montalcino. Famiglia Soldera.</t>
  </si>
  <si>
    <t xml:space="preserve">Co-founder Graziella, Gianfranco's widow. </t>
  </si>
  <si>
    <t>Daughter Monica &amp; husband Paolo, production</t>
  </si>
  <si>
    <t>Son Mauro with wife Valeria, &amp; team</t>
  </si>
  <si>
    <t>23ha estate with 10ha vines ~320m altitude:</t>
  </si>
  <si>
    <t>4ha in Case Basse block, 6ha Intistieti block,</t>
  </si>
  <si>
    <t>on clay rich soil over dark schist bedrock.</t>
  </si>
  <si>
    <t>2ha formal gardens with OGR roses, iris,</t>
  </si>
  <si>
    <t>crab apples, peonies, pond, etc. Olive grove.</t>
  </si>
  <si>
    <t>1 bunch of grapes per sarment</t>
  </si>
  <si>
    <t>Ambient yeast. ~4years elevage today in botte</t>
  </si>
  <si>
    <t>2022 year of planting</t>
  </si>
  <si>
    <t>2019 Gianfranco Soldera passed away</t>
  </si>
  <si>
    <t>2019 Dan Keeling's epic article in Noble Rot #19</t>
  </si>
  <si>
    <t>2015 drainage channels dug every 4 rows</t>
  </si>
  <si>
    <t>2012 Yuri joined; (Gian-)Paolo's #2 since 2022</t>
  </si>
  <si>
    <t>2012 sabotage incident, ullaging much of 2007-2012</t>
  </si>
  <si>
    <t>2010 Soldera bursary for young scientists started</t>
  </si>
  <si>
    <t>2010 smallest sabotage era vintage: given to charities</t>
  </si>
  <si>
    <t>2006 to 2018 Gianfranco's Quality of Wine column</t>
  </si>
  <si>
    <t>2006 1st vintage labelled as 100% Sangiovese</t>
  </si>
  <si>
    <t>2006 last vintage labelled as Brunello di Montalcino</t>
  </si>
  <si>
    <t>2005 RP: World's Greatest Wine Estates list</t>
  </si>
  <si>
    <t>2005 1st &amp; only bottling of Pegasus</t>
  </si>
  <si>
    <t>2003 1st vintage with accappanamento, aka tressage</t>
  </si>
  <si>
    <t>2003 canopy height extended to 2.3/2.4m height</t>
  </si>
  <si>
    <t>2003 Monica &amp; husband Gianpaolo join</t>
  </si>
  <si>
    <t>2002 smallest 'natural' vintage ever, with 6000btls</t>
  </si>
  <si>
    <t>2001 new cellar finished</t>
  </si>
  <si>
    <t>1990 year of planting</t>
  </si>
  <si>
    <t>1990 1st vintage Brunello di Montalcino Riserva</t>
  </si>
  <si>
    <t>1989 no production</t>
  </si>
  <si>
    <t>1985 1st vintage of Intistieti VDT</t>
  </si>
  <si>
    <t>1980s Soldera label delivered by friend Piero Leddi</t>
  </si>
  <si>
    <t>1982 1st vintage of Rosso di Montalcino</t>
  </si>
  <si>
    <t>1977 1st vintage of Brunello di Montalcino</t>
  </si>
  <si>
    <t>1975 1st vintage, labelled Rosso dai Vigneti di Brunello</t>
  </si>
  <si>
    <t xml:space="preserve">1973 initial 4.5ha of Intistieti block planted </t>
  </si>
  <si>
    <t xml:space="preserve">1972 initial 2ha Case Basse block planted </t>
  </si>
  <si>
    <t>1972 23ha Case Basse puchased, with no vines</t>
  </si>
  <si>
    <t>1937 Giancfranco Soldera born, at Treviso</t>
  </si>
  <si>
    <t>www.youtube.com/watch?v=hfHyxtGMuwE</t>
  </si>
  <si>
    <t>Soldera.it</t>
  </si>
  <si>
    <t>DEBRA MEIBURG MW INTERVIEW #56</t>
  </si>
  <si>
    <t>NB SOLDERA'S ESSAYS ARE AVAILABLE</t>
  </si>
  <si>
    <t>GROWER CODE: SOLDER</t>
  </si>
  <si>
    <t>'J.G.Benda - viticoltore a Montalcino'</t>
  </si>
  <si>
    <r>
      <rPr>
        <b/>
        <sz val="7"/>
        <color theme="1" tint="0.499984740745262"/>
        <rFont val="Noto Sans"/>
        <family val="2"/>
      </rPr>
      <t>John</t>
    </r>
    <r>
      <rPr>
        <sz val="7"/>
        <color theme="1" tint="0.499984740745262"/>
        <rFont val="Noto Sans"/>
        <family val="2"/>
      </rPr>
      <t xml:space="preserve"> 'artisan winemaker in Montalcino on a mission to offer hedonistic joy and unique emotions to fine wine lovers'</t>
    </r>
  </si>
  <si>
    <t>J.G. BENDA</t>
  </si>
  <si>
    <t>25BENDA01</t>
  </si>
  <si>
    <t>Montalcino. John Benda &amp; Zoe Johnson</t>
  </si>
  <si>
    <t>25BENDA01MG</t>
  </si>
  <si>
    <t>18ha estate at Passo del Lume Spento &gt;500m</t>
  </si>
  <si>
    <t>with 1.85ha vines, ~16ha forest by Le Ragnaie</t>
  </si>
  <si>
    <t>Plus 1ha vines leased by Il Grepppo: all &gt;500m.</t>
  </si>
  <si>
    <r>
      <rPr>
        <b/>
        <sz val="8"/>
        <color rgb="FF00B050"/>
        <rFont val="Noto Sans"/>
        <family val="2"/>
      </rPr>
      <t>no certification</t>
    </r>
    <r>
      <rPr>
        <sz val="8"/>
        <color theme="1" tint="0.14999847407452621"/>
        <rFont val="Noto Sans"/>
        <family val="2"/>
      </rPr>
      <t>. Braiding vines</t>
    </r>
  </si>
  <si>
    <t>Maria Thun calendar; BD preps. Ambient yeast</t>
  </si>
  <si>
    <t>French &amp; Slavonian untoasted oak of 20-26hl</t>
  </si>
  <si>
    <r>
      <rPr>
        <b/>
        <sz val="8"/>
        <color theme="1" tint="0.14999847407452621"/>
        <rFont val="Noto Sans"/>
        <family val="2"/>
      </rPr>
      <t>VPS:</t>
    </r>
    <r>
      <rPr>
        <sz val="8"/>
        <color theme="1" tint="0.14999847407452621"/>
        <rFont val="Noto Sans"/>
        <family val="2"/>
      </rPr>
      <t xml:space="preserve"> 1ha Vigna di Pietrafocaia di Sopra: IGT</t>
    </r>
  </si>
  <si>
    <t>2026 1st release of the crus, incl. Brunello 2021</t>
  </si>
  <si>
    <t>2024 1st release, Rosso 2021</t>
  </si>
  <si>
    <t>2023 manifesto written</t>
  </si>
  <si>
    <t>2023 1st write up: Walter Speller, JancisRobinson.com</t>
  </si>
  <si>
    <t>2021 1st vintage</t>
  </si>
  <si>
    <t>2020 purchase at Passo del Lume Spento, &gt;500m</t>
  </si>
  <si>
    <t>2019 John apprentices chez Marroneto</t>
  </si>
  <si>
    <t>instagram.com/j.g.benda/</t>
  </si>
  <si>
    <t>GROWER CODE: BENDA</t>
  </si>
  <si>
    <t>KIND WORDS ON LE CHIUSE:</t>
  </si>
  <si>
    <r>
      <t>Slow Wine Guide 2018</t>
    </r>
    <r>
      <rPr>
        <sz val="7"/>
        <color theme="1" tint="0.499984740745262"/>
        <rFont val="Noto Sans"/>
        <family val="2"/>
      </rPr>
      <t xml:space="preserve"> 'a very solid winery…without following fashion or being influenced by critics'</t>
    </r>
  </si>
  <si>
    <r>
      <t>Slow Wine Guide 2016</t>
    </r>
    <r>
      <rPr>
        <sz val="7"/>
        <color theme="1" tint="0.499984740745262"/>
        <rFont val="Noto Sans"/>
        <family val="2"/>
      </rPr>
      <t xml:space="preserve"> 'now an institution for anyone looking for a rigourous, classic expression of the Montalcino terroir'</t>
    </r>
  </si>
  <si>
    <r>
      <t>Slow Wine Guide 2015</t>
    </r>
    <r>
      <rPr>
        <sz val="7"/>
        <color theme="1" tint="0.499984740745262"/>
        <rFont val="Noto Sans"/>
        <family val="2"/>
      </rPr>
      <t xml:space="preserve"> 'a perfect synthesis between the regal elegance of the sangiovese and a sense of place'</t>
    </r>
  </si>
  <si>
    <r>
      <t>Slow Wine Guide 2014</t>
    </r>
    <r>
      <rPr>
        <sz val="7"/>
        <color theme="1" tint="0.499984740745262"/>
        <rFont val="Noto Sans"/>
        <family val="2"/>
      </rPr>
      <t xml:space="preserve"> 'a shining star in the Montalcino wine firmament'</t>
    </r>
  </si>
  <si>
    <r>
      <t>Slow Wine Guide 2013</t>
    </r>
    <r>
      <rPr>
        <sz val="7"/>
        <color theme="1" tint="0.499984740745262"/>
        <rFont val="Noto Sans"/>
        <family val="2"/>
      </rPr>
      <t xml:space="preserve"> 'organic management for fragrant, typical, traditional wines in which the last word is left to sangiovese &amp; sangiovese alone'      </t>
    </r>
  </si>
  <si>
    <r>
      <t>Slow Wine Guide 2012</t>
    </r>
    <r>
      <rPr>
        <sz val="7"/>
        <color theme="1" tint="0.499984740745262"/>
        <rFont val="Noto Sans"/>
        <family val="2"/>
      </rPr>
      <t xml:space="preserve"> 'a historic vineyard disceetly expressed in wines of outstanding class'      </t>
    </r>
  </si>
  <si>
    <t>LE CHIUSE</t>
  </si>
  <si>
    <t xml:space="preserve">Montosoli, North Montalcino  </t>
  </si>
  <si>
    <t>24LECHIUSE02</t>
  </si>
  <si>
    <t>18ha estate; 8ha massale vines; ~30hl/ha</t>
  </si>
  <si>
    <t>23LECHIUSE03</t>
  </si>
  <si>
    <t>Simonetta Valiani &amp; Nicolo' Magnelli</t>
  </si>
  <si>
    <t>her grandfather was Tancredi Biondi-Santi</t>
  </si>
  <si>
    <t>24LECHIUSE01</t>
  </si>
  <si>
    <t>her son is Lorenzo Magnelli, winemaker</t>
  </si>
  <si>
    <t xml:space="preserve">botte grande only, 20-50hl size </t>
  </si>
  <si>
    <t>24LECHIUSE03JB</t>
  </si>
  <si>
    <t>[Le Chiuse used to make the B.Santi Ris.]</t>
  </si>
  <si>
    <t>Organic certified 2005 Valoritalia</t>
  </si>
  <si>
    <t>22LECHIUSE01</t>
  </si>
  <si>
    <t>20LECHIUSE03MG</t>
  </si>
  <si>
    <r>
      <rPr>
        <b/>
        <sz val="7"/>
        <color theme="1" tint="0.499984740745262"/>
        <rFont val="Noto Sans"/>
        <family val="2"/>
      </rPr>
      <t>Brunello Riserva</t>
    </r>
    <r>
      <rPr>
        <sz val="7"/>
        <color theme="1" tint="0.499984740745262"/>
        <rFont val="Noto Sans"/>
        <family val="2"/>
      </rPr>
      <t>: oldest vines, 48months elevage</t>
    </r>
  </si>
  <si>
    <r>
      <rPr>
        <b/>
        <sz val="7"/>
        <color theme="1" tint="0.499984740745262"/>
        <rFont val="Noto Sans"/>
        <family val="2"/>
      </rPr>
      <t>Brunello:</t>
    </r>
    <r>
      <rPr>
        <sz val="7"/>
        <color theme="1" tint="0.499984740745262"/>
        <rFont val="Noto Sans"/>
        <family val="2"/>
      </rPr>
      <t xml:space="preserve"> older vines; 36months in botte grande</t>
    </r>
  </si>
  <si>
    <r>
      <rPr>
        <b/>
        <sz val="7"/>
        <color theme="1" tint="0.499984740745262"/>
        <rFont val="Noto Sans"/>
        <family val="2"/>
      </rPr>
      <t>Rosso:</t>
    </r>
    <r>
      <rPr>
        <sz val="7"/>
        <color theme="1" tint="0.499984740745262"/>
        <rFont val="Noto Sans"/>
        <family val="2"/>
      </rPr>
      <t xml:space="preserve"> 12 months in botte grande</t>
    </r>
  </si>
  <si>
    <r>
      <rPr>
        <b/>
        <sz val="7"/>
        <color theme="1" tint="0.499984740745262"/>
        <rFont val="Noto Sans"/>
        <family val="2"/>
      </rPr>
      <t>Arpaia:</t>
    </r>
    <r>
      <rPr>
        <sz val="7"/>
        <color theme="1" tint="0.499984740745262"/>
        <rFont val="Noto Sans"/>
        <family val="2"/>
      </rPr>
      <t xml:space="preserve"> young vines, warm yrs, 6mths tank aging</t>
    </r>
  </si>
  <si>
    <t>2023 1ha sangiovese being planted</t>
  </si>
  <si>
    <t>2014 Wine Enthusiast, Enthusiast 100 (rosso)</t>
  </si>
  <si>
    <t>2010 Wine Enthusiast, Top 100 Cellar Select (Ris.)</t>
  </si>
  <si>
    <r>
      <t xml:space="preserve">2005 </t>
    </r>
    <r>
      <rPr>
        <b/>
        <sz val="7"/>
        <color rgb="FF00B050"/>
        <rFont val="Noto Sans"/>
        <family val="2"/>
      </rPr>
      <t>Organic certified</t>
    </r>
  </si>
  <si>
    <t xml:space="preserve">  </t>
  </si>
  <si>
    <t>1992 &amp; 1993 first release of Rosso &amp; Brunello</t>
  </si>
  <si>
    <t>1986 start of Simonetta's era at Le Chiuse</t>
  </si>
  <si>
    <t>1888 1st Brunello made by Fioruccio Biondi-Santi</t>
  </si>
  <si>
    <r>
      <t>C.17</t>
    </r>
    <r>
      <rPr>
        <vertAlign val="superscript"/>
        <sz val="7"/>
        <color theme="1" tint="0.499984740745262"/>
        <rFont val="Noto Sans"/>
        <family val="2"/>
      </rPr>
      <t>th</t>
    </r>
    <r>
      <rPr>
        <sz val="7"/>
        <color theme="1" tint="0.499984740745262"/>
        <rFont val="Noto Sans"/>
        <family val="2"/>
      </rPr>
      <t xml:space="preserve"> origins of Biondi-Santi family</t>
    </r>
  </si>
  <si>
    <t>Slow Wine 2011-18, 'Snail' Award</t>
  </si>
  <si>
    <t>lechiuse.com</t>
  </si>
  <si>
    <t>GROWER CODE: LECHI</t>
  </si>
  <si>
    <t>KIND WORDS ON GORELLI, etc.:</t>
  </si>
  <si>
    <r>
      <rPr>
        <b/>
        <sz val="7"/>
        <color theme="1" tint="0.499984740745262"/>
        <rFont val="Noto Sans"/>
        <family val="2"/>
      </rPr>
      <t>Walter Speller, 2022</t>
    </r>
    <r>
      <rPr>
        <sz val="7"/>
        <color theme="1" tint="0.499984740745262"/>
        <rFont val="Noto Sans"/>
        <family val="2"/>
      </rPr>
      <t xml:space="preserve"> '2018 and 2019 Rosso di Montalcino are nothing short of spectacular, setting high expectations for Gorelli’s 2018 Brunello'</t>
    </r>
  </si>
  <si>
    <r>
      <rPr>
        <b/>
        <sz val="7"/>
        <color theme="1" tint="0.499984740745262"/>
        <rFont val="Noto Sans"/>
        <family val="2"/>
      </rPr>
      <t>Walter Speller, 2021</t>
    </r>
    <r>
      <rPr>
        <sz val="7"/>
        <color theme="1" tint="0.499984740745262"/>
        <rFont val="Noto Sans"/>
        <family val="2"/>
      </rPr>
      <t xml:space="preserve"> (on Brigo 2020) 'Much more like an important Rosso di Montalcino'</t>
    </r>
  </si>
  <si>
    <r>
      <t>Walter Speller, 2021</t>
    </r>
    <r>
      <rPr>
        <sz val="7"/>
        <color theme="1" tint="0.499984740745262"/>
        <rFont val="Noto Sans"/>
        <family val="2"/>
      </rPr>
      <t xml:space="preserve"> (on Rosso 2019) 'Overachieving Rosso'</t>
    </r>
  </si>
  <si>
    <r>
      <t>Walter Speller, 2021</t>
    </r>
    <r>
      <rPr>
        <sz val="7"/>
        <color theme="1" tint="0.499984740745262"/>
        <rFont val="Noto Sans"/>
        <family val="2"/>
      </rPr>
      <t xml:space="preserve"> 'A fantastic debut' (on Rosso 2018)</t>
    </r>
  </si>
  <si>
    <r>
      <t xml:space="preserve">Gorelli, 2022 </t>
    </r>
    <r>
      <rPr>
        <sz val="7"/>
        <color theme="1" tint="0.499984740745262"/>
        <rFont val="Noto Sans"/>
        <family val="2"/>
      </rPr>
      <t>'You learn from the difficulty and you try to find a solution'</t>
    </r>
  </si>
  <si>
    <t>GIUSEPPE GORELLI</t>
  </si>
  <si>
    <t>ROSSI:</t>
  </si>
  <si>
    <t>(ex-Le Pottazine)</t>
  </si>
  <si>
    <t>23GORELLI03</t>
  </si>
  <si>
    <t>NW Montalcino, 350-380m altitude</t>
  </si>
  <si>
    <t>22GORELLI02</t>
  </si>
  <si>
    <t>(Near Canalicchio di Sopra)</t>
  </si>
  <si>
    <t>24GORELLI02</t>
  </si>
  <si>
    <t>4ha 20-40yr mature vines, plus 2ha young</t>
  </si>
  <si>
    <t>23GORELLI02</t>
  </si>
  <si>
    <t>vines added 2019, 400 olive trees</t>
  </si>
  <si>
    <t>23GORELLI02MG</t>
  </si>
  <si>
    <t>French &amp; Slavonian oak medium-large</t>
  </si>
  <si>
    <t>24GORELLI01</t>
  </si>
  <si>
    <t>Garbellotto botte of 16/35/50hl, plus steel</t>
  </si>
  <si>
    <t>23GORELLI01</t>
  </si>
  <si>
    <t>24GORELLI01MG</t>
  </si>
  <si>
    <t>2018 1st vintage of Brunello, released 2023</t>
  </si>
  <si>
    <t>2017 started Giuseppe Gorelli winery</t>
  </si>
  <si>
    <t>1998 father sold Due Portine</t>
  </si>
  <si>
    <t>1993 bought 3.5ha next door, renamed Le Potazzine</t>
  </si>
  <si>
    <t>1987-1998 made father's Due Portine wine, Castiglione</t>
  </si>
  <si>
    <t>70s-80s enologo at Consorzio for 15yrs w.Gambelli</t>
  </si>
  <si>
    <t>instagram.com/ggorelliwine/</t>
  </si>
  <si>
    <t>facebook.com/GGorelliWine</t>
  </si>
  <si>
    <t>GROWER CODE: GORELLI</t>
  </si>
  <si>
    <t>LISINI Famiglia, at</t>
  </si>
  <si>
    <t>Podere Casanova</t>
  </si>
  <si>
    <t>24LISINI01</t>
  </si>
  <si>
    <t xml:space="preserve">Montalcino, at Sant'Angelo in Colle </t>
  </si>
  <si>
    <t>22LISINI02</t>
  </si>
  <si>
    <t>Clementi-Lisini family, run by cousins:</t>
  </si>
  <si>
    <t>23LISINI01</t>
  </si>
  <si>
    <t>Lodovica, with brothers Carlo &amp; Lorenzo</t>
  </si>
  <si>
    <t>154ha estate, 20ha vines</t>
  </si>
  <si>
    <t>24LISINI01MG</t>
  </si>
  <si>
    <t>23LISINI01MG</t>
  </si>
  <si>
    <t>2016 IWR Top 100 WOTY</t>
  </si>
  <si>
    <t>22LISINI01MG</t>
  </si>
  <si>
    <t>21LISINI01MG</t>
  </si>
  <si>
    <t>2003 in Wine Spectator Top 100 (Ugolaia 1997)</t>
  </si>
  <si>
    <t>19LISINI02MG</t>
  </si>
  <si>
    <t>Lisini.com</t>
  </si>
  <si>
    <t>GROWER CODE: LISINI</t>
  </si>
  <si>
    <t>KIND WORDS ON STELLA, etc.:</t>
  </si>
  <si>
    <r>
      <t>Slow Wine Guide 2018</t>
    </r>
    <r>
      <rPr>
        <sz val="7"/>
        <color theme="1" tint="0.499984740745262"/>
        <rFont val="Noto Sans"/>
        <family val="2"/>
      </rPr>
      <t xml:space="preserve"> 'a pioneer of clean agriculture and a reference point for lovers of naturally made wine.'</t>
    </r>
  </si>
  <si>
    <r>
      <t>Slow Wine Guide 2017</t>
    </r>
    <r>
      <rPr>
        <sz val="7"/>
        <color theme="1" tint="0.499984740745262"/>
        <rFont val="Noto Sans"/>
        <family val="2"/>
      </rPr>
      <t xml:space="preserve"> 'with skill and perserverance, Stella has earned a place at the top of (the) Montalcino'</t>
    </r>
  </si>
  <si>
    <r>
      <t>Slow Wine Guide 2016</t>
    </r>
    <r>
      <rPr>
        <sz val="7"/>
        <color theme="1" tint="0.499984740745262"/>
        <rFont val="Noto Sans"/>
        <family val="2"/>
      </rPr>
      <t xml:space="preserve"> 'Her virtuous approach has ultimately led to wines of extraordinary character.'</t>
    </r>
  </si>
  <si>
    <r>
      <t xml:space="preserve">M.Larner, 2014 </t>
    </r>
    <r>
      <rPr>
        <sz val="7"/>
        <color theme="1" tint="0.499984740745262"/>
        <rFont val="Noto Sans"/>
        <family val="2"/>
      </rPr>
      <t>'hands down, the most promising estate in Montalcino…' &amp; 'A Stella is born'</t>
    </r>
  </si>
  <si>
    <r>
      <rPr>
        <b/>
        <sz val="7"/>
        <color theme="1" tint="0.499984740745262"/>
        <rFont val="Noto Sans"/>
        <family val="2"/>
      </rPr>
      <t>Eric Guido, Vinous 2022</t>
    </r>
    <r>
      <rPr>
        <sz val="7"/>
        <color theme="1" tint="0.499984740745262"/>
        <rFont val="Noto Sans"/>
        <family val="2"/>
      </rPr>
      <t xml:space="preserve"> 'Whether you agree or not with her ideals, the fact is that some of the best wines in Montalcino are being made in this cellar.'</t>
    </r>
  </si>
  <si>
    <r>
      <rPr>
        <b/>
        <sz val="7"/>
        <color theme="1" tint="0.499984740745262"/>
        <rFont val="Noto Sans"/>
        <family val="2"/>
      </rPr>
      <t>Ian d'Agata, Vinous 2020</t>
    </r>
    <r>
      <rPr>
        <sz val="7"/>
        <color theme="1" tint="0.499984740745262"/>
        <rFont val="Noto Sans"/>
        <family val="2"/>
      </rPr>
      <t xml:space="preserve"> ' These are wonderfully aromatic, sometimes even exotic wines that flaunt their primary fruit while remaining true expressions</t>
    </r>
  </si>
  <si>
    <t>of Sangiovese, and they are classic in structure.'</t>
  </si>
  <si>
    <r>
      <rPr>
        <b/>
        <sz val="7"/>
        <color theme="1" tint="0.499984740745262"/>
        <rFont val="Noto Sans"/>
        <family val="2"/>
      </rPr>
      <t>Ian d'Agata, Vinous 2020</t>
    </r>
    <r>
      <rPr>
        <sz val="7"/>
        <color theme="1" tint="0.499984740745262"/>
        <rFont val="Noto Sans"/>
        <family val="2"/>
      </rPr>
      <t xml:space="preserve"> 'Stella would tell you that the location of her vineyards chose her, as her passion for the land and culture turned into a love for wine…'</t>
    </r>
  </si>
  <si>
    <r>
      <t>Galloni, 2015</t>
    </r>
    <r>
      <rPr>
        <sz val="7"/>
        <color theme="1" tint="0.499984740745262"/>
        <rFont val="Noto Sans"/>
        <family val="2"/>
      </rPr>
      <t xml:space="preserve"> 'deeply personal wines that are unlike any others in Montalcino'</t>
    </r>
  </si>
  <si>
    <r>
      <t xml:space="preserve">Galloni, 2012 </t>
    </r>
    <r>
      <rPr>
        <sz val="7"/>
        <color theme="1" tint="0.499984740745262"/>
        <rFont val="Noto Sans"/>
        <family val="2"/>
      </rPr>
      <t>'immense natural talent and vision'</t>
    </r>
  </si>
  <si>
    <r>
      <t xml:space="preserve">Galloni, 2011 </t>
    </r>
    <r>
      <rPr>
        <sz val="7"/>
        <color theme="1" tint="0.499984740745262"/>
        <rFont val="Noto Sans"/>
        <family val="2"/>
      </rPr>
      <t>'most of the very finest wines were made by Montalcino’s small, artisan growers including Stella di Campalto…Soldera…</t>
    </r>
  </si>
  <si>
    <t>These are Montalcino’s equivalents of Mugnier, Roumier, de Vogüé, Dugat, Dugat-Py, Rousseau, Dujac, Clair &amp; Fourrier'</t>
  </si>
  <si>
    <r>
      <rPr>
        <b/>
        <sz val="7"/>
        <color theme="1" tint="0.499984740745262"/>
        <rFont val="Noto Sans"/>
        <family val="2"/>
      </rPr>
      <t>Galloni, 2011</t>
    </r>
    <r>
      <rPr>
        <sz val="7"/>
        <color theme="1" tint="0.499984740745262"/>
        <rFont val="Noto Sans"/>
        <family val="2"/>
      </rPr>
      <t xml:space="preserve"> 'a breathtaking set of wines from Stella di Campalto, one of Montalcino's most promising young growers. Campalto farms her vineyards</t>
    </r>
  </si>
  <si>
    <t>following biodynamic principles. The wines are made in a similarly non-interventionalist manner. A visit to this small cellar is a must for anyone who wants</t>
  </si>
  <si>
    <t>understand the potential of Sangiovese in Montalcino, especially in regards to finesse and elegance.'</t>
  </si>
  <si>
    <r>
      <t xml:space="preserve">S.Caterina di Siena, C.14th </t>
    </r>
    <r>
      <rPr>
        <sz val="7"/>
        <color theme="1" tint="0.499984740745262"/>
        <rFont val="Noto Sans"/>
        <family val="2"/>
      </rPr>
      <t>'The more you know, the more you love, and by loving more, the more you enjoy.'</t>
    </r>
  </si>
  <si>
    <t>STELLA DI CAMPALTO &amp;</t>
  </si>
  <si>
    <t>daughter BEATRICE at</t>
  </si>
  <si>
    <t>24SCOMPA02</t>
  </si>
  <si>
    <t>PODERE SAN GIUSEPPE</t>
  </si>
  <si>
    <t>Owner Stella di Campalto. 15m deep cellar</t>
  </si>
  <si>
    <t>19SCOMPA02</t>
  </si>
  <si>
    <t>13.5ha estate, 7ha vines @ 240-340m</t>
  </si>
  <si>
    <t>BRUNELLO LARGE FORMAT, etc.:</t>
  </si>
  <si>
    <t xml:space="preserve">14 blocks, 9 named vigna (parcels), on </t>
  </si>
  <si>
    <t>20SCOMPA02MG</t>
  </si>
  <si>
    <t>3 main terroirs</t>
  </si>
  <si>
    <t>Brunello di Montalcino 300cl</t>
  </si>
  <si>
    <t>23SCOMPA02DJ</t>
  </si>
  <si>
    <t>Organic certified 1996 ICEA</t>
  </si>
  <si>
    <t>GRAPPA DI BRUNELLO RISERVA:</t>
  </si>
  <si>
    <t>hand harvest; wood vat ferment; ambient yeast</t>
  </si>
  <si>
    <t>21SCOMPA05</t>
  </si>
  <si>
    <t>BRUNELLO RANGE FROM 2016 ON:</t>
  </si>
  <si>
    <r>
      <rPr>
        <b/>
        <sz val="7"/>
        <color theme="1" tint="0.499984740745262"/>
        <rFont val="Noto Sans"/>
        <family val="2"/>
      </rPr>
      <t>Brunello vigna</t>
    </r>
    <r>
      <rPr>
        <sz val="7"/>
        <color theme="1" tint="0.499984740745262"/>
        <rFont val="Noto Sans"/>
        <family val="2"/>
      </rPr>
      <t xml:space="preserve"> - any parcel bottled on merit/character</t>
    </r>
  </si>
  <si>
    <t>STELLA DI CAMPALTO's VIGNA / PARCELS (A-Z):</t>
  </si>
  <si>
    <r>
      <rPr>
        <b/>
        <sz val="7"/>
        <color theme="1" tint="0.499984740745262"/>
        <rFont val="Noto Sans"/>
        <family val="2"/>
      </rPr>
      <t>Brunello PC</t>
    </r>
    <r>
      <rPr>
        <sz val="7"/>
        <color theme="1" tint="0.499984740745262"/>
        <rFont val="Noto Sans"/>
        <family val="2"/>
      </rPr>
      <t xml:space="preserve"> - a blend of parcels from tonneau, aka</t>
    </r>
  </si>
  <si>
    <r>
      <rPr>
        <b/>
        <sz val="7"/>
        <color theme="1" tint="0.14999847407452621"/>
        <rFont val="Noto Sans"/>
        <family val="2"/>
      </rPr>
      <t>Bassa:</t>
    </r>
    <r>
      <rPr>
        <sz val="7"/>
        <color theme="1" tint="0.499984740745262"/>
        <rFont val="Noto Sans"/>
        <family val="2"/>
      </rPr>
      <t xml:space="preserve"> 1ha, 1998, SW to SSW facing, avg.225m, 2.5m x 0.8m, 5°/8.75% slope</t>
    </r>
  </si>
  <si>
    <t>'Piccoli Contenitori'</t>
  </si>
  <si>
    <r>
      <rPr>
        <b/>
        <sz val="7"/>
        <color theme="1" tint="0.14999847407452621"/>
        <rFont val="Noto Sans"/>
        <family val="2"/>
      </rPr>
      <t>Bosco:</t>
    </r>
    <r>
      <rPr>
        <sz val="7"/>
        <color theme="1" tint="0.499984740745262"/>
        <rFont val="Noto Sans"/>
        <family val="2"/>
      </rPr>
      <t xml:space="preserve"> 0.4ha, 2003, S facing, avg.210m 2.5m x 0.8m, 4°/7% slope</t>
    </r>
  </si>
  <si>
    <r>
      <rPr>
        <b/>
        <sz val="7"/>
        <color theme="1" tint="0.499984740745262"/>
        <rFont val="Noto Sans"/>
        <family val="2"/>
      </rPr>
      <t>Brunello 'masse', e.g. Riserva</t>
    </r>
    <r>
      <rPr>
        <sz val="7"/>
        <color theme="1" tint="0.499984740745262"/>
        <rFont val="Noto Sans"/>
        <family val="2"/>
      </rPr>
      <t xml:space="preserve"> - any parcels</t>
    </r>
  </si>
  <si>
    <r>
      <rPr>
        <b/>
        <sz val="7"/>
        <color theme="1" tint="0.14999847407452621"/>
        <rFont val="Noto Sans"/>
        <family val="2"/>
      </rPr>
      <t>Curva (VCLC):</t>
    </r>
    <r>
      <rPr>
        <sz val="7"/>
        <color theme="1" tint="0.499984740745262"/>
        <rFont val="Noto Sans"/>
        <family val="2"/>
      </rPr>
      <t xml:space="preserve"> 1.6ha, 1998, S facing, avg 260m, 2.5m x 0.8m, 7°/12.3% slope</t>
    </r>
  </si>
  <si>
    <t>blended based on compatability / harmony</t>
  </si>
  <si>
    <r>
      <rPr>
        <b/>
        <sz val="7"/>
        <color theme="1" tint="0.14999847407452621"/>
        <rFont val="Noto Sans"/>
        <family val="2"/>
      </rPr>
      <t xml:space="preserve">Leccio: </t>
    </r>
    <r>
      <rPr>
        <sz val="7"/>
        <color theme="1" tint="0.499984740745262"/>
        <rFont val="Noto Sans"/>
        <family val="2"/>
      </rPr>
      <t>1.8ha, 1998, S facing, avg.290m, 2.5m x 0.8m, 5°/8.75% slope</t>
    </r>
  </si>
  <si>
    <r>
      <rPr>
        <b/>
        <sz val="7"/>
        <color theme="1" tint="0.499984740745262"/>
        <rFont val="Noto Sans"/>
        <family val="2"/>
      </rPr>
      <t>Ageing:</t>
    </r>
    <r>
      <rPr>
        <sz val="7"/>
        <color theme="1" tint="0.499984740745262"/>
        <rFont val="Noto Sans"/>
        <family val="2"/>
      </rPr>
      <t xml:space="preserve"> </t>
    </r>
    <r>
      <rPr>
        <i/>
        <sz val="7"/>
        <color theme="1" tint="0.499984740745262"/>
        <rFont val="Noto Sans"/>
        <family val="2"/>
      </rPr>
      <t>up to</t>
    </r>
    <r>
      <rPr>
        <sz val="7"/>
        <color theme="1" tint="0.499984740745262"/>
        <rFont val="Noto Sans"/>
        <family val="2"/>
      </rPr>
      <t xml:space="preserve"> 42 months in cask, 21 months bottle</t>
    </r>
  </si>
  <si>
    <r>
      <rPr>
        <b/>
        <sz val="7"/>
        <color theme="1" tint="0.14999847407452621"/>
        <rFont val="Noto Sans"/>
        <family val="2"/>
      </rPr>
      <t>Quercia:</t>
    </r>
    <r>
      <rPr>
        <sz val="7"/>
        <color theme="1" tint="0.499984740745262"/>
        <rFont val="Noto Sans"/>
        <family val="2"/>
      </rPr>
      <t xml:space="preserve"> 0.85ha, 2019, SE facing, avg.275m, 2.7m x 0.9m, 5°/8.75% slope</t>
    </r>
  </si>
  <si>
    <r>
      <rPr>
        <b/>
        <sz val="7"/>
        <color theme="1" tint="0.14999847407452621"/>
        <rFont val="Noto Sans"/>
        <family val="2"/>
      </rPr>
      <t>San Giuseppe:</t>
    </r>
    <r>
      <rPr>
        <sz val="7"/>
        <color theme="1" tint="0.499984740745262"/>
        <rFont val="Noto Sans"/>
        <family val="2"/>
      </rPr>
      <t xml:space="preserve"> 0.7ha, 1992, S to SW facing, avg.250m, 3m x 1m, 7°/12.3% slope</t>
    </r>
  </si>
  <si>
    <t>Steam-cauldron pot still distilled by artisan distiller</t>
  </si>
  <si>
    <r>
      <rPr>
        <b/>
        <sz val="7"/>
        <color theme="1" tint="0.14999847407452621"/>
        <rFont val="Noto Sans"/>
        <family val="2"/>
      </rPr>
      <t>Sasso:</t>
    </r>
    <r>
      <rPr>
        <sz val="7"/>
        <color theme="1" tint="0.499984740745262"/>
        <rFont val="Noto Sans"/>
        <family val="2"/>
      </rPr>
      <t xml:space="preserve"> 0.4ha, 1998, S facing, avg.245m, 2.5m x 0.8m, 8°/14% slope</t>
    </r>
  </si>
  <si>
    <t>Priscilla Occhipinti of G.Nannoni distillery, Paganico</t>
  </si>
  <si>
    <r>
      <rPr>
        <b/>
        <sz val="7"/>
        <color theme="1" tint="0.14999847407452621"/>
        <rFont val="Noto Sans"/>
        <family val="2"/>
      </rPr>
      <t>Tondino:</t>
    </r>
    <r>
      <rPr>
        <sz val="7"/>
        <color theme="1" tint="0.499984740745262"/>
        <rFont val="Noto Sans"/>
        <family val="2"/>
      </rPr>
      <t xml:space="preserve"> 0.21ha, 2019, W facing, avg.270m, 2.7m x 0.9m, 2°/3.5% slope</t>
    </r>
  </si>
  <si>
    <t>5yrs elevage in French casks. Mouth blown bottles.</t>
  </si>
  <si>
    <r>
      <rPr>
        <b/>
        <sz val="7"/>
        <color theme="1" tint="0.14999847407452621"/>
        <rFont val="Noto Sans"/>
        <family val="2"/>
      </rPr>
      <t>Ulivo</t>
    </r>
    <r>
      <rPr>
        <b/>
        <sz val="7"/>
        <color theme="1" tint="0.499984740745262"/>
        <rFont val="Noto Sans"/>
        <family val="2"/>
      </rPr>
      <t>:</t>
    </r>
    <r>
      <rPr>
        <sz val="7"/>
        <color theme="1" tint="0.499984740745262"/>
        <rFont val="Noto Sans"/>
        <family val="2"/>
      </rPr>
      <t xml:space="preserve"> 1.3ha, 2003, S to SW facing, avg.230m, 2.4m x 0.8m, 3°/5.25% slope </t>
    </r>
  </si>
  <si>
    <t>THE 3 MAIN TERROIR TYPES:</t>
  </si>
  <si>
    <t>1. Santa Fiora formation (Cretaceous/Paleocene)</t>
  </si>
  <si>
    <t>2. Pietraforte formation (Cretaceous) -</t>
  </si>
  <si>
    <t xml:space="preserve"> 'pelitic-arenaceous high calcium carbonate sandstone'</t>
  </si>
  <si>
    <t>3. altered rocks of the above two origins</t>
  </si>
  <si>
    <t>2023 growing season run by Beatrice</t>
  </si>
  <si>
    <t>2019 Vigna alla Quercia &amp; Tondino planted</t>
  </si>
  <si>
    <t>2016 1st vintage of new blend ('masse') or parcel ('vigna') era</t>
  </si>
  <si>
    <t>2011 1st vintage of Brunello Figlie series</t>
  </si>
  <si>
    <t>2009 1st vintage of Brunello riserva</t>
  </si>
  <si>
    <r>
      <t xml:space="preserve">2005 </t>
    </r>
    <r>
      <rPr>
        <b/>
        <sz val="7"/>
        <color rgb="FF00B050"/>
        <rFont val="Noto Sans"/>
        <family val="2"/>
      </rPr>
      <t>Biodynamic certified</t>
    </r>
  </si>
  <si>
    <t>2004 1st vintage Brunello</t>
  </si>
  <si>
    <t>2003 Vigna all'Ulivo &amp; al Bosco planted</t>
  </si>
  <si>
    <t>2002 start of biodynamic practices</t>
  </si>
  <si>
    <t>2001 1st vintage Rosso di Montalcino</t>
  </si>
  <si>
    <t>1998 main year of planting: Bassa, Curva, Leccio, Sasso</t>
  </si>
  <si>
    <r>
      <t xml:space="preserve">1996 </t>
    </r>
    <r>
      <rPr>
        <b/>
        <sz val="7"/>
        <color rgb="FF00B050"/>
        <rFont val="Noto Sans"/>
        <family val="2"/>
      </rPr>
      <t>Organic certified</t>
    </r>
  </si>
  <si>
    <t>1992 Vigna S.Giuseppe planted</t>
  </si>
  <si>
    <t>1992 Podere S.Giuseppe purchased by in-laws</t>
  </si>
  <si>
    <t>1940 winery abandonned</t>
  </si>
  <si>
    <t>1920 olive trees planted</t>
  </si>
  <si>
    <t>1910 Giuseppe Martelli founded winery</t>
  </si>
  <si>
    <t>Slow Wine 'Bottle' Award 2016-2018</t>
  </si>
  <si>
    <t>StellaDiCampalto.it</t>
  </si>
  <si>
    <t>GROWER CODE: SCOMPA</t>
  </si>
  <si>
    <t>Italy, Tuscany - Montepulciano, the South</t>
  </si>
  <si>
    <t>KIND WORDS ON SANGUINETO:</t>
  </si>
  <si>
    <r>
      <rPr>
        <b/>
        <sz val="7"/>
        <color theme="1" tint="0.499984740745262"/>
        <rFont val="Noto Sans"/>
        <family val="2"/>
      </rPr>
      <t>Eric Guido, Vinous, 2021</t>
    </r>
    <r>
      <rPr>
        <sz val="7"/>
        <color theme="1" tint="0.499984740745262"/>
        <rFont val="Noto Sans"/>
        <family val="2"/>
      </rPr>
      <t xml:space="preserve"> 'If you want to talk about under-the-radar in Montepulciano, then you’re in the right place.'</t>
    </r>
  </si>
  <si>
    <r>
      <rPr>
        <b/>
        <sz val="7"/>
        <color theme="1" tint="0.499984740745262"/>
        <rFont val="Noto Sans"/>
        <family val="2"/>
      </rPr>
      <t xml:space="preserve">Eric Guido, Vinous, 2021 </t>
    </r>
    <r>
      <rPr>
        <sz val="7"/>
        <color theme="1" tint="0.499984740745262"/>
        <rFont val="Noto Sans"/>
        <family val="2"/>
      </rPr>
      <t>'There are few producers who, when you visit them, you can actually feel the energy and passion that they bring to the vineyard &amp; winery'</t>
    </r>
  </si>
  <si>
    <r>
      <rPr>
        <b/>
        <sz val="7"/>
        <color theme="1" tint="0.499984740745262"/>
        <rFont val="Noto Sans"/>
        <family val="2"/>
      </rPr>
      <t>Eric Guido, Vinous, 2021 '</t>
    </r>
    <r>
      <rPr>
        <sz val="7"/>
        <color theme="1" tint="0.499984740745262"/>
        <rFont val="Noto Sans"/>
        <family val="2"/>
      </rPr>
      <t>the incredibly pretty 2018s here made me feel like swooning...even more exciting was a preview of the 2019 Vino Nobile…&amp; Rosso'</t>
    </r>
  </si>
  <si>
    <r>
      <rPr>
        <b/>
        <sz val="7"/>
        <color theme="1" tint="0.499984740745262"/>
        <rFont val="Noto Sans"/>
        <family val="2"/>
      </rPr>
      <t>Eric Guido, Vinous, 2021</t>
    </r>
    <r>
      <rPr>
        <sz val="7"/>
        <color theme="1" tint="0.499984740745262"/>
        <rFont val="Noto Sans"/>
        <family val="2"/>
      </rPr>
      <t xml:space="preserve"> 'they simply don’t believe in the same guidelines of what an “organic” wine is. In the end, Dora Forsoni will tell you that she lives</t>
    </r>
  </si>
  <si>
    <t>amongst these vines and loves to drink her own wine, so why add anything unhealthy to them?'</t>
  </si>
  <si>
    <r>
      <rPr>
        <b/>
        <sz val="7"/>
        <color theme="1" tint="0.499984740745262"/>
        <rFont val="Noto Sans"/>
        <family val="2"/>
      </rPr>
      <t>Eric Guido, Vinous, 2021</t>
    </r>
    <r>
      <rPr>
        <sz val="7"/>
        <color theme="1" tint="0.499984740745262"/>
        <rFont val="Noto Sans"/>
        <family val="2"/>
      </rPr>
      <t xml:space="preserve"> 'some of the region's best wines are being made by this group of humble farmers who prefer honest work...over technology &amp; trends.'</t>
    </r>
  </si>
  <si>
    <r>
      <t>Slow Wine Guide 2018</t>
    </r>
    <r>
      <rPr>
        <sz val="7"/>
        <color theme="1" tint="0.499984740745262"/>
        <rFont val="Noto Sans"/>
        <family val="2"/>
      </rPr>
      <t xml:space="preserve"> 'an experience for the soul. ...the purest rural wisdom and deep gratitude toward nature live on timelessly.'</t>
    </r>
  </si>
  <si>
    <r>
      <t>Slow Wine Guide 2017</t>
    </r>
    <r>
      <rPr>
        <sz val="7"/>
        <color theme="1" tint="0.499984740745262"/>
        <rFont val="Noto Sans"/>
        <family val="2"/>
      </rPr>
      <t xml:space="preserve"> 'doing an important job for the vines,  for the local area, for tradition, and… for consumers.'</t>
    </r>
  </si>
  <si>
    <r>
      <t>Slow Wine Guide 2016</t>
    </r>
    <r>
      <rPr>
        <sz val="7"/>
        <color theme="1" tint="0.499984740745262"/>
        <rFont val="Noto Sans"/>
        <family val="2"/>
      </rPr>
      <t xml:space="preserve"> 'two timeless characters who, together, produce wines that are the true essence of their land.'</t>
    </r>
  </si>
  <si>
    <r>
      <t xml:space="preserve">Slow Wine Guide 2015 </t>
    </r>
    <r>
      <rPr>
        <sz val="7"/>
        <color theme="1" tint="0.499984740745262"/>
        <rFont val="Noto Sans"/>
        <family val="2"/>
      </rPr>
      <t>'a unique, unrepeatable place of inestimable agricultural and enological worth'</t>
    </r>
  </si>
  <si>
    <r>
      <t>Slow Wine Guide 2014</t>
    </r>
    <r>
      <rPr>
        <sz val="7"/>
        <color theme="1" tint="0.499984740745262"/>
        <rFont val="Noto Sans"/>
        <family val="2"/>
      </rPr>
      <t xml:space="preserve"> 'for wine lovers looking for bottles of innate natural eloquence, sense of place and authentic flavour.'</t>
    </r>
  </si>
  <si>
    <r>
      <t xml:space="preserve">Slow Wine Guide 2013 </t>
    </r>
    <r>
      <rPr>
        <sz val="7"/>
        <color theme="1" tint="0.499984740745262"/>
        <rFont val="Noto Sans"/>
        <family val="2"/>
      </rPr>
      <t>'Traditional, eco-friendly agriculture, typical wines and honest prices are their hallmarks.'</t>
    </r>
  </si>
  <si>
    <t>PODERI SANGUINETO I&amp;II</t>
  </si>
  <si>
    <t>ROSSO DI MONTEPULCIANO - 1yr IN BOTTE:</t>
  </si>
  <si>
    <t>Montepulciano, Tuscany</t>
  </si>
  <si>
    <t>23PSANG03</t>
  </si>
  <si>
    <t>Dora Forsoni &amp; Patrizia Brogi</t>
  </si>
  <si>
    <t>VINO NOBILE DI MONTEPULCIANO - 2yrs IN BOTTE:</t>
  </si>
  <si>
    <t>6ha of &gt;50yr vines in ~35ha estate. 330m</t>
  </si>
  <si>
    <t>23PSANG02</t>
  </si>
  <si>
    <t>indigenous vines; ambient yeast ferment in</t>
  </si>
  <si>
    <t>19PSANG01TB</t>
  </si>
  <si>
    <t>cement, then elvage in botte 1/2/3 yrs</t>
  </si>
  <si>
    <t>17PSANG01TB</t>
  </si>
  <si>
    <r>
      <t xml:space="preserve">VNDM region is </t>
    </r>
    <r>
      <rPr>
        <b/>
        <sz val="8"/>
        <color rgb="FF00B050"/>
        <rFont val="Noto Sans"/>
        <family val="2"/>
      </rPr>
      <t>sustainable certified</t>
    </r>
  </si>
  <si>
    <t>VINO NOBILE DI MONTEPULCIANO RISERVA - 3yrs IN BOTTE:</t>
  </si>
  <si>
    <t>no certification; ⓋVegan compatible</t>
  </si>
  <si>
    <t>23PSANG01</t>
  </si>
  <si>
    <t>2022 Montepulciano certified sustainable</t>
  </si>
  <si>
    <t>1997 Dora took over estate</t>
  </si>
  <si>
    <t>1980 VNDM was one of founding 4 DOCGs</t>
  </si>
  <si>
    <t>1968 Dora joined</t>
  </si>
  <si>
    <t>1963 Dora's father bought estate</t>
  </si>
  <si>
    <t>THE KEY RED WINES:</t>
  </si>
  <si>
    <r>
      <rPr>
        <b/>
        <sz val="7"/>
        <color theme="1" tint="0.499984740745262"/>
        <rFont val="Noto Sans"/>
        <family val="2"/>
      </rPr>
      <t>VNDM riserva</t>
    </r>
    <r>
      <rPr>
        <sz val="7"/>
        <color theme="1" tint="0.499984740745262"/>
        <rFont val="Noto Sans"/>
        <family val="2"/>
      </rPr>
      <t xml:space="preserve"> - 3 years elevage in botte</t>
    </r>
  </si>
  <si>
    <r>
      <rPr>
        <b/>
        <sz val="7"/>
        <color theme="1" tint="0.499984740745262"/>
        <rFont val="Noto Sans"/>
        <family val="2"/>
      </rPr>
      <t>VNDM</t>
    </r>
    <r>
      <rPr>
        <sz val="7"/>
        <color theme="1" tint="0.499984740745262"/>
        <rFont val="Noto Sans"/>
        <family val="2"/>
      </rPr>
      <t xml:space="preserve"> - 2 years elevage</t>
    </r>
  </si>
  <si>
    <r>
      <rPr>
        <b/>
        <sz val="7"/>
        <color theme="1" tint="0.499984740745262"/>
        <rFont val="Noto Sans"/>
        <family val="2"/>
      </rPr>
      <t>rosso</t>
    </r>
    <r>
      <rPr>
        <sz val="7"/>
        <color theme="1" tint="0.499984740745262"/>
        <rFont val="Noto Sans"/>
        <family val="2"/>
      </rPr>
      <t xml:space="preserve"> - 1 years elevage</t>
    </r>
  </si>
  <si>
    <t>Sanguineto.com</t>
  </si>
  <si>
    <t>GROWER CODE: PSANG</t>
  </si>
  <si>
    <t>AMIATA, Az.Agr.</t>
  </si>
  <si>
    <t>16AMIATA01</t>
  </si>
  <si>
    <t>Alta Maremma. Simone Toninelli &amp; Stefania</t>
  </si>
  <si>
    <t>16AMIATA02</t>
  </si>
  <si>
    <t>3ha at 400-500m, W.facing, 9 to 60yr vines</t>
  </si>
  <si>
    <t>on dormant volcanic Mt.Amiata. Started 2003</t>
  </si>
  <si>
    <t>Montecucco sangiovese is the DOC</t>
  </si>
  <si>
    <t>tonneau &amp; 25hl french botte for elevage</t>
  </si>
  <si>
    <t>30km South of Montalcino</t>
  </si>
  <si>
    <t>AmiataVini.it</t>
  </si>
  <si>
    <t>GROWER CODE: AMIATA</t>
  </si>
  <si>
    <t xml:space="preserve">Italy, 'Central' </t>
  </si>
  <si>
    <t>TENUTA LA PICCOLA</t>
  </si>
  <si>
    <t>18TENUTA01</t>
  </si>
  <si>
    <t>Emilia Romagna. Giuseppe Fontana &amp; family</t>
  </si>
  <si>
    <t>18TENUTA03</t>
  </si>
  <si>
    <t>25ha at Montecchio Emilia</t>
  </si>
  <si>
    <t>modestly sparkling &amp; SO2; DIAM cork</t>
  </si>
  <si>
    <t>TenutaLaPiccola.it</t>
  </si>
  <si>
    <t>GROWER CODE: TENUTA</t>
  </si>
  <si>
    <t>TERRE DI MACERATO</t>
  </si>
  <si>
    <t>17RHOD01TB</t>
  </si>
  <si>
    <t>Colli d’Imola, Emilia-Romagna. 2ha, 225m</t>
  </si>
  <si>
    <t>16RHOD01TB</t>
  </si>
  <si>
    <t>Franco Dalmonte</t>
  </si>
  <si>
    <t>Organic certified 2016 ICEA; Ⓥ Vegan compatible</t>
  </si>
  <si>
    <r>
      <t>2016 1st vintage</t>
    </r>
    <r>
      <rPr>
        <b/>
        <sz val="7"/>
        <color rgb="FF00B050"/>
        <rFont val="Noto Sans"/>
        <family val="2"/>
      </rPr>
      <t xml:space="preserve"> Organic certified</t>
    </r>
  </si>
  <si>
    <r>
      <t>2012 start of</t>
    </r>
    <r>
      <rPr>
        <b/>
        <sz val="7"/>
        <color rgb="FF00B050"/>
        <rFont val="Noto Sans"/>
        <family val="2"/>
      </rPr>
      <t xml:space="preserve"> Organic in conversion</t>
    </r>
  </si>
  <si>
    <t>2008 1st vintage</t>
  </si>
  <si>
    <t>2004 vines planted</t>
  </si>
  <si>
    <t>TerreDiMacerato.it</t>
  </si>
  <si>
    <t>GROWER CODE: RHOD</t>
  </si>
  <si>
    <r>
      <rPr>
        <b/>
        <sz val="7"/>
        <color theme="1" tint="0.499984740745262"/>
        <rFont val="Noto Sans"/>
        <family val="2"/>
      </rPr>
      <t>On Cesanese, 2016</t>
    </r>
    <r>
      <rPr>
        <sz val="7"/>
        <color theme="1" tint="0.499984740745262"/>
        <rFont val="Noto Sans"/>
        <family val="2"/>
      </rPr>
      <t xml:space="preserve"> 'Cesanese is the centerpiece of our story, an indigenous red grape variety. It communicates the heat of the</t>
    </r>
  </si>
  <si>
    <t xml:space="preserve"> Roman countryside, the power of the emperors, the sweetness of Roman feasts, and the strength of medieval Popes.'</t>
  </si>
  <si>
    <r>
      <rPr>
        <b/>
        <sz val="7"/>
        <color theme="1" tint="0.499984740745262"/>
        <rFont val="Noto Sans"/>
        <family val="2"/>
      </rPr>
      <t>Motto, 2012</t>
    </r>
    <r>
      <rPr>
        <sz val="7"/>
        <color theme="1" tint="0.499984740745262"/>
        <rFont val="Noto Sans"/>
        <family val="2"/>
      </rPr>
      <t>: 'We don’t like to be labeled: we are what we ferment. To be genuine is the only thing that matters'</t>
    </r>
  </si>
  <si>
    <t>ABBIA NOVA</t>
  </si>
  <si>
    <t>ABBIA NOVA LABEL:</t>
  </si>
  <si>
    <t>ex-COSTA GRAIA</t>
  </si>
  <si>
    <t>19ABBIANOVA02</t>
  </si>
  <si>
    <t>Piglio, Lazio; 7ha across 4 crus/contradas</t>
  </si>
  <si>
    <t>19ABBIANOVA01</t>
  </si>
  <si>
    <t>cousins Daniele &amp; Pierluca Proietta</t>
  </si>
  <si>
    <t>COSTA GRAIA LABEL:</t>
  </si>
  <si>
    <t xml:space="preserve">focus on cesanese d’affile grape, on </t>
  </si>
  <si>
    <t>14CGRAIA02TB</t>
  </si>
  <si>
    <t>volcanic soils 300-500m altitude</t>
  </si>
  <si>
    <t>13CGRAIA02TB</t>
  </si>
  <si>
    <t>2016 - 2017 1st vintages as Abbia Nova</t>
  </si>
  <si>
    <t xml:space="preserve">2012 1st vintage as Costa Graia </t>
  </si>
  <si>
    <t xml:space="preserve">GROWER CODES: ABBIANOVA / CGRAIA </t>
  </si>
  <si>
    <t>MARCA DI SAN MICHELE</t>
  </si>
  <si>
    <t>VERDICCHIO BIANCO:</t>
  </si>
  <si>
    <t>Marche. Verdicchio dei Castelli di Jesi. 6ha</t>
  </si>
  <si>
    <t>19MARCA01</t>
  </si>
  <si>
    <t xml:space="preserve">vines at Cupramontana. 4th generation of </t>
  </si>
  <si>
    <t>18MARCA02TB</t>
  </si>
  <si>
    <t>Bonci &amp; Quaresima families.</t>
  </si>
  <si>
    <t>Organic certified CCPB</t>
  </si>
  <si>
    <t>13MARCA02TB</t>
  </si>
  <si>
    <t>on limestone at 500m altitude. Ambient yeast</t>
  </si>
  <si>
    <t>light filtration IF necessary. Launched 2007</t>
  </si>
  <si>
    <t>18MARCA03TB</t>
  </si>
  <si>
    <r>
      <rPr>
        <b/>
        <sz val="7"/>
        <color theme="1" tint="0.499984740745262"/>
        <rFont val="Noto Sans"/>
        <family val="2"/>
      </rPr>
      <t>CAPOVOLTO</t>
    </r>
    <r>
      <rPr>
        <sz val="7"/>
        <color theme="1" tint="0.499984740745262"/>
        <rFont val="Noto Sans"/>
        <family val="2"/>
      </rPr>
      <t xml:space="preserve"> planted 2005. Steel ferment/elevage </t>
    </r>
  </si>
  <si>
    <r>
      <rPr>
        <b/>
        <sz val="7"/>
        <color theme="1" tint="0.499984740745262"/>
        <rFont val="Noto Sans"/>
        <family val="2"/>
      </rPr>
      <t>PASSOLENTO (ex-Il Pigro)</t>
    </r>
    <r>
      <rPr>
        <sz val="7"/>
        <color theme="1" tint="0.499984740745262"/>
        <rFont val="Noto Sans"/>
        <family val="2"/>
      </rPr>
      <t xml:space="preserve"> planted 2001.</t>
    </r>
  </si>
  <si>
    <t>ferment &amp; elevage in 10hl Slavonian cask.</t>
  </si>
  <si>
    <t>Slow Wine 2015 'Bottle' Award</t>
  </si>
  <si>
    <t>LaMarcaDiSanMichele.com</t>
  </si>
  <si>
    <t>GROWER CODE: MARCA</t>
  </si>
  <si>
    <t>D'ALESIO, aka TENUTA</t>
  </si>
  <si>
    <t>DEL PROFESSORE</t>
  </si>
  <si>
    <t>23DALESIO02</t>
  </si>
  <si>
    <t>Abruzzo, at Citta Sant'Angelo, nr Pescara</t>
  </si>
  <si>
    <t>23DALESIO02MG</t>
  </si>
  <si>
    <t>15ha vines, 40ha estate. ~300m altitude</t>
  </si>
  <si>
    <t>23DALESIO03MG</t>
  </si>
  <si>
    <t>polyculture with olives &amp; cereal</t>
  </si>
  <si>
    <t>ROSSO RISERVA</t>
  </si>
  <si>
    <t>usually ambient yeast</t>
  </si>
  <si>
    <t>23DALESIO04</t>
  </si>
  <si>
    <t>TENUTA DEL PROFESSORE:</t>
  </si>
  <si>
    <t xml:space="preserve">Based on mature low-density pergola abruzzese </t>
  </si>
  <si>
    <t>parcels selected and planted by their Professor of</t>
  </si>
  <si>
    <t>Agriculture grandfather, tank fermented, raised in</t>
  </si>
  <si>
    <t>30hl French Allier oak botte grande</t>
  </si>
  <si>
    <r>
      <rPr>
        <b/>
        <sz val="8"/>
        <color theme="1" tint="0.499984740745262"/>
        <rFont val="Noto Sans"/>
        <family val="2"/>
      </rPr>
      <t>Trebbiano</t>
    </r>
    <r>
      <rPr>
        <sz val="7"/>
        <color theme="1" tint="0.499984740745262"/>
        <rFont val="Noto Sans"/>
        <family val="2"/>
      </rPr>
      <t>: ~30yrs old, 18mths elevage</t>
    </r>
  </si>
  <si>
    <r>
      <rPr>
        <b/>
        <sz val="8"/>
        <color theme="1" tint="0.499984740745262"/>
        <rFont val="Noto Sans"/>
        <family val="2"/>
      </rPr>
      <t>Montepulciano Riserva</t>
    </r>
    <r>
      <rPr>
        <sz val="7"/>
        <color theme="1" tint="0.499984740745262"/>
        <rFont val="Noto Sans"/>
        <family val="2"/>
      </rPr>
      <t>: ~50yrs, 24mths elevage</t>
    </r>
  </si>
  <si>
    <t>TIMELINE (IN BRIEF:)</t>
  </si>
  <si>
    <t>1922 grandfather Professor Mario d'Alesio born</t>
  </si>
  <si>
    <t>1843 founded by Alessio d'Alesio</t>
  </si>
  <si>
    <t>dAlesioVini.it</t>
  </si>
  <si>
    <t>GROWER CODE: DALESIO</t>
  </si>
  <si>
    <t>KIND WORDS ON PRAESIDIUM:</t>
  </si>
  <si>
    <r>
      <t xml:space="preserve">Slow Wine Guide 2018 </t>
    </r>
    <r>
      <rPr>
        <sz val="7"/>
        <color theme="1" tint="0.499984740745262"/>
        <rFont val="Noto Sans"/>
        <family val="2"/>
      </rPr>
      <t>'a family who show great sensitivity in their agricultural approach and, year by year, treat us to exciting wines…'</t>
    </r>
  </si>
  <si>
    <r>
      <t xml:space="preserve">Slow Wine Guide 2016 </t>
    </r>
    <r>
      <rPr>
        <sz val="7"/>
        <color theme="1" tint="0.499984740745262"/>
        <rFont val="Noto Sans"/>
        <family val="2"/>
      </rPr>
      <t>'wines of great identity for almost 30 years.'</t>
    </r>
  </si>
  <si>
    <r>
      <t>Slow Wine Guide 2012</t>
    </r>
    <r>
      <rPr>
        <sz val="7"/>
        <color theme="1" tint="0.499984740745262"/>
        <rFont val="Noto Sans"/>
        <family val="2"/>
      </rPr>
      <t xml:space="preserve"> 'Quality without compromise.'</t>
    </r>
  </si>
  <si>
    <t>PRAESIDIUM, by</t>
  </si>
  <si>
    <t>TREBBIANO:</t>
  </si>
  <si>
    <t>Famiglia Pasquale</t>
  </si>
  <si>
    <t>23PRAES02</t>
  </si>
  <si>
    <t>Abruzzo, Prezza village.</t>
  </si>
  <si>
    <t>20PRAES02</t>
  </si>
  <si>
    <t>Parents Enzo &amp; Lucia, joined by</t>
  </si>
  <si>
    <t>MONTEPULCIANO RISERVA:</t>
  </si>
  <si>
    <t>son Ottavianio, daughter Antonia</t>
  </si>
  <si>
    <t>25PRAES02</t>
  </si>
  <si>
    <t>7ha in Valle Peligna below Prezza at 400m</t>
  </si>
  <si>
    <t>25PRAES01</t>
  </si>
  <si>
    <t>cellar handcut from rock</t>
  </si>
  <si>
    <t>22PRAES03SM</t>
  </si>
  <si>
    <t>Organic certified ICEA; Ⓥ Vegan compatible</t>
  </si>
  <si>
    <t>19PRAES02</t>
  </si>
  <si>
    <t>ambient yeast; all bottled unfined unfiltered</t>
  </si>
  <si>
    <t>reds see long elevage in botte &amp; tank</t>
  </si>
  <si>
    <t>23PRAES03HF</t>
  </si>
  <si>
    <r>
      <rPr>
        <b/>
        <sz val="7"/>
        <color theme="1" tint="0.499984740745262"/>
        <rFont val="Noto Sans"/>
        <family val="2"/>
      </rPr>
      <t>Luci bianco</t>
    </r>
    <r>
      <rPr>
        <sz val="7"/>
        <color theme="1" tint="0.499984740745262"/>
        <rFont val="Noto Sans"/>
        <family val="2"/>
      </rPr>
      <t>:0.8ha trebbiano Abruzzese planted</t>
    </r>
  </si>
  <si>
    <t>2013, NE facing. 20hrs on skins. Tank raised</t>
  </si>
  <si>
    <r>
      <rPr>
        <b/>
        <sz val="7"/>
        <color theme="1" tint="0.499984740745262"/>
        <rFont val="Noto Sans"/>
        <family val="2"/>
      </rPr>
      <t xml:space="preserve">Montepulciano Riserva: </t>
    </r>
    <r>
      <rPr>
        <sz val="7"/>
        <color theme="1" tint="0.499984740745262"/>
        <rFont val="Noto Sans"/>
        <family val="2"/>
      </rPr>
      <t>raised 4yrs, in tank and</t>
    </r>
  </si>
  <si>
    <t>then mid-sized botte plus tonneaux</t>
  </si>
  <si>
    <r>
      <rPr>
        <b/>
        <sz val="7"/>
        <color theme="1" tint="0.499984740745262"/>
        <rFont val="Noto Sans"/>
        <family val="2"/>
      </rPr>
      <t xml:space="preserve">A Marianna Riserva: </t>
    </r>
    <r>
      <rPr>
        <sz val="7"/>
        <color theme="1" tint="0.499984740745262"/>
        <rFont val="Noto Sans"/>
        <family val="2"/>
      </rPr>
      <t>1ha 1962 VV raised ~5.5yrs</t>
    </r>
  </si>
  <si>
    <t>(not made every year)</t>
  </si>
  <si>
    <t>2013 trebbiano planted in plot La Monacesca</t>
  </si>
  <si>
    <t>1988 label founded</t>
  </si>
  <si>
    <t>1962 oldest 1ha parcel of montepulciano vines</t>
  </si>
  <si>
    <t>Slow Wine 2011-18 'Snail' Award</t>
  </si>
  <si>
    <t>Committee member of Grupo Vini Veri</t>
  </si>
  <si>
    <t>ViniPraesidium.it</t>
  </si>
  <si>
    <t>GROWER CODE: PRAES</t>
  </si>
  <si>
    <t>DE SANCTIS</t>
  </si>
  <si>
    <t xml:space="preserve">Frascati Superiore. Francesco is 4th gen. </t>
  </si>
  <si>
    <t>23DESANCTIS01</t>
  </si>
  <si>
    <t>40ha vines planted 1950s/60s; 5ha olives</t>
  </si>
  <si>
    <t>23DESANCTIS02</t>
  </si>
  <si>
    <t>200-250masl, in an ancient volcano crater</t>
  </si>
  <si>
    <t>BIANCO DOLCE:</t>
  </si>
  <si>
    <t>on basalt, lava &amp; tuff soils, just SW of Rome</t>
  </si>
  <si>
    <t>23DESANCTIS03</t>
  </si>
  <si>
    <t>ambient yeast; tank ferment; 6mths on lees</t>
  </si>
  <si>
    <t>1816 family land; label launched 2009</t>
  </si>
  <si>
    <t>geothermal energy powered winery</t>
  </si>
  <si>
    <r>
      <rPr>
        <b/>
        <sz val="7"/>
        <color theme="1" tint="0.499984740745262"/>
        <rFont val="Noto Sans"/>
        <family val="2"/>
      </rPr>
      <t>496:</t>
    </r>
    <r>
      <rPr>
        <sz val="7"/>
        <color theme="1" tint="0.499984740745262"/>
        <rFont val="Noto Sans"/>
        <family val="2"/>
      </rPr>
      <t xml:space="preserve"> malvasia di Candia, trebbiano Toscana - fresher</t>
    </r>
  </si>
  <si>
    <r>
      <rPr>
        <b/>
        <sz val="7"/>
        <color theme="1" tint="0.499984740745262"/>
        <rFont val="Noto Sans"/>
        <family val="2"/>
      </rPr>
      <t>Abelos:</t>
    </r>
    <r>
      <rPr>
        <sz val="7"/>
        <color theme="1" tint="0.499984740745262"/>
        <rFont val="Noto Sans"/>
        <family val="2"/>
      </rPr>
      <t xml:space="preserve"> malvasia puntinata &amp; bombino - fuller wine</t>
    </r>
  </si>
  <si>
    <r>
      <rPr>
        <b/>
        <sz val="7"/>
        <color theme="1" tint="0.499984740745262"/>
        <rFont val="Noto Sans"/>
        <family val="2"/>
      </rPr>
      <t>17/11:</t>
    </r>
    <r>
      <rPr>
        <sz val="7"/>
        <color theme="1" tint="0.499984740745262"/>
        <rFont val="Noto Sans"/>
        <family val="2"/>
      </rPr>
      <t xml:space="preserve"> malvasia puntinata, botrytis affected, tank raised</t>
    </r>
  </si>
  <si>
    <t>Organic certified 2009 ICEA</t>
  </si>
  <si>
    <t>Frascati-Wine.it</t>
  </si>
  <si>
    <t>GROWER CODE: DESANCTIS</t>
  </si>
  <si>
    <t>SAN LORENZO</t>
  </si>
  <si>
    <t>Abruzzo, at Castilenti. 150ha vines</t>
  </si>
  <si>
    <t>17LORENZO06</t>
  </si>
  <si>
    <t>4th generation Gianluca &amp; Fabrizzio Galasso</t>
  </si>
  <si>
    <t>20LORENZO03</t>
  </si>
  <si>
    <t>Colline Teramane DOCG &amp; Colli Aprutini IGT</t>
  </si>
  <si>
    <t>zerosolfiti series are macerated 4 to 5 months</t>
  </si>
  <si>
    <t>17LORENZO05</t>
  </si>
  <si>
    <r>
      <t xml:space="preserve">sustainable, </t>
    </r>
    <r>
      <rPr>
        <sz val="8"/>
        <color theme="1" tint="0.14999847407452621"/>
        <rFont val="Noto Sans"/>
        <family val="2"/>
      </rPr>
      <t>&amp; some parcels</t>
    </r>
  </si>
  <si>
    <t>18LORENZO03</t>
  </si>
  <si>
    <t>Organic certified 2013 Suolo e Salute</t>
  </si>
  <si>
    <t>16LORENZO01</t>
  </si>
  <si>
    <t>mostly ambient yeast ferment</t>
  </si>
  <si>
    <t>20LORENZO02MG</t>
  </si>
  <si>
    <t>Slow Wine Bottle Award, 2012</t>
  </si>
  <si>
    <t>SanLorenzoVini.com</t>
  </si>
  <si>
    <t>AGRITURISMO AVAILABLE</t>
  </si>
  <si>
    <t>GROWER CODE: LORENZO</t>
  </si>
  <si>
    <t>KIND WORDS ON G.TABARRINI:</t>
  </si>
  <si>
    <r>
      <rPr>
        <b/>
        <sz val="7"/>
        <color theme="1" tint="0.499984740745262"/>
        <rFont val="Noto Sans"/>
        <family val="2"/>
      </rPr>
      <t>M.Larner, TWA 2017</t>
    </r>
    <r>
      <rPr>
        <sz val="7"/>
        <color theme="1" tint="0.499984740745262"/>
        <rFont val="Noto Sans"/>
        <family val="2"/>
      </rPr>
      <t xml:space="preserve"> 'an inspired set of new releases' </t>
    </r>
  </si>
  <si>
    <r>
      <rPr>
        <b/>
        <sz val="7"/>
        <color theme="1" tint="0.499984740745262"/>
        <rFont val="Noto Sans"/>
        <family val="2"/>
      </rPr>
      <t>M.Larner, TWA 2016</t>
    </r>
    <r>
      <rPr>
        <sz val="7"/>
        <color theme="1" tint="0.499984740745262"/>
        <rFont val="Noto Sans"/>
        <family val="2"/>
      </rPr>
      <t xml:space="preserve"> 'one of Montefalco's extreme winemakers...desires to push Sagrantino...to its outer limits…in richness &amp; overall density.</t>
    </r>
  </si>
  <si>
    <r>
      <rPr>
        <b/>
        <sz val="7"/>
        <color theme="1" tint="0.499984740745262"/>
        <rFont val="Noto Sans"/>
        <family val="2"/>
      </rPr>
      <t>Slow Wine Guide 2018</t>
    </r>
    <r>
      <rPr>
        <sz val="7"/>
        <color theme="1" tint="0.499984740745262"/>
        <rFont val="Noto Sans"/>
        <family val="2"/>
      </rPr>
      <t xml:space="preserve"> 'class and substance, tradition and innovation, in a mix that succeeds in the task of drawing opposites together.'</t>
    </r>
  </si>
  <si>
    <r>
      <rPr>
        <b/>
        <sz val="7"/>
        <color theme="1" tint="0.499984740745262"/>
        <rFont val="Noto Sans"/>
        <family val="2"/>
      </rPr>
      <t>Slow Wine Guide 2017</t>
    </r>
    <r>
      <rPr>
        <sz val="7"/>
        <color theme="1" tint="0.499984740745262"/>
        <rFont val="Noto Sans"/>
        <family val="2"/>
      </rPr>
      <t xml:space="preserve"> 'eclectic and unstoppable…swift to achieve envious results and thus take on a role as a leader of Umbrian viticulture'</t>
    </r>
  </si>
  <si>
    <r>
      <rPr>
        <b/>
        <sz val="7"/>
        <color theme="1" tint="0.499984740745262"/>
        <rFont val="Noto Sans"/>
        <family val="2"/>
      </rPr>
      <t>Slow Wine Guide 2016</t>
    </r>
    <r>
      <rPr>
        <sz val="7"/>
        <color theme="1" tint="0.499984740745262"/>
        <rFont val="Noto Sans"/>
        <family val="2"/>
      </rPr>
      <t xml:space="preserve"> 'Few people are as good as Giampaolo Tabarrini at conveying contagious, spontaneous, unforced cheer.'</t>
    </r>
  </si>
  <si>
    <r>
      <rPr>
        <b/>
        <sz val="7"/>
        <color theme="1" tint="0.499984740745262"/>
        <rFont val="Noto Sans"/>
        <family val="2"/>
      </rPr>
      <t>Slow Wine Guide 2014</t>
    </r>
    <r>
      <rPr>
        <sz val="7"/>
        <color theme="1" tint="0.499984740745262"/>
        <rFont val="Noto Sans"/>
        <family val="2"/>
      </rPr>
      <t xml:space="preserve"> 'the winery combines respect for farm work with modern entrepreneurial spirit. It's an example for the whole area'</t>
    </r>
  </si>
  <si>
    <r>
      <t>A.Galloni, 2013</t>
    </r>
    <r>
      <rPr>
        <sz val="7"/>
        <color theme="1" tint="0.499984740745262"/>
        <rFont val="Noto Sans"/>
        <family val="2"/>
      </rPr>
      <t xml:space="preserve"> 'some of the most compelling wines in Montefalco. ...more finessed and refined than they have ever been'</t>
    </r>
  </si>
  <si>
    <r>
      <rPr>
        <b/>
        <sz val="7"/>
        <color theme="1" tint="0.499984740745262"/>
        <rFont val="Noto Sans"/>
        <family val="2"/>
      </rPr>
      <t>A.Galloni, 2013</t>
    </r>
    <r>
      <rPr>
        <sz val="7"/>
        <color theme="1" tint="0.499984740745262"/>
        <rFont val="Noto Sans"/>
        <family val="2"/>
      </rPr>
      <t xml:space="preserve"> 'Tabarrini is a young man, so it seems quite likely the best may still lie ahead. '</t>
    </r>
  </si>
  <si>
    <r>
      <t xml:space="preserve">A.Galloni, 2011 </t>
    </r>
    <r>
      <rPr>
        <sz val="7"/>
        <color theme="1" tint="0.499984740745262"/>
        <rFont val="Noto Sans"/>
        <family val="2"/>
      </rPr>
      <t>'among Montefalco's elite growers'</t>
    </r>
  </si>
  <si>
    <r>
      <rPr>
        <b/>
        <sz val="7"/>
        <color theme="1" tint="0.499984740745262"/>
        <rFont val="Noto Sans"/>
        <family val="2"/>
      </rPr>
      <t>A.Galloni, 2009</t>
    </r>
    <r>
      <rPr>
        <sz val="7"/>
        <color theme="1" tint="0.499984740745262"/>
        <rFont val="Noto Sans"/>
        <family val="2"/>
      </rPr>
      <t xml:space="preserve"> 'It’s awfully hard not to admire proprietor Giampaolo Tabarrini’s outsize exuberance &amp; sheer passion. With a little more  maturity and</t>
    </r>
  </si>
  <si>
    <t xml:space="preserve">confidence, and a touch less forceful winemaking, Tabarrini has the potential to develop into one of Umbria’s top producers. </t>
  </si>
  <si>
    <t>GIAMPAOLO TABARRINI</t>
  </si>
  <si>
    <r>
      <t>Montefalco, Umbria. 4</t>
    </r>
    <r>
      <rPr>
        <vertAlign val="superscript"/>
        <sz val="8"/>
        <color theme="1" tint="0.14999847407452621"/>
        <rFont val="Noto Sans"/>
        <family val="2"/>
      </rPr>
      <t>th</t>
    </r>
    <r>
      <rPr>
        <sz val="8"/>
        <color theme="1" tint="0.14999847407452621"/>
        <rFont val="Noto Sans"/>
        <family val="2"/>
      </rPr>
      <t>/5</t>
    </r>
    <r>
      <rPr>
        <vertAlign val="superscript"/>
        <sz val="8"/>
        <color theme="1" tint="0.14999847407452621"/>
        <rFont val="Noto Sans"/>
        <family val="2"/>
      </rPr>
      <t>th</t>
    </r>
    <r>
      <rPr>
        <sz val="8"/>
        <color theme="1" tint="0.14999847407452621"/>
        <rFont val="Noto Sans"/>
        <family val="2"/>
      </rPr>
      <t xml:space="preserve"> gen. 340-420m alt.</t>
    </r>
  </si>
  <si>
    <t>25TABAR02</t>
  </si>
  <si>
    <t>Giampaolo, wife Federica, &amp; family.</t>
  </si>
  <si>
    <t>18TABAR07</t>
  </si>
  <si>
    <t>22ha land with 15ha vines, 50% sagrantino</t>
  </si>
  <si>
    <t>17TABAR07</t>
  </si>
  <si>
    <t>14TABAR08MT</t>
  </si>
  <si>
    <t>16TABAR01DM</t>
  </si>
  <si>
    <t>at max 30hl/ha, now with 36mths elevage</t>
  </si>
  <si>
    <t>Boccatone: sangiovese/sagrantino/barbera</t>
  </si>
  <si>
    <t>25TABAR04</t>
  </si>
  <si>
    <t>17TABAR01</t>
  </si>
  <si>
    <t>2019 1st vintage with 12 months maceration</t>
  </si>
  <si>
    <t>25TABAR03</t>
  </si>
  <si>
    <t>2018 Macchie 2013 in Wine Spectator Top 100</t>
  </si>
  <si>
    <t>20TABAR01</t>
  </si>
  <si>
    <t>2016 new cellar in use</t>
  </si>
  <si>
    <t>18TABAR02</t>
  </si>
  <si>
    <t>2007 1st Tre Bicchiere for AdArmando bianco</t>
  </si>
  <si>
    <t>18TABAR01</t>
  </si>
  <si>
    <t>2006-7 last cru Macchie raised in barrique</t>
  </si>
  <si>
    <t>SAGRANTINO CRUS:</t>
  </si>
  <si>
    <t>2006 1st write up in TWA</t>
  </si>
  <si>
    <t>20TABAR03</t>
  </si>
  <si>
    <t>2005 1st bottling AdArmando bianco</t>
  </si>
  <si>
    <t>20TABAR02</t>
  </si>
  <si>
    <t>2003 1st bottling of sagrantino crus</t>
  </si>
  <si>
    <t>19TABAR02</t>
  </si>
  <si>
    <t>1996 family start bottling</t>
  </si>
  <si>
    <t>18TABAR04</t>
  </si>
  <si>
    <t>1920 - 1947 ungafted trebbiano spoletino planted</t>
  </si>
  <si>
    <t>17TABAR04</t>
  </si>
  <si>
    <t>KEY WHITE VINEYARD:</t>
  </si>
  <si>
    <t>16TABAR04</t>
  </si>
  <si>
    <r>
      <rPr>
        <b/>
        <sz val="7"/>
        <color theme="1" tint="0.499984740745262"/>
        <rFont val="Noto Sans"/>
        <family val="2"/>
      </rPr>
      <t>Ziesu:</t>
    </r>
    <r>
      <rPr>
        <sz val="7"/>
        <color theme="1" tint="0.499984740745262"/>
        <rFont val="Noto Sans"/>
        <family val="2"/>
      </rPr>
      <t xml:space="preserve"> 0.3ha ungrafted trebbiano spoletino, East,</t>
    </r>
  </si>
  <si>
    <t>15TABAR03TB</t>
  </si>
  <si>
    <t>planted 1920 to sylvoz aka maritata, ~100 vines/ha</t>
  </si>
  <si>
    <t>19TABAR03</t>
  </si>
  <si>
    <t>THREE KEY SAGRANTINO CRUS:</t>
  </si>
  <si>
    <t>18TABAR05</t>
  </si>
  <si>
    <r>
      <rPr>
        <b/>
        <sz val="7"/>
        <color theme="1" tint="0.499984740745262"/>
        <rFont val="Noto Sans"/>
        <family val="2"/>
      </rPr>
      <t>Grimaldesco:</t>
    </r>
    <r>
      <rPr>
        <sz val="7"/>
        <color theme="1" tint="0.499984740745262"/>
        <rFont val="Noto Sans"/>
        <family val="2"/>
      </rPr>
      <t xml:space="preserve"> 1ha SE facing, clay-lime, @ 360m</t>
    </r>
  </si>
  <si>
    <t>17TABAR03</t>
  </si>
  <si>
    <t>planted 1998/2005, 5.4K/ha, 25hl French botte</t>
  </si>
  <si>
    <t>16TABAR02</t>
  </si>
  <si>
    <r>
      <rPr>
        <b/>
        <sz val="7"/>
        <color theme="1" tint="0.499984740745262"/>
        <rFont val="Noto Sans"/>
        <family val="2"/>
      </rPr>
      <t>Cerqua:</t>
    </r>
    <r>
      <rPr>
        <sz val="7"/>
        <color theme="1" tint="0.499984740745262"/>
        <rFont val="Noto Sans"/>
        <family val="2"/>
      </rPr>
      <t xml:space="preserve"> 1ha E facing, poor &amp; stony, @ 360m</t>
    </r>
  </si>
  <si>
    <t>15TABAR04TB</t>
  </si>
  <si>
    <t>planted 1997/2000, 3.8K/ha, 12.5hl French botte</t>
  </si>
  <si>
    <t>14TABAR04TB</t>
  </si>
  <si>
    <r>
      <rPr>
        <b/>
        <sz val="7"/>
        <color theme="1" tint="0.499984740745262"/>
        <rFont val="Noto Sans"/>
        <family val="2"/>
      </rPr>
      <t>Macchie:</t>
    </r>
    <r>
      <rPr>
        <sz val="7"/>
        <color theme="1" tint="0.499984740745262"/>
        <rFont val="Noto Sans"/>
        <family val="2"/>
      </rPr>
      <t xml:space="preserve"> 3.3ha S&amp; E facing, clay, @ 380m-420m</t>
    </r>
  </si>
  <si>
    <t>20TABAR04</t>
  </si>
  <si>
    <t>planted 1997/1999, 3.8K/ha, 12.5hl French botte</t>
  </si>
  <si>
    <t>18TABAR06</t>
  </si>
  <si>
    <t>Slow Wine 2013-18, 'Snail' Award</t>
  </si>
  <si>
    <t>17TABAR05</t>
  </si>
  <si>
    <t>Slow Wine 2011-12, 'Bottle' Award</t>
  </si>
  <si>
    <t>16TABAR05</t>
  </si>
  <si>
    <t>Tabarrini.com</t>
  </si>
  <si>
    <t>15TABAR05TB</t>
  </si>
  <si>
    <t xml:space="preserve">ConsorzioMontefalco.it </t>
  </si>
  <si>
    <t>14TABAR06TB</t>
  </si>
  <si>
    <t>13TABAR05TB</t>
  </si>
  <si>
    <t>25TABAR01</t>
  </si>
  <si>
    <t>GROWER CODE: TABAR</t>
  </si>
  <si>
    <t>SAGRANTINO PASSITO</t>
  </si>
  <si>
    <t>25TABAR05HF</t>
  </si>
  <si>
    <t>ROSSO LARGE FORMAT:</t>
  </si>
  <si>
    <t>16TABAR03MG</t>
  </si>
  <si>
    <t>SAGRANTINO CRUS EN MAGNUM:</t>
  </si>
  <si>
    <t>18TABAR04MG</t>
  </si>
  <si>
    <t>18TABAR05MG</t>
  </si>
  <si>
    <t>17TABAR03MG</t>
  </si>
  <si>
    <t>16TABAR02MG</t>
  </si>
  <si>
    <t>14TABAR04MTB</t>
  </si>
  <si>
    <t>18TABAR06MG</t>
  </si>
  <si>
    <t>16TABAR05MG</t>
  </si>
  <si>
    <t>14TABAR06MTB</t>
  </si>
  <si>
    <t>SAGRANTINO CRUS EN JEROS:</t>
  </si>
  <si>
    <t>19TABAR02JB</t>
  </si>
  <si>
    <t>18TABAR04JB</t>
  </si>
  <si>
    <t>18TABAR05JB</t>
  </si>
  <si>
    <t>13TABAR04JTB</t>
  </si>
  <si>
    <t>Italy, South</t>
  </si>
  <si>
    <t>MORIGERATI, by</t>
  </si>
  <si>
    <t>24MORIGERATI</t>
  </si>
  <si>
    <t>BRUNO DE CONCILIIS</t>
  </si>
  <si>
    <t>22CONCIL01</t>
  </si>
  <si>
    <t xml:space="preserve">Morigerati nature reserve, in Cilento region </t>
  </si>
  <si>
    <t>18CONCIL06</t>
  </si>
  <si>
    <t>national park, Campania</t>
  </si>
  <si>
    <t>~7ha in 4 plots planted at 600-750m</t>
  </si>
  <si>
    <t>on quartz-arenites, marly clays &amp; limestone.</t>
  </si>
  <si>
    <t>Steel tanks &amp; some used small oak casks</t>
  </si>
  <si>
    <t>2019 Eric Asimov WOTY for Naima 2010</t>
  </si>
  <si>
    <t>2016 1st vintage of L'Invitta fiano from national park</t>
  </si>
  <si>
    <t>2011 &amp; 2012 L'Invitta is planted at Morigerati</t>
  </si>
  <si>
    <t>2008 Bruno founds FIVI with 20 friends</t>
  </si>
  <si>
    <t>2007 solar panels give energy self sufficiency</t>
  </si>
  <si>
    <t>1996 1st vintage of wine bottled</t>
  </si>
  <si>
    <t>1980 Bruno returns from studies after earthquake</t>
  </si>
  <si>
    <t>1962 Bruno de Conciliis born</t>
  </si>
  <si>
    <t>C.13th - 1st de Conciliis arrive from Aragon</t>
  </si>
  <si>
    <t>youtube.com/watch?v=wiksUH7oMI4</t>
  </si>
  <si>
    <t>youtube.com/watch?reload=9&amp;v=nBLQRbUDSsg</t>
  </si>
  <si>
    <t>grapecollective.com/articles/the-soulful-wines-of-bruno-de-conciliis</t>
  </si>
  <si>
    <t>GROWER CODE: CONCIL</t>
  </si>
  <si>
    <r>
      <rPr>
        <b/>
        <sz val="7"/>
        <color theme="1" tint="0.499984740745262"/>
        <rFont val="Noto Sans"/>
        <family val="2"/>
      </rPr>
      <t>Bruno, 2017</t>
    </r>
    <r>
      <rPr>
        <sz val="7"/>
        <color theme="1" tint="0.499984740745262"/>
        <rFont val="Noto Sans"/>
        <family val="2"/>
      </rPr>
      <t xml:space="preserve"> 'I have been trying for 20 vintages: not one is perfect'</t>
    </r>
  </si>
  <si>
    <r>
      <t xml:space="preserve">NB </t>
    </r>
    <r>
      <rPr>
        <b/>
        <i/>
        <sz val="8"/>
        <color theme="1" tint="0.14999847407452621"/>
        <rFont val="Noto Sans"/>
        <family val="2"/>
      </rPr>
      <t>SOME</t>
    </r>
    <r>
      <rPr>
        <b/>
        <sz val="8"/>
        <color theme="1" tint="0.14999847407452621"/>
        <rFont val="Noto Sans"/>
        <family val="2"/>
      </rPr>
      <t xml:space="preserve"> WINES ONLY IN THE VAULTS, EDINBURGH</t>
    </r>
  </si>
  <si>
    <t>DE CONCILIIS, Viticoltori</t>
  </si>
  <si>
    <t>SPARKLING:</t>
  </si>
  <si>
    <t>Prignano Cilento, Campania</t>
  </si>
  <si>
    <t>15CONCIL04TB</t>
  </si>
  <si>
    <t>Formerly Bruno de Conciliis &amp; family</t>
  </si>
  <si>
    <t>'BIANCO':</t>
  </si>
  <si>
    <t>15ha estate plus leased vines: ~28ha total</t>
  </si>
  <si>
    <t>16CONCIL11TB</t>
  </si>
  <si>
    <t>PRIMITIVO:</t>
  </si>
  <si>
    <t>clay-limestone terroirs ~250m, tank ferment,</t>
  </si>
  <si>
    <t>17CONCIL07TB</t>
  </si>
  <si>
    <t>ambient yeast, modest sulphites</t>
  </si>
  <si>
    <t>AGLIANICO(NE):</t>
  </si>
  <si>
    <t>17CONCIL04TB</t>
  </si>
  <si>
    <t>11CONCIL10TB</t>
  </si>
  <si>
    <t>16CONCIL03MTB</t>
  </si>
  <si>
    <t>2011 &amp; 2012 Bruno plantes L'Invitta at Morigerati</t>
  </si>
  <si>
    <t>AGLIANICO:</t>
  </si>
  <si>
    <t>18CONCIL05</t>
  </si>
  <si>
    <t>18CONCIL04</t>
  </si>
  <si>
    <t>C.13th - 1st de Conciliis arrive from Aragon, Spain</t>
  </si>
  <si>
    <r>
      <t>Cuoredoro greco:</t>
    </r>
    <r>
      <rPr>
        <sz val="7"/>
        <color theme="1" tint="0.499984740745262"/>
        <rFont val="Noto Sans"/>
        <family val="2"/>
      </rPr>
      <t xml:space="preserve"> local white grape Greco</t>
    </r>
  </si>
  <si>
    <t>with a spot of maceration. Now mid mature</t>
  </si>
  <si>
    <r>
      <t xml:space="preserve">Montefortino Tempa aglianicone: </t>
    </r>
    <r>
      <rPr>
        <sz val="7"/>
        <color theme="1" tint="0.499984740745262"/>
        <rFont val="Noto Sans"/>
        <family val="2"/>
      </rPr>
      <t>rare biotype</t>
    </r>
  </si>
  <si>
    <t>of aglianico, raised in tank. A world exclusive</t>
  </si>
  <si>
    <r>
      <t xml:space="preserve">Monteforte aglianicone: </t>
    </r>
    <r>
      <rPr>
        <sz val="7"/>
        <color theme="1" tint="0.499984740745262"/>
        <rFont val="Noto Sans"/>
        <family val="2"/>
      </rPr>
      <t>rare biotype of aglianico</t>
    </r>
  </si>
  <si>
    <t>planted on high clay content terroir in Valle del</t>
  </si>
  <si>
    <t>Calore, raised in 2nd fill casks</t>
  </si>
  <si>
    <r>
      <t xml:space="preserve">Naima aglianico: </t>
    </r>
    <r>
      <rPr>
        <sz val="7"/>
        <color theme="1" tint="0.499984740745262"/>
        <rFont val="Noto Sans"/>
        <family val="2"/>
      </rPr>
      <t>classic aglianico from parcels of</t>
    </r>
  </si>
  <si>
    <t>the oldest vines on clay-limestone, raised in cask</t>
  </si>
  <si>
    <r>
      <t>Naima Willburger aglianico:</t>
    </r>
    <r>
      <rPr>
        <sz val="7"/>
        <color theme="1" tint="0.499984740745262"/>
        <rFont val="Noto Sans"/>
        <family val="2"/>
      </rPr>
      <t xml:space="preserve"> classic Naima given</t>
    </r>
  </si>
  <si>
    <t>an extra year elevage in botte grande, with an</t>
  </si>
  <si>
    <t>art-series print label by Peter Willburger</t>
  </si>
  <si>
    <t>KEY TO CUVÉE NAMES:</t>
  </si>
  <si>
    <t>Selim = Miles (Davis), backwards</t>
  </si>
  <si>
    <t>Cuoredoro = Heart of Gold (Neil Diamond)</t>
  </si>
  <si>
    <t>Tempa = electro-jazz label</t>
  </si>
  <si>
    <t>Donnaluna = lady moon (Hendrix)</t>
  </si>
  <si>
    <t>Naima = John Coltrane's 1st wife</t>
  </si>
  <si>
    <t>ViticoltoriDeConciliis.it</t>
  </si>
  <si>
    <t>NB SEE MORIGERATI, ABOVE:</t>
  </si>
  <si>
    <t>KIND WORDS ON FAMIGLIA LONARDO:</t>
  </si>
  <si>
    <r>
      <t>Motto:</t>
    </r>
    <r>
      <rPr>
        <sz val="7"/>
        <color theme="1" tint="0.499984740745262"/>
        <rFont val="Noto Sans"/>
        <family val="2"/>
      </rPr>
      <t xml:space="preserve"> Vini Irpini di territorio - territorial wines of Irpinia</t>
    </r>
  </si>
  <si>
    <r>
      <rPr>
        <b/>
        <sz val="7"/>
        <color theme="1" tint="0.499984740745262"/>
        <rFont val="Noto Sans"/>
        <family val="2"/>
      </rPr>
      <t>Ian d'Agata, Vinous, 2018</t>
    </r>
    <r>
      <rPr>
        <sz val="7"/>
        <color theme="1" tint="0.499984740745262"/>
        <rFont val="Noto Sans"/>
        <family val="2"/>
      </rPr>
      <t xml:space="preserve"> 'you only have to taste the wines of Lonardo...to realize that world-class wines could be made with Aglianico'</t>
    </r>
  </si>
  <si>
    <r>
      <t xml:space="preserve">Slow Wine Guide, 2018 </t>
    </r>
    <r>
      <rPr>
        <sz val="7"/>
        <color theme="1" tint="0.499984740745262"/>
        <rFont val="Noto Sans"/>
        <family val="2"/>
      </rPr>
      <t>'its reputation is now solid and consolidated, sure to stand the test of time.'</t>
    </r>
  </si>
  <si>
    <r>
      <t xml:space="preserve">Slow Wine Guide, 2016 </t>
    </r>
    <r>
      <rPr>
        <sz val="7"/>
        <color theme="1" tint="0.499984740745262"/>
        <rFont val="Noto Sans"/>
        <family val="2"/>
      </rPr>
      <t>'The greatest ally of this winery…is time. Each wine comes out of the cellar much later than average...'</t>
    </r>
  </si>
  <si>
    <r>
      <t>A.Galloni, 2015</t>
    </r>
    <r>
      <rPr>
        <sz val="7"/>
        <color theme="1" tint="0.499984740745262"/>
        <rFont val="Noto Sans"/>
        <family val="2"/>
      </rPr>
      <t xml:space="preserve"> 'there are only a handful of wines in the world that are so deeply evocative of a grape, a place and a vintage.' </t>
    </r>
  </si>
  <si>
    <r>
      <rPr>
        <b/>
        <sz val="7"/>
        <color theme="1" tint="0.499984740745262"/>
        <rFont val="Noto Sans"/>
        <family val="2"/>
      </rPr>
      <t>Ian d'Agata, Vinous, 2015</t>
    </r>
    <r>
      <rPr>
        <sz val="7"/>
        <color theme="1" tint="0.499984740745262"/>
        <rFont val="Noto Sans"/>
        <family val="2"/>
      </rPr>
      <t xml:space="preserve"> 'Lonardo’s wines never carry excessively high alcohol levels - a good thing'</t>
    </r>
  </si>
  <si>
    <r>
      <t>A.Galloni, 2015</t>
    </r>
    <r>
      <rPr>
        <sz val="7"/>
        <color theme="1" tint="0.499984740745262"/>
        <rFont val="Noto Sans"/>
        <family val="2"/>
      </rPr>
      <t xml:space="preserve"> 'Taurasi rising'</t>
    </r>
  </si>
  <si>
    <r>
      <t>A.Galloni, 2015</t>
    </r>
    <r>
      <rPr>
        <sz val="7"/>
        <color theme="1" tint="0.499984740745262"/>
        <rFont val="Noto Sans"/>
        <family val="2"/>
      </rPr>
      <t xml:space="preserve"> 'some of the most compelling wines being made in Italy today'</t>
    </r>
  </si>
  <si>
    <r>
      <t xml:space="preserve">A.Galloni, 2015 </t>
    </r>
    <r>
      <rPr>
        <sz val="7"/>
        <color theme="1" tint="0.499984740745262"/>
        <rFont val="Noto Sans"/>
        <family val="2"/>
      </rPr>
      <t>'if you can find the wines – especially the crus – don’t hesitate'</t>
    </r>
  </si>
  <si>
    <t>CANTINA LONARDO, aka</t>
  </si>
  <si>
    <t>CONTRADE DI TAURASI</t>
  </si>
  <si>
    <t>23CONTRADE01</t>
  </si>
  <si>
    <t>Taurasi, Irpinia, Campania. 5.5ha</t>
  </si>
  <si>
    <t>16CONTRADE06</t>
  </si>
  <si>
    <t>16CONTRADE07</t>
  </si>
  <si>
    <t>350-400m altitude; Nov harvest; ambient yeast</t>
  </si>
  <si>
    <t>IRPINIA AGLIANICO:</t>
  </si>
  <si>
    <r>
      <rPr>
        <sz val="8"/>
        <color theme="1" tint="0.14999847407452621"/>
        <rFont val="Noto Sans"/>
        <family val="2"/>
      </rPr>
      <t xml:space="preserve">all wines </t>
    </r>
    <r>
      <rPr>
        <b/>
        <sz val="8"/>
        <color rgb="FF00B050"/>
        <rFont val="Noto Sans"/>
        <family val="2"/>
      </rPr>
      <t>Ⓥ Vegan compatible</t>
    </r>
  </si>
  <si>
    <t>23CONTRADE06</t>
  </si>
  <si>
    <t>THE BASICS:</t>
  </si>
  <si>
    <t>TAURASI:</t>
  </si>
  <si>
    <r>
      <rPr>
        <b/>
        <sz val="7"/>
        <color theme="1" tint="0.499984740745262"/>
        <rFont val="Noto Sans"/>
        <family val="2"/>
      </rPr>
      <t>REDS:</t>
    </r>
    <r>
      <rPr>
        <sz val="7"/>
        <color theme="1" tint="0.499984740745262"/>
        <rFont val="Noto Sans"/>
        <family val="2"/>
      </rPr>
      <t xml:space="preserve"> all aglianico, unfined &amp; unfiltered:</t>
    </r>
  </si>
  <si>
    <t>23CONTRADE03</t>
  </si>
  <si>
    <t>Irpinia IGT is self-declassfied Taurasi</t>
  </si>
  <si>
    <t>23CONTRADE02</t>
  </si>
  <si>
    <t>Taurasi see 2mth maceration, cask &amp; steel tanks</t>
  </si>
  <si>
    <t>23CONTRADE05</t>
  </si>
  <si>
    <t>Taurasi Crus see 2mth maceration; 500L old casks</t>
  </si>
  <si>
    <t>19CONTRADE02</t>
  </si>
  <si>
    <r>
      <rPr>
        <b/>
        <sz val="7"/>
        <color theme="1" tint="0.499984740745262"/>
        <rFont val="Noto Sans"/>
        <family val="2"/>
      </rPr>
      <t>WHITES:</t>
    </r>
    <r>
      <rPr>
        <sz val="7"/>
        <color theme="1" tint="0.499984740745262"/>
        <rFont val="Noto Sans"/>
        <family val="2"/>
      </rPr>
      <t xml:space="preserve"> ungrafted roviello bianco in 'starseto-</t>
    </r>
  </si>
  <si>
    <t>16CONTRADE04</t>
  </si>
  <si>
    <t>tauresino', 70-100yrs old. Burlesque is barrel-aged</t>
  </si>
  <si>
    <t>19CONTRADE03</t>
  </si>
  <si>
    <t>bentonite clay fined if required</t>
  </si>
  <si>
    <t>23CONTRADE04</t>
  </si>
  <si>
    <t>19CONTRADE04</t>
  </si>
  <si>
    <r>
      <rPr>
        <b/>
        <sz val="7"/>
        <color theme="1" tint="0.499984740745262"/>
        <rFont val="Noto Sans"/>
        <family val="2"/>
      </rPr>
      <t>Vigne d'Alto:</t>
    </r>
    <r>
      <rPr>
        <sz val="7"/>
        <color theme="1" tint="0.499984740745262"/>
        <rFont val="Noto Sans"/>
        <family val="2"/>
      </rPr>
      <t xml:space="preserve"> 2ha 70-100yr pt ungrafted vines, 400m</t>
    </r>
  </si>
  <si>
    <t>on volcanic cinders in Case d'Alto zone, starseto</t>
  </si>
  <si>
    <t>(local pergola) trained; biotypes incl. aglianichello</t>
  </si>
  <si>
    <t>&amp; aglianicone</t>
  </si>
  <si>
    <r>
      <rPr>
        <b/>
        <sz val="7"/>
        <color theme="1" tint="0.499984740745262"/>
        <rFont val="Noto Sans"/>
        <family val="2"/>
      </rPr>
      <t xml:space="preserve">Coste (morante): </t>
    </r>
    <r>
      <rPr>
        <sz val="7"/>
        <color theme="1" tint="0.499984740745262"/>
        <rFont val="Noto Sans"/>
        <family val="2"/>
      </rPr>
      <t>1ha at 325m on clay-limestone</t>
    </r>
  </si>
  <si>
    <t>~40yr grafted vines</t>
  </si>
  <si>
    <r>
      <t>Plus:</t>
    </r>
    <r>
      <rPr>
        <b/>
        <sz val="7"/>
        <color theme="1" tint="0.499984740745262"/>
        <rFont val="Noto Sans"/>
        <family val="2"/>
      </rPr>
      <t xml:space="preserve"> Macchia dei Goti</t>
    </r>
    <r>
      <rPr>
        <sz val="7"/>
        <color theme="1" tint="0.499984740745262"/>
        <rFont val="Noto Sans"/>
        <family val="2"/>
      </rPr>
      <t xml:space="preserve"> 2ha &amp; </t>
    </r>
    <r>
      <rPr>
        <b/>
        <sz val="7"/>
        <color theme="1" tint="0.499984740745262"/>
        <rFont val="Noto Sans"/>
        <family val="2"/>
      </rPr>
      <t>Isca</t>
    </r>
    <r>
      <rPr>
        <sz val="7"/>
        <color theme="1" tint="0.499984740745262"/>
        <rFont val="Noto Sans"/>
        <family val="2"/>
      </rPr>
      <t xml:space="preserve"> 0.7ha</t>
    </r>
  </si>
  <si>
    <t>THE CORE TEAM:</t>
  </si>
  <si>
    <t>Owners: Antonella (daughter) &amp; husband Flavio</t>
  </si>
  <si>
    <t>Founder: Prof.Sandro Lonardo &amp; wife Enza</t>
  </si>
  <si>
    <t>Microbiologist: Prof.Giancarlo Moschetti</t>
  </si>
  <si>
    <t>Enologist: Vincenzo Mercurio</t>
  </si>
  <si>
    <t>2011 Vincenzo Mercurio takes over cellar</t>
  </si>
  <si>
    <t>2007 first release of two Taurasi crus</t>
  </si>
  <si>
    <t>1998 label launched</t>
  </si>
  <si>
    <t>ContradeDiTaurasi.it</t>
  </si>
  <si>
    <t>GROWER CODE: CONTRADE</t>
  </si>
  <si>
    <t>ATTANASIO</t>
  </si>
  <si>
    <t>22ATTAN01</t>
  </si>
  <si>
    <t>Manduria, Puglia. Alessandro &amp; Giuseppe</t>
  </si>
  <si>
    <t>22ATTAN02</t>
  </si>
  <si>
    <t>7ha vines; founded 2000</t>
  </si>
  <si>
    <t>22ATTAN03</t>
  </si>
  <si>
    <t>primitivoattanasio.com</t>
  </si>
  <si>
    <t>GROWER CODE: ATTAN</t>
  </si>
  <si>
    <t>IL GUSTO DELLA COSTA</t>
  </si>
  <si>
    <t>23GDCOSTA01</t>
  </si>
  <si>
    <t>Positano, Amalfi coast, Campania</t>
  </si>
  <si>
    <t>IlGustoDellaCosta.it</t>
  </si>
  <si>
    <t>GROWER CODE: GDCOSTA</t>
  </si>
  <si>
    <t>Italy, Elba &amp; Sardinia</t>
  </si>
  <si>
    <t>TENUTA LA CHIUSA</t>
  </si>
  <si>
    <t>Elba island, Tuscan archipelago</t>
  </si>
  <si>
    <t>22CHIUSA02</t>
  </si>
  <si>
    <t>20ha estate by Portoferraio; 13.5ha vines</t>
  </si>
  <si>
    <t>22CHIUSA01</t>
  </si>
  <si>
    <t>owner Bartozzi-Corradi family since 2003</t>
  </si>
  <si>
    <t>22CHIUSA03</t>
  </si>
  <si>
    <t>vinified by famiglia Coser, of Vigna del Lauro</t>
  </si>
  <si>
    <t>cellar &amp; house built late 1500s</t>
  </si>
  <si>
    <t>22CHIUSA04</t>
  </si>
  <si>
    <t>TenutaLaChiusa.it</t>
  </si>
  <si>
    <t>ROSSO PASSITO:</t>
  </si>
  <si>
    <t>22CHIUSA05HF</t>
  </si>
  <si>
    <t>GROWER CODE: CHIUSA</t>
  </si>
  <si>
    <t>KIND WORDS ON GUNGUI, etc.:</t>
  </si>
  <si>
    <r>
      <rPr>
        <b/>
        <sz val="7"/>
        <color theme="1" tint="0.499984740745262"/>
        <rFont val="Noto Sans"/>
        <family val="2"/>
      </rPr>
      <t>Eric Guido, Vinous 2021</t>
    </r>
    <r>
      <rPr>
        <sz val="7"/>
        <color theme="1" tint="0.499984740745262"/>
        <rFont val="Noto Sans"/>
        <family val="2"/>
      </rPr>
      <t xml:space="preserve"> 'If you are in search of pure, high-elevation expressions of Sardinian Cannonau, then Gungui Berteru should be on your shortlist.</t>
    </r>
  </si>
  <si>
    <r>
      <rPr>
        <b/>
        <sz val="7"/>
        <color theme="1" tint="0.499984740745262"/>
        <rFont val="Noto Sans"/>
        <family val="2"/>
      </rPr>
      <t>Eric Guido, Vinous 2021</t>
    </r>
    <r>
      <rPr>
        <sz val="7"/>
        <color theme="1" tint="0.499984740745262"/>
        <rFont val="Noto Sans"/>
        <family val="2"/>
      </rPr>
      <t xml:space="preserve"> '...the dark horse within my tastings of Sardinia, and more specifically, Cannonau.'</t>
    </r>
  </si>
  <si>
    <r>
      <rPr>
        <b/>
        <sz val="7"/>
        <color theme="1" tint="0.499984740745262"/>
        <rFont val="Noto Sans"/>
        <family val="2"/>
      </rPr>
      <t xml:space="preserve">Luca </t>
    </r>
    <r>
      <rPr>
        <sz val="7"/>
        <color theme="1" tint="0.499984740745262"/>
        <rFont val="Noto Sans"/>
        <family val="2"/>
      </rPr>
      <t>'The real change will take place when everyone understands that good wine can only be produced in areas suited to the</t>
    </r>
  </si>
  <si>
    <t>cultivation of vines. So it was in the past and so it will be in the future.'</t>
  </si>
  <si>
    <r>
      <rPr>
        <b/>
        <sz val="7"/>
        <color theme="1" tint="0.499984740745262"/>
        <rFont val="Noto Sans"/>
        <family val="2"/>
      </rPr>
      <t>Luca 2021</t>
    </r>
    <r>
      <rPr>
        <sz val="7"/>
        <color theme="1" tint="0.499984740745262"/>
        <rFont val="Noto Sans"/>
        <family val="2"/>
      </rPr>
      <t xml:space="preserve"> 'Dalla buona uva, il buon vino' - 'from good grapes, good wine.'</t>
    </r>
  </si>
  <si>
    <r>
      <rPr>
        <b/>
        <sz val="7"/>
        <color theme="1" tint="0.499984740745262"/>
        <rFont val="Noto Sans"/>
        <family val="2"/>
      </rPr>
      <t>Luca, 2020</t>
    </r>
    <r>
      <rPr>
        <sz val="7"/>
        <color theme="1" tint="0.499984740745262"/>
        <rFont val="Noto Sans"/>
        <family val="2"/>
      </rPr>
      <t xml:space="preserve"> 'Tenere il minimo per ottenere il massimo - take the minimum to obtain the maximum'</t>
    </r>
  </si>
  <si>
    <r>
      <rPr>
        <b/>
        <sz val="7"/>
        <color theme="1" tint="0.499984740745262"/>
        <rFont val="Noto Sans"/>
        <family val="2"/>
      </rPr>
      <t xml:space="preserve">Luca, 2017 </t>
    </r>
    <r>
      <rPr>
        <sz val="7"/>
        <color theme="1" tint="0.499984740745262"/>
        <rFont val="Noto Sans"/>
        <family val="2"/>
      </rPr>
      <t>'Per sapere dove andiamo dobbiamo sapere da dove siamo venuti.'</t>
    </r>
  </si>
  <si>
    <r>
      <rPr>
        <b/>
        <sz val="7"/>
        <color theme="1" tint="0.499984740745262"/>
        <rFont val="Noto Sans"/>
        <family val="2"/>
      </rPr>
      <t xml:space="preserve">Luca </t>
    </r>
    <r>
      <rPr>
        <sz val="7"/>
        <color theme="1" tint="0.499984740745262"/>
        <rFont val="Noto Sans"/>
        <family val="2"/>
      </rPr>
      <t>'Vignaiolo sul granito disfatto, sotto il cielo stellato'</t>
    </r>
  </si>
  <si>
    <t>CANTINA GUNGUI, by</t>
  </si>
  <si>
    <t>ROSATO DI CANNONAU</t>
  </si>
  <si>
    <t>Luca Gungui</t>
  </si>
  <si>
    <t>25GUNGUI03</t>
  </si>
  <si>
    <t>Luca Gungui, ~3.5ha vines @ 600m-850m</t>
  </si>
  <si>
    <t>21GUNGUI02</t>
  </si>
  <si>
    <t>in Mamoiada village, Nuoro province, Sardinia</t>
  </si>
  <si>
    <t>CANNONAU - CRU NURAGHE SAS DE MELAS:</t>
  </si>
  <si>
    <t>NB 'Berteru' means sincere in dialect</t>
  </si>
  <si>
    <t>25GUNGUI01</t>
  </si>
  <si>
    <t>Dry-farmed bush vines (alberello) on wires</t>
  </si>
  <si>
    <t>23GUNGUI01</t>
  </si>
  <si>
    <t>Granite, decomposed granite sands, clay.</t>
  </si>
  <si>
    <t>22GUNGUI01</t>
  </si>
  <si>
    <t>Fig, olive, almond, cork oak surrounds</t>
  </si>
  <si>
    <t>21GUNGUI01</t>
  </si>
  <si>
    <t>1/2 organic treatments per year since 2015</t>
  </si>
  <si>
    <t>19GUNGUI01</t>
  </si>
  <si>
    <t>Usually October hand-harvest, small crates</t>
  </si>
  <si>
    <t>CANNONAU RISERVA - CRU BADU ORANE 1967 VV:</t>
  </si>
  <si>
    <t>Ambient yeast via pied-de-cuve starter</t>
  </si>
  <si>
    <t>25GUNGUI02</t>
  </si>
  <si>
    <t>Massale selection plantings from old vines</t>
  </si>
  <si>
    <t>23GUNGUI02</t>
  </si>
  <si>
    <t>Sheep grazing over winter</t>
  </si>
  <si>
    <t>22GUNGUI02</t>
  </si>
  <si>
    <t>Organic certified 2022 Suolo e Salute</t>
  </si>
  <si>
    <t>21GUNGUI03</t>
  </si>
  <si>
    <t>Four vineyards / crus / ghiradas farmed</t>
  </si>
  <si>
    <t>23GUNGUI02MG</t>
  </si>
  <si>
    <t>2022 organic certified</t>
  </si>
  <si>
    <t>2021 1st year with two Berteru cru bottlings :</t>
  </si>
  <si>
    <t xml:space="preserve"> Sas de Melas, &amp; Sa Cava de Pulenaria (Pulenaria)</t>
  </si>
  <si>
    <t>2020 last Berteru without cru name</t>
  </si>
  <si>
    <t>2020 planting at Sa Funtana de sa Perda, ~830m</t>
  </si>
  <si>
    <t>2019 start formal organic-in-conversion</t>
  </si>
  <si>
    <t>2018 planting at Sa Cava de Pulenaria, ~730m</t>
  </si>
  <si>
    <t>2015 1st vintage: 2200btls from ~1.8ha</t>
  </si>
  <si>
    <t>2004 Sas de Melas family plot re-planted, ~1.2ha 600m</t>
  </si>
  <si>
    <t>2003 parents inherited 2ha Sas de Melas family plot</t>
  </si>
  <si>
    <t>1967 VV at Badu Orane planted; 1st made 2015</t>
  </si>
  <si>
    <t>2022 Slow Wine Guide 'Bottle' rating for winery quality</t>
  </si>
  <si>
    <t>2021 1st write up by Eric Guido in Vinous</t>
  </si>
  <si>
    <t>2021 1st year in Slow Wine Guide</t>
  </si>
  <si>
    <t>2021 Riserva awarded 97/100 by DoctorWine Guide 2024</t>
  </si>
  <si>
    <t>2020 Riserva awarded SLOW WINE by Slow Wine Guide 2022</t>
  </si>
  <si>
    <t>2020 Riserva awarded 97/100 by DoctorWine guide 2023</t>
  </si>
  <si>
    <t>2020 in Gianmichele Lisai's book Vini di Sardegna</t>
  </si>
  <si>
    <t>2020 1st entry in Gambero Rosso guide</t>
  </si>
  <si>
    <t>2019 Riserva awarded 96/100 by DoctorWine Guide 2022</t>
  </si>
  <si>
    <t>2019 Berteru awarded SLOW WINE by Slow Wine Guide 2021</t>
  </si>
  <si>
    <t>2019 Berteru awarded 92/100 by Eric Guido, Vinous</t>
  </si>
  <si>
    <t>2018 1st DoctorWine review, on Riserva 2015</t>
  </si>
  <si>
    <t>LucaGungui.it</t>
  </si>
  <si>
    <t>facebook.com/CantinaGungui/</t>
  </si>
  <si>
    <t>GROWER CODE: GUNGUI</t>
  </si>
  <si>
    <r>
      <rPr>
        <b/>
        <sz val="7"/>
        <color theme="1" tint="0.499984740745262"/>
        <rFont val="Noto Sans"/>
        <family val="2"/>
      </rPr>
      <t>Enrico Esu</t>
    </r>
    <r>
      <rPr>
        <i/>
        <sz val="7"/>
        <color theme="1" tint="0.499984740745262"/>
        <rFont val="Noto Sans"/>
        <family val="2"/>
      </rPr>
      <t xml:space="preserve"> 'Immaginate l'incontro di due anime, il Contadino e il Minatore, in un'unica persona, mio padre. Una vita trascorsa tra la luce delle vigne</t>
    </r>
  </si>
  <si>
    <t>ed il nero della miniera. La sua passione e il suo dovere, oggi racchiuse in questa bottiglia'</t>
  </si>
  <si>
    <r>
      <rPr>
        <b/>
        <sz val="7"/>
        <color theme="1" tint="0.499984740745262"/>
        <rFont val="Noto Sans"/>
        <family val="2"/>
      </rPr>
      <t>Enrico Esu</t>
    </r>
    <r>
      <rPr>
        <sz val="7"/>
        <color theme="1" tint="0.499984740745262"/>
        <rFont val="Noto Sans"/>
        <family val="2"/>
      </rPr>
      <t xml:space="preserve"> 'Imagine the meeting of two souls, the (wine) farmer and the miner, in one person, my father. A life spent between the light of the vineyards</t>
    </r>
  </si>
  <si>
    <t>and the black of the mine. His passion and his duty are enclosed today in this bottle'</t>
  </si>
  <si>
    <t>ENRICO ESU, Az.Agr.</t>
  </si>
  <si>
    <t>18ENRICO01</t>
  </si>
  <si>
    <t>Enrico Esu, Sulcis, Sardinia</t>
  </si>
  <si>
    <t>17ENRICO01</t>
  </si>
  <si>
    <t>10ha sand terroir massale &amp; ungrafted vines</t>
  </si>
  <si>
    <t>18ENRICO02</t>
  </si>
  <si>
    <t>planted 1958 thru 1970 by father at Carbonia</t>
  </si>
  <si>
    <t>17ENRICO02</t>
  </si>
  <si>
    <r>
      <t xml:space="preserve">incl. ~10% monica; </t>
    </r>
    <r>
      <rPr>
        <b/>
        <sz val="8"/>
        <color rgb="FF00B050"/>
        <rFont val="Noto Sans"/>
        <family val="2"/>
      </rPr>
      <t>no certification</t>
    </r>
  </si>
  <si>
    <t>tank fermented &amp; aged. 1st release 2013</t>
  </si>
  <si>
    <t>NeroMiniera.it</t>
  </si>
  <si>
    <t>GROWER CODE: ENRICO</t>
  </si>
  <si>
    <t>Italy, Sicily - Mt.Etna</t>
  </si>
  <si>
    <t>KIND WORDS ON CALABRETTA:</t>
  </si>
  <si>
    <r>
      <t>Eric Asimov, NYT 2016</t>
    </r>
    <r>
      <rPr>
        <sz val="7"/>
        <color theme="1" tint="0.499984740745262"/>
        <rFont val="Noto Sans"/>
        <family val="2"/>
      </rPr>
      <t xml:space="preserve"> 'Eccentric'</t>
    </r>
  </si>
  <si>
    <r>
      <t>WSJ 2015</t>
    </r>
    <r>
      <rPr>
        <sz val="7"/>
        <color theme="1" tint="0.499984740745262"/>
        <rFont val="Noto Sans"/>
        <family val="2"/>
      </rPr>
      <t xml:space="preserve"> '(nerello VV is) Old World-style wine, reminiscent of a traditional Barolo'</t>
    </r>
  </si>
  <si>
    <t>CALABRETTA</t>
  </si>
  <si>
    <t>BIANCO (ETNA):</t>
  </si>
  <si>
    <t>Randazzo, Etna North Valley. 15.5ha</t>
  </si>
  <si>
    <t>12MCALAB05TB</t>
  </si>
  <si>
    <t>Massimiliano Calabretta, 4th generation</t>
  </si>
  <si>
    <t>22CALAB01</t>
  </si>
  <si>
    <t>nerello is ~50% ungrafted</t>
  </si>
  <si>
    <t>PINOT NOIR (ETNA, AT 1000m):</t>
  </si>
  <si>
    <t>Organic certified Suolo e Salute</t>
  </si>
  <si>
    <t>22CALAB02</t>
  </si>
  <si>
    <r>
      <rPr>
        <b/>
        <sz val="8"/>
        <color theme="1" tint="0.249977111117893"/>
        <rFont val="Noto Sans"/>
        <family val="2"/>
      </rPr>
      <t xml:space="preserve">ambient yeast, </t>
    </r>
    <r>
      <rPr>
        <b/>
        <sz val="8"/>
        <color rgb="FF00B050"/>
        <rFont val="Noto Sans"/>
        <family val="2"/>
      </rPr>
      <t>Ⓥ Vegan compatible</t>
    </r>
  </si>
  <si>
    <t>19CALAB02</t>
  </si>
  <si>
    <t>17CALAB01TB</t>
  </si>
  <si>
    <r>
      <rPr>
        <b/>
        <sz val="7"/>
        <color theme="1" tint="0.499984740745262"/>
        <rFont val="Noto Sans"/>
        <family val="2"/>
      </rPr>
      <t>Minella:</t>
    </r>
    <r>
      <rPr>
        <sz val="7"/>
        <color theme="1" tint="0.499984740745262"/>
        <rFont val="Noto Sans"/>
        <family val="2"/>
      </rPr>
      <t xml:space="preserve"> average 80yrs; steel</t>
    </r>
  </si>
  <si>
    <t>15CALAB03TB</t>
  </si>
  <si>
    <r>
      <rPr>
        <b/>
        <sz val="7"/>
        <color theme="1" tint="0.499984740745262"/>
        <rFont val="Noto Sans"/>
        <family val="2"/>
      </rPr>
      <t>Carricante</t>
    </r>
    <r>
      <rPr>
        <sz val="7"/>
        <color theme="1" tint="0.499984740745262"/>
        <rFont val="Noto Sans"/>
        <family val="2"/>
      </rPr>
      <t>: 1ha, average 80yrs. 2yrs steel</t>
    </r>
  </si>
  <si>
    <t>NERELLO CAPPUCCIO (ETNA):</t>
  </si>
  <si>
    <r>
      <rPr>
        <b/>
        <sz val="7"/>
        <color theme="1" tint="0.499984740745262"/>
        <rFont val="Noto Sans"/>
        <family val="2"/>
      </rPr>
      <t xml:space="preserve">Elisir rosso: </t>
    </r>
    <r>
      <rPr>
        <sz val="7"/>
        <color theme="1" tint="0.499984740745262"/>
        <rFont val="Noto Sans"/>
        <family val="2"/>
      </rPr>
      <t>young vine, whole-bunch nerello</t>
    </r>
  </si>
  <si>
    <t>22CALAB03</t>
  </si>
  <si>
    <t>mascalese, 1st made 2012</t>
  </si>
  <si>
    <t>17CALAB02TB</t>
  </si>
  <si>
    <r>
      <rPr>
        <b/>
        <sz val="7"/>
        <color theme="1" tint="0.499984740745262"/>
        <rFont val="Noto Sans"/>
        <family val="2"/>
      </rPr>
      <t>pinot noir:</t>
    </r>
    <r>
      <rPr>
        <sz val="7"/>
        <color theme="1" tint="0.499984740745262"/>
        <rFont val="Noto Sans"/>
        <family val="2"/>
      </rPr>
      <t xml:space="preserve"> 1ha young vines @ 1000m</t>
    </r>
  </si>
  <si>
    <t>15CALAB07TB</t>
  </si>
  <si>
    <t>above Randazzo, 1st made 2010</t>
  </si>
  <si>
    <t>15CALAB02TB</t>
  </si>
  <si>
    <r>
      <rPr>
        <b/>
        <sz val="7"/>
        <color theme="1" tint="0.499984740745262"/>
        <rFont val="Noto Sans"/>
        <family val="2"/>
      </rPr>
      <t>nerello capuccio:</t>
    </r>
    <r>
      <rPr>
        <sz val="7"/>
        <color theme="1" tint="0.499984740745262"/>
        <rFont val="Noto Sans"/>
        <family val="2"/>
      </rPr>
      <t xml:space="preserve"> 0.4ha young vines from</t>
    </r>
  </si>
  <si>
    <t>NERELLO MASCALESE (ETNA) – THE SPECIAL CUVÉES:</t>
  </si>
  <si>
    <t>Randazzo, raised in used casks. 1st made ~2009</t>
  </si>
  <si>
    <t>17CALAB04TB</t>
  </si>
  <si>
    <r>
      <t xml:space="preserve">Sara: ~50yr </t>
    </r>
    <r>
      <rPr>
        <sz val="7"/>
        <color theme="1" tint="0.499984740745262"/>
        <rFont val="Noto Sans"/>
        <family val="2"/>
      </rPr>
      <t xml:space="preserve">nerello mascalese bush vines in </t>
    </r>
  </si>
  <si>
    <t>14MCALAB03TB</t>
  </si>
  <si>
    <t>Feudo di Mezzo: an homage to baby Sara</t>
  </si>
  <si>
    <t>21CALAB04</t>
  </si>
  <si>
    <r>
      <t xml:space="preserve">Piede franco: </t>
    </r>
    <r>
      <rPr>
        <sz val="7"/>
        <color theme="1" tint="0.499984740745262"/>
        <rFont val="Noto Sans"/>
        <family val="2"/>
      </rPr>
      <t xml:space="preserve">0.2ha ungrafted massale nerello </t>
    </r>
  </si>
  <si>
    <t>22CALAB04</t>
  </si>
  <si>
    <t>mascalese at Taccione, 6000vines/ha, planted</t>
  </si>
  <si>
    <t>21CALAB03</t>
  </si>
  <si>
    <t>2004. Used cask elevage, 600-800btls</t>
  </si>
  <si>
    <t>19CALAB04</t>
  </si>
  <si>
    <r>
      <rPr>
        <b/>
        <sz val="7"/>
        <color theme="1" tint="0.499984740745262"/>
        <rFont val="Noto Sans"/>
        <family val="2"/>
      </rPr>
      <t xml:space="preserve">nerello VV (ex-Etna Rosso): </t>
    </r>
    <r>
      <rPr>
        <sz val="7"/>
        <color theme="1" tint="0.499984740745262"/>
        <rFont val="Noto Sans"/>
        <family val="2"/>
      </rPr>
      <t xml:space="preserve">raised 5-12yrs in </t>
    </r>
  </si>
  <si>
    <t>22CALAB07</t>
  </si>
  <si>
    <t>botte, 1900-20 nerello mascalese, ½ ungrafted</t>
  </si>
  <si>
    <t>21CALAB02</t>
  </si>
  <si>
    <t>mostly in contrada Calderara, Randazzo</t>
  </si>
  <si>
    <t>22CALAB06</t>
  </si>
  <si>
    <r>
      <rPr>
        <b/>
        <sz val="7"/>
        <color theme="1" tint="0.499984740745262"/>
        <rFont val="Noto Sans"/>
        <family val="2"/>
      </rPr>
      <t>Nonna Concetta:</t>
    </r>
    <r>
      <rPr>
        <sz val="7"/>
        <color theme="1" tint="0.499984740745262"/>
        <rFont val="Noto Sans"/>
        <family val="2"/>
      </rPr>
      <t xml:space="preserve"> ~800btls. 0.4ha tvv at Randazzo</t>
    </r>
  </si>
  <si>
    <t>21CALAB01</t>
  </si>
  <si>
    <t>ungrafted ~1910 n.mascalese vines. Small casks</t>
  </si>
  <si>
    <t>NERELLO MASCALESE (ETNA) – LONG ELEVAGE:</t>
  </si>
  <si>
    <r>
      <rPr>
        <b/>
        <sz val="7"/>
        <color theme="1" tint="0.499984740745262"/>
        <rFont val="Noto Sans"/>
        <family val="2"/>
      </rPr>
      <t xml:space="preserve">Contrada dei Centenari: </t>
    </r>
    <r>
      <rPr>
        <sz val="7"/>
        <color theme="1" tint="0.499984740745262"/>
        <rFont val="Noto Sans"/>
        <family val="2"/>
      </rPr>
      <t>tvv from Solicchiata,</t>
    </r>
  </si>
  <si>
    <t>22CALAB05</t>
  </si>
  <si>
    <t>2020 60,000 vines planted in recent years</t>
  </si>
  <si>
    <t>2016 Massimiliano buys more Contrada Taccione</t>
  </si>
  <si>
    <t>2000s start of (re-)planting program</t>
  </si>
  <si>
    <t>1997 new winery by Massimo &amp; son Massimiliano</t>
  </si>
  <si>
    <t>1940s son Salvatore married donna Concetta</t>
  </si>
  <si>
    <t>1910s Gaetano married donna Grazia; estate grew</t>
  </si>
  <si>
    <t>1800s origins of family on Etna</t>
  </si>
  <si>
    <t>Calabretta.net</t>
  </si>
  <si>
    <t>GROWER CODE: CALAB</t>
  </si>
  <si>
    <t>EREDI DI MAIO</t>
  </si>
  <si>
    <t>22EREDI01</t>
  </si>
  <si>
    <t>Mt.Etna North Valley, at Milo. Founded 1867</t>
  </si>
  <si>
    <t>21EREDI01</t>
  </si>
  <si>
    <t>by Santo di Maio: label founded 2018</t>
  </si>
  <si>
    <t>22EREDI02</t>
  </si>
  <si>
    <t>label watercolours by Valentina Granata</t>
  </si>
  <si>
    <t>21EREDI02</t>
  </si>
  <si>
    <r>
      <t xml:space="preserve">no certification; </t>
    </r>
    <r>
      <rPr>
        <sz val="8"/>
        <color theme="1" tint="0.14999847407452621"/>
        <rFont val="Noto Sans"/>
        <family val="2"/>
      </rPr>
      <t>ambient yeast</t>
    </r>
  </si>
  <si>
    <t>VINEYARDS &amp; WINES:</t>
  </si>
  <si>
    <r>
      <rPr>
        <b/>
        <sz val="7"/>
        <color theme="1" tint="0.499984740745262"/>
        <rFont val="Noto Sans"/>
        <family val="2"/>
      </rPr>
      <t>Affiu Bianco</t>
    </r>
    <r>
      <rPr>
        <sz val="7"/>
        <color theme="1" tint="0.499984740745262"/>
        <rFont val="Noto Sans"/>
        <family val="2"/>
      </rPr>
      <t>: 2ha 10yr-120yr ungrafted carricante</t>
    </r>
  </si>
  <si>
    <t xml:space="preserve">at 550m-850m in Caselle, Praino, Volpare near </t>
  </si>
  <si>
    <t>Milo, East Etna. tank raised. (0.6ha is tvv)</t>
  </si>
  <si>
    <r>
      <rPr>
        <b/>
        <sz val="7"/>
        <color theme="1" tint="0.499984740745262"/>
        <rFont val="Noto Sans"/>
        <family val="2"/>
      </rPr>
      <t>Utri Rosso:</t>
    </r>
    <r>
      <rPr>
        <sz val="7"/>
        <color theme="1" tint="0.499984740745262"/>
        <rFont val="Noto Sans"/>
        <family val="2"/>
      </rPr>
      <t xml:space="preserve"> 0.8ha @ 850m ~40yr nerello at</t>
    </r>
  </si>
  <si>
    <t>Spadatrappo, Stella near Biancavilla, South Etna</t>
  </si>
  <si>
    <t>cask raised, various sizes</t>
  </si>
  <si>
    <t>ErediDiMaio.it</t>
  </si>
  <si>
    <t>GROWER CODE: EREDI</t>
  </si>
  <si>
    <t>KIND WORDS ON FRANK:</t>
  </si>
  <si>
    <r>
      <rPr>
        <b/>
        <sz val="7"/>
        <color theme="1" tint="0.499984740745262"/>
        <rFont val="Noto Sans"/>
        <family val="2"/>
      </rPr>
      <t>M.Larner, TWA 2023</t>
    </r>
    <r>
      <rPr>
        <sz val="7"/>
        <color theme="1" tint="0.499984740745262"/>
        <rFont val="Noto Sans"/>
        <family val="2"/>
      </rPr>
      <t xml:space="preserve"> 'Belgium-born Frank Cornelissen is an Etna pioneer, and his contributions to the success of this special Sicilian wine region</t>
    </r>
  </si>
  <si>
    <t>are immeasurable. His winemaking experiments on the volcano started in 2001, and Cornelissen emerges as a major figure today. …</t>
  </si>
  <si>
    <t>Cornelissen is pushing toward the top of his dramatic arc, as I discovered during a recent visit with him. His wines have never been better.'</t>
  </si>
  <si>
    <r>
      <rPr>
        <b/>
        <sz val="7"/>
        <color theme="1" tint="0.499984740745262"/>
        <rFont val="Noto Sans"/>
        <family val="2"/>
      </rPr>
      <t>Eric Guido, Vinous 2021</t>
    </r>
    <r>
      <rPr>
        <sz val="7"/>
        <color theme="1" tint="0.499984740745262"/>
        <rFont val="Noto Sans"/>
        <family val="2"/>
      </rPr>
      <t> 'at the head of a small handful of producers who would go on to make this region famous'</t>
    </r>
  </si>
  <si>
    <r>
      <rPr>
        <b/>
        <sz val="7"/>
        <color theme="1" tint="0.499984740745262"/>
        <rFont val="Noto Sans"/>
        <family val="2"/>
      </rPr>
      <t>Eric Guido, Vinous 2021</t>
    </r>
    <r>
      <rPr>
        <sz val="7"/>
        <color theme="1" tint="0.499984740745262"/>
        <rFont val="Noto Sans"/>
        <family val="2"/>
      </rPr>
      <t xml:space="preserve"> 'the purity of Mount Etna...in the end, that’s what Frank Cornelissen is bottling'</t>
    </r>
  </si>
  <si>
    <r>
      <t>Ian d'Agata, Vinous, 2017</t>
    </r>
    <r>
      <rPr>
        <sz val="7"/>
        <color theme="1" tint="0.499984740745262"/>
        <rFont val="Noto Sans"/>
        <family val="2"/>
      </rPr>
      <t xml:space="preserve"> 'now truly magnificent…some of Italy’s most interesting red wines'</t>
    </r>
  </si>
  <si>
    <r>
      <t>Ian d'Agata, Vinous, 2015</t>
    </r>
    <r>
      <rPr>
        <sz val="7"/>
        <color theme="1" tint="0.499984740745262"/>
        <rFont val="Noto Sans"/>
        <family val="2"/>
      </rPr>
      <t xml:space="preserve"> 'a strong cult following'</t>
    </r>
  </si>
  <si>
    <t>FRANK CORNELISSEN</t>
  </si>
  <si>
    <t>SUSUCARU®:</t>
  </si>
  <si>
    <t>Solicchiata, Mt.Etna North Valley</t>
  </si>
  <si>
    <t>23FCORN08</t>
  </si>
  <si>
    <t>Frank &amp; Aki Cornelissen</t>
  </si>
  <si>
    <t>24FCORN01</t>
  </si>
  <si>
    <t>Organic certified 2010 Qcertificazioni</t>
  </si>
  <si>
    <t xml:space="preserve">40ha estate; ~24ha vines in production; </t>
  </si>
  <si>
    <t>MUNJEBEL® BIANCO, ETNA:</t>
  </si>
  <si>
    <t>~30 staff, including &gt;20 in the vines</t>
  </si>
  <si>
    <t>23FCORN09</t>
  </si>
  <si>
    <t xml:space="preserve">tiny yields; pied de cuve based ferment; </t>
  </si>
  <si>
    <t>24FCORN03MG</t>
  </si>
  <si>
    <t>long maceration; neutral vessels</t>
  </si>
  <si>
    <t>NB vines are all on Etna volcanic grit, bar MC</t>
  </si>
  <si>
    <t>MUNJEBEL® ROSSO ''CLASSIC'', ETNA - FRANK'S FLAGSHIP:</t>
  </si>
  <si>
    <t>SUSUCARU® &amp; MUNJEBEL® BLENDS:</t>
  </si>
  <si>
    <t>19FCORN02HF</t>
  </si>
  <si>
    <r>
      <rPr>
        <b/>
        <sz val="8"/>
        <color theme="1" tint="0.14999847407452621"/>
        <rFont val="Noto Sans"/>
        <family val="2"/>
      </rPr>
      <t>Munjebel® Bianco</t>
    </r>
    <r>
      <rPr>
        <b/>
        <sz val="7"/>
        <color theme="1" tint="0.499984740745262"/>
        <rFont val="Noto Sans"/>
        <family val="2"/>
      </rPr>
      <t>:</t>
    </r>
    <r>
      <rPr>
        <sz val="7"/>
        <color theme="1" tint="0.499984740745262"/>
        <rFont val="Noto Sans"/>
        <family val="2"/>
      </rPr>
      <t xml:space="preserve"> 50% Grecanico Dorato, </t>
    </r>
  </si>
  <si>
    <t>23FCORN01</t>
  </si>
  <si>
    <t xml:space="preserve">50% Carricante at Calderara, Borriglione, Crasà, </t>
  </si>
  <si>
    <t>22FCORN02</t>
  </si>
  <si>
    <t>Picciolo, 620-750m, avg 40yr vines. 1st made 2004</t>
  </si>
  <si>
    <t>22FCORN02MG</t>
  </si>
  <si>
    <r>
      <rPr>
        <b/>
        <sz val="8"/>
        <color theme="1" tint="0.14999847407452621"/>
        <rFont val="Noto Sans"/>
        <family val="2"/>
      </rPr>
      <t>Susu' Rosato</t>
    </r>
    <r>
      <rPr>
        <b/>
        <sz val="8"/>
        <color theme="1" tint="0.499984740745262"/>
        <rFont val="Noto Sans"/>
        <family val="2"/>
      </rPr>
      <t>:</t>
    </r>
    <r>
      <rPr>
        <sz val="8"/>
        <color theme="1" tint="0.499984740745262"/>
        <rFont val="Noto Sans"/>
        <family val="2"/>
      </rPr>
      <t xml:space="preserve"> </t>
    </r>
    <r>
      <rPr>
        <sz val="7"/>
        <color theme="1" tint="0.499984740745262"/>
        <rFont val="Noto Sans"/>
        <family val="2"/>
      </rPr>
      <t xml:space="preserve">malvasia, moscadella, insolia, </t>
    </r>
  </si>
  <si>
    <t>22FCORN02JB</t>
  </si>
  <si>
    <t>nerello mascalese based blend. 1st made 2007</t>
  </si>
  <si>
    <r>
      <rPr>
        <b/>
        <sz val="8"/>
        <color theme="1" tint="0.14999847407452621"/>
        <rFont val="Noto Sans"/>
        <family val="2"/>
      </rPr>
      <t>Susu' Rosso:</t>
    </r>
    <r>
      <rPr>
        <sz val="8"/>
        <color theme="1" tint="0.499984740745262"/>
        <rFont val="Noto Sans"/>
        <family val="2"/>
      </rPr>
      <t xml:space="preserve"> </t>
    </r>
    <r>
      <rPr>
        <sz val="7"/>
        <color theme="1" tint="0.499984740745262"/>
        <rFont val="Noto Sans"/>
        <family val="2"/>
      </rPr>
      <t>~85% nerello mascalese, nerello</t>
    </r>
  </si>
  <si>
    <t>MUNJEBEL® PERPETUUM ROSSO - ETNA SOLERA:</t>
  </si>
  <si>
    <t>capuccio, minella, alicante Bouschet, uva francesa…</t>
  </si>
  <si>
    <t>23FCORN02</t>
  </si>
  <si>
    <t>&gt;50yr average. 1st made 2003 (as R.del Contadino)</t>
  </si>
  <si>
    <t>22FCORN03</t>
  </si>
  <si>
    <r>
      <rPr>
        <b/>
        <sz val="8"/>
        <color theme="1" tint="0.14999847407452621"/>
        <rFont val="Noto Sans"/>
        <family val="2"/>
      </rPr>
      <t>Munjebel® Rosso</t>
    </r>
    <r>
      <rPr>
        <b/>
        <sz val="8"/>
        <color theme="1" tint="0.499984740745262"/>
        <rFont val="Noto Sans"/>
        <family val="2"/>
      </rPr>
      <t>:</t>
    </r>
    <r>
      <rPr>
        <sz val="7"/>
        <color theme="1" tint="0.499984740745262"/>
        <rFont val="Noto Sans"/>
        <family val="2"/>
      </rPr>
      <t xml:space="preserve"> pure nerello mascalese from</t>
    </r>
  </si>
  <si>
    <t>23FCORN02MG</t>
  </si>
  <si>
    <t>multiple mid-altitude contradas, incl vv &amp; ungrafted,</t>
  </si>
  <si>
    <t>22FCORN03MG</t>
  </si>
  <si>
    <t>low yields. 1st made 2001/2. The flagship wine</t>
  </si>
  <si>
    <t>MUNJEBEL® CRUS:</t>
  </si>
  <si>
    <t>MUNJEBEL® ROSSO ETNA CRU SERIES (A-Z):</t>
  </si>
  <si>
    <r>
      <rPr>
        <b/>
        <sz val="8"/>
        <color theme="1" tint="0.14999847407452621"/>
        <rFont val="Noto Sans"/>
        <family val="2"/>
      </rPr>
      <t>CA Crasa</t>
    </r>
    <r>
      <rPr>
        <sz val="8"/>
        <color theme="1" tint="0.499984740745262"/>
        <rFont val="Noto Sans"/>
        <family val="2"/>
      </rPr>
      <t xml:space="preserve"> </t>
    </r>
    <r>
      <rPr>
        <sz val="7"/>
        <color theme="1" tint="0.499984740745262"/>
        <rFont val="Noto Sans"/>
        <family val="2"/>
      </rPr>
      <t>at Solicchiata, &gt;20yr vines at 640m on</t>
    </r>
  </si>
  <si>
    <t>22FCORN05</t>
  </si>
  <si>
    <t>large volcanic sands. 1st made 2015</t>
  </si>
  <si>
    <t>24FCORN04</t>
  </si>
  <si>
    <r>
      <rPr>
        <b/>
        <sz val="8"/>
        <color theme="1" tint="0.14999847407452621"/>
        <rFont val="Noto Sans"/>
        <family val="2"/>
      </rPr>
      <t>CD Calderara Sottana</t>
    </r>
    <r>
      <rPr>
        <sz val="7"/>
        <color theme="1" tint="0.499984740745262"/>
        <rFont val="Noto Sans"/>
        <family val="2"/>
      </rPr>
      <t xml:space="preserve"> at Randazzo, &gt;40yrs</t>
    </r>
  </si>
  <si>
    <t>23FCORN03</t>
  </si>
  <si>
    <t>at 610m on small volcanic rocks. 1st made 2018</t>
  </si>
  <si>
    <t>22FCORN06</t>
  </si>
  <si>
    <r>
      <rPr>
        <b/>
        <sz val="8"/>
        <color theme="1" tint="0.14999847407452621"/>
        <rFont val="Noto Sans"/>
        <family val="2"/>
      </rPr>
      <t>CR Campo Re</t>
    </r>
    <r>
      <rPr>
        <sz val="7"/>
        <color theme="1" tint="0.499984740745262"/>
        <rFont val="Noto Sans"/>
        <family val="2"/>
      </rPr>
      <t xml:space="preserve"> at Randazzo, &gt;70yr VV at 730m</t>
    </r>
  </si>
  <si>
    <t>20FCORN03</t>
  </si>
  <si>
    <t>part ungrafted, on deeper soils, 1st made 2015</t>
  </si>
  <si>
    <t>24FCORN06</t>
  </si>
  <si>
    <r>
      <rPr>
        <b/>
        <sz val="8"/>
        <color theme="1" tint="0.14999847407452621"/>
        <rFont val="Noto Sans"/>
        <family val="2"/>
      </rPr>
      <t>FM Feudo di Mezzo</t>
    </r>
    <r>
      <rPr>
        <b/>
        <sz val="8"/>
        <color theme="1" tint="0.499984740745262"/>
        <rFont val="Noto Sans"/>
        <family val="2"/>
      </rPr>
      <t xml:space="preserve"> </t>
    </r>
    <r>
      <rPr>
        <sz val="7"/>
        <color theme="1" tint="0.499984740745262"/>
        <rFont val="Noto Sans"/>
        <family val="2"/>
      </rPr>
      <t>(sottana,) &gt;40yr vines</t>
    </r>
  </si>
  <si>
    <t>23FCORN04</t>
  </si>
  <si>
    <t>580m on deeper volcanic soils, 1st made 2014</t>
  </si>
  <si>
    <t>22FCORN08</t>
  </si>
  <si>
    <r>
      <rPr>
        <b/>
        <sz val="8"/>
        <color theme="1" tint="0.14999847407452621"/>
        <rFont val="Noto Sans"/>
        <family val="2"/>
      </rPr>
      <t>MC Monte Colla</t>
    </r>
    <r>
      <rPr>
        <sz val="7"/>
        <color theme="1" tint="0.499984740745262"/>
        <rFont val="Noto Sans"/>
        <family val="2"/>
      </rPr>
      <t>, 1946 planted steep So-facing</t>
    </r>
  </si>
  <si>
    <t>24FCORN07</t>
  </si>
  <si>
    <t>on compacted sandy-clay at 760m. 1st made 2011</t>
  </si>
  <si>
    <t>23FCORN05</t>
  </si>
  <si>
    <r>
      <rPr>
        <b/>
        <sz val="8"/>
        <color theme="1" tint="0.14999847407452621"/>
        <rFont val="Noto Sans"/>
        <family val="2"/>
      </rPr>
      <t>PA Porcaria</t>
    </r>
    <r>
      <rPr>
        <sz val="7"/>
        <color theme="1" tint="0.499984740745262"/>
        <rFont val="Noto Sans"/>
        <family val="2"/>
      </rPr>
      <t xml:space="preserve"> (Feudo di Mezzo soprana), </t>
    </r>
  </si>
  <si>
    <t>22FCORN09</t>
  </si>
  <si>
    <t>1st made 2014. 640m. Grafted old-vines, &gt;60yr vines</t>
  </si>
  <si>
    <t>24FCORN08</t>
  </si>
  <si>
    <r>
      <rPr>
        <b/>
        <sz val="8"/>
        <color theme="1" tint="0.14999847407452621"/>
        <rFont val="Noto Sans"/>
        <family val="2"/>
      </rPr>
      <t>PU Puntalazzo</t>
    </r>
    <r>
      <rPr>
        <sz val="7"/>
        <color theme="1" tint="0.499984740745262"/>
        <rFont val="Noto Sans"/>
        <family val="2"/>
      </rPr>
      <t xml:space="preserve"> above Mascali, East Etna 610m</t>
    </r>
  </si>
  <si>
    <t>22FCORN10</t>
  </si>
  <si>
    <t>over the sea. 20+yr vines, NOT YET RELEASED</t>
  </si>
  <si>
    <t>MUNJEBEL® ROSSO ETNA CRU SERIES - MAGS:</t>
  </si>
  <si>
    <t>'GRANDS CRUS' incl. MAGMA®, A-Z:</t>
  </si>
  <si>
    <t>22FCORN05MG</t>
  </si>
  <si>
    <r>
      <rPr>
        <b/>
        <sz val="8"/>
        <color theme="1" tint="0.14999847407452621"/>
        <rFont val="Noto Sans"/>
        <family val="2"/>
      </rPr>
      <t>CS Chiusa Spagnola</t>
    </r>
    <r>
      <rPr>
        <sz val="7"/>
        <color theme="1" tint="0.499984740745262"/>
        <rFont val="Noto Sans"/>
        <family val="2"/>
      </rPr>
      <t xml:space="preserve"> ungrafted 1925 tvv</t>
    </r>
  </si>
  <si>
    <t>23FCORN03MG</t>
  </si>
  <si>
    <t>at 620m in contrada Zottorinoto, 1st made 2012</t>
  </si>
  <si>
    <t>20FCORN03MG</t>
  </si>
  <si>
    <r>
      <rPr>
        <b/>
        <sz val="8"/>
        <color theme="1" tint="0.14999847407452621"/>
        <rFont val="Noto Sans"/>
        <family val="2"/>
      </rPr>
      <t>SC Scimonetta</t>
    </r>
    <r>
      <rPr>
        <b/>
        <sz val="7"/>
        <color theme="1" tint="0.499984740745262"/>
        <rFont val="Noto Sans"/>
        <family val="2"/>
      </rPr>
      <t xml:space="preserve"> </t>
    </r>
    <r>
      <rPr>
        <sz val="7"/>
        <color theme="1" tint="0.499984740745262"/>
        <rFont val="Noto Sans"/>
        <family val="2"/>
      </rPr>
      <t>at Randazzo, 740m. 2.5ha clos,</t>
    </r>
  </si>
  <si>
    <t>23FCORN04MG</t>
  </si>
  <si>
    <t>ungrafted. &gt;40yr vines for the cru plus 2002/3 vines</t>
  </si>
  <si>
    <t>22FCORN08MG</t>
  </si>
  <si>
    <t>on pyroclastic flow terroir. 1st made 2021</t>
  </si>
  <si>
    <t>20FCORN05MG</t>
  </si>
  <si>
    <r>
      <rPr>
        <b/>
        <sz val="8"/>
        <color theme="1" tint="0.14999847407452621"/>
        <rFont val="Noto Sans"/>
        <family val="2"/>
      </rPr>
      <t>VA Vigne Alte</t>
    </r>
    <r>
      <rPr>
        <sz val="7"/>
        <color theme="1" tint="0.499984740745262"/>
        <rFont val="Noto Sans"/>
        <family val="2"/>
      </rPr>
      <t xml:space="preserve"> &gt;90yrs &amp; ungrafted, 870-1000m</t>
    </r>
  </si>
  <si>
    <t>22FCORN09MG</t>
  </si>
  <si>
    <t>altitude. Barbabecchi, Monte Dolce &amp; Pettinociarelle</t>
  </si>
  <si>
    <t>22FCORN10MG</t>
  </si>
  <si>
    <t>at Solicchiata are 870-890m; Tartaraci at Bronte</t>
  </si>
  <si>
    <t>is 1000m. 1st made 2010</t>
  </si>
  <si>
    <r>
      <rPr>
        <b/>
        <sz val="8"/>
        <color theme="1" tint="0.14999847407452621"/>
        <rFont val="Noto Sans"/>
        <family val="2"/>
      </rPr>
      <t>MAGMA®</t>
    </r>
    <r>
      <rPr>
        <sz val="7"/>
        <color theme="1" tint="0.499984740745262"/>
        <rFont val="Noto Sans"/>
        <family val="2"/>
      </rPr>
      <t xml:space="preserve"> ungrafted 1910 vines at 870-910m</t>
    </r>
  </si>
  <si>
    <t>1st made 2001 (2007 from Barbabecchi Soprana)</t>
  </si>
  <si>
    <t>'GRAND CRU' ROSSO SERIES, INCL.MAGMA®, ETNA:</t>
  </si>
  <si>
    <r>
      <t>[NB bottled in 2018 as cru</t>
    </r>
    <r>
      <rPr>
        <b/>
        <sz val="7"/>
        <color theme="1" tint="0.499984740745262"/>
        <rFont val="Noto Sans"/>
        <family val="2"/>
      </rPr>
      <t xml:space="preserve"> BB</t>
    </r>
    <r>
      <rPr>
        <sz val="7"/>
        <color theme="1" tint="0.499984740745262"/>
        <rFont val="Noto Sans"/>
        <family val="2"/>
      </rPr>
      <t>, not as Magma]</t>
    </r>
  </si>
  <si>
    <t>24FCORN05</t>
  </si>
  <si>
    <t>RECENT VINTAGES (IN BRIEF):</t>
  </si>
  <si>
    <t>22FCORN07</t>
  </si>
  <si>
    <t>2023 70% crop loss. No Susu' Rosso made</t>
  </si>
  <si>
    <t>24FCORN09</t>
  </si>
  <si>
    <t>2021 30% crop loss (drought). No Susu' Rosso</t>
  </si>
  <si>
    <t>23FCORN06</t>
  </si>
  <si>
    <t>2020 mid-to-full weight; piercing red fruit</t>
  </si>
  <si>
    <t>24FCORN02</t>
  </si>
  <si>
    <t>2019 mid-to-full weight; 15% loss due to frost</t>
  </si>
  <si>
    <t>'GRAND CRU' ROSSO SERIES, INCL.MAGMA® - LARGE FORMAT:</t>
  </si>
  <si>
    <t>2018 medium+ (light for Frank)</t>
  </si>
  <si>
    <t>22FCORN07MG</t>
  </si>
  <si>
    <t>2017 powerhouse</t>
  </si>
  <si>
    <t>23FCORN06MG</t>
  </si>
  <si>
    <t>2016 mid-to-full weight</t>
  </si>
  <si>
    <t>24FCORN02MG</t>
  </si>
  <si>
    <t>2015 medium (light for Frank)</t>
  </si>
  <si>
    <t>23FCORN07MG</t>
  </si>
  <si>
    <t>2024 1st vintage with Puleo F22 Infinity reds press</t>
  </si>
  <si>
    <t>2022 launch of Munjebel Perpetuum, P1 (solera)</t>
  </si>
  <si>
    <t>2020 10ha land bought at CS &amp; Rampante Soprana</t>
  </si>
  <si>
    <t xml:space="preserve">2020 work starts on underground bottle warehouse </t>
  </si>
  <si>
    <t>2019 consultant agronomist Stefano Amadeo starts</t>
  </si>
  <si>
    <t>2018 new floor in cellar permits some gravity work</t>
  </si>
  <si>
    <t>2017 vintage: Contadino renamed Susucaru rosso</t>
  </si>
  <si>
    <t>2018 1st year with new GAI bottling line</t>
  </si>
  <si>
    <t xml:space="preserve">2018 1st year with small SO2 doses during ferment </t>
  </si>
  <si>
    <t>2017 technical advisor Guillaume Thienpont starts</t>
  </si>
  <si>
    <t>2015 1st year with ozone cleaning of cellar</t>
  </si>
  <si>
    <t>2014 1st vintage with automated bottling line</t>
  </si>
  <si>
    <t>2014 1st vintage with Argon gas</t>
  </si>
  <si>
    <t>2014 1st vintage with Ardea Seal closures</t>
  </si>
  <si>
    <t>2014 1st vintage with gross filtration before bottling</t>
  </si>
  <si>
    <t>2010 1st use of pied de cuve to start fermentation</t>
  </si>
  <si>
    <t>2010 1st vintage in new cellar; 1st Munjebel cru</t>
  </si>
  <si>
    <t>2007 1st vintage Susucaru Rosato</t>
  </si>
  <si>
    <t>2004 world launch tasting in London at The Atlas</t>
  </si>
  <si>
    <t>2004 1st vintage Munjebel Bianco (ex-Mongibello)</t>
  </si>
  <si>
    <t>2003 1st vintage Contadino (Susu') Rosso</t>
  </si>
  <si>
    <t>2001 1st vintage of Magma &amp; Munjebel Rosso</t>
  </si>
  <si>
    <t>1961 Frank Cornelissen born in Belgium</t>
  </si>
  <si>
    <t>TIMELINE OF PRESS / AWARDS (IN BRIEF):</t>
  </si>
  <si>
    <t>2022 M.Classic in Suckling Top 100 Italian WOTY</t>
  </si>
  <si>
    <t>2021 Magma 2019 in Suckling Top 100 Italian WOTY</t>
  </si>
  <si>
    <t>2019 Magma 2017 is #8 in IWR Top 100 WOTY</t>
  </si>
  <si>
    <t>2016 Magma 2014 is #2 in IWR Top 100 WOTY</t>
  </si>
  <si>
    <t>2016 Slow Wine 'Grande Vino' for Magma 2013</t>
  </si>
  <si>
    <t>2015 Slow Wine 'Slow Wine' award for VA 2013</t>
  </si>
  <si>
    <t>2015 1st entry IWR Top 100 WOTY</t>
  </si>
  <si>
    <t>2014 1st entry in Slow Wine Guide</t>
  </si>
  <si>
    <t>2011 Red Wine of The Year, T.Cannavan</t>
  </si>
  <si>
    <t>Slow Wine 2014-17, 'Snail' Award</t>
  </si>
  <si>
    <r>
      <rPr>
        <b/>
        <sz val="7"/>
        <color theme="1" tint="0.499984740745262"/>
        <rFont val="Noto Sans"/>
        <family val="2"/>
      </rPr>
      <t>often</t>
    </r>
    <r>
      <rPr>
        <sz val="7"/>
        <color theme="1" tint="0.499984740745262"/>
        <rFont val="Noto Sans"/>
        <family val="2"/>
      </rPr>
      <t xml:space="preserve"> in IWR Top 100 WOTY</t>
    </r>
  </si>
  <si>
    <t>FrankCornelissen.it</t>
  </si>
  <si>
    <t>NB MAGMA SELLS OUT UPON RELEASE</t>
  </si>
  <si>
    <t>LEVI DALTON 'IDTT' INTERVIEW #129</t>
  </si>
  <si>
    <t>GROWER CODE: FCORN</t>
  </si>
  <si>
    <t>Italy, Sicily &amp; Pantelleria</t>
  </si>
  <si>
    <t>ALESSANDRO FILIPPI</t>
  </si>
  <si>
    <r>
      <t>w</t>
    </r>
    <r>
      <rPr>
        <b/>
        <sz val="7"/>
        <color theme="9"/>
        <rFont val="Noto Sans"/>
        <family val="2"/>
      </rPr>
      <t>/o</t>
    </r>
  </si>
  <si>
    <t>22DLUCE01</t>
  </si>
  <si>
    <r>
      <t xml:space="preserve">Erice, West Sicily. </t>
    </r>
    <r>
      <rPr>
        <b/>
        <sz val="8"/>
        <color rgb="FF00B050"/>
        <rFont val="Noto Sans"/>
        <family val="2"/>
      </rPr>
      <t>No certification</t>
    </r>
  </si>
  <si>
    <t>Dry-farmed, 40-60yr vines, clay-limestone</t>
  </si>
  <si>
    <t>hillside, ambient yeast, cement tanks</t>
  </si>
  <si>
    <t>VinidiLuce.com</t>
  </si>
  <si>
    <t>SAVINO'S Nero Sichilli</t>
  </si>
  <si>
    <t>23SAVINO01</t>
  </si>
  <si>
    <t>by Az.Agr.Fenicotteri</t>
  </si>
  <si>
    <t>22SAVINO02</t>
  </si>
  <si>
    <t>Family of the late Generale Vittorio Savino</t>
  </si>
  <si>
    <t>22SAVINO01</t>
  </si>
  <si>
    <t>~1ha bush vines at Vendicari nature reserve;</t>
  </si>
  <si>
    <t>20SAVINO02</t>
  </si>
  <si>
    <t>35% tres vieilles vignes, near Noto</t>
  </si>
  <si>
    <t>20SAVINO01</t>
  </si>
  <si>
    <r>
      <t>with Salvo Foti's I Vigneri.</t>
    </r>
    <r>
      <rPr>
        <b/>
        <sz val="8"/>
        <color rgb="FF00B050"/>
        <rFont val="Noto Sans"/>
        <family val="2"/>
      </rPr>
      <t xml:space="preserve"> No certification</t>
    </r>
  </si>
  <si>
    <t>18SAVINO01</t>
  </si>
  <si>
    <t>20% stems; tank ferment; old casks; unfiltered</t>
  </si>
  <si>
    <t>max. 4000 bottles per annum</t>
  </si>
  <si>
    <t>ivigneri.it</t>
  </si>
  <si>
    <t>GROWER CODE: SAVINO</t>
  </si>
  <si>
    <t>DO ZENNER &amp; FRIENDS</t>
  </si>
  <si>
    <t>17AGRICOLA02</t>
  </si>
  <si>
    <t>Ferla, Syracuse province, SE Sicily</t>
  </si>
  <si>
    <t>17AGRICOLA01</t>
  </si>
  <si>
    <t>Do Zenner, Sebastiano Costantino</t>
  </si>
  <si>
    <t>Zenners had 6ha @600m in contrade Bufalefi</t>
  </si>
  <si>
    <r>
      <t>3yrs in cement/steel;</t>
    </r>
    <r>
      <rPr>
        <b/>
        <sz val="8"/>
        <color rgb="FF00B050"/>
        <rFont val="Noto Sans"/>
        <family val="2"/>
      </rPr>
      <t xml:space="preserve"> 'biodynamic-uncertified'</t>
    </r>
  </si>
  <si>
    <t>2013 azienda is renamed Az.Agr.Rigoria</t>
  </si>
  <si>
    <t>2006 azienda is renamed Tridente Pantalica</t>
  </si>
  <si>
    <t>2006 Zenner family joins Sebabstiano Costantino</t>
  </si>
  <si>
    <t>1988 Hans starts Azienda</t>
  </si>
  <si>
    <t>1975 Hans (B.1936) &amp; Nina Zenner move to Sicily</t>
  </si>
  <si>
    <t>1968 Do Zenner born to Vietnamese parents</t>
  </si>
  <si>
    <t>GROWER CODE: AGRICOLA</t>
  </si>
  <si>
    <t>Spain, NW: Rias Baixas</t>
  </si>
  <si>
    <t>BODEGAS PASCUAL</t>
  </si>
  <si>
    <t>25LREYER01</t>
  </si>
  <si>
    <t>50ha vines at Rias Baixas, Galicia.</t>
  </si>
  <si>
    <t>Founded 1986, on 14th Century cellars</t>
  </si>
  <si>
    <t>BodegasPascual.com</t>
  </si>
  <si>
    <t>NB ALSO SEE THEIR RUEDA VERDEJO</t>
  </si>
  <si>
    <t>GROWER CODE: LREYER</t>
  </si>
  <si>
    <t>Spain, NW: Ribeira Sacra</t>
  </si>
  <si>
    <t>NIEPOORT PROJECTOS</t>
  </si>
  <si>
    <t>22NIEP37</t>
  </si>
  <si>
    <t>~66% mencia (aka Jaen in Portugal)</t>
  </si>
  <si>
    <t>~33% alicante Bouschet; 50yr old vines</t>
  </si>
  <si>
    <t>East facing, 650-700m, stone terraces on</t>
  </si>
  <si>
    <t>steep schist terroir over Rio Sil</t>
  </si>
  <si>
    <t>long maceration (45-60 days) with good %</t>
  </si>
  <si>
    <t>of stems; elevage in small French casks</t>
  </si>
  <si>
    <t>~1000 to 1200 btls produced</t>
  </si>
  <si>
    <t>Niepoort.pt</t>
  </si>
  <si>
    <t>GROWER CODE: NIEP</t>
  </si>
  <si>
    <t>Spain, NW: Bierzo</t>
  </si>
  <si>
    <t>LEGADO DE FARRO</t>
  </si>
  <si>
    <t>16LEGAD01</t>
  </si>
  <si>
    <t>Bierzo. 25ha old vines, Toral de Los Vados</t>
  </si>
  <si>
    <t>16LEGAD03</t>
  </si>
  <si>
    <t>Víctor Robla &amp; Ángeles Varela. modest SO2</t>
  </si>
  <si>
    <r>
      <rPr>
        <b/>
        <sz val="8"/>
        <color rgb="FF00B050"/>
        <rFont val="Noto Sans"/>
        <family val="2"/>
      </rPr>
      <t>sustainable</t>
    </r>
    <r>
      <rPr>
        <sz val="8"/>
        <color theme="1" tint="0.14999847407452621"/>
        <rFont val="Noto Sans"/>
        <family val="2"/>
      </rPr>
      <t>; ambient yeast</t>
    </r>
  </si>
  <si>
    <t>VinosDeArganza.com</t>
  </si>
  <si>
    <t>GROWER CODE: LEGAD</t>
  </si>
  <si>
    <t>Spain, N: Rueda</t>
  </si>
  <si>
    <t>NB ALL IN THE VAULTS, EDINBURGH</t>
  </si>
  <si>
    <t>22PENALO01VDP</t>
  </si>
  <si>
    <t>Rueda. Verdejo grape at average 680masl</t>
  </si>
  <si>
    <t>NB ALSO SEE ALBARINO LEIRA REYERO</t>
  </si>
  <si>
    <t>GROWER CODE: PENALO</t>
  </si>
  <si>
    <t>Spain, N: Ribera del Duero</t>
  </si>
  <si>
    <r>
      <rPr>
        <b/>
        <sz val="7"/>
        <color theme="1" tint="0.499984740745262"/>
        <rFont val="Noto Sans"/>
        <family val="2"/>
      </rPr>
      <t>Galo Lopez:</t>
    </r>
    <r>
      <rPr>
        <sz val="7"/>
        <color theme="1" tint="0.499984740745262"/>
        <rFont val="Noto Sans"/>
        <family val="2"/>
      </rPr>
      <t xml:space="preserve"> “We firmly believe that caring for our vineyard is a hallmark in the production of wines with soul. Our viticulture values tradition. We manage</t>
    </r>
  </si>
  <si>
    <t>the vineyard in a sustainable way, respecting the environment and upholding ecological values. Harvesting is manual and we carry it out with delicacy,</t>
  </si>
  <si>
    <t>in fruit boxes, avoiding any damage to the grapes. We are aware that wine is made on the vine."</t>
  </si>
  <si>
    <t>LOPEZ CRISTOBAL</t>
  </si>
  <si>
    <t>RDD HVS:</t>
  </si>
  <si>
    <t>Ribera del Duero. Roa &amp; Pedrosa de Duero</t>
  </si>
  <si>
    <t>24LOPEZ01HF</t>
  </si>
  <si>
    <t>Santiago Lopez founded cellar 1984</t>
  </si>
  <si>
    <t>RDD:</t>
  </si>
  <si>
    <t>son Galo is winemaker. 60-100% French oak</t>
  </si>
  <si>
    <t>24LOPEZ02</t>
  </si>
  <si>
    <t>70ha; 90% tempranillo; 770-850masl</t>
  </si>
  <si>
    <t>23LOPEZ01</t>
  </si>
  <si>
    <r>
      <rPr>
        <b/>
        <sz val="7.5"/>
        <color rgb="FF00B050"/>
        <rFont val="Noto Sans"/>
        <family val="2"/>
      </rPr>
      <t>sustainable</t>
    </r>
    <r>
      <rPr>
        <sz val="7.5"/>
        <color theme="1" tint="0.14999847407452621"/>
        <rFont val="Noto Sans"/>
        <family val="2"/>
      </rPr>
      <t xml:space="preserve"> since 2002; </t>
    </r>
    <r>
      <rPr>
        <b/>
        <sz val="7.5"/>
        <color rgb="FF00B050"/>
        <rFont val="Noto Sans"/>
        <family val="2"/>
      </rPr>
      <t>ⓋVegan compat.</t>
    </r>
  </si>
  <si>
    <t>19LOPEZ04STB</t>
  </si>
  <si>
    <t>THE VINEYARDS &amp; WINES:</t>
  </si>
  <si>
    <t>24LOPEZ01</t>
  </si>
  <si>
    <r>
      <rPr>
        <b/>
        <sz val="7"/>
        <color theme="1" tint="0.499984740745262"/>
        <rFont val="Noto Sans"/>
        <family val="2"/>
      </rPr>
      <t xml:space="preserve">Roble: </t>
    </r>
    <r>
      <rPr>
        <sz val="7"/>
        <color theme="1" tint="0.499984740745262"/>
        <rFont val="Noto Sans"/>
        <family val="2"/>
      </rPr>
      <t>Finca La Linde. 95% tempranillo, ~20yr vines</t>
    </r>
  </si>
  <si>
    <t>24LOPEZ03</t>
  </si>
  <si>
    <t>at 770m on limestone. 3mths elevage in 1-3yr French</t>
  </si>
  <si>
    <t>23LOPEZ02</t>
  </si>
  <si>
    <t>casks. ~200K bottles production</t>
  </si>
  <si>
    <t>21LOPEZ04</t>
  </si>
  <si>
    <r>
      <rPr>
        <b/>
        <sz val="7"/>
        <color theme="1" tint="0.499984740745262"/>
        <rFont val="Noto Sans"/>
        <family val="2"/>
      </rPr>
      <t xml:space="preserve">Crianza: </t>
    </r>
    <r>
      <rPr>
        <sz val="7"/>
        <color theme="1" tint="0.499984740745262"/>
        <rFont val="Noto Sans"/>
        <family val="2"/>
      </rPr>
      <t>Finca La Colorada. 95% tempranillo, ~30yr</t>
    </r>
  </si>
  <si>
    <t>21LOPEZ05</t>
  </si>
  <si>
    <t>vines at 790m on limestone. 12mths elevage in 1-3yr</t>
  </si>
  <si>
    <t>80% French casks. ~90K bottles production</t>
  </si>
  <si>
    <r>
      <rPr>
        <b/>
        <sz val="7"/>
        <color theme="1" tint="0.499984740745262"/>
        <rFont val="Noto Sans"/>
        <family val="2"/>
      </rPr>
      <t xml:space="preserve">Parcela 1/Uno: </t>
    </r>
    <r>
      <rPr>
        <sz val="7"/>
        <color theme="1" tint="0.499984740745262"/>
        <rFont val="Noto Sans"/>
        <family val="2"/>
      </rPr>
      <t>Finca Valera (ex-reserva plot),</t>
    </r>
  </si>
  <si>
    <t xml:space="preserve">planted 1981 at Roa, on wires. Gravel &amp; limestone, </t>
  </si>
  <si>
    <t>890m. 16mths elevage in 1-3yr casks, 70% French</t>
  </si>
  <si>
    <r>
      <rPr>
        <b/>
        <sz val="7"/>
        <color theme="1" tint="0.499984740745262"/>
        <rFont val="Noto Sans"/>
        <family val="2"/>
      </rPr>
      <t xml:space="preserve">Bagus: </t>
    </r>
    <r>
      <rPr>
        <sz val="7"/>
        <color theme="1" tint="0.499984740745262"/>
        <rFont val="Noto Sans"/>
        <family val="2"/>
      </rPr>
      <t>Pago de Manvirgo. ~85yr vv at 850m altitude</t>
    </r>
  </si>
  <si>
    <t>on limestone. 14 mths elevage in 80% French casks.</t>
  </si>
  <si>
    <t>Production 5K-8K btls</t>
  </si>
  <si>
    <r>
      <rPr>
        <b/>
        <sz val="7"/>
        <color theme="1" tint="0.499984740745262"/>
        <rFont val="Noto Sans"/>
        <family val="2"/>
      </rPr>
      <t>Viracocha:</t>
    </r>
    <r>
      <rPr>
        <sz val="7"/>
        <color theme="1" tint="0.499984740745262"/>
        <rFont val="Noto Sans"/>
        <family val="2"/>
      </rPr>
      <t xml:space="preserve"> Pago de Machin at Pedrosa.</t>
    </r>
  </si>
  <si>
    <t>~80yr vv bush-vines, 840m altitude, clay-limestone.</t>
  </si>
  <si>
    <t>Uncrushed fruit. 15mths elevage in larger French</t>
  </si>
  <si>
    <t>cask. 950 btls in 2018</t>
  </si>
  <si>
    <t>LopezCristobal.com</t>
  </si>
  <si>
    <t>GROWER CODE: LOPEZ</t>
  </si>
  <si>
    <t>Spain, N: Rioja</t>
  </si>
  <si>
    <t>OXER BASTEGIETA</t>
  </si>
  <si>
    <t>12NOCTU01TB</t>
  </si>
  <si>
    <t>Rioja Alta &amp; Txakoli de Bizkaia</t>
  </si>
  <si>
    <t>Nocturna (now renamed Suzzane) is 3ha</t>
  </si>
  <si>
    <t>planted in 1903 at 580m altitude at Cardenas</t>
  </si>
  <si>
    <t>OxerWines.com</t>
  </si>
  <si>
    <t>NB ALSO SEE TXACOLI FROM PAIS VASCO</t>
  </si>
  <si>
    <t>GROWER CODE: NOCTU</t>
  </si>
  <si>
    <t>BERZAL, Dominio de</t>
  </si>
  <si>
    <t>RIOJA BLANCO:</t>
  </si>
  <si>
    <t>Rioja Alavesa. 50ha VV at Banos de Ebro</t>
  </si>
  <si>
    <t>23BERZAL02</t>
  </si>
  <si>
    <t>founded 1999 by Berzal brothers. &gt;420m alt.</t>
  </si>
  <si>
    <t>RIOJA TINTO:</t>
  </si>
  <si>
    <r>
      <rPr>
        <b/>
        <sz val="8"/>
        <color rgb="FF00B050"/>
        <rFont val="Noto Sans"/>
        <family val="2"/>
      </rPr>
      <t>sustainable</t>
    </r>
    <r>
      <rPr>
        <sz val="8"/>
        <color theme="1" tint="0.14999847407452621"/>
        <rFont val="Noto Sans"/>
        <family val="2"/>
      </rPr>
      <t xml:space="preserve"> agriculture since the start</t>
    </r>
  </si>
  <si>
    <t>23BERZAL01</t>
  </si>
  <si>
    <t>16BERZAL01</t>
  </si>
  <si>
    <r>
      <t>Blanco</t>
    </r>
    <r>
      <rPr>
        <b/>
        <sz val="8"/>
        <color theme="1" tint="0.14999847407452621"/>
        <rFont val="Noto Sans"/>
        <family val="2"/>
      </rPr>
      <t xml:space="preserve"> FEB</t>
    </r>
    <r>
      <rPr>
        <sz val="8"/>
        <color theme="1" tint="0.14999847407452621"/>
        <rFont val="Noto Sans"/>
        <family val="2"/>
      </rPr>
      <t xml:space="preserve"> is Fermentado En Barrica</t>
    </r>
  </si>
  <si>
    <t>DominioBerzal.com</t>
  </si>
  <si>
    <t>GROWER CODE: BERZAL</t>
  </si>
  <si>
    <t>LOPEZ DE HEREDIA</t>
  </si>
  <si>
    <r>
      <t xml:space="preserve">Haro, Rioja Alta. 170ha vines in four </t>
    </r>
    <r>
      <rPr>
        <i/>
        <sz val="8"/>
        <color theme="1" tint="0.14999847407452621"/>
        <rFont val="Noto Sans"/>
        <family val="2"/>
      </rPr>
      <t>viñas</t>
    </r>
  </si>
  <si>
    <t>24HEREDIA03</t>
  </si>
  <si>
    <t>Founded 1877; Tondonia 1st planted 1913/14</t>
  </si>
  <si>
    <t>24HEREDIA02</t>
  </si>
  <si>
    <t xml:space="preserve">ambient yeast; 100% oak fermenters &amp; </t>
  </si>
  <si>
    <t>23HEREDIA04</t>
  </si>
  <si>
    <t>long-elevage in 225L american oak casks,</t>
  </si>
  <si>
    <t>23HEREDIA03</t>
  </si>
  <si>
    <t>from own cooperage. Egg-white fined</t>
  </si>
  <si>
    <t>RIOJA TINTO RESERVA:</t>
  </si>
  <si>
    <t>LAS VIÑAS / THE VINEYARDS:</t>
  </si>
  <si>
    <t>24HEREDIA01HF</t>
  </si>
  <si>
    <r>
      <rPr>
        <b/>
        <sz val="7"/>
        <color theme="1" tint="0.499984740745262"/>
        <rFont val="Noto Sans"/>
        <family val="2"/>
      </rPr>
      <t>Tondonia:</t>
    </r>
    <r>
      <rPr>
        <sz val="7"/>
        <color theme="1" tint="0.499984740745262"/>
        <rFont val="Noto Sans"/>
        <family val="2"/>
      </rPr>
      <t xml:space="preserve"> ~100ha on alluvium &amp; limestone, 438-489m</t>
    </r>
  </si>
  <si>
    <t>23HEREDIA01HF</t>
  </si>
  <si>
    <r>
      <t xml:space="preserve">Bosconia (El Bosque): </t>
    </r>
    <r>
      <rPr>
        <sz val="7"/>
        <color theme="1" tint="0.499984740745262"/>
        <rFont val="Noto Sans"/>
        <family val="2"/>
      </rPr>
      <t>15ha: 11ha tempranillo, 2ha</t>
    </r>
  </si>
  <si>
    <t>22HEREDIA07HF</t>
  </si>
  <si>
    <t>garnacha, 1ha mazuelo, 1ha graciano. 460-487m</t>
  </si>
  <si>
    <t>24HEREDIA01</t>
  </si>
  <si>
    <r>
      <t>Cubillo:</t>
    </r>
    <r>
      <rPr>
        <sz val="7"/>
        <color theme="1" tint="0.499984740745262"/>
        <rFont val="Noto Sans"/>
        <family val="2"/>
      </rPr>
      <t xml:space="preserve"> 24ha: 16ha tempranillo, 4ha garnacha,</t>
    </r>
  </si>
  <si>
    <t>23HEREDIA01</t>
  </si>
  <si>
    <t>2ha mazuelo, 2ha graciano, in 2 parcels. 455-485m</t>
  </si>
  <si>
    <t>24HEREDIA01MG</t>
  </si>
  <si>
    <r>
      <t>Zaconia:</t>
    </r>
    <r>
      <rPr>
        <sz val="7"/>
        <color theme="1" tint="0.499984740745262"/>
        <rFont val="Noto Sans"/>
        <family val="2"/>
      </rPr>
      <t xml:space="preserve"> 24ha viura, 200m from Bodega, 438-489m</t>
    </r>
  </si>
  <si>
    <t>23HEREDIA01MG</t>
  </si>
  <si>
    <t>Avg 45yrs. makes Gravonia crianza BLANCO</t>
  </si>
  <si>
    <r>
      <rPr>
        <b/>
        <sz val="7"/>
        <color theme="1" tint="0.499984740745262"/>
        <rFont val="Noto Sans"/>
        <family val="2"/>
      </rPr>
      <t>Rosado grand reserva</t>
    </r>
    <r>
      <rPr>
        <sz val="7"/>
        <color theme="1" tint="0.499984740745262"/>
        <rFont val="Noto Sans"/>
        <family val="2"/>
      </rPr>
      <t>: 4yrs in cask</t>
    </r>
  </si>
  <si>
    <r>
      <rPr>
        <b/>
        <sz val="7"/>
        <color theme="1" tint="0.499984740745262"/>
        <rFont val="Noto Sans"/>
        <family val="2"/>
      </rPr>
      <t>reserva</t>
    </r>
    <r>
      <rPr>
        <sz val="7"/>
        <color theme="1" tint="0.499984740745262"/>
        <rFont val="Noto Sans"/>
        <family val="2"/>
      </rPr>
      <t>: 5 to 6yrs in cask for blanco &amp; tinto</t>
    </r>
  </si>
  <si>
    <r>
      <rPr>
        <b/>
        <sz val="7"/>
        <color theme="1" tint="0.499984740745262"/>
        <rFont val="Noto Sans"/>
        <family val="2"/>
      </rPr>
      <t>grand reserva:</t>
    </r>
    <r>
      <rPr>
        <sz val="7"/>
        <color theme="1" tint="0.499984740745262"/>
        <rFont val="Noto Sans"/>
        <family val="2"/>
      </rPr>
      <t xml:space="preserve"> ~10yrs in cask for blanco &amp; tinto</t>
    </r>
  </si>
  <si>
    <t>(NB 10yrs is the legal MAX duration in Rioja Alta)</t>
  </si>
  <si>
    <t>LopezDeHeredia.com</t>
  </si>
  <si>
    <t>GROWER CODE: HEREDIA</t>
  </si>
  <si>
    <t>TORRE SAN MILLAN, aka</t>
  </si>
  <si>
    <t>23GORRE01TB</t>
  </si>
  <si>
    <t>GORREBUSTO</t>
  </si>
  <si>
    <t>25GORRE01</t>
  </si>
  <si>
    <t>Rioja Alavesa, Barriobusto village. 600m</t>
  </si>
  <si>
    <t>Martinez family, founded 1999. Now ~68ha</t>
  </si>
  <si>
    <r>
      <rPr>
        <b/>
        <sz val="8"/>
        <color rgb="FF00B050"/>
        <rFont val="Noto Sans"/>
        <family val="2"/>
      </rPr>
      <t>sustainable</t>
    </r>
    <r>
      <rPr>
        <sz val="8"/>
        <color theme="1" tint="0.14999847407452621"/>
        <rFont val="Noto Sans"/>
        <family val="2"/>
      </rPr>
      <t xml:space="preserve"> farming</t>
    </r>
  </si>
  <si>
    <r>
      <t xml:space="preserve">(white is </t>
    </r>
    <r>
      <rPr>
        <b/>
        <sz val="8"/>
        <color rgb="FF00B050"/>
        <rFont val="Noto Sans"/>
        <family val="2"/>
      </rPr>
      <t>Ⓥ Vegan compatible</t>
    </r>
    <r>
      <rPr>
        <sz val="8"/>
        <color theme="1" tint="0.14999847407452621"/>
        <rFont val="Noto Sans"/>
        <family val="2"/>
      </rPr>
      <t>)</t>
    </r>
  </si>
  <si>
    <t>Wine Enthusiast Top 100 Best Buys, 2014 (temp.)</t>
  </si>
  <si>
    <t>Bodega-TorreSanMillan.com</t>
  </si>
  <si>
    <t>GROWER CODE: GORRE</t>
  </si>
  <si>
    <t>BODEGAS TRITIUM</t>
  </si>
  <si>
    <t>17TRITIUM01</t>
  </si>
  <si>
    <t>Rioja Alta, Cenicero. Francisco Rubio El Largo</t>
  </si>
  <si>
    <t>450m altitude on clay-limestone</t>
  </si>
  <si>
    <t>tres vielles vignes (tvv) planted 1903</t>
  </si>
  <si>
    <r>
      <t xml:space="preserve">ambient yeast. </t>
    </r>
    <r>
      <rPr>
        <b/>
        <sz val="8"/>
        <color rgb="FF00B050"/>
        <rFont val="Noto Sans"/>
        <family val="2"/>
      </rPr>
      <t>No certification</t>
    </r>
  </si>
  <si>
    <t>these wines 2yr elevage in 500L French oak</t>
  </si>
  <si>
    <r>
      <t xml:space="preserve">unfined &amp; unfiltered; </t>
    </r>
    <r>
      <rPr>
        <b/>
        <sz val="8"/>
        <color rgb="FF00B050"/>
        <rFont val="Noto Sans"/>
        <family val="2"/>
      </rPr>
      <t>Ⓥ Vegan compatible</t>
    </r>
  </si>
  <si>
    <t>Tritium.es</t>
  </si>
  <si>
    <t>GROWER CODE: TRITIUM</t>
  </si>
  <si>
    <t>Spain, N: Navarra</t>
  </si>
  <si>
    <t>VINA ZORZAL X</t>
  </si>
  <si>
    <t>24NIEP39</t>
  </si>
  <si>
    <t>NIEPOORT COLLAB</t>
  </si>
  <si>
    <t>Navarra. Sanz family.</t>
  </si>
  <si>
    <t>NAT'COOL RULES:</t>
  </si>
  <si>
    <t>Nat'Cool 2020 is garnacha vv bush vines</t>
  </si>
  <si>
    <t>1. No rules</t>
  </si>
  <si>
    <t>2. Always respect the 1st rule</t>
  </si>
  <si>
    <t>3. Less is more</t>
  </si>
  <si>
    <t>4. Cooler = less alcohol, less extraction, less mess</t>
  </si>
  <si>
    <t>VinaZorzalWines.com</t>
  </si>
  <si>
    <t>5. Authentic, organic, cool attitude</t>
  </si>
  <si>
    <t>6. Cool price</t>
  </si>
  <si>
    <t>7. The incredible lightness of being</t>
  </si>
  <si>
    <t>Spain, NE: Catalonia (North to South)</t>
  </si>
  <si>
    <t>MAS DE LA BASSEROLA</t>
  </si>
  <si>
    <t>22MASBASS01</t>
  </si>
  <si>
    <t>Penedes, at Pla de Manlleu. 7ha @ 550m</t>
  </si>
  <si>
    <t>22MASBASS02</t>
  </si>
  <si>
    <t>Vives family. October harvest for 11-11.5%</t>
  </si>
  <si>
    <t>22MASBASS03</t>
  </si>
  <si>
    <t>ambient yeast; no adjustments; low SO2</t>
  </si>
  <si>
    <t>19MASBASS03</t>
  </si>
  <si>
    <t>Organic certified 2009 CCPAE</t>
  </si>
  <si>
    <t>2024 Basserola joins Corpinnat movement</t>
  </si>
  <si>
    <r>
      <t xml:space="preserve">2016 all production now </t>
    </r>
    <r>
      <rPr>
        <b/>
        <sz val="7"/>
        <color rgb="FF00B050"/>
        <rFont val="Noto Sans"/>
        <family val="2"/>
      </rPr>
      <t>Ⓥ Vegan compatible</t>
    </r>
  </si>
  <si>
    <r>
      <t xml:space="preserve">2009 </t>
    </r>
    <r>
      <rPr>
        <b/>
        <sz val="7"/>
        <color rgb="FF00B050"/>
        <rFont val="Noto Sans"/>
        <family val="2"/>
      </rPr>
      <t xml:space="preserve">Organic certified </t>
    </r>
  </si>
  <si>
    <t>2006 start biodynamics</t>
  </si>
  <si>
    <t>2001 start organic farming</t>
  </si>
  <si>
    <t>1843 founded</t>
  </si>
  <si>
    <t>MasdeLaBasserola.cat</t>
  </si>
  <si>
    <t>GROWER CODE: MASBASS</t>
  </si>
  <si>
    <t>CELLER VIA</t>
  </si>
  <si>
    <t>18JTRIAS01</t>
  </si>
  <si>
    <t>Alt Penedes, in Sant Cugat Sesgarrigues</t>
  </si>
  <si>
    <t>Josep (Pep) Tria Via, selection from 5ha</t>
  </si>
  <si>
    <t>Old 1926 Masia, resurrected in 2014</t>
  </si>
  <si>
    <t>Small-batch, wax finished artisan wine</t>
  </si>
  <si>
    <t>Macabeu 2016: 366btls from vinya Curteis</t>
  </si>
  <si>
    <t>tank ferment; 3mths elevage on lies in</t>
  </si>
  <si>
    <r>
      <rPr>
        <sz val="8"/>
        <color rgb="FF262626"/>
        <rFont val="Noto Sans"/>
        <family val="2"/>
      </rPr>
      <t xml:space="preserve">small French cask, aka </t>
    </r>
    <r>
      <rPr>
        <i/>
        <sz val="8"/>
        <color rgb="FF262626"/>
        <rFont val="Noto Sans"/>
        <family val="2"/>
      </rPr>
      <t>crianca en bota</t>
    </r>
  </si>
  <si>
    <t>Instagram.com/viaceller/</t>
  </si>
  <si>
    <t>ViaCeller.com</t>
  </si>
  <si>
    <t>GROWER CODE: JTRIAS</t>
  </si>
  <si>
    <r>
      <rPr>
        <b/>
        <sz val="7"/>
        <color rgb="FF808080"/>
        <rFont val="Noto Sans"/>
        <family val="2"/>
      </rPr>
      <t>Imma</t>
    </r>
    <r>
      <rPr>
        <sz val="7"/>
        <color rgb="FF808080"/>
        <rFont val="Noto Sans"/>
        <family val="2"/>
      </rPr>
      <t xml:space="preserve"> 'we make the wine we love to drink'</t>
    </r>
  </si>
  <si>
    <t>MAS DE LA PANSA</t>
  </si>
  <si>
    <t>WHITE - BLANC:</t>
  </si>
  <si>
    <t>Imma Soler; started production 2016</t>
  </si>
  <si>
    <t>24PANSA01</t>
  </si>
  <si>
    <t>Conca de Barbera &amp; Alt Camp zone vines</t>
  </si>
  <si>
    <t>18PANSA01</t>
  </si>
  <si>
    <t>2.3ha of old, local grape varieties</t>
  </si>
  <si>
    <t>ORANGE - BRISAT:</t>
  </si>
  <si>
    <t>Small-batch, wax finished artisan wines</t>
  </si>
  <si>
    <t>24PANSA02</t>
  </si>
  <si>
    <t>Viver des Celleristes, Barbera de La Conca</t>
  </si>
  <si>
    <t>RED - ROIG:</t>
  </si>
  <si>
    <t>18PANSA02</t>
  </si>
  <si>
    <t>Organic certified, CCPAE</t>
  </si>
  <si>
    <t>THE VINES &amp; WINES:</t>
  </si>
  <si>
    <t>PARELLADA: &lt;1ha 1956 VV gobelet trained @310m</t>
  </si>
  <si>
    <t>near Vila Rodona, Alt Camp zone on clay-limestone</t>
  </si>
  <si>
    <t>5 day cold soak, tank &amp; French cask ferment</t>
  </si>
  <si>
    <t>MACABEU: &lt;0.7ha 1960 VV gobelet-trained @312m</t>
  </si>
  <si>
    <t>with pebbles. 15 day macerate &amp; ferment in tank</t>
  </si>
  <si>
    <t>TREPAT: 0.6ha 1957 VV gobelet-trained @497m</t>
  </si>
  <si>
    <t>in Conca de Barbera zone on clay-limestone</t>
  </si>
  <si>
    <t>4week maceration, 6mths elevage in French casks</t>
  </si>
  <si>
    <t>MasDeLaPansa.com</t>
  </si>
  <si>
    <t>GROWER CODE: PANSA</t>
  </si>
  <si>
    <t>CLOS BERENGUER</t>
  </si>
  <si>
    <t>23CLOSB01</t>
  </si>
  <si>
    <t>El Molar, Priorat, Catalonia. 22ha</t>
  </si>
  <si>
    <t>21CLOSB02</t>
  </si>
  <si>
    <t>NB Seleccio is from Bellmunt</t>
  </si>
  <si>
    <t>17CLOSB03</t>
  </si>
  <si>
    <t>Francesc Berenguer, owner</t>
  </si>
  <si>
    <t>ClosBerenguer.com</t>
  </si>
  <si>
    <t>GROWER CODE: CLOSB</t>
  </si>
  <si>
    <t>CLOS PINELL</t>
  </si>
  <si>
    <t>TERRA ALTA:</t>
  </si>
  <si>
    <t>Terra Alta , South Catalonia. Base in Reus:</t>
  </si>
  <si>
    <t>25UNIO01</t>
  </si>
  <si>
    <t>this cellar in Vilalba dels Arcs</t>
  </si>
  <si>
    <t>21UNIO02</t>
  </si>
  <si>
    <t>All wines are grenache family</t>
  </si>
  <si>
    <t>25UNIO02</t>
  </si>
  <si>
    <t>NB no further discount on Terra Altas</t>
  </si>
  <si>
    <t>21UNIO01</t>
  </si>
  <si>
    <t>CellersUnio.com</t>
  </si>
  <si>
    <t>GROWER CODE: UNIO</t>
  </si>
  <si>
    <t>CELLERS TARRONÉ</t>
  </si>
  <si>
    <t>19TARRONE01</t>
  </si>
  <si>
    <t>Batea, Terra Alta. Estate founded 1942</t>
  </si>
  <si>
    <t>Mercedes Llop Galcerà &amp; team</t>
  </si>
  <si>
    <t>Organic certified CCPAE</t>
  </si>
  <si>
    <t>CellersTarrone.com</t>
  </si>
  <si>
    <t>GROWER CODE: TARRONE</t>
  </si>
  <si>
    <t>GANDESA</t>
  </si>
  <si>
    <t>09SOM01</t>
  </si>
  <si>
    <t>Terra Alta. 1000ha</t>
  </si>
  <si>
    <t>CoopGandesa.com</t>
  </si>
  <si>
    <t>GROWER CODE: SOM</t>
  </si>
  <si>
    <t>LES TALLADES</t>
  </si>
  <si>
    <t>MONTSANT:</t>
  </si>
  <si>
    <t>Montsant, South Catalonia. Base in Reus:</t>
  </si>
  <si>
    <t>21UNIO03</t>
  </si>
  <si>
    <t>this cellar is in Els Guiamets</t>
  </si>
  <si>
    <t>18UNIO03TB</t>
  </si>
  <si>
    <t>An unoaked blend of:</t>
  </si>
  <si>
    <t>grenache, merlot, tempranillo, carignan</t>
  </si>
  <si>
    <t>Spain, E: Valencia</t>
  </si>
  <si>
    <t>HISPANO+SUIZAS</t>
  </si>
  <si>
    <t>18HISP02</t>
  </si>
  <si>
    <t>Utiel-Requena, Valencia. 60ha. 400L barrels</t>
  </si>
  <si>
    <t>18HISP01</t>
  </si>
  <si>
    <t>BodegasHispanoSuizas.com</t>
  </si>
  <si>
    <t>14HISP02TB</t>
  </si>
  <si>
    <t>GROWER CODE: HISP</t>
  </si>
  <si>
    <t>Spain, S: Castilla-La Mancha</t>
  </si>
  <si>
    <t>ESENCIA RURAL</t>
  </si>
  <si>
    <t>BLANCO ECO/BIO - AIREN TVV:</t>
  </si>
  <si>
    <t>Julian Ruiz; Quero, La Mancha. 650m</t>
  </si>
  <si>
    <t>14RUIZ01VDP</t>
  </si>
  <si>
    <t>cellar founded 1999; 53ha vines</t>
  </si>
  <si>
    <t>TINTOS:</t>
  </si>
  <si>
    <t>polycultural farm</t>
  </si>
  <si>
    <t>17RUIZ02TB</t>
  </si>
  <si>
    <t>Organic certified Sohiscert</t>
  </si>
  <si>
    <t>14RUIZ02VDP</t>
  </si>
  <si>
    <r>
      <t>Ⓥ Vegan compatible</t>
    </r>
    <r>
      <rPr>
        <sz val="8"/>
        <color theme="1" tint="0.14999847407452621"/>
        <rFont val="Noto Sans"/>
        <family val="2"/>
      </rPr>
      <t>; ambient yeast</t>
    </r>
  </si>
  <si>
    <t>11RUIZ08VDP</t>
  </si>
  <si>
    <t>top wines unfiltered &amp; unsulphited</t>
  </si>
  <si>
    <r>
      <t xml:space="preserve">Espadan corks, </t>
    </r>
    <r>
      <rPr>
        <b/>
        <sz val="8"/>
        <color rgb="FF00B050"/>
        <rFont val="Noto Sans"/>
        <family val="2"/>
      </rPr>
      <t>FSC certified</t>
    </r>
  </si>
  <si>
    <r>
      <rPr>
        <b/>
        <sz val="8"/>
        <color theme="1" tint="0.14999847407452621"/>
        <rFont val="Noto Sans"/>
        <family val="2"/>
      </rPr>
      <t>eco/bio series:</t>
    </r>
    <r>
      <rPr>
        <sz val="8"/>
        <color theme="1" tint="0.14999847407452621"/>
        <rFont val="Noto Sans"/>
        <family val="2"/>
      </rPr>
      <t xml:space="preserve"> spot SO2 &amp; light filtration</t>
    </r>
  </si>
  <si>
    <r>
      <rPr>
        <b/>
        <sz val="8"/>
        <color theme="1" tint="0.14999847407452621"/>
        <rFont val="Noto Sans"/>
        <family val="2"/>
      </rPr>
      <t>natural series:</t>
    </r>
    <r>
      <rPr>
        <sz val="8"/>
        <color theme="1" tint="0.14999847407452621"/>
        <rFont val="Noto Sans"/>
        <family val="2"/>
      </rPr>
      <t xml:space="preserve"> zero added SO2</t>
    </r>
  </si>
  <si>
    <t>GROWER CODE: RUIZ</t>
  </si>
  <si>
    <t>Portugal, Acores / Azores</t>
  </si>
  <si>
    <t>NIEPOORT, VINHOS</t>
  </si>
  <si>
    <t>23NIEP26</t>
  </si>
  <si>
    <t>Verdelho, Arinto dos Açores, Terrantez do Pico</t>
  </si>
  <si>
    <t>22mths in stainless steel</t>
  </si>
  <si>
    <t>1st made 2020</t>
  </si>
  <si>
    <t>Portugal, Minho</t>
  </si>
  <si>
    <t xml:space="preserve">MONTINHO, QUINTA DO </t>
  </si>
  <si>
    <t>24PRIMORDIO02</t>
  </si>
  <si>
    <t>by Primordio Wines</t>
  </si>
  <si>
    <t>at Vila Verde, Vinho Verde region, by</t>
  </si>
  <si>
    <t>Neiva River, &amp; Parque Natural da Peneda-Geres</t>
  </si>
  <si>
    <t>Nuno Pinto &amp; family</t>
  </si>
  <si>
    <t>20ha North facing vines at 200m altitude</t>
  </si>
  <si>
    <t>1621 family origins; new winery 2020/21</t>
  </si>
  <si>
    <t>NB alvarinho is the same as albarino in Spanish</t>
  </si>
  <si>
    <t>QuintaDoMontinho.pt</t>
  </si>
  <si>
    <t>GROWER CODE: PRIMORDI</t>
  </si>
  <si>
    <t>24NIEP34</t>
  </si>
  <si>
    <t>Vino Verde</t>
  </si>
  <si>
    <t>Dirk Niepoort &amp; sons. 1st made 2011</t>
  </si>
  <si>
    <t>Lima valley, granite soils, loureiro grape</t>
  </si>
  <si>
    <t>Portugal, Douro</t>
  </si>
  <si>
    <t>KIND WORDS ON NIEPOORT WINES:</t>
  </si>
  <si>
    <r>
      <rPr>
        <b/>
        <sz val="7"/>
        <color theme="1" tint="0.499984740745262"/>
        <rFont val="Noto Sans"/>
        <family val="2"/>
      </rPr>
      <t>Jamie Goode, 2015</t>
    </r>
    <r>
      <rPr>
        <sz val="7"/>
        <color theme="1" tint="0.499984740745262"/>
        <rFont val="Noto Sans"/>
        <family val="2"/>
      </rPr>
      <t xml:space="preserve"> 'the Douro’s most exciting winery (one of the world’s most exciting wineries, for that matter)'</t>
    </r>
  </si>
  <si>
    <r>
      <t xml:space="preserve">Dirk, 2013 </t>
    </r>
    <r>
      <rPr>
        <sz val="7"/>
        <color theme="1" tint="0.499984740745262"/>
        <rFont val="Noto Sans"/>
        <family val="2"/>
      </rPr>
      <t>'I make what I want. Then I try to explain it to people. That's what I do.'</t>
    </r>
  </si>
  <si>
    <r>
      <rPr>
        <b/>
        <sz val="7"/>
        <color theme="1" tint="0.499984740745262"/>
        <rFont val="Noto Sans"/>
        <family val="2"/>
      </rPr>
      <t>Jamie Goode, 2011</t>
    </r>
    <r>
      <rPr>
        <sz val="7"/>
        <color theme="1" tint="0.499984740745262"/>
        <rFont val="Noto Sans"/>
        <family val="2"/>
      </rPr>
      <t xml:space="preserve"> 'one of the sharpest, most provocative and most thoughtful of all winemakers'</t>
    </r>
  </si>
  <si>
    <r>
      <rPr>
        <b/>
        <sz val="7"/>
        <color theme="1" tint="0.499984740745262"/>
        <rFont val="Noto Sans"/>
        <family val="2"/>
      </rPr>
      <t>TWA, 2007</t>
    </r>
    <r>
      <rPr>
        <sz val="7"/>
        <color theme="1" tint="0.499984740745262"/>
        <rFont val="Noto Sans"/>
        <family val="2"/>
      </rPr>
      <t xml:space="preserve"> 'Niepoort is one of the Douro’s iconic estates.'</t>
    </r>
  </si>
  <si>
    <r>
      <t xml:space="preserve">Mac Forbes, 2004 </t>
    </r>
    <r>
      <rPr>
        <sz val="7"/>
        <color theme="1" tint="0.499984740745262"/>
        <rFont val="Noto Sans"/>
        <family val="2"/>
      </rPr>
      <t>'he makes them (people) stop and re-evaluate everything...rethink all their preconceptions.'</t>
    </r>
  </si>
  <si>
    <r>
      <rPr>
        <b/>
        <sz val="7"/>
        <color theme="1" tint="0.499984740745262"/>
        <rFont val="Noto Sans"/>
        <family val="2"/>
      </rPr>
      <t>Michael Broadbent MW, 2002</t>
    </r>
    <r>
      <rPr>
        <sz val="7"/>
        <color theme="1" tint="0.499984740745262"/>
        <rFont val="Noto Sans"/>
        <family val="2"/>
      </rPr>
      <t> 'in their own way(s), brilliant'</t>
    </r>
  </si>
  <si>
    <t>NB ALL WINE DOURO UNLESS OTHERWISE STATED</t>
  </si>
  <si>
    <t>at QUINTA DE NAPOLES</t>
  </si>
  <si>
    <t>23NIEP37</t>
  </si>
  <si>
    <t>Dirk Niepoort &amp; sons. Douro</t>
  </si>
  <si>
    <t>BRANCO / WHITE:</t>
  </si>
  <si>
    <t xml:space="preserve">~60ha estate &amp; bought in grapes. Includes </t>
  </si>
  <si>
    <t>17NIEP05TB</t>
  </si>
  <si>
    <t>23NIEP32</t>
  </si>
  <si>
    <t>some Organic certified 2013 Sativa</t>
  </si>
  <si>
    <t>24NIEP36</t>
  </si>
  <si>
    <t>THE NIEPOORT TEAM (IN BRIEF):</t>
  </si>
  <si>
    <t>24NIEP14</t>
  </si>
  <si>
    <t>PRESIDENT: Dirk Niepoort</t>
  </si>
  <si>
    <t>24NIEP12</t>
  </si>
  <si>
    <t>HEAD WINEMAKER: Daniel Niepoort</t>
  </si>
  <si>
    <t>HEAD BLENDER: Jose Rodrigo Nougueira da Silva</t>
  </si>
  <si>
    <t>BRANCO / WHITE FLOR-AFFECTED:</t>
  </si>
  <si>
    <t>PORT WINEMAKER: Nick Delaforce</t>
  </si>
  <si>
    <t>22NIEP38</t>
  </si>
  <si>
    <t>DOURO WINEMAKER: Luis Pedro</t>
  </si>
  <si>
    <t>BRANCO / WHITE MAGNUMS:</t>
  </si>
  <si>
    <t>DAO &amp; BAIRRADA WINEMAKER: Sergio Silva</t>
  </si>
  <si>
    <t>21NIEP26MG</t>
  </si>
  <si>
    <t>MD: Jose Teles</t>
  </si>
  <si>
    <t>TINTO / RED HALVES:</t>
  </si>
  <si>
    <t>DESIGNER: Miguel Salazar (Lote D, Turris, Museu)</t>
  </si>
  <si>
    <t>DESIGNER: Regina Pessoa (Drink Me Kali)</t>
  </si>
  <si>
    <t>21NIEP09HF</t>
  </si>
  <si>
    <t>TIMELINE OF NEW RELEASES:</t>
  </si>
  <si>
    <t>21NIEP10HF</t>
  </si>
  <si>
    <t>2021 1st vintage of Vinha do Carril tinto</t>
  </si>
  <si>
    <t>TINTO / RED:</t>
  </si>
  <si>
    <t>2019 1st vintage of Ururabo blanco (flor affected)</t>
  </si>
  <si>
    <t>25NIEP05</t>
  </si>
  <si>
    <t>2018 1st vintage of Quinta de Napoles Tinto</t>
  </si>
  <si>
    <t>24NIEP23</t>
  </si>
  <si>
    <t>2018 1st vintage Museu dos Lagares 'GC'</t>
  </si>
  <si>
    <t>23NIEP29</t>
  </si>
  <si>
    <t>2017 1st release of Nat'Cool series</t>
  </si>
  <si>
    <t>22NIEP04</t>
  </si>
  <si>
    <t>2014 1st vintage Lote D, Bairrada</t>
  </si>
  <si>
    <t>23NIEP05</t>
  </si>
  <si>
    <r>
      <rPr>
        <sz val="7"/>
        <color theme="1" tint="0.499984740745262"/>
        <rFont val="Noto Sans"/>
        <family val="2"/>
      </rPr>
      <t>2013</t>
    </r>
    <r>
      <rPr>
        <b/>
        <sz val="7"/>
        <color theme="1" tint="0.499984740745262"/>
        <rFont val="Noto Sans"/>
        <family val="2"/>
      </rPr>
      <t xml:space="preserve"> </t>
    </r>
    <r>
      <rPr>
        <b/>
        <sz val="7"/>
        <color theme="1" tint="0.14999847407452621"/>
        <rFont val="Noto Sans"/>
        <family val="2"/>
      </rPr>
      <t>1st VINTAGE OF 'NEW STYLE' DOURO RED</t>
    </r>
  </si>
  <si>
    <t>23NIEP36</t>
  </si>
  <si>
    <t xml:space="preserve">2012 1st vintage of Quinta do Baixo label Bairrada </t>
  </si>
  <si>
    <t>15NIEP28TB</t>
  </si>
  <si>
    <t>2012 1st vintage of Turris (with signed artist label)</t>
  </si>
  <si>
    <t>18NIEP16</t>
  </si>
  <si>
    <t>2010 1st vintages Coche &amp; Baga PROJECTOS</t>
  </si>
  <si>
    <t>25NIEP09</t>
  </si>
  <si>
    <t>2009 1st vintage Niepoort-Navazos</t>
  </si>
  <si>
    <t>24NIEP21</t>
  </si>
  <si>
    <t>2004 1st vintage released of Robustus Tinto</t>
  </si>
  <si>
    <t>23NIEP24</t>
  </si>
  <si>
    <t>2004 1st vintage of Fabelhaft, aka Drink Me!</t>
  </si>
  <si>
    <t>19NIEP40</t>
  </si>
  <si>
    <t>2003 1st vintage Doda aka Dado</t>
  </si>
  <si>
    <t>25NIEP07</t>
  </si>
  <si>
    <t>2000 1st vintage Charme</t>
  </si>
  <si>
    <t>24NIEP45</t>
  </si>
  <si>
    <t>1999 1st vintages Redoma rosé &amp; Batuta</t>
  </si>
  <si>
    <t>24NIEP37</t>
  </si>
  <si>
    <t>1995 1st vintage Redoma Branco reserva</t>
  </si>
  <si>
    <t>24NIEP46</t>
  </si>
  <si>
    <t>1993 1st vintage Redoma Branco</t>
  </si>
  <si>
    <t>25NIEP11</t>
  </si>
  <si>
    <t xml:space="preserve">1991 1st table wine released: Redoma tinto </t>
  </si>
  <si>
    <t>24NIEP24</t>
  </si>
  <si>
    <t>1990 1st table wine Robustus made (not released)</t>
  </si>
  <si>
    <t>TINTO / RED FROM LAGARES:</t>
  </si>
  <si>
    <t>TIMELINE OF FAMILIES &amp; LAND:</t>
  </si>
  <si>
    <t>23NIEP15</t>
  </si>
  <si>
    <t>2020 6th gen. Daniel joins full time</t>
  </si>
  <si>
    <t>24NIEP35</t>
  </si>
  <si>
    <t>2018 Verena departs; Dirk takes control</t>
  </si>
  <si>
    <t>24NIEP17</t>
  </si>
  <si>
    <t>2017 Rolf Niepoort celebrates his 90th in March</t>
  </si>
  <si>
    <t>24NIEP15</t>
  </si>
  <si>
    <t>2011 Jose Nogueira retires</t>
  </si>
  <si>
    <t>21NIEP21</t>
  </si>
  <si>
    <r>
      <t xml:space="preserve">2010s 1st estate Ports &amp; wines </t>
    </r>
    <r>
      <rPr>
        <b/>
        <sz val="7"/>
        <color rgb="FF00B050"/>
        <rFont val="Noto Sans"/>
        <family val="2"/>
      </rPr>
      <t>Organic certified</t>
    </r>
  </si>
  <si>
    <t>TINTO / RED MAGNUMS:</t>
  </si>
  <si>
    <t>2007 new wine-making built at Q.do Napoles</t>
  </si>
  <si>
    <t>15NIEP32MTB</t>
  </si>
  <si>
    <t>2006 5th gen. blender José Rodrigo joins</t>
  </si>
  <si>
    <t>15NIEP34MTB</t>
  </si>
  <si>
    <t>2005 Rolf formally retired; Verena Niepoort joins</t>
  </si>
  <si>
    <t>2003 new Port-making facility at Vale do Mendiz</t>
  </si>
  <si>
    <t>SWEET 'WHITE':</t>
  </si>
  <si>
    <t>2003 Pisca vineyard purchased: 5ha ~80yrs old</t>
  </si>
  <si>
    <t>sw.f.o</t>
  </si>
  <si>
    <t>23NIEP19</t>
  </si>
  <si>
    <t>2000 Moscatel program restarted</t>
  </si>
  <si>
    <t>23NIEP03HF</t>
  </si>
  <si>
    <t>1995 6th gen Marco Niepoort born</t>
  </si>
  <si>
    <t>1992 6th gen. Daniel Niepoort born</t>
  </si>
  <si>
    <t>1988 Quinta do Carril purchased, vv retained</t>
  </si>
  <si>
    <t>1987 Quinta do Napoles purchased, vv retained</t>
  </si>
  <si>
    <t>1987 Dirk joined family business</t>
  </si>
  <si>
    <t>1980 Marius retired; Rolf took over</t>
  </si>
  <si>
    <t>1964 5th gen. (Eduard) Dirk van der Niepoort born</t>
  </si>
  <si>
    <t>1960 4th gen. blender José Nogueira joins</t>
  </si>
  <si>
    <t>1950 Rolf joined</t>
  </si>
  <si>
    <t>1927 4th gen. Rolf (Eduard Rudolf) Niepoort born</t>
  </si>
  <si>
    <t>1912 Marius took over</t>
  </si>
  <si>
    <t>1890 3rd gen. Marius Niepoort born in Porto</t>
  </si>
  <si>
    <t>1858 Kebe died: Franciscus became sole owner</t>
  </si>
  <si>
    <t>1847 Franciscus joined Kebe as partner</t>
  </si>
  <si>
    <t>1837/42 Eduard Kebe started Port house</t>
  </si>
  <si>
    <t>1813 Francis van der Niepoort born, Holland</t>
  </si>
  <si>
    <t>TIMELINE OF WINE AWARDS (IN BRIEF):</t>
  </si>
  <si>
    <t>2015 Turris 2013 is in Suckling's Top 100 WOTY</t>
  </si>
  <si>
    <t>2014 Robustus 2009 in Suckling's Top 100 WOTY</t>
  </si>
  <si>
    <t>2010 Redoma Br. is in Wine Enthusiast Top 100</t>
  </si>
  <si>
    <t xml:space="preserve">2008 Vertente is in Wine Spectator Top 100 </t>
  </si>
  <si>
    <t>2006 1st Wine &amp; Spirits Top 100, Winery of the Yr</t>
  </si>
  <si>
    <t>DouroBoys.com</t>
  </si>
  <si>
    <t>NB for Port see fortified below</t>
  </si>
  <si>
    <t>NB for Bairrada see Quinta do Baixo</t>
  </si>
  <si>
    <t>NB for Dao see Quinta da Lomba</t>
  </si>
  <si>
    <t>NB for Navazos see Spain, Andalucia</t>
  </si>
  <si>
    <t>Portugal, Bairrada</t>
  </si>
  <si>
    <t>QUINTA DO BAIXO by</t>
  </si>
  <si>
    <t>NIEPOORT VINHOS</t>
  </si>
  <si>
    <t>24NIEP38</t>
  </si>
  <si>
    <t>Bairrada; limestone near sea-level. 19ha</t>
  </si>
  <si>
    <t>20NIEP18</t>
  </si>
  <si>
    <t>22NIEP36JB</t>
  </si>
  <si>
    <r>
      <t>sustainable</t>
    </r>
    <r>
      <rPr>
        <sz val="8"/>
        <color theme="1" tint="0.14999847407452621"/>
        <rFont val="Noto Sans"/>
        <family val="2"/>
      </rPr>
      <t xml:space="preserve"> sources.</t>
    </r>
  </si>
  <si>
    <t>Start of BD on estate vines</t>
  </si>
  <si>
    <t>23NIEP30SM</t>
  </si>
  <si>
    <t>NAT'COOL BAGA TINTO / RED:</t>
  </si>
  <si>
    <t>reds are baga; white is Maria Gomes &amp; bical</t>
  </si>
  <si>
    <t>24NIEP40</t>
  </si>
  <si>
    <t>THE TEAM:</t>
  </si>
  <si>
    <t>25NIEP06</t>
  </si>
  <si>
    <t>23NIEP12</t>
  </si>
  <si>
    <t>BAGA TINTO - OLD VINE SELECTIONS:</t>
  </si>
  <si>
    <t>WINEMAKER: Sergio Silva</t>
  </si>
  <si>
    <t>24NIEP13</t>
  </si>
  <si>
    <t>VINES &amp; WINE: Miguel Silva</t>
  </si>
  <si>
    <t>21NIEP20</t>
  </si>
  <si>
    <t>22NIEP35JB</t>
  </si>
  <si>
    <r>
      <rPr>
        <sz val="7"/>
        <color rgb="FF808080"/>
        <rFont val="Noto Sans"/>
        <family val="2"/>
      </rPr>
      <t xml:space="preserve">2017 VV BRANCO &amp; Poeirinho </t>
    </r>
    <r>
      <rPr>
        <b/>
        <sz val="7"/>
        <color rgb="FF00B050"/>
        <rFont val="Noto Sans"/>
        <family val="2"/>
      </rPr>
      <t xml:space="preserve">Organic certified </t>
    </r>
  </si>
  <si>
    <t>2017 2ha pinot noir &amp; chardonnay planted for fizz</t>
  </si>
  <si>
    <t>2016 syrah &amp; merlot ripped</t>
  </si>
  <si>
    <t>2015 1st vintage of Caracolete orange wine</t>
  </si>
  <si>
    <t>2014 1st vintage of Lote D (tvv)</t>
  </si>
  <si>
    <t>2013 Goncalves Faria vines/label now made here</t>
  </si>
  <si>
    <t>2013 1st Vinhas Velhas (tvv) branco</t>
  </si>
  <si>
    <t>2012 Andrew &amp; Katie Lorand move to Baixo</t>
  </si>
  <si>
    <t>2012 1st Poerinho (tvv) &amp; syrah</t>
  </si>
  <si>
    <t>2011 - 2012 estate purchased</t>
  </si>
  <si>
    <t>2010 &amp; 2011 Baga PROJECTOS released</t>
  </si>
  <si>
    <t>facebook.com/Niepoort.Vinhos</t>
  </si>
  <si>
    <t>bagafriends.com</t>
  </si>
  <si>
    <t>often Wine &amp; Spirits Top 100, Winery of the Yr</t>
  </si>
  <si>
    <r>
      <t xml:space="preserve">Jamie Goode, 2017 </t>
    </r>
    <r>
      <rPr>
        <sz val="7"/>
        <color theme="1" tint="0.499984740745262"/>
        <rFont val="Noto Sans"/>
        <family val="2"/>
      </rPr>
      <t>'ONE OF PORTUGAL’S TREASURES'</t>
    </r>
  </si>
  <si>
    <r>
      <t xml:space="preserve">Jamie Goode, 2017 </t>
    </r>
    <r>
      <rPr>
        <sz val="7"/>
        <color theme="1" tint="0.499984740745262"/>
        <rFont val="Noto Sans"/>
        <family val="2"/>
      </rPr>
      <t>'One of the inside secrets of Portugal’s wine trade was for a long time the wines of Bussaco.'</t>
    </r>
  </si>
  <si>
    <r>
      <t xml:space="preserve">Matt Kramer, 2014 </t>
    </r>
    <r>
      <rPr>
        <sz val="7"/>
        <color theme="1" tint="0.499984740745262"/>
        <rFont val="Noto Sans"/>
        <family val="2"/>
      </rPr>
      <t>'The World’s Greatest House White'</t>
    </r>
  </si>
  <si>
    <r>
      <rPr>
        <b/>
        <sz val="7"/>
        <color theme="1" tint="0.499984740745262"/>
        <rFont val="Noto Sans"/>
        <family val="2"/>
      </rPr>
      <t xml:space="preserve">Karl Baedeker, 1908 </t>
    </r>
    <r>
      <rPr>
        <sz val="7"/>
        <color theme="1" tint="0.499984740745262"/>
        <rFont val="Noto Sans"/>
        <family val="2"/>
      </rPr>
      <t>'The royal domain of Bussaco vies with Sintra in natural beauty. In variety of trees and shrubs, the woods are without a rival</t>
    </r>
  </si>
  <si>
    <t>in Europe and the views ranging from the Atlantic to the Estrela mountain are as picturesque as they are extensive</t>
  </si>
  <si>
    <t>BUSSACO PALACE HOTEL</t>
  </si>
  <si>
    <t>BAIRRADA LABEL - NEW:</t>
  </si>
  <si>
    <t>PALACE HOTEL BUCACO</t>
  </si>
  <si>
    <t>24NIEP04</t>
  </si>
  <si>
    <t>Bussaco, Coimbra. Almeida family's hotel</t>
  </si>
  <si>
    <t>24NIEP03</t>
  </si>
  <si>
    <t>ex-palace of King Luis I, Queen Maria Pia</t>
  </si>
  <si>
    <t>24NIEP05</t>
  </si>
  <si>
    <t>BUCACO ROSADO/ROSÉ:</t>
  </si>
  <si>
    <r>
      <rPr>
        <b/>
        <sz val="7"/>
        <color theme="1" tint="0.499984740745262"/>
        <rFont val="Noto Sans"/>
        <family val="2"/>
      </rPr>
      <t>BRANCO</t>
    </r>
    <r>
      <rPr>
        <sz val="7"/>
        <color theme="1" tint="0.499984740745262"/>
        <rFont val="Noto Sans"/>
        <family val="2"/>
      </rPr>
      <t xml:space="preserve"> is encruzado (Dao), Maria-Gomes &amp;</t>
    </r>
  </si>
  <si>
    <t>23NIEP35</t>
  </si>
  <si>
    <t>Bical (Bairrada)</t>
  </si>
  <si>
    <t>22NIEP22MG</t>
  </si>
  <si>
    <r>
      <rPr>
        <b/>
        <sz val="7"/>
        <color theme="1" tint="0.499984740745262"/>
        <rFont val="Noto Sans"/>
        <family val="2"/>
      </rPr>
      <t>TINTO</t>
    </r>
    <r>
      <rPr>
        <sz val="7"/>
        <color theme="1" tint="0.499984740745262"/>
        <rFont val="Noto Sans"/>
        <family val="2"/>
      </rPr>
      <t xml:space="preserve"> is baga (Bairrada) &amp; touriga nacional (Dao)</t>
    </r>
  </si>
  <si>
    <t>BUCACO BRANCO/WHITE:</t>
  </si>
  <si>
    <r>
      <rPr>
        <b/>
        <sz val="7"/>
        <color theme="1" tint="0.499984740745262"/>
        <rFont val="Noto Sans"/>
        <family val="2"/>
      </rPr>
      <t>TINTO VM</t>
    </r>
    <r>
      <rPr>
        <sz val="7"/>
        <color theme="1" tint="0.499984740745262"/>
        <rFont val="Noto Sans"/>
        <family val="2"/>
      </rPr>
      <t xml:space="preserve"> is Bussaco's own Vina Mata at 500m</t>
    </r>
  </si>
  <si>
    <t>24NIEP26</t>
  </si>
  <si>
    <t>23NIEP34</t>
  </si>
  <si>
    <t>2021 Bucaco release new Bairrada range</t>
  </si>
  <si>
    <t>22NIEP13</t>
  </si>
  <si>
    <t>2017 1st vintage of Bucaco 'Mistico'</t>
  </si>
  <si>
    <t>21NIEP12</t>
  </si>
  <si>
    <t>2017 100th anniversary dinner at Bucaco</t>
  </si>
  <si>
    <t>24NIEP01</t>
  </si>
  <si>
    <t>2010 Raeburn are appointed UK importer</t>
  </si>
  <si>
    <t>22NIEP18</t>
  </si>
  <si>
    <t>2000 change to elevage in 300L French barrels</t>
  </si>
  <si>
    <t>22NIEP17</t>
  </si>
  <si>
    <t>1920 start of 'Chateau bottling' blended wines</t>
  </si>
  <si>
    <t>22NIEP15</t>
  </si>
  <si>
    <t>1917 palace becomes a hotel</t>
  </si>
  <si>
    <t>20NIEP22MG</t>
  </si>
  <si>
    <t>1888 - 1907 Royal palace constructed</t>
  </si>
  <si>
    <t>BUCACO TINTO/RED:</t>
  </si>
  <si>
    <t>1885 most of monastery demolished</t>
  </si>
  <si>
    <t>24NIEP25</t>
  </si>
  <si>
    <t>1873 monument to Battle of Bussaco built</t>
  </si>
  <si>
    <t>23NIEP33</t>
  </si>
  <si>
    <t>1850 gardens given to Forestry Commission</t>
  </si>
  <si>
    <t>24NIEP02</t>
  </si>
  <si>
    <t>1834 monastery dissolved following civil war</t>
  </si>
  <si>
    <t>14NIEP32TB</t>
  </si>
  <si>
    <t>1810 Battle of Bussaco, 1st of the Napoleonic wars</t>
  </si>
  <si>
    <t>22NIEP20</t>
  </si>
  <si>
    <t>1628 land given to Barefoot Carmelites</t>
  </si>
  <si>
    <t>22NIEP19</t>
  </si>
  <si>
    <t>palacehoteldobussaco.com</t>
  </si>
  <si>
    <t>22NIEP21MG</t>
  </si>
  <si>
    <t>GONÇALVES FARIA, by</t>
  </si>
  <si>
    <t>18NIEP15</t>
  </si>
  <si>
    <t>NIEPOORT AT BAIXO</t>
  </si>
  <si>
    <t>Bairrada. ~70yr old baga vines at sea level</t>
  </si>
  <si>
    <t>founded by father Antonio Maria GF</t>
  </si>
  <si>
    <t>vineyards now managed by son João Pedro</t>
  </si>
  <si>
    <t>Portugal, Dao</t>
  </si>
  <si>
    <t>QUINTA DA LOMBA by</t>
  </si>
  <si>
    <t>Dao. 5ha VV + negoce. 600-900m on granite</t>
  </si>
  <si>
    <r>
      <t>sustainable</t>
    </r>
    <r>
      <rPr>
        <sz val="8"/>
        <color theme="1" tint="0.14999847407452621"/>
        <rFont val="Noto Sans"/>
        <family val="2"/>
      </rPr>
      <t xml:space="preserve"> &amp; </t>
    </r>
    <r>
      <rPr>
        <b/>
        <sz val="8"/>
        <color rgb="FF00B050"/>
        <rFont val="Noto Sans"/>
        <family val="2"/>
      </rPr>
      <t>Organic certified 2013 Sativa</t>
    </r>
  </si>
  <si>
    <t>24NIEP48</t>
  </si>
  <si>
    <t>estate; start of BD on estate vines</t>
  </si>
  <si>
    <t>24NIEP49</t>
  </si>
  <si>
    <t>ambient yeast; modest SO2; unfined unfiltered</t>
  </si>
  <si>
    <r>
      <rPr>
        <b/>
        <sz val="7"/>
        <color theme="1" tint="0.499984740745262"/>
        <rFont val="Noto Sans"/>
        <family val="2"/>
      </rPr>
      <t>Rotulo:</t>
    </r>
    <r>
      <rPr>
        <sz val="7"/>
        <color theme="1" tint="0.499984740745262"/>
        <rFont val="Noto Sans"/>
        <family val="2"/>
      </rPr>
      <t xml:space="preserve"> Touriga Nacional, Jaen, Tinta Pinheira and </t>
    </r>
  </si>
  <si>
    <t>Alfrocheiro, 30 to 80yrs, 500-600m. Cement raised</t>
  </si>
  <si>
    <r>
      <t xml:space="preserve">Conciso BRANCO: </t>
    </r>
    <r>
      <rPr>
        <sz val="7"/>
        <color theme="1" tint="0.499984740745262"/>
        <rFont val="Noto Sans"/>
        <family val="2"/>
      </rPr>
      <t>60-100yr vines at 600m of</t>
    </r>
  </si>
  <si>
    <t>bical, malvasia &amp; encruzado. Granite tank ferment</t>
  </si>
  <si>
    <t>20mths elevage in 500L used French casks</t>
  </si>
  <si>
    <r>
      <rPr>
        <b/>
        <sz val="7"/>
        <color theme="1" tint="0.499984740745262"/>
        <rFont val="Noto Sans"/>
        <family val="2"/>
      </rPr>
      <t>Conciso TINTO:</t>
    </r>
    <r>
      <rPr>
        <sz val="7"/>
        <color theme="1" tint="0.499984740745262"/>
        <rFont val="Noto Sans"/>
        <family val="2"/>
      </rPr>
      <t xml:space="preserve"> 80-100+ yr baga, jaen, etc.at 600m</t>
    </r>
  </si>
  <si>
    <r>
      <t xml:space="preserve">E facing on Serra da Estrela. </t>
    </r>
    <r>
      <rPr>
        <b/>
        <sz val="7"/>
        <color rgb="FF00B050"/>
        <rFont val="Noto Sans"/>
        <family val="2"/>
      </rPr>
      <t>Organic certified</t>
    </r>
  </si>
  <si>
    <t>lagar fermented; 20-50% stems; aged in 25hl cask</t>
  </si>
  <si>
    <r>
      <t xml:space="preserve">2018 Conciso Tinto now </t>
    </r>
    <r>
      <rPr>
        <b/>
        <sz val="7"/>
        <color rgb="FF00B050"/>
        <rFont val="Noto Sans"/>
        <family val="2"/>
      </rPr>
      <t>Organic certified</t>
    </r>
  </si>
  <si>
    <t>2014 &amp; onwards, wine made at Lomba. 1st white</t>
  </si>
  <si>
    <t>2014 200yr old Quinta da Lomba purchased</t>
  </si>
  <si>
    <t>2012-13 1st vintages made at Baixo &amp; Pellada</t>
  </si>
  <si>
    <t>en-gb.facebook.com/Niepoort.Vinhos/</t>
  </si>
  <si>
    <t>Portugal, Colares</t>
  </si>
  <si>
    <r>
      <rPr>
        <b/>
        <sz val="7"/>
        <color theme="1" tint="0.499984740745262"/>
        <rFont val="Noto Sans"/>
        <family val="2"/>
      </rPr>
      <t>Daniel Afonso, 2012</t>
    </r>
    <r>
      <rPr>
        <sz val="7"/>
        <color theme="1" tint="0.499984740745262"/>
        <rFont val="Noto Sans"/>
        <family val="2"/>
      </rPr>
      <t xml:space="preserve"> 'Estes vinhos foram o concretizar de um sonho bem antigo, que começou a ser realizado em 2012, com a plantação da minha primeira vinha.'</t>
    </r>
  </si>
  <si>
    <t>BAIAS E ENSEADAS</t>
  </si>
  <si>
    <t>aka 'B&amp;E.' Means Bays &amp; Coves</t>
  </si>
  <si>
    <t>23BAIAS02</t>
  </si>
  <si>
    <t>Daniel Afonso. 0.8ha vines, cover cropped</t>
  </si>
  <si>
    <t>22BAIAS01</t>
  </si>
  <si>
    <r>
      <t xml:space="preserve">on clay-limestone (hence </t>
    </r>
    <r>
      <rPr>
        <i/>
        <sz val="8"/>
        <color theme="1" tint="0.14999847407452621"/>
        <rFont val="Noto Sans"/>
        <family val="2"/>
      </rPr>
      <t>not</t>
    </r>
    <r>
      <rPr>
        <sz val="8"/>
        <color theme="1" tint="0.14999847407452621"/>
        <rFont val="Noto Sans"/>
        <family val="2"/>
      </rPr>
      <t xml:space="preserve"> Colares)</t>
    </r>
  </si>
  <si>
    <t>21BAIAS01</t>
  </si>
  <si>
    <r>
      <t>ambient yeast; whites</t>
    </r>
    <r>
      <rPr>
        <b/>
        <sz val="8"/>
        <color rgb="FF00B050"/>
        <rFont val="Noto Sans"/>
        <family val="2"/>
      </rPr>
      <t xml:space="preserve"> Ⓥ Vegan compatible </t>
    </r>
  </si>
  <si>
    <t>24BAIAS03</t>
  </si>
  <si>
    <t>6mths elevage in used casks</t>
  </si>
  <si>
    <t>23BAIAS04</t>
  </si>
  <si>
    <r>
      <rPr>
        <i/>
        <sz val="8"/>
        <color theme="1" tint="0.14999847407452621"/>
        <rFont val="Noto Sans"/>
        <family val="2"/>
      </rPr>
      <t>escolha pessoal</t>
    </r>
    <r>
      <rPr>
        <sz val="8"/>
        <color theme="1" tint="0.14999847407452621"/>
        <rFont val="Noto Sans"/>
        <family val="2"/>
      </rPr>
      <t xml:space="preserve"> means personal selection</t>
    </r>
  </si>
  <si>
    <t>21BAIAS03</t>
  </si>
  <si>
    <t>23BAIAS05</t>
  </si>
  <si>
    <t>2016 1st harvest, 1st estate wines released</t>
  </si>
  <si>
    <t>BRANCO / WHITE 'EP' (ESCOLHA PESSOAL) TOP SERIES:</t>
  </si>
  <si>
    <t>2013 - 2014 2nd wave plantings</t>
  </si>
  <si>
    <t>23BAIAS03</t>
  </si>
  <si>
    <t>2013 drainage put into Codiceira site</t>
  </si>
  <si>
    <t>24BAIAS01</t>
  </si>
  <si>
    <t>2012 1st vines go in</t>
  </si>
  <si>
    <t>23BAIAS01</t>
  </si>
  <si>
    <t>facebook.com/baiaseenseadas/</t>
  </si>
  <si>
    <t>24BAIAS04</t>
  </si>
  <si>
    <t>instagram.com/baiaseenseadas/</t>
  </si>
  <si>
    <t>23BAIAS07</t>
  </si>
  <si>
    <t>24BAIAS02</t>
  </si>
  <si>
    <t>GROWER CODE: BAIAS</t>
  </si>
  <si>
    <t>22BAIAS02</t>
  </si>
  <si>
    <t>22BAIAS02MG</t>
  </si>
  <si>
    <t>TINTO:</t>
  </si>
  <si>
    <t>24BAIAS05</t>
  </si>
  <si>
    <t>23BAIAS08</t>
  </si>
  <si>
    <t>22BAIAS04</t>
  </si>
  <si>
    <t>21BAIAS02</t>
  </si>
  <si>
    <t>TINTO / RED EP (ESCOLHA PESSOAL) SERIES:</t>
  </si>
  <si>
    <t>23BAIAS09</t>
  </si>
  <si>
    <t>'ARMAZEM DE VINHOS VIUVA GOMES - 1808'</t>
  </si>
  <si>
    <t>VIUVA GOMES</t>
  </si>
  <si>
    <t>COLARES TINTO - RAMISCO:</t>
  </si>
  <si>
    <t>Colares. Cellar at Almocageme</t>
  </si>
  <si>
    <t>20NIEP25</t>
  </si>
  <si>
    <t>José (father) &amp; Diogo (son) Baeta. ~2.5ha</t>
  </si>
  <si>
    <r>
      <rPr>
        <sz val="8"/>
        <color theme="1"/>
        <rFont val="Noto Sans"/>
        <family val="2"/>
      </rPr>
      <t>ungrafted vines in s</t>
    </r>
    <r>
      <rPr>
        <sz val="8"/>
        <color theme="1" tint="0.14999847407452621"/>
        <rFont val="Noto Sans"/>
        <family val="2"/>
      </rPr>
      <t>ands. Max 22-26hl/ha</t>
    </r>
  </si>
  <si>
    <t>2019 1st crop from new ungrafted plantings</t>
  </si>
  <si>
    <t>2019: 2012 &amp; 2013 reds are bottled</t>
  </si>
  <si>
    <t>1988 Baeta family purchase cellars &amp; stocks</t>
  </si>
  <si>
    <t>1974-1988 Viuva Gomes production ceases</t>
  </si>
  <si>
    <t>1934-1994 ALL Colares is fermented at coop</t>
  </si>
  <si>
    <t>1908 Colares DO founded</t>
  </si>
  <si>
    <t>1808 cellar founded by Gomes da Silva</t>
  </si>
  <si>
    <r>
      <rPr>
        <b/>
        <sz val="7"/>
        <color theme="1" tint="0.499984740745262"/>
        <rFont val="Noto Sans"/>
        <family val="2"/>
      </rPr>
      <t>BRANCO:</t>
    </r>
    <r>
      <rPr>
        <sz val="7"/>
        <color theme="1" tint="0.499984740745262"/>
        <rFont val="Noto Sans"/>
        <family val="2"/>
      </rPr>
      <t xml:space="preserve"> malvasia de Colares, ~70yrs, ungrafted, </t>
    </r>
  </si>
  <si>
    <t>50-200m from sea, tank fermented, barrel aged</t>
  </si>
  <si>
    <r>
      <rPr>
        <b/>
        <sz val="7"/>
        <color theme="1" tint="0.499984740745262"/>
        <rFont val="Noto Sans"/>
        <family val="2"/>
      </rPr>
      <t>TINTO: 100%</t>
    </r>
    <r>
      <rPr>
        <sz val="7"/>
        <color theme="1" tint="0.499984740745262"/>
        <rFont val="Noto Sans"/>
        <family val="2"/>
      </rPr>
      <t xml:space="preserve"> ungrafted ramisco. 2yrs French futs,</t>
    </r>
  </si>
  <si>
    <t>5yrs in large mahogany casks</t>
  </si>
  <si>
    <t>AdegaViuvaGomes.com</t>
  </si>
  <si>
    <t>Portugal, Alentejo</t>
  </si>
  <si>
    <t>VITOR &amp; RITA CLARO</t>
  </si>
  <si>
    <t>12NIEP33VDP</t>
  </si>
  <si>
    <t>Started 2010 as a side project by Chef Vitor</t>
  </si>
  <si>
    <t>Portalegre, ~750m altitude, North Alentejo,</t>
  </si>
  <si>
    <t>Serra de São Mamede</t>
  </si>
  <si>
    <t>SEMPAR, by</t>
  </si>
  <si>
    <t>24NIEP22</t>
  </si>
  <si>
    <t>Portalegre, Alentejo. 1st made 2017</t>
  </si>
  <si>
    <t>VV at 600-700m altitude on schist &amp; granite</t>
  </si>
  <si>
    <t>Ferment and 36mths elevage in concrete 'amphoras'</t>
  </si>
  <si>
    <t>Austria, Wachau</t>
  </si>
  <si>
    <t>KIND WORDS ON PICHLER-KRUTZLER:</t>
  </si>
  <si>
    <r>
      <rPr>
        <b/>
        <sz val="7"/>
        <color theme="1" tint="0.499984740745262"/>
        <rFont val="Noto Sans"/>
        <family val="2"/>
      </rPr>
      <t>S.Reinhardt, TWA 2022</t>
    </r>
    <r>
      <rPr>
        <sz val="7"/>
        <color theme="1" tint="0.499984740745262"/>
        <rFont val="Noto Sans"/>
        <family val="2"/>
      </rPr>
      <t xml:space="preserve"> 'The quality of the wines...remains undeniably high, even in 2021, a vintage that combines the ripeness of 2019 with the acidity</t>
    </r>
  </si>
  <si>
    <t>of 2010 or even 2014. However, the extracts—and therefore the internal density—are higher in the new wines, whose alcohol levels range between a</t>
  </si>
  <si>
    <t>moderate 12% and 13.5%. As always in recent years, the Alte Reben selection from Pfaffenberg is one of the estate's most impressive wines, led by the</t>
  </si>
  <si>
    <t>superb 2020. But the 2021 Rieslings from Loibenberg and Kellerberg are also fabulous and among the finest wines produced this year in the Wachau.'</t>
  </si>
  <si>
    <r>
      <t>S.Reinhardt, TWA 2020</t>
    </r>
    <r>
      <rPr>
        <sz val="7"/>
        <color theme="1" tint="0.499984740745262"/>
        <rFont val="Noto Sans"/>
        <family val="2"/>
      </rPr>
      <t xml:space="preserve"> 'The resulting wines are terrific again, with structure, grip and tension...2018 is a great vintage for Pichler-Krutzler and is</t>
    </r>
  </si>
  <si>
    <t>further establishing the domain among the best along the Danube River.'</t>
  </si>
  <si>
    <r>
      <t>S.Reinhardt, TWA 2020</t>
    </r>
    <r>
      <rPr>
        <sz val="7"/>
        <color theme="1" tint="0.499984740745262"/>
        <rFont val="Noto Sans"/>
        <family val="2"/>
      </rPr>
      <t xml:space="preserve"> 'Pfaffenberg Grüner AR (&amp;) Riesling prove once again that the site is one of the most exciting...of the former Wachau, today Kremstal.'</t>
    </r>
  </si>
  <si>
    <r>
      <rPr>
        <b/>
        <sz val="7"/>
        <color theme="1" tint="0.499984740745262"/>
        <rFont val="Noto Sans"/>
        <family val="2"/>
      </rPr>
      <t>S.Reinhardt, TWA 2018</t>
    </r>
    <r>
      <rPr>
        <sz val="7"/>
        <color theme="1" tint="0.499984740745262"/>
        <rFont val="Noto Sans"/>
        <family val="2"/>
      </rPr>
      <t xml:space="preserve"> 'another excellent series' (on 2017s)</t>
    </r>
  </si>
  <si>
    <r>
      <rPr>
        <b/>
        <sz val="7"/>
        <color theme="1" tint="0.499984740745262"/>
        <rFont val="Noto Sans"/>
        <family val="2"/>
      </rPr>
      <t>S.Reinhardt, TWA 2017</t>
    </r>
    <r>
      <rPr>
        <sz val="7"/>
        <color theme="1" tint="0.499984740745262"/>
        <rFont val="Noto Sans"/>
        <family val="2"/>
      </rPr>
      <t xml:space="preserve"> 'with peers Lucas Pichler and, most of all, Pichler-Krutzler...the very best...in the Wachau' (on Prager)</t>
    </r>
  </si>
  <si>
    <r>
      <rPr>
        <b/>
        <sz val="7"/>
        <color theme="1" tint="0.499984740745262"/>
        <rFont val="Noto Sans"/>
        <family val="2"/>
      </rPr>
      <t>D.Schildknecht, TWA 2014</t>
    </r>
    <r>
      <rPr>
        <sz val="7"/>
        <color theme="1" tint="0.499984740745262"/>
        <rFont val="Noto Sans"/>
        <family val="2"/>
      </rPr>
      <t xml:space="preserve"> 'Elisabeth &amp; Erich continue to hone their distinctive style as well as to freely and intuitively experiment,</t>
    </r>
  </si>
  <si>
    <t>unencumbered by local habit or by the structure of the Vinea Wachau'</t>
  </si>
  <si>
    <r>
      <rPr>
        <b/>
        <sz val="7"/>
        <color theme="1" tint="0.499984740745262"/>
        <rFont val="Noto Sans"/>
        <family val="2"/>
      </rPr>
      <t>D.Schildknecht, TWA 2014</t>
    </r>
    <r>
      <rPr>
        <sz val="7"/>
        <color theme="1" tint="0.499984740745262"/>
        <rFont val="Noto Sans"/>
        <family val="2"/>
      </rPr>
      <t xml:space="preserve"> 'Pichler and Krutzler continue to build their vine surface via some extremely savvy and lucky site selections, </t>
    </r>
  </si>
  <si>
    <t>their technical capabilities are being enhanced as well.'</t>
  </si>
  <si>
    <t>PICHLER-KRUTZLER, by</t>
  </si>
  <si>
    <t>PINOT BLANC aka WEISSBURGUNDER:</t>
  </si>
  <si>
    <t>Elisabeth &amp; Erich PK</t>
  </si>
  <si>
    <t>22PKRUTZ04</t>
  </si>
  <si>
    <t>Elisabeth Pichler &amp; Erich Krutzler.</t>
  </si>
  <si>
    <t>21PKRUTZ05</t>
  </si>
  <si>
    <t>~14ha total in dozens of parcels. 7ha estate</t>
  </si>
  <si>
    <t>19PKRUTZ01</t>
  </si>
  <si>
    <t>Lisl is F.X.' daughter, Erich from Burgenland</t>
  </si>
  <si>
    <t>18PKRUTZ03</t>
  </si>
  <si>
    <t>Oberloiben, Wachau. Sustainable farming</t>
  </si>
  <si>
    <t>GRUNER VELTINER - 'FRESH' SERIES:</t>
  </si>
  <si>
    <t xml:space="preserve">ambient yeast, esp. when barrel fermented </t>
  </si>
  <si>
    <t>23PKRUTZ01</t>
  </si>
  <si>
    <t>casks are Stockinger 600/900/1200/1500L</t>
  </si>
  <si>
    <t>22PKRUTZ01</t>
  </si>
  <si>
    <t>skin contact in top wines of 1-3 days</t>
  </si>
  <si>
    <t>no mlf in riesling; randomly in gruner</t>
  </si>
  <si>
    <t>GRUNER VELTINER - 'SKIN' SERIES:</t>
  </si>
  <si>
    <t>Organic certified Lacon</t>
  </si>
  <si>
    <r>
      <t>w/</t>
    </r>
    <r>
      <rPr>
        <b/>
        <sz val="7"/>
        <color theme="9"/>
        <rFont val="Noto Sans"/>
        <family val="2"/>
      </rPr>
      <t>o</t>
    </r>
  </si>
  <si>
    <t>23PKRUTZ09</t>
  </si>
  <si>
    <t>GRUNER VELTLINER - 'SERIOUS' SERIES:</t>
  </si>
  <si>
    <t>TWO MAIN SERIES OF WINES:</t>
  </si>
  <si>
    <t>18PKRUTZ02</t>
  </si>
  <si>
    <r>
      <rPr>
        <b/>
        <sz val="7"/>
        <color theme="1" tint="0.499984740745262"/>
        <rFont val="Noto Sans"/>
        <family val="2"/>
      </rPr>
      <t>'Fresh' series</t>
    </r>
    <r>
      <rPr>
        <sz val="7"/>
        <color theme="1" tint="0.499984740745262"/>
        <rFont val="Noto Sans"/>
        <family val="2"/>
      </rPr>
      <t>: direct pressed, tank fermented,</t>
    </r>
  </si>
  <si>
    <t>14PKRUTZ02</t>
  </si>
  <si>
    <t>Spring bottling, screw cap. Federspiel equivalent</t>
  </si>
  <si>
    <t>23PKRUTZ02</t>
  </si>
  <si>
    <t>(NB flatter sites for GV, steepest sites for Riesling)</t>
  </si>
  <si>
    <t>22PKRUTZ02</t>
  </si>
  <si>
    <r>
      <rPr>
        <b/>
        <sz val="7"/>
        <color theme="1" tint="0.499984740745262"/>
        <rFont val="Noto Sans"/>
        <family val="2"/>
      </rPr>
      <t>'Serious' series</t>
    </r>
    <r>
      <rPr>
        <sz val="7"/>
        <color theme="1" tint="0.499984740745262"/>
        <rFont val="Noto Sans"/>
        <family val="2"/>
      </rPr>
      <t xml:space="preserve">: spot of maceration pelliculaire, </t>
    </r>
  </si>
  <si>
    <t>21PKRUTZ01</t>
  </si>
  <si>
    <t xml:space="preserve">mostly cask fermented, ambient yeast, 1yr elevage, </t>
  </si>
  <si>
    <t>23PKRUTZ03</t>
  </si>
  <si>
    <t>clarification only if needed, natural cork. Smaragd-</t>
  </si>
  <si>
    <t>21PKRUTZ03</t>
  </si>
  <si>
    <t>equivalent. Classic bench and terraced sites</t>
  </si>
  <si>
    <t>20PKRUTZ02</t>
  </si>
  <si>
    <t>18PKRUTZ06</t>
  </si>
  <si>
    <r>
      <rPr>
        <b/>
        <sz val="7"/>
        <color theme="1" tint="0.499984740745262"/>
        <rFont val="Noto Sans"/>
        <family val="2"/>
      </rPr>
      <t>Steiner Pfaffenberg</t>
    </r>
    <r>
      <rPr>
        <sz val="7"/>
        <color theme="1" tint="0.499984740745262"/>
        <rFont val="Noto Sans"/>
        <family val="2"/>
      </rPr>
      <t>:</t>
    </r>
    <r>
      <rPr>
        <sz val="6.5"/>
        <color theme="1" tint="0.499984740745262"/>
        <rFont val="Noto Sans"/>
        <family val="2"/>
      </rPr>
      <t xml:space="preserve"> 400m plateau in Kremstal</t>
    </r>
  </si>
  <si>
    <t>17PKRUTZ02</t>
  </si>
  <si>
    <t>over the steep terraces; riesling is 40-45y/o. GV AR &amp;</t>
  </si>
  <si>
    <t>16PKRUTZ07</t>
  </si>
  <si>
    <t>riesling AR planted early 50s; made since 2012</t>
  </si>
  <si>
    <t>14PKRUTZ03</t>
  </si>
  <si>
    <r>
      <rPr>
        <b/>
        <sz val="7"/>
        <color theme="1" tint="0.499984740745262"/>
        <rFont val="Noto Sans"/>
        <family val="2"/>
      </rPr>
      <t>Durnsteiner Supperin</t>
    </r>
    <r>
      <rPr>
        <sz val="7"/>
        <color theme="1" tint="0.499984740745262"/>
        <rFont val="Noto Sans"/>
        <family val="2"/>
      </rPr>
      <t>:</t>
    </r>
    <r>
      <rPr>
        <sz val="6.5"/>
        <color theme="1" tint="0.499984740745262"/>
        <rFont val="Noto Sans"/>
        <family val="2"/>
      </rPr>
      <t xml:space="preserve"> gentle slope below village</t>
    </r>
  </si>
  <si>
    <t>23PKRUTZ04</t>
  </si>
  <si>
    <t>gruner is 40-45y/o; 1st mentioned 1493AD</t>
  </si>
  <si>
    <t>22PKRUTZ03</t>
  </si>
  <si>
    <t>cask ferment</t>
  </si>
  <si>
    <t>21PKRUTZ04</t>
  </si>
  <si>
    <r>
      <rPr>
        <b/>
        <sz val="7"/>
        <color theme="1" tint="0.499984740745262"/>
        <rFont val="Noto Sans"/>
        <family val="2"/>
      </rPr>
      <t>Durnsteiner In der Wand</t>
    </r>
    <r>
      <rPr>
        <sz val="7"/>
        <color theme="1" tint="0.499984740745262"/>
        <rFont val="Noto Sans"/>
        <family val="2"/>
      </rPr>
      <t xml:space="preserve">: </t>
    </r>
    <r>
      <rPr>
        <sz val="6.5"/>
        <color theme="1" tint="0.499984740745262"/>
        <rFont val="Noto Sans"/>
        <family val="2"/>
      </rPr>
      <t>steep terraces 230m+</t>
    </r>
  </si>
  <si>
    <t>20PKRUTZ03</t>
  </si>
  <si>
    <t>riesling is 25-30y/o; 1st mentioned 1314AD</t>
  </si>
  <si>
    <t>19PKRUTZ03</t>
  </si>
  <si>
    <r>
      <rPr>
        <b/>
        <sz val="7"/>
        <color theme="1" tint="0.499984740745262"/>
        <rFont val="Noto Sans"/>
        <family val="2"/>
      </rPr>
      <t>Durnsteiner Kellerberg</t>
    </r>
    <r>
      <rPr>
        <sz val="6.5"/>
        <color theme="1" tint="0.499984740745262"/>
        <rFont val="Noto Sans"/>
        <family val="2"/>
      </rPr>
      <t xml:space="preserve"> (ex-Wunderberg): E.facing</t>
    </r>
  </si>
  <si>
    <t>17PKRUTZ08</t>
  </si>
  <si>
    <t>terraces 240-310m; gruner is 40-45y/o; cask ferment</t>
  </si>
  <si>
    <t>16PKRUTZ09</t>
  </si>
  <si>
    <r>
      <rPr>
        <b/>
        <sz val="7"/>
        <color theme="1" tint="0.499984740745262"/>
        <rFont val="Noto Sans"/>
        <family val="2"/>
      </rPr>
      <t>Loibner Klostersatz</t>
    </r>
    <r>
      <rPr>
        <sz val="7"/>
        <color theme="1" tint="0.499984740745262"/>
        <rFont val="Noto Sans"/>
        <family val="2"/>
      </rPr>
      <t>:</t>
    </r>
    <r>
      <rPr>
        <sz val="6.5"/>
        <color theme="1" tint="0.499984740745262"/>
        <rFont val="Noto Sans"/>
        <family val="2"/>
      </rPr>
      <t xml:space="preserve"> warm, flat site by village</t>
    </r>
  </si>
  <si>
    <t>15PKRUTZ04</t>
  </si>
  <si>
    <t>at 215m; gruner is 20-40y/o; 1st mention 860AD</t>
  </si>
  <si>
    <t>14PKRUTZ07</t>
  </si>
  <si>
    <r>
      <rPr>
        <b/>
        <sz val="7"/>
        <color theme="1" tint="0.499984740745262"/>
        <rFont val="Noto Sans"/>
        <family val="2"/>
      </rPr>
      <t>Loibner Loibenberg</t>
    </r>
    <r>
      <rPr>
        <sz val="7"/>
        <color theme="1" tint="0.499984740745262"/>
        <rFont val="Noto Sans"/>
        <family val="2"/>
      </rPr>
      <t>:</t>
    </r>
    <r>
      <rPr>
        <sz val="6.5"/>
        <color theme="1" tint="0.499984740745262"/>
        <rFont val="Noto Sans"/>
        <family val="2"/>
      </rPr>
      <t xml:space="preserve"> steep terraces back from river</t>
    </r>
  </si>
  <si>
    <t>13PICHLER06</t>
  </si>
  <si>
    <t>riesling is 20-55y/o; first mentioned 1253AD</t>
  </si>
  <si>
    <t>12KRUTZ02TB</t>
  </si>
  <si>
    <t>So.facing; cask ferment</t>
  </si>
  <si>
    <t>23PKRUTZ07</t>
  </si>
  <si>
    <r>
      <rPr>
        <b/>
        <sz val="7"/>
        <color theme="1" tint="0.499984740745262"/>
        <rFont val="Noto Sans"/>
        <family val="2"/>
      </rPr>
      <t>Loibner Rothenberg:</t>
    </r>
    <r>
      <rPr>
        <b/>
        <sz val="6.5"/>
        <color theme="1" tint="0.499984740745262"/>
        <rFont val="Noto Sans"/>
        <family val="2"/>
      </rPr>
      <t xml:space="preserve"> </t>
    </r>
    <r>
      <rPr>
        <sz val="6.5"/>
        <color theme="1" tint="0.499984740745262"/>
        <rFont val="Noto Sans"/>
        <family val="2"/>
      </rPr>
      <t>2.45ha of Loibenberg,</t>
    </r>
  </si>
  <si>
    <t>22PKRUTZ08</t>
  </si>
  <si>
    <t>with high acidity, bottled as an off-dry &lt;Reserve&gt;</t>
  </si>
  <si>
    <t>21PKRUTZ09</t>
  </si>
  <si>
    <r>
      <rPr>
        <b/>
        <sz val="7"/>
        <color theme="1" tint="0.499984740745262"/>
        <rFont val="Noto Sans"/>
        <family val="2"/>
      </rPr>
      <t xml:space="preserve">Loibner Rothenhof: </t>
    </r>
    <r>
      <rPr>
        <sz val="6.5"/>
        <color theme="1" tint="0.499984740745262"/>
        <rFont val="Noto Sans"/>
        <family val="2"/>
      </rPr>
      <t>0.5ha of Gruner planted 1940</t>
    </r>
  </si>
  <si>
    <t>18PKRUTZ07</t>
  </si>
  <si>
    <t xml:space="preserve">on deep loess below Pfaffenberg. </t>
  </si>
  <si>
    <t>17PKRUTZ07</t>
  </si>
  <si>
    <t>Purchased 2021, along with the Rothenhof cellar</t>
  </si>
  <si>
    <t>16PKRUTZ08</t>
  </si>
  <si>
    <t>22PKRUTZ10</t>
  </si>
  <si>
    <t>2021 1st vintage Rothenhof gruner AR</t>
  </si>
  <si>
    <t>GRUNER VELTLINER EN MAGNUM:</t>
  </si>
  <si>
    <t>2021 bought old house &amp; cellar in Unterloiben</t>
  </si>
  <si>
    <t>18PKRUTZ02MG</t>
  </si>
  <si>
    <t>2017 start 'organic-uncertified'</t>
  </si>
  <si>
    <t>21PKRUTZ01MG</t>
  </si>
  <si>
    <t>2015 Wine Enthusiast, Enthusiast 100 WOTY</t>
  </si>
  <si>
    <t>16PKRUTZ07MG</t>
  </si>
  <si>
    <t>2007 founded</t>
  </si>
  <si>
    <t>17PKRUTZ08MG</t>
  </si>
  <si>
    <t>Pichler-Krutzler.at</t>
  </si>
  <si>
    <t>18PKRUTZ07MG</t>
  </si>
  <si>
    <t>GROWER CODE: PKRUTZ / PICHLER</t>
  </si>
  <si>
    <t>17PKRUTZ07MG</t>
  </si>
  <si>
    <t>RIESLING - 'FRESH' SERIES:</t>
  </si>
  <si>
    <t>18PKRUTZ04</t>
  </si>
  <si>
    <t>23PKRUTZ05</t>
  </si>
  <si>
    <t>19PKRUTZ04</t>
  </si>
  <si>
    <t>17PKRUTZ05</t>
  </si>
  <si>
    <t>14PKRUTZ04A</t>
  </si>
  <si>
    <t>13PICHLER03</t>
  </si>
  <si>
    <t>22PKRUTZ05</t>
  </si>
  <si>
    <t>21PKRUTZ06</t>
  </si>
  <si>
    <t>20PKRUTZ04</t>
  </si>
  <si>
    <t>18PKRUTZ05</t>
  </si>
  <si>
    <t>14PKRUTZ08</t>
  </si>
  <si>
    <t>12KRUTZ01TB</t>
  </si>
  <si>
    <t>RIESLING - 'SERIOUS' SERIES:</t>
  </si>
  <si>
    <t>22PKRUTZ06</t>
  </si>
  <si>
    <t>21PKRUTZ07</t>
  </si>
  <si>
    <t>20PKRUTZ05</t>
  </si>
  <si>
    <t>16PKRUTZ03</t>
  </si>
  <si>
    <t>14PKRUTZ05A</t>
  </si>
  <si>
    <t>13PICHLER04</t>
  </si>
  <si>
    <t>23PKRUTZ06</t>
  </si>
  <si>
    <t>22PKRUTZ07</t>
  </si>
  <si>
    <t>21PKRUTZ08</t>
  </si>
  <si>
    <t>20PKRUTZ06</t>
  </si>
  <si>
    <t>19PKRUTZ05</t>
  </si>
  <si>
    <t>18PKRUTZ09</t>
  </si>
  <si>
    <t>17PKRUTZ06</t>
  </si>
  <si>
    <t>16PKRUTZ05</t>
  </si>
  <si>
    <t>23PKRUTZ08</t>
  </si>
  <si>
    <t>22PKRUTZ09</t>
  </si>
  <si>
    <t>21PKRUTZ10</t>
  </si>
  <si>
    <t>20PKRUTZ08</t>
  </si>
  <si>
    <t>18PKRUTZ08</t>
  </si>
  <si>
    <t>17PKRUTZ09</t>
  </si>
  <si>
    <t>16PKRUTZ11</t>
  </si>
  <si>
    <t>RIESLING - 'SERIOUS' OFF-DRY SERIES:</t>
  </si>
  <si>
    <t>16PKRUTZ04</t>
  </si>
  <si>
    <t>15PKRUTZ06</t>
  </si>
  <si>
    <t>RIESLING EN MAGNUM:</t>
  </si>
  <si>
    <t>16PKRUTZ03MG</t>
  </si>
  <si>
    <t>14PKRUTZ05MG</t>
  </si>
  <si>
    <t>20PKRUTZ06MG</t>
  </si>
  <si>
    <t>12KRUTZ03MTB</t>
  </si>
  <si>
    <t>17PKRUTZ09MG</t>
  </si>
  <si>
    <t>16PKRUTZ11MG</t>
  </si>
  <si>
    <t>13PKRUTZ01MG</t>
  </si>
  <si>
    <t>16PKRUTZ04MG</t>
  </si>
  <si>
    <t>15PKRUTZ06MG</t>
  </si>
  <si>
    <t>SWEET RIESLING:</t>
  </si>
  <si>
    <t>13PICHLER05H</t>
  </si>
  <si>
    <r>
      <t>(</t>
    </r>
    <r>
      <rPr>
        <b/>
        <sz val="7"/>
        <color theme="1" tint="0.14999847407452621"/>
        <rFont val="Noto Sans"/>
        <family val="2"/>
      </rPr>
      <t>NB</t>
    </r>
    <r>
      <rPr>
        <sz val="7"/>
        <color theme="1" tint="0.14999847407452621"/>
        <rFont val="Noto Sans"/>
        <family val="2"/>
      </rPr>
      <t xml:space="preserve"> 10%, 14g/l TA, 73g/l dry extract, 205g/l sugar, 120L made)</t>
    </r>
  </si>
  <si>
    <r>
      <rPr>
        <b/>
        <sz val="7"/>
        <color theme="1" tint="0.499984740745262"/>
        <rFont val="Noto Sans"/>
        <family val="2"/>
      </rPr>
      <t>Poem on label:</t>
    </r>
    <r>
      <rPr>
        <sz val="7"/>
        <color theme="1" tint="0.499984740745262"/>
        <rFont val="Noto Sans"/>
        <family val="2"/>
      </rPr>
      <t xml:space="preserve"> </t>
    </r>
    <r>
      <rPr>
        <i/>
        <sz val="7"/>
        <color theme="1" tint="0.499984740745262"/>
        <rFont val="Noto Sans"/>
        <family val="2"/>
      </rPr>
      <t>'Tut mir nur den Wein nicht taufen, laßt ihn doch als Heiden laufen. Nur der Durst soll christlich sein, so erweist man Ehr dem Wein.'</t>
    </r>
  </si>
  <si>
    <t>KNOLL, EMMERICH</t>
  </si>
  <si>
    <t>GRUNER VELTLINER FEDERSPIEL:</t>
  </si>
  <si>
    <t>Unterloiben, Wachau &amp; Kremstal</t>
  </si>
  <si>
    <t>23KNOLL01</t>
  </si>
  <si>
    <t>Emmerich Knoll (Jr.), 20ha estate</t>
  </si>
  <si>
    <t>22KNOLL01</t>
  </si>
  <si>
    <t>45% each gruner veltliner &amp; riesling</t>
  </si>
  <si>
    <t>21KNOLL01</t>
  </si>
  <si>
    <t>20KNOLL03</t>
  </si>
  <si>
    <t>NB all dry wines are usually botrytis-free</t>
  </si>
  <si>
    <t>GRUNER VELTLINER SMARAGD:</t>
  </si>
  <si>
    <t>2016 Schutt in Wine Enthusiast Top 100 Cellar'</t>
  </si>
  <si>
    <t>23KNOLL03</t>
  </si>
  <si>
    <t>2011 Wine Enthusiast, Top 100 Cellar Select.</t>
  </si>
  <si>
    <t>22KNOLL02</t>
  </si>
  <si>
    <t>2010 Wine Enthusiast, Enthusiast 100 (R.Schutt)</t>
  </si>
  <si>
    <t>RIESLING:</t>
  </si>
  <si>
    <t>2010 appears in Wine Spectator Top 100</t>
  </si>
  <si>
    <t>18KNOLL04</t>
  </si>
  <si>
    <t>1996 Emmerich Knoll III joins</t>
  </si>
  <si>
    <t>23KNOLL02</t>
  </si>
  <si>
    <t>1988 1st vintage Vinothekfüllung Gruner</t>
  </si>
  <si>
    <t>22KNOLL03</t>
  </si>
  <si>
    <t>1961 Emmerich Knoll label launched</t>
  </si>
  <si>
    <t>SWEET AUSLESEN:</t>
  </si>
  <si>
    <t>1820s 1st record of Knoll's in Unterloibens</t>
  </si>
  <si>
    <t>14KNOLL03</t>
  </si>
  <si>
    <t>Knoll.at</t>
  </si>
  <si>
    <t>13KNOLL03HF</t>
  </si>
  <si>
    <t>GROWER CODE: KNOLL</t>
  </si>
  <si>
    <t>KIND WORDS ON NIKOLAIHOF:</t>
  </si>
  <si>
    <r>
      <rPr>
        <b/>
        <sz val="7"/>
        <color theme="1" tint="0.499984740745262"/>
        <rFont val="Noto Sans"/>
        <family val="2"/>
      </rPr>
      <t xml:space="preserve">David Schildknecht, 2017 </t>
    </r>
    <r>
      <rPr>
        <sz val="7"/>
        <color theme="1" tint="0.499984740745262"/>
        <rFont val="Noto Sans"/>
        <family val="2"/>
      </rPr>
      <t>‘unique, perhaps literally inimitable style of Nikolaihof wines’</t>
    </r>
  </si>
  <si>
    <r>
      <rPr>
        <b/>
        <sz val="7"/>
        <color theme="1" tint="0.499984740745262"/>
        <rFont val="Noto Sans"/>
        <family val="2"/>
      </rPr>
      <t>David Schildknecht, 2015</t>
    </r>
    <r>
      <rPr>
        <sz val="7"/>
        <color theme="1" tint="0.499984740745262"/>
        <rFont val="Noto Sans"/>
        <family val="2"/>
      </rPr>
      <t xml:space="preserve"> 'There is typically a restraint and subtlety to the Nikolaihof Rieslings and Grüner Veltliners' </t>
    </r>
  </si>
  <si>
    <r>
      <rPr>
        <b/>
        <sz val="7"/>
        <color theme="1" tint="0.499984740745262"/>
        <rFont val="Noto Sans"/>
        <family val="2"/>
      </rPr>
      <t>David Schildknecht, 2008</t>
    </r>
    <r>
      <rPr>
        <sz val="7"/>
        <color theme="1" tint="0.499984740745262"/>
        <rFont val="Noto Sans"/>
        <family val="2"/>
      </rPr>
      <t xml:space="preserve"> 'Even the most understated bottlings – perhaps those in particular – make a completely convincing statement.’</t>
    </r>
  </si>
  <si>
    <r>
      <rPr>
        <b/>
        <sz val="7"/>
        <color theme="1" tint="0.499984740745262"/>
        <rFont val="Noto Sans"/>
        <family val="2"/>
      </rPr>
      <t>Suckling, 2015</t>
    </r>
    <r>
      <rPr>
        <sz val="7"/>
        <color theme="1" tint="0.499984740745262"/>
        <rFont val="Noto Sans"/>
        <family val="2"/>
      </rPr>
      <t xml:space="preserve"> ‘exudes a certain kind of stillness, evoking bygone times while modern winemaking techniques take hold of many wineries'</t>
    </r>
  </si>
  <si>
    <r>
      <rPr>
        <b/>
        <sz val="7"/>
        <color theme="1" tint="0.499984740745262"/>
        <rFont val="Noto Sans"/>
        <family val="2"/>
      </rPr>
      <t>Suckling</t>
    </r>
    <r>
      <rPr>
        <sz val="7"/>
        <color theme="1" tint="0.499984740745262"/>
        <rFont val="Noto Sans"/>
        <family val="2"/>
      </rPr>
      <t xml:space="preserve"> 'Welcome to the riesling deep end!'</t>
    </r>
  </si>
  <si>
    <t>NIKOLAIHOF</t>
  </si>
  <si>
    <t>17NIK05</t>
  </si>
  <si>
    <t>Saahs family, Mautern, Wachau</t>
  </si>
  <si>
    <r>
      <t>20ha</t>
    </r>
    <r>
      <rPr>
        <b/>
        <sz val="8"/>
        <color rgb="FF00B050"/>
        <rFont val="Noto Sans"/>
        <family val="2"/>
      </rPr>
      <t>; ambient yeast ferment</t>
    </r>
  </si>
  <si>
    <t>2005 son Nikolaus (Nikki) takes over production</t>
  </si>
  <si>
    <t>2005 17th Century baumpresse put back into duty</t>
  </si>
  <si>
    <t>1998 1st vintage long elevage Steinriesler series</t>
  </si>
  <si>
    <r>
      <t xml:space="preserve">1998 </t>
    </r>
    <r>
      <rPr>
        <b/>
        <sz val="7"/>
        <color rgb="FF00B050"/>
        <rFont val="Noto Sans"/>
        <family val="2"/>
      </rPr>
      <t>Biodynamic certified</t>
    </r>
  </si>
  <si>
    <t>1990 1st vintage of long elevage Vinotek series</t>
  </si>
  <si>
    <t>1971 start of biodynamic agriculture</t>
  </si>
  <si>
    <t>1960s Nikolaus &amp; Christine Saahs took over, w.7ha</t>
  </si>
  <si>
    <t>1894 purchased by Anton and Anna Saahs</t>
  </si>
  <si>
    <t>1803 secularisation of Nikolaihof</t>
  </si>
  <si>
    <t>470AD monastical records of ‘Im Weingebirge’ v/y</t>
  </si>
  <si>
    <t>63AD date of roman tower under the winery</t>
  </si>
  <si>
    <t>2014 1st entry in IWR Top 100 WOTY</t>
  </si>
  <si>
    <t>2014 Austria's first TWA 100 point wine from DS</t>
  </si>
  <si>
    <t>2014 S.Pigott's Top 20 'Blade Runner' rieslings</t>
  </si>
  <si>
    <t>2012 Hefeabzug in Wine Spectator Top 100</t>
  </si>
  <si>
    <t>Nikolaihof.at</t>
  </si>
  <si>
    <t>AdVineas.at</t>
  </si>
  <si>
    <t>GROWER CODE: NIK</t>
  </si>
  <si>
    <t>PICHLER ON PICHLER:</t>
  </si>
  <si>
    <r>
      <rPr>
        <b/>
        <sz val="7"/>
        <color theme="1" tint="0.499984740745262"/>
        <rFont val="Noto Sans"/>
        <family val="2"/>
      </rPr>
      <t>F.X.</t>
    </r>
    <r>
      <rPr>
        <sz val="7"/>
        <color theme="1" tint="0.499984740745262"/>
        <rFont val="Noto Sans"/>
        <family val="2"/>
      </rPr>
      <t xml:space="preserve"> 'Our passion lies in creating a wine that is an experience for the senses, an artistic synthesis.'</t>
    </r>
  </si>
  <si>
    <r>
      <rPr>
        <b/>
        <sz val="7"/>
        <color theme="1" tint="0.499984740745262"/>
        <rFont val="Noto Sans"/>
        <family val="2"/>
      </rPr>
      <t xml:space="preserve">F.X. </t>
    </r>
    <r>
      <rPr>
        <sz val="7"/>
        <color theme="1" tint="0.499984740745262"/>
        <rFont val="Noto Sans"/>
        <family val="2"/>
      </rPr>
      <t>'You have to have an idea of wine. I love to work in the vineyard - the creative act of winemaking begins in spring.'</t>
    </r>
  </si>
  <si>
    <r>
      <rPr>
        <b/>
        <sz val="7"/>
        <color theme="1" tint="0.499984740745262"/>
        <rFont val="Noto Sans"/>
        <family val="2"/>
      </rPr>
      <t>F.X.</t>
    </r>
    <r>
      <rPr>
        <sz val="7"/>
        <color theme="1" tint="0.499984740745262"/>
        <rFont val="Noto Sans"/>
        <family val="2"/>
      </rPr>
      <t xml:space="preserve"> 'A great wine is synonymous with a prime vineyard site. Yet there is an irrepressible will to create something great: this is an instinct that</t>
    </r>
  </si>
  <si>
    <t>cannot be taught, as it demands sheer intuition.'</t>
  </si>
  <si>
    <r>
      <rPr>
        <b/>
        <sz val="7"/>
        <color theme="1" tint="0.499984740745262"/>
        <rFont val="Noto Sans"/>
        <family val="2"/>
      </rPr>
      <t>Lucas</t>
    </r>
    <r>
      <rPr>
        <sz val="7"/>
        <color theme="1" tint="0.499984740745262"/>
        <rFont val="Noto Sans"/>
        <family val="2"/>
      </rPr>
      <t xml:space="preserve"> 'We make seamless wines, that's our hallmark.'</t>
    </r>
  </si>
  <si>
    <r>
      <rPr>
        <b/>
        <sz val="7"/>
        <color theme="1" tint="0.499984740745262"/>
        <rFont val="Noto Sans"/>
        <family val="2"/>
      </rPr>
      <t>Lucas</t>
    </r>
    <r>
      <rPr>
        <sz val="7"/>
        <color theme="1" tint="0.499984740745262"/>
        <rFont val="Noto Sans"/>
        <family val="2"/>
      </rPr>
      <t xml:space="preserve"> 'We respect wine and give it space to evolve.'</t>
    </r>
  </si>
  <si>
    <r>
      <rPr>
        <b/>
        <sz val="7"/>
        <color rgb="FF969696"/>
        <rFont val="Noto Sans"/>
        <family val="2"/>
      </rPr>
      <t>Lucas</t>
    </r>
    <r>
      <rPr>
        <sz val="7"/>
        <color rgb="FF969696"/>
        <rFont val="Noto Sans"/>
        <family val="2"/>
      </rPr>
      <t xml:space="preserve"> 'We are fascinated by the wines from the Kellerberg because of their precision, for which few words can adequately do justice.</t>
    </r>
  </si>
  <si>
    <t>A wine from the Kellerberg is always a grand wine'</t>
  </si>
  <si>
    <r>
      <rPr>
        <b/>
        <sz val="7"/>
        <color rgb="FF969696"/>
        <rFont val="Noto Sans"/>
        <family val="2"/>
      </rPr>
      <t>The family:</t>
    </r>
    <r>
      <rPr>
        <sz val="7"/>
        <color rgb="FF969696"/>
        <rFont val="Noto Sans"/>
        <family val="2"/>
      </rPr>
      <t xml:space="preserve"> 'The varieties of nature are infinite, but every vineyard resembles a microcosm that reflects life and history, and even our family.'</t>
    </r>
  </si>
  <si>
    <r>
      <rPr>
        <b/>
        <sz val="7"/>
        <color theme="1" tint="0.499984740745262"/>
        <rFont val="Noto Sans"/>
        <family val="2"/>
      </rPr>
      <t>The family</t>
    </r>
    <r>
      <rPr>
        <sz val="7"/>
        <color theme="1" tint="0.499984740745262"/>
        <rFont val="Noto Sans"/>
        <family val="2"/>
      </rPr>
      <t>: '“M” is always a mystical wine, with opulence and concentrated minerality. It encompasses both wine monuments and moments for decades to come.'</t>
    </r>
  </si>
  <si>
    <r>
      <t xml:space="preserve">F.X. PICHLER, </t>
    </r>
    <r>
      <rPr>
        <b/>
        <sz val="10"/>
        <color theme="1" tint="0.14999847407452621"/>
        <rFont val="Noto Sans"/>
        <family val="2"/>
      </rPr>
      <t>by</t>
    </r>
  </si>
  <si>
    <t>THE 'OTHER' GRAPES:</t>
  </si>
  <si>
    <t>Lucas &amp; Johanna Pichler</t>
  </si>
  <si>
    <t>23PICHLER03</t>
  </si>
  <si>
    <t>~20ha. Generations of massale selections,</t>
  </si>
  <si>
    <t>GRUNER VELTLINER HALVES:</t>
  </si>
  <si>
    <t>with focus on small berries. ambient yeast</t>
  </si>
  <si>
    <t>22PICHLER02HF</t>
  </si>
  <si>
    <t>elevage includes large oak casks</t>
  </si>
  <si>
    <t>22PICHLER04HF</t>
  </si>
  <si>
    <t>F.X. IN NUMBERS:</t>
  </si>
  <si>
    <t>GRUNER VELTLINER:</t>
  </si>
  <si>
    <t>30% steep terraces, 20% low terraces, 50% plain</t>
  </si>
  <si>
    <t>22PICHLER01</t>
  </si>
  <si>
    <t>60% gruner, 40% riesling, dash of muskateller</t>
  </si>
  <si>
    <t>23PICHLER01</t>
  </si>
  <si>
    <t>THE RARE(ST) 'ICON' WINES:</t>
  </si>
  <si>
    <t>22PICHLER03</t>
  </si>
  <si>
    <r>
      <rPr>
        <b/>
        <sz val="8"/>
        <color theme="1" tint="0.499984740745262"/>
        <rFont val="Noto Sans"/>
        <family val="2"/>
      </rPr>
      <t>'U'</t>
    </r>
    <r>
      <rPr>
        <sz val="8"/>
        <color theme="1" tint="0.499984740745262"/>
        <rFont val="Noto Sans"/>
        <family val="2"/>
      </rPr>
      <t xml:space="preserve"> </t>
    </r>
    <r>
      <rPr>
        <sz val="7"/>
        <color theme="1" tint="0.499984740745262"/>
        <rFont val="Noto Sans"/>
        <family val="2"/>
      </rPr>
      <t xml:space="preserve">= undending, </t>
    </r>
    <r>
      <rPr>
        <i/>
        <sz val="7"/>
        <color theme="1" tint="0.499984740745262"/>
        <rFont val="Noto Sans"/>
        <family val="2"/>
      </rPr>
      <t>unendlich</t>
    </r>
    <r>
      <rPr>
        <sz val="7"/>
        <color theme="1" tint="0.499984740745262"/>
        <rFont val="Noto Sans"/>
        <family val="2"/>
      </rPr>
      <t>, with label from the</t>
    </r>
  </si>
  <si>
    <t>16PICHLER01</t>
  </si>
  <si>
    <t>set of The Magic Flute by architect/designer</t>
  </si>
  <si>
    <t>12PICHLER02</t>
  </si>
  <si>
    <t>Karl-Friedrich Schinkel. 1st made 1998</t>
  </si>
  <si>
    <t>14PICHLER02</t>
  </si>
  <si>
    <r>
      <rPr>
        <b/>
        <sz val="8"/>
        <color theme="1" tint="0.499984740745262"/>
        <rFont val="Noto Sans"/>
        <family val="2"/>
      </rPr>
      <t>'M'</t>
    </r>
    <r>
      <rPr>
        <sz val="7"/>
        <color theme="1" tint="0.499984740745262"/>
        <rFont val="Noto Sans"/>
        <family val="2"/>
      </rPr>
      <t xml:space="preserve"> = monumental, (mythical,</t>
    </r>
    <r>
      <rPr>
        <i/>
        <sz val="7"/>
        <color theme="1" tint="0.499984740745262"/>
        <rFont val="Noto Sans"/>
        <family val="2"/>
      </rPr>
      <t xml:space="preserve"> mythique). </t>
    </r>
    <r>
      <rPr>
        <sz val="7"/>
        <color theme="1" tint="0.499984740745262"/>
        <rFont val="Noto Sans"/>
        <family val="2"/>
      </rPr>
      <t>Later-</t>
    </r>
  </si>
  <si>
    <t>12PICHLER03</t>
  </si>
  <si>
    <t>harvest style, from VV. Always dry for gruner,</t>
  </si>
  <si>
    <t>23PICHLER02</t>
  </si>
  <si>
    <t>usually off-dry for riesling. Made from 1991-2019</t>
  </si>
  <si>
    <t>22PICHLER05</t>
  </si>
  <si>
    <t>Organic certified 2023 Lacon</t>
  </si>
  <si>
    <t>16PICHLER02</t>
  </si>
  <si>
    <t>Sustainable cert.2020; Ⓥ Vegan certified</t>
  </si>
  <si>
    <t>14PICHLER03</t>
  </si>
  <si>
    <t>GRUNER VELTLINER 'U' - FOR UNENDLICH:</t>
  </si>
  <si>
    <t>2020 certified sustainable; start organic conversion</t>
  </si>
  <si>
    <t>22PICHLER07</t>
  </si>
  <si>
    <t>2020 leaves Vinea Wachau group; new DAC laws</t>
  </si>
  <si>
    <t>18PICHLER06</t>
  </si>
  <si>
    <t>2020s end of gruner 'M' &amp; sauvignon blanc</t>
  </si>
  <si>
    <t>18PICHLER06MG</t>
  </si>
  <si>
    <t>2019 Lucas formally takes over the business</t>
  </si>
  <si>
    <t>RIESLING HALVES:</t>
  </si>
  <si>
    <t>2010 1st Liebenberg gruner</t>
  </si>
  <si>
    <t>13PICHLER08HF</t>
  </si>
  <si>
    <t>2009 new winery opens</t>
  </si>
  <si>
    <t>RIESLING FEDERSPIEL:</t>
  </si>
  <si>
    <t>2007 first vintage of Lisl's Pichler-Krutzler estate</t>
  </si>
  <si>
    <t>14PICHLER04MG</t>
  </si>
  <si>
    <t>2003 Lucas meets Johanna</t>
  </si>
  <si>
    <t>2000 - 2013 era of no Muskateller</t>
  </si>
  <si>
    <t>12PICHLER06</t>
  </si>
  <si>
    <t>1999 - 2000 Lucas takes over vinification</t>
  </si>
  <si>
    <t>11PICHLER05</t>
  </si>
  <si>
    <t>1998 1st riesling 'U' Unendlich, infinite, endless</t>
  </si>
  <si>
    <t>12PICHLER07</t>
  </si>
  <si>
    <t>1997 Lucas interns at sauvignon-ist Tement, Styria</t>
  </si>
  <si>
    <t>10PICHLER07</t>
  </si>
  <si>
    <t>1996 Lucas joins</t>
  </si>
  <si>
    <t>22PICHLER06</t>
  </si>
  <si>
    <t>1994 &amp; 1996 Lucas interns at Muller-Catoir</t>
  </si>
  <si>
    <t>18PICHLER05</t>
  </si>
  <si>
    <t>1991 1st gruner 'M', for Monumental</t>
  </si>
  <si>
    <t>15PICHLER02</t>
  </si>
  <si>
    <t>1988 - 1992 Lucas studies wine at Krems</t>
  </si>
  <si>
    <t>11PICHLER06</t>
  </si>
  <si>
    <t>1980s FX starts planting sauvignon blanc</t>
  </si>
  <si>
    <t>RIESLING 'U' - FOR UNENDLICH:</t>
  </si>
  <si>
    <t>1973 son Lucas Franz born</t>
  </si>
  <si>
    <t>22PICHLER08</t>
  </si>
  <si>
    <t>1971 F.X. joins</t>
  </si>
  <si>
    <t>1941 F.X. born (Franz Xaver)</t>
  </si>
  <si>
    <t>1898 founded</t>
  </si>
  <si>
    <t>2022 Suckling 100 for riesling Kellerberg 2021</t>
  </si>
  <si>
    <t>2021 TWA 100 for gruner U 2018</t>
  </si>
  <si>
    <t>2020 Suckling 100 for riesling U 2019</t>
  </si>
  <si>
    <t>2019 100 from Falstaff for grüner U 2017</t>
  </si>
  <si>
    <t>2018 winner of World Champion winery by Falstaff</t>
  </si>
  <si>
    <t>2017 Suckling 100 for riesling Kellerberg 2016</t>
  </si>
  <si>
    <t>2014 in Suckling's Top 100 WOTY</t>
  </si>
  <si>
    <t>2012 Lifetime Achievement from Der Feinschmecker</t>
  </si>
  <si>
    <t>FX-Pichler.at</t>
  </si>
  <si>
    <t>GROWER CODE: PICHLER</t>
  </si>
  <si>
    <t>KIND WORDS ON PRAGER, etc.:</t>
  </si>
  <si>
    <r>
      <t>D.Schildknecht, Vinous 2017</t>
    </r>
    <r>
      <rPr>
        <sz val="7"/>
        <color theme="1" tint="0.499984740745262"/>
        <rFont val="Noto Sans"/>
        <family val="2"/>
      </rPr>
      <t xml:space="preserve"> 'highly informed and insightful'  (on Toni Bodenstein) </t>
    </r>
  </si>
  <si>
    <r>
      <rPr>
        <b/>
        <sz val="7"/>
        <color theme="1" tint="0.499984740745262"/>
        <rFont val="Noto Sans"/>
        <family val="2"/>
      </rPr>
      <t>D.Schildknecht, Vinous 2015</t>
    </r>
    <r>
      <rPr>
        <sz val="7"/>
        <color theme="1" tint="0.499984740745262"/>
        <rFont val="Noto Sans"/>
        <family val="2"/>
      </rPr>
      <t xml:space="preserve"> 'Over the course of the 1990s, Toni Bodenstein elevated the stature of his father-in-law Franz Prager’s estate to</t>
    </r>
  </si>
  <si>
    <t>international notoriety with wines that consistently continue to be among the most complex, intriguing and subtle of any of the world’s Rieslings or GVs.</t>
  </si>
  <si>
    <t>The scientifically trained Bodenstein’s observations and hypotheses regarding the connections between geology and viticulture</t>
  </si>
  <si>
    <t xml:space="preserve"> are as insightful and thought-through as any I have heard.'</t>
  </si>
  <si>
    <r>
      <rPr>
        <b/>
        <sz val="7"/>
        <color theme="1" tint="0.499984740745262"/>
        <rFont val="Noto Sans"/>
        <family val="2"/>
      </rPr>
      <t xml:space="preserve">Joel Payne, Vinous 2013 </t>
    </r>
    <r>
      <rPr>
        <sz val="7"/>
        <color theme="1" tint="0.499984740745262"/>
        <rFont val="Noto Sans"/>
        <family val="2"/>
      </rPr>
      <t>'More than anywhere else in the Wachau, the differences between vintages and sites are readily apparent here, even</t>
    </r>
  </si>
  <si>
    <t xml:space="preserve"> transparent. For many collectors, Bodenstein is best known for his rieslings, which some have called almost Germanic in style. ...clear, precise, fresh</t>
  </si>
  <si>
    <t>and a touch reductive in character...they are pure expressions of the variety that reflect the character of their soils.</t>
  </si>
  <si>
    <r>
      <rPr>
        <b/>
        <sz val="7"/>
        <color theme="1" tint="0.499984740745262"/>
        <rFont val="Noto Sans"/>
        <family val="2"/>
      </rPr>
      <t>S.Reinhardt, TWA 2020</t>
    </r>
    <r>
      <rPr>
        <sz val="7"/>
        <color theme="1" tint="0.499984740745262"/>
        <rFont val="Noto Sans"/>
        <family val="2"/>
      </rPr>
      <t xml:space="preserve"> '(Prager) Rieslings I have always found great'</t>
    </r>
  </si>
  <si>
    <r>
      <rPr>
        <b/>
        <sz val="7"/>
        <color theme="1" tint="0.499984740745262"/>
        <rFont val="Noto Sans"/>
        <family val="2"/>
      </rPr>
      <t>S.Reinhardt, TWA 2020</t>
    </r>
    <r>
      <rPr>
        <sz val="7"/>
        <color theme="1" tint="0.499984740745262"/>
        <rFont val="Noto Sans"/>
        <family val="2"/>
      </rPr>
      <t xml:space="preserve"> 'In this decade, the wines from (Gruner Wachstum Bodestein) vines planted in 1997 have reached a level that is rivaled</t>
    </r>
  </si>
  <si>
    <t>only by the very best wines in the Wachau and along the Danube River.'</t>
  </si>
  <si>
    <r>
      <rPr>
        <b/>
        <sz val="7"/>
        <color theme="1" tint="0.499984740745262"/>
        <rFont val="Noto Sans"/>
        <family val="2"/>
      </rPr>
      <t>S.Reinhardt, TWA 2017</t>
    </r>
    <r>
      <rPr>
        <sz val="7"/>
        <color theme="1" tint="0.499984740745262"/>
        <rFont val="Noto Sans"/>
        <family val="2"/>
      </rPr>
      <t xml:space="preserve"> 'with peers Lucas Pichler and, most of all, Pichler-Krutzler, this is again the very best...in the Wachau'</t>
    </r>
  </si>
  <si>
    <r>
      <rPr>
        <b/>
        <sz val="7"/>
        <color theme="1" tint="0.499984740745262"/>
        <rFont val="Noto Sans"/>
        <family val="2"/>
      </rPr>
      <t xml:space="preserve">S.Reinhardt, TWA 2016 </t>
    </r>
    <r>
      <rPr>
        <sz val="7"/>
        <color theme="1" tint="0.499984740745262"/>
        <rFont val="Noto Sans"/>
        <family val="2"/>
      </rPr>
      <t>'Toni Bodenstein's collection of Riesling and Grüner Veltliner Smaragds set the benchmark'</t>
    </r>
  </si>
  <si>
    <r>
      <rPr>
        <b/>
        <sz val="7"/>
        <color theme="1" tint="0.499984740745262"/>
        <rFont val="Noto Sans"/>
        <family val="2"/>
      </rPr>
      <t xml:space="preserve">S.Reinhardt, TWA 2016 </t>
    </r>
    <r>
      <rPr>
        <sz val="7"/>
        <color theme="1" tint="0.499984740745262"/>
        <rFont val="Noto Sans"/>
        <family val="2"/>
      </rPr>
      <t>'There are world class wines amongst them, true classics'</t>
    </r>
  </si>
  <si>
    <r>
      <rPr>
        <b/>
        <sz val="7"/>
        <color theme="1" tint="0.499984740745262"/>
        <rFont val="Noto Sans"/>
        <family val="2"/>
      </rPr>
      <t>S.Reinhardt, TWA 2015 '</t>
    </r>
    <r>
      <rPr>
        <sz val="7"/>
        <color theme="1" tint="0.499984740745262"/>
        <rFont val="Noto Sans"/>
        <family val="2"/>
      </rPr>
      <t>Smaragd wines have a remarkable greenish shimmering white-golden color...indicates their reductive style'</t>
    </r>
  </si>
  <si>
    <r>
      <rPr>
        <b/>
        <sz val="7"/>
        <color theme="1" tint="0.499984740745262"/>
        <rFont val="Noto Sans"/>
        <family val="2"/>
      </rPr>
      <t>Wine Spectator, 2012</t>
    </r>
    <r>
      <rPr>
        <sz val="7"/>
        <color theme="1" tint="0.499984740745262"/>
        <rFont val="Noto Sans"/>
        <family val="2"/>
      </rPr>
      <t xml:space="preserve"> 'the perennial quality leader'</t>
    </r>
  </si>
  <si>
    <r>
      <rPr>
        <b/>
        <sz val="7"/>
        <color theme="1" tint="0.499984740745262"/>
        <rFont val="Noto Sans"/>
        <family val="2"/>
      </rPr>
      <t>David Schildknecht, W&amp;S, 2004</t>
    </r>
    <r>
      <rPr>
        <sz val="7"/>
        <color theme="1" tint="0.499984740745262"/>
        <rFont val="Noto Sans"/>
        <family val="2"/>
      </rPr>
      <t xml:space="preserve"> 'Top 50 Most Influential Winemakers' (in the world)</t>
    </r>
  </si>
  <si>
    <r>
      <rPr>
        <b/>
        <sz val="7"/>
        <color theme="1" tint="0.499984740745262"/>
        <rFont val="Noto Sans"/>
        <family val="2"/>
      </rPr>
      <t>David Schildknecht, W&amp;S, 2004</t>
    </r>
    <r>
      <rPr>
        <sz val="7"/>
        <color theme="1" tint="0.499984740745262"/>
        <rFont val="Noto Sans"/>
        <family val="2"/>
      </rPr>
      <t xml:space="preserve"> 'Many talk terroir, but few are so fluent.'</t>
    </r>
  </si>
  <si>
    <r>
      <rPr>
        <b/>
        <sz val="7"/>
        <color theme="1" tint="0.499984740745262"/>
        <rFont val="Noto Sans"/>
        <family val="2"/>
      </rPr>
      <t>David Schildknecht, W&amp;S, 2004</t>
    </r>
    <r>
      <rPr>
        <sz val="7"/>
        <color theme="1" tint="0.499984740745262"/>
        <rFont val="Noto Sans"/>
        <family val="2"/>
      </rPr>
      <t xml:space="preserve"> 'Bodenstein's (riesling) mastery ranks with that of Hermann Donnhof or Olivier Humbrecht'</t>
    </r>
  </si>
  <si>
    <r>
      <rPr>
        <b/>
        <sz val="7"/>
        <color theme="1" tint="0.499984740745262"/>
        <rFont val="Noto Sans"/>
        <family val="2"/>
      </rPr>
      <t>David Schildknecht, W&amp;S, 2004</t>
    </r>
    <r>
      <rPr>
        <sz val="7"/>
        <color theme="1" tint="0.499984740745262"/>
        <rFont val="Noto Sans"/>
        <family val="2"/>
      </rPr>
      <t xml:space="preserve"> 'an example of enthusiastic and intelligent experimentalism'</t>
    </r>
  </si>
  <si>
    <r>
      <rPr>
        <b/>
        <sz val="7"/>
        <color theme="1" tint="0.499984740745262"/>
        <rFont val="Noto Sans"/>
        <family val="2"/>
      </rPr>
      <t>Toni Bodenstein, 2016</t>
    </r>
    <r>
      <rPr>
        <sz val="7"/>
        <color theme="1" tint="0.499984740745262"/>
        <rFont val="Noto Sans"/>
        <family val="2"/>
      </rPr>
      <t xml:space="preserve"> 'it is not important anymore to be the last producer harvesting. It is much more important to pick in the right moment'</t>
    </r>
  </si>
  <si>
    <r>
      <t>Toni Bodenstein, 2014</t>
    </r>
    <r>
      <rPr>
        <sz val="7"/>
        <color theme="1" tint="0.499984740745262"/>
        <rFont val="Noto Sans"/>
        <family val="2"/>
      </rPr>
      <t xml:space="preserve"> 'I only cellar the Achleiten bottlings. Else, the library would grow cumbersomely large!'</t>
    </r>
  </si>
  <si>
    <r>
      <t>Toni Bodenstein, 2011</t>
    </r>
    <r>
      <rPr>
        <sz val="7"/>
        <color theme="1" tint="0.499984740745262"/>
        <rFont val="Noto Sans"/>
        <family val="2"/>
      </rPr>
      <t xml:space="preserve"> 'To deacidify (2010s) would have been to risk stripping them of their souls.'</t>
    </r>
  </si>
  <si>
    <t>PRAGER</t>
  </si>
  <si>
    <t>by the Bodenstein family</t>
  </si>
  <si>
    <t>23PRAGER01</t>
  </si>
  <si>
    <t xml:space="preserve">Weissenkirchen, Wachau. </t>
  </si>
  <si>
    <t>22PRAGER01</t>
  </si>
  <si>
    <t>18.5ha vines: 60% riesling, 40% gruner</t>
  </si>
  <si>
    <t>21PRAGER01</t>
  </si>
  <si>
    <t>plus 12ha forest</t>
  </si>
  <si>
    <t>20PRAGER01</t>
  </si>
  <si>
    <t>Toni &amp; Ilse Bodenstein, parents, with</t>
  </si>
  <si>
    <t>son Robert &amp; partner Sophie-Helen</t>
  </si>
  <si>
    <t>22PRAGER03</t>
  </si>
  <si>
    <t>NB Stockkultur is wooden-post training</t>
  </si>
  <si>
    <t>23PRAGER04</t>
  </si>
  <si>
    <t>no herbicide or pesticide usage:</t>
  </si>
  <si>
    <t>22PRAGER05</t>
  </si>
  <si>
    <r>
      <t>sustainable</t>
    </r>
    <r>
      <rPr>
        <sz val="8"/>
        <color theme="1" tint="0.14999847407452621"/>
        <rFont val="Noto Sans"/>
        <family val="2"/>
      </rPr>
      <t xml:space="preserve"> farming; certification pending</t>
    </r>
  </si>
  <si>
    <t>20PRAGER04</t>
  </si>
  <si>
    <r>
      <rPr>
        <sz val="8"/>
        <color theme="1" tint="0.14999847407452621"/>
        <rFont val="Noto Sans"/>
        <family val="2"/>
      </rPr>
      <t xml:space="preserve">own yeast program; </t>
    </r>
    <r>
      <rPr>
        <b/>
        <sz val="8"/>
        <color rgb="FF00B050"/>
        <rFont val="Noto Sans"/>
        <family val="2"/>
      </rPr>
      <t>Ⓥ Vegan compatible</t>
    </r>
  </si>
  <si>
    <t>19PRAGER04</t>
  </si>
  <si>
    <t>23PRAGER03</t>
  </si>
  <si>
    <t>2019 son Robert joined</t>
  </si>
  <si>
    <t>22PRAGER04</t>
  </si>
  <si>
    <t>2017 1st vintage Pichlpoint gruner, planted 2012</t>
  </si>
  <si>
    <t>21PRAGER03</t>
  </si>
  <si>
    <t>2015 1st vintage 0.34ha TVV on Z.Kammergut</t>
  </si>
  <si>
    <t>20PRAGER03</t>
  </si>
  <si>
    <t>2002 1st vintage of Wachstum Bodenstein gruner</t>
  </si>
  <si>
    <t>19PRAGER03</t>
  </si>
  <si>
    <t>1993 1st vintage Wachstum Bodenstein riesling</t>
  </si>
  <si>
    <t>23PRAGER05</t>
  </si>
  <si>
    <t>1993 1st TBA</t>
  </si>
  <si>
    <t>22PRAGER06</t>
  </si>
  <si>
    <t>1990 Wachstum Bodestein planted to 25 biotypes</t>
  </si>
  <si>
    <t>21PRAGER05</t>
  </si>
  <si>
    <t>1990 Toni &amp; Isle Prager taker over</t>
  </si>
  <si>
    <t>20PRAGER05</t>
  </si>
  <si>
    <t>1987 Toni Bodenstein's 1st vintage with Franz</t>
  </si>
  <si>
    <t>19PRAGER05</t>
  </si>
  <si>
    <t>1983 Vinea Wachau founded</t>
  </si>
  <si>
    <t>18PRAGER05</t>
  </si>
  <si>
    <t>1953 Franz Prager took over from in-laws</t>
  </si>
  <si>
    <t>17PRAGER03</t>
  </si>
  <si>
    <t>KEY VINEYARDS, A-Z:</t>
  </si>
  <si>
    <t>GRUNER VELTLINER SMARAGD EN MAGNUM:</t>
  </si>
  <si>
    <r>
      <rPr>
        <b/>
        <sz val="7"/>
        <color theme="1" tint="0.499984740745262"/>
        <rFont val="Noto Sans"/>
        <family val="2"/>
      </rPr>
      <t>Achleiten Stockkultur:</t>
    </r>
    <r>
      <rPr>
        <sz val="7"/>
        <color theme="1" tint="0.499984740745262"/>
        <rFont val="Noto Sans"/>
        <family val="2"/>
      </rPr>
      <t xml:space="preserve"> 0.85ha GV planted 1937  </t>
    </r>
  </si>
  <si>
    <t>23PRAGER04MG</t>
  </si>
  <si>
    <t>bought 1990s, 1st made 1997</t>
  </si>
  <si>
    <t>22PRAGER05MG</t>
  </si>
  <si>
    <r>
      <rPr>
        <b/>
        <sz val="7"/>
        <color theme="1" tint="0.499984740745262"/>
        <rFont val="Noto Sans"/>
        <family val="2"/>
      </rPr>
      <t>Klaus</t>
    </r>
    <r>
      <rPr>
        <sz val="7"/>
        <color theme="1" tint="0.499984740745262"/>
        <rFont val="Noto Sans"/>
        <family val="2"/>
      </rPr>
      <t>: 1ha R planted 1952 by Ilse's grandfather</t>
    </r>
  </si>
  <si>
    <t>20PRAGER04MG</t>
  </si>
  <si>
    <t>at 400m on mica schist on paragness with fossil</t>
  </si>
  <si>
    <t>19PRAGER04MG</t>
  </si>
  <si>
    <t>amphibolite. Franz' 1st vintage 1955</t>
  </si>
  <si>
    <t>23PRAGER05MG</t>
  </si>
  <si>
    <r>
      <rPr>
        <b/>
        <sz val="7"/>
        <color theme="1" tint="0.499984740745262"/>
        <rFont val="Noto Sans"/>
        <family val="2"/>
      </rPr>
      <t>Liebenberg:</t>
    </r>
    <r>
      <rPr>
        <sz val="7"/>
        <color theme="1" tint="0.499984740745262"/>
        <rFont val="Noto Sans"/>
        <family val="2"/>
      </rPr>
      <t xml:space="preserve"> 0.6ha GV planted early 1950s, WSW</t>
    </r>
  </si>
  <si>
    <t>22PRAGER06MG</t>
  </si>
  <si>
    <t xml:space="preserve">facing. Felsbraunerde soil over gfohler gneiss. </t>
  </si>
  <si>
    <t>20PRAGER05MG</t>
  </si>
  <si>
    <t>Taken over in 2003</t>
  </si>
  <si>
    <t>19PRAGER05MG</t>
  </si>
  <si>
    <r>
      <rPr>
        <b/>
        <sz val="7"/>
        <color theme="1" tint="0.499984740745262"/>
        <rFont val="Noto Sans"/>
        <family val="2"/>
      </rPr>
      <t>Pichlpoint:</t>
    </r>
    <r>
      <rPr>
        <sz val="7"/>
        <color theme="1" tint="0.499984740745262"/>
        <rFont val="Noto Sans"/>
        <family val="2"/>
      </rPr>
      <t xml:space="preserve"> 0.5ha GV massale selection planted</t>
    </r>
  </si>
  <si>
    <t>18PRAGER05MG</t>
  </si>
  <si>
    <t>2013; 1st made 2017</t>
  </si>
  <si>
    <t>17PRAGER03MG</t>
  </si>
  <si>
    <r>
      <rPr>
        <b/>
        <sz val="7"/>
        <color theme="1" tint="0.499984740745262"/>
        <rFont val="Noto Sans"/>
        <family val="2"/>
      </rPr>
      <t>Steinriegl:</t>
    </r>
    <r>
      <rPr>
        <sz val="7"/>
        <color theme="1" tint="0.499984740745262"/>
        <rFont val="Noto Sans"/>
        <family val="2"/>
      </rPr>
      <t xml:space="preserve"> 4.1ha R planted 1930s to 1960s on </t>
    </r>
  </si>
  <si>
    <t xml:space="preserve">braunerde over white chalk-silicate-marble. </t>
  </si>
  <si>
    <t>1st made under Prager label 1952</t>
  </si>
  <si>
    <t>23PRAGER02</t>
  </si>
  <si>
    <r>
      <t xml:space="preserve">Wachstum Bodenstein: </t>
    </r>
    <r>
      <rPr>
        <sz val="7"/>
        <color theme="1" tint="0.499984740745262"/>
        <rFont val="Noto Sans"/>
        <family val="2"/>
      </rPr>
      <t xml:space="preserve">1ha GV planted 1997 on </t>
    </r>
  </si>
  <si>
    <t>22PRAGER02</t>
  </si>
  <si>
    <t>abandonned terraces to massale selection of 125</t>
  </si>
  <si>
    <t>21PRAGER02</t>
  </si>
  <si>
    <t>biotypes on orthogneiss, no clay. 1st made 2002</t>
  </si>
  <si>
    <t>20PRAGER02</t>
  </si>
  <si>
    <r>
      <rPr>
        <b/>
        <sz val="7"/>
        <color theme="1" tint="0.499984740745262"/>
        <rFont val="Noto Sans"/>
        <family val="2"/>
      </rPr>
      <t>Wachstum Bodenstein:</t>
    </r>
    <r>
      <rPr>
        <sz val="7"/>
        <color theme="1" tint="0.499984740745262"/>
        <rFont val="Noto Sans"/>
        <family val="2"/>
      </rPr>
      <t xml:space="preserve"> 2.5ha of 90 biotypes of R</t>
    </r>
  </si>
  <si>
    <t>RIESLING SMARAGD:</t>
  </si>
  <si>
    <t>planted 1990 &amp; 2015 at 460m. Felsbraunerde over</t>
  </si>
  <si>
    <t>23PRAGER06</t>
  </si>
  <si>
    <t>seiber gneiss. 1st made 1993</t>
  </si>
  <si>
    <t>22PRAGER07</t>
  </si>
  <si>
    <r>
      <t xml:space="preserve">Zwerithaler: </t>
    </r>
    <r>
      <rPr>
        <sz val="7"/>
        <color theme="1" tint="0.499984740745262"/>
        <rFont val="Noto Sans"/>
        <family val="2"/>
      </rPr>
      <t xml:space="preserve">0.8ha GV planted 1947 &amp; 1998 </t>
    </r>
  </si>
  <si>
    <t>21PRAGER06</t>
  </si>
  <si>
    <t>Took over in 1995</t>
  </si>
  <si>
    <t>20PRAGER06</t>
  </si>
  <si>
    <r>
      <t xml:space="preserve">Zwerithaler Kammergut: </t>
    </r>
    <r>
      <rPr>
        <sz val="7"/>
        <color theme="1" tint="0.499984740745262"/>
        <rFont val="Noto Sans"/>
        <family val="2"/>
      </rPr>
      <t>0.4ha GV TVV massale.</t>
    </r>
  </si>
  <si>
    <t>19PRAGER06</t>
  </si>
  <si>
    <t>Planted pre-1914. Leased 2015 from Melk monastery</t>
  </si>
  <si>
    <t>18PRAGER06</t>
  </si>
  <si>
    <t>17PRAGER04</t>
  </si>
  <si>
    <t>Wine Spectator Top 100 WOTY 2017</t>
  </si>
  <si>
    <t>23PRAGER08</t>
  </si>
  <si>
    <t>Suckling Top 100 WOTY 2017</t>
  </si>
  <si>
    <t>21PRAGER08</t>
  </si>
  <si>
    <t>Wine &amp; Spirit Top 100 Winery of The Year</t>
  </si>
  <si>
    <t>20PRAGER08</t>
  </si>
  <si>
    <t>WeingutPrager.at</t>
  </si>
  <si>
    <t>23PRAGER07</t>
  </si>
  <si>
    <t>21PRAGER07</t>
  </si>
  <si>
    <t>GROWER CODE: PRAGER</t>
  </si>
  <si>
    <t>20PRAGER07</t>
  </si>
  <si>
    <t>(fiche made 2020 with Prager)</t>
  </si>
  <si>
    <t>19PRAGER07</t>
  </si>
  <si>
    <t>18PRAGER07</t>
  </si>
  <si>
    <t>17PRAGER05</t>
  </si>
  <si>
    <t>RIESLING SMARAGD EN MAGNUM:</t>
  </si>
  <si>
    <t>23PRAGER06MG</t>
  </si>
  <si>
    <t>22PRAGER07MG</t>
  </si>
  <si>
    <t>21PRAGER06MG</t>
  </si>
  <si>
    <t>21PRAGER08MG</t>
  </si>
  <si>
    <t>22PRAGER08MG</t>
  </si>
  <si>
    <t>21PRAGER07MG</t>
  </si>
  <si>
    <t>20PRAGER07MG</t>
  </si>
  <si>
    <t>19PRAGER07MG</t>
  </si>
  <si>
    <t>18PRAGER07MG</t>
  </si>
  <si>
    <t>17PRAGER05MG</t>
  </si>
  <si>
    <t>21PRAGER09</t>
  </si>
  <si>
    <t>18PRAGER08HF</t>
  </si>
  <si>
    <t>Austria, Kamptal &amp; Wagram</t>
  </si>
  <si>
    <t>BRUNDLMAYER ON BRUNDLMAYER:</t>
  </si>
  <si>
    <r>
      <rPr>
        <b/>
        <sz val="7"/>
        <color theme="1" tint="0.499984740745262"/>
        <rFont val="Noto Sans"/>
        <family val="2"/>
      </rPr>
      <t>On wine</t>
    </r>
    <r>
      <rPr>
        <sz val="7"/>
        <color theme="1" tint="0.499984740745262"/>
        <rFont val="Noto Sans"/>
        <family val="2"/>
      </rPr>
      <t xml:space="preserve"> 'The wine tells everything about the soil, the heat and cold, of storm and rain, the landscape – and the people involved from the beginning.'</t>
    </r>
  </si>
  <si>
    <r>
      <rPr>
        <b/>
        <sz val="7"/>
        <color theme="1" tint="0.499984740745262"/>
        <rFont val="Noto Sans"/>
        <family val="2"/>
      </rPr>
      <t>On winemaking</t>
    </r>
    <r>
      <rPr>
        <sz val="7"/>
        <color theme="1" tint="0.499984740745262"/>
        <rFont val="Noto Sans"/>
        <family val="2"/>
      </rPr>
      <t xml:space="preserve"> 'The art of wine making consists of understanding a natural product grown on living soil in such a way that the metamorphosis –</t>
    </r>
  </si>
  <si>
    <t>from vine to grape to juice to wine – is like a melody. Our winemaking combines tradition with modern approaches, we use technological progress</t>
  </si>
  <si>
    <t>but also need a lot of handwork, experience and spirit of highly skilled team.</t>
  </si>
  <si>
    <r>
      <rPr>
        <b/>
        <sz val="7"/>
        <color theme="1" tint="0.499984740745262"/>
        <rFont val="Noto Sans"/>
        <family val="2"/>
      </rPr>
      <t>On farming</t>
    </r>
    <r>
      <rPr>
        <sz val="7"/>
        <color theme="1" tint="0.499984740745262"/>
        <rFont val="Noto Sans"/>
        <family val="2"/>
      </rPr>
      <t xml:space="preserve"> 'All our activities are focused on promoting the wealth of life, its biodiversity (vegetable genetic material, soil life, natural yeasts):</t>
    </r>
  </si>
  <si>
    <t>intelligent action - the beauty of simple work processes.'</t>
  </si>
  <si>
    <r>
      <rPr>
        <b/>
        <sz val="7"/>
        <color theme="1" tint="0.499984740745262"/>
        <rFont val="Noto Sans"/>
        <family val="2"/>
      </rPr>
      <t>On trellissing -</t>
    </r>
    <r>
      <rPr>
        <sz val="7"/>
        <color theme="1" tint="0.499984740745262"/>
        <rFont val="Noto Sans"/>
        <family val="2"/>
      </rPr>
      <t xml:space="preserve"> 'Willi sets his vines just above the ground so that the grapes can benefit from the heat of the soil – heat storage and reflection of light</t>
    </r>
  </si>
  <si>
    <t>as well as heat through the stones – yet high enough so that the vines are not spattered by the wet soil during storms.'</t>
  </si>
  <si>
    <r>
      <rPr>
        <b/>
        <sz val="7"/>
        <color theme="1" tint="0.499984740745262"/>
        <rFont val="Noto Sans"/>
        <family val="2"/>
      </rPr>
      <t>On Kamptal</t>
    </r>
    <r>
      <rPr>
        <sz val="7"/>
        <color theme="1" tint="0.499984740745262"/>
        <rFont val="Noto Sans"/>
        <family val="2"/>
      </rPr>
      <t xml:space="preserve"> 'In the Kamptal, the interplay of soil and climate results in particular finesse and complexity.'</t>
    </r>
  </si>
  <si>
    <t>BRÜNDLMAYER</t>
  </si>
  <si>
    <t>SPARKLING - SEKT:</t>
  </si>
  <si>
    <t>Langenlois, Kamptal. ~90ha vines</t>
  </si>
  <si>
    <t>21BRUND02HF</t>
  </si>
  <si>
    <t>Willi &amp; Edwige Brundlmayer, son Vincent</t>
  </si>
  <si>
    <t>16BRUND03TB</t>
  </si>
  <si>
    <t>&amp; team. Simmonit &amp; Sirch pruning</t>
  </si>
  <si>
    <t>Organic certified LACON 2015</t>
  </si>
  <si>
    <t>22BRUND03</t>
  </si>
  <si>
    <r>
      <t xml:space="preserve">Vegetal fining if nec.; </t>
    </r>
    <r>
      <rPr>
        <b/>
        <sz val="8"/>
        <color rgb="FF00B050"/>
        <rFont val="Noto Sans"/>
        <family val="2"/>
      </rPr>
      <t>Ⓥ Vegan compatible</t>
    </r>
  </si>
  <si>
    <t>21BRUND03</t>
  </si>
  <si>
    <t>Some wines under screwcap</t>
  </si>
  <si>
    <t>PINOT NOIR:</t>
  </si>
  <si>
    <t>KEY WINE INFO:</t>
  </si>
  <si>
    <t>19BRUND06TB</t>
  </si>
  <si>
    <r>
      <rPr>
        <b/>
        <sz val="7"/>
        <color theme="1" tint="0.499984740745262"/>
        <rFont val="Noto Sans"/>
        <family val="2"/>
      </rPr>
      <t>Pinot noir:</t>
    </r>
    <r>
      <rPr>
        <sz val="7"/>
        <color theme="1" tint="0.499984740745262"/>
        <rFont val="Noto Sans"/>
        <family val="2"/>
      </rPr>
      <t xml:space="preserve"> 18mths 300L casks, 2nd/3rd passage </t>
    </r>
  </si>
  <si>
    <t>GRUNER VELTLINER HVS:</t>
  </si>
  <si>
    <r>
      <rPr>
        <b/>
        <sz val="7"/>
        <color theme="1" tint="0.499984740745262"/>
        <rFont val="Noto Sans"/>
        <family val="2"/>
      </rPr>
      <t xml:space="preserve">Heiligenstein riesling alte reben: </t>
    </r>
    <r>
      <rPr>
        <sz val="7"/>
        <color theme="1" tint="0.499984740745262"/>
        <rFont val="Noto Sans"/>
        <family val="2"/>
      </rPr>
      <t>50-75yrs</t>
    </r>
  </si>
  <si>
    <t>22BRUND01HF</t>
  </si>
  <si>
    <t>TIMELINE OF PRESS (IN BRIEF):</t>
  </si>
  <si>
    <t>2016 Jane Anson's Top 10 WOTY</t>
  </si>
  <si>
    <t>23BRUND02</t>
  </si>
  <si>
    <t>2008 1st Wine &amp; Spirits Top 100, Winery of the Yr</t>
  </si>
  <si>
    <t>21BRUND01</t>
  </si>
  <si>
    <t>2006 1st entry in Wine Spectator Top 100</t>
  </si>
  <si>
    <t>20BRUND02</t>
  </si>
  <si>
    <t>Bruendlmayer.at</t>
  </si>
  <si>
    <t>TraditionsWeingueter.at</t>
  </si>
  <si>
    <t>19BRUND05HTB</t>
  </si>
  <si>
    <t>LEVI DALTON 'IDTT' INTERVIEW #157</t>
  </si>
  <si>
    <t>21BRUND04</t>
  </si>
  <si>
    <t>NB HEURIGE (WINE BAR) AVAIL.</t>
  </si>
  <si>
    <t>GROWER CODE: BRUND</t>
  </si>
  <si>
    <t>22BRUND02</t>
  </si>
  <si>
    <t>19BRUND05TB</t>
  </si>
  <si>
    <t>12BRUND06TB</t>
  </si>
  <si>
    <t>AUSLESE:</t>
  </si>
  <si>
    <t>23BRUND01HF</t>
  </si>
  <si>
    <t>EHMOSER ON EHMOSER:</t>
  </si>
  <si>
    <r>
      <rPr>
        <b/>
        <sz val="7"/>
        <color theme="1" tint="0.499984740745262"/>
        <rFont val="Noto Sans"/>
        <family val="2"/>
      </rPr>
      <t>Martina</t>
    </r>
    <r>
      <rPr>
        <sz val="7"/>
        <color theme="1" tint="0.499984740745262"/>
        <rFont val="Noto Sans"/>
        <family val="2"/>
      </rPr>
      <t xml:space="preserve"> 'We make wines that fit our tastes: deliberate, linear and vibrant.'</t>
    </r>
  </si>
  <si>
    <r>
      <rPr>
        <b/>
        <sz val="7"/>
        <color theme="1" tint="0.499984740745262"/>
        <rFont val="Noto Sans"/>
        <family val="2"/>
      </rPr>
      <t>Josef</t>
    </r>
    <r>
      <rPr>
        <sz val="7"/>
        <color theme="1" tint="0.499984740745262"/>
        <rFont val="Noto Sans"/>
        <family val="2"/>
      </rPr>
      <t xml:space="preserve"> 'inspired by our beloved Wagram region and its loess soils.'</t>
    </r>
  </si>
  <si>
    <r>
      <rPr>
        <b/>
        <sz val="7"/>
        <color theme="1" tint="0.499984740745262"/>
        <rFont val="Noto Sans"/>
        <family val="2"/>
      </rPr>
      <t xml:space="preserve">Josef </t>
    </r>
    <r>
      <rPr>
        <sz val="7"/>
        <color theme="1" tint="0.499984740745262"/>
        <rFont val="Noto Sans"/>
        <family val="2"/>
      </rPr>
      <t>'Sustainable viticulture has always been a top priority for us. It's why the move to organic cultivation was simply a natural progression.'</t>
    </r>
  </si>
  <si>
    <t>EHMOSER</t>
  </si>
  <si>
    <t>Tiefenthal, in Eastern Wagram.</t>
  </si>
  <si>
    <t>25JEHMOS01</t>
  </si>
  <si>
    <t>Martina &amp; Josef Ehmoser</t>
  </si>
  <si>
    <t>17ha: limestone-rich yellow loess, w.gravels</t>
  </si>
  <si>
    <t>23JEHMOS02</t>
  </si>
  <si>
    <t>top wines are ambient yeast; unfined; large</t>
  </si>
  <si>
    <t>19JEHMOS04</t>
  </si>
  <si>
    <r>
      <rPr>
        <sz val="8"/>
        <color rgb="FF262626"/>
        <rFont val="Noto Sans"/>
        <family val="2"/>
      </rPr>
      <t xml:space="preserve">oak cask raised. </t>
    </r>
    <r>
      <rPr>
        <b/>
        <sz val="8"/>
        <color rgb="FF00B050"/>
        <rFont val="Noto Sans"/>
        <family val="2"/>
      </rPr>
      <t>Ⓥ Vegan compatible</t>
    </r>
  </si>
  <si>
    <t>Organic certified 2020 Lacon</t>
  </si>
  <si>
    <t>23JEHMOS03</t>
  </si>
  <si>
    <t>Part screwcap, part natural cork (Ried/Reserve)</t>
  </si>
  <si>
    <t>Weingut-Ehmoser.at</t>
  </si>
  <si>
    <t>23JEHMOS04</t>
  </si>
  <si>
    <t>16JEHM02TB</t>
  </si>
  <si>
    <t>GROWER CODE: JEHM</t>
  </si>
  <si>
    <t>23JEHMOS05HF</t>
  </si>
  <si>
    <t>Austria, Burgenland</t>
  </si>
  <si>
    <t>SCHIEFER ON SCHIEFER:</t>
  </si>
  <si>
    <r>
      <t>Motto:</t>
    </r>
    <r>
      <rPr>
        <sz val="7"/>
        <color theme="1" tint="0.499984740745262"/>
        <rFont val="Noto Sans"/>
        <family val="2"/>
      </rPr>
      <t xml:space="preserve"> 'Schiefer.pur - Pure slate'</t>
    </r>
  </si>
  <si>
    <r>
      <t>Motto in life:</t>
    </r>
    <r>
      <rPr>
        <sz val="7"/>
        <color theme="1" tint="0.499984740745262"/>
        <rFont val="Noto Sans"/>
        <family val="2"/>
      </rPr>
      <t xml:space="preserve"> 'Less is more - wish for less'</t>
    </r>
  </si>
  <si>
    <r>
      <rPr>
        <b/>
        <sz val="7"/>
        <color theme="1" tint="0.499984740745262"/>
        <rFont val="Noto Sans"/>
        <family val="2"/>
      </rPr>
      <t>Uwe</t>
    </r>
    <r>
      <rPr>
        <sz val="7"/>
        <color theme="1" tint="0.499984740745262"/>
        <rFont val="Noto Sans"/>
        <family val="2"/>
      </rPr>
      <t xml:space="preserve"> 'The clayey-loamy terroir with a high iron content on ancient steep slopes makes it possible to produce red wines that are full of character and appear</t>
    </r>
  </si>
  <si>
    <t>almost cool. I rely on puristic, natural viticulture. Herbs and plants between the rows of vines can and should also grow there. Man, the pannonian climate</t>
  </si>
  <si>
    <t>with hot days and cool nights and the unique soil give my wines everything they need. Nature makes my wines. I just make sure that the right thing happens</t>
  </si>
  <si>
    <t>at the right moment: cutting, thinning, reading – no more and no less. What nature provides is carefully implemented in the cellar. All wines ferment</t>
  </si>
  <si>
    <t>spontaneously and slowly mature on the lees in barrels of various sizes. No technology, merciless simplicity, pronounced minerality - wines with practiced</t>
  </si>
  <si>
    <t>origin: courageous, unvarnished and with an almost dogmatic purism: pure slate!'</t>
  </si>
  <si>
    <t>UWE SCHIEFER</t>
  </si>
  <si>
    <t>Welgersdorf, Sudburgenland. ~22ha</t>
  </si>
  <si>
    <t>22SCHIEFER01</t>
  </si>
  <si>
    <t>founded 1994, inspired by Erich Krutzler</t>
  </si>
  <si>
    <t>22SCHIEFER02</t>
  </si>
  <si>
    <r>
      <rPr>
        <b/>
        <sz val="8"/>
        <color rgb="FF00B050"/>
        <rFont val="Noto Sans"/>
        <family val="2"/>
      </rPr>
      <t>Biodynamic</t>
    </r>
    <r>
      <rPr>
        <sz val="8"/>
        <color theme="1" tint="0.14999847407452621"/>
        <rFont val="Noto Sans"/>
        <family val="2"/>
      </rPr>
      <t xml:space="preserve"> from 2006</t>
    </r>
  </si>
  <si>
    <t>ORANGE - 'M' FOR MACERATED:</t>
  </si>
  <si>
    <t>~90% blaufränkisch in the vines</t>
  </si>
  <si>
    <t>17UWESCH04TB</t>
  </si>
  <si>
    <t>ambient yeast; large foudres &amp; tonneaux</t>
  </si>
  <si>
    <t>22SCHIEFER03</t>
  </si>
  <si>
    <r>
      <rPr>
        <sz val="8"/>
        <color theme="1" tint="0.14999847407452621"/>
        <rFont val="Noto Sans"/>
        <family val="2"/>
      </rPr>
      <t xml:space="preserve">unfined &amp; unfiltered; </t>
    </r>
    <r>
      <rPr>
        <b/>
        <sz val="8"/>
        <color rgb="FF00B050"/>
        <rFont val="Noto Sans"/>
        <family val="2"/>
      </rPr>
      <t>Ⓥ Vegan compatible</t>
    </r>
  </si>
  <si>
    <t>24SCHIEFER01M</t>
  </si>
  <si>
    <t>1yr to 3rs elevage; screwcap &amp; natural corks</t>
  </si>
  <si>
    <t>ROUGE - 'FRESH' RANGE:</t>
  </si>
  <si>
    <t>lightweighted bottle (LWB) on screwcap series</t>
  </si>
  <si>
    <t>19UWESCH03HF</t>
  </si>
  <si>
    <t>WHITES:</t>
  </si>
  <si>
    <t>22SCHIEFER04</t>
  </si>
  <si>
    <r>
      <rPr>
        <b/>
        <sz val="7"/>
        <color theme="1" tint="0.499984740745262"/>
        <rFont val="Noto Sans"/>
        <family val="2"/>
      </rPr>
      <t xml:space="preserve">Welschriesling: </t>
    </r>
    <r>
      <rPr>
        <sz val="7"/>
        <color theme="1" tint="0.499984740745262"/>
        <rFont val="Noto Sans"/>
        <family val="2"/>
      </rPr>
      <t>2ha to 60yrs, slate, Eisenberg</t>
    </r>
  </si>
  <si>
    <t>19UWESCH04</t>
  </si>
  <si>
    <t>12hl cask raised. Screwcap, LWB</t>
  </si>
  <si>
    <t>24SCHIEFER02</t>
  </si>
  <si>
    <r>
      <rPr>
        <b/>
        <sz val="7"/>
        <color theme="1" tint="0.499984740745262"/>
        <rFont val="Noto Sans"/>
        <family val="2"/>
      </rPr>
      <t>Pinot Blanc</t>
    </r>
    <r>
      <rPr>
        <sz val="7"/>
        <color theme="1" tint="0.499984740745262"/>
        <rFont val="Noto Sans"/>
        <family val="2"/>
      </rPr>
      <t>: 1ha ~35yrs on chalk, Hannersberg</t>
    </r>
  </si>
  <si>
    <t>22SCHIEFER05</t>
  </si>
  <si>
    <t>24SCHIEFER03M</t>
  </si>
  <si>
    <t>REDS:</t>
  </si>
  <si>
    <t>19UWESCH01MG</t>
  </si>
  <si>
    <r>
      <rPr>
        <b/>
        <sz val="7"/>
        <color theme="1" tint="0.499984740745262"/>
        <rFont val="Noto Sans"/>
        <family val="2"/>
      </rPr>
      <t>Blaufrankisch Burgenland:</t>
    </r>
    <r>
      <rPr>
        <sz val="7"/>
        <color theme="1" tint="0.499984740745262"/>
        <rFont val="Noto Sans"/>
        <family val="2"/>
      </rPr>
      <t xml:space="preserve"> screwcap, LWB</t>
    </r>
  </si>
  <si>
    <t>ROUGE - TOP SITES, VV, LONGER ELEVAGE:</t>
  </si>
  <si>
    <r>
      <rPr>
        <b/>
        <sz val="7"/>
        <color theme="1" tint="0.499984740745262"/>
        <rFont val="Noto Sans"/>
        <family val="2"/>
      </rPr>
      <t>Vom blauen schiefer:</t>
    </r>
    <r>
      <rPr>
        <sz val="7"/>
        <color theme="1" tint="0.499984740745262"/>
        <rFont val="Noto Sans"/>
        <family val="2"/>
      </rPr>
      <t xml:space="preserve"> 15-25yr vines in top</t>
    </r>
  </si>
  <si>
    <t>22SCHIEFER07HF</t>
  </si>
  <si>
    <t>Eisenberg sites; 2yrs in large casks of local oak</t>
  </si>
  <si>
    <t>24SCHIEFER04HF</t>
  </si>
  <si>
    <r>
      <rPr>
        <b/>
        <sz val="7"/>
        <color theme="1" tint="0.499984740745262"/>
        <rFont val="Noto Sans"/>
        <family val="2"/>
      </rPr>
      <t>Konigsberg:</t>
    </r>
    <r>
      <rPr>
        <sz val="7"/>
        <color theme="1" tint="0.499984740745262"/>
        <rFont val="Noto Sans"/>
        <family val="2"/>
      </rPr>
      <t xml:space="preserve"> SW facing, calcarous</t>
    </r>
  </si>
  <si>
    <t>22SCHIEFER10HF</t>
  </si>
  <si>
    <r>
      <rPr>
        <b/>
        <sz val="7"/>
        <color theme="1" tint="0.499984740745262"/>
        <rFont val="Noto Sans"/>
        <family val="2"/>
      </rPr>
      <t>Konigsberg AW:</t>
    </r>
    <r>
      <rPr>
        <sz val="7"/>
        <color theme="1" tint="0.499984740745262"/>
        <rFont val="Noto Sans"/>
        <family val="2"/>
      </rPr>
      <t xml:space="preserve"> ~1ha 5 small older VV plots on</t>
    </r>
  </si>
  <si>
    <t>19UWESCH02</t>
  </si>
  <si>
    <t>dolomitic limestone. 18mths elevage</t>
  </si>
  <si>
    <t>24SCHIEFER06</t>
  </si>
  <si>
    <r>
      <rPr>
        <b/>
        <sz val="7"/>
        <color theme="1" tint="0.499984740745262"/>
        <rFont val="Noto Sans"/>
        <family val="2"/>
      </rPr>
      <t>Pala:</t>
    </r>
    <r>
      <rPr>
        <sz val="7"/>
        <color theme="1" tint="0.499984740745262"/>
        <rFont val="Noto Sans"/>
        <family val="2"/>
      </rPr>
      <t xml:space="preserve"> over the border in Hungary (Pala=slate)</t>
    </r>
  </si>
  <si>
    <t>22SCHIEFER06</t>
  </si>
  <si>
    <r>
      <rPr>
        <b/>
        <sz val="7"/>
        <color theme="1" tint="0.499984740745262"/>
        <rFont val="Noto Sans"/>
        <family val="2"/>
      </rPr>
      <t>Lutzmannsburg:</t>
    </r>
    <r>
      <rPr>
        <sz val="7"/>
        <color theme="1" tint="0.499984740745262"/>
        <rFont val="Noto Sans"/>
        <family val="2"/>
      </rPr>
      <t xml:space="preserve"> aka 'Lutz', 4.5ha VV &gt;60yrs on</t>
    </r>
  </si>
  <si>
    <t>22SCHIEFER08</t>
  </si>
  <si>
    <t>plateau, Mittelburgunland. 30mths 500L casks</t>
  </si>
  <si>
    <t>17UWESCH03TB</t>
  </si>
  <si>
    <r>
      <rPr>
        <b/>
        <sz val="7"/>
        <color theme="1" tint="0.499984740745262"/>
        <rFont val="Noto Sans"/>
        <family val="2"/>
      </rPr>
      <t>Hoad:</t>
    </r>
    <r>
      <rPr>
        <sz val="7"/>
        <color theme="1" tint="0.499984740745262"/>
        <rFont val="Noto Sans"/>
        <family val="2"/>
      </rPr>
      <t xml:space="preserve"> 0.45ha planted 1992, Purbach, Leithaberg</t>
    </r>
  </si>
  <si>
    <t>24SCHIEFER05</t>
  </si>
  <si>
    <r>
      <rPr>
        <b/>
        <sz val="7"/>
        <color theme="1" tint="0.499984740745262"/>
        <rFont val="Noto Sans"/>
        <family val="2"/>
      </rPr>
      <t>Tschaterberg:</t>
    </r>
    <r>
      <rPr>
        <sz val="7"/>
        <color theme="1" tint="0.499984740745262"/>
        <rFont val="Noto Sans"/>
        <family val="2"/>
      </rPr>
      <t xml:space="preserve"> SW spur of Eisenberg:</t>
    </r>
  </si>
  <si>
    <t>22SCHIEFER09</t>
  </si>
  <si>
    <r>
      <rPr>
        <b/>
        <sz val="7"/>
        <color theme="1" tint="0.499984740745262"/>
        <rFont val="Noto Sans"/>
        <family val="2"/>
      </rPr>
      <t>Eisenberg:</t>
    </r>
    <r>
      <rPr>
        <sz val="7"/>
        <color theme="1" tint="0.499984740745262"/>
        <rFont val="Noto Sans"/>
        <family val="2"/>
      </rPr>
      <t xml:space="preserve"> amphitheatre of iron-rich slate</t>
    </r>
  </si>
  <si>
    <t>08UWESCH03</t>
  </si>
  <si>
    <r>
      <rPr>
        <b/>
        <sz val="7"/>
        <color theme="1" tint="0.499984740745262"/>
        <rFont val="Noto Sans"/>
        <family val="2"/>
      </rPr>
      <t>Szapary:</t>
    </r>
    <r>
      <rPr>
        <sz val="7"/>
        <color theme="1" tint="0.499984740745262"/>
        <rFont val="Noto Sans"/>
        <family val="2"/>
      </rPr>
      <t xml:space="preserve"> @40yr SW vines, blue &amp; green slate,</t>
    </r>
  </si>
  <si>
    <t>22SCHIEFER06MG</t>
  </si>
  <si>
    <t>with clay on Eisenberg. 3yrs elevage in large casks</t>
  </si>
  <si>
    <r>
      <rPr>
        <b/>
        <sz val="7"/>
        <color theme="1" tint="0.499984740745262"/>
        <rFont val="Noto Sans"/>
        <family val="2"/>
      </rPr>
      <t>Reihburg:</t>
    </r>
    <r>
      <rPr>
        <sz val="7"/>
        <color theme="1" tint="0.499984740745262"/>
        <rFont val="Noto Sans"/>
        <family val="2"/>
      </rPr>
      <t xml:space="preserve"> 3ha VV plots 45-80yrs (av.60yrs). </t>
    </r>
  </si>
  <si>
    <t>Iron-rich loam, medium slope, on Eisenberg</t>
  </si>
  <si>
    <t>Weinbau-Schiefer.at</t>
  </si>
  <si>
    <t>facebook.com/weinbauschiefer</t>
  </si>
  <si>
    <t>GROWER CODES: UWESCH / SCHIEFER</t>
  </si>
  <si>
    <r>
      <t xml:space="preserve">Germany - a </t>
    </r>
    <r>
      <rPr>
        <b/>
        <i/>
        <sz val="22"/>
        <color theme="1"/>
        <rFont val="Noto Sans"/>
        <family val="2"/>
      </rPr>
      <t>brief</t>
    </r>
    <r>
      <rPr>
        <b/>
        <sz val="22"/>
        <color theme="1"/>
        <rFont val="Noto Sans"/>
        <family val="2"/>
      </rPr>
      <t xml:space="preserve"> glossary, A-Z:</t>
    </r>
  </si>
  <si>
    <t>KEY, A-Z:</t>
  </si>
  <si>
    <t>BASICS:</t>
  </si>
  <si>
    <t>1L = Loewen's Erste Lage / 1 Lion</t>
  </si>
  <si>
    <t>edelfäule = noble rot, botrytis cinerea</t>
  </si>
  <si>
    <t>AP = Amtliche Prüfnummer (bottling # &amp; yr)</t>
  </si>
  <si>
    <t>erzeugerabfüllung = estate bottled wine</t>
  </si>
  <si>
    <t>AR = Alte Reben (old vines)</t>
  </si>
  <si>
    <t>Oechsle = sugar scale, based on must density, developed 1830s</t>
  </si>
  <si>
    <t>BA = BeerenAuslese</t>
  </si>
  <si>
    <t>prädikat = special attribute</t>
  </si>
  <si>
    <t>GL = VDP Gross Lage</t>
  </si>
  <si>
    <t>prädikatswein = special attribute wine (QMP until 2007)</t>
  </si>
  <si>
    <t>GG = Grosses Gewachs</t>
  </si>
  <si>
    <t>qualitätswein = quality-wine from a region (ex-QbA)</t>
  </si>
  <si>
    <t>Nr. = number</t>
  </si>
  <si>
    <t>wein = wine</t>
  </si>
  <si>
    <r>
      <t xml:space="preserve">QbA = </t>
    </r>
    <r>
      <rPr>
        <sz val="7"/>
        <color theme="1" tint="0.499984740745262"/>
        <rFont val="Noto Sans"/>
        <family val="2"/>
      </rPr>
      <t>Qualitätswein Bestimmter Anbaugebiete</t>
    </r>
  </si>
  <si>
    <t>weingarten = vineyard ('wine garden')</t>
  </si>
  <si>
    <t>QMP = Qualitätswein mit Prädikat</t>
  </si>
  <si>
    <t>weingut = winery</t>
  </si>
  <si>
    <t>RS = Residual Sugar</t>
  </si>
  <si>
    <t>winzer = vintner, winegrower</t>
  </si>
  <si>
    <t>TBA = TrockenBeerenAuslese</t>
  </si>
  <si>
    <t>VINES, VINEYARDS:</t>
  </si>
  <si>
    <t>VDP = Verband Deutscher-</t>
  </si>
  <si>
    <t>alte reben = old vines</t>
  </si>
  <si>
    <t xml:space="preserve"> Prädikatsweingüter</t>
  </si>
  <si>
    <t>anbaugebiet = the wine growing regions</t>
  </si>
  <si>
    <t>bereich = village/district, rather than a cru</t>
  </si>
  <si>
    <t>einzellage = a single vineyard, cru, lieu-dit</t>
  </si>
  <si>
    <t>einzelstockerziehung = pole trained vine</t>
  </si>
  <si>
    <t>Erste Lage = first site (VDP equivalent of Burg' 1C)</t>
  </si>
  <si>
    <t>Flurbereinigung = vineyard consolidation / restructuring</t>
  </si>
  <si>
    <t>Grosses Gewächs (GG) = great growth, dry style (in VDP)</t>
  </si>
  <si>
    <t>Grosse Lage (GL): great site (VDP equivalent of Burg' GC)</t>
  </si>
  <si>
    <t>großlage / grosslage = collective sites</t>
  </si>
  <si>
    <t>steillage = a steep site, e.g. &gt;30% slope</t>
  </si>
  <si>
    <t>GRAPES:</t>
  </si>
  <si>
    <t>fruhburgunder = pinot noir précoce</t>
  </si>
  <si>
    <t>grauburgunder = pinot gris</t>
  </si>
  <si>
    <t>spatburgunder = pinot noir</t>
  </si>
  <si>
    <t>weissburgunder = pinot blanc</t>
  </si>
  <si>
    <t>SWEETNESS LEVELS IN WINE (in ascending order):</t>
  </si>
  <si>
    <t>trocken = 'dry' (&lt;4 to 9g/l RS)</t>
  </si>
  <si>
    <t>halbtrocken = off-dry (&lt;12 to 18g/l RS)</t>
  </si>
  <si>
    <t>feinherb = off-dry (like halbtrocken, but an unofficial term)</t>
  </si>
  <si>
    <t>(NB BELOW ARE THE 'PRÄDIKAT' LEVELS)</t>
  </si>
  <si>
    <t>kabinett = literally 'cabinet', orignally a wine worth keeping</t>
  </si>
  <si>
    <t>spätlese = literally 'late harvest'</t>
  </si>
  <si>
    <t>auslese = 'select harvest'</t>
  </si>
  <si>
    <t>beerenauslese = 'berry select harvest'</t>
  </si>
  <si>
    <t>trockenbeerenauslese = 'dry (single) berry select harvest'</t>
  </si>
  <si>
    <t>eiswein = icewine</t>
  </si>
  <si>
    <t>Germany, Mosel-Saar-Ruwer</t>
  </si>
  <si>
    <t>NB All white wines are riesling, unless stated</t>
  </si>
  <si>
    <t>KIND WORDS ON LOEWEN:</t>
  </si>
  <si>
    <r>
      <t>Anne Krebiehl MW, Vinous 2023</t>
    </r>
    <r>
      <rPr>
        <sz val="7"/>
        <color theme="1" tint="0.499984740745262"/>
        <rFont val="Noto Sans"/>
        <family val="2"/>
      </rPr>
      <t xml:space="preserve"> 'a full-bodied, bold, textured, generous and rich style. The wines have density and saltiness, and the top wines</t>
    </r>
  </si>
  <si>
    <t>are elegant, notwithstanding all their power.'</t>
  </si>
  <si>
    <r>
      <t xml:space="preserve">Stuart Pigott, Frankfurter Allgemeine Zeitung </t>
    </r>
    <r>
      <rPr>
        <sz val="7"/>
        <color theme="1" tint="0.499984740745262"/>
        <rFont val="Noto Sans"/>
        <family val="2"/>
      </rPr>
      <t>'Winery of the Year 2018'</t>
    </r>
  </si>
  <si>
    <r>
      <t>Stuart Pigott,</t>
    </r>
    <r>
      <rPr>
        <sz val="7"/>
        <color theme="1" tint="0.499984740745262"/>
        <rFont val="Noto Sans"/>
        <family val="2"/>
      </rPr>
      <t xml:space="preserve"> 'Rising Star of the Year, 2011'</t>
    </r>
  </si>
  <si>
    <r>
      <t xml:space="preserve">Falstaff Guide 2018 </t>
    </r>
    <r>
      <rPr>
        <sz val="7"/>
        <color theme="1" tint="0.499984740745262"/>
        <rFont val="Noto Sans"/>
        <family val="2"/>
      </rPr>
      <t>'Collection of the Year 2017'</t>
    </r>
  </si>
  <si>
    <r>
      <t xml:space="preserve">Falstaff Guide 2018 </t>
    </r>
    <r>
      <rPr>
        <sz val="7"/>
        <color theme="1" tint="0.499984740745262"/>
        <rFont val="Noto Sans"/>
        <family val="2"/>
      </rPr>
      <t>'DreamTeam on the Moselle: Karl Josef and Christopher Loewen'</t>
    </r>
  </si>
  <si>
    <r>
      <rPr>
        <b/>
        <sz val="7"/>
        <color rgb="FF808080"/>
        <rFont val="Noto Sans"/>
        <family val="2"/>
      </rPr>
      <t xml:space="preserve">Mosel Fine Wines ('MFW'), Jun.2018 </t>
    </r>
    <r>
      <rPr>
        <sz val="7"/>
        <color rgb="FF808080"/>
        <rFont val="Noto Sans"/>
        <family val="2"/>
      </rPr>
      <t>'This Estate is on fire!'</t>
    </r>
  </si>
  <si>
    <r>
      <rPr>
        <b/>
        <sz val="7"/>
        <color rgb="FF808080"/>
        <rFont val="Noto Sans"/>
        <family val="2"/>
      </rPr>
      <t>MFW 2024</t>
    </r>
    <r>
      <rPr>
        <sz val="7"/>
        <color rgb="FF808080"/>
        <rFont val="Noto Sans"/>
        <family val="2"/>
      </rPr>
      <t xml:space="preserve"> '</t>
    </r>
  </si>
  <si>
    <r>
      <rPr>
        <b/>
        <sz val="7"/>
        <color rgb="FF808080"/>
        <rFont val="Noto Sans"/>
        <family val="2"/>
      </rPr>
      <t>MFW 2023</t>
    </r>
    <r>
      <rPr>
        <sz val="7"/>
        <color rgb="FF808080"/>
        <rFont val="Noto Sans"/>
        <family val="2"/>
      </rPr>
      <t xml:space="preserve"> 'up to modern-day legends in the making'</t>
    </r>
  </si>
  <si>
    <r>
      <rPr>
        <b/>
        <sz val="7"/>
        <color theme="1" tint="0.499984740745262"/>
        <rFont val="Noto Sans"/>
        <family val="2"/>
      </rPr>
      <t>MFW 2021</t>
    </r>
    <r>
      <rPr>
        <sz val="7"/>
        <color theme="1" tint="0.499984740745262"/>
        <rFont val="Noto Sans"/>
        <family val="2"/>
      </rPr>
      <t xml:space="preserve"> 'a superb collection which shines through presence, finesse and intensity' (on 2020s)</t>
    </r>
  </si>
  <si>
    <r>
      <rPr>
        <b/>
        <sz val="7"/>
        <color theme="1" tint="0.499984740745262"/>
        <rFont val="Noto Sans"/>
        <family val="2"/>
      </rPr>
      <t>MFW 2021</t>
    </r>
    <r>
      <rPr>
        <sz val="7"/>
        <color theme="1" tint="0.499984740745262"/>
        <rFont val="Noto Sans"/>
        <family val="2"/>
      </rPr>
      <t xml:space="preserve"> 'The “simple” Alte Reben is anything but simple and will give many premium wines a good run for their money.'</t>
    </r>
  </si>
  <si>
    <r>
      <rPr>
        <b/>
        <sz val="7"/>
        <color rgb="FF808080"/>
        <rFont val="Noto Sans"/>
        <family val="2"/>
      </rPr>
      <t>MFW 2021</t>
    </r>
    <r>
      <rPr>
        <sz val="7"/>
        <color rgb="FF808080"/>
        <rFont val="Noto Sans"/>
        <family val="2"/>
      </rPr>
      <t xml:space="preserve"> '1896 is, again, a stunning effort and, again, a candidate for off-dry wine of the vintage' (on 2020)</t>
    </r>
  </si>
  <si>
    <r>
      <rPr>
        <b/>
        <sz val="7"/>
        <color rgb="FF808080"/>
        <rFont val="Noto Sans"/>
        <family val="2"/>
      </rPr>
      <t>Roman of Van Volxem 2017</t>
    </r>
    <r>
      <rPr>
        <sz val="7"/>
        <color rgb="FF808080"/>
        <rFont val="Noto Sans"/>
        <family val="2"/>
      </rPr>
      <t xml:space="preserve"> 'Loewen has done great things'</t>
    </r>
  </si>
  <si>
    <r>
      <rPr>
        <b/>
        <sz val="7"/>
        <color theme="1" tint="0.499984740745262"/>
        <rFont val="Noto Sans"/>
        <family val="2"/>
      </rPr>
      <t xml:space="preserve">S.Reinhardt, TWA 2018 </t>
    </r>
    <r>
      <rPr>
        <sz val="7"/>
        <color theme="1" tint="0.499984740745262"/>
        <rFont val="Noto Sans"/>
        <family val="2"/>
      </rPr>
      <t>'1896 from the Longuich Maximin Herrenberg is simply one of the finest wines produced in the Mosel (in 2016)'</t>
    </r>
  </si>
  <si>
    <r>
      <t>S.Reinhardt, TWA 2015</t>
    </r>
    <r>
      <rPr>
        <sz val="7"/>
        <color theme="1" tint="0.499984740745262"/>
        <rFont val="Noto Sans"/>
        <family val="2"/>
      </rPr>
      <t xml:space="preserve"> 'wide range of very clear, elegant and aromatic Rieslings with a pronounced acidity, most of them dry, tasting dry'</t>
    </r>
  </si>
  <si>
    <r>
      <rPr>
        <b/>
        <sz val="7"/>
        <color theme="1" tint="0.499984740745262"/>
        <rFont val="Noto Sans"/>
        <family val="2"/>
      </rPr>
      <t>D.Schildknecht, Vinous 2016</t>
    </r>
    <r>
      <rPr>
        <sz val="7"/>
        <color theme="1" tint="0.499984740745262"/>
        <rFont val="Noto Sans"/>
        <family val="2"/>
      </rPr>
      <t xml:space="preserve"> 'the Mosel's most inspiring and ambitious example of…'mountain rescue' – namely, the revival of once</t>
    </r>
  </si>
  <si>
    <t>justly renowned but long-neglected steep-slope Mosel vineyards'</t>
  </si>
  <si>
    <r>
      <rPr>
        <b/>
        <sz val="7"/>
        <color theme="1" tint="0.499984740745262"/>
        <rFont val="Noto Sans"/>
        <family val="2"/>
      </rPr>
      <t>D.Schildknecht, TWA 2013</t>
    </r>
    <r>
      <rPr>
        <sz val="7"/>
        <color theme="1" tint="0.499984740745262"/>
        <rFont val="Noto Sans"/>
        <family val="2"/>
      </rPr>
      <t xml:space="preserve"> 'I have been following and lauding Karl-Josef Loewen’s wines and sharing high-quality tasting and chin wagging</t>
    </r>
  </si>
  <si>
    <t>with him since a time when he was still little-known.'</t>
  </si>
  <si>
    <t>LOEWEN ON LOEWEN:</t>
  </si>
  <si>
    <t xml:space="preserve"> 'Slipping in steep slopes since 1803'</t>
  </si>
  <si>
    <r>
      <rPr>
        <b/>
        <sz val="7"/>
        <color theme="1" tint="0.499984740745262"/>
        <rFont val="Noto Sans"/>
        <family val="2"/>
      </rPr>
      <t>Motto:</t>
    </r>
    <r>
      <rPr>
        <sz val="7"/>
        <color theme="1" tint="0.499984740745262"/>
        <rFont val="Noto Sans"/>
        <family val="2"/>
      </rPr>
      <t xml:space="preserve"> '</t>
    </r>
    <r>
      <rPr>
        <i/>
        <sz val="7"/>
        <color theme="1" tint="0.499984740745262"/>
        <rFont val="Noto Sans"/>
        <family val="2"/>
      </rPr>
      <t>spitzenwein aus traumhaften lagen</t>
    </r>
    <r>
      <rPr>
        <sz val="7"/>
        <color theme="1" tint="0.499984740745262"/>
        <rFont val="Noto Sans"/>
        <family val="2"/>
      </rPr>
      <t>' - 'precise wine from dreamlike sites'</t>
    </r>
  </si>
  <si>
    <r>
      <t>K.J.Loewen, 2017</t>
    </r>
    <r>
      <rPr>
        <sz val="7"/>
        <color theme="1" tint="0.499984740745262"/>
        <rFont val="Noto Sans"/>
        <family val="2"/>
      </rPr>
      <t xml:space="preserve">  'I don't want to make wines great; I try to find out which sites make great wines'</t>
    </r>
  </si>
  <si>
    <r>
      <t>K.J.Loewen, 2010</t>
    </r>
    <r>
      <rPr>
        <sz val="7"/>
        <color theme="1" tint="0.499984740745262"/>
        <rFont val="Noto Sans"/>
        <family val="2"/>
      </rPr>
      <t xml:space="preserve"> 'The trick is to make little wine from many bunches, rather than little wine from few bunches.'
</t>
    </r>
  </si>
  <si>
    <t>CARL LOEWEN</t>
  </si>
  <si>
    <t>DRY / TROCKEN RIESLINGS:</t>
  </si>
  <si>
    <t>by CHRISTOPHER (son) &amp;</t>
  </si>
  <si>
    <t>23CLOEWEN01</t>
  </si>
  <si>
    <t>KARL-JOSEF (father)</t>
  </si>
  <si>
    <t>22CLOEWEN01</t>
  </si>
  <si>
    <t>Leiwen, middle Mosel; 96% riesling</t>
  </si>
  <si>
    <t>24CLOEWEN01</t>
  </si>
  <si>
    <r>
      <rPr>
        <sz val="8"/>
        <color rgb="FF262626"/>
        <rFont val="Noto Sans"/>
        <family val="2"/>
      </rPr>
      <t>16ha</t>
    </r>
    <r>
      <rPr>
        <b/>
        <sz val="8"/>
        <color rgb="FF00B050"/>
        <rFont val="Noto Sans"/>
        <family val="2"/>
      </rPr>
      <t xml:space="preserve"> sustainable</t>
    </r>
    <r>
      <rPr>
        <sz val="8"/>
        <color rgb="FF262626"/>
        <rFont val="Noto Sans"/>
        <family val="2"/>
      </rPr>
      <t>; no herbicide / fertiliser</t>
    </r>
  </si>
  <si>
    <t>23CLOEWEN02</t>
  </si>
  <si>
    <t>ambient yeast aka 'sponti', in seasoned</t>
  </si>
  <si>
    <t>22CLOEWEN02</t>
  </si>
  <si>
    <t>oak fuders fermenters on the top wines</t>
  </si>
  <si>
    <t>19CLOEWEN02</t>
  </si>
  <si>
    <t>KEY:</t>
  </si>
  <si>
    <t>23CLOEWEN03</t>
  </si>
  <si>
    <r>
      <t>'</t>
    </r>
    <r>
      <rPr>
        <b/>
        <sz val="7"/>
        <color theme="1" tint="0.499984740745262"/>
        <rFont val="Noto Sans"/>
        <family val="2"/>
      </rPr>
      <t>1896' WHITE label:</t>
    </r>
    <r>
      <rPr>
        <sz val="7"/>
        <color theme="1" tint="0.499984740745262"/>
        <rFont val="Noto Sans"/>
        <family val="2"/>
      </rPr>
      <t xml:space="preserve"> Karl-Josef's wine, 1896 vines</t>
    </r>
  </si>
  <si>
    <t>24CLOEWEN02</t>
  </si>
  <si>
    <r>
      <rPr>
        <b/>
        <sz val="7"/>
        <color theme="1" tint="0.499984740745262"/>
        <rFont val="Noto Sans"/>
        <family val="2"/>
      </rPr>
      <t>'1896' GREY label:</t>
    </r>
    <r>
      <rPr>
        <sz val="7"/>
        <color theme="1" tint="0.499984740745262"/>
        <rFont val="Noto Sans"/>
        <family val="2"/>
      </rPr>
      <t xml:space="preserve"> son Christopher's wine, made</t>
    </r>
  </si>
  <si>
    <t>23CLOEWEN04</t>
  </si>
  <si>
    <t>with 1896 vines, equipment &amp; processes.</t>
  </si>
  <si>
    <t>22CLOEWEN03</t>
  </si>
  <si>
    <r>
      <rPr>
        <b/>
        <sz val="7"/>
        <color theme="1" tint="0.499984740745262"/>
        <rFont val="Noto Sans"/>
        <family val="2"/>
      </rPr>
      <t>'1902':</t>
    </r>
    <r>
      <rPr>
        <sz val="7"/>
        <color theme="1" tint="0.499984740745262"/>
        <rFont val="Noto Sans"/>
        <family val="2"/>
      </rPr>
      <t xml:space="preserve"> vines planted 1902</t>
    </r>
  </si>
  <si>
    <t>19CLOEWEN03</t>
  </si>
  <si>
    <r>
      <rPr>
        <b/>
        <sz val="7"/>
        <color theme="1" tint="0.499984740745262"/>
        <rFont val="Noto Sans"/>
        <family val="2"/>
      </rPr>
      <t>'1L' Lion:</t>
    </r>
    <r>
      <rPr>
        <sz val="7"/>
        <color theme="1" tint="0.499984740745262"/>
        <rFont val="Noto Sans"/>
        <family val="2"/>
      </rPr>
      <t xml:space="preserve"> Loewen's own site classification</t>
    </r>
  </si>
  <si>
    <t>18CLOEWEN02TB</t>
  </si>
  <si>
    <r>
      <rPr>
        <b/>
        <sz val="7"/>
        <color theme="1" tint="0.499984740745262"/>
        <rFont val="Noto Sans"/>
        <family val="2"/>
      </rPr>
      <t>'W':</t>
    </r>
    <r>
      <rPr>
        <sz val="7"/>
        <color theme="1" tint="0.499984740745262"/>
        <rFont val="Noto Sans"/>
        <family val="2"/>
      </rPr>
      <t xml:space="preserve"> wurzelecht(en) = true roots, ungrafted</t>
    </r>
  </si>
  <si>
    <t>17CLOEWEN02TB</t>
  </si>
  <si>
    <t>KEY VINEYARDS (IN BRIEF):</t>
  </si>
  <si>
    <t>23CLOEWEN05</t>
  </si>
  <si>
    <r>
      <rPr>
        <b/>
        <sz val="7"/>
        <color theme="1" tint="0.499984740745262"/>
        <rFont val="Noto Sans"/>
        <family val="2"/>
      </rPr>
      <t>Longuicher Maximin Herrenberg</t>
    </r>
    <r>
      <rPr>
        <sz val="7"/>
        <color theme="1" tint="0.499984740745262"/>
        <rFont val="Noto Sans"/>
        <family val="2"/>
      </rPr>
      <t>: 1.5ha. 1ha is</t>
    </r>
  </si>
  <si>
    <t>22CLOEWEN04</t>
  </si>
  <si>
    <t>1896 ungrafted (source of WHITE &amp; GREY labels,)</t>
  </si>
  <si>
    <t>19CLOEWEN04</t>
  </si>
  <si>
    <t>rest is 1902. So.facing, red slate. Max 40hl/ha. 1L</t>
  </si>
  <si>
    <t>18CLOEWEN03TB</t>
  </si>
  <si>
    <r>
      <rPr>
        <b/>
        <sz val="7"/>
        <color theme="1" tint="0.499984740745262"/>
        <rFont val="Noto Sans"/>
        <family val="2"/>
      </rPr>
      <t>Thörnicher Ritsch:</t>
    </r>
    <r>
      <rPr>
        <sz val="7"/>
        <color theme="1" tint="0.499984740745262"/>
        <rFont val="Noto Sans"/>
        <family val="2"/>
      </rPr>
      <t xml:space="preserve"> 1ha now. 0.2ha planted 1960</t>
    </r>
  </si>
  <si>
    <t>20CLOEWEN03</t>
  </si>
  <si>
    <t>ungrafted &amp; 1970; 0.8ha 2017/8. Brittle grey slate</t>
  </si>
  <si>
    <t>20CLOEWEN04</t>
  </si>
  <si>
    <t>2nd steepest site in Germany, Europe, World. 1L</t>
  </si>
  <si>
    <t>24CLOEWEN03</t>
  </si>
  <si>
    <r>
      <rPr>
        <b/>
        <sz val="7"/>
        <color theme="1" tint="0.499984740745262"/>
        <rFont val="Noto Sans"/>
        <family val="2"/>
      </rPr>
      <t>Detzemer Maximin Klosterlay</t>
    </r>
    <r>
      <rPr>
        <sz val="7"/>
        <color theme="1" tint="0.499984740745262"/>
        <rFont val="Noto Sans"/>
        <family val="2"/>
      </rPr>
      <t>: So.facing, blue</t>
    </r>
  </si>
  <si>
    <t>23CLOEWEN06</t>
  </si>
  <si>
    <t>slate, steep 65% slope, sits above Mosel river lock,</t>
  </si>
  <si>
    <t>22CLOEWEN05</t>
  </si>
  <si>
    <t>purchased 1803 to found domain. 1L. 45yr vines</t>
  </si>
  <si>
    <t>19CLOEWEN06</t>
  </si>
  <si>
    <r>
      <t>Leiwener Laurentiuslay:</t>
    </r>
    <r>
      <rPr>
        <sz val="7"/>
        <color theme="1" tint="0.499984740745262"/>
        <rFont val="Noto Sans"/>
        <family val="2"/>
      </rPr>
      <t xml:space="preserve"> 0.8ha terraces, blue</t>
    </r>
  </si>
  <si>
    <t>18CLOEWEN05TB</t>
  </si>
  <si>
    <t>slate. So.SW. 40-80% slope. Ungrafted, planted</t>
  </si>
  <si>
    <t>17CLOEWEN04TB</t>
  </si>
  <si>
    <t>pre-1914 (tvv.) Purchased 1982. Max.45hl/ha. 1L</t>
  </si>
  <si>
    <t>OFF-DRY RIESLINGS:</t>
  </si>
  <si>
    <t>&amp; others @ Longuich, Thörnich, Detzem, Leiwen</t>
  </si>
  <si>
    <t>20CLOEWEN09</t>
  </si>
  <si>
    <t>24CLOEWEN04</t>
  </si>
  <si>
    <t>2021 1st vintage Ritsch Im Schneidersberg kab'</t>
  </si>
  <si>
    <t>23CLOEWEN07</t>
  </si>
  <si>
    <t>2017/8 0.8ha planted at Ritsch</t>
  </si>
  <si>
    <t>23CLOEWEN10</t>
  </si>
  <si>
    <t>2015 Christopher started full time; estate at 10ha</t>
  </si>
  <si>
    <t>23CLOEWEN08</t>
  </si>
  <si>
    <t>2014/5 Christopher works at Grunhaus, Felton Rd</t>
  </si>
  <si>
    <t>18CLOEWEN06TB</t>
  </si>
  <si>
    <t>2008 bought CS-W's Maximin Herrenberg estate</t>
  </si>
  <si>
    <t>16CLOEWEN05TB</t>
  </si>
  <si>
    <t>1998 bought 1st parcels in Thornicher Ritsch</t>
  </si>
  <si>
    <t>15CLOEWEN06TB</t>
  </si>
  <si>
    <t>1982 bought Laurentiuslay from Kesselstadt</t>
  </si>
  <si>
    <t>RIESLING AUSLESE:</t>
  </si>
  <si>
    <t>1896 Carl Schmitt-Wagner planted Maximin-</t>
  </si>
  <si>
    <t>22CLOEWEN07</t>
  </si>
  <si>
    <t>Herrenberg, ungrafted, at 10,000 vines/ha</t>
  </si>
  <si>
    <t>20CLOEWEN06</t>
  </si>
  <si>
    <t>1803 ancestor Nikolaus bought house &amp;</t>
  </si>
  <si>
    <t>24CLOEWEN05</t>
  </si>
  <si>
    <t xml:space="preserve"> M.Klosterlay: the same auction lot as Grunhaus</t>
  </si>
  <si>
    <t>23CLOEWEN09</t>
  </si>
  <si>
    <t>19CLOEWEN01</t>
  </si>
  <si>
    <t>2023 Suckling Top 100 WOTY for MH GG 2022</t>
  </si>
  <si>
    <t>BA - BEERENAUSLESE HVS:</t>
  </si>
  <si>
    <t>2023 Suckling 'Our Choice' for ART 2022</t>
  </si>
  <si>
    <t>23CLOEWEN11HF</t>
  </si>
  <si>
    <t>2018 Stuart Pigott FAZ Winery of The Year</t>
  </si>
  <si>
    <t>163g/l sugar, 10g/l acidity, 7% ABV. AK96/100</t>
  </si>
  <si>
    <t>2017 1st 100 points from Stuart Pigott, for BA2015</t>
  </si>
  <si>
    <t>22CLOEWEN08HF</t>
  </si>
  <si>
    <t>2016 Falstaff's Collection of The Year 2017</t>
  </si>
  <si>
    <t>20CLOEWEN01HF</t>
  </si>
  <si>
    <t>2014 S.Pigott's Top 20 sweet rieslings (spatlese)</t>
  </si>
  <si>
    <t>Picked 21.01.19 at -8°C: Icewein method, released as BA. 7.5g/l acidity. SR(94-96)</t>
  </si>
  <si>
    <t>2013 '1896' is WoTM from Mosel Fine Wines</t>
  </si>
  <si>
    <t>2011 Rising Star of The Year from Stuart Pigott</t>
  </si>
  <si>
    <t>2008 Varidor is WoTM from Stuart Pigott</t>
  </si>
  <si>
    <t>Eichelmann 4.5* producer</t>
  </si>
  <si>
    <t>Falstaff 4* producer</t>
  </si>
  <si>
    <t>NB all these wines are riesling</t>
  </si>
  <si>
    <t>Weingut-Loewen.de</t>
  </si>
  <si>
    <t>instagram.com/carlloewen</t>
  </si>
  <si>
    <t>GROWER CODE: CLOEWEN</t>
  </si>
  <si>
    <r>
      <rPr>
        <b/>
        <sz val="7"/>
        <color theme="1" tint="0.499984740745262"/>
        <rFont val="Noto Sans"/>
        <family val="2"/>
      </rPr>
      <t>Andreas</t>
    </r>
    <r>
      <rPr>
        <sz val="7"/>
        <color theme="1" tint="0.499984740745262"/>
        <rFont val="Noto Sans"/>
        <family val="2"/>
      </rPr>
      <t xml:space="preserve"> 'I sustain my vineyards by intensive soil work to bring out the essential nutrients up from the primary rock, the natural compost of a vineyard.</t>
    </r>
  </si>
  <si>
    <t>This completion of the bond between elemental soil and the work of the vintner is another piece in the puzzle of terroir… I think in Germany</t>
  </si>
  <si>
    <t>we see terroir as a unity of grape, climate, soil, and the mentality of the person who works the vineyard. But the essence of that mentality is a</t>
  </si>
  <si>
    <t>knowledge that the geology of his terrain indeed creates the flavors in the grapes which grow there.'</t>
  </si>
  <si>
    <t>A.J. ADAM</t>
  </si>
  <si>
    <t>DRY RIESLING:</t>
  </si>
  <si>
    <t>Siblings Andreas &amp; Barbara Adam</t>
  </si>
  <si>
    <t>22AJADAM01</t>
  </si>
  <si>
    <t>on Mosel tributary the Dhron/Dhronerthal</t>
  </si>
  <si>
    <t>'OFF-DRY' RIESLING:</t>
  </si>
  <si>
    <t>Family activity re-started 2000 with 1ha.</t>
  </si>
  <si>
    <t>22AJADAM02</t>
  </si>
  <si>
    <t>Now 5ha riesling &amp; pinot noir, &gt;45 parcels</t>
  </si>
  <si>
    <t>21AJADAM02</t>
  </si>
  <si>
    <t>Polyculture: old apple types &amp; bee-keeping</t>
  </si>
  <si>
    <t>22AJADAM03</t>
  </si>
  <si>
    <t>Ambient yeasts; steel tanks, plus</t>
  </si>
  <si>
    <t>22AJADAM04</t>
  </si>
  <si>
    <t>old fuder (1000L) &amp; halbfuder (~500L)</t>
  </si>
  <si>
    <t>22AJADAM07</t>
  </si>
  <si>
    <t>22AJADAM05</t>
  </si>
  <si>
    <r>
      <rPr>
        <b/>
        <sz val="7"/>
        <color theme="1" tint="0.499984740745262"/>
        <rFont val="Noto Sans"/>
        <family val="2"/>
      </rPr>
      <t>Hofberg:</t>
    </r>
    <r>
      <rPr>
        <sz val="7"/>
        <color theme="1" tint="0.499984740745262"/>
        <rFont val="Noto Sans"/>
        <family val="2"/>
      </rPr>
      <t> S to SW facing in Dhron. Steep 35-65yr</t>
    </r>
  </si>
  <si>
    <t>21AJADAM01</t>
  </si>
  <si>
    <t xml:space="preserve">vines, part ungrafted on grey slate, iron oxide veins </t>
  </si>
  <si>
    <r>
      <rPr>
        <b/>
        <sz val="7"/>
        <color theme="1" tint="0.499984740745262"/>
        <rFont val="Noto Sans"/>
        <family val="2"/>
      </rPr>
      <t xml:space="preserve">Goldtropfchen: </t>
    </r>
    <r>
      <rPr>
        <sz val="7"/>
        <color theme="1" tint="0.499984740745262"/>
        <rFont val="Noto Sans"/>
        <family val="2"/>
      </rPr>
      <t>SE-SW amphitheatre in Piesport</t>
    </r>
  </si>
  <si>
    <t>22AJADAM08</t>
  </si>
  <si>
    <t>30 to 70% slope, on grey Devon slate. Up to 110yr</t>
  </si>
  <si>
    <t>21AJADAM11MG</t>
  </si>
  <si>
    <t>vines, part ungrafted. Warmer than the Dhronbach</t>
  </si>
  <si>
    <t>21AJADAM10MG</t>
  </si>
  <si>
    <r>
      <rPr>
        <b/>
        <sz val="7"/>
        <color theme="1" tint="0.499984740745262"/>
        <rFont val="Noto Sans"/>
        <family val="2"/>
      </rPr>
      <t>Has'chen:</t>
    </r>
    <r>
      <rPr>
        <sz val="7"/>
        <color theme="1" tint="0.499984740745262"/>
        <rFont val="Noto Sans"/>
        <family val="2"/>
      </rPr>
      <t xml:space="preserve"> 0.27ha easterly monopole, Dhron valley.</t>
    </r>
  </si>
  <si>
    <t>AUSLESE HVS:</t>
  </si>
  <si>
    <t>V.steep terraces, 1930s planted ungrafted vines</t>
  </si>
  <si>
    <t>21AJADAM07HF</t>
  </si>
  <si>
    <t>21AJADAM05HF</t>
  </si>
  <si>
    <t>vdp.de</t>
  </si>
  <si>
    <t>AJ-Adam.de</t>
  </si>
  <si>
    <t>22AJADAM06</t>
  </si>
  <si>
    <t>21AJADAM08</t>
  </si>
  <si>
    <t>GROWER CODE: AJADAM</t>
  </si>
  <si>
    <t>21AJADAM04</t>
  </si>
  <si>
    <t>KIND WORDS ON F.HAAG:</t>
  </si>
  <si>
    <r>
      <t xml:space="preserve">D.Schildknecht, WFW 2021 </t>
    </r>
    <r>
      <rPr>
        <sz val="7"/>
        <color theme="1" tint="0.499984740745262"/>
        <rFont val="Noto Sans"/>
        <family val="2"/>
      </rPr>
      <t>'Mosel mastery'</t>
    </r>
  </si>
  <si>
    <r>
      <t>D.Schildknecht, WFW 2021</t>
    </r>
    <r>
      <rPr>
        <sz val="7"/>
        <color theme="1" tint="0.499984740745262"/>
        <rFont val="Noto Sans"/>
        <family val="2"/>
      </rPr>
      <t xml:space="preserve"> 'There remains no finer such Gutsriesling than that of Fritz Haag, then as now based substantially on the family’s Burgen vines'</t>
    </r>
  </si>
  <si>
    <r>
      <t>D.Schildknecht, WFW 2021</t>
    </r>
    <r>
      <rPr>
        <sz val="7"/>
        <color theme="1" tint="0.499984740745262"/>
        <rFont val="Noto Sans"/>
        <family val="2"/>
      </rPr>
      <t xml:space="preserve"> 'nobly sweet wines - a genre he mastered early but never ceased fine-tuning'</t>
    </r>
  </si>
  <si>
    <r>
      <rPr>
        <b/>
        <sz val="7"/>
        <color theme="1" tint="0.499984740745262"/>
        <rFont val="Noto Sans"/>
        <family val="2"/>
      </rPr>
      <t>D.Schildknecht, TWA 2008</t>
    </r>
    <r>
      <rPr>
        <sz val="7"/>
        <color theme="1" tint="0.499984740745262"/>
        <rFont val="Noto Sans"/>
        <family val="2"/>
      </rPr>
      <t xml:space="preserve"> 'superlatives are hardly new to this address'</t>
    </r>
  </si>
  <si>
    <r>
      <rPr>
        <b/>
        <sz val="7"/>
        <color theme="1" tint="0.499984740745262"/>
        <rFont val="Noto Sans"/>
        <family val="2"/>
      </rPr>
      <t>Anne Krebiehl MW, Vinous 2023</t>
    </r>
    <r>
      <rPr>
        <sz val="7"/>
        <color theme="1" tint="0.499984740745262"/>
        <rFont val="Noto Sans"/>
        <family val="2"/>
      </rPr>
      <t xml:space="preserve"> 'The dry wines are lean, almost austere in their youth, and sometimes come across as liquid stone. The precision</t>
    </r>
  </si>
  <si>
    <t>displayed gives clear lessons about the role of sweetness in the Mosel: when bone-dry, the wines are visions of slate, unbending, lithe yet profound.'</t>
  </si>
  <si>
    <r>
      <rPr>
        <b/>
        <sz val="7"/>
        <color theme="1" tint="0.499984740745262"/>
        <rFont val="Noto Sans"/>
        <family val="2"/>
      </rPr>
      <t>Anne Krebiehl MW, Vinous 2023</t>
    </r>
    <r>
      <rPr>
        <sz val="7"/>
        <color theme="1" tint="0.499984740745262"/>
        <rFont val="Noto Sans"/>
        <family val="2"/>
      </rPr>
      <t xml:space="preserve"> 'With a slight residue of sweetness, the same wine taps into treasures of fruit, still coming across as dry, with real</t>
    </r>
  </si>
  <si>
    <t>sweetness, but never too much, a delicious pas-de-deux between fruit and slate is taken to its extreme.'</t>
  </si>
  <si>
    <r>
      <t>Mosel Fine Wine ('MFW') 2020</t>
    </r>
    <r>
      <rPr>
        <sz val="7"/>
        <color theme="1" tint="0.499984740745262"/>
        <rFont val="Noto Sans"/>
        <family val="2"/>
      </rPr>
      <t xml:space="preserve"> '(Haag) produced a simply mesmerizing collection in 2019, certainly its finest in a generation. The finesse, precision,</t>
    </r>
  </si>
  <si>
    <t>and balance of the wines are simply awe-inspiring.'</t>
  </si>
  <si>
    <r>
      <rPr>
        <b/>
        <sz val="7"/>
        <color theme="1" tint="0.499984740745262"/>
        <rFont val="Noto Sans"/>
        <family val="2"/>
      </rPr>
      <t xml:space="preserve">MFW 2020 </t>
    </r>
    <r>
      <rPr>
        <sz val="7"/>
        <color theme="1" tint="0.499984740745262"/>
        <rFont val="Noto Sans"/>
        <family val="2"/>
      </rPr>
      <t>'we rarely write this: But, at Fritz Haag, in 2019, you can buy blind. Everything is superb. And this is a rare achievement, even by</t>
    </r>
  </si>
  <si>
    <t>Oliver Haag’s impeccable standards'</t>
  </si>
  <si>
    <r>
      <rPr>
        <b/>
        <sz val="7"/>
        <color theme="1" tint="0.499984740745262"/>
        <rFont val="Noto Sans"/>
        <family val="2"/>
      </rPr>
      <t>S.Reinhardt, TWA 2018</t>
    </r>
    <r>
      <rPr>
        <sz val="7"/>
        <color theme="1" tint="0.499984740745262"/>
        <rFont val="Noto Sans"/>
        <family val="2"/>
      </rPr>
      <t xml:space="preserve"> '2016 proves impressively that the Brauneberger Juffer Sonnenuhr is one of the finest vineyards along the Mosel.'</t>
    </r>
  </si>
  <si>
    <r>
      <rPr>
        <b/>
        <sz val="7"/>
        <color theme="1" tint="0.499984740745262"/>
        <rFont val="Noto Sans"/>
        <family val="2"/>
      </rPr>
      <t>S.Reinhardt, TWA 2017</t>
    </r>
    <r>
      <rPr>
        <sz val="7"/>
        <color theme="1" tint="0.499984740745262"/>
        <rFont val="Noto Sans"/>
        <family val="2"/>
      </rPr>
      <t xml:space="preserve"> 'world-class beerenauslese and trockenbeerenauslese'</t>
    </r>
  </si>
  <si>
    <t>HAAG ON F.HAAG:</t>
  </si>
  <si>
    <r>
      <rPr>
        <b/>
        <sz val="7"/>
        <color theme="1" tint="0.499984740745262"/>
        <rFont val="Noto Sans"/>
        <family val="2"/>
      </rPr>
      <t>Oliver Haag, 2019</t>
    </r>
    <r>
      <rPr>
        <sz val="7"/>
        <color theme="1" tint="0.499984740745262"/>
        <rFont val="Noto Sans"/>
        <family val="2"/>
      </rPr>
      <t xml:space="preserve"> 'It's Riesling that runs through my veins!'</t>
    </r>
  </si>
  <si>
    <r>
      <rPr>
        <b/>
        <sz val="7"/>
        <color theme="1" tint="0.499984740745262"/>
        <rFont val="Noto Sans"/>
        <family val="2"/>
      </rPr>
      <t>Oliver Haag, 2019</t>
    </r>
    <r>
      <rPr>
        <sz val="7"/>
        <color theme="1" tint="0.499984740745262"/>
        <rFont val="Noto Sans"/>
        <family val="2"/>
      </rPr>
      <t xml:space="preserve"> 'Overall, I want to produce wines that people actually drink!' </t>
    </r>
  </si>
  <si>
    <r>
      <rPr>
        <b/>
        <sz val="7"/>
        <color theme="1" tint="0.499984740745262"/>
        <rFont val="Noto Sans"/>
        <family val="2"/>
      </rPr>
      <t xml:space="preserve">Oliver Haag on GGs, 2019 </t>
    </r>
    <r>
      <rPr>
        <sz val="7"/>
        <color theme="1" tint="0.499984740745262"/>
        <rFont val="Noto Sans"/>
        <family val="2"/>
      </rPr>
      <t xml:space="preserve"> 'My GGs are made from very clean grapes, as I don’t want to see any botrytis-affected berry in the buckets for my dry wines.</t>
    </r>
  </si>
  <si>
    <t>It is usually one of the last wines to be picked, as I want clean but really ripe grapes where the acidity has mellowed away. Riesling is about acid but</t>
  </si>
  <si>
    <t>it needs to remain playful and subtle. We use pre-fermentation cold soak to add body and structure to our top dry wines. However, we use it</t>
  </si>
  <si>
    <t>parsimoniously, for not more than 6-18 hours. Our GGs often see some traditional Fuder casks, none new. Most of our wines are fermented with</t>
  </si>
  <si>
    <t>ambient yeasts as this adds complexity to the wines. (I may also rely on some cultured yeasts to finish the fermentation of dry wines, if necessary.)</t>
  </si>
  <si>
    <t>My GG wines are left on the fine lees until the summer.'</t>
  </si>
  <si>
    <r>
      <rPr>
        <b/>
        <sz val="7"/>
        <color theme="1" tint="0.499984740745262"/>
        <rFont val="Noto Sans"/>
        <family val="2"/>
      </rPr>
      <t xml:space="preserve"> Wilhelm Haag, 2008</t>
    </r>
    <r>
      <rPr>
        <sz val="7"/>
        <color theme="1" tint="0.499984740745262"/>
        <rFont val="Noto Sans"/>
        <family val="2"/>
      </rPr>
      <t xml:space="preserve"> 'Kabinett is one of those things nobody can copy from us Moselaner'</t>
    </r>
  </si>
  <si>
    <r>
      <rPr>
        <b/>
        <sz val="7"/>
        <color theme="1" tint="0.499984740745262"/>
        <rFont val="Noto Sans"/>
        <family val="2"/>
      </rPr>
      <t>Wilhelm Haag, 2001</t>
    </r>
    <r>
      <rPr>
        <sz val="7"/>
        <color theme="1" tint="0.499984740745262"/>
        <rFont val="Noto Sans"/>
        <family val="2"/>
      </rPr>
      <t xml:space="preserve"> 'The style of wine at my estate has remained constant, and is based on the notion of quality that my father drummed into me.</t>
    </r>
  </si>
  <si>
    <t>Setting aside nobly sweet wines, we aim for wines that are filigree, seemingly fragile, neither sweet nor bone-dry but piquant and tangy [herb].</t>
  </si>
  <si>
    <t>Over and beyond that, they should be bekömmlich. What good is a Riesling to me that leaves one tired after the second glass, whereas</t>
  </si>
  <si>
    <t>with a light Kabinett, real wine-thirst would only just be awakening?'</t>
  </si>
  <si>
    <t>FRITZ HAAG, by</t>
  </si>
  <si>
    <t>DRY PINOT BLANC / WEISSBURGUNDER:</t>
  </si>
  <si>
    <t>Oliver &amp; Jessica HAAG</t>
  </si>
  <si>
    <t>19HAAG05</t>
  </si>
  <si>
    <t>Brauneberg, Mosel</t>
  </si>
  <si>
    <t>TROCKEN / DRY INCL. GROSSES GEWACHS / GG:</t>
  </si>
  <si>
    <t>10th generation; 5th gen. at Brauneberg</t>
  </si>
  <si>
    <t>18HAAG01HF</t>
  </si>
  <si>
    <t>28.5ha, incl. 2.2ha ungrafted old vines</t>
  </si>
  <si>
    <t>20HAAG09HF</t>
  </si>
  <si>
    <t>NB botrytis only on Goldkap level &amp; over</t>
  </si>
  <si>
    <t>21HAAG02</t>
  </si>
  <si>
    <t>ambient yeast ferment in steel (sweet wine)</t>
  </si>
  <si>
    <t>21HAAG03</t>
  </si>
  <si>
    <t>&amp;/or used Fuder, tonneaux, &amp; Doppelsück</t>
  </si>
  <si>
    <t>20HAAG08</t>
  </si>
  <si>
    <t>NB #s are AP #s, not cask #s.</t>
  </si>
  <si>
    <t>OFF-DRY:</t>
  </si>
  <si>
    <t>TIMELINE OF WINERY:</t>
  </si>
  <si>
    <t>21HAAG01</t>
  </si>
  <si>
    <t>2020 Wilhelm Haag passes away</t>
  </si>
  <si>
    <t>19HAAG07</t>
  </si>
  <si>
    <t>2018 1st non-riesling wine: pinot blanc</t>
  </si>
  <si>
    <t>21HAAG04</t>
  </si>
  <si>
    <t xml:space="preserve">2007/8 1st vintages of new clean front label </t>
  </si>
  <si>
    <t>20HAAG06</t>
  </si>
  <si>
    <t>2005 Oliver returns to take over F.Haag</t>
  </si>
  <si>
    <t>18HAAG04</t>
  </si>
  <si>
    <t>2000 Oliver is Director of Weingüt Wegeler</t>
  </si>
  <si>
    <t>SPATLESE:</t>
  </si>
  <si>
    <t>1997 Thomas &amp; wife Ute buy Schloss Lieser</t>
  </si>
  <si>
    <t>19HAAG08HF</t>
  </si>
  <si>
    <t>1992 Thomas Haag takes over Schloss Lieser</t>
  </si>
  <si>
    <t>21HAAG05</t>
  </si>
  <si>
    <t>1984 - 2004 Wilhelm chairs VDP Grosser Ring</t>
  </si>
  <si>
    <t>20HAAG05</t>
  </si>
  <si>
    <t>1980s flurbereinigung in Brauneberger</t>
  </si>
  <si>
    <t>19HAAG02</t>
  </si>
  <si>
    <t>1960s end of polycultural activities</t>
  </si>
  <si>
    <t>18HAAG05</t>
  </si>
  <si>
    <t>1960s Ferdinand Haag estate split between Fritz &amp; Willi</t>
  </si>
  <si>
    <t>16HAAG02</t>
  </si>
  <si>
    <t>1959 Wilhelm's first TBA</t>
  </si>
  <si>
    <t>1957 Wilhelm joins full time to help father Fritz</t>
  </si>
  <si>
    <t>21HAAG07HF</t>
  </si>
  <si>
    <t>1937 Wilhelm Haag born</t>
  </si>
  <si>
    <t>20HAAG02HF</t>
  </si>
  <si>
    <t>1925 Dusemond village adopts Brauneberg name</t>
  </si>
  <si>
    <t>20HAAG01HF</t>
  </si>
  <si>
    <t>1800s (late) Friedrich Haag married into Braunberg-</t>
  </si>
  <si>
    <t>18HAAG06HF</t>
  </si>
  <si>
    <t xml:space="preserve"> owning family, Conrad-Fehres Estate</t>
  </si>
  <si>
    <t>1605 start of known Haag activity at Burgen</t>
  </si>
  <si>
    <t>21HAAG07</t>
  </si>
  <si>
    <t>20HAAG02</t>
  </si>
  <si>
    <t>Brauner-Juffer &amp; B.J. Sonnenuhr: 12.5ha, S.facing</t>
  </si>
  <si>
    <t>21HAAG08</t>
  </si>
  <si>
    <t>Kesten/Monzel: steep, ~1ha, S.facing, W of BJS</t>
  </si>
  <si>
    <t>20HAAG03</t>
  </si>
  <si>
    <t>Braunberg Klostergarten: steep 6ha SE facing</t>
  </si>
  <si>
    <t>AUSLESE GOLDKAP HVS:</t>
  </si>
  <si>
    <t>Burgen Romerberg: 2.5ha S.facing</t>
  </si>
  <si>
    <t>19HAAG04HF</t>
  </si>
  <si>
    <t>Mulheim Sonnenlay: 2.5ha W.facing</t>
  </si>
  <si>
    <t>18HAAG07HF</t>
  </si>
  <si>
    <t>06HAAG04HF</t>
  </si>
  <si>
    <t>2002HAAG01</t>
  </si>
  <si>
    <t>2019 TWA awards three 100 pointers in 2017s</t>
  </si>
  <si>
    <t>AUSLESE GOLDKAP:</t>
  </si>
  <si>
    <t>2018 1st Wine &amp; Spirits Top 100 WOTY</t>
  </si>
  <si>
    <t>19HAAG01</t>
  </si>
  <si>
    <t>2014 S.Pigott's Top 20 medium rieslings (kab)</t>
  </si>
  <si>
    <t>18HAAG07</t>
  </si>
  <si>
    <t>2014 S.Pigott's Top 20 sweet rieslings</t>
  </si>
  <si>
    <t>16HAAG03</t>
  </si>
  <si>
    <t>2008 der Feinschmecker Collection of The Year</t>
  </si>
  <si>
    <t>10HAAG05</t>
  </si>
  <si>
    <t>2008 Gault Millau Collection of The Year</t>
  </si>
  <si>
    <t>09HAAG05</t>
  </si>
  <si>
    <t>2005 Robert Parker's Top Estates of the World</t>
  </si>
  <si>
    <t>03HAAG03</t>
  </si>
  <si>
    <t>1994 Gault Millau Winemaker of The Year</t>
  </si>
  <si>
    <t>GERMAN RATINGS:</t>
  </si>
  <si>
    <t>21HAAG09HF</t>
  </si>
  <si>
    <t>Eichelmann Guide 5* winery, from 2018 (top 20s)</t>
  </si>
  <si>
    <t>18HAAG08HF</t>
  </si>
  <si>
    <t>Der Feinschmecker top 15</t>
  </si>
  <si>
    <t>16HAAG06HF</t>
  </si>
  <si>
    <t>Gault Millau 5* producer, 2018 (top 18)</t>
  </si>
  <si>
    <t>10HAAG06HF</t>
  </si>
  <si>
    <t>NB 'B.J.'= Brauneberger Juffer</t>
  </si>
  <si>
    <t>09HAAG06HF</t>
  </si>
  <si>
    <t>06HAAG05HF</t>
  </si>
  <si>
    <t>Weingut-Fritz-Haag.de</t>
  </si>
  <si>
    <t>TBA - TROCKENBEERENAUSLESE HVS:</t>
  </si>
  <si>
    <t>DEBRA MEIBURG MW INTERVIEW #35</t>
  </si>
  <si>
    <t>18HAAG09HF</t>
  </si>
  <si>
    <t>GROWER CODE: HAAG</t>
  </si>
  <si>
    <t>Picked throughout the entire harvest. 6% ABV. DS(96-97)</t>
  </si>
  <si>
    <t>09HAAG07HF</t>
  </si>
  <si>
    <t>KIND WORDS ON MEULENHOF:</t>
  </si>
  <si>
    <r>
      <rPr>
        <b/>
        <sz val="7"/>
        <color theme="1" tint="0.499984740745262"/>
        <rFont val="Noto Sans"/>
        <family val="2"/>
      </rPr>
      <t>D.Schildknecht, TWA 2012</t>
    </r>
    <r>
      <rPr>
        <sz val="7"/>
        <color theme="1" tint="0.499984740745262"/>
        <rFont val="Noto Sans"/>
        <family val="2"/>
      </rPr>
      <t xml:space="preserve"> 'Meulenhof Rieslings continue to offer outstanding value.'</t>
    </r>
  </si>
  <si>
    <r>
      <rPr>
        <b/>
        <sz val="7"/>
        <color theme="1" tint="0.499984740745262"/>
        <rFont val="Noto Sans"/>
        <family val="2"/>
      </rPr>
      <t>D.Schildknecht, TWA 2010</t>
    </r>
    <r>
      <rPr>
        <sz val="7"/>
        <color theme="1" tint="0.499984740745262"/>
        <rFont val="Noto Sans"/>
        <family val="2"/>
      </rPr>
      <t xml:space="preserve"> 'the collections he has turned out are as expressive and multi-faceted as any that have issued from his </t>
    </r>
  </si>
  <si>
    <t>cellar in recent years. Furthermore, as always, they represent as a group terrific value.'</t>
  </si>
  <si>
    <r>
      <rPr>
        <b/>
        <sz val="7"/>
        <color theme="1" tint="0.499984740745262"/>
        <rFont val="Noto Sans"/>
        <family val="2"/>
      </rPr>
      <t>D.Schildknecht, TWA 2009</t>
    </r>
    <r>
      <rPr>
        <sz val="7"/>
        <color theme="1" tint="0.499984740745262"/>
        <rFont val="Noto Sans"/>
        <family val="2"/>
      </rPr>
      <t xml:space="preserve"> 'generally excellent value at this address, and the wines have cellared consistently well'</t>
    </r>
  </si>
  <si>
    <t>MEULENHOF</t>
  </si>
  <si>
    <t>DRY &amp; OFF-DRY:</t>
  </si>
  <si>
    <t>Erden. 7ha. Stephan &amp; Helma Justen</t>
  </si>
  <si>
    <t>24MEUL01</t>
  </si>
  <si>
    <r>
      <t>&amp; 2.2ha Weingut Stefan Ehlen</t>
    </r>
    <r>
      <rPr>
        <sz val="7"/>
        <color theme="1" tint="0.14999847407452621"/>
        <rFont val="Noto Sans"/>
        <family val="2"/>
      </rPr>
      <t xml:space="preserve"> (@E.Treppchen)</t>
    </r>
  </si>
  <si>
    <t>21MEUL01</t>
  </si>
  <si>
    <t>ambient yeast on most wines (not GG)</t>
  </si>
  <si>
    <t>21MEUL03</t>
  </si>
  <si>
    <t>largely using scew-cap now</t>
  </si>
  <si>
    <t>13MEUL10TB</t>
  </si>
  <si>
    <t>sustainable certified Fair'n'Green, 2020</t>
  </si>
  <si>
    <t>12KERPEN05</t>
  </si>
  <si>
    <t>17MEUL01</t>
  </si>
  <si>
    <r>
      <rPr>
        <b/>
        <sz val="7"/>
        <color theme="1" tint="0.499984740745262"/>
        <rFont val="Noto Sans"/>
        <family val="2"/>
      </rPr>
      <t>Erdener Pralat:</t>
    </r>
    <r>
      <rPr>
        <sz val="7"/>
        <color theme="1" tint="0.499984740745262"/>
        <rFont val="Noto Sans"/>
        <family val="2"/>
      </rPr>
      <t xml:space="preserve"> South facing, just 1.5ha in total. </t>
    </r>
  </si>
  <si>
    <t>12KERPEN03</t>
  </si>
  <si>
    <t>Blue-gray slate, plus iron oxide. 0.05ha, &gt;90yrs,</t>
  </si>
  <si>
    <t>17MEUL03</t>
  </si>
  <si>
    <t>mostly ungrafted. Became Pralat in 1971 renaming</t>
  </si>
  <si>
    <t>20MEUL03S</t>
  </si>
  <si>
    <t>Block harvest &amp; ferment, as triage not possible</t>
  </si>
  <si>
    <t>15MEUL06TB</t>
  </si>
  <si>
    <r>
      <rPr>
        <b/>
        <sz val="7"/>
        <color theme="1" tint="0.499984740745262"/>
        <rFont val="Noto Sans"/>
        <family val="2"/>
      </rPr>
      <t>Erdener Treppchen:</t>
    </r>
    <r>
      <rPr>
        <sz val="7"/>
        <color theme="1" tint="0.499984740745262"/>
        <rFont val="Noto Sans"/>
        <family val="2"/>
      </rPr>
      <t xml:space="preserve"> AR is mostly ungrafted,</t>
    </r>
  </si>
  <si>
    <t>blue &amp; red slate; remainder replanted in 1990s</t>
  </si>
  <si>
    <t>24MEUL02</t>
  </si>
  <si>
    <r>
      <rPr>
        <b/>
        <sz val="7"/>
        <color theme="1" tint="0.499984740745262"/>
        <rFont val="Noto Sans"/>
        <family val="2"/>
      </rPr>
      <t>Wehlener Sonnenuhr:</t>
    </r>
    <r>
      <rPr>
        <sz val="7"/>
        <color theme="1" tint="0.499984740745262"/>
        <rFont val="Noto Sans"/>
        <family val="2"/>
      </rPr>
      <t xml:space="preserve"> Devonian blue slate</t>
    </r>
  </si>
  <si>
    <t>16MEUL03TB</t>
  </si>
  <si>
    <t>BA &amp; TBA HALVES:</t>
  </si>
  <si>
    <r>
      <t xml:space="preserve">2020 </t>
    </r>
    <r>
      <rPr>
        <b/>
        <sz val="7"/>
        <color theme="1" tint="0.499984740745262"/>
        <rFont val="Noto Sans"/>
        <family val="2"/>
      </rPr>
      <t>Fair'n'Green</t>
    </r>
    <r>
      <rPr>
        <sz val="7"/>
        <color theme="1" tint="0.499984740745262"/>
        <rFont val="Noto Sans"/>
        <family val="2"/>
      </rPr>
      <t xml:space="preserve"> certified sustainable</t>
    </r>
  </si>
  <si>
    <t>12KERPEN07HF</t>
  </si>
  <si>
    <t>2017 earliest yr since 1976; 50% crop loss</t>
  </si>
  <si>
    <t>13MEUL07HTB</t>
  </si>
  <si>
    <t>2002 Weingut Stephan Ehlen given to Justens</t>
  </si>
  <si>
    <t>13MEUL06HTB</t>
  </si>
  <si>
    <t>1993 new excavation of Erden's Roman wine presses</t>
  </si>
  <si>
    <t>BA EN MAGNUM:</t>
  </si>
  <si>
    <t>1990 3rd generation Stefan Justen takes over</t>
  </si>
  <si>
    <t>13MEUL08MTB</t>
  </si>
  <si>
    <t>1950 Heinz Justen takes over</t>
  </si>
  <si>
    <t>1919 Maria Ehlen marries Stephan Justen</t>
  </si>
  <si>
    <t>1883 Gertrud Schmitges marries Johann Ehlen</t>
  </si>
  <si>
    <t>1804 bought by Schmitges family</t>
  </si>
  <si>
    <t>1802 property auctioned by state for 5250 Francs</t>
  </si>
  <si>
    <t>1447 transferred to convent of Machern</t>
  </si>
  <si>
    <t>1337 earliest records of Meulenhof estate</t>
  </si>
  <si>
    <t>Meulenhof.de</t>
  </si>
  <si>
    <t>FairAndGreen.com</t>
  </si>
  <si>
    <t>GROWER CODES: MEUL / KERPEN</t>
  </si>
  <si>
    <t>KIND WORDS ON JJ PRUM:</t>
  </si>
  <si>
    <r>
      <rPr>
        <b/>
        <sz val="7"/>
        <color theme="1" tint="0.499984740745262"/>
        <rFont val="Noto Sans"/>
        <family val="2"/>
      </rPr>
      <t>S.Reinhardt, TWA 2019</t>
    </r>
    <r>
      <rPr>
        <sz val="7"/>
        <color theme="1" tint="0.499984740745262"/>
        <rFont val="Noto Sans"/>
        <family val="2"/>
      </rPr>
      <t xml:space="preserve"> 'iconic family domaine'</t>
    </r>
  </si>
  <si>
    <r>
      <rPr>
        <b/>
        <sz val="7"/>
        <color theme="1" tint="0.499984740745262"/>
        <rFont val="Noto Sans"/>
        <family val="2"/>
      </rPr>
      <t>N.Martin, TWA 2017</t>
    </r>
    <r>
      <rPr>
        <sz val="7"/>
        <color theme="1" tint="0.499984740745262"/>
        <rFont val="Noto Sans"/>
        <family val="2"/>
      </rPr>
      <t xml:space="preserve"> 'sensational, life-affirming wines'</t>
    </r>
  </si>
  <si>
    <r>
      <rPr>
        <b/>
        <sz val="7"/>
        <color theme="1" tint="0.499984740745262"/>
        <rFont val="Noto Sans"/>
        <family val="2"/>
      </rPr>
      <t>Anne Krebiehl MW, Vinous 2023</t>
    </r>
    <r>
      <rPr>
        <sz val="7"/>
        <color theme="1" tint="0.499984740745262"/>
        <rFont val="Noto Sans"/>
        <family val="2"/>
      </rPr>
      <t xml:space="preserve"> 'an iconic address defining what the Mosel style stands for for many. No dry wines are made at JJ Prüm…(all) estate-grown.'</t>
    </r>
  </si>
  <si>
    <r>
      <rPr>
        <b/>
        <sz val="7"/>
        <color theme="1" tint="0.499984740745262"/>
        <rFont val="Noto Sans"/>
        <family val="2"/>
      </rPr>
      <t>D.Schildkneckt, Vinous 2017</t>
    </r>
    <r>
      <rPr>
        <sz val="7"/>
        <color theme="1" tint="0.499984740745262"/>
        <rFont val="Noto Sans"/>
        <family val="2"/>
      </rPr>
      <t xml:space="preserve"> 'wines of delicacy and restrained sweetness, often strongly marked in youth by yeasty and otherwise</t>
    </r>
  </si>
  <si>
    <t>fermentative aromas, and tingling with dissolved CO2. … Their longevity is legendary'</t>
  </si>
  <si>
    <r>
      <rPr>
        <b/>
        <sz val="7"/>
        <color theme="1" tint="0.499984740745262"/>
        <rFont val="Noto Sans"/>
        <family val="2"/>
      </rPr>
      <t>D.Schildknecht, Vinous 2016</t>
    </r>
    <r>
      <rPr>
        <sz val="7"/>
        <color theme="1" tint="0.499984740745262"/>
        <rFont val="Noto Sans"/>
        <family val="2"/>
      </rPr>
      <t xml:space="preserve"> 'nobody is about to threaten this estate’s status quo'</t>
    </r>
  </si>
  <si>
    <r>
      <rPr>
        <b/>
        <sz val="7"/>
        <color theme="1" tint="0.499984740745262"/>
        <rFont val="Noto Sans"/>
        <family val="2"/>
      </rPr>
      <t>D.Schildknecht, TWA 2009</t>
    </r>
    <r>
      <rPr>
        <sz val="7"/>
        <color theme="1" tint="0.499984740745262"/>
        <rFont val="Noto Sans"/>
        <family val="2"/>
      </rPr>
      <t xml:space="preserve"> 'Notoriously little attention is paid at this address to dry-tasting wines'</t>
    </r>
  </si>
  <si>
    <r>
      <rPr>
        <b/>
        <sz val="7"/>
        <color theme="1" tint="0.499984740745262"/>
        <rFont val="Noto Sans"/>
        <family val="2"/>
      </rPr>
      <t>D.Schildknecht, TWA 2006</t>
    </r>
    <r>
      <rPr>
        <sz val="7"/>
        <color theme="1" tint="0.499984740745262"/>
        <rFont val="Noto Sans"/>
        <family val="2"/>
      </rPr>
      <t xml:space="preserve"> 'consistent excellence – like ageworthiness – has long been a hallmark of Joh. Jos. Prum'</t>
    </r>
  </si>
  <si>
    <r>
      <rPr>
        <b/>
        <sz val="7"/>
        <color theme="1" tint="0.499984740745262"/>
        <rFont val="Noto Sans"/>
        <family val="2"/>
      </rPr>
      <t>Vinous, 2015</t>
    </r>
    <r>
      <rPr>
        <sz val="7"/>
        <color theme="1" tint="0.499984740745262"/>
        <rFont val="Noto Sans"/>
        <family val="2"/>
      </rPr>
      <t xml:space="preserve"> 'one of the grand ol’ men on the Mosel ... he remains not only a legend but also a source of inspiration'</t>
    </r>
  </si>
  <si>
    <r>
      <rPr>
        <b/>
        <sz val="7"/>
        <color theme="1" tint="0.499984740745262"/>
        <rFont val="Noto Sans"/>
        <family val="2"/>
      </rPr>
      <t>Vinous, 2014</t>
    </r>
    <r>
      <rPr>
        <sz val="7"/>
        <color theme="1" tint="0.499984740745262"/>
        <rFont val="Noto Sans"/>
        <family val="2"/>
      </rPr>
      <t xml:space="preserve"> 'Few producers have been as consistent over so many years as this world-famous estate'</t>
    </r>
  </si>
  <si>
    <r>
      <rPr>
        <b/>
        <sz val="7"/>
        <color theme="1" tint="0.499984740745262"/>
        <rFont val="Noto Sans"/>
        <family val="2"/>
      </rPr>
      <t>Vinous, 2012</t>
    </r>
    <r>
      <rPr>
        <sz val="7"/>
        <color theme="1" tint="0.499984740745262"/>
        <rFont val="Noto Sans"/>
        <family val="2"/>
      </rPr>
      <t xml:space="preserve"> 'inimitable, reductive style, which is often difficult to understand in its youth, and was once confusing even for his colleagues,</t>
    </r>
  </si>
  <si>
    <t>has become the benchmark for the spatlese and auslese styles that are the hallmarks of the middle stretches of the Mosel.'</t>
  </si>
  <si>
    <r>
      <rPr>
        <b/>
        <sz val="7"/>
        <color theme="1" tint="0.499984740745262"/>
        <rFont val="Noto Sans"/>
        <family val="2"/>
      </rPr>
      <t>Vinous, 2011</t>
    </r>
    <r>
      <rPr>
        <sz val="7"/>
        <color theme="1" tint="0.499984740745262"/>
        <rFont val="Noto Sans"/>
        <family val="2"/>
      </rPr>
      <t xml:space="preserve"> 'If Egon Muller is the star of the Saar, then Joh. Jos. Prum must take that honor for the Mosel.'</t>
    </r>
  </si>
  <si>
    <r>
      <rPr>
        <b/>
        <sz val="7"/>
        <color theme="1" tint="0.499984740745262"/>
        <rFont val="Noto Sans"/>
        <family val="2"/>
      </rPr>
      <t>Vinous, 2006</t>
    </r>
    <r>
      <rPr>
        <sz val="7"/>
        <color theme="1" tint="0.499984740745262"/>
        <rFont val="Noto Sans"/>
        <family val="2"/>
      </rPr>
      <t xml:space="preserve"> 'For decades Dr. Manfred Prum has been one of Germany's truly exceptional riesling producers'</t>
    </r>
  </si>
  <si>
    <r>
      <rPr>
        <b/>
        <sz val="7"/>
        <color theme="1" tint="0.499984740745262"/>
        <rFont val="Noto Sans"/>
        <family val="2"/>
      </rPr>
      <t>Vinous, 2006</t>
    </r>
    <r>
      <rPr>
        <sz val="7"/>
        <color theme="1" tint="0.499984740745262"/>
        <rFont val="Noto Sans"/>
        <family val="2"/>
      </rPr>
      <t xml:space="preserve"> 'Prum tends not to talk much about the details of his winemaking principles, and visitors are not allowed into the cellar'</t>
    </r>
  </si>
  <si>
    <r>
      <rPr>
        <b/>
        <sz val="7"/>
        <color theme="1" tint="0.499984740745262"/>
        <rFont val="Noto Sans"/>
        <family val="2"/>
      </rPr>
      <t xml:space="preserve">Stuart Piggot, 1996 </t>
    </r>
    <r>
      <rPr>
        <sz val="7"/>
        <color theme="1" tint="0.499984740745262"/>
        <rFont val="Noto Sans"/>
        <family val="2"/>
      </rPr>
      <t>'since the early 1920s its wines have been among Germany's best Rieslings with the Mosel's vivacious aroma and racy elegance</t>
    </r>
  </si>
  <si>
    <t xml:space="preserve"> in its highest form.'</t>
  </si>
  <si>
    <r>
      <rPr>
        <b/>
        <sz val="7"/>
        <color theme="1" tint="0.499984740745262"/>
        <rFont val="Noto Sans"/>
        <family val="2"/>
      </rPr>
      <t xml:space="preserve">Motto </t>
    </r>
    <r>
      <rPr>
        <sz val="7"/>
        <color theme="1" tint="0.499984740745262"/>
        <rFont val="Noto Sans"/>
        <family val="2"/>
      </rPr>
      <t>'Quidquid agis prudenter agas et respice finem' - 'whatever you do, do it wisely and consider the end'</t>
    </r>
  </si>
  <si>
    <t>J.J. PRÜM, aka</t>
  </si>
  <si>
    <t>KABINETT:</t>
  </si>
  <si>
    <t>Joh.Jos. PRÜM, by</t>
  </si>
  <si>
    <t>23PRUM01</t>
  </si>
  <si>
    <t>Dr. KATHARINA PRUM</t>
  </si>
  <si>
    <t>22PRUM01</t>
  </si>
  <si>
    <t>Wehlen, Mosel. 21ha; 70% ungrafted VV</t>
  </si>
  <si>
    <t>21PRUM01</t>
  </si>
  <si>
    <t>Dr.Katharina Prüm, father Dr.Manfred,</t>
  </si>
  <si>
    <t>20PRUM01</t>
  </si>
  <si>
    <t>Viticulturalist Marvin Bauer</t>
  </si>
  <si>
    <t>23PRUM02</t>
  </si>
  <si>
    <t xml:space="preserve">7 sites owned. 'eternal viticulture' concept. </t>
  </si>
  <si>
    <t>22PRUM02</t>
  </si>
  <si>
    <t>100% riesling; ~50yr old 1000L wood fuders</t>
  </si>
  <si>
    <t>21PRUM02</t>
  </si>
  <si>
    <t>20PRUM02</t>
  </si>
  <si>
    <t>23PRUM05</t>
  </si>
  <si>
    <t>2021 old viticulturist Karl Josef Heinz retires</t>
  </si>
  <si>
    <t>22PRUM03</t>
  </si>
  <si>
    <t>2018 end of herbicide use</t>
  </si>
  <si>
    <t>21PRUM03</t>
  </si>
  <si>
    <t>2016 new viticulturalist Marvin Bauer joins</t>
  </si>
  <si>
    <t>19PRUM02</t>
  </si>
  <si>
    <t>2016 Katharina buys 4ha F.Weins-Prum estate</t>
  </si>
  <si>
    <t>22PRUM02MG</t>
  </si>
  <si>
    <t>2007 Katharina takes over</t>
  </si>
  <si>
    <t>20PRUM02MG</t>
  </si>
  <si>
    <t>2003 elder daughter Dr.Katharina Prum joins</t>
  </si>
  <si>
    <t>22PRUM03MG</t>
  </si>
  <si>
    <t>1969 Sebastien dies; son Manfred takes over</t>
  </si>
  <si>
    <t>21PRUM03MG</t>
  </si>
  <si>
    <t>1952 - 1955 Manfred works in the business</t>
  </si>
  <si>
    <t>19PRUM02MG</t>
  </si>
  <si>
    <t>1937 1st Trockenbeerenauslese (TBA) made</t>
  </si>
  <si>
    <t>1934 1st Beerenauslese (BA) made</t>
  </si>
  <si>
    <t>22PRUM04</t>
  </si>
  <si>
    <t>1928 Sebastien-Alois Prum marries Katharina Erz</t>
  </si>
  <si>
    <t>23PRUM03</t>
  </si>
  <si>
    <t>1920 first Auslese</t>
  </si>
  <si>
    <t>22PRUM05</t>
  </si>
  <si>
    <t>1920 next Sebastien-Alois takes over, aged 18</t>
  </si>
  <si>
    <t>21PRUM04</t>
  </si>
  <si>
    <t>1911 founded by Johann Josef, aka Joh.Jos., J.J.</t>
  </si>
  <si>
    <t>19PRUM04</t>
  </si>
  <si>
    <t>1842/3 Jodocus Prum erects sundial in Wehlen</t>
  </si>
  <si>
    <t>23PRUM06</t>
  </si>
  <si>
    <t>1794 Sebastien Alois born, who started activity</t>
  </si>
  <si>
    <t>22PRUM06</t>
  </si>
  <si>
    <t>1156 1st recorded Prums in Wehlen</t>
  </si>
  <si>
    <t>21PRUM05</t>
  </si>
  <si>
    <t>20PRUM08</t>
  </si>
  <si>
    <t>20PRUM07</t>
  </si>
  <si>
    <t>21PRUM05MG</t>
  </si>
  <si>
    <t>often in Wine &amp; Spirits Top 100 WOTY</t>
  </si>
  <si>
    <t>19PRUM05MG</t>
  </si>
  <si>
    <t>2014 S.Pigott's Top 20 medium rieslings (kab.)</t>
  </si>
  <si>
    <t>AUSLESE HALVES:</t>
  </si>
  <si>
    <t>20PRUM04HF</t>
  </si>
  <si>
    <t>2013 1st entry in Wine Enthusiast, Enthusiast 100</t>
  </si>
  <si>
    <t>19PRUM06HF</t>
  </si>
  <si>
    <t>2009 Der Feinschmecker Lifetime Achievement</t>
  </si>
  <si>
    <t>23PRUM07HF</t>
  </si>
  <si>
    <t>2009 1st entry Wine Enthusiast, Top 100</t>
  </si>
  <si>
    <t>22PRUM08HF</t>
  </si>
  <si>
    <t>2007 Gault Millau Collection of The Year</t>
  </si>
  <si>
    <t>21PRUM09HF</t>
  </si>
  <si>
    <t>2007 1st entry in Wine &amp; Spirits Top 100 WOTY</t>
  </si>
  <si>
    <t>19PRUM07HF</t>
  </si>
  <si>
    <t>1996 Gault Millau Winemaker of The Year</t>
  </si>
  <si>
    <t>23PRUM04</t>
  </si>
  <si>
    <t>1990 1st entry in Wine Spectator Top 100</t>
  </si>
  <si>
    <t>22PRUM07</t>
  </si>
  <si>
    <t>21PRUM06</t>
  </si>
  <si>
    <t>20PRUM04</t>
  </si>
  <si>
    <t>16PRUM04TB</t>
  </si>
  <si>
    <t>23PRUM07</t>
  </si>
  <si>
    <t>JJPruem.com</t>
  </si>
  <si>
    <t>22PRUM08</t>
  </si>
  <si>
    <t>LEVI DALTON 'IDTT' INTERVIEW #80</t>
  </si>
  <si>
    <t>21PRUM07</t>
  </si>
  <si>
    <t>DEBRA MEIBURG MW INTERVIEW #132</t>
  </si>
  <si>
    <t>16PRUM05TB</t>
  </si>
  <si>
    <t>DEBRA MEIBURG MW INTERVIEW #138</t>
  </si>
  <si>
    <t>15PRUM06TB</t>
  </si>
  <si>
    <t>GROWER CODE: PRUM</t>
  </si>
  <si>
    <t>15PRUM02MTB</t>
  </si>
  <si>
    <t>AUSLESE GOLDKAP HALVES:</t>
  </si>
  <si>
    <t>23PRUM09HF</t>
  </si>
  <si>
    <t>22PRUM11HF</t>
  </si>
  <si>
    <t>19PRUM09HF</t>
  </si>
  <si>
    <t>16PRUM07HTB</t>
  </si>
  <si>
    <t>09PRUM07HF</t>
  </si>
  <si>
    <t>23PRUM08HF</t>
  </si>
  <si>
    <t>07PRUM09HF</t>
  </si>
  <si>
    <t>GOLDKAP AUSLESE:</t>
  </si>
  <si>
    <t>20PRUM11</t>
  </si>
  <si>
    <t>22PRUM09</t>
  </si>
  <si>
    <t>20PRUM05</t>
  </si>
  <si>
    <t>19PRUM09</t>
  </si>
  <si>
    <t>16PRUM07TB</t>
  </si>
  <si>
    <t>09PRUM07</t>
  </si>
  <si>
    <t>06PRUM04</t>
  </si>
  <si>
    <t>23PRUM10</t>
  </si>
  <si>
    <t>16PRUM06TB</t>
  </si>
  <si>
    <t>15PRUM03MTB</t>
  </si>
  <si>
    <t>LANGE GOLDKAP AUSLESE:</t>
  </si>
  <si>
    <t>22PRUM10HF</t>
  </si>
  <si>
    <t>22PRUM10</t>
  </si>
  <si>
    <t>KIND WORDS ON GRUNHAUS:</t>
  </si>
  <si>
    <r>
      <t xml:space="preserve">Motto: </t>
    </r>
    <r>
      <rPr>
        <sz val="7"/>
        <color theme="1" tint="0.499984740745262"/>
        <rFont val="Noto Sans"/>
        <family val="2"/>
      </rPr>
      <t>'as much handling as necessary, but as little as possible'</t>
    </r>
  </si>
  <si>
    <r>
      <t>Anne Krebiehl MW, Vinous 2023</t>
    </r>
    <r>
      <rPr>
        <sz val="7"/>
        <color theme="1" tint="0.499984740745262"/>
        <rFont val="Noto Sans"/>
        <family val="2"/>
      </rPr>
      <t xml:space="preserve"> 'The Superior bottling, not legally dry but not off-dry either, presents a fascinating comparison between the contemporary</t>
    </r>
  </si>
  <si>
    <t>GG style and the slightly more playful but no less serious “dry” wine of the past.'</t>
  </si>
  <si>
    <r>
      <rPr>
        <b/>
        <sz val="7"/>
        <color theme="1" tint="0.499984740745262"/>
        <rFont val="Noto Sans"/>
        <family val="2"/>
      </rPr>
      <t>Mosel Fine Wines ('MFW') 2021</t>
    </r>
    <r>
      <rPr>
        <sz val="7"/>
        <color theme="1" tint="0.499984740745262"/>
        <rFont val="Noto Sans"/>
        <family val="2"/>
      </rPr>
      <t xml:space="preserve"> 'a classic sense of Grünhaus lightness, elegance, and finesse.'</t>
    </r>
  </si>
  <si>
    <r>
      <rPr>
        <b/>
        <sz val="7"/>
        <color theme="1" tint="0.499984740745262"/>
        <rFont val="Noto Sans"/>
        <family val="2"/>
      </rPr>
      <t>MFW 2021</t>
    </r>
    <r>
      <rPr>
        <sz val="7"/>
        <color theme="1" tint="0.499984740745262"/>
        <rFont val="Noto Sans"/>
        <family val="2"/>
      </rPr>
      <t xml:space="preserve"> 'telltale herbal, minty, and spicy elements which have made the success of the Estate over the decades, even centuries'</t>
    </r>
  </si>
  <si>
    <r>
      <t xml:space="preserve">S.Reinhardt, TWA 2018 </t>
    </r>
    <r>
      <rPr>
        <sz val="7"/>
        <color theme="1" tint="0.499984740745262"/>
        <rFont val="Noto Sans"/>
        <family val="2"/>
      </rPr>
      <t>'the classic "Grünhaus style"—beautifully airy, light and elegant'</t>
    </r>
  </si>
  <si>
    <r>
      <t xml:space="preserve">S.Reinhardt, TWA 2016 </t>
    </r>
    <r>
      <rPr>
        <sz val="7"/>
        <color theme="1" tint="0.499984740745262"/>
        <rFont val="Noto Sans"/>
        <family val="2"/>
      </rPr>
      <t>'Riesling cannot taste finer than here'</t>
    </r>
  </si>
  <si>
    <r>
      <rPr>
        <b/>
        <sz val="7"/>
        <color theme="1" tint="0.499984740745262"/>
        <rFont val="Noto Sans"/>
        <family val="2"/>
      </rPr>
      <t>D.Schildknecht, TWA 2010</t>
    </r>
    <r>
      <rPr>
        <sz val="7"/>
        <color theme="1" tint="0.499984740745262"/>
        <rFont val="Noto Sans"/>
        <family val="2"/>
      </rPr>
      <t xml:space="preserve"> 'Carl von Schubert and cellarmaster and vineyard manager Stefan Kraml continue to make strides in in bringing this great</t>
    </r>
  </si>
  <si>
    <t>estate back to its long-standing exemplary form'</t>
  </si>
  <si>
    <r>
      <rPr>
        <b/>
        <sz val="7"/>
        <color theme="1" tint="0.499984740745262"/>
        <rFont val="Noto Sans"/>
        <family val="2"/>
      </rPr>
      <t>D.Schildknecht, TWA 2006</t>
    </r>
    <r>
      <rPr>
        <sz val="7"/>
        <color theme="1" tint="0.499984740745262"/>
        <rFont val="Noto Sans"/>
        <family val="2"/>
      </rPr>
      <t xml:space="preserve"> 'incomparable vineyards'</t>
    </r>
  </si>
  <si>
    <r>
      <rPr>
        <b/>
        <sz val="7"/>
        <color theme="1" tint="0.499984740745262"/>
        <rFont val="Noto Sans"/>
        <family val="2"/>
      </rPr>
      <t>D.Schildknecht, TWA 2006</t>
    </r>
    <r>
      <rPr>
        <sz val="7"/>
        <color theme="1" tint="0.499984740745262"/>
        <rFont val="Noto Sans"/>
        <family val="2"/>
      </rPr>
      <t xml:space="preserve"> 'long – virtually unprecedented – string of ageworthy successes at this estate during most of the more than two decades’</t>
    </r>
  </si>
  <si>
    <t>tenure of vineyard manager and cellar master Alfons Heinrich'</t>
  </si>
  <si>
    <t>MAXIMIN GRÜNHAUS by</t>
  </si>
  <si>
    <t>the Von Schubert Family</t>
  </si>
  <si>
    <t>24GRUN10</t>
  </si>
  <si>
    <t>with Stefan Kraml, estate manager. &gt;230ha:</t>
  </si>
  <si>
    <t>21GRUN02</t>
  </si>
  <si>
    <t>100ha forest, 100ha agriculture, 37ha vines</t>
  </si>
  <si>
    <t>20GRUN01</t>
  </si>
  <si>
    <t xml:space="preserve">34ha on Gruneberg, plus 3ha nearby </t>
  </si>
  <si>
    <t>24GRUN01</t>
  </si>
  <si>
    <t>Mertesdorf, Ruwer, off the Mosel. Avg.45hl/ha</t>
  </si>
  <si>
    <t>21GRUN03</t>
  </si>
  <si>
    <t>grafted massale vines; ambient yeast</t>
  </si>
  <si>
    <t>21GRUN02MG</t>
  </si>
  <si>
    <t>94% planted to riesling , 6% pinot family</t>
  </si>
  <si>
    <t>18GRUN08MG</t>
  </si>
  <si>
    <t>cover crop; no fertilizer, herbicide, insecticide</t>
  </si>
  <si>
    <t>QBA:</t>
  </si>
  <si>
    <t xml:space="preserve">barrels coopered from own woods: 1000L for </t>
  </si>
  <si>
    <t>MIXED 6-PACK IN OWC OF GG &amp; SUPERIOR FROM 3 CRUS:</t>
  </si>
  <si>
    <t>pinot blanc réserve, and 225L for pinot noir</t>
  </si>
  <si>
    <t>21GRUN01MC</t>
  </si>
  <si>
    <t>60% of riesling ex-1000L fuder &gt;3yrs old</t>
  </si>
  <si>
    <t>TROCKEN - DRY:</t>
  </si>
  <si>
    <t>plus 40% made in 1000-3000L small steel</t>
  </si>
  <si>
    <t>24GRUN09HF</t>
  </si>
  <si>
    <t>1st hydraulic press in Germany</t>
  </si>
  <si>
    <t>24GRUN02HF</t>
  </si>
  <si>
    <t>19GRUN01</t>
  </si>
  <si>
    <t>generally unfined; bentonite if necessary</t>
  </si>
  <si>
    <t>19GRUN02</t>
  </si>
  <si>
    <t>THE 3 MONOPOLE CRUS:</t>
  </si>
  <si>
    <t>24GRUN09</t>
  </si>
  <si>
    <r>
      <rPr>
        <b/>
        <sz val="7"/>
        <color theme="1" tint="0.499984740745262"/>
        <rFont val="Noto Sans"/>
        <family val="2"/>
      </rPr>
      <t>Abtsberg</t>
    </r>
    <r>
      <rPr>
        <sz val="7"/>
        <color theme="1" tint="0.499984740745262"/>
        <rFont val="Noto Sans"/>
        <family val="2"/>
      </rPr>
      <t>, 14ha blue Devonian slate</t>
    </r>
  </si>
  <si>
    <t>24GRUN02</t>
  </si>
  <si>
    <r>
      <rPr>
        <b/>
        <sz val="7"/>
        <color theme="1" tint="0.499984740745262"/>
        <rFont val="Noto Sans"/>
        <family val="2"/>
      </rPr>
      <t>Herrenberg</t>
    </r>
    <r>
      <rPr>
        <sz val="7"/>
        <color theme="1" tint="0.499984740745262"/>
        <rFont val="Noto Sans"/>
        <family val="2"/>
      </rPr>
      <t>, 19ha red Devonian slate</t>
    </r>
  </si>
  <si>
    <t>18GRUN01</t>
  </si>
  <si>
    <r>
      <rPr>
        <b/>
        <sz val="7"/>
        <color theme="1" tint="0.499984740745262"/>
        <rFont val="Noto Sans"/>
        <family val="2"/>
      </rPr>
      <t>Bruderberg</t>
    </r>
    <r>
      <rPr>
        <sz val="7"/>
        <color theme="1" tint="0.499984740745262"/>
        <rFont val="Noto Sans"/>
        <family val="2"/>
      </rPr>
      <t>, 1ha blue Devonian slate</t>
    </r>
  </si>
  <si>
    <t>24GRUN08</t>
  </si>
  <si>
    <t>24GRUN02MG</t>
  </si>
  <si>
    <t>2019 1st vintage pinot noir 'Gloria'</t>
  </si>
  <si>
    <t>21GRUN04MG</t>
  </si>
  <si>
    <t>2017 Maximin &amp; wife Amelie formally take over</t>
  </si>
  <si>
    <t xml:space="preserve">'SUPERIOR' SERIES. SINCE 2005, OFF-DRY @ 11%-12.5% </t>
  </si>
  <si>
    <t>2015 Maximin Grunhaus joins VDP/Grosser Ring</t>
  </si>
  <si>
    <t>ABV RANGE. LIKE SPATLESE OR AUSLESE FEINHERB:</t>
  </si>
  <si>
    <t>2014 Maximin von Schubert, 6th gen, joins</t>
  </si>
  <si>
    <t>18GRUN02HF</t>
  </si>
  <si>
    <t xml:space="preserve">2000s 1st Grunhauserwald casks by Horsch, Nahe </t>
  </si>
  <si>
    <t>17GRUN01HF</t>
  </si>
  <si>
    <t>2007-8 1.5ha pinot noir planted</t>
  </si>
  <si>
    <t>15GRUN03HTB</t>
  </si>
  <si>
    <t>2005 1st vintage of Superior series</t>
  </si>
  <si>
    <t>24GRUN03</t>
  </si>
  <si>
    <t>2004 Stefan Kraml new manager, ex-Othegraven</t>
  </si>
  <si>
    <t>24GRUN04</t>
  </si>
  <si>
    <t>2004 Alfons Heinrich retires after 20+yrs</t>
  </si>
  <si>
    <t>21GRUN05</t>
  </si>
  <si>
    <t>1994 record 22 different wines made</t>
  </si>
  <si>
    <t>19GRUN03</t>
  </si>
  <si>
    <t>1981 Carl von Schubert, 5th gen. takes over</t>
  </si>
  <si>
    <t>17GRUN01</t>
  </si>
  <si>
    <t>1980 record low yield of 15hl/ha</t>
  </si>
  <si>
    <t>15GRUN14TB</t>
  </si>
  <si>
    <t>1971 Abtsberg carved out of Herrenberg</t>
  </si>
  <si>
    <t>14GRUN03TB</t>
  </si>
  <si>
    <t>1951 Andreas von Schubert, 4th gen takes over</t>
  </si>
  <si>
    <t>14GRUN03MTB</t>
  </si>
  <si>
    <t>1923 Trier auction record: €2.5M for 1000L of TBA!</t>
  </si>
  <si>
    <t>1882 bought by von Schubert's in laws</t>
  </si>
  <si>
    <t>21GRUN07</t>
  </si>
  <si>
    <t>1796 property seized in French revolution</t>
  </si>
  <si>
    <t>17GRUN02</t>
  </si>
  <si>
    <t>1597 main house built</t>
  </si>
  <si>
    <t>23GRUN01</t>
  </si>
  <si>
    <t>966 1st written mention: Otto I gifts to St.Maximin</t>
  </si>
  <si>
    <t>23GRUN02</t>
  </si>
  <si>
    <t xml:space="preserve"> abbey in Trier</t>
  </si>
  <si>
    <t>20GRUN02</t>
  </si>
  <si>
    <t>19GRUN04</t>
  </si>
  <si>
    <t>24GRUN07</t>
  </si>
  <si>
    <t>21GRUN06</t>
  </si>
  <si>
    <t>2016 Wine &amp; Spirits Top 100 WOTY</t>
  </si>
  <si>
    <t>23GRUN01MG</t>
  </si>
  <si>
    <t xml:space="preserve">2014 S.Pigott's Top 20 'med.' rieslings (Superior) </t>
  </si>
  <si>
    <t>19GRUN04MG</t>
  </si>
  <si>
    <t>2012 Wine Enthusiast, Top 100 Cellar Selection</t>
  </si>
  <si>
    <t>13GRUN08MTB</t>
  </si>
  <si>
    <t>2009 der Feinschmecker Collection of The Year</t>
  </si>
  <si>
    <t>SPATLESE HALVES:</t>
  </si>
  <si>
    <t>2006 1st entry in Wine &amp; Spirits Top 100</t>
  </si>
  <si>
    <t>20GRUN05HF</t>
  </si>
  <si>
    <t>1995 Gault Millau producer of the year</t>
  </si>
  <si>
    <t>19GRUN05HF</t>
  </si>
  <si>
    <t>18GRUN04HF</t>
  </si>
  <si>
    <t>GERMAN GUIDES:</t>
  </si>
  <si>
    <t>17GRUN03HF</t>
  </si>
  <si>
    <t>14GRUN07HTB</t>
  </si>
  <si>
    <t>maximingruenhaus.de</t>
  </si>
  <si>
    <t>20GRUN03</t>
  </si>
  <si>
    <t>LEVI DALTON 'IDTT' INTERVIEW #259</t>
  </si>
  <si>
    <t>20GRUN04</t>
  </si>
  <si>
    <t>GROWER CODE: GRUN</t>
  </si>
  <si>
    <t>23GRUN03</t>
  </si>
  <si>
    <t>19GRUN05</t>
  </si>
  <si>
    <t>18GRUN04</t>
  </si>
  <si>
    <t>23GRUN03MG</t>
  </si>
  <si>
    <t>20GRUN05MG</t>
  </si>
  <si>
    <t>17GRUN03MG</t>
  </si>
  <si>
    <t>15GRUN12MTB</t>
  </si>
  <si>
    <t>19GRUN06HF</t>
  </si>
  <si>
    <t>15GRUN13HTB</t>
  </si>
  <si>
    <t>10GRUN09HF</t>
  </si>
  <si>
    <t>13GRUN05HTB</t>
  </si>
  <si>
    <t>19GRUN06</t>
  </si>
  <si>
    <t>10GRUN05</t>
  </si>
  <si>
    <t>19GRUN07</t>
  </si>
  <si>
    <t>15GRUN10MTB</t>
  </si>
  <si>
    <t>AUSLESE SINGLE CASK SERIES HALVES:</t>
  </si>
  <si>
    <t>24GRUN06HF</t>
  </si>
  <si>
    <t>15GRUN07HTB</t>
  </si>
  <si>
    <t>13GRUN04HTB</t>
  </si>
  <si>
    <t>06GRUN07HF</t>
  </si>
  <si>
    <t>18GRUN06HF</t>
  </si>
  <si>
    <t>15GRUN08HTB</t>
  </si>
  <si>
    <t>12GRUN05HTB</t>
  </si>
  <si>
    <t>11GRUN05HF</t>
  </si>
  <si>
    <t>11GRUN06HF</t>
  </si>
  <si>
    <t>10GRUN07HF</t>
  </si>
  <si>
    <t>10GRUN08HF</t>
  </si>
  <si>
    <t>06GRUN06HF</t>
  </si>
  <si>
    <t>AUSLESE SINGLE CASK SERIES:</t>
  </si>
  <si>
    <t>24GRUN05</t>
  </si>
  <si>
    <t>15GRUN07TB</t>
  </si>
  <si>
    <t>13GRUN04TB</t>
  </si>
  <si>
    <t>06GRUN07</t>
  </si>
  <si>
    <t>05GRUN02</t>
  </si>
  <si>
    <t>18GRUN06</t>
  </si>
  <si>
    <t>15GRUN08TB</t>
  </si>
  <si>
    <t>12GRUN05TB</t>
  </si>
  <si>
    <t>BA - BEERENAUSLESE HALVES:</t>
  </si>
  <si>
    <t>18GRUN07HF</t>
  </si>
  <si>
    <t>15GRUN09HTB</t>
  </si>
  <si>
    <t>ICE WINE / EISWEIN:</t>
  </si>
  <si>
    <t>13GRUN06HTB</t>
  </si>
  <si>
    <t>10GRUN10HF</t>
  </si>
  <si>
    <t>11GRUN08HF</t>
  </si>
  <si>
    <t>10GRUN10</t>
  </si>
  <si>
    <t>WILLI SCHAEFER, by son</t>
  </si>
  <si>
    <t>Christoph Schaefer</t>
  </si>
  <si>
    <t>22SCHAEF01</t>
  </si>
  <si>
    <t>Willi Schaefer; son Christoph since 2002,</t>
  </si>
  <si>
    <t>20SCHAEF01</t>
  </si>
  <si>
    <t>and his wife Andrea since 2009</t>
  </si>
  <si>
    <t>Graach, Mosel. 4.5ha in ~100 parcels(!)</t>
  </si>
  <si>
    <t>23SCHAEF02</t>
  </si>
  <si>
    <r>
      <t>60-70% ungrafted vines.</t>
    </r>
    <r>
      <rPr>
        <b/>
        <sz val="8"/>
        <color theme="1" tint="0.14999847407452621"/>
        <rFont val="Noto Sans"/>
        <family val="2"/>
      </rPr>
      <t xml:space="preserve"> </t>
    </r>
    <r>
      <rPr>
        <b/>
        <sz val="8"/>
        <color rgb="FF00B050"/>
        <rFont val="Noto Sans"/>
        <family val="2"/>
      </rPr>
      <t>Sustainable</t>
    </r>
  </si>
  <si>
    <t>22SCHAEF02</t>
  </si>
  <si>
    <t>ambient yeast ferment in used wood</t>
  </si>
  <si>
    <t>23SCHAEF03</t>
  </si>
  <si>
    <t>22SCHAEF03</t>
  </si>
  <si>
    <t>23SCHAEF01</t>
  </si>
  <si>
    <t>23SCHAEF03MG</t>
  </si>
  <si>
    <t>22SCHAEF03MG</t>
  </si>
  <si>
    <t>1997 Gault Millau Rising Star of The Year</t>
  </si>
  <si>
    <t>23SCHAEF04</t>
  </si>
  <si>
    <t>22SCHAEF04</t>
  </si>
  <si>
    <t>Eichelmann Guide 5* winery, 2013&amp;2014 (top 20s)</t>
  </si>
  <si>
    <t>20SCHAEF05</t>
  </si>
  <si>
    <t>17SCHAEF04</t>
  </si>
  <si>
    <t>Weingut-Willi-Schaefer.de</t>
  </si>
  <si>
    <t>16SCHAEF04TB</t>
  </si>
  <si>
    <t>LEVI DALTON 'IDTT' INTERVIEW #192</t>
  </si>
  <si>
    <t>15SCHAEF02TB</t>
  </si>
  <si>
    <t>DEBRA MEIBURG MW INTERVIEW #142</t>
  </si>
  <si>
    <t>14SCHAEF03TB</t>
  </si>
  <si>
    <t>GROWER CODE: SCHAEF</t>
  </si>
  <si>
    <t>13SCHAEF02TB</t>
  </si>
  <si>
    <t>23SCHAEF06</t>
  </si>
  <si>
    <t>22SCHAEF05</t>
  </si>
  <si>
    <t>18SCHAEF06</t>
  </si>
  <si>
    <t>17SCHAEF06</t>
  </si>
  <si>
    <t>23SCHAEF05</t>
  </si>
  <si>
    <t>20SCHAEF06</t>
  </si>
  <si>
    <t>18SCHAEF04</t>
  </si>
  <si>
    <t>16SCHAEF03TB</t>
  </si>
  <si>
    <t>18SCHAEF05</t>
  </si>
  <si>
    <t>16SCHAEF06TB</t>
  </si>
  <si>
    <t>20SCHAEF07MG</t>
  </si>
  <si>
    <t>16SCHAEF07HTB</t>
  </si>
  <si>
    <t>15SCHAEF04HTB</t>
  </si>
  <si>
    <t>13SCHAEF04HT</t>
  </si>
  <si>
    <t>12SCHAEF06HT</t>
  </si>
  <si>
    <t>12SCHAEF04HT</t>
  </si>
  <si>
    <t>05SCHAEF06HF</t>
  </si>
  <si>
    <t>07SCHAEF03HF</t>
  </si>
  <si>
    <t>20SCHAEF08HF</t>
  </si>
  <si>
    <t>18SCHAEF07HF</t>
  </si>
  <si>
    <t>16SCHAEF08HTB</t>
  </si>
  <si>
    <t>13SCHAEF05HT</t>
  </si>
  <si>
    <t>12SCHAEF03HT</t>
  </si>
  <si>
    <t>23SCHAEF07HF</t>
  </si>
  <si>
    <t>16SCHAEF09HTB</t>
  </si>
  <si>
    <t>13SCHAEF06HT</t>
  </si>
  <si>
    <t>12SCHAEF05HT</t>
  </si>
  <si>
    <t>11SCHAEF06HF</t>
  </si>
  <si>
    <t>AUSLESE BOTTLES:</t>
  </si>
  <si>
    <t>16SCHAEF07TB</t>
  </si>
  <si>
    <t>10SCHAEF05</t>
  </si>
  <si>
    <t>10SCHAEF04</t>
  </si>
  <si>
    <t>20SCHAEF08</t>
  </si>
  <si>
    <t>16SCHAEF08TB</t>
  </si>
  <si>
    <t>13SCHAEF05TB</t>
  </si>
  <si>
    <t>12SCHAEF03T</t>
  </si>
  <si>
    <t>16SCHAEF09TB</t>
  </si>
  <si>
    <t>13SCHAEF06TB</t>
  </si>
  <si>
    <t>12SCHAEF05T</t>
  </si>
  <si>
    <t>11SCHAEF06</t>
  </si>
  <si>
    <t>17SCHAEF05</t>
  </si>
  <si>
    <t>BA BEERENAUSLESE HALVES:</t>
  </si>
  <si>
    <t>11SCHAEF07HF</t>
  </si>
  <si>
    <r>
      <rPr>
        <b/>
        <sz val="7"/>
        <color theme="1" tint="0.499984740745262"/>
        <rFont val="Noto Sans"/>
        <family val="2"/>
      </rPr>
      <t>Johannes' motto</t>
    </r>
    <r>
      <rPr>
        <sz val="7"/>
        <color theme="1" tint="0.499984740745262"/>
        <rFont val="Noto Sans"/>
        <family val="2"/>
      </rPr>
      <t>: 'Hands off in the cellar, hands on in the vineyard'</t>
    </r>
  </si>
  <si>
    <r>
      <rPr>
        <b/>
        <sz val="7"/>
        <color theme="1" tint="0.499984740745262"/>
        <rFont val="Noto Sans"/>
        <family val="2"/>
      </rPr>
      <t>FAZ, 2021</t>
    </r>
    <r>
      <rPr>
        <sz val="7"/>
        <color theme="1" tint="0.499984740745262"/>
        <rFont val="Noto Sans"/>
        <family val="2"/>
      </rPr>
      <t xml:space="preserve"> '…not zeitgeist wines…, slender, puristic Rieslings from which the barrenness …of the Devonian slate speaks'</t>
    </r>
  </si>
  <si>
    <r>
      <rPr>
        <b/>
        <sz val="7"/>
        <color theme="1" tint="0.499984740745262"/>
        <rFont val="Noto Sans"/>
        <family val="2"/>
      </rPr>
      <t xml:space="preserve">Stephan Reinhardt, TWA 2020 </t>
    </r>
    <r>
      <rPr>
        <sz val="7"/>
        <color theme="1" tint="0.499984740745262"/>
        <rFont val="Noto Sans"/>
        <family val="2"/>
      </rPr>
      <t>'Selbach-Oster might be one of the hottest domains along the Mosel, if not in all Germany.'</t>
    </r>
  </si>
  <si>
    <t>SELBACH-OSTER</t>
  </si>
  <si>
    <t>DRY / TROCKEN:</t>
  </si>
  <si>
    <t>Zeltingen, middle Mosel</t>
  </si>
  <si>
    <t>19SELBOST01</t>
  </si>
  <si>
    <t>Founded 1600s; estate label 1964</t>
  </si>
  <si>
    <t>OFF-DRY / FEINHERB:</t>
  </si>
  <si>
    <t>Johannes &amp; Barbara Selbach, their</t>
  </si>
  <si>
    <t>19SELBOST03</t>
  </si>
  <si>
    <t>son Sebastian</t>
  </si>
  <si>
    <t>19SELBOST02</t>
  </si>
  <si>
    <t>24ha vines: 98% riesling, 55% alte reben,</t>
  </si>
  <si>
    <t>mostly ungrafted, 85% steep slopes</t>
  </si>
  <si>
    <t>19SELBOST05</t>
  </si>
  <si>
    <t>ambient ferment</t>
  </si>
  <si>
    <t>19SELBOST04</t>
  </si>
  <si>
    <t>Selbach-Oster.de</t>
  </si>
  <si>
    <t>19SELBOST09</t>
  </si>
  <si>
    <t>BA &amp; TBA HVS:</t>
  </si>
  <si>
    <t>GROWER CODE: SELBOST</t>
  </si>
  <si>
    <t>19SELBOST06HF</t>
  </si>
  <si>
    <t>19SELBOST07HF</t>
  </si>
  <si>
    <t>19SELBOST08HF</t>
  </si>
  <si>
    <t>Germany, Franken</t>
  </si>
  <si>
    <t>NB: GG = Grosses Gewachs</t>
  </si>
  <si>
    <t>KIND WORDS ON LUCKERT, etc.:</t>
  </si>
  <si>
    <r>
      <rPr>
        <b/>
        <sz val="7"/>
        <color theme="1" tint="0.499984740745262"/>
        <rFont val="Noto Sans"/>
        <family val="2"/>
      </rPr>
      <t>S.Reinhardt, TWA 2021</t>
    </r>
    <r>
      <rPr>
        <sz val="7"/>
        <color theme="1" tint="0.499984740745262"/>
        <rFont val="Noto Sans"/>
        <family val="2"/>
      </rPr>
      <t xml:space="preserve"> 'quality has gotten better and better in recent years certainly has something to do with what junior Philipp Luckert learned at</t>
    </r>
  </si>
  <si>
    <t>Fürst in Bürgstadt, possibly Germany's leading Pinot producer.'</t>
  </si>
  <si>
    <r>
      <rPr>
        <b/>
        <sz val="7"/>
        <color theme="1" tint="0.499984740745262"/>
        <rFont val="Noto Sans"/>
        <family val="2"/>
      </rPr>
      <t>S.Reinhardt, TWA 2021</t>
    </r>
    <r>
      <rPr>
        <sz val="7"/>
        <color theme="1" tint="0.499984740745262"/>
        <rFont val="Noto Sans"/>
        <family val="2"/>
      </rPr>
      <t xml:space="preserve"> 'The finesse and sensuality of the Luckert Pinots in particular is noticeable. They are already among the finest reds in Franconia.'</t>
    </r>
  </si>
  <si>
    <t>S.Reinhardt, TWA 2020 'Spectacular and surely one of the greatest Sylvaner on planet wine is the Creutz  from 150-year-old vines.'</t>
  </si>
  <si>
    <r>
      <rPr>
        <b/>
        <sz val="7"/>
        <color theme="1" tint="0.499984740745262"/>
        <rFont val="Noto Sans"/>
        <family val="2"/>
      </rPr>
      <t>S.Reinhardt, TWA 2017</t>
    </r>
    <r>
      <rPr>
        <sz val="7"/>
        <color theme="1" tint="0.499984740745262"/>
        <rFont val="Noto Sans"/>
        <family val="2"/>
      </rPr>
      <t xml:space="preserve"> 'one of the leading wine producers in the region for many years'</t>
    </r>
  </si>
  <si>
    <r>
      <rPr>
        <b/>
        <sz val="7"/>
        <color theme="1" tint="0.499984740745262"/>
        <rFont val="Noto Sans"/>
        <family val="2"/>
      </rPr>
      <t>S.Reinhardt, TWA 2017</t>
    </r>
    <r>
      <rPr>
        <sz val="7"/>
        <color theme="1" tint="0.499984740745262"/>
        <rFont val="Noto Sans"/>
        <family val="2"/>
      </rPr>
      <t xml:space="preserve"> 'The Luckert brothers also produce remarkably good Pinot Noirs'</t>
    </r>
  </si>
  <si>
    <r>
      <rPr>
        <b/>
        <sz val="7"/>
        <color theme="1" tint="0.499984740745262"/>
        <rFont val="Noto Sans"/>
        <family val="2"/>
      </rPr>
      <t>S.Reinhardt, TWA 2015</t>
    </r>
    <r>
      <rPr>
        <sz val="7"/>
        <color theme="1" tint="0.499984740745262"/>
        <rFont val="Noto Sans"/>
        <family val="2"/>
      </rPr>
      <t xml:space="preserve"> 'This is where Franken is kissed by Chablis'</t>
    </r>
  </si>
  <si>
    <r>
      <rPr>
        <b/>
        <sz val="7"/>
        <color theme="1" tint="0.499984740745262"/>
        <rFont val="Noto Sans"/>
        <family val="2"/>
      </rPr>
      <t>S.Reinhardt, TWA 2015</t>
    </r>
    <r>
      <rPr>
        <sz val="7"/>
        <color theme="1" tint="0.499984740745262"/>
        <rFont val="Noto Sans"/>
        <family val="2"/>
      </rPr>
      <t xml:space="preserve"> 'this is the estate that you should check out'</t>
    </r>
  </si>
  <si>
    <r>
      <rPr>
        <b/>
        <sz val="7"/>
        <color theme="1" tint="0.499984740745262"/>
        <rFont val="Noto Sans"/>
        <family val="2"/>
      </rPr>
      <t>S.Reinhardt, TWA 2015</t>
    </r>
    <r>
      <rPr>
        <sz val="7"/>
        <color theme="1" tint="0.499984740745262"/>
        <rFont val="Noto Sans"/>
        <family val="2"/>
      </rPr>
      <t xml:space="preserve"> 'always deeper colored than most of the other Frankenweine because they ferment and age all their wines in traditional barrels</t>
    </r>
  </si>
  <si>
    <t>and keep them on the full lees almost until bottling in spring or summer of the following year'</t>
  </si>
  <si>
    <t>LUCKERT ON LUCKERT, etc.:</t>
  </si>
  <si>
    <r>
      <rPr>
        <b/>
        <sz val="7"/>
        <color theme="1" tint="0.499984740745262"/>
        <rFont val="Noto Sans"/>
        <family val="2"/>
      </rPr>
      <t>Uli Luckert, 2020</t>
    </r>
    <r>
      <rPr>
        <sz val="7"/>
        <color theme="1" tint="0.499984740745262"/>
        <rFont val="Noto Sans"/>
        <family val="2"/>
      </rPr>
      <t xml:space="preserve"> 'Nobody comes to Franken to look for Riesling!'</t>
    </r>
  </si>
  <si>
    <r>
      <rPr>
        <b/>
        <sz val="7"/>
        <color theme="1" tint="0.499984740745262"/>
        <rFont val="Noto Sans"/>
        <family val="2"/>
      </rPr>
      <t>Philipp Luckert '</t>
    </r>
    <r>
      <rPr>
        <sz val="7"/>
        <color theme="1" tint="0.499984740745262"/>
        <rFont val="Noto Sans"/>
        <family val="2"/>
      </rPr>
      <t>Our philosophy? Best wine quality for our customers, out of love for our profession. We mature our wines slowly in large wooden</t>
    </r>
  </si>
  <si>
    <t>barrels and process only the best grapes.'</t>
  </si>
  <si>
    <r>
      <rPr>
        <b/>
        <sz val="7"/>
        <color theme="1" tint="0.499984740745262"/>
        <rFont val="Noto Sans"/>
        <family val="2"/>
      </rPr>
      <t>Luckert family</t>
    </r>
    <r>
      <rPr>
        <sz val="7"/>
        <color theme="1" tint="0.499984740745262"/>
        <rFont val="Noto Sans"/>
        <family val="2"/>
      </rPr>
      <t xml:space="preserve"> 'Franconian Muschelkalk. A barren soil that doesn't forgive mistakes and makes the wines complex and racy.'</t>
    </r>
  </si>
  <si>
    <r>
      <rPr>
        <b/>
        <sz val="7"/>
        <color theme="1" tint="0.499984740745262"/>
        <rFont val="Noto Sans"/>
        <family val="2"/>
      </rPr>
      <t>Philipp Luckert '</t>
    </r>
    <r>
      <rPr>
        <sz val="7"/>
        <color theme="1" tint="0.499984740745262"/>
        <rFont val="Noto Sans"/>
        <family val="2"/>
      </rPr>
      <t>We want to make wines that are individual, unmistakable and not interchangeable. And quite clearly: our favourite variety is SILVANER!'</t>
    </r>
  </si>
  <si>
    <r>
      <rPr>
        <b/>
        <sz val="7"/>
        <color theme="1" tint="0.499984740745262"/>
        <rFont val="Noto Sans"/>
        <family val="2"/>
      </rPr>
      <t xml:space="preserve">Philipp Luckert </t>
    </r>
    <r>
      <rPr>
        <sz val="7"/>
        <color theme="1" tint="0.499984740745262"/>
        <rFont val="Noto Sans"/>
        <family val="2"/>
      </rPr>
      <t>'we are the only winery that grows all four Silvaner varieties: yellow, green, blue and red.' </t>
    </r>
  </si>
  <si>
    <r>
      <rPr>
        <b/>
        <sz val="7"/>
        <color theme="1" tint="0.499984740745262"/>
        <rFont val="Noto Sans"/>
        <family val="2"/>
      </rPr>
      <t xml:space="preserve">Luckert family </t>
    </r>
    <r>
      <rPr>
        <sz val="7"/>
        <color theme="1" tint="0.499984740745262"/>
        <rFont val="Noto Sans"/>
        <family val="2"/>
      </rPr>
      <t>'Our white wines have always been spontaneously fermented and aged in double barrels made from Spessart oak.'</t>
    </r>
  </si>
  <si>
    <r>
      <rPr>
        <b/>
        <sz val="7"/>
        <color theme="1" tint="0.499984740745262"/>
        <rFont val="Noto Sans"/>
        <family val="2"/>
      </rPr>
      <t>Philipp Luckert:</t>
    </r>
    <r>
      <rPr>
        <sz val="7"/>
        <color theme="1" tint="0.499984740745262"/>
        <rFont val="Noto Sans"/>
        <family val="2"/>
      </rPr>
      <t xml:space="preserve"> 'We consistently mature </t>
    </r>
    <r>
      <rPr>
        <i/>
        <sz val="7"/>
        <color theme="1" tint="0.499984740745262"/>
        <rFont val="Noto Sans"/>
        <family val="2"/>
      </rPr>
      <t xml:space="preserve">all </t>
    </r>
    <r>
      <rPr>
        <sz val="7"/>
        <color theme="1" tint="0.499984740745262"/>
        <rFont val="Noto Sans"/>
        <family val="2"/>
      </rPr>
      <t>wines in traditional wooden casks.'</t>
    </r>
  </si>
  <si>
    <r>
      <rPr>
        <b/>
        <sz val="7"/>
        <color theme="1" tint="0.499984740745262"/>
        <rFont val="Noto Sans"/>
        <family val="2"/>
      </rPr>
      <t xml:space="preserve">Philipp Luickert </t>
    </r>
    <r>
      <rPr>
        <sz val="7"/>
        <color theme="1" tint="0.499984740745262"/>
        <rFont val="Noto Sans"/>
        <family val="2"/>
      </rPr>
      <t>'before or after a tasting at our winery, take a leisurely look at Sulzfeld's very attractive old town...with its completely preserved village wall.'</t>
    </r>
  </si>
  <si>
    <t>LUCKERT Family, aka</t>
  </si>
  <si>
    <t>SILVANER TROCKEN:</t>
  </si>
  <si>
    <t>Weingut ZEHNTHOF</t>
  </si>
  <si>
    <t>24LUCKERT01</t>
  </si>
  <si>
    <t xml:space="preserve">Sulzfeld. Brothers Ulrich &amp; Wolfgang, his </t>
  </si>
  <si>
    <t>20LUCKERT01</t>
  </si>
  <si>
    <t>son Philipp &amp; family. 17ha, mostly cordon</t>
  </si>
  <si>
    <t>24LUCKERT02</t>
  </si>
  <si>
    <t>Organic certified 2009 GRFS</t>
  </si>
  <si>
    <t>24LUCKERT03</t>
  </si>
  <si>
    <t>19LUCKERT02</t>
  </si>
  <si>
    <t>Cover cropping. Ambient yeast. MLF made</t>
  </si>
  <si>
    <t>24LUCKERT04</t>
  </si>
  <si>
    <t>All wines usually unfined</t>
  </si>
  <si>
    <t>FRUHBURGUNDER aka PINOT NOIR PRÉCOCE:</t>
  </si>
  <si>
    <r>
      <rPr>
        <b/>
        <sz val="7"/>
        <color theme="1" tint="0.499984740745262"/>
        <rFont val="Noto Sans"/>
        <family val="2"/>
      </rPr>
      <t>WHITES:</t>
    </r>
    <r>
      <rPr>
        <sz val="7"/>
        <color theme="1" tint="0.499984740745262"/>
        <rFont val="Noto Sans"/>
        <family val="2"/>
      </rPr>
      <t xml:space="preserve"> ferment and raised in fuder.</t>
    </r>
  </si>
  <si>
    <t>24LUCKERT06</t>
  </si>
  <si>
    <r>
      <rPr>
        <b/>
        <sz val="7"/>
        <color theme="1" tint="0.499984740745262"/>
        <rFont val="Noto Sans"/>
        <family val="2"/>
      </rPr>
      <t xml:space="preserve">Silvaner Creutz: </t>
    </r>
    <r>
      <rPr>
        <sz val="7"/>
        <color theme="1" tint="0.499984740745262"/>
        <rFont val="Noto Sans"/>
        <family val="2"/>
      </rPr>
      <t>1870 ungrafted tvv in Sonnenberg</t>
    </r>
  </si>
  <si>
    <t>20LUCKERT03</t>
  </si>
  <si>
    <t>with 4/5 biotypes &amp; colours of silvaner. Fermented</t>
  </si>
  <si>
    <t>19LUCKERT03</t>
  </si>
  <si>
    <t>in 600L cask. Discovered 2009; 1st made 2012</t>
  </si>
  <si>
    <t>24LUCKERT07</t>
  </si>
  <si>
    <r>
      <rPr>
        <b/>
        <sz val="7"/>
        <color theme="1" tint="0.499984740745262"/>
        <rFont val="Noto Sans"/>
        <family val="2"/>
      </rPr>
      <t>REDS:</t>
    </r>
    <r>
      <rPr>
        <sz val="7"/>
        <color theme="1" tint="0.499984740745262"/>
        <rFont val="Noto Sans"/>
        <family val="2"/>
      </rPr>
      <t xml:space="preserve"> tank ferment, elevage in cask, unfiltered</t>
    </r>
  </si>
  <si>
    <t>20LUCKERT04</t>
  </si>
  <si>
    <t>Fruhburgunder is pinot noir précoce in French, aka</t>
  </si>
  <si>
    <t>19LUCKERT04</t>
  </si>
  <si>
    <t>pinot madeleine. It's now considered pinot noir</t>
  </si>
  <si>
    <t>SPATBURGUNDER aka PINOT NOIR:</t>
  </si>
  <si>
    <t>24LUCKERT05</t>
  </si>
  <si>
    <t>2021 ~50% loss due to humid summer</t>
  </si>
  <si>
    <t>20LUCKERT02</t>
  </si>
  <si>
    <t>2020 85-90% loss due to frost on May 11/12th</t>
  </si>
  <si>
    <t>24LUCKERT08</t>
  </si>
  <si>
    <t>2019 33% loss due to dry summer</t>
  </si>
  <si>
    <t>19LUCKERT05</t>
  </si>
  <si>
    <r>
      <rPr>
        <sz val="7"/>
        <color theme="1" tint="0.499984740745262"/>
        <rFont val="Noto Sans"/>
        <family val="2"/>
      </rPr>
      <t>2019</t>
    </r>
    <r>
      <rPr>
        <sz val="6.5"/>
        <color theme="1" tint="0.499984740745262"/>
        <rFont val="Noto Sans"/>
        <family val="2"/>
      </rPr>
      <t xml:space="preserve"> Gault Millau Best Silvaner of Germany (Maustal)</t>
    </r>
  </si>
  <si>
    <t>2016 Gault Millau Newcomer of The Year</t>
  </si>
  <si>
    <t>2014 Philipp joins</t>
  </si>
  <si>
    <t>2012 1st vintage of Creutz Silvaner tvv</t>
  </si>
  <si>
    <t>2009 Creuz vineyard discovered &amp; 'recultivated'</t>
  </si>
  <si>
    <t>2009 Organic certified</t>
  </si>
  <si>
    <t>1990s pinot noir &amp; fruhbugunder planted</t>
  </si>
  <si>
    <t>1975 1st vintage made in the Zehntof cellar</t>
  </si>
  <si>
    <t>1970 Theo Luckert founds; buys the Bishop's cellar</t>
  </si>
  <si>
    <t>1870s oldest ungrafted silvaner planted in Creutz</t>
  </si>
  <si>
    <t>1558 the Zehnthof, i.e. tithe barn is constructed</t>
  </si>
  <si>
    <t>2012 - 2019 Eichelmann Guide 5* winery (top 20s)</t>
  </si>
  <si>
    <t>2009 Eichelmann White Collection of The Year</t>
  </si>
  <si>
    <t>Naturland.de</t>
  </si>
  <si>
    <t>Weingut-Zehnthof.de</t>
  </si>
  <si>
    <t>NB ALL WINES ARE DRY / TROCKEN</t>
  </si>
  <si>
    <t>GROWER CODE: LUCKERT</t>
  </si>
  <si>
    <t>Germany, Nahe</t>
  </si>
  <si>
    <t>DÖNNHOFF</t>
  </si>
  <si>
    <t>EISWEIN/ICEWINE:</t>
  </si>
  <si>
    <t>Oberhausen, middle Nahe</t>
  </si>
  <si>
    <t>10DONN02HF</t>
  </si>
  <si>
    <t>Cornelius Donnhoff with father Helmut</t>
  </si>
  <si>
    <r>
      <t xml:space="preserve">25ha, </t>
    </r>
    <r>
      <rPr>
        <b/>
        <sz val="8"/>
        <color rgb="FF00B050"/>
        <rFont val="Noto Sans"/>
        <family val="2"/>
      </rPr>
      <t>Sustainable certified</t>
    </r>
  </si>
  <si>
    <t>80% planted to riesling + pinots blanc &amp; gris</t>
  </si>
  <si>
    <t>Oberhäuser Brücke is monopole</t>
  </si>
  <si>
    <t>2007 4th generation Cornelius took over cellar</t>
  </si>
  <si>
    <t>1988 last 'bad' vintage</t>
  </si>
  <si>
    <t>1971 farmland sold off</t>
  </si>
  <si>
    <t>1966 Helmut took over, with just 4ha under vine</t>
  </si>
  <si>
    <t>1920 Hermann Sr. started wine estate</t>
  </si>
  <si>
    <t>1750 ancestors arrived in Nahe</t>
  </si>
  <si>
    <t>TIMELINE OF AWARDS (IN BRIEF!):</t>
  </si>
  <si>
    <t>a Wine &amp; Spirits 'Top 100, Winery of the Year'</t>
  </si>
  <si>
    <t>2016 Suckling's Top 100 WOTY</t>
  </si>
  <si>
    <t>2014 Stuart Pigott's Winemaker of The Year</t>
  </si>
  <si>
    <t xml:space="preserve">2014 S.Pigott's Top 20 med.rieslings (Leisten' kab) </t>
  </si>
  <si>
    <t>2009 1st entry in Wine &amp; Spirits Top 100</t>
  </si>
  <si>
    <t>1999 Gault Millau Producer of The Year</t>
  </si>
  <si>
    <t>Eichelmann Guide 5* winery, 2013-2019 (top 20s)</t>
  </si>
  <si>
    <t>Doennhoff.com</t>
  </si>
  <si>
    <t>FairAndGreen.de</t>
  </si>
  <si>
    <t>GROWER CODE: DONN</t>
  </si>
  <si>
    <t>Germany, Rheingau - NB all wines are riesling</t>
  </si>
  <si>
    <t>LEITZ</t>
  </si>
  <si>
    <t>03LEITZ01</t>
  </si>
  <si>
    <t>Rudesheim, Rheingau. 130ha</t>
  </si>
  <si>
    <t>03LEITZ02</t>
  </si>
  <si>
    <t>Johannes Leitz took over 2.5ha in 1985</t>
  </si>
  <si>
    <t>02LEITZ03</t>
  </si>
  <si>
    <t>Eichelmann Guide 5*, 2013-2016, 2019 (top 20s)</t>
  </si>
  <si>
    <t>2011 Gault Millau Winemaker of The Year</t>
  </si>
  <si>
    <t>2007 Eichelmann White Collection of The Year</t>
  </si>
  <si>
    <t>Leitz-Wein.de</t>
  </si>
  <si>
    <t>LEVI DALTON 'IDTT' INTERVIEW #181</t>
  </si>
  <si>
    <t>GROWER CODE: LEITZ</t>
  </si>
  <si>
    <t>Lebanon</t>
  </si>
  <si>
    <r>
      <t xml:space="preserve">NB </t>
    </r>
    <r>
      <rPr>
        <b/>
        <i/>
        <sz val="8"/>
        <color theme="1" tint="0.14999847407452621"/>
        <rFont val="Noto Sans"/>
        <family val="2"/>
      </rPr>
      <t xml:space="preserve">SOME </t>
    </r>
    <r>
      <rPr>
        <b/>
        <sz val="8"/>
        <color theme="1" tint="0.14999847407452621"/>
        <rFont val="Noto Sans"/>
        <family val="2"/>
      </rPr>
      <t>ONLY</t>
    </r>
    <r>
      <rPr>
        <b/>
        <i/>
        <sz val="8"/>
        <color theme="1" tint="0.14999847407452621"/>
        <rFont val="Noto Sans"/>
        <family val="2"/>
      </rPr>
      <t xml:space="preserve"> </t>
    </r>
    <r>
      <rPr>
        <b/>
        <sz val="8"/>
        <color theme="1" tint="0.14999847407452621"/>
        <rFont val="Noto Sans"/>
        <family val="2"/>
      </rPr>
      <t>IN THE VAULTS, EDINBURGH</t>
    </r>
  </si>
  <si>
    <t>MUSAR JEUNE</t>
  </si>
  <si>
    <t>23MUSAR07VDP</t>
  </si>
  <si>
    <t>by Famille Hochar</t>
  </si>
  <si>
    <t>24MUSAR04VDP</t>
  </si>
  <si>
    <t>Hochar Family, Bekaa Valley. ~1000m</t>
  </si>
  <si>
    <t>25MUSAR02</t>
  </si>
  <si>
    <t>ambient ferment; tank wines; modest SO2</t>
  </si>
  <si>
    <t>M.Jeune series: contract grown vines, tank raised</t>
  </si>
  <si>
    <t>M.Jeune Blanc: viognier chardonnay vermentino</t>
  </si>
  <si>
    <t>M.Jeune Rge: syrah cinsault cabernet</t>
  </si>
  <si>
    <t>ChateauMusar.com.lb</t>
  </si>
  <si>
    <t>GROWER CODE: MUSAR</t>
  </si>
  <si>
    <r>
      <t xml:space="preserve">NB </t>
    </r>
    <r>
      <rPr>
        <b/>
        <i/>
        <sz val="8"/>
        <color theme="1" tint="0.14999847407452621"/>
        <rFont val="Noto Sans"/>
        <family val="2"/>
      </rPr>
      <t xml:space="preserve">SOME </t>
    </r>
    <r>
      <rPr>
        <b/>
        <sz val="8"/>
        <color theme="1" tint="0.14999847407452621"/>
        <rFont val="Noto Sans"/>
        <family val="2"/>
      </rPr>
      <t>ONLY IN THE VAULTS, EDINBURGH</t>
    </r>
  </si>
  <si>
    <t>CHATEAU MUSAR</t>
  </si>
  <si>
    <t>25MUSAR01</t>
  </si>
  <si>
    <t>Hochar Family, Bekaa Valley. 220ha ~1000m</t>
  </si>
  <si>
    <t>ambient ferment; modest SO2</t>
  </si>
  <si>
    <t>HOCHAR ROUGE:</t>
  </si>
  <si>
    <t>Organic estate; Ⓥ Vegan compatible</t>
  </si>
  <si>
    <t>23MUSAR03VDP</t>
  </si>
  <si>
    <t>reds are unfined, unfiltered</t>
  </si>
  <si>
    <t>20MUSAR07TB</t>
  </si>
  <si>
    <t>23MUSAR04MVDP</t>
  </si>
  <si>
    <t>M.Blanc: ungrafted 80-90yr bush vines @1400-</t>
  </si>
  <si>
    <t xml:space="preserve">1500m. 10-20hl/ha. Cask ferment, 9mths elevage. </t>
  </si>
  <si>
    <t>Blend of obaideh &amp; merwah</t>
  </si>
  <si>
    <t>24MUSAR01HF</t>
  </si>
  <si>
    <t>Hochar Rge: cinsault/grenache/cab bushvines</t>
  </si>
  <si>
    <t>23MUSAR06HF</t>
  </si>
  <si>
    <t>from Aana village at 20-30hl/ha. 6-9mths elevage</t>
  </si>
  <si>
    <t>22MUSAR11HFTB</t>
  </si>
  <si>
    <t>M.Rouge: cab/cinsault/carignan/syrah, planted</t>
  </si>
  <si>
    <t>20MUSAR06HTB</t>
  </si>
  <si>
    <t>from 1930s, average ~40yrs. Bush vines, 15-35hl/ha</t>
  </si>
  <si>
    <t>&gt;2.5yrs elevage in cement and Nevers casks</t>
  </si>
  <si>
    <t>24MUSAR01</t>
  </si>
  <si>
    <t>2015 Serge passes away</t>
  </si>
  <si>
    <t>2010 1st Wine &amp; Spirits Top 100, Winery of the Yr</t>
  </si>
  <si>
    <t>24MUSAR01MG</t>
  </si>
  <si>
    <t>2006 Organic certified estate wines</t>
  </si>
  <si>
    <t>23MUSAR06JB</t>
  </si>
  <si>
    <t>1989 last vintage of pure Cinsault</t>
  </si>
  <si>
    <t>1988 Wine Spectator Top 100</t>
  </si>
  <si>
    <t>1984 Serge is 1st Decanter Man of the Year</t>
  </si>
  <si>
    <t>1979 Broadbent 'discovers' Musar in Bristol</t>
  </si>
  <si>
    <t>1959 son Serge joins</t>
  </si>
  <si>
    <t>WWII Gaston serves with Ronald Barton</t>
  </si>
  <si>
    <t>1930 Gaston starts Musar at Chateau Mzar</t>
  </si>
  <si>
    <t>C.17th age of Chateau Mzar</t>
  </si>
  <si>
    <t>LEVI DALTON 'IDTT' INTERVIEW #179</t>
  </si>
  <si>
    <t>Argentina</t>
  </si>
  <si>
    <t>FINCA TACUIL, by</t>
  </si>
  <si>
    <t>22CARMAL01</t>
  </si>
  <si>
    <t>DAVALOS FAMILY</t>
  </si>
  <si>
    <t>Salta, in Valles Calchaquies. 1700-2600m</t>
  </si>
  <si>
    <t>Juan-Carlos Davalos &amp; family</t>
  </si>
  <si>
    <t>ambient yeast; unoaked; unfiltered</t>
  </si>
  <si>
    <t>GROWER CODE: CARMAL</t>
  </si>
  <si>
    <t>Chile</t>
  </si>
  <si>
    <t>LOS VASCOS</t>
  </si>
  <si>
    <t>23LVASCOS01</t>
  </si>
  <si>
    <t>Valle de Caneten, Colchagua, ~130m altitude</t>
  </si>
  <si>
    <t>purchased 1988 with 220ha vines: now 640ha</t>
  </si>
  <si>
    <t>GROWER CODE: LVASCOS</t>
  </si>
  <si>
    <t>U.S.A., California - RRV</t>
  </si>
  <si>
    <t>KIND WORDS ON DUMOL, etc.:</t>
  </si>
  <si>
    <r>
      <rPr>
        <b/>
        <sz val="7"/>
        <color theme="1" tint="0.499984740745262"/>
        <rFont val="Noto Sans"/>
        <family val="2"/>
      </rPr>
      <t>Rose Murray Brown MW, The Scotsman 2019</t>
    </r>
    <r>
      <rPr>
        <sz val="7"/>
        <color theme="1" tint="0.499984740745262"/>
        <rFont val="Noto Sans"/>
        <family val="2"/>
      </rPr>
      <t xml:space="preserve"> 'What sets Smith apart from his winemaking peers is his vineyard experience and his relentless</t>
    </r>
  </si>
  <si>
    <t>experimentation to achieve perfection.'</t>
  </si>
  <si>
    <r>
      <rPr>
        <b/>
        <sz val="7"/>
        <color theme="1" tint="0.499984740745262"/>
        <rFont val="Noto Sans"/>
        <family val="2"/>
      </rPr>
      <t>Rose Murray Brown MW, 2019</t>
    </r>
    <r>
      <rPr>
        <sz val="7"/>
        <color theme="1" tint="0.499984740745262"/>
        <rFont val="Noto Sans"/>
        <family val="2"/>
      </rPr>
      <t xml:space="preserve"> 'a few years bottle maturation in a cool Scottish cellar can develop his Californian wines into real beauties.'</t>
    </r>
  </si>
  <si>
    <r>
      <rPr>
        <b/>
        <sz val="7"/>
        <color theme="1" tint="0.499984740745262"/>
        <rFont val="Noto Sans"/>
        <family val="2"/>
      </rPr>
      <t xml:space="preserve">Galloni, Vinous 2023 (on 2021s) </t>
    </r>
    <r>
      <rPr>
        <sz val="7"/>
        <color theme="1" tint="0.499984740745262"/>
        <rFont val="Noto Sans"/>
        <family val="2"/>
      </rPr>
      <t>'a breathtaking range. I was blown away by the wines I tasted from DuMOL this year...one of the greatest vintages I have</t>
    </r>
  </si>
  <si>
    <t>tasted here. That is evident from the very first wines in this lineup. The Chardonnays are incredibly pure and brilliant. It's much the same in the Pinots,</t>
  </si>
  <si>
    <t>a stunning collection of wines that reaches its apogee with the Pinot Noir McIntyre, one of the greatest California Pinots I have ever tasted.</t>
  </si>
  <si>
    <t>The theme of delineation and vibrancy continues through to the Syrahs and Cabernets. This is a very special set of wines...'</t>
  </si>
  <si>
    <r>
      <rPr>
        <b/>
        <sz val="7"/>
        <color theme="1" tint="0.499984740745262"/>
        <rFont val="Noto Sans"/>
        <family val="2"/>
      </rPr>
      <t>Galloni, Vinous 2022 (on 2020s)</t>
    </r>
    <r>
      <rPr>
        <sz val="7"/>
        <color theme="1" tint="0.499984740745262"/>
        <rFont val="Noto Sans"/>
        <family val="2"/>
      </rPr>
      <t xml:space="preserve"> 'a positively stellar set of 2020 Sonoma wines in...one of the most challenging years'</t>
    </r>
  </si>
  <si>
    <r>
      <rPr>
        <b/>
        <sz val="7"/>
        <color theme="1" tint="0.499984740745262"/>
        <rFont val="Noto Sans"/>
        <family val="2"/>
      </rPr>
      <t xml:space="preserve">Galloni, Vinous 2021 (on 2019s) </t>
    </r>
    <r>
      <rPr>
        <sz val="7"/>
        <color theme="1" tint="0.499984740745262"/>
        <rFont val="Noto Sans"/>
        <family val="2"/>
      </rPr>
      <t>'This is a pretty remarkable set of new releases from DuMOL. The Pinots achieved a level of richness that was not</t>
    </r>
  </si>
  <si>
    <t>easy in a year with a fair amount of rain early in the season, while the Syrahs and Chardonnays are terrific. Winemaker Andy Smith describes 2019</t>
  </si>
  <si>
    <t>as a year with uneven flowering, especially in Pinot and Syrah, which resulted in small bunches and naturally low yields...In my view, though, the</t>
  </si>
  <si>
    <t>biggest driver of style at DuMOL is an emphasis on freshness and energy that defines the wines today as compared to a decade ago…'</t>
  </si>
  <si>
    <r>
      <rPr>
        <b/>
        <sz val="7"/>
        <color theme="1" tint="0.499984740745262"/>
        <rFont val="Noto Sans"/>
        <family val="2"/>
      </rPr>
      <t>Galloni, Vinous 2021</t>
    </r>
    <r>
      <rPr>
        <sz val="7"/>
        <color theme="1" tint="0.499984740745262"/>
        <rFont val="Noto Sans"/>
        <family val="2"/>
      </rPr>
      <t xml:space="preserve"> 'Another key development has been DuMOL’s transformation into an estate winery. Today, nearly all the Pinot and Syrah</t>
    </r>
  </si>
  <si>
    <t>are estate, as is more than half of the Chardonnay.'</t>
  </si>
  <si>
    <r>
      <rPr>
        <b/>
        <sz val="7"/>
        <color theme="1" tint="0.499984740745262"/>
        <rFont val="Noto Sans"/>
        <family val="2"/>
      </rPr>
      <t>Galloni, Vinous 2021 (on 2018s)</t>
    </r>
    <r>
      <rPr>
        <sz val="7"/>
        <color theme="1" tint="0.499984740745262"/>
        <rFont val="Noto Sans"/>
        <family val="2"/>
      </rPr>
      <t xml:space="preserve"> 'My tastings at DuMOL are usually pretty epic, as I sample two vintages of pretty much the entire range. The (2018s)</t>
    </r>
  </si>
  <si>
    <t>are brilliant across the board, just as they were from barrel. Andy Smith describes 2018 as a year with moderate temperatures, especially at</t>
  </si>
  <si>
    <t>harvest time, which allowed for picking tiny sections of vineyards in small, separate passes. From top to bottom, this is an impressive lineup.'</t>
  </si>
  <si>
    <r>
      <rPr>
        <b/>
        <sz val="7"/>
        <color theme="1" tint="0.499984740745262"/>
        <rFont val="Noto Sans"/>
        <family val="2"/>
      </rPr>
      <t>Galloni, Vinous 2020</t>
    </r>
    <r>
      <rPr>
        <sz val="7"/>
        <color theme="1" tint="0.499984740745262"/>
        <rFont val="Noto Sans"/>
        <family val="2"/>
      </rPr>
      <t xml:space="preserve"> 'Over the years, I have learned to allow for plenty of time for my tastings at DuMol. Chardonnays and Pinots</t>
    </r>
  </si>
  <si>
    <t>remain the strong suits, because they form the core of the range and have really been fine tuned over time.'</t>
  </si>
  <si>
    <r>
      <rPr>
        <b/>
        <sz val="7"/>
        <color theme="1" tint="0.499984740745262"/>
        <rFont val="Noto Sans"/>
        <family val="2"/>
      </rPr>
      <t>Galloni, Vinous 2016</t>
    </r>
    <r>
      <rPr>
        <sz val="7"/>
        <color theme="1" tint="0.499984740745262"/>
        <rFont val="Noto Sans"/>
        <family val="2"/>
      </rPr>
      <t xml:space="preserve"> 'Smith seems to have settled into a more relaxed, comfortable style at DuMol. Smith is picking a bit earlier and going for more</t>
    </r>
  </si>
  <si>
    <t>freshness and energy in his wines. The results are truly spectacular. </t>
  </si>
  <si>
    <r>
      <rPr>
        <b/>
        <sz val="7"/>
        <color theme="1" tint="0.499984740745262"/>
        <rFont val="Noto Sans"/>
        <family val="2"/>
      </rPr>
      <t xml:space="preserve">Galloni, Vinous 2016 </t>
    </r>
    <r>
      <rPr>
        <sz val="7"/>
        <color theme="1" tint="0.499984740745262"/>
        <rFont val="Noto Sans"/>
        <family val="2"/>
      </rPr>
      <t>'Andy Smith has really dialed in his approach here over the last few years, and it shows. Harvest dates have been moved up,</t>
    </r>
  </si>
  <si>
    <t>while in general Smith is seeking a bit more freshness in his wines than was the case a few years ago.'</t>
  </si>
  <si>
    <r>
      <rPr>
        <b/>
        <sz val="7"/>
        <color theme="1" tint="0.499984740745262"/>
        <rFont val="Noto Sans"/>
        <family val="2"/>
      </rPr>
      <t>Galloni, Vinous 2014</t>
    </r>
    <r>
      <rPr>
        <sz val="7"/>
        <color theme="1" tint="0.499984740745262"/>
        <rFont val="Noto Sans"/>
        <family val="2"/>
      </rPr>
      <t xml:space="preserve"> 'the wines capture a middle ground built on balance above all else. The wines are rich &amp; layered but never heavy.'</t>
    </r>
  </si>
  <si>
    <r>
      <rPr>
        <b/>
        <sz val="7"/>
        <color theme="1" tint="0.499984740745262"/>
        <rFont val="Noto Sans"/>
        <family val="2"/>
      </rPr>
      <t>Lisa P-B MW, TWI, 202</t>
    </r>
    <r>
      <rPr>
        <sz val="7"/>
        <color theme="1" tint="0.499984740745262"/>
        <rFont val="Noto Sans"/>
        <family val="2"/>
      </rPr>
      <t>3 'DuMOL must be one of the best-priced producers in the world right now for spectacular Pinot Noirs and Chardonnays.</t>
    </r>
  </si>
  <si>
    <t>The style here perfectly hits that sweet-spot target of generous fruit with captivating finesse.'</t>
  </si>
  <si>
    <r>
      <rPr>
        <b/>
        <sz val="7"/>
        <color theme="1" tint="0.499984740745262"/>
        <rFont val="Noto Sans"/>
        <family val="2"/>
      </rPr>
      <t>Lisa P-B MW, TWA, 2018</t>
    </r>
    <r>
      <rPr>
        <sz val="7"/>
        <color theme="1" tint="0.499984740745262"/>
        <rFont val="Noto Sans"/>
        <family val="2"/>
      </rPr>
      <t xml:space="preserve"> 'the prices for the quality will blow you away.'</t>
    </r>
  </si>
  <si>
    <r>
      <rPr>
        <b/>
        <sz val="7"/>
        <color theme="1" tint="0.499984740745262"/>
        <rFont val="Noto Sans"/>
        <family val="2"/>
      </rPr>
      <t>Jeb Dunnuck, 2021 (on 2019s)</t>
    </r>
    <r>
      <rPr>
        <sz val="7"/>
        <color theme="1" tint="0.499984740745262"/>
        <rFont val="Noto Sans"/>
        <family val="2"/>
      </rPr>
      <t xml:space="preserve"> 'DuMOL, under the guidance of Andy Smith, continues to make brilliant, classic wines…'</t>
    </r>
  </si>
  <si>
    <r>
      <rPr>
        <b/>
        <sz val="7"/>
        <color theme="1" tint="0.499984740745262"/>
        <rFont val="Noto Sans"/>
        <family val="2"/>
      </rPr>
      <t>Jeb Dunnuck, 2020 (on 2018s)</t>
    </r>
    <r>
      <rPr>
        <sz val="7"/>
        <color theme="1" tint="0.499984740745262"/>
        <rFont val="Noto Sans"/>
        <family val="2"/>
      </rPr>
      <t xml:space="preserve"> 'This was easily the finest set of releases I have tasted from winemaker Andy Smith.'</t>
    </r>
  </si>
  <si>
    <r>
      <rPr>
        <b/>
        <sz val="7"/>
        <color theme="1" tint="0.499984740745262"/>
        <rFont val="Noto Sans"/>
        <family val="2"/>
      </rPr>
      <t>Jeb Dunnuck, 2018</t>
    </r>
    <r>
      <rPr>
        <sz val="7"/>
        <color theme="1" tint="0.499984740745262"/>
        <rFont val="Noto Sans"/>
        <family val="2"/>
      </rPr>
      <t xml:space="preserve"> 'Stylistically, Smith makes a fresh, vibrant style of wine, yet I never find them lacking for depth and or texture...  Chardonnays are</t>
    </r>
  </si>
  <si>
    <t>made in a reductive, age-worthy style and the clear majority have distinctly Burgundian profiles... the top Pinot Noirs are certainly up with the</t>
  </si>
  <si>
    <t>crème de la crème of the region. DuMol also produces a handful of world-class Syrahs.'</t>
  </si>
  <si>
    <r>
      <rPr>
        <b/>
        <sz val="7"/>
        <color theme="1" tint="0.499984740745262"/>
        <rFont val="Noto Sans"/>
        <family val="2"/>
      </rPr>
      <t>Erin Brooks, TWA 2024</t>
    </r>
    <r>
      <rPr>
        <sz val="7"/>
        <color theme="1" tint="0.499984740745262"/>
        <rFont val="Noto Sans"/>
        <family val="2"/>
      </rPr>
      <t xml:space="preserve"> 'Dumol successfully dodged the heat in 2022. Their lineup...offer the freshness and purity indicative of cooler vintages'</t>
    </r>
  </si>
  <si>
    <r>
      <rPr>
        <b/>
        <sz val="7"/>
        <color theme="1" tint="0.499984740745262"/>
        <rFont val="Noto Sans"/>
        <family val="2"/>
      </rPr>
      <t>Erin Brooks, TWA 2024</t>
    </r>
    <r>
      <rPr>
        <sz val="7"/>
        <color theme="1" tint="0.499984740745262"/>
        <rFont val="Noto Sans"/>
        <family val="2"/>
      </rPr>
      <t xml:space="preserve"> 'Dumol successfully dodged the heat in 2022. Their lineup of Chardonnays and Pinot Noirs offer the freshness and purity indicative of cooler vintages</t>
    </r>
  </si>
  <si>
    <r>
      <rPr>
        <b/>
        <sz val="7"/>
        <color theme="1" tint="0.499984740745262"/>
        <rFont val="Noto Sans"/>
        <family val="2"/>
      </rPr>
      <t xml:space="preserve">Erin Brooks, TWA 2020 </t>
    </r>
    <r>
      <rPr>
        <sz val="7"/>
        <color theme="1" tint="0.499984740745262"/>
        <rFont val="Noto Sans"/>
        <family val="2"/>
      </rPr>
      <t>'Some producers made potential ‘career’ wines in 2018, and the lineup of wines from … Dumol [is] the best I have ever tasted.'</t>
    </r>
  </si>
  <si>
    <r>
      <rPr>
        <b/>
        <sz val="7"/>
        <color theme="1" tint="0.499984740745262"/>
        <rFont val="Noto Sans"/>
        <family val="2"/>
      </rPr>
      <t>R.Parker TWA 2014</t>
    </r>
    <r>
      <rPr>
        <sz val="7"/>
        <color theme="1" tint="0.499984740745262"/>
        <rFont val="Noto Sans"/>
        <family val="2"/>
      </rPr>
      <t xml:space="preserve"> 'Approaching its 20th anniversary, the breadth of high-quality, complex Chardonnays and Pinot...is stunning.
</t>
    </r>
  </si>
  <si>
    <r>
      <rPr>
        <b/>
        <sz val="7"/>
        <color theme="1" tint="0.499984740745262"/>
        <rFont val="Noto Sans"/>
        <family val="2"/>
      </rPr>
      <t>R.Parker TWA 2014</t>
    </r>
    <r>
      <rPr>
        <sz val="7"/>
        <color theme="1" tint="0.499984740745262"/>
        <rFont val="Noto Sans"/>
        <family val="2"/>
      </rPr>
      <t xml:space="preserve"> 'consider that Burgundy wines of a similar quality sell for nearly twice as much'</t>
    </r>
  </si>
  <si>
    <r>
      <rPr>
        <b/>
        <sz val="7"/>
        <color theme="1" tint="0.499984740745262"/>
        <rFont val="Noto Sans"/>
        <family val="2"/>
      </rPr>
      <t>R.Parker, TWA 2013</t>
    </r>
    <r>
      <rPr>
        <sz val="7"/>
        <color theme="1" tint="0.499984740745262"/>
        <rFont val="Noto Sans"/>
        <family val="2"/>
      </rPr>
      <t xml:space="preserve"> 'Since its founding in 1996, DuMol has been one of the superstar wineries of the entire California North Coast. They primarily</t>
    </r>
  </si>
  <si>
    <t>focus on gorgeous Burgundian-styled Chardonnays from cool micro-climates'</t>
  </si>
  <si>
    <r>
      <rPr>
        <b/>
        <sz val="7"/>
        <color theme="1" tint="0.499984740745262"/>
        <rFont val="Noto Sans"/>
        <family val="2"/>
      </rPr>
      <t xml:space="preserve">R.Parker TWA 2011 </t>
    </r>
    <r>
      <rPr>
        <sz val="7"/>
        <color theme="1" tint="0.499984740745262"/>
        <rFont val="Noto Sans"/>
        <family val="2"/>
      </rPr>
      <t>'I would have to rank DuMol as one of my favorite half dozen producers of California Chardonnay'</t>
    </r>
  </si>
  <si>
    <r>
      <rPr>
        <b/>
        <sz val="7"/>
        <color theme="1" tint="0.499984740745262"/>
        <rFont val="Noto Sans"/>
        <family val="2"/>
      </rPr>
      <t>R.Parker TWA 2008</t>
    </r>
    <r>
      <rPr>
        <sz val="7"/>
        <color theme="1" tint="0.499984740745262"/>
        <rFont val="Noto Sans"/>
        <family val="2"/>
      </rPr>
      <t xml:space="preserve"> 'This is one of the superstar sources of tremendous Chardonnay and Pinot Noir'</t>
    </r>
  </si>
  <si>
    <r>
      <rPr>
        <b/>
        <sz val="7"/>
        <color theme="1" tint="0.499984740745262"/>
        <rFont val="Noto Sans"/>
        <family val="2"/>
      </rPr>
      <t>R.Parker TWA, 2007</t>
    </r>
    <r>
      <rPr>
        <sz val="7"/>
        <color theme="1" tint="0.499984740745262"/>
        <rFont val="Noto Sans"/>
        <family val="2"/>
      </rPr>
      <t xml:space="preserve"> 'doing sensational work in the cool-climate areas of the Russian River. This has become one of my fav. tastings of the year,</t>
    </r>
  </si>
  <si>
    <t>and not only are their Chardonnays and Pinot world-class...This is a winery that is clearly on top of its game'</t>
  </si>
  <si>
    <r>
      <rPr>
        <b/>
        <sz val="7"/>
        <color theme="1" tint="0.499984740745262"/>
        <rFont val="Noto Sans"/>
        <family val="2"/>
      </rPr>
      <t>R.Parker TWA, 2006</t>
    </r>
    <r>
      <rPr>
        <sz val="7"/>
        <color theme="1" tint="0.499984740745262"/>
        <rFont val="Noto Sans"/>
        <family val="2"/>
      </rPr>
      <t xml:space="preserve"> 'DuMol is one of my favorite wineries, primarily because of the passion and commitment to quality'</t>
    </r>
  </si>
  <si>
    <r>
      <rPr>
        <b/>
        <sz val="7"/>
        <color theme="1" tint="0.499984740745262"/>
        <rFont val="Noto Sans"/>
        <family val="2"/>
      </rPr>
      <t>R.Parker TWA, 2005</t>
    </r>
    <r>
      <rPr>
        <sz val="7"/>
        <color theme="1" tint="0.499984740745262"/>
        <rFont val="Noto Sans"/>
        <family val="2"/>
      </rPr>
      <t xml:space="preserve"> 'In the past four years, this has become one of my favorite stops on my tasting trip through California’s North Coast.</t>
    </r>
  </si>
  <si>
    <t>One can’t say enough about owner Kerry Murphy and his talented winemaker, Scotsman Andy Smith.'</t>
  </si>
  <si>
    <r>
      <rPr>
        <b/>
        <sz val="7"/>
        <color theme="1" tint="0.499984740745262"/>
        <rFont val="Noto Sans"/>
        <family val="2"/>
      </rPr>
      <t>Wine Enthusiast, 2022</t>
    </r>
    <r>
      <rPr>
        <sz val="7"/>
        <color theme="1" tint="0.499984740745262"/>
        <rFont val="Noto Sans"/>
        <family val="2"/>
      </rPr>
      <t xml:space="preserve"> 'Sonoma winemaker devoted to complete control and a sense of place’</t>
    </r>
  </si>
  <si>
    <r>
      <rPr>
        <b/>
        <sz val="7"/>
        <color theme="1" tint="0.499984740745262"/>
        <rFont val="Noto Sans"/>
        <family val="2"/>
      </rPr>
      <t>Elaine Chukan Brown, 2015</t>
    </r>
    <r>
      <rPr>
        <sz val="7"/>
        <color theme="1" tint="0.499984740745262"/>
        <rFont val="Noto Sans"/>
        <family val="2"/>
      </rPr>
      <t xml:space="preserve"> 'beautiful integrity from bottling to bottling. DuMOL wines offer concentrated flavor and structural density with</t>
    </r>
  </si>
  <si>
    <t>bright fruit, and delicious acidity across varieties thanks to the farming, while cellar choices preserve the wines’ pleasing texture and freshness.'</t>
  </si>
  <si>
    <t>ANDY SMITH ON RUSSIAN RIVER, SONOMA COAST, CALIFORNIA:</t>
  </si>
  <si>
    <r>
      <rPr>
        <b/>
        <sz val="7"/>
        <color theme="1" tint="0.499984740745262"/>
        <rFont val="Noto Sans"/>
        <family val="2"/>
      </rPr>
      <t>Andy Smith, 2019</t>
    </r>
    <r>
      <rPr>
        <sz val="7"/>
        <color theme="1" tint="0.499984740745262"/>
        <rFont val="Noto Sans"/>
        <family val="2"/>
      </rPr>
      <t xml:space="preserve"> 'I first visited California in 1992 and fell in love with the place. I loved the feel, atmosphere and people: the wine industry was quite</t>
    </r>
  </si>
  <si>
    <t>‘folksie’ and less corporate then – it was an exciting innovative environment.'</t>
  </si>
  <si>
    <r>
      <rPr>
        <b/>
        <sz val="7"/>
        <color theme="1" tint="0.499984740745262"/>
        <rFont val="Noto Sans"/>
        <family val="2"/>
      </rPr>
      <t xml:space="preserve">Andy Smith, 2017 </t>
    </r>
    <r>
      <rPr>
        <sz val="7"/>
        <color theme="1" tint="0.499984740745262"/>
        <rFont val="Noto Sans"/>
        <family val="2"/>
      </rPr>
      <t>'Back in 1996, as latter-day pioneers in the Russian River Valley, we had the privilege to plant and partner with many of the most</t>
    </r>
  </si>
  <si>
    <t>distinctive cool-climate vineyards in this magical wine-growing region. Over the years, we discovered inspiring, singular sites beyond the Russian River</t>
  </si>
  <si>
    <t>Valley that translate into our diverse portfolio of small-lot wines.'</t>
  </si>
  <si>
    <r>
      <rPr>
        <b/>
        <sz val="7"/>
        <color theme="1" tint="0.499984740745262"/>
        <rFont val="Noto Sans"/>
        <family val="2"/>
      </rPr>
      <t>Andy Smith, 2019</t>
    </r>
    <r>
      <rPr>
        <sz val="7"/>
        <color theme="1" tint="0.499984740745262"/>
        <rFont val="Noto Sans"/>
        <family val="2"/>
      </rPr>
      <t xml:space="preserve"> 'Floods, mudslides, heat spikes, wildfires are just things we are having to learn to deal with as the climate becomes more extreme'</t>
    </r>
  </si>
  <si>
    <r>
      <rPr>
        <b/>
        <sz val="7"/>
        <color theme="1" tint="0.499984740745262"/>
        <rFont val="Noto Sans"/>
        <family val="2"/>
      </rPr>
      <t xml:space="preserve">Andy Smith, 2019 </t>
    </r>
    <r>
      <rPr>
        <sz val="7"/>
        <color theme="1" tint="0.499984740745262"/>
        <rFont val="Noto Sans"/>
        <family val="2"/>
      </rPr>
      <t>'(But) most of the time living in low-key pastoral Sonoma running an artisan winery is like living in Eden'</t>
    </r>
  </si>
  <si>
    <t>ANDY SMITH ON GROWERS:</t>
  </si>
  <si>
    <r>
      <t>Andy Smith</t>
    </r>
    <r>
      <rPr>
        <sz val="7"/>
        <color theme="1" tint="0.499984740745262"/>
        <rFont val="Noto Sans"/>
        <family val="2"/>
      </rPr>
      <t xml:space="preserve"> 'Over two decades(+), we’ve gained access to some truly legendary sites. And we’ve achieved close personal relationships with our </t>
    </r>
  </si>
  <si>
    <t>growers. Our shared respect for the land, our dedication to the work, and our mutual respect for each other carry through to the final product.</t>
  </si>
  <si>
    <t>We work with good people and we’re going to make some amazing wines.'</t>
  </si>
  <si>
    <t>ANDY SMITH ON THE (GROWING) ESTATE:</t>
  </si>
  <si>
    <r>
      <rPr>
        <b/>
        <sz val="7"/>
        <color theme="1" tint="0.499984740745262"/>
        <rFont val="Noto Sans"/>
        <family val="2"/>
      </rPr>
      <t>Andy Smith, 2021</t>
    </r>
    <r>
      <rPr>
        <sz val="7"/>
        <color theme="1" tint="0.499984740745262"/>
        <rFont val="Noto Sans"/>
        <family val="2"/>
      </rPr>
      <t xml:space="preserve"> 'You can't make great wine unless you have great vineyards. It's like a chef can't make a great dish without great ingredients.'</t>
    </r>
  </si>
  <si>
    <r>
      <rPr>
        <b/>
        <sz val="7"/>
        <color theme="1" tint="0.499984740745262"/>
        <rFont val="Noto Sans"/>
        <family val="2"/>
      </rPr>
      <t>Any Smith, 2021</t>
    </r>
    <r>
      <rPr>
        <sz val="7"/>
        <color theme="1" tint="0.499984740745262"/>
        <rFont val="Noto Sans"/>
        <family val="2"/>
      </rPr>
      <t xml:space="preserve"> 'if you want to be taken seriously on a global scale, you need to be an estate winery. In 2003, I knew to take DuMOL further, I needed land.'</t>
    </r>
  </si>
  <si>
    <r>
      <rPr>
        <b/>
        <sz val="7"/>
        <color theme="1" tint="0.499984740745262"/>
        <rFont val="Noto Sans"/>
        <family val="2"/>
      </rPr>
      <t>Andy Smith, 2021</t>
    </r>
    <r>
      <rPr>
        <sz val="7"/>
        <color theme="1" tint="0.499984740745262"/>
        <rFont val="Noto Sans"/>
        <family val="2"/>
      </rPr>
      <t xml:space="preserve"> 'It comes down to how you prepare the land, the decisions you make based on quality, not logistics or a return on investment.</t>
    </r>
  </si>
  <si>
    <t>It’s 100% your vision and the detailed, nuanced choices that boost quality, from vine spacing to the long-term soil health and genetics of the</t>
  </si>
  <si>
    <t>plant material matter after decades. You’re building up intimacy with the vineyards and the land.'</t>
  </si>
  <si>
    <t>ANDY SMITH ON DuMOL's CORE PHILOSOPHY:</t>
  </si>
  <si>
    <r>
      <rPr>
        <b/>
        <sz val="7"/>
        <color theme="1" tint="0.499984740745262"/>
        <rFont val="Noto Sans"/>
        <family val="2"/>
      </rPr>
      <t>Andy Smith</t>
    </r>
    <r>
      <rPr>
        <sz val="7"/>
        <color theme="1" tint="0.499984740745262"/>
        <rFont val="Noto Sans"/>
        <family val="2"/>
      </rPr>
      <t xml:space="preserve"> 'We have a fully integrated approach to farming and winemaking, a seamless continuum.'</t>
    </r>
  </si>
  <si>
    <r>
      <rPr>
        <b/>
        <sz val="7"/>
        <color theme="1" tint="0.499984740745262"/>
        <rFont val="Noto Sans"/>
        <family val="2"/>
      </rPr>
      <t>Andy Smith</t>
    </r>
    <r>
      <rPr>
        <sz val="7"/>
        <color theme="1" tint="0.499984740745262"/>
        <rFont val="Noto Sans"/>
        <family val="2"/>
      </rPr>
      <t xml:space="preserve"> 'Each bottling is built in the vineyard. Soil types, microclimates, plant material, maturity levels, how the vines react to the growing conditions,</t>
    </r>
  </si>
  <si>
    <t>how we react to the vines – there are so many detailed variables. The nuance, the depth and complexity of the fruit that results from those variables –</t>
  </si>
  <si>
    <t>that’s what we aim to achieve and translate to bottle: purity, vibrancy, freshness – intensity without heaviness.'</t>
  </si>
  <si>
    <t>ANDY SMITH ON PLANTING &amp; FARMING:</t>
  </si>
  <si>
    <r>
      <rPr>
        <b/>
        <sz val="7"/>
        <color theme="1" tint="0.499984740745262"/>
        <rFont val="Noto Sans"/>
        <family val="2"/>
      </rPr>
      <t>Andy Smith, BBC 2017</t>
    </r>
    <r>
      <rPr>
        <sz val="7"/>
        <color theme="1" tint="0.499984740745262"/>
        <rFont val="Noto Sans"/>
        <family val="2"/>
      </rPr>
      <t xml:space="preserve"> 'I’m a very pragmatic Scottish farmer. I’m not interested in cutting corners, I’m not interested in compromising.</t>
    </r>
  </si>
  <si>
    <t>You have to have a down to earth practicality and I think that’s a Scottish thing.'</t>
  </si>
  <si>
    <r>
      <rPr>
        <b/>
        <sz val="7"/>
        <color theme="1" tint="0.499984740745262"/>
        <rFont val="Noto Sans"/>
        <family val="2"/>
      </rPr>
      <t>Andy Smith, 2015</t>
    </r>
    <r>
      <rPr>
        <sz val="7"/>
        <color theme="1" tint="0.499984740745262"/>
        <rFont val="Noto Sans"/>
        <family val="2"/>
      </rPr>
      <t xml:space="preserve"> 'I don’t like any extremes – no extreme pruning, no extreme exposure to the grapes, not too much, if any irrigation. Vines are a crop</t>
    </r>
  </si>
  <si>
    <t>we maximize, and you maximize that by making the vine work hard, not stressed but hard.'</t>
  </si>
  <si>
    <r>
      <t>Andy Smith, 2021</t>
    </r>
    <r>
      <rPr>
        <sz val="7"/>
        <color theme="1" tint="0.499984740745262"/>
        <rFont val="Noto Sans"/>
        <family val="2"/>
      </rPr>
      <t xml:space="preserve"> '(The Estate is) organically farmed vineyard. We don't use any herbicide. We don't add any synthetic fertilisers. We make our own</t>
    </r>
  </si>
  <si>
    <t>compost and add that every 3-4 years. The more we can minimise inputs into the vines, the more natural expression of that place that we end up bottling.'</t>
  </si>
  <si>
    <r>
      <rPr>
        <b/>
        <sz val="7"/>
        <color theme="1" tint="0.499984740745262"/>
        <rFont val="Noto Sans"/>
        <family val="2"/>
      </rPr>
      <t xml:space="preserve">Andy Smith, 2015 </t>
    </r>
    <r>
      <rPr>
        <sz val="7"/>
        <color theme="1" tint="0.499984740745262"/>
        <rFont val="Noto Sans"/>
        <family val="2"/>
      </rPr>
      <t>'Today farming includes beautiful cover crops, insectiary rows, and then seeing the results. For me, that is the exciting part.</t>
    </r>
  </si>
  <si>
    <t>You can taste the results as well. The wines taste better at lower alcohol.'</t>
  </si>
  <si>
    <r>
      <rPr>
        <b/>
        <sz val="7"/>
        <color theme="1" tint="0.499984740745262"/>
        <rFont val="Noto Sans"/>
        <family val="2"/>
      </rPr>
      <t xml:space="preserve">Andy Smith, 2019 </t>
    </r>
    <r>
      <rPr>
        <sz val="7"/>
        <color theme="1" tint="0.499984740745262"/>
        <rFont val="Noto Sans"/>
        <family val="2"/>
      </rPr>
      <t xml:space="preserve">'My current focus is experimenting with high density planting up to 9,000 vines/ha compared to the usual 2,500 in California. </t>
    </r>
  </si>
  <si>
    <t>This gives wines with savoury and botanical notes, as in Estate Chardonnay (and Pinot)'</t>
  </si>
  <si>
    <r>
      <rPr>
        <b/>
        <sz val="7"/>
        <color theme="1" tint="0.499984740745262"/>
        <rFont val="Noto Sans"/>
        <family val="2"/>
      </rPr>
      <t xml:space="preserve">Andy Smith, 2015 </t>
    </r>
    <r>
      <rPr>
        <sz val="7"/>
        <color theme="1" tint="0.499984740745262"/>
        <rFont val="Noto Sans"/>
        <family val="2"/>
      </rPr>
      <t>'The way we farm with tight spacing, we are looking for grapes that are bright and fresh, with thick skins though we are achieving</t>
    </r>
  </si>
  <si>
    <t>that without exposing the clusters to sun. It gives more herbal complexity, dense deep tones, and bright fruit.'</t>
  </si>
  <si>
    <r>
      <rPr>
        <b/>
        <sz val="7"/>
        <color theme="1" tint="0.499984740745262"/>
        <rFont val="Noto Sans"/>
        <family val="2"/>
      </rPr>
      <t>Andy Smith</t>
    </r>
    <r>
      <rPr>
        <sz val="7"/>
        <color theme="1" tint="0.499984740745262"/>
        <rFont val="Noto Sans"/>
        <family val="2"/>
      </rPr>
      <t xml:space="preserve"> 'Once a vine hits about 9-10 years old, the uniformity of the vine growth becomes regular and defined and the resulting fruit</t>
    </r>
  </si>
  <si>
    <t>quality really takes a strong step ahead... Then around fourteen years there is another plateau, and vines become much more self regulating.'</t>
  </si>
  <si>
    <r>
      <rPr>
        <b/>
        <sz val="7"/>
        <color theme="1" tint="0.499984740745262"/>
        <rFont val="Noto Sans"/>
        <family val="2"/>
      </rPr>
      <t>Andy Smith, 2021</t>
    </r>
    <r>
      <rPr>
        <sz val="7"/>
        <color theme="1" tint="0.499984740745262"/>
        <rFont val="Noto Sans"/>
        <family val="2"/>
      </rPr>
      <t xml:space="preserve"> 'At 14 years old now the (Estate) vineyard is really in charge, it  knows what it is doing. We just have to guide it along the way.'</t>
    </r>
  </si>
  <si>
    <r>
      <rPr>
        <b/>
        <sz val="7"/>
        <color theme="1" tint="0.499984740745262"/>
        <rFont val="Noto Sans"/>
        <family val="2"/>
      </rPr>
      <t>Andy Smith, 2021</t>
    </r>
    <r>
      <rPr>
        <sz val="7"/>
        <color theme="1" tint="0.499984740745262"/>
        <rFont val="Noto Sans"/>
        <family val="2"/>
      </rPr>
      <t xml:space="preserve"> 'We are just looking for balanced vines, and that's a balance between the amount of grape bunches, and the number of leaves</t>
    </r>
  </si>
  <si>
    <t xml:space="preserve">on the vine. That's a fairly delicate equilibrium that we have to find, and it varies each year. That's really the heart of what we call vinegrowing.' </t>
  </si>
  <si>
    <t>ANDY SMITH ON THE CELLAR:</t>
  </si>
  <si>
    <r>
      <rPr>
        <b/>
        <sz val="7"/>
        <color theme="1" tint="0.499984740745262"/>
        <rFont val="Noto Sans"/>
        <family val="2"/>
      </rPr>
      <t xml:space="preserve">Andy Smith, 2018 </t>
    </r>
    <r>
      <rPr>
        <sz val="7"/>
        <color theme="1" tint="0.499984740745262"/>
        <rFont val="Noto Sans"/>
        <family val="2"/>
      </rPr>
      <t>'(The harvest -) it’s all at the winery by 8.30am'(!)</t>
    </r>
  </si>
  <si>
    <r>
      <rPr>
        <b/>
        <sz val="7"/>
        <color theme="1" tint="0.499984740745262"/>
        <rFont val="Noto Sans"/>
        <family val="2"/>
      </rPr>
      <t>Andy Smith, 2019</t>
    </r>
    <r>
      <rPr>
        <sz val="7"/>
        <color theme="1" tint="0.499984740745262"/>
        <rFont val="Noto Sans"/>
        <family val="2"/>
      </rPr>
      <t xml:space="preserve"> 'I’d rather harvest a couple days early, for any variety—they can grow in the barrel.'</t>
    </r>
  </si>
  <si>
    <r>
      <rPr>
        <b/>
        <sz val="7"/>
        <color theme="1" tint="0.499984740745262"/>
        <rFont val="Noto Sans"/>
        <family val="2"/>
      </rPr>
      <t>Andy Smith</t>
    </r>
    <r>
      <rPr>
        <sz val="7"/>
        <color theme="1" tint="0.499984740745262"/>
        <rFont val="Noto Sans"/>
        <family val="2"/>
      </rPr>
      <t xml:space="preserve"> 'As a ‘vineyard up’ winery, we remain very close to the ingredients, close to the vineyards. Our winemaking technique is second to what we</t>
    </r>
  </si>
  <si>
    <t>achieve in the field. The vision of the winemaker starts in the field.'</t>
  </si>
  <si>
    <r>
      <rPr>
        <b/>
        <sz val="7"/>
        <color theme="1" tint="0.499984740745262"/>
        <rFont val="Noto Sans"/>
        <family val="2"/>
      </rPr>
      <t>Andy Smith</t>
    </r>
    <r>
      <rPr>
        <sz val="7"/>
        <color theme="1" tint="0.499984740745262"/>
        <rFont val="Noto Sans"/>
        <family val="2"/>
      </rPr>
      <t xml:space="preserve"> 'It takes time to discover a vineyard’s defining characteristics and even longer to employ the right winemaking technique to draw out those</t>
    </r>
  </si>
  <si>
    <t>features in the wines. It requires sensitivity, a lightness of touch. We try not to layer in too many winemaking techniques. We try not to obscure the</t>
  </si>
  <si>
    <t>vineyard character. Ultimately, this allows us to achieve a more complex, multi-dimensional, effortless quality in our wines.'</t>
  </si>
  <si>
    <t>ANDY SMITH ON CRUS:</t>
  </si>
  <si>
    <r>
      <rPr>
        <b/>
        <sz val="7"/>
        <color theme="1" tint="0.499984740745262"/>
        <rFont val="Noto Sans"/>
        <family val="2"/>
      </rPr>
      <t>Andy Smith, 2015</t>
    </r>
    <r>
      <rPr>
        <sz val="7"/>
        <color theme="1" tint="0.499984740745262"/>
        <rFont val="Noto Sans"/>
        <family val="2"/>
      </rPr>
      <t xml:space="preserve"> '(Re) the single vineyard thing. There has to be something distinctive, and agreeable, and verifiable, and repeatable.'</t>
    </r>
  </si>
  <si>
    <r>
      <rPr>
        <b/>
        <sz val="7"/>
        <color theme="1" tint="0.499984740745262"/>
        <rFont val="Noto Sans"/>
        <family val="2"/>
      </rPr>
      <t xml:space="preserve">Andy Smith, 2021 </t>
    </r>
    <r>
      <rPr>
        <sz val="7"/>
        <color theme="1" tint="0.499984740745262"/>
        <rFont val="Noto Sans"/>
        <family val="2"/>
      </rPr>
      <t>'Most vineyards have one or two defining characteristics or features: I would call that the vineyard's signature. So we really try to draw</t>
    </r>
  </si>
  <si>
    <t>out those very specific small nuances of each parcel.'</t>
  </si>
  <si>
    <t>ANDY SMITH ON THE WINES:</t>
  </si>
  <si>
    <r>
      <t>Andy Smith</t>
    </r>
    <r>
      <rPr>
        <sz val="7"/>
        <color theme="1" tint="0.499984740745262"/>
        <rFont val="Noto Sans"/>
        <family val="2"/>
      </rPr>
      <t xml:space="preserve"> 'Highland Divide, for me, describes a very special zone that separates the valley floor of the Russian River from the Sonoma Coast.</t>
    </r>
  </si>
  <si>
    <t>That’s really the tenderloin section of the Russian River Valley itself. I always find that we get our best grapes from this area.'</t>
  </si>
  <si>
    <r>
      <rPr>
        <b/>
        <sz val="7"/>
        <color theme="1" tint="0.499984740745262"/>
        <rFont val="Noto Sans"/>
        <family val="2"/>
      </rPr>
      <t xml:space="preserve">Andy Smith, 2019 </t>
    </r>
    <r>
      <rPr>
        <sz val="7"/>
        <color theme="1" tint="0.499984740745262"/>
        <rFont val="Noto Sans"/>
        <family val="2"/>
      </rPr>
      <t>'it is the soil which really dictates the (wine) character. Sandstone gives the roots great energy'</t>
    </r>
  </si>
  <si>
    <r>
      <rPr>
        <b/>
        <sz val="7"/>
        <color theme="1" tint="0.499984740745262"/>
        <rFont val="Noto Sans"/>
        <family val="2"/>
      </rPr>
      <t>Andy Smith, 2015 '</t>
    </r>
    <r>
      <rPr>
        <sz val="7"/>
        <color theme="1" tint="0.499984740745262"/>
        <rFont val="Noto Sans"/>
        <family val="2"/>
      </rPr>
      <t>To me the wine [from Occidental Road, Green Valley] always has a sense of air-oir, not just terroir, a conifer-spicy element.'</t>
    </r>
  </si>
  <si>
    <r>
      <rPr>
        <b/>
        <sz val="7"/>
        <color theme="1" tint="0.499984740745262"/>
        <rFont val="Noto Sans"/>
        <family val="2"/>
      </rPr>
      <t>Andy Smith, 2017</t>
    </r>
    <r>
      <rPr>
        <sz val="7"/>
        <color theme="1" tint="0.499984740745262"/>
        <rFont val="Noto Sans"/>
        <family val="2"/>
      </rPr>
      <t xml:space="preserve"> 'Our goal is a lightness of touch, an intimacy with the fruit, a fluidity. We want to capture the feeling we get from having worked a site for decades.'</t>
    </r>
  </si>
  <si>
    <r>
      <rPr>
        <b/>
        <sz val="7"/>
        <color theme="1" tint="0.499984740745262"/>
        <rFont val="Noto Sans"/>
        <family val="2"/>
      </rPr>
      <t>Andy Smith, 2015</t>
    </r>
    <r>
      <rPr>
        <sz val="7"/>
        <color theme="1" tint="0.499984740745262"/>
        <rFont val="Noto Sans"/>
        <family val="2"/>
      </rPr>
      <t xml:space="preserve"> 'I like texture, but I also like freshness. Any texture or density should come from the vines.'</t>
    </r>
  </si>
  <si>
    <r>
      <rPr>
        <b/>
        <sz val="7"/>
        <color theme="1" tint="0.499984740745262"/>
        <rFont val="Noto Sans"/>
        <family val="2"/>
      </rPr>
      <t>Andy Smith, 2019</t>
    </r>
    <r>
      <rPr>
        <sz val="7"/>
        <color theme="1" tint="0.499984740745262"/>
        <rFont val="Noto Sans"/>
        <family val="2"/>
      </rPr>
      <t xml:space="preserve"> 'The best Californian wines have precision, structure and consistency, but they are more forward in comparison to French</t>
    </r>
  </si>
  <si>
    <t>equivalents from Burgundy, Bordeaux or Rhone – and currently offer better value compared to the top French classics'</t>
  </si>
  <si>
    <t>ANDY SMITH ON THE DuMOL TEAM:</t>
  </si>
  <si>
    <r>
      <t>Andy Smith, 2018</t>
    </r>
    <r>
      <rPr>
        <sz val="7"/>
        <color theme="1" tint="0.499984740745262"/>
        <rFont val="Noto Sans"/>
        <family val="2"/>
      </rPr>
      <t xml:space="preserve"> 'We stick to what works and are focused on the fundamentals. We find inspiration in master, visionary producers around</t>
    </r>
  </si>
  <si>
    <r>
      <t>Andy Smithy, 2018</t>
    </r>
    <r>
      <rPr>
        <sz val="7"/>
        <color theme="1" tint="0.499984740745262"/>
        <rFont val="Noto Sans"/>
        <family val="2"/>
      </rPr>
      <t xml:space="preserve"> 'We live the wine. This is a project that comes from who we are and what we love.'</t>
    </r>
  </si>
  <si>
    <r>
      <rPr>
        <b/>
        <sz val="7"/>
        <color theme="1" tint="0.499984740745262"/>
        <rFont val="Noto Sans"/>
        <family val="2"/>
      </rPr>
      <t>Andy Smith, 2017</t>
    </r>
    <r>
      <rPr>
        <sz val="7"/>
        <color theme="1" tint="0.499984740745262"/>
        <rFont val="Noto Sans"/>
        <family val="2"/>
      </rPr>
      <t xml:space="preserve"> 'We are a tight-knit, passionate, driven team. Ours is an inner journey, a personal challenge, the ongoing quest to capture</t>
    </r>
  </si>
  <si>
    <t>the strongest sense and finest details - the core essence - of vineyard and vintage.'</t>
  </si>
  <si>
    <r>
      <rPr>
        <b/>
        <sz val="7"/>
        <color theme="1" tint="0.499984740745262"/>
        <rFont val="Noto Sans"/>
        <family val="2"/>
      </rPr>
      <t>Andy Smith, 2021</t>
    </r>
    <r>
      <rPr>
        <sz val="7"/>
        <color theme="1" tint="0.499984740745262"/>
        <rFont val="Noto Sans"/>
        <family val="2"/>
      </rPr>
      <t xml:space="preserve"> 'It is not just a vocation, it's very much who we are. It's our livelihood as well as our passion. It's what gets us up in the morning,</t>
    </r>
  </si>
  <si>
    <t>and what drives us to improve and to express ourselves. And that's the way it should be.'</t>
  </si>
  <si>
    <t>FROM ANDY SMITH &amp; TEAM TO YOU:</t>
  </si>
  <si>
    <r>
      <rPr>
        <b/>
        <sz val="7"/>
        <color theme="1" tint="0.499984740745262"/>
        <rFont val="Noto Sans"/>
        <family val="2"/>
      </rPr>
      <t>Tom Pillsbury, 2018</t>
    </r>
    <r>
      <rPr>
        <sz val="7"/>
        <color theme="1" tint="0.499984740745262"/>
        <rFont val="Noto Sans"/>
        <family val="2"/>
      </rPr>
      <t xml:space="preserve"> 'Thank you for playing a key role in bringing these wines to market. We are ever grateful for your partnership, drive, and passion for</t>
    </r>
  </si>
  <si>
    <t>excellent wines. We look forward to a prosperous and productive year ahead.'</t>
  </si>
  <si>
    <r>
      <rPr>
        <b/>
        <sz val="7"/>
        <color theme="1" tint="0.499984740745262"/>
        <rFont val="Noto Sans"/>
        <family val="2"/>
      </rPr>
      <t>Andy Smith, 2018</t>
    </r>
    <r>
      <rPr>
        <sz val="7"/>
        <color theme="1" tint="0.499984740745262"/>
        <rFont val="Noto Sans"/>
        <family val="2"/>
      </rPr>
      <t xml:space="preserve"> 'I hope you enjoy the wines as much as we enjoyed the challenge of growing, vinifying and bottling them.'</t>
    </r>
  </si>
  <si>
    <t>CHARDONNAY 'HIGHLAND DIVIDE' SPECIAL CUVÉE:</t>
  </si>
  <si>
    <t>by Andy Smith &amp; Co.</t>
  </si>
  <si>
    <t>25DUMOL10</t>
  </si>
  <si>
    <t xml:space="preserve">RRV, Sonoma, CA. Andy Smith is </t>
  </si>
  <si>
    <t>24DUMOL01</t>
  </si>
  <si>
    <r>
      <t xml:space="preserve">winemaker, viticulturalist &amp; senior partner </t>
    </r>
    <r>
      <rPr>
        <b/>
        <sz val="7.5"/>
        <color rgb="FF00B050"/>
        <rFont val="Arial"/>
        <family val="2"/>
      </rPr>
      <t/>
    </r>
  </si>
  <si>
    <t>23DUMOL04</t>
  </si>
  <si>
    <t>Core team is 20 in the vines, 4 the cellar</t>
  </si>
  <si>
    <t>22DUMOL13</t>
  </si>
  <si>
    <t>40ha Estate, ~15ha leases are in year 2 of</t>
  </si>
  <si>
    <t>CHARDONNAY CRU SERIES:</t>
  </si>
  <si>
    <r>
      <rPr>
        <b/>
        <sz val="8"/>
        <color rgb="FF000000"/>
        <rFont val="Noto Sans"/>
        <family val="2"/>
      </rPr>
      <t xml:space="preserve">Estate: </t>
    </r>
    <r>
      <rPr>
        <b/>
        <sz val="8"/>
        <color rgb="FF00B050"/>
        <rFont val="Noto Sans"/>
        <family val="2"/>
      </rPr>
      <t>Organic in conversion</t>
    </r>
  </si>
  <si>
    <t>25DUMOL03</t>
  </si>
  <si>
    <r>
      <t>Cab program -</t>
    </r>
    <r>
      <rPr>
        <sz val="8"/>
        <color rgb="FF00B050"/>
        <rFont val="Noto Sans"/>
        <family val="2"/>
      </rPr>
      <t xml:space="preserve"> </t>
    </r>
    <r>
      <rPr>
        <b/>
        <sz val="8"/>
        <color rgb="FF00B050"/>
        <rFont val="Noto Sans"/>
        <family val="2"/>
      </rPr>
      <t>no certification</t>
    </r>
  </si>
  <si>
    <t>24DUMOL04</t>
  </si>
  <si>
    <t>some ambient yeast; long settling pre-bottling</t>
  </si>
  <si>
    <t>23DUMOL01</t>
  </si>
  <si>
    <r>
      <t xml:space="preserve">all wines unfined; </t>
    </r>
    <r>
      <rPr>
        <b/>
        <sz val="8"/>
        <color rgb="FF00B050"/>
        <rFont val="Noto Sans"/>
        <family val="2"/>
      </rPr>
      <t>Ⓥ Vegan compatible</t>
    </r>
  </si>
  <si>
    <t>25DUMOL15AS</t>
  </si>
  <si>
    <t>top wines are unfiltered</t>
  </si>
  <si>
    <t>23DUMOL05</t>
  </si>
  <si>
    <t>KEY TEAM:</t>
  </si>
  <si>
    <t>22DUMOL08</t>
  </si>
  <si>
    <r>
      <rPr>
        <b/>
        <sz val="7"/>
        <color theme="1" tint="0.499984740745262"/>
        <rFont val="Noto Sans"/>
        <family val="2"/>
      </rPr>
      <t>Andy Smith</t>
    </r>
    <r>
      <rPr>
        <sz val="7"/>
        <color theme="1" tint="0.499984740745262"/>
        <rFont val="Noto Sans"/>
        <family val="2"/>
      </rPr>
      <t xml:space="preserve"> - Senior partner, 'winegrower'</t>
    </r>
  </si>
  <si>
    <t>21DUMOL09</t>
  </si>
  <si>
    <r>
      <rPr>
        <b/>
        <sz val="7"/>
        <color rgb="FF808080"/>
        <rFont val="Noto Sans"/>
        <family val="2"/>
      </rPr>
      <t>Jenna Davis</t>
    </r>
    <r>
      <rPr>
        <sz val="7"/>
        <color rgb="FF808080"/>
        <rFont val="Noto Sans"/>
        <family val="2"/>
      </rPr>
      <t xml:space="preserve"> - Winemaker</t>
    </r>
  </si>
  <si>
    <t>19DUMOL14SM</t>
  </si>
  <si>
    <r>
      <rPr>
        <b/>
        <sz val="7"/>
        <color theme="1" tint="0.499984740745262"/>
        <rFont val="Noto Sans"/>
        <family val="2"/>
      </rPr>
      <t>Marc Guerguy</t>
    </r>
    <r>
      <rPr>
        <sz val="7"/>
        <color theme="1" tint="0.499984740745262"/>
        <rFont val="Noto Sans"/>
        <family val="2"/>
      </rPr>
      <t xml:space="preserve"> - Director of Sales, partner</t>
    </r>
  </si>
  <si>
    <t>DuMOL ESTATE CHARDONNAY CRU</t>
  </si>
  <si>
    <r>
      <rPr>
        <b/>
        <sz val="7"/>
        <color theme="1" tint="0.499984740745262"/>
        <rFont val="Noto Sans"/>
        <family val="2"/>
      </rPr>
      <t>Reed Renaudin</t>
    </r>
    <r>
      <rPr>
        <sz val="7"/>
        <color theme="1" tint="0.499984740745262"/>
        <rFont val="Noto Sans"/>
        <family val="2"/>
      </rPr>
      <t xml:space="preserve"> - CEO</t>
    </r>
  </si>
  <si>
    <t>HIGH DENSITY VINEYARD SERIES:</t>
  </si>
  <si>
    <t>TIMELINE OF WINERY (IN BRIEF):</t>
  </si>
  <si>
    <t>25DUMOL07</t>
  </si>
  <si>
    <t>2024 Jenna promoted to head winemaker</t>
  </si>
  <si>
    <t>24DUMOL05</t>
  </si>
  <si>
    <t xml:space="preserve">2022 1st HHS chardonnay (Hyde &amp; Hudson) </t>
  </si>
  <si>
    <t>23DUMOL03</t>
  </si>
  <si>
    <t>2020 25th DuMOL vintage; no smoke taint, no cab</t>
  </si>
  <si>
    <t>22DUMOL05</t>
  </si>
  <si>
    <t>2020 last vintage of viognier</t>
  </si>
  <si>
    <t>21DUMOL07</t>
  </si>
  <si>
    <t>2020 1st vintage MacIntyre &amp; Bressay estate PNs</t>
  </si>
  <si>
    <t>PINOT NOIR 'HIGHLAND DIVIDE' SPECIAL CUVÉE:</t>
  </si>
  <si>
    <t>2019 Highland Divide pinot now 100% Estate</t>
  </si>
  <si>
    <t>25DUMOL09</t>
  </si>
  <si>
    <t>2018 last Chloe chard sourced from Ritchie v/y</t>
  </si>
  <si>
    <t>24DUMOL02</t>
  </si>
  <si>
    <t>2017 1st pinot from Flax Estate &amp; Jentoft (Ryan)</t>
  </si>
  <si>
    <t>23DUMOL08</t>
  </si>
  <si>
    <t>2017 4ha MacIntyre estate planted to pinot etc.</t>
  </si>
  <si>
    <t>22DUMOL14</t>
  </si>
  <si>
    <t>2016 DuMOL crest re-drawn by Craig Fraizer</t>
  </si>
  <si>
    <t>2016 1st vintage of Highland Divide series</t>
  </si>
  <si>
    <t>PINOT NOIR CRU SERIES:</t>
  </si>
  <si>
    <t>2014 1st vintage of DuMOL cabernet program</t>
  </si>
  <si>
    <t>10DUMOL06TB</t>
  </si>
  <si>
    <t>2014 Jenna Davis joins</t>
  </si>
  <si>
    <t>09DUMOL08</t>
  </si>
  <si>
    <t>2011 1st Joy Road pinot</t>
  </si>
  <si>
    <t>22DUMOL12</t>
  </si>
  <si>
    <t>2010 1st Estate chardonnay</t>
  </si>
  <si>
    <t>21DUMOL05</t>
  </si>
  <si>
    <r>
      <t xml:space="preserve">2008 new </t>
    </r>
    <r>
      <rPr>
        <b/>
        <sz val="7"/>
        <color rgb="FF00B050"/>
        <rFont val="Noto Sans"/>
        <family val="2"/>
      </rPr>
      <t xml:space="preserve">LEED certified </t>
    </r>
    <r>
      <rPr>
        <sz val="7"/>
        <color theme="1" tint="0.499984740745262"/>
        <rFont val="Noto Sans"/>
        <family val="2"/>
      </rPr>
      <t>winery completed</t>
    </r>
  </si>
  <si>
    <t>20DUMOL08</t>
  </si>
  <si>
    <t>2007 1st Estate &amp; Wildrose pinot noirs</t>
  </si>
  <si>
    <t>22DUMOL10</t>
  </si>
  <si>
    <t>2007 Dutton Jentoft planted to pinot &amp; chard</t>
  </si>
  <si>
    <t>19DUMOL05</t>
  </si>
  <si>
    <t>2005 Coffee Lane &amp; O'Connell planted to pinot</t>
  </si>
  <si>
    <t>18DUMOL04</t>
  </si>
  <si>
    <t>2005 Kearney &amp; O'Connell planted to chard.</t>
  </si>
  <si>
    <t>23DUMOL09</t>
  </si>
  <si>
    <t>2004 1st Hyde chardonnay</t>
  </si>
  <si>
    <t>21DUMOL04</t>
  </si>
  <si>
    <t>2002 1st Ryan pinot noir; Charles Heintz Chard</t>
  </si>
  <si>
    <t>10DUMOL07TB</t>
  </si>
  <si>
    <t>2001-2013 Andy consults at Larkmead</t>
  </si>
  <si>
    <t>25DUMOL18AS</t>
  </si>
  <si>
    <t>2001 Andy joins DuMOL as full time winemaker</t>
  </si>
  <si>
    <t>23DUMOL07</t>
  </si>
  <si>
    <t>2000 1st Finn pinot noir</t>
  </si>
  <si>
    <t>22DUMOL07</t>
  </si>
  <si>
    <t>1999 1st vineyard planted, Wildrose pinot</t>
  </si>
  <si>
    <t>19DUMOL17SM</t>
  </si>
  <si>
    <t>1999 1st release; Andy Smith is consultant w/m</t>
  </si>
  <si>
    <t>16DUMOL09TB</t>
  </si>
  <si>
    <t>1996 founded by Michael Verlander, Kerry Murphy</t>
  </si>
  <si>
    <t>DuMOL's ESTATE PINOT NOIR CRU</t>
  </si>
  <si>
    <t>2024 2nd Dunnuck 100 for Finn pinot 2022</t>
  </si>
  <si>
    <t>25DUMOL16AS</t>
  </si>
  <si>
    <t>2023 1st Vinous 100 for MacIntryre pinot 2021</t>
  </si>
  <si>
    <t>25DUMOL17AS</t>
  </si>
  <si>
    <t>2021 Wine Enthusiast Top 100 Cellar Select (Napa Cab)</t>
  </si>
  <si>
    <t>24DUMOL03</t>
  </si>
  <si>
    <t>2020 1st Dunnuck 100, for Finn pinot 2018</t>
  </si>
  <si>
    <t>25DUMOL06</t>
  </si>
  <si>
    <t>2019 Rose Murray Brown MW 'Wineries to Watch'</t>
  </si>
  <si>
    <t>24DUMOL06</t>
  </si>
  <si>
    <t>2016 Wine Spectator Top 100 - Syrah RRV 2014</t>
  </si>
  <si>
    <t>23DUMOL06</t>
  </si>
  <si>
    <t>2014 Wine Spectator Top 100 - Syrah RRV 2012</t>
  </si>
  <si>
    <t>22DUMOL06</t>
  </si>
  <si>
    <t>2005 Wine personality of the year, TWA</t>
  </si>
  <si>
    <t>21DUMOL01</t>
  </si>
  <si>
    <t>2005 1st entry in Wine Spectator Top 100 - Syrah</t>
  </si>
  <si>
    <t>20DUMOL10</t>
  </si>
  <si>
    <t xml:space="preserve">NB Russian River Valley (RRV) label is now: </t>
  </si>
  <si>
    <t>19DUMOL06</t>
  </si>
  <si>
    <t>Sonoma Coast, and 'Highland Divide'</t>
  </si>
  <si>
    <t>19DUMOL06MG</t>
  </si>
  <si>
    <t>DuMOL.com</t>
  </si>
  <si>
    <t>SYRAH:</t>
  </si>
  <si>
    <t>GROWER CODE: DUMOL</t>
  </si>
  <si>
    <t>17DUMOL10</t>
  </si>
  <si>
    <t>CABERNET SAUVIGNON:</t>
  </si>
  <si>
    <t>24DUMOL11</t>
  </si>
  <si>
    <t>22DUMOL03</t>
  </si>
  <si>
    <t>21DUMOL10</t>
  </si>
  <si>
    <t>19DUMOL11</t>
  </si>
  <si>
    <t>22DUMOL01</t>
  </si>
  <si>
    <t>21DUMOL12</t>
  </si>
  <si>
    <t>25DUMOL08</t>
  </si>
  <si>
    <t>24DUMOL10</t>
  </si>
  <si>
    <t>22DUMOL02</t>
  </si>
  <si>
    <t>21DUMOL11</t>
  </si>
  <si>
    <t>20DUMOL11</t>
  </si>
  <si>
    <t>19DUMOL10</t>
  </si>
  <si>
    <t>19DUMOL10MG</t>
  </si>
  <si>
    <t>NB see film on DuMOL (23', 2023):</t>
  </si>
  <si>
    <t>www.67pallmall.tv/asset/46c6ac43-fcf6-4ce1-b341-89a6049ecf85_6E8252c</t>
  </si>
  <si>
    <t>KEY DuMOL CHARDONNAY VINEYARDS A-Z INCL.:</t>
  </si>
  <si>
    <r>
      <rPr>
        <b/>
        <sz val="7"/>
        <color theme="1" tint="0.499984740745262"/>
        <rFont val="Noto Sans"/>
        <family val="2"/>
      </rPr>
      <t xml:space="preserve">Charles Heintz: </t>
    </r>
    <r>
      <rPr>
        <sz val="7"/>
        <color theme="1" tint="0.499984740745262"/>
        <rFont val="Noto Sans"/>
        <family val="2"/>
      </rPr>
      <t>UC4 chard planted 1982  low density Goldridge sandy loam &amp; clay, 250m, RRV. Makes Isobel, from ACF hogsheads</t>
    </r>
  </si>
  <si>
    <r>
      <rPr>
        <b/>
        <sz val="7"/>
        <color theme="1" tint="0.499984740745262"/>
        <rFont val="Noto Sans"/>
        <family val="2"/>
      </rPr>
      <t>DuMOL Bressay:</t>
    </r>
    <r>
      <rPr>
        <sz val="7"/>
        <color theme="1" tint="0.499984740745262"/>
        <rFont val="Noto Sans"/>
        <family val="2"/>
      </rPr>
      <t xml:space="preserve"> incl. Hyde &amp; Wente chard planted 2005, E facing, 9000vines/ha, Goldridge sandy clay loam, 100masl, Green Valley RRV.</t>
    </r>
  </si>
  <si>
    <r>
      <rPr>
        <b/>
        <sz val="7"/>
        <color theme="1" tint="0.499984740745262"/>
        <rFont val="Noto Sans"/>
        <family val="2"/>
      </rPr>
      <t>DuMOL Kearney:</t>
    </r>
    <r>
      <rPr>
        <sz val="7"/>
        <color theme="1" tint="0.499984740745262"/>
        <rFont val="Noto Sans"/>
        <family val="2"/>
      </rPr>
      <t xml:space="preserve"> Mt Eden clone chard planted 2005, E facing, 9000vines/ha, Goldridge sandy clay loam, 130masl, Green Valley RRV. Makes Estate chard, ACF casks</t>
    </r>
  </si>
  <si>
    <r>
      <rPr>
        <b/>
        <sz val="7"/>
        <color theme="1" tint="0.499984740745262"/>
        <rFont val="Noto Sans"/>
        <family val="2"/>
      </rPr>
      <t>Dutton Jentoft:</t>
    </r>
    <r>
      <rPr>
        <sz val="7"/>
        <color theme="1" tint="0.499984740745262"/>
        <rFont val="Noto Sans"/>
        <family val="2"/>
      </rPr>
      <t xml:space="preserve"> incl massale chard planted by DuMOL in 2007, steep S facing, 3800vines/ha, shallow Goldridge sandy loam, 175m. Makes Ryan &amp; Highland Divide</t>
    </r>
  </si>
  <si>
    <r>
      <rPr>
        <b/>
        <sz val="7"/>
        <color theme="1" tint="0.499984740745262"/>
        <rFont val="Noto Sans"/>
        <family val="2"/>
      </rPr>
      <t>Dutton Morelli Lane:</t>
    </r>
    <r>
      <rPr>
        <sz val="7"/>
        <color theme="1" tint="0.499984740745262"/>
        <rFont val="Noto Sans"/>
        <family val="2"/>
      </rPr>
      <t xml:space="preserve"> Mt Eden chard planted 1995, low density on Goldridge sandy loam, 250m, RRV. Makes Highland Divide</t>
    </r>
  </si>
  <si>
    <r>
      <rPr>
        <b/>
        <sz val="7"/>
        <color theme="1" tint="0.499984740745262"/>
        <rFont val="Noto Sans"/>
        <family val="2"/>
      </rPr>
      <t>Hyde</t>
    </r>
    <r>
      <rPr>
        <sz val="7"/>
        <color theme="1" tint="0.499984740745262"/>
        <rFont val="Noto Sans"/>
        <family val="2"/>
      </rPr>
      <t>: old Wente clone chard planted 1989/1992, E facing, clay-loam, 2700vines/ha, 30m, Carneros-Napa. Makes Hyde (ex-Clare) since 2002, from Chassin casks</t>
    </r>
  </si>
  <si>
    <r>
      <rPr>
        <b/>
        <sz val="7"/>
        <color theme="1" tint="0.499984740745262"/>
        <rFont val="Noto Sans"/>
        <family val="2"/>
      </rPr>
      <t>Lorenzo</t>
    </r>
    <r>
      <rPr>
        <sz val="7"/>
        <color theme="1" tint="0.499984740745262"/>
        <rFont val="Noto Sans"/>
        <family val="2"/>
      </rPr>
      <t>: 4ha Wente clone chard planted 1974, low density, clay loam, 30m, RRV. Makes Lorenzo chard from Mercurey casks</t>
    </r>
  </si>
  <si>
    <r>
      <rPr>
        <b/>
        <sz val="7"/>
        <color theme="1" tint="0.499984740745262"/>
        <rFont val="Noto Sans"/>
        <family val="2"/>
      </rPr>
      <t>Ritchie:</t>
    </r>
    <r>
      <rPr>
        <sz val="7"/>
        <color theme="1" tint="0.499984740745262"/>
        <rFont val="Noto Sans"/>
        <family val="2"/>
      </rPr>
      <t xml:space="preserve"> Wente clone Chard' planted 1972, NW facing low density, 66masl. Green Valley, RRV. Makes Chloe, from Mercurey casks. Last vintage 2018</t>
    </r>
  </si>
  <si>
    <t>KEY DuMOL PINOT VINEYARDS A-Z INCL.:</t>
  </si>
  <si>
    <r>
      <rPr>
        <b/>
        <sz val="7"/>
        <color theme="1" tint="0.499984740745262"/>
        <rFont val="Noto Sans"/>
        <family val="2"/>
      </rPr>
      <t>DuMOL</t>
    </r>
    <r>
      <rPr>
        <b/>
        <i/>
        <sz val="7"/>
        <color theme="1" tint="0.499984740745262"/>
        <rFont val="Noto Sans"/>
        <family val="2"/>
      </rPr>
      <t xml:space="preserve"> </t>
    </r>
    <r>
      <rPr>
        <b/>
        <sz val="7"/>
        <color theme="1" tint="0.499984740745262"/>
        <rFont val="Noto Sans"/>
        <family val="2"/>
      </rPr>
      <t>Annapolis:</t>
    </r>
    <r>
      <rPr>
        <sz val="7"/>
        <color theme="1" tint="0.499984740745262"/>
        <rFont val="Noto Sans"/>
        <family val="2"/>
      </rPr>
      <t xml:space="preserve"> 6ha pinot massale planted ~2019 at 'mid-density'  5000vines/ha (near Peay.) 1st crop expected 2022</t>
    </r>
  </si>
  <si>
    <r>
      <rPr>
        <b/>
        <sz val="7"/>
        <color theme="1" tint="0.499984740745262"/>
        <rFont val="Noto Sans"/>
        <family val="2"/>
      </rPr>
      <t xml:space="preserve">DuMOL Bressay: </t>
    </r>
    <r>
      <rPr>
        <sz val="7"/>
        <color theme="1" tint="0.499984740745262"/>
        <rFont val="Noto Sans"/>
        <family val="2"/>
      </rPr>
      <t>incl. Calera &amp; 943 pinot planted 2005, E facing, 9000vines/ha, Goldridge sandy clay loam, 100masl, Green Valley RRV. Makes Finn &amp; Highland Divide</t>
    </r>
  </si>
  <si>
    <r>
      <rPr>
        <b/>
        <sz val="7"/>
        <color theme="1" tint="0.499984740745262"/>
        <rFont val="Noto Sans"/>
        <family val="2"/>
      </rPr>
      <t>DuMOL Estate (Coffee Lane):</t>
    </r>
    <r>
      <rPr>
        <sz val="7"/>
        <color theme="1" tint="0.499984740745262"/>
        <rFont val="Noto Sans"/>
        <family val="2"/>
      </rPr>
      <t xml:space="preserve"> Swan &amp; Calera pinot planted 2005, E facing, 9000vines/ha, Goldridge sandy-clay-loam, @130m, Green Valley RRV. Makes Estate pinot</t>
    </r>
  </si>
  <si>
    <r>
      <rPr>
        <b/>
        <sz val="7"/>
        <color theme="1" tint="0.499984740745262"/>
        <rFont val="Noto Sans"/>
        <family val="2"/>
      </rPr>
      <t xml:space="preserve">DuMOL Flax: </t>
    </r>
    <r>
      <rPr>
        <sz val="7"/>
        <color theme="1" tint="0.499984740745262"/>
        <rFont val="Noto Sans"/>
        <family val="2"/>
      </rPr>
      <t>pinot selections planted 1996, low density E facing  at 60m, volcanic alluvial with loam, RRV, by Rochioli. Makes Flax pinot since 2017, from Ermitage casks</t>
    </r>
  </si>
  <si>
    <r>
      <rPr>
        <b/>
        <sz val="7"/>
        <color theme="1" tint="0.499984740745262"/>
        <rFont val="Noto Sans"/>
        <family val="2"/>
      </rPr>
      <t>DuMOL MacIntyre:</t>
    </r>
    <r>
      <rPr>
        <sz val="7"/>
        <color theme="1" tint="0.499984740745262"/>
        <rFont val="Noto Sans"/>
        <family val="2"/>
      </rPr>
      <t xml:space="preserve"> 4ha incl. massale pinot planted 2017, 6000vines/ha, E facing Goldridge sandy-loam at 80m, Green Valley RRV. 1st cru release to be 2020</t>
    </r>
  </si>
  <si>
    <r>
      <rPr>
        <b/>
        <sz val="7"/>
        <color theme="1" tint="0.499984740745262"/>
        <rFont val="Noto Sans"/>
        <family val="2"/>
      </rPr>
      <t>Dutton Jentoft</t>
    </r>
    <r>
      <rPr>
        <sz val="7"/>
        <color theme="1" tint="0.499984740745262"/>
        <rFont val="Noto Sans"/>
        <family val="2"/>
      </rPr>
      <t>: incl massale pinot planted by DuMOL in 2007, steep S facing, 3800vines/ha, shallow Goldridge sandy loam, 175m, RRV. Makes Ryan pinot, Chassin casks</t>
    </r>
  </si>
  <si>
    <r>
      <rPr>
        <b/>
        <sz val="7"/>
        <color theme="1" tint="0.499984740745262"/>
        <rFont val="Noto Sans"/>
        <family val="2"/>
      </rPr>
      <t>Joy Road:</t>
    </r>
    <r>
      <rPr>
        <sz val="7"/>
        <color theme="1" tint="0.499984740745262"/>
        <rFont val="Noto Sans"/>
        <family val="2"/>
      </rPr>
      <t xml:space="preserve"> 1ha massale, Cruz &amp; Dijon pinot, planted 2004, 9000vines/ha, S facing, sandy, 325m ridgetop, Sonoma Coast. (ex-Connor). Last made 2019</t>
    </r>
  </si>
  <si>
    <r>
      <rPr>
        <b/>
        <sz val="7"/>
        <color theme="1" tint="0.499984740745262"/>
        <rFont val="Noto Sans"/>
        <family val="2"/>
      </rPr>
      <t>Occidental Road:</t>
    </r>
    <r>
      <rPr>
        <sz val="7"/>
        <color theme="1" tint="0.499984740745262"/>
        <rFont val="Noto Sans"/>
        <family val="2"/>
      </rPr>
      <t xml:space="preserve"> massale pinot planted 1992, low density, clay loam, 30m. Makes Finn Pinot from ACF casks</t>
    </r>
  </si>
  <si>
    <r>
      <rPr>
        <b/>
        <sz val="7"/>
        <color theme="1" tint="0.499984740745262"/>
        <rFont val="Noto Sans"/>
        <family val="2"/>
      </rPr>
      <t>Widdoes:</t>
    </r>
    <r>
      <rPr>
        <sz val="7"/>
        <color theme="1" tint="0.499984740745262"/>
        <rFont val="Noto Sans"/>
        <family val="2"/>
      </rPr>
      <t xml:space="preserve"> 9.3ha pinot planted 1984 Martini clone, low density E facing on Goldridge sandy clay at 50m, Green Valley RRV. (ex-Ryan)</t>
    </r>
  </si>
  <si>
    <r>
      <rPr>
        <b/>
        <sz val="7"/>
        <color theme="1" tint="0.499984740745262"/>
        <rFont val="Noto Sans"/>
        <family val="2"/>
      </rPr>
      <t xml:space="preserve">Wildrose: </t>
    </r>
    <r>
      <rPr>
        <sz val="7"/>
        <color theme="1" tint="0.499984740745262"/>
        <rFont val="Noto Sans"/>
        <family val="2"/>
      </rPr>
      <t>1.2ha pinot monopole planted 1999/2000, dry-farmed Dijon clones at 450m, E facing, on sandy-clay-loam, RRV. (ex-Aidan.) Mercurey casks. Andy's 1st vines</t>
    </r>
  </si>
  <si>
    <t>KEY DuMOL CABERNET VINEYARDS A-Z INCL.:</t>
  </si>
  <si>
    <r>
      <rPr>
        <b/>
        <sz val="7"/>
        <color theme="1" tint="0.499984740745262"/>
        <rFont val="Noto Sans"/>
        <family val="2"/>
      </rPr>
      <t>Ballard:</t>
    </r>
    <r>
      <rPr>
        <sz val="7"/>
        <color theme="1" tint="0.499984740745262"/>
        <rFont val="Noto Sans"/>
        <family val="2"/>
      </rPr>
      <t xml:space="preserve"> planted 2002, 3840vines/ha, 600m on Spring Mtn, Napa. Makes Ballard Cab, from Sylvain casks. Last made 2019</t>
    </r>
  </si>
  <si>
    <r>
      <rPr>
        <b/>
        <sz val="7"/>
        <color theme="1" tint="0.499984740745262"/>
        <rFont val="Noto Sans"/>
        <family val="2"/>
      </rPr>
      <t>Meteor:</t>
    </r>
    <r>
      <rPr>
        <sz val="7"/>
        <color theme="1" tint="0.499984740745262"/>
        <rFont val="Noto Sans"/>
        <family val="2"/>
      </rPr>
      <t xml:space="preserve"> planted 1999, 2700vines/ha, on volcanic soil &amp; rock, 105m, Combesville, Napa. Makes Meteor from ACF casks</t>
    </r>
  </si>
  <si>
    <r>
      <rPr>
        <b/>
        <sz val="7"/>
        <color theme="1" tint="0.499984740745262"/>
        <rFont val="Noto Sans"/>
        <family val="2"/>
      </rPr>
      <t xml:space="preserve">Montecillo old vines: </t>
    </r>
    <r>
      <rPr>
        <sz val="7"/>
        <color theme="1" tint="0.499984740745262"/>
        <rFont val="Noto Sans"/>
        <family val="2"/>
      </rPr>
      <t>planted 1964, low density, SW facing, iron-rich volcanic, 515m, Moon Mtn, Sonoma. Makes Montecillo, from Remond casks</t>
    </r>
  </si>
  <si>
    <t>SWAN ESTATE, by</t>
  </si>
  <si>
    <t>Rod &amp; Lynne Berglund</t>
  </si>
  <si>
    <t>20SWAN01</t>
  </si>
  <si>
    <t>NB Lynne Berglund is Joe Swan's daughter</t>
  </si>
  <si>
    <t>23SWAN01</t>
  </si>
  <si>
    <t>Trenton, Russian River Valley, CA</t>
  </si>
  <si>
    <t>20SWAN01MG</t>
  </si>
  <si>
    <t>Trenton Estate has 4.5ha of domaine vines</t>
  </si>
  <si>
    <r>
      <t xml:space="preserve">allergic to beauracracy: </t>
    </r>
    <r>
      <rPr>
        <b/>
        <sz val="8"/>
        <color rgb="FF00B050"/>
        <rFont val="Noto Sans"/>
        <family val="2"/>
      </rPr>
      <t>no certification</t>
    </r>
  </si>
  <si>
    <t>23SWAN06</t>
  </si>
  <si>
    <t>23SWAN02</t>
  </si>
  <si>
    <t>20SWAN03</t>
  </si>
  <si>
    <t>2011 Wine Enthusiast, Enthusiast 100 (Trenton PN)</t>
  </si>
  <si>
    <t>23SWAN03</t>
  </si>
  <si>
    <t>2009 Wine Spectator Top 100, PN Trois 2007</t>
  </si>
  <si>
    <t>23SWAN04</t>
  </si>
  <si>
    <t>1989 Joe Swan passes away</t>
  </si>
  <si>
    <t>23SWAN09</t>
  </si>
  <si>
    <t>1986 Rod married Lynn, Joe's daughter</t>
  </si>
  <si>
    <t>23SWAN08</t>
  </si>
  <si>
    <t>1979 Rod makes first wine at La Crema</t>
  </si>
  <si>
    <t>23SWAN07</t>
  </si>
  <si>
    <t>1974 winery built by Joe &amp; Joel Peterson</t>
  </si>
  <si>
    <t>23SWAN05</t>
  </si>
  <si>
    <t>1967 founded by Joe Swan</t>
  </si>
  <si>
    <t>SwanWinery.com</t>
  </si>
  <si>
    <t>LEVI DALTON 'IDTT' INTERVIEW #474</t>
  </si>
  <si>
    <t>GROWER CODE: SWAN</t>
  </si>
  <si>
    <t>U.S.A., California - Napa</t>
  </si>
  <si>
    <r>
      <rPr>
        <b/>
        <sz val="7"/>
        <color theme="1" tint="0.499984740745262"/>
        <rFont val="Noto Sans"/>
        <family val="2"/>
      </rPr>
      <t>A.Galloni, Jan.2020</t>
    </r>
    <r>
      <rPr>
        <sz val="7"/>
        <color theme="1" tint="0.499984740745262"/>
        <rFont val="Noto Sans"/>
        <family val="2"/>
      </rPr>
      <t xml:space="preserve"> 'Eisele Vineyard is one of the world's great vineyard sites. In a word: epic.'</t>
    </r>
  </si>
  <si>
    <t>EISELE VINEYARD, ex-</t>
  </si>
  <si>
    <t>ARAUJO ESTATE</t>
  </si>
  <si>
    <t>09ARAUJO04</t>
  </si>
  <si>
    <r>
      <t xml:space="preserve">Calistoga, North Napa. </t>
    </r>
    <r>
      <rPr>
        <b/>
        <sz val="8"/>
        <color rgb="FF00B050"/>
        <rFont val="Noto Sans"/>
        <family val="2"/>
      </rPr>
      <t>Biodynamic cert.</t>
    </r>
  </si>
  <si>
    <t>Helene Mingot, GM-winemaker</t>
  </si>
  <si>
    <t>19EISELE01</t>
  </si>
  <si>
    <t>19EISELE01MG</t>
  </si>
  <si>
    <t>2014 named changed back to Eisele</t>
  </si>
  <si>
    <t>2013 purchased by Francois Pinault</t>
  </si>
  <si>
    <r>
      <t xml:space="preserve">2002 </t>
    </r>
    <r>
      <rPr>
        <b/>
        <sz val="7"/>
        <color rgb="FF00B050"/>
        <rFont val="Noto Sans"/>
        <family val="2"/>
      </rPr>
      <t xml:space="preserve">Biodynamic Demeter certified </t>
    </r>
  </si>
  <si>
    <t xml:space="preserve">1999 1st bottling of Altagracia, 2nd wine </t>
  </si>
  <si>
    <t>1998 1st year organic farming</t>
  </si>
  <si>
    <t>1990s 1st releases sauvignon blanc, syrah, olive oil</t>
  </si>
  <si>
    <t>1990s winery &amp; cellar built; vineyards grow to 55ha</t>
  </si>
  <si>
    <t>1991 to 98: 1 barrel a year made of cabernet VV</t>
  </si>
  <si>
    <t>1991 1st vintage Araujo label</t>
  </si>
  <si>
    <t>1990 estate purchased by Bart &amp; Daphne Araujo</t>
  </si>
  <si>
    <t>1978 1st syrah vines planted</t>
  </si>
  <si>
    <t>1970s-80s fruit sold to Ridge, Conn Creek, Phelps etc.</t>
  </si>
  <si>
    <t>1971 1st Eisele designate cabernet, by Ridge</t>
  </si>
  <si>
    <t>1969 65ha estate bought by Milt &amp; Barbara Eisele</t>
  </si>
  <si>
    <t>1964 15ha replanted to cabernet, on an alluvial fan</t>
  </si>
  <si>
    <t>1886 1st vines planted (zin &amp; riesling)</t>
  </si>
  <si>
    <t>EiseleVineyard.com</t>
  </si>
  <si>
    <t>GROWER CODES: EISELE / ARAUJO</t>
  </si>
  <si>
    <t>DOMINUS, by</t>
  </si>
  <si>
    <t>18OTHELLO01</t>
  </si>
  <si>
    <t>Christian Moueix</t>
  </si>
  <si>
    <t>16OTHELLO01</t>
  </si>
  <si>
    <t xml:space="preserve">Yountville, Napa. </t>
  </si>
  <si>
    <t>18NAPAOOK</t>
  </si>
  <si>
    <t>Napanook vineyard: 42ha of 50ha planted</t>
  </si>
  <si>
    <t>18DOMINUS01</t>
  </si>
  <si>
    <t>cabernet sauvignon, cab.franc &amp; petit verdot</t>
  </si>
  <si>
    <t>17DOMINUS01</t>
  </si>
  <si>
    <r>
      <t xml:space="preserve">&gt;30yrs </t>
    </r>
    <r>
      <rPr>
        <b/>
        <sz val="8"/>
        <color rgb="FF00B050"/>
        <rFont val="Noto Sans"/>
        <family val="2"/>
      </rPr>
      <t>sustainable</t>
    </r>
    <r>
      <rPr>
        <sz val="8"/>
        <color theme="1" tint="0.14999847407452621"/>
        <rFont val="Noto Sans"/>
        <family val="2"/>
      </rPr>
      <t xml:space="preserve"> work. Dry-farmed</t>
    </r>
  </si>
  <si>
    <t>2012 1st vintage of Ulysses from Oakville</t>
  </si>
  <si>
    <t>2008 16ha Schmidt Ranch of Oakville purchased</t>
  </si>
  <si>
    <t>1997 Herzog de Meuron winery completed</t>
  </si>
  <si>
    <t>1996 1st vintage of Napanook</t>
  </si>
  <si>
    <t>1995 C.Moueix now owns 100%</t>
  </si>
  <si>
    <t>1983 1st vintage of Dominus</t>
  </si>
  <si>
    <t>1982 Moueix enters into partnership</t>
  </si>
  <si>
    <t>1943 John Daniel purchases Napanook</t>
  </si>
  <si>
    <t>1850 Napanook 1st planted by George Yount</t>
  </si>
  <si>
    <t>2015-2016 in Suckling's Top 100 WOTY</t>
  </si>
  <si>
    <t>2002 Wine Spectator Top 100, for 1999</t>
  </si>
  <si>
    <t>1997 Wine Spectator Top 100, for 1994</t>
  </si>
  <si>
    <t>1995 1st entry Wine Spectator Top 100, for 1991</t>
  </si>
  <si>
    <t>DominusEstate.com</t>
  </si>
  <si>
    <t>GROWER CODES: DOMINUS / OTHELLO</t>
  </si>
  <si>
    <t>SHAFER</t>
  </si>
  <si>
    <t>Stags Leap, Napa. John Shafer founded '72</t>
  </si>
  <si>
    <t>21SHAFER03</t>
  </si>
  <si>
    <t>Doug Schafer, 2nd Gen., w. Elias Fernandez</t>
  </si>
  <si>
    <t xml:space="preserve"> &gt;20yrs sustainable</t>
  </si>
  <si>
    <t>24SHAFER01</t>
  </si>
  <si>
    <t>19SHAFER04</t>
  </si>
  <si>
    <t>2022 Shafer is sold</t>
  </si>
  <si>
    <t>18SHAFER02</t>
  </si>
  <si>
    <t>2016 Wine Enthusiast, Cellar Selection 100 (1.5)</t>
  </si>
  <si>
    <t>21SHAFER01</t>
  </si>
  <si>
    <t>2014 Hillside 2011 in Suckling's Top 100 WOTY</t>
  </si>
  <si>
    <t>19SHAFER05</t>
  </si>
  <si>
    <t>2012 Relentless is #1 in Wine Spectator Top 100</t>
  </si>
  <si>
    <t>19SHAFER05MG</t>
  </si>
  <si>
    <t>2011 Wine Enthusiast, Enthusiast 100 (chard)</t>
  </si>
  <si>
    <t>1989 1st entry in Wine Spectator Top 100</t>
  </si>
  <si>
    <t>a Wine &amp; Spirits 'Top 100, Winery of the Yr'</t>
  </si>
  <si>
    <t>chard. is often in Wine Spectator Top 100</t>
  </si>
  <si>
    <t>Relentless is often in Wine Spectator Top 100</t>
  </si>
  <si>
    <t>cabernet was often in Wine Spectator Top 100</t>
  </si>
  <si>
    <t>merlot was often Wine Spectator Top 100</t>
  </si>
  <si>
    <t>ShaferVineyards.com</t>
  </si>
  <si>
    <t>DEBRA MEIBURG MW INTERVIEW #54</t>
  </si>
  <si>
    <t>GROWER CODE: SHAFER</t>
  </si>
  <si>
    <t>U.S.A., Oregon, Willamette Valley, Dundee Hills</t>
  </si>
  <si>
    <t>CAMERON WINERY</t>
  </si>
  <si>
    <t>Dundee Hills, Willamette Valley, Oregon</t>
  </si>
  <si>
    <t>25CAMERON04</t>
  </si>
  <si>
    <t>Red iron rich soils of decomposing basalt</t>
  </si>
  <si>
    <t>25CAMERON02</t>
  </si>
  <si>
    <t xml:space="preserve">Dry farmed, mostly ungrafted, massale vines, </t>
  </si>
  <si>
    <t>25CAMERON01</t>
  </si>
  <si>
    <t xml:space="preserve">stone cellar, ambient ferment, solar power, </t>
  </si>
  <si>
    <t>air-source heat pumps</t>
  </si>
  <si>
    <t>25CAMERON03</t>
  </si>
  <si>
    <t>Sustainable certified Salmon-Safe</t>
  </si>
  <si>
    <t>25CAMERON05</t>
  </si>
  <si>
    <r>
      <rPr>
        <sz val="8"/>
        <color rgb="FF0D0D0D"/>
        <rFont val="Noto Sans"/>
        <family val="2"/>
      </rPr>
      <t>Clos Electrique &amp; Abbey Road:</t>
    </r>
    <r>
      <rPr>
        <sz val="8"/>
        <color rgb="FF00B050"/>
        <rFont val="Noto Sans"/>
        <family val="2"/>
      </rPr>
      <t xml:space="preserve"> '</t>
    </r>
    <r>
      <rPr>
        <b/>
        <sz val="8"/>
        <color rgb="FF00B050"/>
        <rFont val="Noto Sans"/>
        <family val="2"/>
      </rPr>
      <t>No cert.'</t>
    </r>
  </si>
  <si>
    <t>25CAMERON06</t>
  </si>
  <si>
    <t>25CAMERON07</t>
  </si>
  <si>
    <t xml:space="preserve">Founder: John Paul </t>
  </si>
  <si>
    <t>25CAMERON08</t>
  </si>
  <si>
    <t>Co-owners: Bill &amp; Julia Wayne (Abbey Ridge)</t>
  </si>
  <si>
    <t>Viticulturalist: Phil London</t>
  </si>
  <si>
    <t>Winemaker: Tom Sivilli</t>
  </si>
  <si>
    <t>Asst.Winemaker: Ian Wayne (Abbey Ridge)</t>
  </si>
  <si>
    <t>VINE MATERIAL INCLUDES:</t>
  </si>
  <si>
    <t>CHARDONNAY: Hyde's Corton Charlemagne cuttings</t>
  </si>
  <si>
    <t>chardonnay musqué from Spring Mountain</t>
  </si>
  <si>
    <t>Mt.Eden massale (Martin Ray, from La Cresta)</t>
  </si>
  <si>
    <t>PINOT NOIR: Swan. Wadenswil. Hanzell. Chalone</t>
  </si>
  <si>
    <t>Mt.Eden massale (Martin Ray, from la Cresta) etc.</t>
  </si>
  <si>
    <t>THE MAIN VINEYARDS:</t>
  </si>
  <si>
    <t>CLOS ELECTRIQUE: 2.6ha estate planted from 1984,</t>
  </si>
  <si>
    <t>ungrafted. Incl. 1.2ha pinot, 0.8ha chardonnay (1987),</t>
  </si>
  <si>
    <t>0.4ha nebbbiolo (1994-2003), etc.</t>
  </si>
  <si>
    <t>Yields 20hl/ha pinot, 27hl/ha chardonnay</t>
  </si>
  <si>
    <t>ABBEY RIDGE: Wayne family, 9ha, planted 1976,</t>
  </si>
  <si>
    <t>1984, &amp; 1990 'Arley's Leap' - to Mt.Eden pinot</t>
  </si>
  <si>
    <t>Pinot Noir is mostly Wadenswill &amp; Pommard clones</t>
  </si>
  <si>
    <t>160m-230m altitude, picked mid-October</t>
  </si>
  <si>
    <t>Yields 27-34hl/ha pinot, 27-40hl/ha chardonnay</t>
  </si>
  <si>
    <t>2024 Ian Wayne (Abbey Ridge) asst.winemaker</t>
  </si>
  <si>
    <t>2022 Revino reusable bottles used in Oregon</t>
  </si>
  <si>
    <t>2010s no-till cover crop started</t>
  </si>
  <si>
    <t>2004 John &amp; Co. found DRC - Deep Roots Coalition</t>
  </si>
  <si>
    <t xml:space="preserve">1997 Sustainable Certified Salmon Safe (1st in Oregon) </t>
  </si>
  <si>
    <t>1993 bought Olmo 505 German destemmer</t>
  </si>
  <si>
    <t>1990s labels incl. 'produced from dry farmed vines'</t>
  </si>
  <si>
    <t>1984 John starts planting Clos Electrique</t>
  </si>
  <si>
    <t xml:space="preserve">1976 Wayne family plant 1st pinot at Abbey Ridge </t>
  </si>
  <si>
    <t>1970s-1980s John collects old Bay area Burg biotypes</t>
  </si>
  <si>
    <t>1970s John joins Carneros Creek, becoming winemaker</t>
  </si>
  <si>
    <t>CameronWines.com</t>
  </si>
  <si>
    <t>DeepRootsCoalition.org</t>
  </si>
  <si>
    <t>RevinoBottles.com</t>
  </si>
  <si>
    <t>GROWER CODE: CAMERON</t>
  </si>
  <si>
    <t>U.S.A., Virginia - Monticello</t>
  </si>
  <si>
    <t>KIND WORDS ON RAMIIISOL, etc.:</t>
  </si>
  <si>
    <r>
      <t>Motto</t>
    </r>
    <r>
      <rPr>
        <sz val="7"/>
        <color theme="1" tint="0.499984740745262"/>
        <rFont val="Noto Sans"/>
        <family val="2"/>
      </rPr>
      <t xml:space="preserve"> '</t>
    </r>
    <r>
      <rPr>
        <i/>
        <sz val="7"/>
        <color theme="1" tint="0.499984740745262"/>
        <rFont val="Noto Sans"/>
        <family val="2"/>
      </rPr>
      <t>Sempre Migliorando</t>
    </r>
    <r>
      <rPr>
        <sz val="7"/>
        <color theme="1" tint="0.499984740745262"/>
        <rFont val="Noto Sans"/>
        <family val="2"/>
      </rPr>
      <t>' - 'always improving'</t>
    </r>
  </si>
  <si>
    <t>Our Mission 'To fulfill Thomas Jefferson’s dream to produce world class, natural, authentic Virginia wines.'</t>
  </si>
  <si>
    <r>
      <t>Margaret Rand, Decanter 2019</t>
    </r>
    <r>
      <rPr>
        <sz val="7"/>
        <color theme="1" tint="0.499984740745262"/>
        <rFont val="Noto Sans"/>
        <family val="2"/>
      </rPr>
      <t xml:space="preserve"> 'Ramiiisol is what happens when you mix the foresight of President Thomas Jefferson that the US (and Virginia) could</t>
    </r>
    <r>
      <rPr>
        <b/>
        <sz val="7"/>
        <color theme="1" tint="0.499984740745262"/>
        <rFont val="Noto Sans"/>
        <family val="2"/>
      </rPr>
      <t xml:space="preserve">
</t>
    </r>
  </si>
  <si>
    <r>
      <rPr>
        <sz val="7"/>
        <color theme="1" tint="0.499984740745262"/>
        <rFont val="Noto Sans"/>
        <family val="2"/>
      </rPr>
      <t>make wines to equal the best in the world, with the inspiration of Montalcino producer Gianfranco Soldera and the high-level science of its owners.'</t>
    </r>
    <r>
      <rPr>
        <b/>
        <sz val="7"/>
        <color theme="1" tint="0.499984740745262"/>
        <rFont val="Noto Sans"/>
        <family val="2"/>
      </rPr>
      <t xml:space="preserve">
</t>
    </r>
  </si>
  <si>
    <r>
      <rPr>
        <b/>
        <sz val="7"/>
        <color theme="1" tint="0.499984740745262"/>
        <rFont val="Noto Sans"/>
        <family val="2"/>
      </rPr>
      <t>Thomas Jefferson</t>
    </r>
    <r>
      <rPr>
        <sz val="7"/>
        <color theme="1" tint="0.499984740745262"/>
        <rFont val="Noto Sans"/>
        <family val="2"/>
      </rPr>
      <t xml:space="preserve"> 'We could...make as great a variety of wines as are made in Europe, not exactly of the same kinds, but doubtless as good.'</t>
    </r>
  </si>
  <si>
    <r>
      <rPr>
        <b/>
        <sz val="7"/>
        <color theme="1" tint="0.499984740745262"/>
        <rFont val="Noto Sans"/>
        <family val="2"/>
      </rPr>
      <t>Robert A.Hefner III</t>
    </r>
    <r>
      <rPr>
        <sz val="7"/>
        <color theme="1" tint="0.499984740745262"/>
        <rFont val="Noto Sans"/>
        <family val="2"/>
      </rPr>
      <t xml:space="preserve"> 'we are always evolving because we strictly follow my first mentor's admonition;</t>
    </r>
  </si>
  <si>
    <t>that to understand nature's infinite compexity demands an unbound mind.'</t>
  </si>
  <si>
    <r>
      <rPr>
        <b/>
        <sz val="7"/>
        <color theme="1" tint="0.499984740745262"/>
        <rFont val="Noto Sans"/>
        <family val="2"/>
      </rPr>
      <t xml:space="preserve">Pedro Parra </t>
    </r>
    <r>
      <rPr>
        <sz val="7"/>
        <color theme="1" tint="0.499984740745262"/>
        <rFont val="Noto Sans"/>
        <family val="2"/>
      </rPr>
      <t>'biodynamics gives to terroir whatever you can’t see in the soil pit. It’s about energy: the 4th dimension in wine in addition to climate, soil, man.'</t>
    </r>
  </si>
  <si>
    <r>
      <rPr>
        <b/>
        <sz val="7"/>
        <color theme="1" tint="0.499984740745262"/>
        <rFont val="Noto Sans"/>
        <family val="2"/>
      </rPr>
      <t xml:space="preserve">Alberto Antonini </t>
    </r>
    <r>
      <rPr>
        <sz val="7"/>
        <color theme="1" tint="0.499984740745262"/>
        <rFont val="Noto Sans"/>
        <family val="2"/>
      </rPr>
      <t>'The New World will remain the New World until people stop thinking in a New World way.'</t>
    </r>
  </si>
  <si>
    <r>
      <rPr>
        <b/>
        <sz val="7"/>
        <color theme="1" tint="0.499984740745262"/>
        <rFont val="Noto Sans"/>
        <family val="2"/>
      </rPr>
      <t>Alberto Antonini</t>
    </r>
    <r>
      <rPr>
        <sz val="7"/>
        <color theme="1" tint="0.499984740745262"/>
        <rFont val="Noto Sans"/>
        <family val="2"/>
      </rPr>
      <t xml:space="preserve"> ‘Less is more, but in order to do less, you need to know more.’</t>
    </r>
  </si>
  <si>
    <r>
      <rPr>
        <b/>
        <sz val="7"/>
        <color theme="1" tint="0.499984740745262"/>
        <rFont val="Noto Sans"/>
        <family val="2"/>
      </rPr>
      <t xml:space="preserve">Alberto Antonini </t>
    </r>
    <r>
      <rPr>
        <sz val="7"/>
        <color theme="1" tint="0.499984740745262"/>
        <rFont val="Noto Sans"/>
        <family val="2"/>
      </rPr>
      <t>'Great wines are about special places and special people'</t>
    </r>
  </si>
  <si>
    <r>
      <rPr>
        <b/>
        <sz val="7"/>
        <color theme="1" tint="0.499984740745262"/>
        <rFont val="Noto Sans"/>
        <family val="2"/>
      </rPr>
      <t>Alberto Antonini</t>
    </r>
    <r>
      <rPr>
        <sz val="7"/>
        <color theme="1" tint="0.499984740745262"/>
        <rFont val="Noto Sans"/>
        <family val="2"/>
      </rPr>
      <t xml:space="preserve"> 'Premium wines always talk about their origin and never about the grape variety.'</t>
    </r>
  </si>
  <si>
    <r>
      <rPr>
        <b/>
        <sz val="7"/>
        <color theme="1" tint="0.499984740745262"/>
        <rFont val="Noto Sans"/>
        <family val="2"/>
      </rPr>
      <t>Alberto Antonini</t>
    </r>
    <r>
      <rPr>
        <sz val="7"/>
        <color theme="1" tint="0.499984740745262"/>
        <rFont val="Noto Sans"/>
        <family val="2"/>
      </rPr>
      <t xml:space="preserve"> 'I've worked with a lot of soil experts but very few know about wine, and that's useless for me. Pedro (Parra) is one</t>
    </r>
  </si>
  <si>
    <t>of the few to connect terroir with wine – with him I talk tannins, flavours, acidity, not just rocks.'</t>
  </si>
  <si>
    <t>RAMIIISOL</t>
  </si>
  <si>
    <t>Monticello AVA, Piedmont, nr.Charlottesville</t>
  </si>
  <si>
    <t>24RAMISOL02</t>
  </si>
  <si>
    <t>10ha cab franc &amp; nebbiolo on a 57ha estate</t>
  </si>
  <si>
    <t>24RAMISOL01</t>
  </si>
  <si>
    <t>on decomposing Blue Ridge Mountain gneiss</t>
  </si>
  <si>
    <t>ROSÉ / CERASUOLO:</t>
  </si>
  <si>
    <t>w. complete biodiversity/biomass program</t>
  </si>
  <si>
    <t>24RAMISOL03</t>
  </si>
  <si>
    <r>
      <rPr>
        <sz val="8"/>
        <color theme="1" tint="0.14999847407452621"/>
        <rFont val="Noto Sans"/>
        <family val="2"/>
      </rPr>
      <t>farming</t>
    </r>
    <r>
      <rPr>
        <b/>
        <sz val="8"/>
        <color rgb="FF00B050"/>
        <rFont val="Noto Sans"/>
        <family val="2"/>
      </rPr>
      <t xml:space="preserve"> 'biodynamic-uncertified'</t>
    </r>
    <r>
      <rPr>
        <sz val="8"/>
        <color rgb="FFFF0000"/>
        <rFont val="Noto Sans"/>
        <family val="2"/>
      </rPr>
      <t xml:space="preserve"> </t>
    </r>
    <r>
      <rPr>
        <sz val="8"/>
        <color theme="1" tint="0.14999847407452621"/>
        <rFont val="Noto Sans"/>
        <family val="2"/>
      </rPr>
      <t>since 2014</t>
    </r>
  </si>
  <si>
    <t>ambient yeast; Ⓥ Vegan compatible</t>
  </si>
  <si>
    <t>24RAMISOL05</t>
  </si>
  <si>
    <r>
      <t xml:space="preserve">raised 2 to 5 years in Slavonian </t>
    </r>
    <r>
      <rPr>
        <i/>
        <sz val="8"/>
        <color theme="1" tint="0.14999847407452621"/>
        <rFont val="Noto Sans"/>
        <family val="2"/>
      </rPr>
      <t>botte grande</t>
    </r>
  </si>
  <si>
    <t>24RAMISOL06</t>
  </si>
  <si>
    <t>by Gamba &amp; Garbellotto; unfined &amp; unfiltered</t>
  </si>
  <si>
    <t>24RAMISOL04</t>
  </si>
  <si>
    <t>RAMIS04TB</t>
  </si>
  <si>
    <t>Robert &amp; MeiLi Hefner, owners</t>
  </si>
  <si>
    <t>Alberto Antonini, consultant</t>
  </si>
  <si>
    <t>Pedro Parra, soil &amp; biodynamics consultant</t>
  </si>
  <si>
    <t>Sarah Horne, horticulturalist</t>
  </si>
  <si>
    <t>Hugh Courtney, BD preps and peppers</t>
  </si>
  <si>
    <t>2019 1st write up in Decanter.com</t>
  </si>
  <si>
    <t>2019 Ramiiisol worldwide launch in London</t>
  </si>
  <si>
    <t>2014 Antonini &amp; Robbie Corpora join</t>
  </si>
  <si>
    <t>2013 Hefners purchase the estate</t>
  </si>
  <si>
    <t>RamiiisolVineyards.com</t>
  </si>
  <si>
    <t>Matura.net</t>
  </si>
  <si>
    <t>GROWER CODE: RAMIS</t>
  </si>
  <si>
    <t>New Zealand, North Island</t>
  </si>
  <si>
    <t>Dry River was sold in late 2022. We therefore just shipped in the largest quantity ever allocated to the UK. These last vintages bottled by Wilco Lam's team</t>
  </si>
  <si>
    <t>are simply incredible, as Dry River had become a winery for whom superlatives were not enough. In all of the six main grape varieties that they made,</t>
  </si>
  <si>
    <t>they came to make one of the reference examples of each genre, in not just New Zealand, but the world. </t>
  </si>
  <si>
    <t>This was demonstrated and celebrated at the 40th birthday party we held with Wilco and founder Dr.Neil McCallum at Restaurant 34, with Miles Butler as host. </t>
  </si>
  <si>
    <t>As always, their wines grow so dramatically with time, by design, that we want people who are drinking now to be ordering the vintages with the most</t>
  </si>
  <si>
    <t>bottle age possible. However, if you are buying to cellar for the mid-to-long term, just ask for the price on the younger wines. Every DR wine is good for</t>
  </si>
  <si>
    <t>10 years minimum, and the top vintages 20 to 30 years thus far.'</t>
  </si>
  <si>
    <t>DRY RIVER:</t>
  </si>
  <si>
    <t>1979 to 2021 era</t>
  </si>
  <si>
    <t>21DRY14</t>
  </si>
  <si>
    <t>Martinborough's founding estate. 12ha in</t>
  </si>
  <si>
    <t>21DRY13</t>
  </si>
  <si>
    <t>three blocks: DR Estate, Craighall, Lovat</t>
  </si>
  <si>
    <t>21DRY12</t>
  </si>
  <si>
    <t>All dry farmed; 5 in the vines; low copper</t>
  </si>
  <si>
    <t>20DRY06</t>
  </si>
  <si>
    <t>low sulphites; Carbon Zero rating</t>
  </si>
  <si>
    <t>19DRY08</t>
  </si>
  <si>
    <t>temperature controlled shipping</t>
  </si>
  <si>
    <t>21DRY11</t>
  </si>
  <si>
    <r>
      <t xml:space="preserve">Organic certified 2019; </t>
    </r>
    <r>
      <rPr>
        <sz val="8"/>
        <color theme="1" tint="0.14999847407452621"/>
        <rFont val="Noto Sans"/>
        <family val="2"/>
      </rPr>
      <t>mostly ambient yeast</t>
    </r>
  </si>
  <si>
    <t>21DRY17P6</t>
  </si>
  <si>
    <t>21DRY16</t>
  </si>
  <si>
    <r>
      <rPr>
        <b/>
        <sz val="7"/>
        <color theme="1" tint="0.499984740745262"/>
        <rFont val="Noto Sans"/>
        <family val="2"/>
      </rPr>
      <t>Founder:</t>
    </r>
    <r>
      <rPr>
        <sz val="7"/>
        <color theme="1" tint="0.499984740745262"/>
        <rFont val="Noto Sans"/>
        <family val="2"/>
      </rPr>
      <t xml:space="preserve"> Dr.Neil McCallum (retired)</t>
    </r>
  </si>
  <si>
    <t>21DRY15</t>
  </si>
  <si>
    <r>
      <rPr>
        <b/>
        <sz val="7"/>
        <color theme="1" tint="0.499984740745262"/>
        <rFont val="Noto Sans"/>
        <family val="2"/>
      </rPr>
      <t xml:space="preserve">GM &amp; winemaker: </t>
    </r>
    <r>
      <rPr>
        <sz val="7"/>
        <color theme="1" tint="0.499984740745262"/>
        <rFont val="Noto Sans"/>
        <family val="2"/>
      </rPr>
      <t>Wilco Lam (departed 2022)</t>
    </r>
  </si>
  <si>
    <t>20DRY04</t>
  </si>
  <si>
    <r>
      <rPr>
        <b/>
        <sz val="7"/>
        <color theme="1" tint="0.499984740745262"/>
        <rFont val="Noto Sans"/>
        <family val="2"/>
      </rPr>
      <t>Consultant:</t>
    </r>
    <r>
      <rPr>
        <sz val="7"/>
        <color theme="1" tint="0.499984740745262"/>
        <rFont val="Noto Sans"/>
        <family val="2"/>
      </rPr>
      <t xml:space="preserve"> Ant Mackenzie (former GM)</t>
    </r>
  </si>
  <si>
    <t>19DRY07</t>
  </si>
  <si>
    <t>KEY GRAPE BIOTYPES:</t>
  </si>
  <si>
    <t>21DRY21</t>
  </si>
  <si>
    <r>
      <rPr>
        <b/>
        <sz val="7"/>
        <color theme="1" tint="0.499984740745262"/>
        <rFont val="Noto Sans"/>
        <family val="2"/>
      </rPr>
      <t>Pinot Gris:</t>
    </r>
    <r>
      <rPr>
        <sz val="7"/>
        <color theme="1" tint="0.499984740745262"/>
        <rFont val="Noto Sans"/>
        <family val="2"/>
      </rPr>
      <t xml:space="preserve"> tokay a petits grains (old Alsace biotype)</t>
    </r>
  </si>
  <si>
    <t>21DRY20</t>
  </si>
  <si>
    <r>
      <rPr>
        <b/>
        <sz val="7"/>
        <color theme="1" tint="0.499984740745262"/>
        <rFont val="Noto Sans"/>
        <family val="2"/>
      </rPr>
      <t>Chardonnay:</t>
    </r>
    <r>
      <rPr>
        <sz val="7"/>
        <color theme="1" tint="0.499984740745262"/>
        <rFont val="Noto Sans"/>
        <family val="2"/>
      </rPr>
      <t xml:space="preserve"> Mendoza clone</t>
    </r>
  </si>
  <si>
    <t>21DRY19</t>
  </si>
  <si>
    <r>
      <rPr>
        <b/>
        <sz val="7"/>
        <color theme="1" tint="0.499984740745262"/>
        <rFont val="Noto Sans"/>
        <family val="2"/>
      </rPr>
      <t>Syrah:</t>
    </r>
    <r>
      <rPr>
        <sz val="7"/>
        <color theme="1" tint="0.499984740745262"/>
        <rFont val="Noto Sans"/>
        <family val="2"/>
      </rPr>
      <t xml:space="preserve"> Limmer/Stonecroft, aka Serine (old No.Rhone)</t>
    </r>
  </si>
  <si>
    <t>21DRY18</t>
  </si>
  <si>
    <t>2022 Dry River sold to new owners; team departs</t>
  </si>
  <si>
    <t>17DRY11</t>
  </si>
  <si>
    <t>2021 last vintage bottled by Wilco Lam's team</t>
  </si>
  <si>
    <t>21DRY09</t>
  </si>
  <si>
    <t>2020 last vintage of Syrah</t>
  </si>
  <si>
    <t>21DRY08</t>
  </si>
  <si>
    <t>2019 40th anniversary celebrated, London @ #34</t>
  </si>
  <si>
    <t>21DRY07</t>
  </si>
  <si>
    <t>2019 5* NZ Pinot Noir Producer, Jukes &amp; Stelzer</t>
  </si>
  <si>
    <r>
      <t xml:space="preserve">2019 </t>
    </r>
    <r>
      <rPr>
        <b/>
        <sz val="7"/>
        <color rgb="FF00B050"/>
        <rFont val="Noto Sans"/>
        <family val="2"/>
      </rPr>
      <t>Organic certified</t>
    </r>
    <r>
      <rPr>
        <sz val="7"/>
        <color theme="1" tint="0.499984740745262"/>
        <rFont val="Noto Sans"/>
        <family val="2"/>
      </rPr>
      <t>; 40th anniversary!</t>
    </r>
  </si>
  <si>
    <t>21DRY06</t>
  </si>
  <si>
    <r>
      <t xml:space="preserve">2017 </t>
    </r>
    <r>
      <rPr>
        <b/>
        <sz val="7"/>
        <color rgb="FF00B050"/>
        <rFont val="Noto Sans"/>
        <family val="2"/>
      </rPr>
      <t>Organic in conversion</t>
    </r>
    <r>
      <rPr>
        <sz val="7"/>
        <color theme="1" tint="0.499984740745262"/>
        <rFont val="Noto Sans"/>
        <family val="2"/>
      </rPr>
      <t xml:space="preserve"> starts</t>
    </r>
  </si>
  <si>
    <t>21DRY05</t>
  </si>
  <si>
    <t>2014 start of organic work</t>
  </si>
  <si>
    <t>21DRY04</t>
  </si>
  <si>
    <t>2013 start of free-range biodynamics on DRE</t>
  </si>
  <si>
    <t>21DRY03</t>
  </si>
  <si>
    <t>2011 founder Dr.Neil McCallum finally retires</t>
  </si>
  <si>
    <t>2009 started NZ Winegrowers sustainable prog.</t>
  </si>
  <si>
    <t>20DRY08MG</t>
  </si>
  <si>
    <t xml:space="preserve">2007 Kidnappers Cliffs label founded by Neil </t>
  </si>
  <si>
    <t>21DRY01MG</t>
  </si>
  <si>
    <t>2002/3 Dry River bought by Julian Robertson</t>
  </si>
  <si>
    <t>21DRY02MG</t>
  </si>
  <si>
    <t>1979 1st blocks Alsace varieties planted ungrafted</t>
  </si>
  <si>
    <t>1979 founded by Neil &amp; Dawn McCallum</t>
  </si>
  <si>
    <t>DryRiver.co.nz</t>
  </si>
  <si>
    <t>WinesFromMartinborough.com</t>
  </si>
  <si>
    <t>GROWER CODE: DRY</t>
  </si>
  <si>
    <t>NB ALSO SEE KIDNAPPERS CLIFFS</t>
  </si>
  <si>
    <t xml:space="preserve">KIDNAPPERS CLIFFS - </t>
  </si>
  <si>
    <t>BY THE DRY RIVER TEAM</t>
  </si>
  <si>
    <t>14KIDNAP03</t>
  </si>
  <si>
    <t>Gimblett Gravels, Hawkes Bay. Mature vines.</t>
  </si>
  <si>
    <t>selection of Te Awa winery</t>
  </si>
  <si>
    <t>14KIDNAP01</t>
  </si>
  <si>
    <t>these wines made by Ant Mackenzie of DR</t>
  </si>
  <si>
    <t>12KIDNAP03TB</t>
  </si>
  <si>
    <r>
      <rPr>
        <b/>
        <sz val="8"/>
        <color rgb="FF00B050"/>
        <rFont val="Noto Sans"/>
        <family val="2"/>
      </rPr>
      <t xml:space="preserve">sustainable </t>
    </r>
    <r>
      <rPr>
        <sz val="8"/>
        <color theme="1" tint="0.14999847407452621"/>
        <rFont val="Noto Sans"/>
        <family val="2"/>
      </rPr>
      <t>agriculture</t>
    </r>
  </si>
  <si>
    <t>12KIDNAP04TB</t>
  </si>
  <si>
    <t>11KIDNAP02TB</t>
  </si>
  <si>
    <t>2012 Te Awa &amp; Kidnappers sold to Villa Maria</t>
  </si>
  <si>
    <t>2007 Kidnappers Cliffs founded by Neil McCallum</t>
  </si>
  <si>
    <t>2002 Te Awa bought by Julian Robertson</t>
  </si>
  <si>
    <t>KidnapperCliffs.com</t>
  </si>
  <si>
    <t>NB ALSO SEE DRY RIVER</t>
  </si>
  <si>
    <t>GROWER CODE: KIDNAP</t>
  </si>
  <si>
    <t>WINGSPAN</t>
  </si>
  <si>
    <t>16WSPAN06TB</t>
  </si>
  <si>
    <t>Nelson. founded 1993 by Mr/s Woollaston</t>
  </si>
  <si>
    <r>
      <t>was 6ha, now 90ha</t>
    </r>
    <r>
      <rPr>
        <b/>
        <sz val="8"/>
        <color rgb="FF00B050"/>
        <rFont val="Noto Sans"/>
        <family val="2"/>
      </rPr>
      <t xml:space="preserve"> no certification</t>
    </r>
  </si>
  <si>
    <t>NB screwcap means this wine is V. fresh</t>
  </si>
  <si>
    <t>Wine Enthusiast Top 100 Best Buys, 2013</t>
  </si>
  <si>
    <t>Mahana.nz</t>
  </si>
  <si>
    <t>GROWER CODE: WSPAN</t>
  </si>
  <si>
    <t>New Zealand, South Island, Central Otago</t>
  </si>
  <si>
    <t>KAHIWI ON KAHIWI:</t>
  </si>
  <si>
    <r>
      <rPr>
        <b/>
        <sz val="7"/>
        <color rgb="FF808080"/>
        <rFont val="Noto Sans"/>
        <family val="2"/>
      </rPr>
      <t xml:space="preserve">Kahiwi </t>
    </r>
    <r>
      <rPr>
        <sz val="7"/>
        <color rgb="FF808080"/>
        <rFont val="Noto Sans"/>
        <family val="2"/>
      </rPr>
      <t>'the ridge of a hill'</t>
    </r>
  </si>
  <si>
    <r>
      <rPr>
        <b/>
        <sz val="7"/>
        <color rgb="FF808080"/>
        <rFont val="Noto Sans"/>
        <family val="2"/>
      </rPr>
      <t xml:space="preserve">Kahiwi </t>
    </r>
    <r>
      <rPr>
        <sz val="7"/>
        <color rgb="FF808080"/>
        <rFont val="Noto Sans"/>
        <family val="2"/>
      </rPr>
      <t>'the heart / trunk of a tree / vine'</t>
    </r>
  </si>
  <si>
    <r>
      <t>KAHIWI </t>
    </r>
    <r>
      <rPr>
        <sz val="7"/>
        <color rgb="FF808080"/>
        <rFont val="Noto Sans"/>
        <family val="2"/>
      </rPr>
      <t>'Our winemaking techniques are simple and gentle to allow for the transfer from soil to wine and to capture the seasons.</t>
    </r>
  </si>
  <si>
    <t>We use small batch, natural fermentation to express these components and truly understand our sites.'</t>
  </si>
  <si>
    <r>
      <t xml:space="preserve">KAHIWI'S THREE PRINCIPLES </t>
    </r>
    <r>
      <rPr>
        <sz val="7"/>
        <color rgb="FF808080"/>
        <rFont val="Noto Sans"/>
        <family val="2"/>
      </rPr>
      <t>'1. Biomimicry: We look to nature's own systems for inspiration and solutions.</t>
    </r>
  </si>
  <si>
    <t>2. Wu-wei: We embrace the Taoist concept of 'non-doing' or 'effortless action', intervening only when necessary.</t>
  </si>
  <si>
    <t>3. Thoughtful Inquiry: We employ critical thinking and first principles to question established practices, fostering innovation</t>
  </si>
  <si>
    <t>and continuous improvement.'</t>
  </si>
  <si>
    <r>
      <rPr>
        <b/>
        <sz val="7"/>
        <color rgb="FF808080"/>
        <rFont val="Noto Sans"/>
        <family val="2"/>
      </rPr>
      <t>KAKIWI'S 70/20/10 APPROACH:</t>
    </r>
    <r>
      <rPr>
        <sz val="7"/>
        <color rgb="FF808080"/>
        <rFont val="Noto Sans"/>
        <family val="2"/>
      </rPr>
      <t xml:space="preserve"> 'This balance allows us to honor traditional wisdom while continuously seeking improvement and innovation</t>
    </r>
  </si>
  <si>
    <t>in our winegrowing methods: 70% conservative, knowledge-based practices. 20% informed experimentation. 10% left-field experimentation.'</t>
  </si>
  <si>
    <t>KAHIWI. By</t>
  </si>
  <si>
    <t>25KAHIWI02</t>
  </si>
  <si>
    <t>Mike Wolfenden &amp; Olivia Ross</t>
  </si>
  <si>
    <t>25KAHIWI01</t>
  </si>
  <si>
    <t>Central Otago. 7.5ha vines. Cellar at Mt.Pisa</t>
  </si>
  <si>
    <t>25KAHIWI02MG</t>
  </si>
  <si>
    <t>Mike is ex-#2 at Felton Road</t>
  </si>
  <si>
    <t>25KAHIWI01MG</t>
  </si>
  <si>
    <t>Olivia is ex-#2 at Burn Cottage</t>
  </si>
  <si>
    <t>No certification; Ⓥ Vegan compatible</t>
  </si>
  <si>
    <t>Cover crop. Drone spraying. No copper used</t>
  </si>
  <si>
    <r>
      <rPr>
        <b/>
        <sz val="8"/>
        <color rgb="FF262626"/>
        <rFont val="Noto Sans"/>
        <family val="2"/>
      </rPr>
      <t>2021s:</t>
    </r>
    <r>
      <rPr>
        <sz val="8"/>
        <color rgb="FF262626"/>
        <rFont val="Noto Sans"/>
        <family val="2"/>
      </rPr>
      <t xml:space="preserve"> 13% whole cluster, ~23days on skins</t>
    </r>
  </si>
  <si>
    <t xml:space="preserve">ambient yeast, 19mth elevage, 27% new  </t>
  </si>
  <si>
    <t>French oak casks, 225L &amp; 600L  demi-muids</t>
  </si>
  <si>
    <r>
      <rPr>
        <b/>
        <sz val="8"/>
        <color rgb="FF262626"/>
        <rFont val="Noto Sans"/>
        <family val="2"/>
      </rPr>
      <t>Mt.PISA VINEYARD:</t>
    </r>
    <r>
      <rPr>
        <sz val="8"/>
        <color rgb="FF262626"/>
        <rFont val="Noto Sans"/>
        <family val="2"/>
      </rPr>
      <t xml:space="preserve"> 5ha with home &amp; cellar.</t>
    </r>
  </si>
  <si>
    <t>Aspects E (over Lake Dunstan) &amp; NW (Mt.Pisa)</t>
  </si>
  <si>
    <t>descending from ridgeline. Planted to Pinot</t>
  </si>
  <si>
    <t>in 2000, from 270m-330m altitude. Terroirs:</t>
  </si>
  <si>
    <t xml:space="preserve">Stella: Garnet red, orange &amp; yellow clays </t>
  </si>
  <si>
    <t>(especially upper slopes,) loam &amp; silt soils</t>
  </si>
  <si>
    <t xml:space="preserve">Madeline: Seams of reflective quartz &amp; gray, </t>
  </si>
  <si>
    <t>blue, dark green schists. Formerly Burn Cottage</t>
  </si>
  <si>
    <r>
      <rPr>
        <b/>
        <sz val="8"/>
        <color rgb="FF222222"/>
        <rFont val="Noto Sans"/>
        <family val="2"/>
      </rPr>
      <t>CLOS MIKI</t>
    </r>
    <r>
      <rPr>
        <sz val="8"/>
        <color rgb="FF222222"/>
        <rFont val="Noto Sans"/>
        <family val="2"/>
      </rPr>
      <t>, Bannockburn: isolated 2ha NW-</t>
    </r>
  </si>
  <si>
    <t>facing slope 330m-350m altitude. 7.5K vines/ha</t>
  </si>
  <si>
    <t>Fertile clays over plates of schist. Planted 2000s,</t>
  </si>
  <si>
    <t>leased 2022, 20 km South of Mt Pisa.</t>
  </si>
  <si>
    <t>2025 new winery finished at Mt.Pisa</t>
  </si>
  <si>
    <t>2025 1st release, vintage 2021</t>
  </si>
  <si>
    <t>2025 1st tornado crosses Mt.Pisa site</t>
  </si>
  <si>
    <t>2022-2023 0.5ha Clos Miki chard planted</t>
  </si>
  <si>
    <t>2022 Clos Miki leased</t>
  </si>
  <si>
    <t>2021 Kahiwi founded; microvinfication year</t>
  </si>
  <si>
    <t>2002 Clos Miki 1st planted</t>
  </si>
  <si>
    <t>2000 Mt.Pisa vineyard 1st planted</t>
  </si>
  <si>
    <t>www.Kahiwi.com</t>
  </si>
  <si>
    <t>GROWER CODE: KAHIWI</t>
  </si>
  <si>
    <t>KIND WORDS ON FELTON ROAD:</t>
  </si>
  <si>
    <r>
      <rPr>
        <b/>
        <sz val="7"/>
        <color rgb="FF808080"/>
        <rFont val="Noto Sans"/>
        <family val="2"/>
      </rPr>
      <t>JamesSuckling.com 2015</t>
    </r>
    <r>
      <rPr>
        <sz val="7"/>
        <color rgb="FF808080"/>
        <rFont val="Noto Sans"/>
        <family val="2"/>
      </rPr>
      <t xml:space="preserve"> 'If Central Otago was the Cote de Nuits, then Bannockburn would be Vosne-Romanée, and Felton Road</t>
    </r>
  </si>
  <si>
    <t>would be the top gun, the DRC.'</t>
  </si>
  <si>
    <r>
      <rPr>
        <b/>
        <sz val="7"/>
        <color rgb="FF808080"/>
        <rFont val="Noto Sans"/>
        <family val="2"/>
      </rPr>
      <t>JamesSuckling.com 2015</t>
    </r>
    <r>
      <rPr>
        <sz val="7"/>
        <color rgb="FF808080"/>
        <rFont val="Noto Sans"/>
        <family val="2"/>
      </rPr>
      <t xml:space="preserve"> 'Greening is a man whose mind circumnavigates the world of thought at satellite-like height'</t>
    </r>
  </si>
  <si>
    <r>
      <rPr>
        <b/>
        <sz val="7"/>
        <color theme="1" tint="0.499984740745262"/>
        <rFont val="Noto Sans"/>
        <family val="2"/>
      </rPr>
      <t>Jamie Goode, 2013</t>
    </r>
    <r>
      <rPr>
        <sz val="7"/>
        <color theme="1" tint="0.499984740745262"/>
        <rFont val="Noto Sans"/>
        <family val="2"/>
      </rPr>
      <t xml:space="preserve"> 'Felton Road is one of the legendary names in New Zealand wine.'</t>
    </r>
  </si>
  <si>
    <r>
      <rPr>
        <b/>
        <sz val="7"/>
        <color theme="1" tint="0.499984740745262"/>
        <rFont val="Noto Sans"/>
        <family val="2"/>
      </rPr>
      <t>Jamie Goode, 2013</t>
    </r>
    <r>
      <rPr>
        <sz val="7"/>
        <color theme="1" tint="0.499984740745262"/>
        <rFont val="Noto Sans"/>
        <family val="2"/>
      </rPr>
      <t xml:space="preserve"> 'highly regarded Pinot Noirs'</t>
    </r>
  </si>
  <si>
    <r>
      <rPr>
        <b/>
        <sz val="7"/>
        <color theme="1" tint="0.499984740745262"/>
        <rFont val="Noto Sans"/>
        <family val="2"/>
      </rPr>
      <t>A.Meadows, 2016</t>
    </r>
    <r>
      <rPr>
        <sz val="7"/>
        <color theme="1" tint="0.499984740745262"/>
        <rFont val="Noto Sans"/>
        <family val="2"/>
      </rPr>
      <t xml:space="preserve"> 'probably New Zealand’s most well-known pinot noir producer'</t>
    </r>
  </si>
  <si>
    <r>
      <rPr>
        <b/>
        <sz val="7"/>
        <color theme="1" tint="0.499984740745262"/>
        <rFont val="Noto Sans"/>
        <family val="2"/>
      </rPr>
      <t>N.Martin, 2009</t>
    </r>
    <r>
      <rPr>
        <sz val="7"/>
        <color theme="1" tint="0.499984740745262"/>
        <rFont val="Noto Sans"/>
        <family val="2"/>
      </rPr>
      <t xml:space="preserve"> 'a very Burgundian style of Pinot Noir that prioritizes elegance and finesse over power and concentration'</t>
    </r>
  </si>
  <si>
    <r>
      <rPr>
        <b/>
        <sz val="7"/>
        <color theme="1" tint="0.499984740745262"/>
        <rFont val="Noto Sans"/>
        <family val="2"/>
      </rPr>
      <t>N.Martin, 2008</t>
    </r>
    <r>
      <rPr>
        <sz val="7"/>
        <color theme="1" tint="0.499984740745262"/>
        <rFont val="Noto Sans"/>
        <family val="2"/>
      </rPr>
      <t xml:space="preserve"> 'one of New Zealand’s best producers'</t>
    </r>
  </si>
  <si>
    <r>
      <rPr>
        <b/>
        <sz val="7"/>
        <color theme="1" tint="0.499984740745262"/>
        <rFont val="Noto Sans"/>
        <family val="2"/>
      </rPr>
      <t>Parker, TWA #122</t>
    </r>
    <r>
      <rPr>
        <sz val="7"/>
        <color theme="1" tint="0.499984740745262"/>
        <rFont val="Noto Sans"/>
        <family val="2"/>
      </rPr>
      <t xml:space="preserve"> 'Felton Rd's Pinots Noirs...compete with the finest wines being made in California, Oregon, &amp; Burgundy's Cote D'Or.'</t>
    </r>
  </si>
  <si>
    <t xml:space="preserve">Parker, Wine Buyer's Guide 'growers/producers who have received 5 ratings are those who make the world’s finest wines, and they selected for </t>
  </si>
  <si>
    <t>this rating for two reasons: first, because they make the greatest wine of their particular Viticultural region,  and second, because they are</t>
  </si>
  <si>
    <t>remarkably consistent and reliable even in mediocre and poor vintages.'</t>
  </si>
  <si>
    <r>
      <rPr>
        <b/>
        <sz val="7"/>
        <color theme="1" tint="0.499984740745262"/>
        <rFont val="Noto Sans"/>
        <family val="2"/>
      </rPr>
      <t>Nigel Greening, 2018</t>
    </r>
    <r>
      <rPr>
        <sz val="7"/>
        <color theme="1" tint="0.499984740745262"/>
        <rFont val="Noto Sans"/>
        <family val="2"/>
      </rPr>
      <t xml:space="preserve"> 'There's a savoury edge that we are starting to nail, as opposed to just the sweet fruit.'</t>
    </r>
  </si>
  <si>
    <r>
      <rPr>
        <b/>
        <sz val="7"/>
        <color theme="1" tint="0.499984740745262"/>
        <rFont val="Noto Sans"/>
        <family val="2"/>
      </rPr>
      <t>Nigel Greening, 2013</t>
    </r>
    <r>
      <rPr>
        <sz val="7"/>
        <color theme="1" tint="0.499984740745262"/>
        <rFont val="Noto Sans"/>
        <family val="2"/>
      </rPr>
      <t xml:space="preserve"> 'Chardonnay might be New Zealand’s greatest strength. It’s at least as strong a story as Pinot Noir.’</t>
    </r>
  </si>
  <si>
    <t>for pinot, with 25-30% whole cluster</t>
  </si>
  <si>
    <t>VIN GRIS - ROSÉ:</t>
  </si>
  <si>
    <t>all ambient yeast; 10-33% new oak</t>
  </si>
  <si>
    <t>22FELTON10</t>
  </si>
  <si>
    <t>pinot &amp; chardonnay are unfined, unfiltered</t>
  </si>
  <si>
    <t>Block &amp; single v/y wines are &gt;15yr vines</t>
  </si>
  <si>
    <t>24FELTON13</t>
  </si>
  <si>
    <t>23FELTON10</t>
  </si>
  <si>
    <t>Ⓑ Corp sustainable certified, 2024</t>
  </si>
  <si>
    <t>22FELTON11</t>
  </si>
  <si>
    <t>THE VINEYARDS &amp; BLOCKS:</t>
  </si>
  <si>
    <t>OFF-DRY RIESLING:</t>
  </si>
  <si>
    <r>
      <rPr>
        <b/>
        <sz val="7"/>
        <color theme="1" tint="0.499984740745262"/>
        <rFont val="Noto Sans"/>
        <family val="2"/>
      </rPr>
      <t>Bannockburn</t>
    </r>
    <r>
      <rPr>
        <sz val="7"/>
        <color theme="1" tint="0.499984740745262"/>
        <rFont val="Noto Sans"/>
        <family val="2"/>
      </rPr>
      <t xml:space="preserve"> wines are 'village' blends of 4 v/y:</t>
    </r>
  </si>
  <si>
    <t>24FELTON12</t>
  </si>
  <si>
    <r>
      <rPr>
        <b/>
        <sz val="7"/>
        <color theme="1" tint="0.499984740745262"/>
        <rFont val="Noto Sans"/>
        <family val="2"/>
      </rPr>
      <t>The Elms</t>
    </r>
    <r>
      <rPr>
        <sz val="7"/>
        <color theme="1" tint="0.499984740745262"/>
        <rFont val="Noto Sans"/>
        <family val="2"/>
      </rPr>
      <t>: 14.7ha, source of the Block wines</t>
    </r>
  </si>
  <si>
    <t>23FELTON11</t>
  </si>
  <si>
    <t>1st planted 1992-94 and 2001, in 13 blocks</t>
  </si>
  <si>
    <t>22FELTON12</t>
  </si>
  <si>
    <t>~8.1ha pinot, 2.2ha riesling, 4.1ha chard</t>
  </si>
  <si>
    <t>13FELTON07</t>
  </si>
  <si>
    <r>
      <t>Calvert:</t>
    </r>
    <r>
      <rPr>
        <sz val="7"/>
        <color theme="1" tint="0.499984740745262"/>
        <rFont val="Noto Sans"/>
        <family val="2"/>
      </rPr>
      <t xml:space="preserve"> 1st planted 1999 &amp; 2001. 10.2ha total</t>
    </r>
  </si>
  <si>
    <t>CHARDONNAY 'VILLAGE':</t>
  </si>
  <si>
    <t>The 4.6ha Aurum, Willows &amp; Springs pinot blocks</t>
  </si>
  <si>
    <t>24FELTON01</t>
  </si>
  <si>
    <t>were bought in 2013 by Felton Rd.</t>
  </si>
  <si>
    <t>Typically spicy, textural, silky, 'NW' pinot style</t>
  </si>
  <si>
    <t>20FELTON01</t>
  </si>
  <si>
    <r>
      <t>Cornish Point:</t>
    </r>
    <r>
      <rPr>
        <sz val="7"/>
        <color theme="1" tint="0.499984740745262"/>
        <rFont val="Noto Sans"/>
        <family val="2"/>
      </rPr>
      <t xml:space="preserve"> 1st planted 2000. 7.6ha vines in</t>
    </r>
  </si>
  <si>
    <t>CHARDONNAY CRUS:</t>
  </si>
  <si>
    <t>25 blocks, mostly pinot, with splash chardonnay.</t>
  </si>
  <si>
    <t>24FELTON06</t>
  </si>
  <si>
    <t>Typically intense fruit with tight tannins, Burg style</t>
  </si>
  <si>
    <t>23FELTON06</t>
  </si>
  <si>
    <r>
      <t>MacMuir:</t>
    </r>
    <r>
      <rPr>
        <sz val="7"/>
        <color theme="1" tint="0.499984740745262"/>
        <rFont val="Noto Sans"/>
        <family val="2"/>
      </rPr>
      <t xml:space="preserve"> farmed since 2001, bought in 2010, </t>
    </r>
  </si>
  <si>
    <t>24FELTON07</t>
  </si>
  <si>
    <t>1st planted from 2012 to 5.1ha pinot. Felton's own</t>
  </si>
  <si>
    <t>23FELTON07</t>
  </si>
  <si>
    <t>massale, plus new Dijon clones 828 and 943</t>
  </si>
  <si>
    <t>24FELTON06MG</t>
  </si>
  <si>
    <t>PINOT NOIR 'VILLAGE':</t>
  </si>
  <si>
    <t>2015 1st Block 6 chardonnay</t>
  </si>
  <si>
    <t>24FELTON02</t>
  </si>
  <si>
    <t>2013 1st vintage of lower alcohol &amp; oak era</t>
  </si>
  <si>
    <t>23FELTON02</t>
  </si>
  <si>
    <t>2012 1st vines planted at MacMuir vineyard</t>
  </si>
  <si>
    <t>22FELTON02</t>
  </si>
  <si>
    <t>2010 MacMuir purchased, &amp; 4.6ha of Calvert pinot</t>
  </si>
  <si>
    <t>PINOT NOIR CRUS:</t>
  </si>
  <si>
    <t>2010 Biodynamic Demeter certified</t>
  </si>
  <si>
    <t>24FELTON03</t>
  </si>
  <si>
    <t>2007 1st Cornish Point pinot under Felton Rd label</t>
  </si>
  <si>
    <t>23FELTON03</t>
  </si>
  <si>
    <t>2006 start of Demeter BD conversion</t>
  </si>
  <si>
    <t>22FELTON03</t>
  </si>
  <si>
    <t>2006 1st Calvert pinot</t>
  </si>
  <si>
    <t>24FELTON08</t>
  </si>
  <si>
    <t>2005s ALL wines now under screwcap</t>
  </si>
  <si>
    <t>23FELTON08</t>
  </si>
  <si>
    <t>2003 - 2006 Cornish Point had non-Felton label</t>
  </si>
  <si>
    <t>22FELTON08</t>
  </si>
  <si>
    <t>2001 - 2004 cork versus screwcap trials</t>
  </si>
  <si>
    <t>21FELTON05</t>
  </si>
  <si>
    <t>2001 1st year farming in organics &amp; biodynamics</t>
  </si>
  <si>
    <t>24FELTON04</t>
  </si>
  <si>
    <t>2001 1st Block 2 chardonnay</t>
  </si>
  <si>
    <t>23FELTON04</t>
  </si>
  <si>
    <t>2001 Felton plants 4.6ha of pinot at Calvert</t>
  </si>
  <si>
    <t>22FELTON04</t>
  </si>
  <si>
    <t>2001 lease and farming of Calvert starts</t>
  </si>
  <si>
    <t>23FELTON05</t>
  </si>
  <si>
    <t>2001 Elms Blocks 10-13 planted</t>
  </si>
  <si>
    <t>23FELTON09</t>
  </si>
  <si>
    <t>2000 1st vines planted at Cornish Point</t>
  </si>
  <si>
    <t>PINOT NOIR MAGNUMS: BLOCK &amp; VINEYARD MIXED 3-PACKS:</t>
  </si>
  <si>
    <t>2000 Nigel buys Felton Road</t>
  </si>
  <si>
    <r>
      <rPr>
        <sz val="8"/>
        <color theme="1" tint="0.14999847407452621"/>
        <rFont val="Noto Sans"/>
        <family val="2"/>
      </rPr>
      <t>Block &amp; vineyard pinots</t>
    </r>
    <r>
      <rPr>
        <b/>
        <sz val="8"/>
        <color theme="1" tint="0.14999847407452621"/>
        <rFont val="Noto Sans"/>
        <family val="2"/>
      </rPr>
      <t xml:space="preserve"> MAGS PER 3-PACK</t>
    </r>
  </si>
  <si>
    <t>1999 1st vines planted at Calvert</t>
  </si>
  <si>
    <t>1999 1st Block 1 riesling</t>
  </si>
  <si>
    <t>1998 Nigel Greening purchases Cornish Point</t>
  </si>
  <si>
    <t>1997 1st releases, all varieties; Blair Walter arrives</t>
  </si>
  <si>
    <t>1995 1st harvest, and trial wines</t>
  </si>
  <si>
    <t>1992 - 4 Elms Blocks 1-9 planted</t>
  </si>
  <si>
    <t>5* NZ Pinot Noir Producer, Jukes &amp; Stelzer</t>
  </si>
  <si>
    <t>2019 Block 5 2017 in Suckling's Top 100 WOTY</t>
  </si>
  <si>
    <t>2018 Jane Anson, Top 10 WOTY - Block 3 2015</t>
  </si>
  <si>
    <t>2018 Cornish&amp;Block 3 in Suckling's NZ Top 100</t>
  </si>
  <si>
    <t>2018 Wine Spectator Top 100 (#12)</t>
  </si>
  <si>
    <t>2016 Block 3 2015 in Suckling's Top 100 WOTY</t>
  </si>
  <si>
    <t>2015 1st entry Wine Spectator Top 100</t>
  </si>
  <si>
    <t>2014 Block 5 2010 in Suckling's Top 100 WOTY</t>
  </si>
  <si>
    <t>2014 S.Pigott's Top 20 medium rieslings</t>
  </si>
  <si>
    <t>2008 5* producer in 1st Jukes Stelzer classification</t>
  </si>
  <si>
    <t>2006 1st Wine &amp; Spirits Top 100 Winery of The Year</t>
  </si>
  <si>
    <t>FeltonRoad.co.nz</t>
  </si>
  <si>
    <t>COWA.org.nz</t>
  </si>
  <si>
    <t>GROWER CODE: FELTON</t>
  </si>
  <si>
    <t>Australia, Victoria</t>
  </si>
  <si>
    <t xml:space="preserve">GAPSTED WINES </t>
  </si>
  <si>
    <t xml:space="preserve">King Valley &amp; Alpine Valleys, Victoria </t>
  </si>
  <si>
    <t>16GAPSTED02TB</t>
  </si>
  <si>
    <t>part domaine, part bought in fruit</t>
  </si>
  <si>
    <t>SHIRAZ:</t>
  </si>
  <si>
    <t>John Cavedon - owner/viticulturalist</t>
  </si>
  <si>
    <t>15GAPSTED01TB</t>
  </si>
  <si>
    <t>Shayne Cunningham – winemaker</t>
  </si>
  <si>
    <t>12GAPS01TB</t>
  </si>
  <si>
    <t>Michael Cope Williams - winemaker</t>
  </si>
  <si>
    <t xml:space="preserve">700-1250mm rainfall a year </t>
  </si>
  <si>
    <t>estate planted 1978</t>
  </si>
  <si>
    <r>
      <t>Gapsted founded 1996; 1</t>
    </r>
    <r>
      <rPr>
        <vertAlign val="superscript"/>
        <sz val="8"/>
        <color theme="1" tint="0.14999847407452621"/>
        <rFont val="Noto Sans"/>
        <family val="2"/>
      </rPr>
      <t>st</t>
    </r>
    <r>
      <rPr>
        <sz val="8"/>
        <color theme="1" tint="0.14999847407452621"/>
        <rFont val="Noto Sans"/>
        <family val="2"/>
      </rPr>
      <t xml:space="preserve"> release 1999</t>
    </r>
  </si>
  <si>
    <t xml:space="preserve">GapstedWines.com.au </t>
  </si>
  <si>
    <t>GROWER CODE: GAPSTED</t>
  </si>
  <si>
    <t>Australia, Barossa</t>
  </si>
  <si>
    <t>ALKINA ON ALKINA:</t>
  </si>
  <si>
    <t>'Alkina is a new story on an old place'</t>
  </si>
  <si>
    <r>
      <rPr>
        <b/>
        <sz val="7"/>
        <color theme="1" tint="0.499984740745262"/>
        <rFont val="Noto Sans"/>
        <family val="2"/>
      </rPr>
      <t>Alkina</t>
    </r>
    <r>
      <rPr>
        <sz val="7"/>
        <color theme="1" tint="0.499984740745262"/>
        <rFont val="Noto Sans"/>
        <family val="2"/>
      </rPr>
      <t xml:space="preserve"> - a girl's name meaning ‘Moon’ or ‘Moonlight’. </t>
    </r>
  </si>
  <si>
    <r>
      <rPr>
        <b/>
        <sz val="7"/>
        <color theme="1" tint="0.499984740745262"/>
        <rFont val="Noto Sans"/>
        <family val="2"/>
      </rPr>
      <t>Alkina -</t>
    </r>
    <r>
      <rPr>
        <sz val="7"/>
        <color theme="1" tint="0.499984740745262"/>
        <rFont val="Noto Sans"/>
        <family val="2"/>
      </rPr>
      <t xml:space="preserve"> 'Searching for the </t>
    </r>
    <r>
      <rPr>
        <i/>
        <sz val="7"/>
        <color theme="1" tint="0.499984740745262"/>
        <rFont val="Noto Sans"/>
        <family val="2"/>
      </rPr>
      <t>punta de luz</t>
    </r>
    <r>
      <rPr>
        <sz val="7"/>
        <color theme="1" tint="0.499984740745262"/>
        <rFont val="Noto Sans"/>
        <family val="2"/>
      </rPr>
      <t xml:space="preserve"> - the point of light'</t>
    </r>
  </si>
  <si>
    <r>
      <rPr>
        <b/>
        <sz val="7"/>
        <color theme="1" tint="0.499984740745262"/>
        <rFont val="Noto Sans"/>
        <family val="2"/>
      </rPr>
      <t xml:space="preserve">Pedro Parra on Alkina </t>
    </r>
    <r>
      <rPr>
        <sz val="7"/>
        <color theme="1" tint="0.499984740745262"/>
        <rFont val="Noto Sans"/>
        <family val="2"/>
      </rPr>
      <t>- 'A burgundian project in the Barossa'</t>
    </r>
  </si>
  <si>
    <r>
      <rPr>
        <b/>
        <sz val="7"/>
        <color theme="1" tint="0.499984740745262"/>
        <rFont val="Noto Sans"/>
        <family val="2"/>
      </rPr>
      <t>Alkina '</t>
    </r>
    <r>
      <rPr>
        <sz val="7"/>
        <color theme="1" tint="0.499984740745262"/>
        <rFont val="Noto Sans"/>
        <family val="2"/>
      </rPr>
      <t>a new story on an old place. It’s a journey through ancient stones and soils, organic and biodynamic viticulture, small scale winemaking</t>
    </r>
  </si>
  <si>
    <t>and the creation of unique micro-terroir wines, all grown and made on our estate in the Western Barossa ranges.'</t>
  </si>
  <si>
    <r>
      <rPr>
        <b/>
        <sz val="7"/>
        <color theme="1" tint="0.499984740745262"/>
        <rFont val="Noto Sans"/>
        <family val="2"/>
      </rPr>
      <t>Alkina</t>
    </r>
    <r>
      <rPr>
        <sz val="7"/>
        <color theme="1" tint="0.499984740745262"/>
        <rFont val="Noto Sans"/>
        <family val="2"/>
      </rPr>
      <t xml:space="preserve"> 'Mother nature's elements worked together in harmony to create the unique terroir that produced this wine of distinction. The creekline</t>
    </r>
  </si>
  <si>
    <t>that carves its way through the property, undulating hills, rocks nestled together and deep layers of soil are intrinscially Alkina.'</t>
  </si>
  <si>
    <r>
      <rPr>
        <b/>
        <sz val="7"/>
        <color theme="1" tint="0.499984740745262"/>
        <rFont val="Noto Sans"/>
        <family val="2"/>
      </rPr>
      <t>Alkina</t>
    </r>
    <r>
      <rPr>
        <sz val="7"/>
        <color theme="1" tint="0.499984740745262"/>
        <rFont val="Noto Sans"/>
        <family val="2"/>
      </rPr>
      <t xml:space="preserve"> 'The ‘Kin by Alkina’ wines celebrate our community of makers, thinkers and artists. The range allows us to explore different parts of the vineyard</t>
    </r>
  </si>
  <si>
    <t>each year and then trial ideas and blends. It also gives us the opportunity to expand our winemaking knowledge, particularly with whole bunch</t>
  </si>
  <si>
    <t>levels and extended skin contact.'</t>
  </si>
  <si>
    <r>
      <rPr>
        <b/>
        <sz val="7"/>
        <color theme="1" tint="0.499984740745262"/>
        <rFont val="Noto Sans"/>
        <family val="2"/>
      </rPr>
      <t>Alkina</t>
    </r>
    <r>
      <rPr>
        <sz val="7"/>
        <color theme="1" tint="0.499984740745262"/>
        <rFont val="Noto Sans"/>
        <family val="2"/>
      </rPr>
      <t xml:space="preserve"> '...making good wine and putting it in a smart bottle isn’t enough for us. It might not be enough for a lot of drinkers anymore either. </t>
    </r>
  </si>
  <si>
    <t>What a glass of wine tastes like is still crucial…but increasingly what that glass of wine stands for is catching up.'</t>
  </si>
  <si>
    <t>KIND WORDS ON ALKINA etc.:</t>
  </si>
  <si>
    <r>
      <t>Ned Goodwin MW, Mar 2024</t>
    </r>
    <r>
      <rPr>
        <sz val="7"/>
        <color theme="1" tint="0.499984740745262"/>
        <rFont val="Noto Sans"/>
        <family val="2"/>
      </rPr>
      <t xml:space="preserve"> '(a) superlative address'</t>
    </r>
  </si>
  <si>
    <r>
      <t xml:space="preserve">Erin Larkin, TWA 2022 </t>
    </r>
    <r>
      <rPr>
        <sz val="7"/>
        <color theme="1" tint="0.499984740745262"/>
        <rFont val="Noto Sans"/>
        <family val="2"/>
      </rPr>
      <t>'an impressive project in the Barossa, and I heartily recommend that you seek them out, if dirt &amp; details are your desire. They are mine.'</t>
    </r>
  </si>
  <si>
    <r>
      <rPr>
        <b/>
        <sz val="7"/>
        <color theme="1" tint="0.499984740745262"/>
        <rFont val="Noto Sans"/>
        <family val="2"/>
      </rPr>
      <t xml:space="preserve">Angus Hughson, Vinous 2023 </t>
    </r>
    <r>
      <rPr>
        <sz val="7"/>
        <color theme="1" tint="0.499984740745262"/>
        <rFont val="Noto Sans"/>
        <family val="2"/>
      </rPr>
      <t>'Alkina is a relatively new player in Barossa with some very serious international credentials. Consulting winemaker</t>
    </r>
  </si>
  <si>
    <t>Alberto Antonini and Chilean terroir specialist Dr. Pedro Parra are also involved - a dream team with the highest aspirations. The wines are unique.</t>
  </si>
  <si>
    <t>It will be fascinating to chart Alkina’s journey over the next decade and beyond.'</t>
  </si>
  <si>
    <r>
      <rPr>
        <b/>
        <sz val="7"/>
        <color theme="1" tint="0.499984740745262"/>
        <rFont val="Noto Sans"/>
        <family val="2"/>
      </rPr>
      <t>Ned Goodwin MW, Mar 2024</t>
    </r>
    <r>
      <rPr>
        <sz val="7"/>
        <color theme="1" tint="0.499984740745262"/>
        <rFont val="Noto Sans"/>
        <family val="2"/>
      </rPr>
      <t xml:space="preserve"> 'Among the world’s finest grenache, this wine (P3) and its sibling, the Polygon No. 5, are worthy of a place in the cellars</t>
    </r>
  </si>
  <si>
    <t>of both the discerning collector and swashbuckling drinker.'</t>
  </si>
  <si>
    <r>
      <rPr>
        <b/>
        <sz val="7"/>
        <color theme="1" tint="0.499984740745262"/>
        <rFont val="Noto Sans"/>
        <family val="2"/>
      </rPr>
      <t>Ned Goodwin MW, Mar 2024</t>
    </r>
    <r>
      <rPr>
        <sz val="7"/>
        <color theme="1" tint="0.499984740745262"/>
        <rFont val="Noto Sans"/>
        <family val="2"/>
      </rPr>
      <t xml:space="preserve"> 'Grenache is Australia’s call to arms, its cri de coeur. ...Barossa has some gems, too. The finest is arguably the</t>
    </r>
  </si>
  <si>
    <t>Alkina Grenache Polygon No. 3'</t>
  </si>
  <si>
    <r>
      <t>Ned Goodwin MW, Oct 2023 '</t>
    </r>
    <r>
      <rPr>
        <sz val="7"/>
        <color theme="1" tint="0.499984740745262"/>
        <rFont val="Noto Sans"/>
        <family val="2"/>
      </rPr>
      <t>Grenache is the most exciting thing that has happened to Australian wine culture in a lifetime, at least mine. Alkina’s</t>
    </r>
  </si>
  <si>
    <t>wines are firmly established amid the firmament of top Australian producers of grenache, of which I personally count fewer than a dozen.'</t>
  </si>
  <si>
    <r>
      <rPr>
        <b/>
        <sz val="7"/>
        <color theme="1" tint="0.499984740745262"/>
        <rFont val="Noto Sans"/>
        <family val="2"/>
      </rPr>
      <t>Erin Larkin, TWA 2023</t>
    </r>
    <r>
      <rPr>
        <sz val="7"/>
        <color theme="1" tint="0.499984740745262"/>
        <rFont val="Noto Sans"/>
        <family val="2"/>
      </rPr>
      <t xml:space="preserve"> 'Ex Libris wines will not be sold or released. They are an individual sequestering...per Polygon for future recording and educational purposes.'</t>
    </r>
  </si>
  <si>
    <r>
      <rPr>
        <b/>
        <sz val="7"/>
        <color theme="1" tint="0.499984740745262"/>
        <rFont val="Noto Sans"/>
        <family val="2"/>
      </rPr>
      <t>Erin Larkin, TWA 2023</t>
    </r>
    <r>
      <rPr>
        <sz val="7"/>
        <color theme="1" tint="0.499984740745262"/>
        <rFont val="Noto Sans"/>
        <family val="2"/>
      </rPr>
      <t xml:space="preserve"> 'Not a "classic Barossa Shiraz" is the Alkina take, and the distinctive house style is a pleasure to witness, even in the "entry-level"'</t>
    </r>
  </si>
  <si>
    <r>
      <rPr>
        <b/>
        <sz val="7"/>
        <color theme="1" tint="0.499984740745262"/>
        <rFont val="Noto Sans"/>
        <family val="2"/>
      </rPr>
      <t>Erin Larkin, TWA 2023</t>
    </r>
    <r>
      <rPr>
        <sz val="7"/>
        <color theme="1" tint="0.499984740745262"/>
        <rFont val="Noto Sans"/>
        <family val="2"/>
      </rPr>
      <t xml:space="preserve"> (on Polygon grenache) 'Quite lean and mineral, leaning on a structure of firm but fine tannins, this is a "thinking" Grenache.</t>
    </r>
  </si>
  <si>
    <t>Intellectual. We don't have many blueprints for earlier-picked, unbaked Grenache in the Barossa, so it's difficult to pin a flag to any existing template.</t>
  </si>
  <si>
    <t>This wine is stylistically singular in the region.'</t>
  </si>
  <si>
    <r>
      <rPr>
        <b/>
        <sz val="7"/>
        <color theme="1" tint="0.499984740745262"/>
        <rFont val="Noto Sans"/>
        <family val="2"/>
      </rPr>
      <t>Erin Larkin, TWA 2023</t>
    </r>
    <r>
      <rPr>
        <sz val="7"/>
        <color theme="1" tint="0.499984740745262"/>
        <rFont val="Noto Sans"/>
        <family val="2"/>
      </rPr>
      <t xml:space="preserve"> (on Polygon grenache) 'I am so in love with these beautiful fruit tannins. They're fine-boned and exciting, a little bit chewy,</t>
    </r>
  </si>
  <si>
    <t>certainly chalky and dusted throughout the wine. Ethereal. Excellent.'</t>
  </si>
  <si>
    <r>
      <rPr>
        <b/>
        <sz val="7"/>
        <color theme="1" tint="0.499984740745262"/>
        <rFont val="Noto Sans"/>
        <family val="2"/>
      </rPr>
      <t>Erin Larkin, TWA 2023</t>
    </r>
    <r>
      <rPr>
        <sz val="7"/>
        <color theme="1" tint="0.499984740745262"/>
        <rFont val="Noto Sans"/>
        <family val="2"/>
      </rPr>
      <t xml:space="preserve"> (on Old Quarter) 'confluence of varieties creates a soft cushion of flavor in the mouth. This is perhaps not as intellectually</t>
    </r>
  </si>
  <si>
    <t>driven as some of the Polygon wines, but it undoubtedly has more joy and satisfaction in the glass. There is mineral and fine tannin heaped upon</t>
  </si>
  <si>
    <t>purple fruit and licorice. The tannins are, as with all of the Alkina wines, a prominent feature and yet very finely milled. This is a totally gorgeous wine.'</t>
  </si>
  <si>
    <r>
      <rPr>
        <b/>
        <sz val="7"/>
        <color theme="1" tint="0.499984740745262"/>
        <rFont val="Noto Sans"/>
        <family val="2"/>
      </rPr>
      <t xml:space="preserve">Erin Larkin, TWA 2022 (on Old Quarter) </t>
    </r>
    <r>
      <rPr>
        <sz val="7"/>
        <color theme="1" tint="0.499984740745262"/>
        <rFont val="Noto Sans"/>
        <family val="2"/>
      </rPr>
      <t>'The endurance of pristine flavor in the mouth tells us about the quality of the fruit resource. Impressive</t>
    </r>
  </si>
  <si>
    <t>to the max. Wine for grownups—it's intellectual.</t>
  </si>
  <si>
    <r>
      <t>Max Allen, 2023</t>
    </r>
    <r>
      <rPr>
        <sz val="7"/>
        <color theme="1" tint="0.499984740745262"/>
        <rFont val="Noto Sans"/>
        <family val="2"/>
      </rPr>
      <t xml:space="preserve"> 'the team at young winery Alkina Estate has been digging deep (literally) to come up withsome extraordinary releases.'</t>
    </r>
  </si>
  <si>
    <r>
      <rPr>
        <b/>
        <sz val="7"/>
        <color theme="1" tint="0.499984740745262"/>
        <rFont val="Noto Sans"/>
        <family val="2"/>
      </rPr>
      <t xml:space="preserve">Mike Bennie, WineFront 2021 </t>
    </r>
    <r>
      <rPr>
        <sz val="7"/>
        <color theme="1" tint="0.499984740745262"/>
        <rFont val="Noto Sans"/>
        <family val="2"/>
      </rPr>
      <t>'There’s a lot going on at Alkina, notably some very good biodynamic farming, but also a lot of considered winemaking'</t>
    </r>
  </si>
  <si>
    <r>
      <rPr>
        <b/>
        <sz val="7"/>
        <color theme="1" tint="0.499984740745262"/>
        <rFont val="Noto Sans"/>
        <family val="2"/>
      </rPr>
      <t>Peter Richards MW, Decanter 2013</t>
    </r>
    <r>
      <rPr>
        <sz val="7"/>
        <color theme="1" tint="0.499984740745262"/>
        <rFont val="Noto Sans"/>
        <family val="2"/>
      </rPr>
      <t xml:space="preserve"> 'if you like wine (especially New World and Italian wine) and are interested in how it’s made</t>
    </r>
  </si>
  <si>
    <t>and what its future might hold, you need to know these men.' (Antonini &amp; Parra)</t>
  </si>
  <si>
    <r>
      <rPr>
        <b/>
        <sz val="7"/>
        <color theme="1" tint="0.499984740745262"/>
        <rFont val="Noto Sans"/>
        <family val="2"/>
      </rPr>
      <t xml:space="preserve">Pedro Parra, 2013 </t>
    </r>
    <r>
      <rPr>
        <sz val="7"/>
        <color theme="1" tint="0.499984740745262"/>
        <rFont val="Noto Sans"/>
        <family val="2"/>
      </rPr>
      <t>'BD gives to terroir whatever you can’t see in the soil pit. It’s about energy: the 4th dimension in wine in addition to climate, soil, man.'</t>
    </r>
  </si>
  <si>
    <r>
      <rPr>
        <b/>
        <sz val="7"/>
        <color theme="1" tint="0.499984740745262"/>
        <rFont val="Noto Sans"/>
        <family val="2"/>
      </rPr>
      <t>Parra, 2013</t>
    </r>
    <r>
      <rPr>
        <sz val="7"/>
        <color theme="1" tint="0.499984740745262"/>
        <rFont val="Noto Sans"/>
        <family val="2"/>
      </rPr>
      <t xml:space="preserve"> 'when I met Alberto (in 2007) everything changed. Alberto is great with people and ideas. We’re a good team because he's</t>
    </r>
  </si>
  <si>
    <t xml:space="preserve">an expert in assessing projects and people, knowing where to focus our energies. He's taught me a lot about wine tasting, too. </t>
  </si>
  <si>
    <t>And Alberto’s also changed – he’s a purist now, like me, working more naturally.’</t>
  </si>
  <si>
    <t>'KIN' BY ALKINA</t>
  </si>
  <si>
    <t>DAMIAN HAMILTON LABEL SERIES &amp; SCREWCAP:</t>
  </si>
  <si>
    <t>Greenock; Western Barossa Ranges</t>
  </si>
  <si>
    <t>WHITE - SEMILLON:</t>
  </si>
  <si>
    <t>60ha estate, 43ha vines (see below)</t>
  </si>
  <si>
    <t>24ALKINA10</t>
  </si>
  <si>
    <t>Organic &amp; Biodynamic certified 2018 SX</t>
  </si>
  <si>
    <t>22ALKINA10</t>
  </si>
  <si>
    <r>
      <t>Ⓥ Vegan compatible</t>
    </r>
    <r>
      <rPr>
        <sz val="8"/>
        <color theme="1" tint="0.14999847407452621"/>
        <rFont val="Noto Sans"/>
        <family val="2"/>
      </rPr>
      <t>; minimal SO2</t>
    </r>
  </si>
  <si>
    <t>22ALKINA10MG</t>
  </si>
  <si>
    <t>largely whole cluster, especially grenaches</t>
  </si>
  <si>
    <t>ROSÉ / RAMATO:</t>
  </si>
  <si>
    <t>Nico Velo tulip cement fermenters, qvevri,</t>
  </si>
  <si>
    <t>22ALKINA11</t>
  </si>
  <si>
    <t>small concrete eggs, old small &amp; large casks</t>
  </si>
  <si>
    <t>RED VARIETALS:</t>
  </si>
  <si>
    <t>Kin varietals sealed under screwcap</t>
  </si>
  <si>
    <t>24ALKINA11</t>
  </si>
  <si>
    <t>23ALKINA08</t>
  </si>
  <si>
    <r>
      <t xml:space="preserve">'Red' / pink semillon:  </t>
    </r>
    <r>
      <rPr>
        <sz val="7"/>
        <color theme="1" tint="0.499984740745262"/>
        <rFont val="Noto Sans"/>
        <family val="2"/>
      </rPr>
      <t>semillon blanc &amp; mutated</t>
    </r>
  </si>
  <si>
    <t>22ALKINA08</t>
  </si>
  <si>
    <t xml:space="preserve">semillon gris, with random shiraz vines. </t>
  </si>
  <si>
    <t>24ALKINA12</t>
  </si>
  <si>
    <t>Short maceration, large cask ferment</t>
  </si>
  <si>
    <t>23ALKINA09</t>
  </si>
  <si>
    <r>
      <rPr>
        <b/>
        <sz val="7"/>
        <color theme="1" tint="0.499984740745262"/>
        <rFont val="Noto Sans"/>
        <family val="2"/>
      </rPr>
      <t>Kin Wild Earth (ex-Field white):</t>
    </r>
    <r>
      <rPr>
        <sz val="7"/>
        <color theme="1" tint="0.499984740745262"/>
        <rFont val="Noto Sans"/>
        <family val="2"/>
      </rPr>
      <t xml:space="preserve"> vv ~95% semillon,</t>
    </r>
  </si>
  <si>
    <t>22ALKINA09</t>
  </si>
  <si>
    <t>riesling, ugni, co-fermented &amp; raised in qvevri:</t>
  </si>
  <si>
    <t>RED VARIETALS EN MAGNUM:</t>
  </si>
  <si>
    <t>2022: 12% (11.7%), 1092 bottles</t>
  </si>
  <si>
    <t>23ALKINA08MG</t>
  </si>
  <si>
    <t>2021 12.8%, 270 bottles</t>
  </si>
  <si>
    <t>23ALKINA09MG</t>
  </si>
  <si>
    <t>2019: 13.5%, 600 bottles</t>
  </si>
  <si>
    <t>22ALKINA09MG</t>
  </si>
  <si>
    <t>THE LABEL ARTISTS:</t>
  </si>
  <si>
    <t>DAMIAN COULTHARD LABELS &amp; TESTED CORK:</t>
  </si>
  <si>
    <t>Damian Hamilton - Kin varietal designer</t>
  </si>
  <si>
    <t>ORANGE FIELD BLEND:</t>
  </si>
  <si>
    <t>Damian Coulthard - Kin cuvée name series artist</t>
  </si>
  <si>
    <t>24ALKINA07</t>
  </si>
  <si>
    <t>'KIN' SERIES TIMELINE:</t>
  </si>
  <si>
    <t>23ALKINA05</t>
  </si>
  <si>
    <t>2021 Field White blend becomes Wild Earth</t>
  </si>
  <si>
    <t>22ALKINA05</t>
  </si>
  <si>
    <t>2020 Field Red blend becomes Night Sky</t>
  </si>
  <si>
    <t>RED - VARIETAL SHIRAZ:</t>
  </si>
  <si>
    <t>2020 1st Birdsong shiraz</t>
  </si>
  <si>
    <t>24ALKINA08</t>
  </si>
  <si>
    <t>2019 1st Field White (now Wild Earth)</t>
  </si>
  <si>
    <t>23ALKINA07</t>
  </si>
  <si>
    <t>AlkinaWine.com</t>
  </si>
  <si>
    <t>22ALKINA07</t>
  </si>
  <si>
    <t>24ALKINA08MG</t>
  </si>
  <si>
    <t>NB ALSO SEE TOP ALKINA SERIES</t>
  </si>
  <si>
    <t>23ALKINA07MG</t>
  </si>
  <si>
    <t>RED - GSM BLEND:</t>
  </si>
  <si>
    <t>GROWER CODE: ALKINA</t>
  </si>
  <si>
    <t>24ALKINA09</t>
  </si>
  <si>
    <t>23ALKINA06</t>
  </si>
  <si>
    <t>22ALKINA06</t>
  </si>
  <si>
    <t>21ALKINA06</t>
  </si>
  <si>
    <t>24ALKINA09MG</t>
  </si>
  <si>
    <t>23ALKINA06MG</t>
  </si>
  <si>
    <t>ALKINA</t>
  </si>
  <si>
    <t>SHIRAZ - DAMIAN COULTHARD LABEL:</t>
  </si>
  <si>
    <t>24ALKINA06</t>
  </si>
  <si>
    <t>60ha estate, 43ha vines (as at 2024)</t>
  </si>
  <si>
    <t>23ALKINA02</t>
  </si>
  <si>
    <t>22ALKINA02</t>
  </si>
  <si>
    <t>24ALKINA06MG</t>
  </si>
  <si>
    <t>22ALKINA02MG</t>
  </si>
  <si>
    <t>UNGRAFTED GSM VV BLEND - 'CLASSIC LABEL':</t>
  </si>
  <si>
    <t>23ALKINA01</t>
  </si>
  <si>
    <t>Tested natural cork closures</t>
  </si>
  <si>
    <t>22ALKINA01</t>
  </si>
  <si>
    <t>THE BLOCKS:</t>
  </si>
  <si>
    <t>21ALKINA01</t>
  </si>
  <si>
    <t>6ha of 1950s ungrafted VV: the 'Old Quarter'</t>
  </si>
  <si>
    <t>22ALKINA01MG</t>
  </si>
  <si>
    <t>15.5ha mature vines bought in 2016 (Owen's)</t>
  </si>
  <si>
    <t>21ALKINA01MG</t>
  </si>
  <si>
    <t>17ha grenache &amp; shiraz planted 2016/17</t>
  </si>
  <si>
    <t>UNGRAFTED VV POLYGON REDS - 'CLASSIC LABEL':</t>
  </si>
  <si>
    <t>4ha grenache going in 2023/2024</t>
  </si>
  <si>
    <t>21ALKINA04</t>
  </si>
  <si>
    <t>8ha rock-free terroir going to sheep in 2025</t>
  </si>
  <si>
    <t>23ALKINA03</t>
  </si>
  <si>
    <t>Blocks break down into 'Polygons', when of interest</t>
  </si>
  <si>
    <t>22ALKINA03</t>
  </si>
  <si>
    <t>KEY PERSONNEL:</t>
  </si>
  <si>
    <t>21ALKINA02</t>
  </si>
  <si>
    <t>Pedro Parra - terroir consultant</t>
  </si>
  <si>
    <t>23ALKINA04</t>
  </si>
  <si>
    <t>Alberto Antonini - wine consultant</t>
  </si>
  <si>
    <t>22ALKINA04</t>
  </si>
  <si>
    <t>Marco Simmonit - pruning consultant</t>
  </si>
  <si>
    <t>21ALKINA03</t>
  </si>
  <si>
    <t>Amelia Nolan - GM &amp; winemaker</t>
  </si>
  <si>
    <t>UNGRAFTED VV POLYGON REDS EN MAGNUM:</t>
  </si>
  <si>
    <t>Dan Coward - cellar &amp; sales</t>
  </si>
  <si>
    <t>21ALKINA04MG</t>
  </si>
  <si>
    <t>Damian Hamilton - Kin varietal series designer</t>
  </si>
  <si>
    <t>23ALKINA03MG</t>
  </si>
  <si>
    <t>22ALKINA03MG</t>
  </si>
  <si>
    <t>THE POLYGONS &amp; WINES:</t>
  </si>
  <si>
    <t>21ALKINA02MG</t>
  </si>
  <si>
    <r>
      <rPr>
        <b/>
        <sz val="7"/>
        <color theme="1" tint="0.499984740745262"/>
        <rFont val="Noto Sans"/>
        <family val="2"/>
      </rPr>
      <t>Spice Garden/Striato:</t>
    </r>
    <r>
      <rPr>
        <sz val="7"/>
        <color theme="1" tint="0.499984740745262"/>
        <rFont val="Noto Sans"/>
        <family val="2"/>
      </rPr>
      <t xml:space="preserve"> shiraz on P10 (limestone)</t>
    </r>
  </si>
  <si>
    <t>23ALKINA04MG</t>
  </si>
  <si>
    <t>&amp; P11 (schist). 1st made 2020 - just 475 litres</t>
  </si>
  <si>
    <t>22ALKINA04MG</t>
  </si>
  <si>
    <r>
      <rPr>
        <b/>
        <sz val="7"/>
        <color theme="1" tint="0.499984740745262"/>
        <rFont val="Noto Sans"/>
        <family val="2"/>
      </rPr>
      <t>Old Quarter Red (GSM vv):</t>
    </r>
    <r>
      <rPr>
        <sz val="7"/>
        <color theme="1" tint="0.499984740745262"/>
        <rFont val="Noto Sans"/>
        <family val="2"/>
      </rPr>
      <t xml:space="preserve"> 50-60% Grenache P4</t>
    </r>
  </si>
  <si>
    <t>21ALKINA03MG</t>
  </si>
  <si>
    <t>on schist &amp; clay &amp; Grenache P2 on hard schist &amp;</t>
  </si>
  <si>
    <t>limestone loess; ~20% Mataro P6 &amp; Shiraz P7/P8</t>
  </si>
  <si>
    <t>VIDEOS ON ALKINA:</t>
  </si>
  <si>
    <r>
      <rPr>
        <b/>
        <sz val="7"/>
        <color theme="1" tint="0.499984740745262"/>
        <rFont val="Noto Sans"/>
        <family val="2"/>
      </rPr>
      <t>Polygon 1:</t>
    </r>
    <r>
      <rPr>
        <sz val="7"/>
        <color theme="1" tint="0.499984740745262"/>
        <rFont val="Noto Sans"/>
        <family val="2"/>
      </rPr>
      <t xml:space="preserve"> 0.303ha in 3 parcels of Old Quarter</t>
    </r>
  </si>
  <si>
    <t>https://vimeo.com/639756952</t>
  </si>
  <si>
    <t>Trailer (1'40'') </t>
  </si>
  <si>
    <t>ungrafted shiraz vv on heavily fractured mica-schist</t>
  </si>
  <si>
    <t>https://vimeo.com/639757574</t>
  </si>
  <si>
    <t>Director’s Cut (25') </t>
  </si>
  <si>
    <r>
      <rPr>
        <b/>
        <sz val="7"/>
        <color theme="1" tint="0.499984740745262"/>
        <rFont val="Noto Sans"/>
        <family val="2"/>
      </rPr>
      <t>Polygon 3:</t>
    </r>
    <r>
      <rPr>
        <sz val="7"/>
        <color theme="1" tint="0.499984740745262"/>
        <rFont val="Noto Sans"/>
        <family val="2"/>
      </rPr>
      <t xml:space="preserve"> 0.274ha, ~200 ungrafted grenache vv </t>
    </r>
  </si>
  <si>
    <t>https://vimeo.com/577549536</t>
  </si>
  <si>
    <t>Polygon 5</t>
  </si>
  <si>
    <t xml:space="preserve">on shallow red-brown earth over deep chalky </t>
  </si>
  <si>
    <t>https://vimeo.com/577468677</t>
  </si>
  <si>
    <t>Polygon 3</t>
  </si>
  <si>
    <t>limestone &amp; schist, some iron</t>
  </si>
  <si>
    <t>https://vimeo.com/577555551</t>
  </si>
  <si>
    <t>Polygon 1</t>
  </si>
  <si>
    <r>
      <rPr>
        <b/>
        <sz val="7"/>
        <color theme="1" tint="0.499984740745262"/>
        <rFont val="Noto Sans"/>
        <family val="2"/>
      </rPr>
      <t>Polygon 5:</t>
    </r>
    <r>
      <rPr>
        <sz val="7"/>
        <color theme="1" tint="0.499984740745262"/>
        <rFont val="Noto Sans"/>
        <family val="2"/>
      </rPr>
      <t xml:space="preserve"> 0.37ha ungrafted grenache vv in 2</t>
    </r>
  </si>
  <si>
    <t>https://vimeo.com/577559738</t>
  </si>
  <si>
    <t>Old Quarter</t>
  </si>
  <si>
    <t>similar parcels of deeper soils over fractured mica-</t>
  </si>
  <si>
    <t>schist, with iron-rich clay veins in the fractures</t>
  </si>
  <si>
    <r>
      <rPr>
        <b/>
        <sz val="7"/>
        <color theme="1" tint="0.499984740745262"/>
        <rFont val="Noto Sans"/>
        <family val="2"/>
      </rPr>
      <t>Polygon 22:</t>
    </r>
    <r>
      <rPr>
        <sz val="7"/>
        <color theme="1" tint="0.499984740745262"/>
        <rFont val="Noto Sans"/>
        <family val="2"/>
      </rPr>
      <t xml:space="preserve"> 0.36ha grenache jv, 2 similar parcels</t>
    </r>
  </si>
  <si>
    <t>ALBERTO ANTONINI ON OTHERS:</t>
  </si>
  <si>
    <t>on limestone &amp; schist. 1st micro-vinified 2022</t>
  </si>
  <si>
    <r>
      <rPr>
        <b/>
        <sz val="7"/>
        <color theme="1" tint="0.499984740745262"/>
        <rFont val="Noto Sans"/>
        <family val="2"/>
      </rPr>
      <t>Antonini, 2013</t>
    </r>
    <r>
      <rPr>
        <sz val="7"/>
        <color theme="1" tint="0.499984740745262"/>
        <rFont val="Noto Sans"/>
        <family val="2"/>
      </rPr>
      <t xml:space="preserve"> 'I've worked with a lot of soil experts but very few know about wine, and that's useless for me. </t>
    </r>
  </si>
  <si>
    <t>'1C' WINES PRODUCTION TO DATE:</t>
  </si>
  <si>
    <t xml:space="preserve"> Pedro is one of the few to connect terroir with wine – with him I talk tannins, flavours, acidity, not just rocks.'</t>
  </si>
  <si>
    <t>STRIATO / SPICE GARDEN SHIRAZ:</t>
  </si>
  <si>
    <r>
      <rPr>
        <b/>
        <sz val="7"/>
        <color theme="1" tint="0.499984740745262"/>
        <rFont val="Noto Sans"/>
        <family val="2"/>
      </rPr>
      <t xml:space="preserve">Antonini </t>
    </r>
    <r>
      <rPr>
        <sz val="7"/>
        <color theme="1" tint="0.499984740745262"/>
        <rFont val="Noto Sans"/>
        <family val="2"/>
      </rPr>
      <t>'The only problem with Pedro is that we are both music lovers and fanatic collectors of vinyl records –</t>
    </r>
  </si>
  <si>
    <t>2021 ('SG'): 13.9%, 1560 bottles</t>
  </si>
  <si>
    <t xml:space="preserve"> so sometimes when we get together we forget about wines and terroirs..!'</t>
  </si>
  <si>
    <t>2020 ('SG'): 13.2%, ~630 bottles - 1st yr</t>
  </si>
  <si>
    <r>
      <rPr>
        <b/>
        <sz val="7"/>
        <color theme="1" tint="0.499984740745262"/>
        <rFont val="Noto Sans"/>
        <family val="2"/>
      </rPr>
      <t>Antonini, 2014</t>
    </r>
    <r>
      <rPr>
        <sz val="7"/>
        <color theme="1" tint="0.499984740745262"/>
        <rFont val="Noto Sans"/>
        <family val="2"/>
      </rPr>
      <t xml:space="preserve"> 'I learned the most from Gianfranco Soldera at Montalcino’s Case Basse 25 years ago. He’s not a</t>
    </r>
  </si>
  <si>
    <t>OLD QUARTER GSM:</t>
  </si>
  <si>
    <t xml:space="preserve"> winemaker but he’s responsible for some of the best wines in the world. I’ve recently told him that after all these</t>
  </si>
  <si>
    <t>2022: 14%, 2927 bottles &amp; 39 MAGS</t>
  </si>
  <si>
    <t xml:space="preserve"> years I’ve gone back to things he was telling me back then.'</t>
  </si>
  <si>
    <t>2021: 14%, 1560 bottles &amp; zero MAGS</t>
  </si>
  <si>
    <t>2020: 13.8%, 1800 bottles &amp; 100 MAGS</t>
  </si>
  <si>
    <t>ON SITE:</t>
  </si>
  <si>
    <t>2019: 14.2%, 1800 bottles &amp; 150 MAGS</t>
  </si>
  <si>
    <r>
      <rPr>
        <b/>
        <sz val="7"/>
        <color theme="1" tint="0.499984740745262"/>
        <rFont val="Noto Sans"/>
        <family val="2"/>
      </rPr>
      <t>Antonini, 2014</t>
    </r>
    <r>
      <rPr>
        <sz val="7"/>
        <color theme="1" tint="0.499984740745262"/>
        <rFont val="Noto Sans"/>
        <family val="2"/>
      </rPr>
      <t xml:space="preserve"> 'What makes the difference is mostly the soil, so I rely upon understanding this, studying terroir to</t>
    </r>
  </si>
  <si>
    <t>POLYGON PRODUCTION TO DATE:</t>
  </si>
  <si>
    <t xml:space="preserve"> make sure I can focus upon the best part of the vineyards. Also I use whatever good tools are available to make</t>
  </si>
  <si>
    <t>POLYGON No.5 / P5:</t>
  </si>
  <si>
    <t xml:space="preserve"> a proper study, and do the best management in the vineyards...If you can identify the very best spots of the</t>
  </si>
  <si>
    <t>2022: 14%, 795 bottles &amp; 60 MAGS</t>
  </si>
  <si>
    <t xml:space="preserve"> vineyard and separate that fruit from the other sites, then you can really make some of the best wines.'</t>
  </si>
  <si>
    <t>2021: 14%, 591 bottles &amp; 54 MAGS (late release)</t>
  </si>
  <si>
    <t>2020: 13.7%, 695 bottles &amp; 90 MAGS</t>
  </si>
  <si>
    <t>ON WINEMAKING:</t>
  </si>
  <si>
    <t>2019: 14%, 595 bottles &amp; 60 MAGS</t>
  </si>
  <si>
    <r>
      <rPr>
        <b/>
        <sz val="7"/>
        <color theme="1" tint="0.499984740745262"/>
        <rFont val="Noto Sans"/>
        <family val="2"/>
      </rPr>
      <t xml:space="preserve">Antonini, 2013 </t>
    </r>
    <r>
      <rPr>
        <sz val="7"/>
        <color theme="1" tint="0.499984740745262"/>
        <rFont val="Noto Sans"/>
        <family val="2"/>
      </rPr>
      <t>‘The first step is to be aware that you need to learn, and then set about gaining that knowledge.'</t>
    </r>
  </si>
  <si>
    <t>2018: 14.2%, 568 bottles &amp; 120 MAGS</t>
  </si>
  <si>
    <r>
      <rPr>
        <b/>
        <sz val="7"/>
        <color theme="1" tint="0.499984740745262"/>
        <rFont val="Noto Sans"/>
        <family val="2"/>
      </rPr>
      <t>Antonini, 2014</t>
    </r>
    <r>
      <rPr>
        <sz val="7"/>
        <color theme="1" tint="0.499984740745262"/>
        <rFont val="Noto Sans"/>
        <family val="2"/>
      </rPr>
      <t xml:space="preserve"> 'I don’t believe in ‘winemaking’–you cannot add quality in the cellar.'</t>
    </r>
  </si>
  <si>
    <t>POLYGON No.3 / P3:</t>
  </si>
  <si>
    <r>
      <rPr>
        <b/>
        <sz val="7"/>
        <color theme="1" tint="0.499984740745262"/>
        <rFont val="Noto Sans"/>
        <family val="2"/>
      </rPr>
      <t>Antonini, 2017</t>
    </r>
    <r>
      <rPr>
        <sz val="7"/>
        <color theme="1" tint="0.499984740745262"/>
        <rFont val="Noto Sans"/>
        <family val="2"/>
      </rPr>
      <t xml:space="preserve"> 'If you want to get a lot you can’t do too much to distract the wine from its own life and avenue</t>
    </r>
  </si>
  <si>
    <t>2022: 14%, 806 bottles &amp; 60 MAGS</t>
  </si>
  <si>
    <t xml:space="preserve"> to expressing the essence of the place it’s from.'</t>
  </si>
  <si>
    <t>2021: 14%, 504 bottles &amp; 39 MAGS (late release)</t>
  </si>
  <si>
    <r>
      <rPr>
        <b/>
        <sz val="7"/>
        <color theme="1" tint="0.499984740745262"/>
        <rFont val="Noto Sans"/>
        <family val="2"/>
      </rPr>
      <t>Antonini, 2013</t>
    </r>
    <r>
      <rPr>
        <sz val="7"/>
        <color theme="1" tint="0.499984740745262"/>
        <rFont val="Noto Sans"/>
        <family val="2"/>
      </rPr>
      <t xml:space="preserve"> ‘Less is more, but in order to do less, you need to know more.’</t>
    </r>
  </si>
  <si>
    <t>2020: 13.3%, 680 bottles &amp; 90 MAGS</t>
  </si>
  <si>
    <r>
      <rPr>
        <b/>
        <sz val="7"/>
        <color theme="1" tint="0.499984740745262"/>
        <rFont val="Noto Sans"/>
        <family val="2"/>
      </rPr>
      <t>Antonini, 2015</t>
    </r>
    <r>
      <rPr>
        <sz val="7"/>
        <color theme="1" tint="0.499984740745262"/>
        <rFont val="Noto Sans"/>
        <family val="2"/>
      </rPr>
      <t xml:space="preserve"> 'I want to be invisible in my wines. If you recognise me not the place, I say what have I done wrong?'</t>
    </r>
  </si>
  <si>
    <t>2019: 13.6%, 490 bottles &amp; 50 MAGS</t>
  </si>
  <si>
    <t>2018: 13.8%, 438 bottles &amp; 90 MAGS</t>
  </si>
  <si>
    <t>ON WINE:</t>
  </si>
  <si>
    <t>POLYGON No.22 / P22:</t>
  </si>
  <si>
    <r>
      <rPr>
        <b/>
        <sz val="7"/>
        <color theme="1" tint="0.499984740745262"/>
        <rFont val="Noto Sans"/>
        <family val="2"/>
      </rPr>
      <t xml:space="preserve">Antonini, 2019 </t>
    </r>
    <r>
      <rPr>
        <sz val="7"/>
        <color theme="1" tint="0.499984740745262"/>
        <rFont val="Noto Sans"/>
        <family val="2"/>
      </rPr>
      <t>'Great wines are about special places and special people'</t>
    </r>
  </si>
  <si>
    <t>2022: 14%, 102 bottles (1st vintage)</t>
  </si>
  <si>
    <r>
      <rPr>
        <b/>
        <sz val="7"/>
        <color theme="1" tint="0.499984740745262"/>
        <rFont val="Noto Sans"/>
        <family val="2"/>
      </rPr>
      <t>Antonini</t>
    </r>
    <r>
      <rPr>
        <sz val="7"/>
        <color theme="1" tint="0.499984740745262"/>
        <rFont val="Noto Sans"/>
        <family val="2"/>
      </rPr>
      <t xml:space="preserve"> 'Premium wines always talk about their origin and never about the grape variety.'</t>
    </r>
  </si>
  <si>
    <t>POLYGON No.1 / P1:</t>
  </si>
  <si>
    <r>
      <rPr>
        <b/>
        <sz val="7"/>
        <color theme="1" tint="0.499984740745262"/>
        <rFont val="Noto Sans"/>
        <family val="2"/>
      </rPr>
      <t>Antonini, 2011</t>
    </r>
    <r>
      <rPr>
        <sz val="7"/>
        <color theme="1" tint="0.499984740745262"/>
        <rFont val="Noto Sans"/>
        <family val="2"/>
      </rPr>
      <t xml:space="preserve"> 'after a while, you get tired of drinking the grape variety. You want to drink the region, you want to</t>
    </r>
  </si>
  <si>
    <t>2022: 14%, 746 bottles &amp; 60 MAGS</t>
  </si>
  <si>
    <t xml:space="preserve"> drink the history, you want to drink something that teaches you something.'</t>
  </si>
  <si>
    <t>2021: 14%, 765 bottles &amp; 60 MAGS (late release)</t>
  </si>
  <si>
    <r>
      <rPr>
        <b/>
        <sz val="7"/>
        <color theme="1" tint="0.499984740745262"/>
        <rFont val="Noto Sans"/>
        <family val="2"/>
      </rPr>
      <t>Antonini, 2011</t>
    </r>
    <r>
      <rPr>
        <sz val="7"/>
        <color theme="1" tint="0.499984740745262"/>
        <rFont val="Noto Sans"/>
        <family val="2"/>
      </rPr>
      <t xml:space="preserve"> 'The world of wine is great because apart from the pleasure of drinking, it’s a great learning </t>
    </r>
  </si>
  <si>
    <t>2019: 13.5%, 542 bottles &amp; 50 MAGS</t>
  </si>
  <si>
    <t xml:space="preserve"> experience. If you follow the wine, the wine takes you to know the world, to know beautiful regions, different</t>
  </si>
  <si>
    <t>P3 &amp; P5 VESSELS TO DATE:</t>
  </si>
  <si>
    <t xml:space="preserve"> climates, different cultures, different people, different traditions. That’s what’s great about wine'</t>
  </si>
  <si>
    <r>
      <rPr>
        <b/>
        <sz val="7"/>
        <color theme="1" tint="0.499984740745262"/>
        <rFont val="Noto Sans"/>
        <family val="2"/>
      </rPr>
      <t>P3 2020 onwards</t>
    </r>
    <r>
      <rPr>
        <sz val="7"/>
        <color theme="1" tint="0.499984740745262"/>
        <rFont val="Noto Sans"/>
        <family val="2"/>
      </rPr>
      <t>: 700L cement egg</t>
    </r>
  </si>
  <si>
    <r>
      <rPr>
        <b/>
        <sz val="7"/>
        <color theme="1" tint="0.499984740745262"/>
        <rFont val="Noto Sans"/>
        <family val="2"/>
      </rPr>
      <t>Antonini, 2012</t>
    </r>
    <r>
      <rPr>
        <sz val="7"/>
        <color theme="1" tint="0.499984740745262"/>
        <rFont val="Noto Sans"/>
        <family val="2"/>
      </rPr>
      <t xml:space="preserve"> 'I like (it) when I feel that the wine I am drinking is teaching me something. I don’t like when it is </t>
    </r>
  </si>
  <si>
    <r>
      <rPr>
        <b/>
        <sz val="7"/>
        <color theme="1" tint="0.499984740745262"/>
        <rFont val="Noto Sans"/>
        <family val="2"/>
      </rPr>
      <t>P3 2018/19:</t>
    </r>
    <r>
      <rPr>
        <sz val="7"/>
        <color theme="1" tint="0.499984740745262"/>
        <rFont val="Noto Sans"/>
        <family val="2"/>
      </rPr>
      <t xml:space="preserve"> 420L resized 10yr neutral French oak</t>
    </r>
  </si>
  <si>
    <t xml:space="preserve"> just a nice drink.</t>
  </si>
  <si>
    <r>
      <rPr>
        <b/>
        <sz val="7"/>
        <color theme="1" tint="0.499984740745262"/>
        <rFont val="Noto Sans"/>
        <family val="2"/>
      </rPr>
      <t>P5 2020 onwards</t>
    </r>
    <r>
      <rPr>
        <sz val="7"/>
        <color theme="1" tint="0.499984740745262"/>
        <rFont val="Noto Sans"/>
        <family val="2"/>
      </rPr>
      <t>: 700L cement egg</t>
    </r>
  </si>
  <si>
    <r>
      <rPr>
        <b/>
        <sz val="7"/>
        <color theme="1" tint="0.499984740745262"/>
        <rFont val="Noto Sans"/>
        <family val="2"/>
      </rPr>
      <t>P5 2018/19:</t>
    </r>
    <r>
      <rPr>
        <sz val="7"/>
        <color theme="1" tint="0.499984740745262"/>
        <rFont val="Noto Sans"/>
        <family val="2"/>
      </rPr>
      <t xml:space="preserve"> 500L Nomblot cement cylinder</t>
    </r>
  </si>
  <si>
    <t>ON THE MARKET:</t>
  </si>
  <si>
    <t>ALKINA TIMELINE:</t>
  </si>
  <si>
    <r>
      <rPr>
        <b/>
        <sz val="7"/>
        <color theme="1" tint="0.499984740745262"/>
        <rFont val="Noto Sans"/>
        <family val="2"/>
      </rPr>
      <t xml:space="preserve">Antonini </t>
    </r>
    <r>
      <rPr>
        <sz val="7"/>
        <color theme="1" tint="0.499984740745262"/>
        <rFont val="Noto Sans"/>
        <family val="2"/>
      </rPr>
      <t>'Premium wine production is all about uniqueness. The only way to achieve this is to make and sell</t>
    </r>
  </si>
  <si>
    <t xml:space="preserve">2024 1st visit by Marco Simmonit </t>
  </si>
  <si>
    <t xml:space="preserve"> something which cannot be duplicated. The grape variety can be duplicated everywhere; origin cannot.'</t>
  </si>
  <si>
    <t>2022 1st vintage Spice Garden becomes Striato</t>
  </si>
  <si>
    <r>
      <rPr>
        <b/>
        <sz val="7"/>
        <color theme="1" tint="0.499984740745262"/>
        <rFont val="Noto Sans"/>
        <family val="2"/>
      </rPr>
      <t>Antonini, 2013</t>
    </r>
    <r>
      <rPr>
        <sz val="7"/>
        <color theme="1" tint="0.499984740745262"/>
        <rFont val="Noto Sans"/>
        <family val="2"/>
      </rPr>
      <t xml:space="preserve"> ‘Great wine is about emotion. I believe more in the Burgundian concept – that, at a very high level,</t>
    </r>
  </si>
  <si>
    <t>2022 1st vintage P22 (grenache)</t>
  </si>
  <si>
    <t xml:space="preserve"> uniqueness is more important than perfection. Then you just have to educate people to appreciate what you do.</t>
  </si>
  <si>
    <t>2022 voted Decanter Top 10 Australian WOTY</t>
  </si>
  <si>
    <t>That’s what I’m working on: I like a challenge.'</t>
  </si>
  <si>
    <t>2021 voted Innovative Vineyard of the Year</t>
  </si>
  <si>
    <r>
      <rPr>
        <b/>
        <sz val="7"/>
        <color theme="1" tint="0.499984740745262"/>
        <rFont val="Noto Sans"/>
        <family val="2"/>
      </rPr>
      <t xml:space="preserve">Antonini, 2015 </t>
    </r>
    <r>
      <rPr>
        <sz val="7"/>
        <color theme="1" tint="0.499984740745262"/>
        <rFont val="Noto Sans"/>
        <family val="2"/>
      </rPr>
      <t>'It’s up to me to explain to people why I’m doing what I’m doing. It’s time we persuaded people</t>
    </r>
  </si>
  <si>
    <t>2021 winery launch</t>
  </si>
  <si>
    <t xml:space="preserve"> to switch from Schwarzenegger to Michelangelo’s David.”</t>
  </si>
  <si>
    <t>2021 grenache flowering shatter: - late release P3/5</t>
  </si>
  <si>
    <r>
      <rPr>
        <b/>
        <sz val="7"/>
        <color theme="1" tint="0.499984740745262"/>
        <rFont val="Noto Sans"/>
        <family val="2"/>
      </rPr>
      <t>Antonini, 2021</t>
    </r>
    <r>
      <rPr>
        <sz val="7"/>
        <color theme="1" tint="0.499984740745262"/>
        <rFont val="Noto Sans"/>
        <family val="2"/>
      </rPr>
      <t xml:space="preserve"> 'passion allows you to do business perfectly, and then the market itself comes to the winemaker.'</t>
    </r>
  </si>
  <si>
    <t>2019 1st P1 &amp; Old Quarter</t>
  </si>
  <si>
    <t>2018 1st harvest; 1st P3 &amp; P5 bottlings</t>
  </si>
  <si>
    <t>ON 'LIMITATIONS':</t>
  </si>
  <si>
    <r>
      <t xml:space="preserve">2018 </t>
    </r>
    <r>
      <rPr>
        <b/>
        <sz val="7"/>
        <color rgb="FF00B050"/>
        <rFont val="Noto Sans"/>
        <family val="2"/>
      </rPr>
      <t>Organic certified</t>
    </r>
  </si>
  <si>
    <r>
      <rPr>
        <b/>
        <sz val="7"/>
        <color theme="1" tint="0.499984740745262"/>
        <rFont val="Noto Sans"/>
        <family val="2"/>
      </rPr>
      <t xml:space="preserve">Antonini, 2013 </t>
    </r>
    <r>
      <rPr>
        <sz val="7"/>
        <color theme="1" tint="0.499984740745262"/>
        <rFont val="Noto Sans"/>
        <family val="2"/>
      </rPr>
      <t>'The New World will remain the New World until people stop thinking in a New World way.'</t>
    </r>
  </si>
  <si>
    <t>2018 Pedro Parra mapped the Polygons</t>
  </si>
  <si>
    <r>
      <rPr>
        <b/>
        <sz val="7"/>
        <color theme="1" tint="0.499984740745262"/>
        <rFont val="Noto Sans"/>
        <family val="2"/>
      </rPr>
      <t>Antonini, 2015</t>
    </r>
    <r>
      <rPr>
        <sz val="7"/>
        <color theme="1" tint="0.499984740745262"/>
        <rFont val="Noto Sans"/>
        <family val="2"/>
      </rPr>
      <t xml:space="preserve"> 'The five enemies of terroir are over-ripe grapes, over-extraction, over-oaking, vineyard chemicals</t>
    </r>
  </si>
  <si>
    <t>2016/17 plant ~17ha</t>
  </si>
  <si>
    <t xml:space="preserve"> and the winemaker.'</t>
  </si>
  <si>
    <t>2016 20ha mature Owen's Block bought next door</t>
  </si>
  <si>
    <r>
      <rPr>
        <b/>
        <sz val="7"/>
        <color theme="1" tint="0.499984740745262"/>
        <rFont val="Noto Sans"/>
        <family val="2"/>
      </rPr>
      <t xml:space="preserve">Antonini, 2014 </t>
    </r>
    <r>
      <rPr>
        <sz val="7"/>
        <color theme="1" tint="0.499984740745262"/>
        <rFont val="Noto Sans"/>
        <family val="2"/>
      </rPr>
      <t>'If you avoid using chemicals you have a healthy environment and better expression of the true</t>
    </r>
  </si>
  <si>
    <t>2015 purchase; Antonini visit</t>
  </si>
  <si>
    <t xml:space="preserve"> terroir. It’s not only that chemicals damage the environment, but that chemicals ‘flatten’ the final taste of the wine.'</t>
  </si>
  <si>
    <t>1950s 6ha Old Quarter planted by Les Kalleske</t>
  </si>
  <si>
    <r>
      <rPr>
        <b/>
        <sz val="7"/>
        <color theme="1" tint="0.499984740745262"/>
        <rFont val="Noto Sans"/>
        <family val="2"/>
      </rPr>
      <t>Antonini</t>
    </r>
    <r>
      <rPr>
        <sz val="7"/>
        <color theme="1" tint="0.499984740745262"/>
        <rFont val="Noto Sans"/>
        <family val="2"/>
      </rPr>
      <t xml:space="preserve"> 'Stainless steel tanks smell like death. Concrete vessels that are well-maintained, smell of life.'</t>
    </r>
  </si>
  <si>
    <t>1850s stone winery barn built</t>
  </si>
  <si>
    <r>
      <rPr>
        <b/>
        <sz val="7"/>
        <color theme="1" tint="0.499984740745262"/>
        <rFont val="Noto Sans"/>
        <family val="2"/>
      </rPr>
      <t>Antonini</t>
    </r>
    <r>
      <rPr>
        <sz val="7"/>
        <color theme="1" tint="0.499984740745262"/>
        <rFont val="Noto Sans"/>
        <family val="2"/>
      </rPr>
      <t xml:space="preserve"> 'My concern about selling the ‘grape variety’ is that sooner or later we may end up in a commodity</t>
    </r>
  </si>
  <si>
    <t xml:space="preserve"> business which isn’t what premium wines are about.'</t>
  </si>
  <si>
    <r>
      <rPr>
        <b/>
        <sz val="7"/>
        <color theme="1" tint="0.499984740745262"/>
        <rFont val="Noto Sans"/>
        <family val="2"/>
      </rPr>
      <t>Antonini, 2015</t>
    </r>
    <r>
      <rPr>
        <sz val="7"/>
        <color theme="1" tint="0.499984740745262"/>
        <rFont val="Noto Sans"/>
        <family val="2"/>
      </rPr>
      <t xml:space="preserve"> 'How have we allowed people to persuade us that (high) drinkabilty should not be associated with</t>
    </r>
  </si>
  <si>
    <t>NB ALSO SEE KIN BY ALKINA SERIES</t>
  </si>
  <si>
    <t xml:space="preserve"> great wines? It’s crazy.'</t>
  </si>
  <si>
    <t>KIND WORDS ON POWELL &amp; SON, NELDNER ROAD VINTNERS, etc.:</t>
  </si>
  <si>
    <r>
      <rPr>
        <b/>
        <sz val="7"/>
        <color theme="1" tint="0.499984740745262"/>
        <rFont val="Noto Sans"/>
        <family val="2"/>
      </rPr>
      <t>Vinous, 2024</t>
    </r>
    <r>
      <rPr>
        <sz val="7"/>
        <color theme="1" tint="0.499984740745262"/>
        <rFont val="Noto Sans"/>
        <family val="2"/>
      </rPr>
      <t xml:space="preserve"> 'Powell uses his established grower relationships and local knowledge to fashion some very impressive Shiraz that, while sharing some of</t>
    </r>
  </si>
  <si>
    <t>the DNA of his previous ventures, also charts a new path. However, extended French oak aging, particularly in Dominique Laurent casks, remains a</t>
  </si>
  <si>
    <t>key component of his style. The best Shiraz are extraordinary. This is definitely a winery worth putting on your radar.'</t>
  </si>
  <si>
    <r>
      <rPr>
        <b/>
        <sz val="7"/>
        <color theme="1" tint="0.499984740745262"/>
        <rFont val="Noto Sans"/>
        <family val="2"/>
      </rPr>
      <t>Vinous, 2024</t>
    </r>
    <r>
      <rPr>
        <sz val="7"/>
        <color theme="1" tint="0.499984740745262"/>
        <rFont val="Noto Sans"/>
        <family val="2"/>
      </rPr>
      <t xml:space="preserve"> 'Powell was the poster boy for big Australian Shiraz from the mid-1990s. His larger-than-life personality and decadent wines had an</t>
    </r>
  </si>
  <si>
    <t>enormous impact internationally and found a legion of fans. ... Powell remains a controversial figure, but time has mellowed this maverick. I caught up</t>
  </si>
  <si>
    <t>with him, living a more suitable, simpler life, running his own Neldner Road brand and fitting a tasting between long sessions pruning his vineyards.'</t>
  </si>
  <si>
    <r>
      <t xml:space="preserve">Langton's, 2019 </t>
    </r>
    <r>
      <rPr>
        <sz val="7"/>
        <color theme="1" tint="0.499984740745262"/>
        <rFont val="Noto Sans"/>
        <family val="2"/>
      </rPr>
      <t>'there’s no denying his uncanny ability to coax the best grapes out of a vineyard, the best wines out of the grapes.'</t>
    </r>
  </si>
  <si>
    <r>
      <rPr>
        <b/>
        <sz val="7"/>
        <color theme="1" tint="0.499984740745262"/>
        <rFont val="Noto Sans"/>
        <family val="2"/>
      </rPr>
      <t xml:space="preserve">Jeb Dunnuck </t>
    </r>
    <r>
      <rPr>
        <sz val="7"/>
        <color theme="1" tint="0.499984740745262"/>
        <rFont val="Noto Sans"/>
        <family val="2"/>
      </rPr>
      <t>'These brilliant wines are unquestionably at the same quality level as anything Powell has achieved in the past'</t>
    </r>
  </si>
  <si>
    <r>
      <t xml:space="preserve">LPB, TWA 2017 </t>
    </r>
    <r>
      <rPr>
        <sz val="7"/>
        <color theme="1" tint="0.499984740745262"/>
        <rFont val="Noto Sans"/>
        <family val="2"/>
      </rPr>
      <t>'bright, intense, polished wines crafted with elegance and great poise'</t>
    </r>
  </si>
  <si>
    <r>
      <t xml:space="preserve">LPB, TWA 2015 </t>
    </r>
    <r>
      <rPr>
        <sz val="7"/>
        <color theme="1" tint="0.499984740745262"/>
        <rFont val="Noto Sans"/>
        <family val="2"/>
      </rPr>
      <t>'David Powell is back'</t>
    </r>
  </si>
  <si>
    <r>
      <t xml:space="preserve">LPB, TWA 2017 </t>
    </r>
    <r>
      <rPr>
        <sz val="7"/>
        <color theme="1" tint="0.499984740745262"/>
        <rFont val="Noto Sans"/>
        <family val="2"/>
      </rPr>
      <t>'The only downside is the small quantities.’</t>
    </r>
  </si>
  <si>
    <r>
      <t xml:space="preserve">LPB, TWA 2017 </t>
    </r>
    <r>
      <rPr>
        <sz val="7"/>
        <color theme="1" tint="0.499984740745262"/>
        <rFont val="Noto Sans"/>
        <family val="2"/>
      </rPr>
      <t>'extraordinary intensity, complexity and balance'</t>
    </r>
  </si>
  <si>
    <r>
      <rPr>
        <b/>
        <sz val="7"/>
        <color theme="1" tint="0.499984740745262"/>
        <rFont val="Noto Sans"/>
        <family val="2"/>
      </rPr>
      <t>Joe Czerwinski, TWA 2018</t>
    </r>
    <r>
      <rPr>
        <sz val="7"/>
        <color theme="1" tint="0.499984740745262"/>
        <rFont val="Noto Sans"/>
        <family val="2"/>
      </rPr>
      <t xml:space="preserve"> 'they're definitively not Torbreck'</t>
    </r>
  </si>
  <si>
    <r>
      <rPr>
        <b/>
        <sz val="7"/>
        <color theme="1" tint="0.499984740745262"/>
        <rFont val="Noto Sans"/>
        <family val="2"/>
      </rPr>
      <t>Joe Czerwinski, TWA 2018</t>
    </r>
    <r>
      <rPr>
        <sz val="7"/>
        <color theme="1" tint="0.499984740745262"/>
        <rFont val="Noto Sans"/>
        <family val="2"/>
      </rPr>
      <t xml:space="preserve"> 'impossible to go wrong with any of the latest releases.'</t>
    </r>
  </si>
  <si>
    <r>
      <rPr>
        <b/>
        <sz val="7"/>
        <color theme="1" tint="0.499984740745262"/>
        <rFont val="Noto Sans"/>
        <family val="2"/>
      </rPr>
      <t>Joe Czerwinski, TWA 2018</t>
    </r>
    <r>
      <rPr>
        <sz val="7"/>
        <color theme="1" tint="0.499984740745262"/>
        <rFont val="Noto Sans"/>
        <family val="2"/>
      </rPr>
      <t xml:space="preserve"> 'there's a finer eye on the oak and gentle extraction, all in pursuit of intricacy and detail'</t>
    </r>
  </si>
  <si>
    <r>
      <t xml:space="preserve">Dave Powell, 2016 </t>
    </r>
    <r>
      <rPr>
        <sz val="7"/>
        <color theme="1" tint="0.499984740745262"/>
        <rFont val="Noto Sans"/>
        <family val="2"/>
      </rPr>
      <t>'Torbreck got too big and it got away from me…  or rather I got away from it.'</t>
    </r>
  </si>
  <si>
    <t>POWELL &amp; SON, then</t>
  </si>
  <si>
    <t>NELDNER ROAD from 2021</t>
  </si>
  <si>
    <t>19POWELLS02</t>
  </si>
  <si>
    <t>Barossa &amp; Eden Valleys. Dave Powell</t>
  </si>
  <si>
    <t>19POWELLS06</t>
  </si>
  <si>
    <t>Founder &amp; ex-owner of Torbreck</t>
  </si>
  <si>
    <t>G/S/M:</t>
  </si>
  <si>
    <t>Focus on very old-vine ('tvv') dry-farmed</t>
  </si>
  <si>
    <t>22POWELLS01</t>
  </si>
  <si>
    <t>shiraz, aging incl. Dom. Laurent casks.</t>
  </si>
  <si>
    <t>20POWELLS05</t>
  </si>
  <si>
    <t>All wines are hand picked, basket pressed.</t>
  </si>
  <si>
    <t>19POWELLS04</t>
  </si>
  <si>
    <t>Regional blended reds in French foudres</t>
  </si>
  <si>
    <t>22POWELLS04</t>
  </si>
  <si>
    <t>sustainable uncert., Ⓥ Vegan compatible</t>
  </si>
  <si>
    <t>19POWELLS09</t>
  </si>
  <si>
    <t>22POWELLS06</t>
  </si>
  <si>
    <t>2019 vintage: name changes to Neldner Road</t>
  </si>
  <si>
    <t>19POWELLS10</t>
  </si>
  <si>
    <t>2017 massale cutting program started</t>
  </si>
  <si>
    <t>2017 (re-)entry to Wine Spectator Top 100</t>
  </si>
  <si>
    <t>19POWELLS03</t>
  </si>
  <si>
    <t>2016 Powell &amp; Son label is launched with Callum</t>
  </si>
  <si>
    <t>22POWELLS02</t>
  </si>
  <si>
    <t>2014 Powell &amp; Son 1st vinification</t>
  </si>
  <si>
    <t>20POWELLS03</t>
  </si>
  <si>
    <t>2013 Dave departed Torbreck</t>
  </si>
  <si>
    <t>22POWELLS03</t>
  </si>
  <si>
    <t>2004 Dave's 1st entry in Wine Spectator Top 100</t>
  </si>
  <si>
    <t>20POWELLS06</t>
  </si>
  <si>
    <t>1994 Dave founded Torbreck; son Callum born</t>
  </si>
  <si>
    <t>19POWELLS07</t>
  </si>
  <si>
    <t>1991 Dave's 1st wines</t>
  </si>
  <si>
    <t>20POWELLS07</t>
  </si>
  <si>
    <t>22POWELLS05</t>
  </si>
  <si>
    <r>
      <rPr>
        <b/>
        <sz val="7"/>
        <color theme="1" tint="0.499984740745262"/>
        <rFont val="Noto Sans"/>
        <family val="2"/>
      </rPr>
      <t>Eden Valley riesling:</t>
    </r>
    <r>
      <rPr>
        <sz val="7"/>
        <color theme="1" tint="0.499984740745262"/>
        <rFont val="Noto Sans"/>
        <family val="2"/>
      </rPr>
      <t xml:space="preserve"> 2ha 80-90yrs @ 460m, </t>
    </r>
  </si>
  <si>
    <t>19POWELLS11</t>
  </si>
  <si>
    <t>Flaxman's Valley section</t>
  </si>
  <si>
    <t>18POWELLS06SMA</t>
  </si>
  <si>
    <r>
      <rPr>
        <b/>
        <sz val="7"/>
        <color theme="1" tint="0.499984740745262"/>
        <rFont val="Noto Sans"/>
        <family val="2"/>
      </rPr>
      <t>Brennecker</t>
    </r>
    <r>
      <rPr>
        <sz val="7"/>
        <color theme="1" tint="0.499984740745262"/>
        <rFont val="Noto Sans"/>
        <family val="2"/>
      </rPr>
      <t xml:space="preserve"> grenache: 1ha 1901 vines, managed</t>
    </r>
  </si>
  <si>
    <t>22POWELLS07</t>
  </si>
  <si>
    <t>since 1992, 1st made 2015, Seppeltsfield, Barossa</t>
  </si>
  <si>
    <t>19POWELLS12</t>
  </si>
  <si>
    <r>
      <t>Kleinig mataro/</t>
    </r>
    <r>
      <rPr>
        <sz val="7"/>
        <color theme="1" tint="0.499984740745262"/>
        <rFont val="Noto Sans"/>
        <family val="2"/>
      </rPr>
      <t>mourvedre: ~85yrs at Greenock</t>
    </r>
  </si>
  <si>
    <t>17POWELLS02</t>
  </si>
  <si>
    <r>
      <t xml:space="preserve">Herrmann shiraz: </t>
    </r>
    <r>
      <rPr>
        <sz val="7"/>
        <color theme="1" tint="0.499984740745262"/>
        <rFont val="Noto Sans"/>
        <family val="2"/>
      </rPr>
      <t>85yr VV from Kalimna</t>
    </r>
  </si>
  <si>
    <r>
      <t xml:space="preserve">Schulz shiraz: </t>
    </r>
    <r>
      <rPr>
        <sz val="7"/>
        <color theme="1" tint="0.499984740745262"/>
        <rFont val="Noto Sans"/>
        <family val="2"/>
      </rPr>
      <t>old-vine from Marcus Schulz'</t>
    </r>
  </si>
  <si>
    <t>18POWELLS13MG</t>
  </si>
  <si>
    <r>
      <rPr>
        <b/>
        <sz val="7"/>
        <color rgb="FF00B050"/>
        <rFont val="Noto Sans"/>
        <family val="2"/>
      </rPr>
      <t>biodynamic</t>
    </r>
    <r>
      <rPr>
        <sz val="7"/>
        <color theme="1" tint="0.499984740745262"/>
        <rFont val="Noto Sans"/>
        <family val="2"/>
      </rPr>
      <t xml:space="preserve"> estate at Koonunga Hill, NW Barossa</t>
    </r>
  </si>
  <si>
    <t>18POWELLS02M</t>
  </si>
  <si>
    <r>
      <rPr>
        <b/>
        <sz val="7"/>
        <color theme="1" tint="0.499984740745262"/>
        <rFont val="Noto Sans"/>
        <family val="2"/>
      </rPr>
      <t>Loechel shiraz</t>
    </r>
    <r>
      <rPr>
        <sz val="7"/>
        <color theme="1" tint="0.499984740745262"/>
        <rFont val="Noto Sans"/>
        <family val="2"/>
      </rPr>
      <t>: 1ha ~60yrs @400m, Eden Valley</t>
    </r>
  </si>
  <si>
    <t>20POWELLS04MG</t>
  </si>
  <si>
    <r>
      <rPr>
        <b/>
        <sz val="7"/>
        <color theme="1" tint="0.499984740745262"/>
        <rFont val="Noto Sans"/>
        <family val="2"/>
      </rPr>
      <t>Chatterton shiraz:</t>
    </r>
    <r>
      <rPr>
        <sz val="7"/>
        <color theme="1" tint="0.499984740745262"/>
        <rFont val="Noto Sans"/>
        <family val="2"/>
      </rPr>
      <t xml:space="preserve"> old-vine Barossa &amp; Eden</t>
    </r>
  </si>
  <si>
    <t>18POWELLS15MG</t>
  </si>
  <si>
    <t xml:space="preserve">hommage to Roland &amp; Aileen Chatterton. From 2017 </t>
  </si>
  <si>
    <t>20POWELLS03MG</t>
  </si>
  <si>
    <r>
      <rPr>
        <b/>
        <sz val="7"/>
        <color theme="1" tint="0.499984740745262"/>
        <rFont val="Noto Sans"/>
        <family val="2"/>
      </rPr>
      <t>Steinert shiraz:</t>
    </r>
    <r>
      <rPr>
        <sz val="7"/>
        <color theme="1" tint="0.499984740745262"/>
        <rFont val="Noto Sans"/>
        <family val="2"/>
      </rPr>
      <t xml:space="preserve"> 2ha ~130yrs old @ 480m, Eden</t>
    </r>
  </si>
  <si>
    <t>18POWELLS12MG</t>
  </si>
  <si>
    <r>
      <rPr>
        <b/>
        <sz val="7"/>
        <color theme="1" tint="0.499984740745262"/>
        <rFont val="Noto Sans"/>
        <family val="2"/>
      </rPr>
      <t>Kraehe shiraz:</t>
    </r>
    <r>
      <rPr>
        <sz val="7"/>
        <color theme="1" tint="0.499984740745262"/>
        <rFont val="Noto Sans"/>
        <family val="2"/>
      </rPr>
      <t xml:space="preserve"> 2ha ~110yrs @235m, managed</t>
    </r>
  </si>
  <si>
    <t>19POWELLS07MG</t>
  </si>
  <si>
    <t>since 1994, 1st made 2015, Barossa</t>
  </si>
  <si>
    <t>18POWELLS03M</t>
  </si>
  <si>
    <t>facebook.com/NeldnerRoad</t>
  </si>
  <si>
    <t>19POWELLS11MG</t>
  </si>
  <si>
    <t>NeldnerRoad.com.au</t>
  </si>
  <si>
    <t>18POWELLS01M</t>
  </si>
  <si>
    <t>PowellAndSon.com</t>
  </si>
  <si>
    <t>19POWELLS12MG</t>
  </si>
  <si>
    <t>GROWER CODE: POWELL</t>
  </si>
  <si>
    <t>ASHTON HILLS</t>
  </si>
  <si>
    <t>16ASHTONHILL01</t>
  </si>
  <si>
    <t>Piccadilly Valley, Adelaide Hills</t>
  </si>
  <si>
    <t>16ASHTONHILL02</t>
  </si>
  <si>
    <t>3ha South facing @ 570m below Mt Lofty</t>
  </si>
  <si>
    <t xml:space="preserve">Founded 1982 by Stephen George </t>
  </si>
  <si>
    <t xml:space="preserve">(Wendouree winemaker for &gt;40yrs) </t>
  </si>
  <si>
    <t>AshtonHills.com.au</t>
  </si>
  <si>
    <t>South Africa</t>
  </si>
  <si>
    <t>CHAMONIX</t>
  </si>
  <si>
    <t>15CCHAM01VDP</t>
  </si>
  <si>
    <t>Franschoek. ~50ha vines on 300ha estate</t>
  </si>
  <si>
    <t>15CCHAM02VDP</t>
  </si>
  <si>
    <t>estate dates to 1688</t>
  </si>
  <si>
    <t>owned by Chris Hellinger ~20yrs</t>
  </si>
  <si>
    <r>
      <rPr>
        <b/>
        <sz val="8"/>
        <color rgb="FF00B050"/>
        <rFont val="Noto Sans"/>
        <family val="2"/>
      </rPr>
      <t>sustainable</t>
    </r>
    <r>
      <rPr>
        <sz val="8"/>
        <color theme="1" tint="0.14999847407452621"/>
        <rFont val="Noto Sans"/>
        <family val="2"/>
      </rPr>
      <t>; no adjustments; ambient yeast</t>
    </r>
  </si>
  <si>
    <t>NB Cap Classique = Methode Traditionelle</t>
  </si>
  <si>
    <t>Chamonix.co.za</t>
  </si>
  <si>
    <t>GROWER CODE: CCHAM</t>
  </si>
  <si>
    <t>DIE KLUISE</t>
  </si>
  <si>
    <t>CHENINS:</t>
  </si>
  <si>
    <t>by Raeburn Fine Wines</t>
  </si>
  <si>
    <t>25DIEKLUISE03</t>
  </si>
  <si>
    <t>Swartland &amp; Paarl. Dry farmed, ambient ferment</t>
  </si>
  <si>
    <t>25DIEKLUISE01</t>
  </si>
  <si>
    <t>By Pieter Carstens &amp; Madre van Der Walt</t>
  </si>
  <si>
    <t>Organic certified whites 2023 CU</t>
  </si>
  <si>
    <t>25DIEKLUISE02</t>
  </si>
  <si>
    <t>Sustainable certified IPW reds</t>
  </si>
  <si>
    <t>21DIEKLUISE02</t>
  </si>
  <si>
    <t>25DIEKLUISE04</t>
  </si>
  <si>
    <t>GROWER CODE: DIEKLUISE</t>
  </si>
  <si>
    <t>LEEUWENKUIL FAMILY</t>
  </si>
  <si>
    <t>21DIEKLUISE03</t>
  </si>
  <si>
    <t>Swartland. 'The Lions Lair'</t>
  </si>
  <si>
    <t>Owners: Willie &amp; Emma Dreyer, and family</t>
  </si>
  <si>
    <t>Winemakers: Pieter Carstens &amp; Madre van Der Walt</t>
  </si>
  <si>
    <t>1250ha vines, dry farmed, ambient ferment</t>
  </si>
  <si>
    <t>Hand harvested by ~1000 people</t>
  </si>
  <si>
    <t>2021 Leeuwenkuil make Die Kluise for Raeburn</t>
  </si>
  <si>
    <t>1980s Willie &amp; Emma take over</t>
  </si>
  <si>
    <t>1851 Johan Frederik Dreyer buys &amp; renames farm</t>
  </si>
  <si>
    <t>1693 farm founded as Schinderkuijl</t>
  </si>
  <si>
    <t>Organic certified CU</t>
  </si>
  <si>
    <t>LeeuwenkuilFV.co.za</t>
  </si>
  <si>
    <t>KIND WORDS ON EBEN SADIE:</t>
  </si>
  <si>
    <r>
      <rPr>
        <b/>
        <sz val="7"/>
        <color rgb="FF808080"/>
        <rFont val="Noto Sans"/>
        <family val="2"/>
      </rPr>
      <t>Roy Richards, 2024</t>
    </r>
    <r>
      <rPr>
        <sz val="7"/>
        <color rgb="FF808080"/>
        <rFont val="Noto Sans"/>
        <family val="2"/>
      </rPr>
      <t> 'There are very few people in wine who really change the world. Eben has. He is a true revolutionary'</t>
    </r>
  </si>
  <si>
    <r>
      <rPr>
        <b/>
        <sz val="7"/>
        <color rgb="FF808080"/>
        <rFont val="Noto Sans"/>
        <family val="2"/>
      </rPr>
      <t>Christina Rasmussen, 2024</t>
    </r>
    <r>
      <rPr>
        <sz val="7"/>
        <color rgb="FF808080"/>
        <rFont val="Noto Sans"/>
        <family val="2"/>
      </rPr>
      <t> 'Ambition is not lacking in this family; yet it isn’t an ambition driven by money... They are boots on the ground dreamers.</t>
    </r>
  </si>
  <si>
    <t>When daydreams meet drive at such a high level, extraordinary results can be achieved, and in the wine world, no domaine demonstrates this more powerfully'</t>
  </si>
  <si>
    <r>
      <rPr>
        <b/>
        <sz val="7"/>
        <color rgb="FF808080"/>
        <rFont val="Noto Sans"/>
        <family val="2"/>
      </rPr>
      <t>Anne Krebiehl MW, 2022</t>
    </r>
    <r>
      <rPr>
        <sz val="7"/>
        <color rgb="FF808080"/>
        <rFont val="Noto Sans"/>
        <family val="2"/>
      </rPr>
      <t xml:space="preserve"> 'The wines showed great personality and deservedly hold cult status. Eben Sadie is a visionary and takes his entire country forward.'</t>
    </r>
  </si>
  <si>
    <r>
      <rPr>
        <b/>
        <sz val="7"/>
        <color theme="1" tint="0.499984740745262"/>
        <rFont val="Noto Sans"/>
        <family val="2"/>
      </rPr>
      <t>Jamie Goode, 2024</t>
    </r>
    <r>
      <rPr>
        <sz val="7"/>
        <color theme="1" tint="0.499984740745262"/>
        <rFont val="Noto Sans"/>
        <family val="2"/>
      </rPr>
      <t> 'he hardly needs an introduction'</t>
    </r>
  </si>
  <si>
    <r>
      <t> </t>
    </r>
    <r>
      <rPr>
        <b/>
        <sz val="7"/>
        <color theme="1" tint="0.499984740745262"/>
        <rFont val="Noto Sans"/>
        <family val="2"/>
      </rPr>
      <t>N.Martin, TWA 2015</t>
    </r>
    <r>
      <rPr>
        <sz val="7"/>
        <color theme="1" tint="0.499984740745262"/>
        <rFont val="Noto Sans"/>
        <family val="2"/>
      </rPr>
      <t xml:space="preserve"> 'Eben Sadie, The Reluctant Guru'</t>
    </r>
  </si>
  <si>
    <r>
      <rPr>
        <b/>
        <sz val="7"/>
        <color theme="1" tint="0.499984740745262"/>
        <rFont val="Noto Sans"/>
        <family val="2"/>
      </rPr>
      <t>N.Martin, Vinous 2022</t>
    </r>
    <r>
      <rPr>
        <sz val="7"/>
        <color theme="1" tint="0.499984740745262"/>
        <rFont val="Noto Sans"/>
        <family val="2"/>
      </rPr>
      <t xml:space="preserve"> 'so much nuance and character, cerebral yet delicious wines that you want to study as much as imbibe.'</t>
    </r>
  </si>
  <si>
    <r>
      <rPr>
        <b/>
        <sz val="7"/>
        <color theme="1" tint="0.499984740745262"/>
        <rFont val="Noto Sans"/>
        <family val="2"/>
      </rPr>
      <t>N.Martin, Vinous 2022</t>
    </r>
    <r>
      <rPr>
        <sz val="7"/>
        <color theme="1" tint="0.499984740745262"/>
        <rFont val="Noto Sans"/>
        <family val="2"/>
      </rPr>
      <t xml:space="preserve"> 'Sadie has always been candid and critical where appropriate, occasionally scathing when it comes to his first vintages where</t>
    </r>
  </si>
  <si>
    <t>his techniques were almost the antithesis of nowadays.'</t>
  </si>
  <si>
    <r>
      <rPr>
        <b/>
        <sz val="7"/>
        <color theme="1" tint="0.499984740745262"/>
        <rFont val="Noto Sans"/>
        <family val="2"/>
      </rPr>
      <t>N.Martin, Vinous 2018</t>
    </r>
    <r>
      <rPr>
        <sz val="7"/>
        <color theme="1" tint="0.499984740745262"/>
        <rFont val="Noto Sans"/>
        <family val="2"/>
      </rPr>
      <t xml:space="preserve"> 'Eben Sadie was fated to become the figurehead of the Swartland revolution, whose ripples of influence can still be felt today.'</t>
    </r>
  </si>
  <si>
    <r>
      <rPr>
        <b/>
        <sz val="7"/>
        <color theme="1" tint="0.499984740745262"/>
        <rFont val="Noto Sans"/>
        <family val="2"/>
      </rPr>
      <t>N.,Martin, Vinous 2018</t>
    </r>
    <r>
      <rPr>
        <sz val="7"/>
        <color theme="1" tint="0.499984740745262"/>
        <rFont val="Noto Sans"/>
        <family val="2"/>
      </rPr>
      <t xml:space="preserve"> 'Eben Sadie is a charismatic winemaker in the same category as say, Aubert de Villaine or Paul Draper. He has a constant</t>
    </r>
  </si>
  <si>
    <t>train of thought that he sometimes articulates and you go with it.'</t>
  </si>
  <si>
    <r>
      <rPr>
        <b/>
        <sz val="7"/>
        <color theme="1" tint="0.499984740745262"/>
        <rFont val="Noto Sans"/>
        <family val="2"/>
      </rPr>
      <t>N.Martin, TWA 2015</t>
    </r>
    <r>
      <rPr>
        <sz val="7"/>
        <color theme="1" tint="0.499984740745262"/>
        <rFont val="Noto Sans"/>
        <family val="2"/>
      </rPr>
      <t xml:space="preserve"> 'Eben Sadie, winemaker-shaman-dude, is out in the vineyard, surrounded by gnarly bush vines that look as if they were planted</t>
    </r>
  </si>
  <si>
    <t>before man invented the wheel. He enthuses about the precious vines. The vines have sway over Eben; they bewitch and entrance him.</t>
  </si>
  <si>
    <r>
      <rPr>
        <b/>
        <sz val="7"/>
        <color theme="1" tint="0.499984740745262"/>
        <rFont val="Noto Sans"/>
        <family val="2"/>
      </rPr>
      <t>N.Martin, TWA 2015</t>
    </r>
    <r>
      <rPr>
        <sz val="7"/>
        <color theme="1" tint="0.499984740745262"/>
        <rFont val="Noto Sans"/>
        <family val="2"/>
      </rPr>
      <t xml:space="preserve"> 'Eben himself is someone content to paddle his own canoe through life, or rather surf since he seems to be as passionate about</t>
    </r>
  </si>
  <si>
    <t xml:space="preserve"> the right wave as making wine.'</t>
  </si>
  <si>
    <r>
      <rPr>
        <b/>
        <sz val="7"/>
        <color theme="1" tint="0.499984740745262"/>
        <rFont val="Noto Sans"/>
        <family val="2"/>
      </rPr>
      <t>N.Martin, TWA 2015</t>
    </r>
    <r>
      <rPr>
        <sz val="7"/>
        <color theme="1" tint="0.499984740745262"/>
        <rFont val="Noto Sans"/>
        <family val="2"/>
      </rPr>
      <t xml:space="preserve"> 'The thing about both (Eben) and his wine is that whatever your view, whether good or bad, both winemaker &amp; wine prompt conversation.</t>
    </r>
  </si>
  <si>
    <t>His Old Vine Series is uncompromising, solipsistic wine that cares little or nothing about what lies beyond the vineyard.'</t>
  </si>
  <si>
    <r>
      <rPr>
        <b/>
        <sz val="7"/>
        <color theme="1" tint="0.499984740745262"/>
        <rFont val="Noto Sans"/>
        <family val="2"/>
      </rPr>
      <t>N.Martin, TWA 2013</t>
    </r>
    <r>
      <rPr>
        <sz val="7"/>
        <color theme="1" tint="0.499984740745262"/>
        <rFont val="Noto Sans"/>
        <family val="2"/>
      </rPr>
      <t xml:space="preserve"> 'You never quite know what you will get with the wines – so please bear that in mind. That is what makes them so thrilling, because</t>
    </r>
  </si>
  <si>
    <t>when they do excel they can represent something that attains true profundity, wines that are willing to offer intellectual as well as sensory pleasure.'</t>
  </si>
  <si>
    <r>
      <rPr>
        <b/>
        <sz val="7"/>
        <color theme="1" tint="0.499984740745262"/>
        <rFont val="Noto Sans"/>
        <family val="2"/>
      </rPr>
      <t>N.Martin, TWA 2012</t>
    </r>
    <r>
      <rPr>
        <sz val="7"/>
        <color theme="1" tint="0.499984740745262"/>
        <rFont val="Noto Sans"/>
        <family val="2"/>
      </rPr>
      <t xml:space="preserve"> 'Eben is a man full of principles and ideals that he is unafraid to see carried out in his wines, which in my opinion are aligning</t>
    </r>
  </si>
  <si>
    <t>closer to his vision of what they should be with every vintage.'</t>
  </si>
  <si>
    <r>
      <rPr>
        <b/>
        <sz val="7"/>
        <color theme="1" tint="0.499984740745262"/>
        <rFont val="Noto Sans"/>
        <family val="2"/>
      </rPr>
      <t>N.Martin, TWA 2012</t>
    </r>
    <r>
      <rPr>
        <sz val="7"/>
        <color theme="1" tint="0.499984740745262"/>
        <rFont val="Noto Sans"/>
        <family val="2"/>
      </rPr>
      <t xml:space="preserve"> 'Let me make it clear that these very limited bottlings are as much an intellectual exercise as a sensory one. If you are seeking</t>
    </r>
  </si>
  <si>
    <t>wines that mean something – then you should learn about them first, understand where Eben is coming from and then appreciate them for what they</t>
  </si>
  <si>
    <t>represent as much as how they taste. So my scores are in some ways irrelevant here.'</t>
  </si>
  <si>
    <r>
      <rPr>
        <b/>
        <sz val="7"/>
        <color theme="1" tint="0.499984740745262"/>
        <rFont val="Noto Sans"/>
        <family val="2"/>
      </rPr>
      <t>S.Tanzer, Vinous 2014</t>
    </r>
    <r>
      <rPr>
        <sz val="7"/>
        <color theme="1" tint="0.499984740745262"/>
        <rFont val="Noto Sans"/>
        <family val="2"/>
      </rPr>
      <t xml:space="preserve"> 'one of the half dozen or so most complex, rich and ageworthy collectible red wines made anywhere in the Southern Hemisphere.</t>
    </r>
  </si>
  <si>
    <t>And Sadie has taken Columella to an even higher level in recent years.'</t>
  </si>
  <si>
    <r>
      <rPr>
        <b/>
        <sz val="7"/>
        <color rgb="FF808080"/>
        <rFont val="Noto Sans"/>
        <family val="2"/>
      </rPr>
      <t>Anthony Mueller, TWA 2019</t>
    </r>
    <r>
      <rPr>
        <sz val="7"/>
        <color rgb="FF808080"/>
        <rFont val="Noto Sans"/>
        <family val="2"/>
      </rPr>
      <t xml:space="preserve"> 'Eben may be one of the most thoughtful and most considerate of the Swartland winemakers. He seems quietly humble with</t>
    </r>
  </si>
  <si>
    <t>a real world view and speaks of mentorship and continuing education for the betterment of South African wine culture. I immediately got the sense that Eben</t>
  </si>
  <si>
    <t>has a genuine respect and love for the rare old vines that he seeks out to work with to create structured and finessed wines. Eben's wines continue to be</t>
  </si>
  <si>
    <t>some of the most terroir-driven and minerally expressive wines for me. The wine shines through with a level of magnificence that is simply stunning.'</t>
  </si>
  <si>
    <t>THE SADIE FAMILY, aka</t>
  </si>
  <si>
    <t>SIGNATURE WHITE:</t>
  </si>
  <si>
    <t>DIE SADIEFAMILIEWYNE</t>
  </si>
  <si>
    <t>22SADIE02</t>
  </si>
  <si>
    <t>By Eben Sadie. Includes the District Series</t>
  </si>
  <si>
    <t>'Liberatus in Castro Bonae Spei' - 'liberated in the Cape of Good Hope'</t>
  </si>
  <si>
    <t>aka Die Distriksreeks (in Afrikaans) formerly</t>
  </si>
  <si>
    <t>'DISTRICT' SERIES / DIE DISTRIKSREEKS WHITES:</t>
  </si>
  <si>
    <t>the Old Vine Series, Die Ouwingerdreeks.</t>
  </si>
  <si>
    <r>
      <rPr>
        <sz val="8"/>
        <color rgb="FF262626"/>
        <rFont val="Noto Sans"/>
        <family val="2"/>
      </rPr>
      <t xml:space="preserve">Twiswind: 'isohydric estate blend', Swartland - </t>
    </r>
    <r>
      <rPr>
        <b/>
        <sz val="8"/>
        <color rgb="FF262626"/>
        <rFont val="Noto Sans"/>
        <family val="2"/>
      </rPr>
      <t>NEW</t>
    </r>
  </si>
  <si>
    <t>Rotsvas Farm at Paardeberg, Malmesbury,</t>
  </si>
  <si>
    <t>22SADIE08</t>
  </si>
  <si>
    <t xml:space="preserve">Swartland. 36.3ha estate vines (2022), plus </t>
  </si>
  <si>
    <t>22SADIE10</t>
  </si>
  <si>
    <t>District series in &gt;50 parcels. All dry-farmed</t>
  </si>
  <si>
    <t>22SADIE09</t>
  </si>
  <si>
    <t>28 full time staff, +20 in season (2024)</t>
  </si>
  <si>
    <t>22SADIE06</t>
  </si>
  <si>
    <t>sons Markus &amp; Zander joining</t>
  </si>
  <si>
    <t>22SADIE03</t>
  </si>
  <si>
    <r>
      <t xml:space="preserve">highly </t>
    </r>
    <r>
      <rPr>
        <b/>
        <sz val="8"/>
        <color rgb="FF00B050"/>
        <rFont val="Noto Sans"/>
        <family val="2"/>
      </rPr>
      <t>sustainable</t>
    </r>
    <r>
      <rPr>
        <sz val="8"/>
        <color theme="1" tint="0.14999847407452621"/>
        <rFont val="Noto Sans"/>
        <family val="2"/>
      </rPr>
      <t xml:space="preserve">; </t>
    </r>
    <r>
      <rPr>
        <b/>
        <sz val="8"/>
        <color rgb="FF00B050"/>
        <rFont val="Noto Sans"/>
        <family val="2"/>
      </rPr>
      <t>Ⓥ Vegan compatible.</t>
    </r>
  </si>
  <si>
    <t>SIGNATURE RED:</t>
  </si>
  <si>
    <t>Whites are direct pressed. Reds see 50-85%</t>
  </si>
  <si>
    <t>22SADIE01</t>
  </si>
  <si>
    <t>whole-cluster. All ambient yeast ferment.</t>
  </si>
  <si>
    <t>Reds see 3-4wks maceration; Columella 6wks</t>
  </si>
  <si>
    <t>'DISTRICT' SERIES / DIE DISTRIKSREEKS REDS:</t>
  </si>
  <si>
    <t>Elevage in cement, foudre, local anfora, plus</t>
  </si>
  <si>
    <r>
      <rPr>
        <sz val="8"/>
        <color rgb="FF262626"/>
        <rFont val="Noto Sans"/>
        <family val="2"/>
      </rPr>
      <t xml:space="preserve">Sonvang: 'isohydric estate blend', Swartland - </t>
    </r>
    <r>
      <rPr>
        <b/>
        <sz val="8"/>
        <color rgb="FF262626"/>
        <rFont val="Noto Sans"/>
        <family val="2"/>
      </rPr>
      <t>NEW</t>
    </r>
  </si>
  <si>
    <t>some acacia, 500L casks, &amp; 225L for Columella,</t>
  </si>
  <si>
    <t>22SADIE04</t>
  </si>
  <si>
    <t xml:space="preserve">with 5yr stave aging, 5-10% new oak pa. </t>
  </si>
  <si>
    <t>22SADIE07</t>
  </si>
  <si>
    <t>Bottling unfined &amp; unfiltered: 50-60mg/l SO2</t>
  </si>
  <si>
    <t>22SADIE05</t>
  </si>
  <si>
    <t xml:space="preserve">at bottling in whites; 60-65mg/l in reds. </t>
  </si>
  <si>
    <t>One-piece natural cork closures.</t>
  </si>
  <si>
    <t>EBEN SADIE ON...:</t>
  </si>
  <si>
    <t xml:space="preserve">THE TWO 'SIGNATURE' WINES: </t>
  </si>
  <si>
    <t>EBEN ON WINE:</t>
  </si>
  <si>
    <r>
      <t xml:space="preserve">PALLADIUS: </t>
    </r>
    <r>
      <rPr>
        <sz val="7"/>
        <color rgb="FF808080"/>
        <rFont val="Noto Sans"/>
        <family val="2"/>
      </rPr>
      <t>17 plots (2023) of chenin, grenache-</t>
    </r>
  </si>
  <si>
    <r>
      <rPr>
        <b/>
        <sz val="7"/>
        <color rgb="FF808080"/>
        <rFont val="Noto Sans"/>
        <family val="2"/>
      </rPr>
      <t>Eben, 2024</t>
    </r>
    <r>
      <rPr>
        <sz val="7"/>
        <color rgb="FF808080"/>
        <rFont val="Noto Sans"/>
        <family val="2"/>
      </rPr>
      <t xml:space="preserve"> 'Truly remarkable fine wine lives in a strange place. Certain repetitive aspects need to be perfected,</t>
    </r>
  </si>
  <si>
    <t xml:space="preserve">blanc, clairette, viognier, verdelho, roussanne, </t>
  </si>
  <si>
    <t>but one must leave enough space for curiosity and life.'</t>
  </si>
  <si>
    <t>marsanne, semillon x2, palomino, colombard. 1yr in</t>
  </si>
  <si>
    <r>
      <rPr>
        <b/>
        <sz val="7"/>
        <color rgb="FF808080"/>
        <rFont val="Noto Sans"/>
        <family val="2"/>
      </rPr>
      <t>Eben, 2021</t>
    </r>
    <r>
      <rPr>
        <sz val="7"/>
        <color rgb="FF808080"/>
        <rFont val="Noto Sans"/>
        <family val="2"/>
      </rPr>
      <t xml:space="preserve"> 'I like very austere and ungiving wines.'</t>
    </r>
  </si>
  <si>
    <t>concrete &amp; anfora; 1yr foudres</t>
  </si>
  <si>
    <r>
      <rPr>
        <b/>
        <sz val="7"/>
        <color rgb="FF808080"/>
        <rFont val="Noto Sans"/>
        <family val="2"/>
      </rPr>
      <t>Eben, 2017</t>
    </r>
    <r>
      <rPr>
        <sz val="7"/>
        <color rgb="FF808080"/>
        <rFont val="Noto Sans"/>
        <family val="2"/>
      </rPr>
      <t xml:space="preserve"> 'I am not looking for a wine that necessarily goes BOOM when it's first shown...I want a wine to age.'</t>
    </r>
  </si>
  <si>
    <r>
      <t>COLUMELLA:</t>
    </r>
    <r>
      <rPr>
        <sz val="7"/>
        <color theme="1" tint="0.499984740745262"/>
        <rFont val="Noto Sans"/>
        <family val="2"/>
      </rPr>
      <t xml:space="preserve"> 10 plots (2021) of syrah, mourvèdre, </t>
    </r>
  </si>
  <si>
    <r>
      <rPr>
        <b/>
        <sz val="7"/>
        <color rgb="FF808080"/>
        <rFont val="Noto Sans"/>
        <family val="2"/>
      </rPr>
      <t xml:space="preserve">Eben, 2014 </t>
    </r>
    <r>
      <rPr>
        <sz val="7"/>
        <color rgb="FF808080"/>
        <rFont val="Noto Sans"/>
        <family val="2"/>
      </rPr>
      <t>'I have no ambitions to be rich or famous, I just want to make wines I can see in the future.'</t>
    </r>
  </si>
  <si>
    <t xml:space="preserve">grenache, carignan, cinsaut &amp; tinta barocca. 1yr in </t>
  </si>
  <si>
    <t>tight-grain 225L casks, 5%-10% new, mostly</t>
  </si>
  <si>
    <t>EBEN ON ISOHYDRIC (MEDITERRANEAN) VINES:</t>
  </si>
  <si>
    <t>Taransaud T5s, then 1yr in foudres</t>
  </si>
  <si>
    <r>
      <rPr>
        <b/>
        <sz val="7"/>
        <color rgb="FF808080"/>
        <rFont val="Noto Sans"/>
        <family val="2"/>
      </rPr>
      <t>Eben, 2020</t>
    </r>
    <r>
      <rPr>
        <sz val="7"/>
        <color rgb="FF808080"/>
        <rFont val="Noto Sans"/>
        <family val="2"/>
      </rPr>
      <t xml:space="preserve"> 'We must plant isohydric vines (here). Being realistic about tomorrow.’</t>
    </r>
  </si>
  <si>
    <t xml:space="preserve">DISTRICT SERIES WHITES (ex-OVS): </t>
  </si>
  <si>
    <r>
      <rPr>
        <b/>
        <sz val="7"/>
        <color rgb="FF808080"/>
        <rFont val="Noto Sans"/>
        <family val="2"/>
      </rPr>
      <t xml:space="preserve">Eben, 2023 </t>
    </r>
    <r>
      <rPr>
        <sz val="7"/>
        <color rgb="FF808080"/>
        <rFont val="Noto Sans"/>
        <family val="2"/>
      </rPr>
      <t>'In general the grapevine is considered a water stress avoidant species, with a tight stomatal control.</t>
    </r>
  </si>
  <si>
    <r>
      <t>TWISWIND:</t>
    </r>
    <r>
      <rPr>
        <sz val="7"/>
        <color rgb="FF808080"/>
        <rFont val="Noto Sans"/>
        <family val="2"/>
      </rPr>
      <t xml:space="preserve"> 12 isohydric white med' grapes co-planted</t>
    </r>
  </si>
  <si>
    <t>However, some varieties have shown a more efficient stomatal control than others. In accordance to the type of</t>
  </si>
  <si>
    <t xml:space="preserve">on weathered granite on SW slopes of Paardeburg, </t>
  </si>
  <si>
    <t>stomatal response, many species have been classified as isohydric or anisohydric. Isohydric plants are those that</t>
  </si>
  <si>
    <t>Swartland. Raised 11mths in old foudres &amp; concrete</t>
  </si>
  <si>
    <t>close their stomata when they sense a drop in soil water potential, or an increase in the atmospheric demand.</t>
  </si>
  <si>
    <t>1st released from 2024s</t>
  </si>
  <si>
    <t xml:space="preserve">On the contrary, anisohydric plants continue to transpire even when soil water content diminishes, because of </t>
  </si>
  <si>
    <r>
      <t xml:space="preserve">ROTSBANK: </t>
    </r>
    <r>
      <rPr>
        <sz val="7"/>
        <color theme="1" tint="0.499984740745262"/>
        <rFont val="Noto Sans"/>
        <family val="2"/>
      </rPr>
      <t>chenin planted early 1980s on decomposed</t>
    </r>
  </si>
  <si>
    <t>a poor stomatal adjustment capacity. As a consequence, their leaf water potential falls, and the plant suffers</t>
  </si>
  <si>
    <t>granite soils at Aprilskloof, Paardeberg, Swartland.</t>
  </si>
  <si>
    <t>increasing stress. In other words: isohydric varieties are basically just more resilient and they handle stress, the</t>
  </si>
  <si>
    <t>Means rock-bank or rock-shelf.1st made 2022</t>
  </si>
  <si>
    <t>breakdown of acidity and fruit definition better during the later stages of ripeness, because the entire system</t>
  </si>
  <si>
    <r>
      <t>SKERPIOEN:</t>
    </r>
    <r>
      <rPr>
        <sz val="7"/>
        <color theme="1" tint="0.499984740745262"/>
        <rFont val="Noto Sans"/>
        <family val="2"/>
      </rPr>
      <t xml:space="preserve"> i.e. scorpion: 2.4ha chenin &amp; palomino</t>
    </r>
  </si>
  <si>
    <t>just works more economically with fewer resources.'</t>
  </si>
  <si>
    <t>co-planted 1958-1967 on white chalky limestone, at</t>
  </si>
  <si>
    <r>
      <rPr>
        <b/>
        <sz val="7"/>
        <color rgb="FF808080"/>
        <rFont val="Noto Sans"/>
        <family val="2"/>
      </rPr>
      <t>Eben, 2020-2024</t>
    </r>
    <r>
      <rPr>
        <sz val="7"/>
        <color rgb="FF808080"/>
        <rFont val="Noto Sans"/>
        <family val="2"/>
      </rPr>
      <t xml:space="preserve"> 'Isohydric varieties are ones that shut down at 10am when it is getting warm. The vine knows</t>
    </r>
  </si>
  <si>
    <t>St.Helena Bay on Swartland West Coast.</t>
  </si>
  <si>
    <t>it is going into stress when the tempo of the evapotranspiration through the stomata overshoots the capacity of</t>
  </si>
  <si>
    <t>7ha further recently planted here at Bottelfontein</t>
  </si>
  <si>
    <t>the vine to take up water through the capillary action through its roots. The good isohydric varieties (here) are</t>
  </si>
  <si>
    <r>
      <t>SKURFBERG:</t>
    </r>
    <r>
      <rPr>
        <sz val="7"/>
        <color theme="1" tint="0.499984740745262"/>
        <rFont val="Noto Sans"/>
        <family val="2"/>
      </rPr>
      <t xml:space="preserve"> 3 plots bush-vine chenin planted</t>
    </r>
  </si>
  <si>
    <t>Grenache, Carignan,  Assyrtiko, Grillo and Cataratto – all these hardcore Mediterranean varieties. The bad ones</t>
  </si>
  <si>
    <t>1940-1955 on sandstone at 640m on Citrusdal</t>
  </si>
  <si>
    <t>(here) are anisohydric: Merlot, Sauvignon, Pinot. A lot of the most popular grape varieties are anisohydric, and</t>
  </si>
  <si>
    <t>Mountain, Olifants River</t>
  </si>
  <si>
    <t>are the worst-adapted to climate change. Anisohydric varieties will just keep on evapotranspirating and put their</t>
  </si>
  <si>
    <r>
      <t>KOKERBOOM:</t>
    </r>
    <r>
      <rPr>
        <sz val="7"/>
        <color theme="1" tint="0.499984740745262"/>
        <rFont val="Noto Sans"/>
        <family val="2"/>
      </rPr>
      <t xml:space="preserve"> 1930s semillon (20%-30% gris/red)</t>
    </r>
  </si>
  <si>
    <t>own systems into such an induced stress situation. It’s at this point that the vine starts burning off the acid.'</t>
  </si>
  <si>
    <t>on iron-rich decomposed sandstone at 600m alt.</t>
  </si>
  <si>
    <t>at Clanwilliam, Citrusdal Mtn, Olifants River</t>
  </si>
  <si>
    <t>EBEN ON PLANTING:</t>
  </si>
  <si>
    <r>
      <t xml:space="preserve">T'VOETPAD: </t>
    </r>
    <r>
      <rPr>
        <sz val="7"/>
        <color theme="1" tint="0.499984740745262"/>
        <rFont val="Noto Sans"/>
        <family val="2"/>
      </rPr>
      <t>the footpath. 1.4ha ungrafted field-blend</t>
    </r>
  </si>
  <si>
    <r>
      <rPr>
        <b/>
        <sz val="7"/>
        <color rgb="FF808080"/>
        <rFont val="Noto Sans"/>
        <family val="2"/>
      </rPr>
      <t>Eben, 2020</t>
    </r>
    <r>
      <rPr>
        <sz val="7"/>
        <color rgb="FF808080"/>
        <rFont val="Noto Sans"/>
        <family val="2"/>
      </rPr>
      <t xml:space="preserve"> '(When) we plant new vines in old vineyards and put a lot of environmental inoculants to get</t>
    </r>
  </si>
  <si>
    <t>planted 1887-1928, mostly 1900, on alluvial sandstone.</t>
  </si>
  <si>
    <t>microbial life in the root zone.'</t>
  </si>
  <si>
    <t>Semillon (white &amp; pink), palomino &amp; chenin, 1% muscat.</t>
  </si>
  <si>
    <r>
      <rPr>
        <b/>
        <sz val="7"/>
        <color rgb="FF808080"/>
        <rFont val="Noto Sans"/>
        <family val="2"/>
      </rPr>
      <t>Eben, 2014</t>
    </r>
    <r>
      <rPr>
        <sz val="7"/>
        <color rgb="FF808080"/>
        <rFont val="Noto Sans"/>
        <family val="2"/>
      </rPr>
      <t xml:space="preserve"> 'Planting what belongs is much more to the point as opposed to planting what sells. The entire</t>
    </r>
  </si>
  <si>
    <t>Pieketberg, North Swartland</t>
  </si>
  <si>
    <t>New World being planted with only essentially seven different varieties does not translate cultures nor terroir.'</t>
  </si>
  <si>
    <r>
      <t>MEV.KIRSTEN:</t>
    </r>
    <r>
      <rPr>
        <sz val="7"/>
        <color theme="1" tint="0.499984740745262"/>
        <rFont val="Noto Sans"/>
        <family val="2"/>
      </rPr>
      <t xml:space="preserve"> 1ha 1905 &amp; 1920 chenin, with </t>
    </r>
  </si>
  <si>
    <r>
      <rPr>
        <b/>
        <sz val="7"/>
        <color rgb="FF808080"/>
        <rFont val="Noto Sans"/>
        <family val="2"/>
      </rPr>
      <t>Eben, 2020</t>
    </r>
    <r>
      <rPr>
        <sz val="7"/>
        <color rgb="FF808080"/>
        <rFont val="Noto Sans"/>
        <family val="2"/>
      </rPr>
      <t xml:space="preserve"> 'Grenache wants a lot of solar radiation, but not heat. We found a place here (at 708m.) Grenache is</t>
    </r>
  </si>
  <si>
    <t>massale interplanted grafted replacements, on</t>
  </si>
  <si>
    <t>an amazing grape. It is definitely on the A list for South Africa. If you look at our climatology there should be much</t>
  </si>
  <si>
    <t>decomposed granite, Jonkershoek Valley, Stellenbosch</t>
  </si>
  <si>
    <t>more planted, but it’s not because consumers still drink Merlot. The best selling wine in South Africa is Merlot.</t>
  </si>
  <si>
    <t>1st made 2006: the start of the Old-Vine Series</t>
  </si>
  <si>
    <t>Merlot uses a lot of water. So what do you do? You take a country that doesn’t have water and you plant a grape</t>
  </si>
  <si>
    <t xml:space="preserve">DISTRICT SERIES REDS (ex-OVS): </t>
  </si>
  <si>
    <t>that uses the most water.’</t>
  </si>
  <si>
    <r>
      <t>SONVANG:</t>
    </r>
    <r>
      <rPr>
        <sz val="7"/>
        <color rgb="FF808080"/>
        <rFont val="Noto Sans"/>
        <family val="2"/>
      </rPr>
      <t xml:space="preserve"> 12 isohydric red med' grapes co-planted</t>
    </r>
  </si>
  <si>
    <t xml:space="preserve">on weathered granite on W slopes of Paardeburg, </t>
  </si>
  <si>
    <t>EBEN ON FARMING:</t>
  </si>
  <si>
    <r>
      <rPr>
        <b/>
        <sz val="7"/>
        <color rgb="FF808080"/>
        <rFont val="Noto Sans"/>
        <family val="2"/>
      </rPr>
      <t>Eben, 2015</t>
    </r>
    <r>
      <rPr>
        <sz val="7"/>
        <color rgb="FF808080"/>
        <rFont val="Noto Sans"/>
        <family val="2"/>
      </rPr>
      <t xml:space="preserve"> 'It's the viticultural aspect that makes a wine. It's manic to get all the jobs all the time. It's not easy.'</t>
    </r>
  </si>
  <si>
    <t>1st released from 2024s. Means 'Sun-Catch'</t>
  </si>
  <si>
    <r>
      <rPr>
        <b/>
        <sz val="7"/>
        <color rgb="FF808080"/>
        <rFont val="Noto Sans"/>
        <family val="2"/>
      </rPr>
      <t xml:space="preserve">Eben, 2024 </t>
    </r>
    <r>
      <rPr>
        <sz val="7"/>
        <color rgb="FF808080"/>
        <rFont val="Noto Sans"/>
        <family val="2"/>
      </rPr>
      <t>'People want recipes; they want silver bullets. But there are none. The problem is when you start to</t>
    </r>
  </si>
  <si>
    <r>
      <t xml:space="preserve">SOLDAAT: </t>
    </r>
    <r>
      <rPr>
        <sz val="7"/>
        <color theme="1" tint="0.499984740745262"/>
        <rFont val="Noto Sans"/>
        <family val="2"/>
      </rPr>
      <t>ungrafted grenache planted 1970s w.2-3%</t>
    </r>
  </si>
  <si>
    <t>apply a fixed recipe, you actually degenerate your work. Farming, for me, means carrying out a day-to-day</t>
  </si>
  <si>
    <t>white grapes on decomposed granite, E.facing slope,</t>
  </si>
  <si>
    <t>re-evaluation of your policies. It’s not about building a sect, cult or elitist group...'</t>
  </si>
  <si>
    <t>708m altitude at Piekenierskloof pass, Citrusdal Mtn</t>
  </si>
  <si>
    <r>
      <rPr>
        <b/>
        <sz val="7"/>
        <color rgb="FF808080"/>
        <rFont val="Noto Sans"/>
        <family val="2"/>
      </rPr>
      <t xml:space="preserve">Eben, 2017 </t>
    </r>
    <r>
      <rPr>
        <sz val="7"/>
        <color rgb="FF808080"/>
        <rFont val="Noto Sans"/>
        <family val="2"/>
      </rPr>
      <t>'I will never stop doing fermages, because the best soils are always "out there."'</t>
    </r>
  </si>
  <si>
    <r>
      <t xml:space="preserve">POFADDER: </t>
    </r>
    <r>
      <rPr>
        <sz val="7"/>
        <color theme="1" tint="0.499984740745262"/>
        <rFont val="Noto Sans"/>
        <family val="2"/>
      </rPr>
      <t xml:space="preserve">1973 planted cinsault on iron-rich slate, </t>
    </r>
  </si>
  <si>
    <r>
      <rPr>
        <b/>
        <sz val="7"/>
        <color rgb="FF808080"/>
        <rFont val="Noto Sans"/>
        <family val="2"/>
      </rPr>
      <t xml:space="preserve">Eben, 2024 </t>
    </r>
    <r>
      <rPr>
        <sz val="7"/>
        <color rgb="FF808080"/>
        <rFont val="Noto Sans"/>
        <family val="2"/>
      </rPr>
      <t xml:space="preserve">'If your soil is healthy then it communicates better with the plant, and then eventually that </t>
    </r>
  </si>
  <si>
    <t>&amp; decompositions thereof, Riebeek River, Swartland</t>
  </si>
  <si>
    <t>communication continues through the fruit. I believe the next revolution will take place if the people truly want</t>
  </si>
  <si>
    <r>
      <t>TREINSPOOR:</t>
    </r>
    <r>
      <rPr>
        <sz val="7"/>
        <color theme="1" tint="0.499984740745262"/>
        <rFont val="Noto Sans"/>
        <family val="2"/>
      </rPr>
      <t xml:space="preserve"> tinta barrocca (by the old train line)</t>
    </r>
  </si>
  <si>
    <t>to return to the soil.'</t>
  </si>
  <si>
    <t xml:space="preserve">planted 1974 on alluvial sandstone, granite &amp; quartz. </t>
  </si>
  <si>
    <t>Malmesbury, Swartland</t>
  </si>
  <si>
    <t>EBEN ON TREATMENTS:</t>
  </si>
  <si>
    <r>
      <rPr>
        <b/>
        <sz val="7"/>
        <color rgb="FF808080"/>
        <rFont val="Noto Sans"/>
        <family val="2"/>
      </rPr>
      <t xml:space="preserve">Eben, 2020 </t>
    </r>
    <r>
      <rPr>
        <sz val="7"/>
        <color rgb="FF808080"/>
        <rFont val="Noto Sans"/>
        <family val="2"/>
      </rPr>
      <t>‘Even in organics there is a compromise. It is not all square, there is always a bit of a backward pass.</t>
    </r>
  </si>
  <si>
    <t>2025 new cellar finished; old one is now for bottling</t>
  </si>
  <si>
    <t xml:space="preserve">But it is probably the compromise that you can live with at this stage. The only thing that bothers me about </t>
  </si>
  <si>
    <t>2024 1st vintage new isohydric estate white &amp; red</t>
  </si>
  <si>
    <t>organics is you have to spray every seven days. Which means you are consuming more diesel and there is</t>
  </si>
  <si>
    <t>2023 OVS renamed Die Distriksreeks, District Series</t>
  </si>
  <si>
    <t>a lot of compaction.’</t>
  </si>
  <si>
    <t>2022 last vintage of Old-Vine Series</t>
  </si>
  <si>
    <r>
      <rPr>
        <b/>
        <sz val="7"/>
        <color rgb="FF808080"/>
        <rFont val="Noto Sans"/>
        <family val="2"/>
      </rPr>
      <t xml:space="preserve">Eben, 2020 </t>
    </r>
    <r>
      <rPr>
        <sz val="7"/>
        <color rgb="FF808080"/>
        <rFont val="Noto Sans"/>
        <family val="2"/>
      </rPr>
      <t>‘The whole thing about organics and biodynamics or whatever you want to call it is populating the</t>
    </r>
  </si>
  <si>
    <t>2021 1st vintage with no pigeage</t>
  </si>
  <si>
    <t>best population first. Don’t bother building and then not occupy the building: you will get bad tenants.’</t>
  </si>
  <si>
    <t>2021 offered neighbouring 20ha farm, incl Rotsbank</t>
  </si>
  <si>
    <r>
      <rPr>
        <b/>
        <sz val="7"/>
        <color rgb="FF808080"/>
        <rFont val="Noto Sans"/>
        <family val="2"/>
      </rPr>
      <t xml:space="preserve">Eben, 2020 </t>
    </r>
    <r>
      <rPr>
        <sz val="7"/>
        <color rgb="FF808080"/>
        <rFont val="Noto Sans"/>
        <family val="2"/>
      </rPr>
      <t>‘(Agro-Organics product Bio-impilo) is a great fighter against downy mildew. It is classified as a</t>
    </r>
  </si>
  <si>
    <t>2020 - 2024 Paul Jordaan is winemaker</t>
  </si>
  <si>
    <t>plant growth stimulant, but it is actually a metabolite that is a secondary product from Trichoderma, and it is</t>
  </si>
  <si>
    <t>2020 Morné Steyn becomes vineyard manager</t>
  </si>
  <si>
    <t>antifungal. Sulfur dusting is largely underrated. It is the old school way. Some years we use this. Then we use</t>
  </si>
  <si>
    <t>2017 to 2019 production 1/3 down due to drought</t>
  </si>
  <si>
    <t>seaweed fermentation, because you must boost the plants. (Pine resin) keeps the spray(s) longer on the leaves.’</t>
  </si>
  <si>
    <t>2016 1st isohydric plantings at Rotsvas Farm</t>
  </si>
  <si>
    <t xml:space="preserve">2015 1st Palladius in new cellar (cement &amp; terracotta) </t>
  </si>
  <si>
    <t>EBEN ON PEOPLE:</t>
  </si>
  <si>
    <t>2015 &amp; 2014 IWR Top 100 Wines of The Year</t>
  </si>
  <si>
    <r>
      <rPr>
        <b/>
        <sz val="7"/>
        <color rgb="FF808080"/>
        <rFont val="Noto Sans"/>
        <family val="2"/>
      </rPr>
      <t>Eben, 2024</t>
    </r>
    <r>
      <rPr>
        <sz val="7"/>
        <color rgb="FF808080"/>
        <rFont val="Noto Sans"/>
        <family val="2"/>
      </rPr>
      <t xml:space="preserve"> 'great wine cannot be made by one person alone.'</t>
    </r>
  </si>
  <si>
    <t>2015 1st vintage with 100% tested 1-piece cork</t>
  </si>
  <si>
    <r>
      <rPr>
        <b/>
        <sz val="7"/>
        <color rgb="FF808080"/>
        <rFont val="Noto Sans"/>
        <family val="2"/>
      </rPr>
      <t>Eben, 2021</t>
    </r>
    <r>
      <rPr>
        <sz val="7"/>
        <color rgb="FF808080"/>
        <rFont val="Noto Sans"/>
        <family val="2"/>
      </rPr>
      <t xml:space="preserve"> 'I have surpassed everything I set out to do and forged a team around me with similar capabilities. </t>
    </r>
  </si>
  <si>
    <t>2011 sabotage in Priorat cellar; Sadie departs</t>
  </si>
  <si>
    <t xml:space="preserve">You need people to follow with the same trajectory, people that buy into your vision. It’s like a painter. </t>
  </si>
  <si>
    <t>2007 1st entry in Wine Spectator Top 100</t>
  </si>
  <si>
    <t xml:space="preserve">You need a good studio where you feel free to practice your art. Wine is the same, but there are all these people </t>
  </si>
  <si>
    <t>2006 1st Old-Vine Series wine, Mev.Kirsten</t>
  </si>
  <si>
    <t>who make it possible.'</t>
  </si>
  <si>
    <t>2000 1st vintage: 14 casks of Columella</t>
  </si>
  <si>
    <r>
      <rPr>
        <b/>
        <sz val="7"/>
        <color rgb="FF808080"/>
        <rFont val="Noto Sans"/>
        <family val="2"/>
      </rPr>
      <t>Eben, 2012</t>
    </r>
    <r>
      <rPr>
        <sz val="7"/>
        <color rgb="FF808080"/>
        <rFont val="Noto Sans"/>
        <family val="2"/>
      </rPr>
      <t xml:space="preserve"> 'People need to get together for more than just christenings, birthdays and funerals'</t>
    </r>
  </si>
  <si>
    <r>
      <rPr>
        <b/>
        <sz val="7"/>
        <color rgb="FF808080"/>
        <rFont val="Noto Sans"/>
        <family val="2"/>
      </rPr>
      <t>Eben, 2015</t>
    </r>
    <r>
      <rPr>
        <sz val="7"/>
        <color rgb="FF808080"/>
        <rFont val="Noto Sans"/>
        <family val="2"/>
      </rPr>
      <t xml:space="preserve"> 'When I was younger, there were too many changes that were too quick. Everything new is not</t>
    </r>
  </si>
  <si>
    <t>TheSadieFamily.com</t>
  </si>
  <si>
    <t>always cool. I really question myself.'</t>
  </si>
  <si>
    <t>LEVI DALTON 'IDTT' INTERVIEW #205</t>
  </si>
  <si>
    <r>
      <rPr>
        <b/>
        <sz val="7"/>
        <color rgb="FF808080"/>
        <rFont val="Noto Sans"/>
        <family val="2"/>
      </rPr>
      <t xml:space="preserve">Eben, 2020 </t>
    </r>
    <r>
      <rPr>
        <sz val="7"/>
        <color rgb="FF808080"/>
        <rFont val="Noto Sans"/>
        <family val="2"/>
      </rPr>
      <t xml:space="preserve">‘A young vine is like a young person. It needs to still find the boundaries of life. It is sometimes </t>
    </r>
  </si>
  <si>
    <t>GROWER CODE: SADIE</t>
  </si>
  <si>
    <t>a little too optimistic about its capabilities.’</t>
  </si>
  <si>
    <t>EBEN ON THE WINES:</t>
  </si>
  <si>
    <r>
      <rPr>
        <b/>
        <sz val="7"/>
        <color rgb="FF808080"/>
        <rFont val="Noto Sans"/>
        <family val="2"/>
      </rPr>
      <t>Eben, 2015</t>
    </r>
    <r>
      <rPr>
        <sz val="7"/>
        <color rgb="FF808080"/>
        <rFont val="Noto Sans"/>
        <family val="2"/>
      </rPr>
      <t xml:space="preserve"> 'Columella and Palladius are two regional wines. They are impartial. They are PC. They are</t>
    </r>
  </si>
  <si>
    <t xml:space="preserve">labeled differently. They have to deal with change. So we impart the new knowledge as the appellation </t>
  </si>
  <si>
    <t>develops. The future dynamic of the region is going to unfold and so the wines have to change.'</t>
  </si>
  <si>
    <r>
      <rPr>
        <b/>
        <sz val="7"/>
        <color rgb="FF808080"/>
        <rFont val="Noto Sans"/>
        <family val="2"/>
      </rPr>
      <t xml:space="preserve">Eben, 2024 </t>
    </r>
    <r>
      <rPr>
        <sz val="7"/>
        <color rgb="FF808080"/>
        <rFont val="Noto Sans"/>
        <family val="2"/>
      </rPr>
      <t>'Every year, climate conditions favour different varieties and different sites. That’s why I maintain</t>
    </r>
  </si>
  <si>
    <t>that if you want to make a truly world-class wine, blending vineyards is superior to working with one monopole.'</t>
  </si>
  <si>
    <r>
      <rPr>
        <b/>
        <sz val="7"/>
        <color rgb="FF808080"/>
        <rFont val="Noto Sans"/>
        <family val="2"/>
      </rPr>
      <t>Eben, 2015</t>
    </r>
    <r>
      <rPr>
        <sz val="7"/>
        <color rgb="FF808080"/>
        <rFont val="Noto Sans"/>
        <family val="2"/>
      </rPr>
      <t xml:space="preserve"> 'The OVS is (was) about showing the good things in the past. You cannot rewrite history.'</t>
    </r>
  </si>
  <si>
    <r>
      <rPr>
        <b/>
        <sz val="7"/>
        <color rgb="FF808080"/>
        <rFont val="Noto Sans"/>
        <family val="2"/>
      </rPr>
      <t>Eben, 2021</t>
    </r>
    <r>
      <rPr>
        <sz val="7"/>
        <color rgb="FF808080"/>
        <rFont val="Noto Sans"/>
        <family val="2"/>
      </rPr>
      <t xml:space="preserve"> 'Mev. Kirsten is one of those wines where I talk with a pride that can border on arrogance. But there </t>
    </r>
  </si>
  <si>
    <t>most difficult soils that we farm – it gets so wet quickly and dries just as quick. We have put a lot of organic</t>
  </si>
  <si>
    <t>material in that vineyard over the last 10 years. From 2017 onward it has entered a completely different realm.'</t>
  </si>
  <si>
    <r>
      <rPr>
        <b/>
        <sz val="7"/>
        <color rgb="FF808080"/>
        <rFont val="Noto Sans"/>
        <family val="2"/>
      </rPr>
      <t xml:space="preserve">Eben, 2024 </t>
    </r>
    <r>
      <rPr>
        <sz val="7"/>
        <color rgb="FF808080"/>
        <rFont val="Noto Sans"/>
        <family val="2"/>
      </rPr>
      <t>'Treinspoor can be sinister; it doesn’t let you in. It’s like the quiet guy at the end of the bar, the one</t>
    </r>
  </si>
  <si>
    <t>that doesn’t say anything. Meanwhile, Pofadder is the guy at the bar buying everyone drinks &amp; dancing with the girls.'</t>
  </si>
  <si>
    <r>
      <rPr>
        <b/>
        <sz val="7"/>
        <color rgb="FF808080"/>
        <rFont val="Noto Sans"/>
        <family val="2"/>
      </rPr>
      <t>Eben, 2020</t>
    </r>
    <r>
      <rPr>
        <sz val="7"/>
        <color rgb="FF808080"/>
        <rFont val="Noto Sans"/>
        <family val="2"/>
      </rPr>
      <t xml:space="preserve"> 'My favourite grape is Tinta Barocca. This is the historic grape of the Cape that belonged to the </t>
    </r>
  </si>
  <si>
    <t>Swartland, and to me it defines terroir. They didn’t plant the same quantitites again (post-phylloxera)</t>
  </si>
  <si>
    <t>because it is a shy bearer. There is no reference for Tinta Barocca.’</t>
  </si>
  <si>
    <t>KIND WORDS ON SIJNN, etc:</t>
  </si>
  <si>
    <t>Sijnn: wilderness | coastal | isohydric-vines | estate</t>
  </si>
  <si>
    <r>
      <rPr>
        <b/>
        <sz val="7"/>
        <color rgb="FF808080"/>
        <rFont val="Noto Sans"/>
        <family val="2"/>
      </rPr>
      <t xml:space="preserve">Sijnn </t>
    </r>
    <r>
      <rPr>
        <sz val="7"/>
        <color rgb="FF808080"/>
        <rFont val="Noto Sans"/>
        <family val="2"/>
      </rPr>
      <t>'everything we do revolves around our unique location and terroir. We believe in natural farming and natural winemaking, and focus</t>
    </r>
  </si>
  <si>
    <t>our skills on blending Mediterranean-style varieties that are best suited to our climate.</t>
  </si>
  <si>
    <r>
      <rPr>
        <b/>
        <sz val="7"/>
        <color theme="1" tint="0.499984740745262"/>
        <rFont val="Noto Sans"/>
        <family val="2"/>
      </rPr>
      <t>J.Goode, 2023</t>
    </r>
    <r>
      <rPr>
        <sz val="7"/>
        <color theme="1" tint="0.499984740745262"/>
        <rFont val="Noto Sans"/>
        <family val="2"/>
      </rPr>
      <t xml:space="preserve"> 'Remarkable. … They are doing something unique in an area that is undiscovered.'</t>
    </r>
  </si>
  <si>
    <r>
      <rPr>
        <b/>
        <sz val="7"/>
        <color theme="1" tint="0.499984740745262"/>
        <rFont val="Noto Sans"/>
        <family val="2"/>
      </rPr>
      <t>J.Goode, 2010</t>
    </r>
    <r>
      <rPr>
        <sz val="7"/>
        <color theme="1" tint="0.499984740745262"/>
        <rFont val="Noto Sans"/>
        <family val="2"/>
      </rPr>
      <t xml:space="preserve"> 'a serious South African red blend.. The vineyards are a long way from anywhere, on the Breede River'</t>
    </r>
  </si>
  <si>
    <r>
      <rPr>
        <b/>
        <sz val="7"/>
        <color rgb="FF808080"/>
        <rFont val="Noto Sans"/>
        <family val="2"/>
      </rPr>
      <t>Monica Larner, TWA 2025</t>
    </r>
    <r>
      <rPr>
        <sz val="7"/>
        <color rgb="FF808080"/>
        <rFont val="Noto Sans"/>
        <family val="2"/>
      </rPr>
      <t xml:space="preserve"> 'During my travels in South Africa, I asked producers to recommend other winemakers of special interest. This name, Sijnn, came up often...'</t>
    </r>
  </si>
  <si>
    <r>
      <rPr>
        <b/>
        <sz val="7"/>
        <color rgb="FF808080"/>
        <rFont val="Noto Sans"/>
        <family val="2"/>
      </rPr>
      <t>Monica Larner, TWA 2025</t>
    </r>
    <r>
      <rPr>
        <sz val="7"/>
        <color rgb="FF808080"/>
        <rFont val="Noto Sans"/>
        <family val="2"/>
      </rPr>
      <t xml:space="preserve"> 'This is an exciting discovery.'</t>
    </r>
  </si>
  <si>
    <r>
      <rPr>
        <b/>
        <sz val="7"/>
        <color rgb="FF808080"/>
        <rFont val="Noto Sans"/>
        <family val="2"/>
      </rPr>
      <t>TWA 2024</t>
    </r>
    <r>
      <rPr>
        <sz val="7"/>
        <color rgb="FF808080"/>
        <rFont val="Noto Sans"/>
        <family val="2"/>
      </rPr>
      <t xml:space="preserve"> 'It potentially represents the best value in all of South Africa right now due to its staying power and food friendly expression' (on Estate Red)</t>
    </r>
  </si>
  <si>
    <r>
      <rPr>
        <b/>
        <sz val="7"/>
        <color theme="1" tint="0.499984740745262"/>
        <rFont val="Noto Sans"/>
        <family val="2"/>
      </rPr>
      <t>J.Molesworth, Wine Spectator, 2013</t>
    </r>
    <r>
      <rPr>
        <sz val="7"/>
        <color theme="1" tint="0.499984740745262"/>
        <rFont val="Noto Sans"/>
        <family val="2"/>
      </rPr>
      <t xml:space="preserve"> 'I think it's important for anyone who appreciates the efforts that go into making wine to try and</t>
    </r>
  </si>
  <si>
    <t>track down a few bottles of Sijnn. There are few projects that epitomize such a soulful, pioneering approach to winemaking.'</t>
  </si>
  <si>
    <r>
      <rPr>
        <b/>
        <sz val="7"/>
        <color theme="1" tint="0.499984740745262"/>
        <rFont val="Noto Sans"/>
        <family val="2"/>
      </rPr>
      <t>J.Molesworth, Wine Spectator, 2013</t>
    </r>
    <r>
      <rPr>
        <sz val="7"/>
        <color theme="1" tint="0.499984740745262"/>
        <rFont val="Noto Sans"/>
        <family val="2"/>
      </rPr>
      <t xml:space="preserve"> 'he's already pulled together a white &amp; red with a thoroughly distinct profile, steadily improving quality'</t>
    </r>
  </si>
  <si>
    <r>
      <rPr>
        <b/>
        <sz val="7"/>
        <color theme="1" tint="0.499984740745262"/>
        <rFont val="Noto Sans"/>
        <family val="2"/>
      </rPr>
      <t>J.Robinson MW, 2016</t>
    </r>
    <r>
      <rPr>
        <sz val="7"/>
        <color theme="1" tint="0.499984740745262"/>
        <rFont val="Noto Sans"/>
        <family val="2"/>
      </rPr>
      <t xml:space="preserve"> 'One of the most exciting things about wine is that there are still clearly undiscovered wine regions with real potential.'</t>
    </r>
  </si>
  <si>
    <r>
      <rPr>
        <b/>
        <sz val="7"/>
        <color theme="1" tint="0.499984740745262"/>
        <rFont val="Noto Sans"/>
        <family val="2"/>
      </rPr>
      <t>J.Robinson MW, 2016 '</t>
    </r>
    <r>
      <rPr>
        <sz val="7"/>
        <color theme="1" tint="0.499984740745262"/>
        <rFont val="Noto Sans"/>
        <family val="2"/>
      </rPr>
      <t>The wines have real poise and geographical signature about them.'</t>
    </r>
  </si>
  <si>
    <r>
      <rPr>
        <b/>
        <sz val="7"/>
        <color theme="1" tint="0.499984740745262"/>
        <rFont val="Noto Sans"/>
        <family val="2"/>
      </rPr>
      <t>J.Robinson MW, 2016</t>
    </r>
    <r>
      <rPr>
        <sz val="7"/>
        <color theme="1" tint="0.499984740745262"/>
        <rFont val="Noto Sans"/>
        <family val="2"/>
      </rPr>
      <t xml:space="preserve"> 'I gave all these wines either 16.5 or 17 out of 20 – high scores for miserly me.'</t>
    </r>
  </si>
  <si>
    <r>
      <rPr>
        <b/>
        <sz val="7"/>
        <color theme="1" tint="0.499984740745262"/>
        <rFont val="Noto Sans"/>
        <family val="2"/>
      </rPr>
      <t>J.Robinson MW, 2010</t>
    </r>
    <r>
      <rPr>
        <sz val="7"/>
        <color theme="1" tint="0.499984740745262"/>
        <rFont val="Noto Sans"/>
        <family val="2"/>
      </rPr>
      <t xml:space="preserve"> 'The overall impression is of a South African red that is unusually lively, complex, confident and creditable'</t>
    </r>
  </si>
  <si>
    <r>
      <rPr>
        <b/>
        <sz val="7"/>
        <color theme="1" tint="0.499984740745262"/>
        <rFont val="Noto Sans"/>
        <family val="2"/>
      </rPr>
      <t>J.Robinson MW, 2010</t>
    </r>
    <r>
      <rPr>
        <sz val="7"/>
        <color theme="1" tint="0.499984740745262"/>
        <rFont val="Noto Sans"/>
        <family val="2"/>
      </rPr>
      <t xml:space="preserve"> 'this wine is likely to become more expensive as it establishes the reputation of this exciting new region'</t>
    </r>
  </si>
  <si>
    <r>
      <rPr>
        <b/>
        <sz val="7"/>
        <color rgb="FF808080"/>
        <rFont val="Noto Sans"/>
        <family val="2"/>
      </rPr>
      <t>Tim Atkin MW</t>
    </r>
    <r>
      <rPr>
        <sz val="7"/>
        <color rgb="FF808080"/>
        <rFont val="Noto Sans"/>
        <family val="2"/>
      </rPr>
      <t xml:space="preserve"> 'Sijnn is one of the most amazing new terroirs in the Cape, producing wines of remarkable individuality'</t>
    </r>
  </si>
  <si>
    <r>
      <rPr>
        <b/>
        <sz val="7"/>
        <color rgb="FF808080"/>
        <rFont val="Noto Sans"/>
        <family val="2"/>
      </rPr>
      <t>Tim Atkin MW</t>
    </r>
    <r>
      <rPr>
        <sz val="7"/>
        <color rgb="FF808080"/>
        <rFont val="Noto Sans"/>
        <family val="2"/>
      </rPr>
      <t xml:space="preserve"> 'This (red) blend, made with grapes grown just 15km from the sea, is stony, complex and intensly aromatic, showing lavender,</t>
    </r>
  </si>
  <si>
    <t>and wild thyme flavours, grippy tannins layered, mineral intense fruit.'</t>
  </si>
  <si>
    <r>
      <rPr>
        <b/>
        <sz val="7"/>
        <color rgb="FF808080"/>
        <rFont val="Noto Sans"/>
        <family val="2"/>
      </rPr>
      <t>Tim Atkin MW, 2015</t>
    </r>
    <r>
      <rPr>
        <sz val="7"/>
        <color rgb="FF808080"/>
        <rFont val="Noto Sans"/>
        <family val="2"/>
      </rPr>
      <t xml:space="preserve"> 'Sijnn in Malgas and Porseleinberg in the Swartland – remarkable vineyards at opposite ends of the winelands. </t>
    </r>
  </si>
  <si>
    <t>These very different sites are producing two of the finest examples of the (syrah) grape in the country'</t>
  </si>
  <si>
    <t>SIJNN WINES</t>
  </si>
  <si>
    <t>ESTATE WHITE VARIETALS:</t>
  </si>
  <si>
    <t>Malgas, Swellendam, Western Cape</t>
  </si>
  <si>
    <t>22SIJNN11</t>
  </si>
  <si>
    <t>NB Sijnn is prounounced 'sen', or 'seine'</t>
  </si>
  <si>
    <t>ESTATE WHITE ISOHYDRIC BLEND:</t>
  </si>
  <si>
    <t xml:space="preserve">Certified IPW sustainable. </t>
  </si>
  <si>
    <t>22SIJNN01</t>
  </si>
  <si>
    <t>125ha farm; ~22ha vines planted so far:</t>
  </si>
  <si>
    <t>21SIJNN08</t>
  </si>
  <si>
    <t>all low yielding (3-4tons/ha) 'isohydric' &amp;/or</t>
  </si>
  <si>
    <t>21SIJNN04</t>
  </si>
  <si>
    <t>mediterranean climate-resistant varieties.</t>
  </si>
  <si>
    <t>21SIJNN03</t>
  </si>
  <si>
    <t>Bush vines on 'soils' of 90% rolled stones</t>
  </si>
  <si>
    <t>ESTATE WHITE ISOHYDRIC BLEND - LARGE FORMAT</t>
  </si>
  <si>
    <t>on 'Bokkeveld shale &amp; alluvial origins.</t>
  </si>
  <si>
    <t>21SIJNN08MG</t>
  </si>
  <si>
    <t>30ha in Renosterveld biodiversity trust.</t>
  </si>
  <si>
    <t>21SIJNN03MG</t>
  </si>
  <si>
    <t>Low rainfall, 250mm~350mm pa. Max 30°C.</t>
  </si>
  <si>
    <t>21SIJNN04JB</t>
  </si>
  <si>
    <t>15km to ocean; so cool sea breezes</t>
  </si>
  <si>
    <t>21SIJNN03JB</t>
  </si>
  <si>
    <t>Alcohol level range usually 13% to 14%</t>
  </si>
  <si>
    <t>'LOW PROFILE' RED ESTATE BLEND - 2nd WINE:</t>
  </si>
  <si>
    <t>All bottled unfined unfiltered, except estate</t>
  </si>
  <si>
    <t>22SIJNN03</t>
  </si>
  <si>
    <t>white: some casks occasionally need fining</t>
  </si>
  <si>
    <t>21SIJNN05MG</t>
  </si>
  <si>
    <t>KEY ISOHYDRIC VARIETIES:</t>
  </si>
  <si>
    <t>ESTATE RED ISOHYDRIC VARIETALS, A-Z:</t>
  </si>
  <si>
    <r>
      <rPr>
        <b/>
        <sz val="7"/>
        <color theme="1" tint="0.499984740745262"/>
        <rFont val="Noto Sans"/>
        <family val="2"/>
      </rPr>
      <t>WHITES INCL.:</t>
    </r>
    <r>
      <rPr>
        <sz val="7"/>
        <color theme="1" tint="0.499984740745262"/>
        <rFont val="Noto Sans"/>
        <family val="2"/>
      </rPr>
      <t xml:space="preserve"> assyrtiko, chenin blanc, viognier, </t>
    </r>
  </si>
  <si>
    <t>22SIJNN05</t>
  </si>
  <si>
    <t>petit manseng, roussanne, vermentino, verdelho</t>
  </si>
  <si>
    <t>22SIJNN09</t>
  </si>
  <si>
    <r>
      <rPr>
        <b/>
        <sz val="7"/>
        <color theme="1" tint="0.499984740745262"/>
        <rFont val="Noto Sans"/>
        <family val="2"/>
      </rPr>
      <t>REDS INCL.:</t>
    </r>
    <r>
      <rPr>
        <sz val="7"/>
        <color theme="1" tint="0.499984740745262"/>
        <rFont val="Noto Sans"/>
        <family val="2"/>
      </rPr>
      <t xml:space="preserve"> syrah, touriga nacional, trincadeira, </t>
    </r>
  </si>
  <si>
    <t>22SIJNN06</t>
  </si>
  <si>
    <t>cab.sauvignon, garnacha peluda &amp; noir, mourvedre,</t>
  </si>
  <si>
    <t>22SIJNN08</t>
  </si>
  <si>
    <t>tempranillo, &amp; trials of carignan, malbec, barbera</t>
  </si>
  <si>
    <t>22SIJNN04</t>
  </si>
  <si>
    <t>CASK PROGRAM:</t>
  </si>
  <si>
    <t>22SIJNN07</t>
  </si>
  <si>
    <t>~80% French, 20% Austrian/Hungarian oak</t>
  </si>
  <si>
    <t>ESTATE RED ISOHYDRIC BLEND:</t>
  </si>
  <si>
    <r>
      <rPr>
        <b/>
        <sz val="7"/>
        <color theme="1" tint="0.499984740745262"/>
        <rFont val="Noto Sans"/>
        <family val="2"/>
      </rPr>
      <t xml:space="preserve">White wine: </t>
    </r>
    <r>
      <rPr>
        <sz val="7"/>
        <color theme="1" tint="0.499984740745262"/>
        <rFont val="Noto Sans"/>
        <family val="2"/>
      </rPr>
      <t>400L &amp; 700L, ~10% new, 10mths</t>
    </r>
  </si>
  <si>
    <t>22SIJNN02</t>
  </si>
  <si>
    <r>
      <rPr>
        <b/>
        <sz val="7"/>
        <color theme="1" tint="0.499984740745262"/>
        <rFont val="Noto Sans"/>
        <family val="2"/>
      </rPr>
      <t>Red wine:</t>
    </r>
    <r>
      <rPr>
        <sz val="7"/>
        <color theme="1" tint="0.499984740745262"/>
        <rFont val="Noto Sans"/>
        <family val="2"/>
      </rPr>
      <t xml:space="preserve"> 225L 1st yr, 700L 2nd yr, ~20% new,</t>
    </r>
  </si>
  <si>
    <t>21SIJNN09</t>
  </si>
  <si>
    <t>22mths elevage. (Less new % on Low Profile)</t>
  </si>
  <si>
    <t>21SIJNN07</t>
  </si>
  <si>
    <r>
      <rPr>
        <b/>
        <sz val="7"/>
        <color theme="1" tint="0.499984740745262"/>
        <rFont val="Noto Sans"/>
        <family val="2"/>
      </rPr>
      <t>Coopers</t>
    </r>
    <r>
      <rPr>
        <sz val="7"/>
        <color theme="1" tint="0.499984740745262"/>
        <rFont val="Noto Sans"/>
        <family val="2"/>
      </rPr>
      <t>: Francois Freres, Taransaud, Boutes,</t>
    </r>
  </si>
  <si>
    <t>20SIJNN01</t>
  </si>
  <si>
    <t xml:space="preserve">Kadar (Hungary), Stockinger, Garbellotto </t>
  </si>
  <si>
    <t>22SIJNN12</t>
  </si>
  <si>
    <t>ESTATE RED ISOHYDRIC BLEND - LARGE FORMAT:</t>
  </si>
  <si>
    <t>Kruger Theunissen, winemaker</t>
  </si>
  <si>
    <t>21SIJNN09MG</t>
  </si>
  <si>
    <t>David &amp; Rita Trafford, founding partners, architect</t>
  </si>
  <si>
    <t>21SIJNN09JB</t>
  </si>
  <si>
    <t>Simon Farr, partner</t>
  </si>
  <si>
    <t>CAPE VINTAGE (i.e. PORT-STYLE):</t>
  </si>
  <si>
    <t>21SIJNN11HF</t>
  </si>
  <si>
    <t>2025 Charla Haasbroek departs; new winemaker</t>
  </si>
  <si>
    <t>2023 20th anniversary retrospective, Oswald's LDN</t>
  </si>
  <si>
    <t>2023 'Mindful Winemaking' booklet issued</t>
  </si>
  <si>
    <t>2022 - 2023 assyrtiko being planted</t>
  </si>
  <si>
    <t>2020 30ha signed to Overberg Renosterveld Conservation Trust</t>
  </si>
  <si>
    <t>2019 1st vintage of Cape Vintage, port-style</t>
  </si>
  <si>
    <t xml:space="preserve">2016 - 2023 Charla gradually plants a further 6ha </t>
  </si>
  <si>
    <t>2015 Certified IPW Sustainable</t>
  </si>
  <si>
    <t>2014 winery completed; Charla Haasbroek arrives</t>
  </si>
  <si>
    <t>2012 D.Trafford, architect, designs new winery</t>
  </si>
  <si>
    <t>2010 3.2ha whites planted &amp; 0.7ha olive trees</t>
  </si>
  <si>
    <t>2009 1st vintage Low Profile red, the 2nd wine</t>
  </si>
  <si>
    <t>2008 1st vintage Estate White</t>
  </si>
  <si>
    <t>2007 1st vintage Estate Red</t>
  </si>
  <si>
    <t>2007 - 2013 made at de Trafford, Stellenbosch</t>
  </si>
  <si>
    <t>2004 1st 12ha of vines planted</t>
  </si>
  <si>
    <t>2003 125ha farm purchased (ex-ostrich &amp; grain)</t>
  </si>
  <si>
    <t>2000 Traffords visit The Tides River Lodge, Malgas</t>
  </si>
  <si>
    <t>2022 'Young Winemaker of The Year', Tim Atkin MW</t>
  </si>
  <si>
    <t>2020 Platter Syrah based Red blend of the year (2017)</t>
  </si>
  <si>
    <t>Sijnn.co.za</t>
  </si>
  <si>
    <t>facebook.com/sijnnwines/</t>
  </si>
  <si>
    <t>OverbergRenosterveld.org.za</t>
  </si>
  <si>
    <t>GROWER CODE: SIJNN</t>
  </si>
  <si>
    <r>
      <t xml:space="preserve">NB </t>
    </r>
    <r>
      <rPr>
        <b/>
        <i/>
        <sz val="8"/>
        <color theme="1" tint="0.14999847407452621"/>
        <rFont val="Noto Sans"/>
        <family val="2"/>
      </rPr>
      <t>ALL</t>
    </r>
    <r>
      <rPr>
        <b/>
        <sz val="8"/>
        <color theme="1" tint="0.14999847407452621"/>
        <rFont val="Noto Sans"/>
        <family val="2"/>
      </rPr>
      <t xml:space="preserve"> FICHES &amp; ANALYSES ARE AVAIL</t>
    </r>
  </si>
  <si>
    <t>WARWICK ESTATE</t>
  </si>
  <si>
    <t>24WARWICK01VDP</t>
  </si>
  <si>
    <t>Stellenbosch. Ratcliffe family since 1964</t>
  </si>
  <si>
    <t>25WARWICK01VDP</t>
  </si>
  <si>
    <r>
      <t xml:space="preserve">110ha estate, w.56ha </t>
    </r>
    <r>
      <rPr>
        <b/>
        <sz val="8"/>
        <color rgb="FF00B050"/>
        <rFont val="Noto Sans"/>
        <family val="2"/>
      </rPr>
      <t>sustainable</t>
    </r>
    <r>
      <rPr>
        <sz val="8"/>
        <color theme="1" tint="0.14999847407452621"/>
        <rFont val="Noto Sans"/>
        <family val="2"/>
      </rPr>
      <t xml:space="preserve"> vines -</t>
    </r>
  </si>
  <si>
    <t>Biodiversity and Wine Initiative member</t>
  </si>
  <si>
    <t>WarwickWine.com</t>
  </si>
  <si>
    <t>CapeWineLandsBiosphere.co.za</t>
  </si>
  <si>
    <t>GROWER CODE: WARWICK</t>
  </si>
  <si>
    <t>Japan - sake glossary, A-Z:</t>
  </si>
  <si>
    <t>Selection in Japan by Dick Stegewerns</t>
  </si>
  <si>
    <t>RICE:</t>
  </si>
  <si>
    <t>of Yoigokochi Sake Importers, Holland</t>
  </si>
  <si>
    <t>akamaishu = red rice</t>
  </si>
  <si>
    <t>Selected &amp; imported by Raeburn Wines</t>
  </si>
  <si>
    <t>genmai = brown rice</t>
  </si>
  <si>
    <t>NB PLEASE STORE SAKE VERTICALLY</t>
  </si>
  <si>
    <t>hanmai = table rice varieties</t>
  </si>
  <si>
    <t>WITH CAPSULE POINTING UPWARDS</t>
  </si>
  <si>
    <t>sakamai = sake specific rice</t>
  </si>
  <si>
    <t>Yoigokochi.eu</t>
  </si>
  <si>
    <t>shinpaku = starch rich, low-fat heart of sakamai</t>
  </si>
  <si>
    <t>RaeburnFineWines.com</t>
  </si>
  <si>
    <t>PEOPLE:</t>
  </si>
  <si>
    <t>CATEGORY CODE: SAKE</t>
  </si>
  <si>
    <t>kurabito = brewery team</t>
  </si>
  <si>
    <t>kuramoto = brewery owner</t>
  </si>
  <si>
    <t>toji = head brewer / brewmaster</t>
  </si>
  <si>
    <t>shuzo = sake brewery</t>
  </si>
  <si>
    <t>BREWING &amp; SAKE TERMS:</t>
  </si>
  <si>
    <t>aragoshi nigori = roughly-pressed cloudy</t>
  </si>
  <si>
    <t>bodaimoto = ancient / original brewing system</t>
  </si>
  <si>
    <t>daiginjo = rice grains polished down by 50% and over</t>
  </si>
  <si>
    <t>doburoku = unrefined sake</t>
  </si>
  <si>
    <t>genshu = undiluted</t>
  </si>
  <si>
    <t>ginjo = rice grains polished down by 40% and over</t>
  </si>
  <si>
    <t xml:space="preserve"> junmai = 100% pure rice wine: no extra alcohol/starch/sugar</t>
  </si>
  <si>
    <t>kimoto = slow making of starter</t>
  </si>
  <si>
    <t>koji = rice with cultured aspergillus oryzae</t>
  </si>
  <si>
    <t>kijoshu = rare sake made (partly) with sake</t>
  </si>
  <si>
    <t>ko-on yamahai = Kidoizumi's hot kimoto with a kind of pigeage</t>
  </si>
  <si>
    <t>koshu = aged sake</t>
  </si>
  <si>
    <t>kura = brewing room(s)</t>
  </si>
  <si>
    <t> motoba = yeast house (for making shubo)</t>
  </si>
  <si>
    <t>muroka = unfiltered (carbon filtering)</t>
  </si>
  <si>
    <t>nama = unpasteurised</t>
  </si>
  <si>
    <t>nama-gen = unpasteurised &amp; undiluted</t>
  </si>
  <si>
    <t>nigori = cloudy</t>
  </si>
  <si>
    <t>omiki = sacred sake</t>
  </si>
  <si>
    <t>ryorizake = 'cooking' sake</t>
  </si>
  <si>
    <t>sake = booze (i.e. not just 'rice-wine')</t>
  </si>
  <si>
    <t>shiboritate = freshly pressed</t>
  </si>
  <si>
    <t>shizenshu = organic / natural (rice)</t>
  </si>
  <si>
    <t>shubo = natural yeast starter</t>
  </si>
  <si>
    <t>taruzake = cedar cask fermented/aged</t>
  </si>
  <si>
    <t>umeshu = sake based plum wine</t>
  </si>
  <si>
    <t>usunigori = lightly cloudy (less than nigori) - cloth filtered only</t>
  </si>
  <si>
    <t>yamahai = kimoto with a kind of pigeage, in winter</t>
  </si>
  <si>
    <t>(hot yamahai = unique to Kidoizumi)</t>
  </si>
  <si>
    <t>Japan - sake by category:</t>
  </si>
  <si>
    <t>APERITIF / LOWER ALCOHOL STYLE:</t>
  </si>
  <si>
    <t>MUKAI SHUZO</t>
  </si>
  <si>
    <t>sake</t>
  </si>
  <si>
    <t>21SAKE22</t>
  </si>
  <si>
    <t>Kyōto prefecture (26th), main Island</t>
  </si>
  <si>
    <t xml:space="preserve"> junmai akamaishu genshu – 70% polish; 14% ABV</t>
  </si>
  <si>
    <t>Owner: Yoshihisa Mukai</t>
  </si>
  <si>
    <t>Toji: Kuniko Mukai</t>
  </si>
  <si>
    <t>Murasaki (red) &amp; Kyo no Kagayaki (white) rice</t>
  </si>
  <si>
    <t>2000 Ine Mankai launched ('In bloom')</t>
  </si>
  <si>
    <t>1998 toji Kuniko Mukai took over</t>
  </si>
  <si>
    <t>1754 brewery founded</t>
  </si>
  <si>
    <t>Kuramoto-Mukai.jp</t>
  </si>
  <si>
    <t>APERITIF - 'MEDIEVAL BREW':</t>
  </si>
  <si>
    <t>Sennen-no-sake - sake in the style as brewed 1,000 years ago</t>
  </si>
  <si>
    <t>TERADA HONKE</t>
  </si>
  <si>
    <t>19SAKE15</t>
  </si>
  <si>
    <t>Kozaki town, Katori county, Chiba (12th)</t>
  </si>
  <si>
    <t>junmai bodaimoto muroka nama genshu shizenshu – 11% to 17% ABV</t>
  </si>
  <si>
    <t>Masaru Terada, toji &amp; kuramoto, 24th gen.</t>
  </si>
  <si>
    <t>NB brewed all year round, with ONE rice addition only. 90%-93% polish</t>
  </si>
  <si>
    <r>
      <t xml:space="preserve">~3ha own </t>
    </r>
    <r>
      <rPr>
        <b/>
        <sz val="8"/>
        <color rgb="FF00B050"/>
        <rFont val="Noto Sans"/>
        <family val="2"/>
      </rPr>
      <t>'organic-uncertified'</t>
    </r>
    <r>
      <rPr>
        <sz val="8"/>
        <color theme="1" tint="0.14999847407452621"/>
        <rFont val="Noto Sans"/>
        <family val="2"/>
      </rPr>
      <t xml:space="preserve"> paddies, &amp;</t>
    </r>
  </si>
  <si>
    <t>NB £ Sake By The Glass (SBTG) pricing available</t>
  </si>
  <si>
    <r>
      <t xml:space="preserve">30 contract </t>
    </r>
    <r>
      <rPr>
        <b/>
        <sz val="8"/>
        <color rgb="FF00B050"/>
        <rFont val="Noto Sans"/>
        <family val="2"/>
      </rPr>
      <t>'organic-uncertified'</t>
    </r>
    <r>
      <rPr>
        <sz val="8"/>
        <color theme="1" tint="0.14999847407452621"/>
        <rFont val="Noto Sans"/>
        <family val="2"/>
      </rPr>
      <t xml:space="preserve"> growers</t>
    </r>
  </si>
  <si>
    <t>Approx. 8 rice strains used in the range</t>
  </si>
  <si>
    <t>What makes sake brewing at Terada Honke so much fun?</t>
  </si>
  <si>
    <t>Biochar project. Well with hard water supply.</t>
  </si>
  <si>
    <t>1. There is no answer that is absolutely correct.</t>
  </si>
  <si>
    <t>Own kōji. NB all products are unfiltered</t>
  </si>
  <si>
    <t>2. You can put as much of your thoughts as you like into production.</t>
  </si>
  <si>
    <t>DAIGO NO SHIZUKU:</t>
  </si>
  <si>
    <t xml:space="preserve">3. And the products into which you have put all those thoughts can brighten up lives of those enjoying it all, </t>
  </si>
  <si>
    <t xml:space="preserve">Ancient 'bodaimoto' ferment. Follows Musubi </t>
  </si>
  <si>
    <t xml:space="preserve"> bringing a smile to their faces.</t>
  </si>
  <si>
    <t>'doburoku' unrefined sake program. 1st made 2005</t>
  </si>
  <si>
    <t>4. It means collaborating with invisible "germs".</t>
  </si>
  <si>
    <t>Koshihikari etc. rice, 90% to 93% polish</t>
  </si>
  <si>
    <t>5. You will be able to “feel” the microorganisms even if they are invisible.</t>
  </si>
  <si>
    <t>6. Just like how fermentation takes time, you will soon come to believe in the microorganisms.</t>
  </si>
  <si>
    <t>2023 350th anniversary!</t>
  </si>
  <si>
    <t>7. There is already a firm foundation laid out by the predecessors that will enable you to expand further right away</t>
  </si>
  <si>
    <t>2023 new Sanmu cedar cask commissioned</t>
  </si>
  <si>
    <t xml:space="preserve"> from where they left off.</t>
  </si>
  <si>
    <t>2021 starts rice field (yatsuda) restoration project</t>
  </si>
  <si>
    <t>8. You will be able to sing aloud a number of songs from the bottom of your heart.</t>
  </si>
  <si>
    <t>2018 Masaru takes over as toji &amp; kuramoto</t>
  </si>
  <si>
    <t>9. You will get the chance to vividly sense the change of seasons while working.</t>
  </si>
  <si>
    <t>2016 Café Ufufu opens on site</t>
  </si>
  <si>
    <t>10. There is always something exciting waiting for you that you can only experience once a year.</t>
  </si>
  <si>
    <t>2016 1st year of own koji production</t>
  </si>
  <si>
    <t>11. You will be given an opportunity to make everything with your hands, including your tools.</t>
  </si>
  <si>
    <t>2013 wood rice steamer (koshiki) commissioned</t>
  </si>
  <si>
    <t>12. You will be exposed to a wide variety of craftsmanship.</t>
  </si>
  <si>
    <t>2012 Terada, 23rd generation passes away</t>
  </si>
  <si>
    <t>13. You will be able to experience the true freshness of the air that you get to breathe on a fine winter morning.</t>
  </si>
  <si>
    <t>2010 1st year of 100% pesticide free rice</t>
  </si>
  <si>
    <t>14.You will engage in a type of work that will require you to make full use of all your five senses.</t>
  </si>
  <si>
    <t>2004 Masaru starts at Terada Honke, &amp; marries in</t>
  </si>
  <si>
    <t>15. Some things work while some others don’t, so that occurs evenly, striking a good balance.</t>
  </si>
  <si>
    <t>1985 1st Gonin Musume released: '5 Daughters'</t>
  </si>
  <si>
    <t>16. You will encounter wonderful artisans.</t>
  </si>
  <si>
    <t>1980s start of organic rice, initially from Yamagata</t>
  </si>
  <si>
    <t>17. You will get to know many nice restaurants.</t>
  </si>
  <si>
    <t>1673 brewery founded</t>
  </si>
  <si>
    <t>18. You will have the chance to welcome and interact with guests from all over the world.</t>
  </si>
  <si>
    <t>TeradaHonke.co.jp </t>
  </si>
  <si>
    <t>19. It will be a great full-cycle experience that starts with growing rice.</t>
  </si>
  <si>
    <t>NB Café Ufufu is on site</t>
  </si>
  <si>
    <t>20. You will be able to feel a sense of accomplishment every time you finish weeding the rice field each year.</t>
  </si>
  <si>
    <t xml:space="preserve">NB Keisuke Terada's book Hakkodo: </t>
  </si>
  <si>
    <t>21. When you step inside the rice paddies, you will be greeted and surrounded by a lot of natural creatures of</t>
  </si>
  <si>
    <t xml:space="preserve"> The Path of Fermentation.</t>
  </si>
  <si>
    <t xml:space="preserve">  diverse forms.</t>
  </si>
  <si>
    <t>'FRUITY' / 'CLASSIC' STYLE:</t>
  </si>
  <si>
    <r>
      <t>Brewing motto:</t>
    </r>
    <r>
      <rPr>
        <sz val="7"/>
        <color theme="1" tint="0.499984740745262"/>
        <rFont val="Noto Sans"/>
        <family val="2"/>
      </rPr>
      <t xml:space="preserve"> 'Craftsmanship in brewing and blending'</t>
    </r>
  </si>
  <si>
    <r>
      <rPr>
        <b/>
        <sz val="7"/>
        <color theme="1" tint="0.499984740745262"/>
        <rFont val="Noto Sans"/>
        <family val="2"/>
      </rPr>
      <t>Motto: 'LOHAS</t>
    </r>
    <r>
      <rPr>
        <sz val="7"/>
        <color theme="1" tint="0.499984740745262"/>
        <rFont val="Noto Sans"/>
        <family val="2"/>
      </rPr>
      <t xml:space="preserve"> - Lifestyles Of Health And Sustainability'</t>
    </r>
  </si>
  <si>
    <t>HEIWA SHUZO, aka</t>
  </si>
  <si>
    <t>KIDO / KID</t>
  </si>
  <si>
    <t>junmai ginjo - 60% polish; 15% ABV</t>
  </si>
  <si>
    <t xml:space="preserve">Mizonokuchi, near Kainan city. </t>
  </si>
  <si>
    <t>Yamada Nishiki &amp; Gohyakumangoku rice</t>
  </si>
  <si>
    <t>Wakayama prefecture (30th), main Island</t>
  </si>
  <si>
    <t>Mountainous, with soft water.</t>
  </si>
  <si>
    <t>Owner: Norimasa Yamamoto, 4th gen.</t>
  </si>
  <si>
    <t>Toji: Mr.Hidemichi Shibata</t>
  </si>
  <si>
    <r>
      <rPr>
        <b/>
        <sz val="8"/>
        <color theme="1" tint="0.14999847407452621"/>
        <rFont val="Noto Sans"/>
        <family val="2"/>
      </rPr>
      <t>Kido</t>
    </r>
    <r>
      <rPr>
        <sz val="8"/>
        <color theme="1" tint="0.14999847407452621"/>
        <rFont val="Noto Sans"/>
        <family val="2"/>
      </rPr>
      <t xml:space="preserve"> (aka </t>
    </r>
    <r>
      <rPr>
        <b/>
        <sz val="8"/>
        <color theme="1" tint="0.14999847407452621"/>
        <rFont val="Noto Sans"/>
        <family val="2"/>
      </rPr>
      <t>KID</t>
    </r>
    <r>
      <rPr>
        <sz val="8"/>
        <color theme="1" tint="0.14999847407452621"/>
        <rFont val="Noto Sans"/>
        <family val="2"/>
      </rPr>
      <t>) is</t>
    </r>
    <r>
      <rPr>
        <i/>
        <sz val="8"/>
        <color theme="1" tint="0.14999847407452621"/>
        <rFont val="Noto Sans"/>
        <family val="2"/>
      </rPr>
      <t xml:space="preserve"> </t>
    </r>
    <r>
      <rPr>
        <b/>
        <i/>
        <sz val="8"/>
        <color theme="1" tint="0.14999847407452621"/>
        <rFont val="Noto Sans"/>
        <family val="2"/>
      </rPr>
      <t>Ki</t>
    </r>
    <r>
      <rPr>
        <i/>
        <sz val="8"/>
        <color theme="1" tint="0.14999847407452621"/>
        <rFont val="Noto Sans"/>
        <family val="2"/>
      </rPr>
      <t>shu</t>
    </r>
    <r>
      <rPr>
        <sz val="8"/>
        <color theme="1" tint="0.14999847407452621"/>
        <rFont val="Noto Sans"/>
        <family val="2"/>
      </rPr>
      <t xml:space="preserve"> (name of the area)</t>
    </r>
  </si>
  <si>
    <r>
      <t>plus</t>
    </r>
    <r>
      <rPr>
        <i/>
        <sz val="8"/>
        <color theme="1" tint="0.14999847407452621"/>
        <rFont val="Noto Sans"/>
        <family val="2"/>
      </rPr>
      <t xml:space="preserve"> fu</t>
    </r>
    <r>
      <rPr>
        <b/>
        <i/>
        <sz val="8"/>
        <color theme="1" tint="0.14999847407452621"/>
        <rFont val="Noto Sans"/>
        <family val="2"/>
      </rPr>
      <t>do</t>
    </r>
    <r>
      <rPr>
        <sz val="8"/>
        <color theme="1" tint="0.14999847407452621"/>
        <rFont val="Noto Sans"/>
        <family val="2"/>
      </rPr>
      <t xml:space="preserve"> (environment/topography/terroir)</t>
    </r>
  </si>
  <si>
    <t>Radical management, tasting, hygiene culture:</t>
  </si>
  <si>
    <t>with annual persimmon tannin deep clean</t>
  </si>
  <si>
    <t>2020 IWC Champion Sake of The Year</t>
  </si>
  <si>
    <t>2020 IWC Sake Brewery of The Year</t>
  </si>
  <si>
    <t>2019 IWC Sake Brewery of The Year</t>
  </si>
  <si>
    <t xml:space="preserve">2019 awarded MBA by Kyoto University </t>
  </si>
  <si>
    <r>
      <t xml:space="preserve">2019 publishes book </t>
    </r>
    <r>
      <rPr>
        <b/>
        <i/>
        <sz val="7"/>
        <color theme="1" tint="0.499984740745262"/>
        <rFont val="Noto Sans"/>
        <family val="2"/>
      </rPr>
      <t>Ko ga Tatsu Soshiki</t>
    </r>
  </si>
  <si>
    <t>2014 1st IWC regional trophy</t>
  </si>
  <si>
    <t>2008 launch of KID / Kido range</t>
  </si>
  <si>
    <t>2000s kakishibu (anti-bacterial program) starts</t>
  </si>
  <si>
    <t>2005 Norimasa Yamamoto joins the business</t>
  </si>
  <si>
    <t>1978 Norimasa Yamamoto, 4th gen. born</t>
  </si>
  <si>
    <t>1952 rebranded Heiwa (means 'Peace')</t>
  </si>
  <si>
    <t>1933 founded</t>
  </si>
  <si>
    <t>HeiwaShuzou.co.jp</t>
  </si>
  <si>
    <t>NB SEE HEIWA's FRUIT INFUSED TSURU-UME BELOW</t>
  </si>
  <si>
    <r>
      <rPr>
        <b/>
        <sz val="7"/>
        <color theme="1" tint="0.499984740745262"/>
        <rFont val="Noto Sans"/>
        <family val="2"/>
      </rPr>
      <t>Motto:</t>
    </r>
    <r>
      <rPr>
        <sz val="7"/>
        <color theme="1" tint="0.499984740745262"/>
        <rFont val="Noto Sans"/>
        <family val="2"/>
      </rPr>
      <t xml:space="preserve"> 'New meets old'</t>
    </r>
  </si>
  <si>
    <r>
      <rPr>
        <b/>
        <sz val="7"/>
        <color theme="1" tint="0.499984740745262"/>
        <rFont val="Noto Sans"/>
        <family val="2"/>
      </rPr>
      <t>Brewing motto</t>
    </r>
    <r>
      <rPr>
        <sz val="7"/>
        <color theme="1" tint="0.499984740745262"/>
        <rFont val="Noto Sans"/>
        <family val="2"/>
      </rPr>
      <t xml:space="preserve"> '</t>
    </r>
    <r>
      <rPr>
        <i/>
        <sz val="7"/>
        <color theme="1" tint="0.499984740745262"/>
        <rFont val="Noto Sans"/>
        <family val="2"/>
      </rPr>
      <t>Yokei na koto shinai</t>
    </r>
    <r>
      <rPr>
        <sz val="7"/>
        <color theme="1" tint="0.499984740745262"/>
        <rFont val="Noto Sans"/>
        <family val="2"/>
      </rPr>
      <t xml:space="preserve"> - do nothing unnecessary'</t>
    </r>
  </si>
  <si>
    <t>SENKIN</t>
  </si>
  <si>
    <t>25SAKE02</t>
  </si>
  <si>
    <t>Sakurashi, Tochigi prefecture (9th),</t>
  </si>
  <si>
    <t>junmai daiginjō muroka nama-gen - 50% polish; 15% ABV</t>
  </si>
  <si>
    <t>near Tokyo, main Island</t>
  </si>
  <si>
    <t>Kazuki Usui, 11th gen., ex-sommelier,</t>
  </si>
  <si>
    <t>joined 2003. Founded 1806</t>
  </si>
  <si>
    <t>'DOMAINE STYLE' BREWERY:</t>
  </si>
  <si>
    <r>
      <rPr>
        <b/>
        <sz val="7"/>
        <color theme="1" tint="0.499984740745262"/>
        <rFont val="Noto Sans"/>
        <family val="2"/>
      </rPr>
      <t>Local:</t>
    </r>
    <r>
      <rPr>
        <sz val="7"/>
        <color theme="1" tint="0.499984740745262"/>
        <rFont val="Noto Sans"/>
        <family val="2"/>
      </rPr>
      <t xml:space="preserve"> rice grown within 5 mins of brewery</t>
    </r>
  </si>
  <si>
    <r>
      <rPr>
        <b/>
        <sz val="7"/>
        <color theme="1" tint="0.499984740745262"/>
        <rFont val="Noto Sans"/>
        <family val="2"/>
      </rPr>
      <t xml:space="preserve">Water: </t>
    </r>
    <r>
      <rPr>
        <sz val="7"/>
        <color theme="1" tint="0.499984740745262"/>
        <rFont val="Noto Sans"/>
        <family val="2"/>
      </rPr>
      <t>same for farming and brewing</t>
    </r>
  </si>
  <si>
    <r>
      <rPr>
        <b/>
        <sz val="7"/>
        <color theme="1" tint="0.499984740745262"/>
        <rFont val="Noto Sans"/>
        <family val="2"/>
      </rPr>
      <t>Rice:</t>
    </r>
    <r>
      <rPr>
        <sz val="7"/>
        <color theme="1" tint="0.499984740745262"/>
        <rFont val="Noto Sans"/>
        <family val="2"/>
      </rPr>
      <t xml:space="preserve"> Omachi, Yamada Nishiki, Kame no O rice</t>
    </r>
  </si>
  <si>
    <r>
      <rPr>
        <b/>
        <sz val="7"/>
        <color theme="1" tint="0.499984740745262"/>
        <rFont val="Noto Sans"/>
        <family val="2"/>
      </rPr>
      <t>Vessels</t>
    </r>
    <r>
      <rPr>
        <sz val="7"/>
        <color theme="1" tint="0.499984740745262"/>
        <rFont val="Noto Sans"/>
        <family val="2"/>
      </rPr>
      <t>: return to wood</t>
    </r>
  </si>
  <si>
    <r>
      <rPr>
        <b/>
        <sz val="7"/>
        <color theme="1" tint="0.499984740745262"/>
        <rFont val="Noto Sans"/>
        <family val="2"/>
      </rPr>
      <t>Starter:</t>
    </r>
    <r>
      <rPr>
        <sz val="7"/>
        <color theme="1" tint="0.499984740745262"/>
        <rFont val="Noto Sans"/>
        <family val="2"/>
      </rPr>
      <t xml:space="preserve"> kimoto &amp; yamahai</t>
    </r>
  </si>
  <si>
    <r>
      <rPr>
        <b/>
        <sz val="7"/>
        <color theme="1" tint="0.499984740745262"/>
        <rFont val="Noto Sans"/>
        <family val="2"/>
      </rPr>
      <t>Ferment:</t>
    </r>
    <r>
      <rPr>
        <sz val="7"/>
        <color theme="1" tint="0.499984740745262"/>
        <rFont val="Noto Sans"/>
        <family val="2"/>
      </rPr>
      <t xml:space="preserve"> ambient yeast &amp; lactic bacteria</t>
    </r>
  </si>
  <si>
    <r>
      <rPr>
        <b/>
        <sz val="7"/>
        <color theme="1" tint="0.499984740745262"/>
        <rFont val="Noto Sans"/>
        <family val="2"/>
      </rPr>
      <t>100% junmai:</t>
    </r>
    <r>
      <rPr>
        <sz val="7"/>
        <color theme="1" tint="0.499984740745262"/>
        <rFont val="Noto Sans"/>
        <family val="2"/>
      </rPr>
      <t xml:space="preserve"> 100% muroka, genshu, &amp; nama</t>
    </r>
  </si>
  <si>
    <t>Senkin.co.jp</t>
  </si>
  <si>
    <t xml:space="preserve">NEW LISTING FOR 2021 </t>
  </si>
  <si>
    <t>SUPER-POLISHED STYLE:</t>
  </si>
  <si>
    <r>
      <rPr>
        <b/>
        <sz val="7"/>
        <color theme="1" tint="0.499984740745262"/>
        <rFont val="Noto Sans"/>
        <family val="2"/>
      </rPr>
      <t>Motto: 'LOHAS</t>
    </r>
    <r>
      <rPr>
        <sz val="7"/>
        <color theme="1" tint="0.499984740745262"/>
        <rFont val="Noto Sans"/>
        <family val="2"/>
      </rPr>
      <t xml:space="preserve"> - Lifestyles of Health and Sustainability'</t>
    </r>
  </si>
  <si>
    <t>Kido 'KID' Daiginjo '40'</t>
  </si>
  <si>
    <t>23SAKE21</t>
  </si>
  <si>
    <t>junmai daiginjo - 40% polish; 15% ABV</t>
  </si>
  <si>
    <t>TOP AWARDS:</t>
  </si>
  <si>
    <t>NB SEE ABOVE FOR TIMELINE INFO</t>
  </si>
  <si>
    <t>25SAKE03</t>
  </si>
  <si>
    <t>junmai daiginjō muroka genshu - 19% polish; 17% ABV</t>
  </si>
  <si>
    <r>
      <t xml:space="preserve">OFF-DRY STYLES COLLECTED - FOR OILY </t>
    </r>
    <r>
      <rPr>
        <b/>
        <i/>
        <sz val="10"/>
        <color theme="1" tint="0.14999847407452621"/>
        <rFont val="Noto Sans"/>
        <family val="2"/>
      </rPr>
      <t xml:space="preserve">AND EVEN </t>
    </r>
    <r>
      <rPr>
        <b/>
        <sz val="10"/>
        <color theme="1" tint="0.14999847407452621"/>
        <rFont val="Noto Sans"/>
        <family val="2"/>
      </rPr>
      <t>SMOKED FISH - BY £:</t>
    </r>
  </si>
  <si>
    <t>OKAMURA HONKE</t>
  </si>
  <si>
    <t>23SAKE06</t>
  </si>
  <si>
    <t xml:space="preserve"> off-dry junmai nama-gen – 80% polish; 17% ABV</t>
  </si>
  <si>
    <t>j.bodaimoto muroka nama genshu shizenshu – 11% to 17% ABV</t>
  </si>
  <si>
    <t>NB brewed all year round, with ONE rice addition only. 90% polish</t>
  </si>
  <si>
    <r>
      <t xml:space="preserve">'DRY' STYLE - </t>
    </r>
    <r>
      <rPr>
        <b/>
        <i/>
        <sz val="10"/>
        <color theme="1" tint="0.14999847407452621"/>
        <rFont val="Noto Sans"/>
        <family val="2"/>
      </rPr>
      <t>THE</t>
    </r>
    <r>
      <rPr>
        <b/>
        <sz val="10"/>
        <color theme="1" tint="0.14999847407452621"/>
        <rFont val="Noto Sans"/>
        <family val="2"/>
      </rPr>
      <t xml:space="preserve"> CLASSIC SASHIMI SAKE:</t>
    </r>
  </si>
  <si>
    <r>
      <t>Motto</t>
    </r>
    <r>
      <rPr>
        <sz val="7"/>
        <color theme="1" tint="0.499984740745262"/>
        <rFont val="Noto Sans"/>
        <family val="2"/>
      </rPr>
      <t xml:space="preserve"> 'ikkan zukuri - from our own fields to bottle'</t>
    </r>
  </si>
  <si>
    <t>AKISHIKA SHUZO</t>
  </si>
  <si>
    <t>25SAKE04</t>
  </si>
  <si>
    <t>Nose town, Osaka prefecture (27th)</t>
  </si>
  <si>
    <t>junmai yamahai muroka nama-gen shizenshu - 70% polish, 17% ABV, estate rice</t>
  </si>
  <si>
    <t>Hiroaki Oku, 6th gen., toji &amp; kuramoto</t>
  </si>
  <si>
    <r>
      <t xml:space="preserve">(named for </t>
    </r>
    <r>
      <rPr>
        <i/>
        <u/>
        <sz val="7"/>
        <color theme="1" tint="0.14999847407452621"/>
        <rFont val="Noto Sans"/>
        <family val="2"/>
      </rPr>
      <t>Yama</t>
    </r>
    <r>
      <rPr>
        <i/>
        <sz val="7"/>
        <color theme="1" tint="0.14999847407452621"/>
        <rFont val="Noto Sans"/>
        <family val="2"/>
      </rPr>
      <t xml:space="preserve">da Nishiki rice </t>
    </r>
    <r>
      <rPr>
        <b/>
        <i/>
        <sz val="7"/>
        <color theme="1" tint="0.14999847407452621"/>
        <rFont val="Noto Sans"/>
        <family val="2"/>
      </rPr>
      <t>X</t>
    </r>
    <r>
      <rPr>
        <i/>
        <sz val="7"/>
        <color theme="1" tint="0.14999847407452621"/>
        <rFont val="Noto Sans"/>
        <family val="2"/>
      </rPr>
      <t xml:space="preserve"> </t>
    </r>
    <r>
      <rPr>
        <i/>
        <u/>
        <sz val="7"/>
        <color theme="1" tint="0.14999847407452621"/>
        <rFont val="Noto Sans"/>
        <family val="2"/>
      </rPr>
      <t>Yama</t>
    </r>
    <r>
      <rPr>
        <i/>
        <sz val="7"/>
        <color theme="1" tint="0.14999847407452621"/>
        <rFont val="Noto Sans"/>
        <family val="2"/>
      </rPr>
      <t>hai wild lactic acid bacteria starter)</t>
    </r>
  </si>
  <si>
    <r>
      <t xml:space="preserve">Akishika name: Aki 'Autumn' </t>
    </r>
    <r>
      <rPr>
        <b/>
        <sz val="9"/>
        <color theme="1" tint="0.14999847407452621"/>
        <rFont val="Noto Sans"/>
        <family val="2"/>
      </rPr>
      <t>X</t>
    </r>
    <r>
      <rPr>
        <sz val="8"/>
        <color theme="1" tint="0.14999847407452621"/>
        <rFont val="Noto Sans"/>
        <family val="2"/>
      </rPr>
      <t xml:space="preserve"> Shika 'deer'</t>
    </r>
  </si>
  <si>
    <t>'ikkan zukuri': 'seedling-to-sake verticality'</t>
  </si>
  <si>
    <t>22SAKE02</t>
  </si>
  <si>
    <r>
      <t xml:space="preserve">22ha </t>
    </r>
    <r>
      <rPr>
        <b/>
        <sz val="8"/>
        <color rgb="FF00B050"/>
        <rFont val="Noto Sans"/>
        <family val="2"/>
      </rPr>
      <t>Biodynamic</t>
    </r>
    <r>
      <rPr>
        <sz val="8"/>
        <color theme="1" tint="0.14999847407452621"/>
        <rFont val="Noto Sans"/>
        <family val="2"/>
      </rPr>
      <t xml:space="preserve"> Yamada Nishiki rice</t>
    </r>
  </si>
  <si>
    <t>junmai ginjō muroka nama-gen ōkarakuchi - 18% ABV</t>
  </si>
  <si>
    <t>paddies in &gt;100 parcels, with own compost</t>
  </si>
  <si>
    <t>own rice milling machine (very rare)</t>
  </si>
  <si>
    <t>no cold-storage - brewery is 10 to 20°C</t>
  </si>
  <si>
    <t>2009 Hiroaki takes over; start of 100% junmai</t>
  </si>
  <si>
    <r>
      <rPr>
        <sz val="7"/>
        <color theme="1" tint="0.499984740745262"/>
        <rFont val="Noto Sans"/>
        <family val="2"/>
      </rPr>
      <t>2000 estate rice farmed in</t>
    </r>
    <r>
      <rPr>
        <b/>
        <sz val="7"/>
        <color rgb="FF00B050"/>
        <rFont val="Noto Sans"/>
        <family val="2"/>
      </rPr>
      <t xml:space="preserve"> organics</t>
    </r>
  </si>
  <si>
    <t>1985 change to growing sake-rice (not table rice)</t>
  </si>
  <si>
    <t>1886 brewery founded by Shikanosuke</t>
  </si>
  <si>
    <t>C.17th records of rice-farming by ancestors</t>
  </si>
  <si>
    <t>ALL ROUND (MIDWEIGHT) STYLE:</t>
  </si>
  <si>
    <t>OTA SHUZO</t>
  </si>
  <si>
    <t>25SAKE05</t>
  </si>
  <si>
    <t xml:space="preserve">Kusatsu, Shiga prefecture (25th) </t>
  </si>
  <si>
    <t>junmai nama-gen, 17% ABV</t>
  </si>
  <si>
    <t>Founded 15th century, by Ota family</t>
  </si>
  <si>
    <t>23SAKE11</t>
  </si>
  <si>
    <t>junmai kimoto muroka shizenshu – 70% polish; 15% ABV</t>
  </si>
  <si>
    <t>~3ha own paddies, &amp; 30 contract growers</t>
  </si>
  <si>
    <t>GONIN MUSUME:</t>
  </si>
  <si>
    <t>'Five Daughters', named by poet Bunmei Tsuchiya</t>
  </si>
  <si>
    <t>For Keisuke, 23rd Generation. His first new 'natural'</t>
  </si>
  <si>
    <t>product. Yamanishiki rice, 70% polish, Kimoto-</t>
  </si>
  <si>
    <t>ferment. 1st made 1985</t>
  </si>
  <si>
    <t>TeradaHonke.co.jp</t>
  </si>
  <si>
    <t>NB FOR TIMELINE, SEE ABOVE</t>
  </si>
  <si>
    <r>
      <t>'LIQUID RICE' STYLE</t>
    </r>
    <r>
      <rPr>
        <b/>
        <u/>
        <sz val="10"/>
        <color theme="1" tint="0.14999847407452621"/>
        <rFont val="Noto Sans"/>
        <family val="2"/>
      </rPr>
      <t>S</t>
    </r>
    <r>
      <rPr>
        <b/>
        <sz val="10"/>
        <color theme="1" tint="0.14999847407452621"/>
        <rFont val="Noto Sans"/>
        <family val="2"/>
      </rPr>
      <t>:</t>
    </r>
  </si>
  <si>
    <t>UEHARA SHUZO</t>
  </si>
  <si>
    <t>24SAKE05</t>
  </si>
  <si>
    <t>(see above for info)</t>
  </si>
  <si>
    <t>17SAKE04</t>
  </si>
  <si>
    <t>Uehara-Awamori.jp</t>
  </si>
  <si>
    <t>25SAKE13</t>
  </si>
  <si>
    <t>junmai kimoto muroka shizenshu – 80% polish; 15% ABV</t>
  </si>
  <si>
    <t>24SAKE06</t>
  </si>
  <si>
    <t>24SAKE06MG</t>
  </si>
  <si>
    <t>junmai kimoto muroka shizenshu – 90% polish; 15% ABV</t>
  </si>
  <si>
    <t>25SAKE06</t>
  </si>
  <si>
    <t>junmai kimoto muroka nama-gen shizenshu – 90% polish; 19% to 21% ABV</t>
  </si>
  <si>
    <t>KATORI 'OMIKI' SERIES:</t>
  </si>
  <si>
    <t>Named after the local Katori Jingu shrine.</t>
  </si>
  <si>
    <t xml:space="preserve">The oldest brand in the range. Since mid 2000s, </t>
  </si>
  <si>
    <t>an homage to low 10% to 15% medieval mechanical</t>
  </si>
  <si>
    <t xml:space="preserve">polishing rates. Made in four forms: </t>
  </si>
  <si>
    <t>80 'classic' at 15%, and 80 Nama undiluted</t>
  </si>
  <si>
    <t>90 'classic' at 15%, and 90 Nama undiluted</t>
  </si>
  <si>
    <t>Kimoto ferment. 80 is Miyamanishiki rice.</t>
  </si>
  <si>
    <t>90 is Koshihikari &amp; Miyamanishiki rice</t>
  </si>
  <si>
    <t>FULL BODY FULL TASTE:</t>
  </si>
  <si>
    <r>
      <rPr>
        <b/>
        <sz val="7"/>
        <color theme="1" tint="0.499984740745262"/>
        <rFont val="Noto Sans"/>
        <family val="2"/>
      </rPr>
      <t>Motto:</t>
    </r>
    <r>
      <rPr>
        <sz val="7"/>
        <color theme="1" tint="0.499984740745262"/>
        <rFont val="Noto Sans"/>
        <family val="2"/>
      </rPr>
      <t xml:space="preserve"> 'We continue to make “refreshingly dry” sake'</t>
    </r>
  </si>
  <si>
    <t>KIREI SHUZO</t>
  </si>
  <si>
    <t>23SAKE23</t>
  </si>
  <si>
    <t>Saijo town, Chugoku region</t>
  </si>
  <si>
    <t>23SAKE23MG</t>
  </si>
  <si>
    <t>On the Sakagura Dori / sake brewery street</t>
  </si>
  <si>
    <r>
      <t xml:space="preserve">junmai godan muroka nama-gen - </t>
    </r>
    <r>
      <rPr>
        <b/>
        <i/>
        <sz val="7"/>
        <color theme="1" tint="0.14999847407452621"/>
        <rFont val="Noto Sans"/>
        <family val="2"/>
      </rPr>
      <t>NB 89% koji rice</t>
    </r>
    <r>
      <rPr>
        <i/>
        <sz val="7"/>
        <color theme="1" tint="0.14999847407452621"/>
        <rFont val="Noto Sans"/>
        <family val="2"/>
      </rPr>
      <t>; 70% polish; ~17% ABV</t>
    </r>
  </si>
  <si>
    <t>Founded 1898. Modern era commenced 1998</t>
  </si>
  <si>
    <t>with toji Nobumichi &amp; Masahiro Nishigaki</t>
  </si>
  <si>
    <t>Summer is for farming, Winter is for brewing,</t>
  </si>
  <si>
    <t>in Hyogo province</t>
  </si>
  <si>
    <t>Shin-Senbon rice</t>
  </si>
  <si>
    <t>NB 89% Koji rice (i.e. 4x the average)</t>
  </si>
  <si>
    <t>NB go-dan shikomi, i.e. 5 stage fermentation</t>
  </si>
  <si>
    <t>long 3 day koji prep; low temperature ferment</t>
  </si>
  <si>
    <t>kireikireikirei.jimdofree.com</t>
  </si>
  <si>
    <t>KIDOIZUMI SHUZO</t>
  </si>
  <si>
    <t>16SAKE13</t>
  </si>
  <si>
    <t>Ohara fishing village, Chiba prefecture (12)</t>
  </si>
  <si>
    <t>23SAKE24</t>
  </si>
  <si>
    <t>Hayato Shoji, 5th generation</t>
  </si>
  <si>
    <t>16SAKE15</t>
  </si>
  <si>
    <t>Hanafubuki rice</t>
  </si>
  <si>
    <t>2012 Hayato became toji/brewer</t>
  </si>
  <si>
    <t>2001 Hayato joined family business</t>
  </si>
  <si>
    <t>1974 oldest vintage koshu in the brewery collection</t>
  </si>
  <si>
    <r>
      <t xml:space="preserve">1967 grandfather starts with </t>
    </r>
    <r>
      <rPr>
        <b/>
        <sz val="7"/>
        <color rgb="FF00B050"/>
        <rFont val="Noto Sans"/>
        <family val="2"/>
      </rPr>
      <t>'naturally grown rice'</t>
    </r>
  </si>
  <si>
    <t>1879 old vats purchased, brewing started</t>
  </si>
  <si>
    <t>Kidoizumi.jp</t>
  </si>
  <si>
    <t>The oldest brand in the range. An homage to low</t>
  </si>
  <si>
    <t>10% to 15% medieval mechanical polishing rates.</t>
  </si>
  <si>
    <t>Kimoto ferment. 90 is Koshihikari, Miyamanishiki rice</t>
  </si>
  <si>
    <t>NB THIS IS THE TOP 'CHATEAU' BOTTLING, RECENT RELEASES:</t>
  </si>
  <si>
    <t>25SAKE12</t>
  </si>
  <si>
    <t>23SAKE28MG</t>
  </si>
  <si>
    <t>junmai ginjō yamahai nama-gen shizenshu - 18% ABV - Yamada Nishiki rice</t>
  </si>
  <si>
    <t>NB SEE ABOVE FOR TIMELINE</t>
  </si>
  <si>
    <t>CEDAR CASK-AGED STYLE:</t>
  </si>
  <si>
    <t>24SAKE07</t>
  </si>
  <si>
    <t>21SAKE11</t>
  </si>
  <si>
    <t>junmai kimoto muroka genshu shizenshu - shinriki rice</t>
  </si>
  <si>
    <t>KIOKE:</t>
  </si>
  <si>
    <t>Nakao Shinriki rice, 90% polish, kimoto ferment in</t>
  </si>
  <si>
    <t xml:space="preserve">Sanmu cedar cask, 'then press and return for 3mths </t>
  </si>
  <si>
    <t>NB ABV changes with each batch.</t>
  </si>
  <si>
    <t>MATURED STYLE:</t>
  </si>
  <si>
    <t>NB THIS IS THE TOP 'CHATEAU' BOTTLING, NEW RELEASE:</t>
  </si>
  <si>
    <t>'ikkan zukuri': seedling-to-sake verticality</t>
  </si>
  <si>
    <t>24SAKE08</t>
  </si>
  <si>
    <t>23SAKE30</t>
  </si>
  <si>
    <t>junmai kimoto muroka genshu shizenshu koshu</t>
  </si>
  <si>
    <t>KAIKOSHU - 'NOSTALGIC SAKE':</t>
  </si>
  <si>
    <t>Created by Keisuke, 23rd generation.</t>
  </si>
  <si>
    <t xml:space="preserve">Essentially Gonin Musume undiluted, </t>
  </si>
  <si>
    <t>1000btls per annum set aside for this release,</t>
  </si>
  <si>
    <t>aged approx 15 years in ambient conditions.</t>
  </si>
  <si>
    <r>
      <rPr>
        <b/>
        <sz val="7"/>
        <color theme="1" tint="0.499984740745262"/>
        <rFont val="Noto Sans"/>
        <family val="2"/>
      </rPr>
      <t xml:space="preserve">Motto </t>
    </r>
    <r>
      <rPr>
        <sz val="7"/>
        <color theme="1" tint="0.499984740745262"/>
        <rFont val="Noto Sans"/>
        <family val="2"/>
      </rPr>
      <t>''brewing sake requires chemistry, common sense, and passion'</t>
    </r>
  </si>
  <si>
    <t>MII NO KOTOBUKI</t>
  </si>
  <si>
    <t>23SAKE29</t>
  </si>
  <si>
    <t xml:space="preserve">Fukuoka prefecture (40th), Kyushu island </t>
  </si>
  <si>
    <t>21SAKE04MG</t>
  </si>
  <si>
    <t>by Koishiwara river, Mino mountains</t>
  </si>
  <si>
    <t>junmai yamahai koshu - 16%</t>
  </si>
  <si>
    <t>Kokuryo Miyako &amp; Mii-Shinriki rice</t>
  </si>
  <si>
    <t>2002 Tadatsugu Inoue takes over as Toji</t>
  </si>
  <si>
    <t>1996 Tadatsugu Inoue joins to assist father</t>
  </si>
  <si>
    <t>1922 brewery founded</t>
  </si>
  <si>
    <t>SEAWATER BREWED, AGED STYLE:</t>
  </si>
  <si>
    <t xml:space="preserve">UEHARA SHUZO </t>
  </si>
  <si>
    <t>19SAKE04</t>
  </si>
  <si>
    <t>junmai yamahai muroka nama-gen - 17%</t>
  </si>
  <si>
    <t>HYPER-AGED / DIGESTIVE:</t>
  </si>
  <si>
    <t>24SAKE09</t>
  </si>
  <si>
    <t>Chiba prefecture (12th). Hanafubuki rice</t>
  </si>
  <si>
    <t>junmai ginjō yamahai muroka genshu koshu - 18%</t>
  </si>
  <si>
    <t>SAKE BASED PLUM WINE:</t>
  </si>
  <si>
    <t>22SAKE07</t>
  </si>
  <si>
    <t>TSURU-UME</t>
  </si>
  <si>
    <t>umeshu, 11%</t>
  </si>
  <si>
    <t>(NB see above for info)</t>
  </si>
  <si>
    <t>Tsuru-Ume.com</t>
  </si>
  <si>
    <t>NB SEE HEIWA's KIDO SAKE ABOVE</t>
  </si>
  <si>
    <t>23SAKE05HF</t>
  </si>
  <si>
    <t>25SAKE08</t>
  </si>
  <si>
    <t>23SAKE33MG</t>
  </si>
  <si>
    <t>junmai yamahai umeshu – 65% polish; 10%</t>
  </si>
  <si>
    <t>YUZU CITRUS INFUSED SAKE:</t>
  </si>
  <si>
    <t>23SAKE35</t>
  </si>
  <si>
    <t>23SAKE08MG</t>
  </si>
  <si>
    <t>junmai yuzushu, 7%</t>
  </si>
  <si>
    <t>whole Yuzu citrus juiced 1:1 into 1yr sake</t>
  </si>
  <si>
    <t>MIYAKO BIJIN</t>
  </si>
  <si>
    <t>23SAKE34</t>
  </si>
  <si>
    <t>Awaji-shima / Awaji Island, Seto Inland Sea</t>
  </si>
  <si>
    <t>23SAKE14MG</t>
  </si>
  <si>
    <t>(Between Shikoko &amp; Honshu Islands)</t>
  </si>
  <si>
    <t>junmai yuzushu 7%</t>
  </si>
  <si>
    <t>Hyogo prefecture (28th)</t>
  </si>
  <si>
    <t>Toji: Kunihiro Yamauchi. Founded 1945</t>
  </si>
  <si>
    <t>SHOCHU / EAU DE VIE:</t>
  </si>
  <si>
    <t>MANZEN SHUZO</t>
  </si>
  <si>
    <t>21SAKE10</t>
  </si>
  <si>
    <t>Toshihiro Manzen. Founded 1922</t>
  </si>
  <si>
    <t>21SAKE10MG</t>
  </si>
  <si>
    <t>at Kirishima, Kagoshima prefecture (46th)</t>
  </si>
  <si>
    <t>honkaku imo shōchū 25%</t>
  </si>
  <si>
    <t>on Kyushu Island</t>
  </si>
  <si>
    <t>Single distillation in handmade wood pot still</t>
  </si>
  <si>
    <t>of 50% sweet potato, 50% Hitomebore rice</t>
  </si>
  <si>
    <t>from Akita prefecture (5th)</t>
  </si>
  <si>
    <t>aged ~6mths in glass jars and clay pots</t>
  </si>
  <si>
    <t>NB: It's THE cult Japanese distillery…</t>
  </si>
  <si>
    <t>Fortified, Port</t>
  </si>
  <si>
    <t>KIND WORDS ON NIEPOORT PORTS:</t>
  </si>
  <si>
    <r>
      <rPr>
        <b/>
        <sz val="7"/>
        <color theme="1" tint="0.499984740745262"/>
        <rFont val="Noto Sans"/>
        <family val="2"/>
      </rPr>
      <t xml:space="preserve">Jamie Goode, 2015 </t>
    </r>
    <r>
      <rPr>
        <sz val="7"/>
        <color theme="1" tint="0.499984740745262"/>
        <rFont val="Noto Sans"/>
        <family val="2"/>
      </rPr>
      <t>'the Douro’s most exciting winery (one of the world’s most exciting wineries, for that matter)'</t>
    </r>
  </si>
  <si>
    <r>
      <rPr>
        <b/>
        <sz val="7"/>
        <color theme="1" tint="0.499984740745262"/>
        <rFont val="Noto Sans"/>
        <family val="2"/>
      </rPr>
      <t xml:space="preserve">TWA, 2011 </t>
    </r>
    <r>
      <rPr>
        <sz val="7"/>
        <color theme="1" tint="0.499984740745262"/>
        <rFont val="Noto Sans"/>
        <family val="2"/>
      </rPr>
      <t> 'largely from old vines and high altitude, (Niepoort) always has a certain refinement and elegance in common, even in the biggest vintages.'</t>
    </r>
  </si>
  <si>
    <r>
      <rPr>
        <b/>
        <sz val="7"/>
        <color theme="1" tint="0.499984740745262"/>
        <rFont val="Noto Sans"/>
        <family val="2"/>
      </rPr>
      <t xml:space="preserve">Jamie Goode, 2011 </t>
    </r>
    <r>
      <rPr>
        <sz val="7"/>
        <color theme="1" tint="0.499984740745262"/>
        <rFont val="Noto Sans"/>
        <family val="2"/>
      </rPr>
      <t xml:space="preserve">'one of the sharpest, most provocative and most thoughtful of all winemakers' </t>
    </r>
  </si>
  <si>
    <r>
      <rPr>
        <b/>
        <sz val="7"/>
        <color theme="1" tint="0.499984740745262"/>
        <rFont val="Noto Sans"/>
        <family val="2"/>
      </rPr>
      <t xml:space="preserve"> TWA, 2007</t>
    </r>
    <r>
      <rPr>
        <sz val="7"/>
        <color theme="1" tint="0.499984740745262"/>
        <rFont val="Noto Sans"/>
        <family val="2"/>
      </rPr>
      <t xml:space="preserve"> 'Niepoort is one of the Douro’s iconic estates.'</t>
    </r>
  </si>
  <si>
    <r>
      <rPr>
        <b/>
        <sz val="7"/>
        <color theme="1" tint="0.499984740745262"/>
        <rFont val="Noto Sans"/>
        <family val="2"/>
      </rPr>
      <t xml:space="preserve"> Jamie Goode, 2002 </t>
    </r>
    <r>
      <rPr>
        <sz val="7"/>
        <color theme="1" tint="0.499984740745262"/>
        <rFont val="Noto Sans"/>
        <family val="2"/>
      </rPr>
      <t>'a small but high quality Port shipper'</t>
    </r>
  </si>
  <si>
    <r>
      <rPr>
        <b/>
        <sz val="7"/>
        <color theme="1" tint="0.499984740745262"/>
        <rFont val="Noto Sans"/>
        <family val="2"/>
      </rPr>
      <t>Michael Broadbent MW, 2002</t>
    </r>
    <r>
      <rPr>
        <sz val="7"/>
        <color theme="1" tint="0.499984740745262"/>
        <rFont val="Noto Sans"/>
        <family val="2"/>
      </rPr>
      <t xml:space="preserve">  'in their own way(s), brilliant' </t>
    </r>
  </si>
  <si>
    <r>
      <rPr>
        <b/>
        <sz val="7"/>
        <color theme="1" tint="0.499984740745262"/>
        <rFont val="Noto Sans"/>
        <family val="2"/>
      </rPr>
      <t>James Suckling, 1990</t>
    </r>
    <r>
      <rPr>
        <sz val="7"/>
        <color theme="1" tint="0.499984740745262"/>
        <rFont val="Noto Sans"/>
        <family val="2"/>
      </rPr>
      <t xml:space="preserve"> 'Niepoort is to to vintage Port what Krug is to Champagne' </t>
    </r>
  </si>
  <si>
    <r>
      <rPr>
        <b/>
        <sz val="7"/>
        <color theme="1" tint="0.499984740745262"/>
        <rFont val="Noto Sans"/>
        <family val="2"/>
      </rPr>
      <t>James Suckling, 1990</t>
    </r>
    <r>
      <rPr>
        <sz val="7"/>
        <color theme="1" tint="0.499984740745262"/>
        <rFont val="Noto Sans"/>
        <family val="2"/>
      </rPr>
      <t xml:space="preserve"> 'the most underestimated and underappreciated producer of vintage Ports'</t>
    </r>
  </si>
  <si>
    <t>NIEPOORT, PORTS</t>
  </si>
  <si>
    <t>19NIEP26GLA</t>
  </si>
  <si>
    <t>Dirk Niepoort. Douro valley. Mixed sources:</t>
  </si>
  <si>
    <r>
      <t xml:space="preserve">includes sustainable, &amp; </t>
    </r>
    <r>
      <rPr>
        <b/>
        <sz val="8"/>
        <color rgb="FF00B050"/>
        <rFont val="Noto Sans"/>
        <family val="2"/>
      </rPr>
      <t>Organic</t>
    </r>
    <r>
      <rPr>
        <sz val="8"/>
        <color theme="1" tint="0.14999847407452621"/>
        <rFont val="Noto Sans"/>
        <family val="2"/>
      </rPr>
      <t xml:space="preserve"> estate</t>
    </r>
  </si>
  <si>
    <r>
      <t xml:space="preserve">VPs &amp; crusted are </t>
    </r>
    <r>
      <rPr>
        <b/>
        <sz val="8"/>
        <color rgb="FF00B050"/>
        <rFont val="Noto Sans"/>
        <family val="2"/>
      </rPr>
      <t>Ⓥ Vegan compatible</t>
    </r>
  </si>
  <si>
    <t>DRY WHITE PORT:</t>
  </si>
  <si>
    <r>
      <rPr>
        <b/>
        <sz val="7"/>
        <color theme="1" tint="0.499984740745262"/>
        <rFont val="Noto Sans"/>
        <family val="2"/>
      </rPr>
      <t>VP:</t>
    </r>
    <r>
      <rPr>
        <sz val="7"/>
        <color theme="1" tint="0.499984740745262"/>
        <rFont val="Noto Sans"/>
        <family val="2"/>
      </rPr>
      <t xml:space="preserve"> mostly vv to tvv, food trod in lagares,</t>
    </r>
  </si>
  <si>
    <t>f.o</t>
  </si>
  <si>
    <t>18-21mths elevage in large casks (toneis)</t>
  </si>
  <si>
    <t>22NIEP03</t>
  </si>
  <si>
    <r>
      <rPr>
        <b/>
        <sz val="7"/>
        <color theme="1" tint="0.499984740745262"/>
        <rFont val="Noto Sans"/>
        <family val="2"/>
      </rPr>
      <t>Bioma VP:</t>
    </r>
    <r>
      <rPr>
        <sz val="7"/>
        <color theme="1" tint="0.499984740745262"/>
        <rFont val="Noto Sans"/>
        <family val="2"/>
      </rPr>
      <t xml:space="preserve"> </t>
    </r>
    <r>
      <rPr>
        <sz val="7"/>
        <color rgb="FF00B050"/>
        <rFont val="Noto Sans"/>
        <family val="2"/>
      </rPr>
      <t>O</t>
    </r>
    <r>
      <rPr>
        <b/>
        <sz val="7"/>
        <color rgb="FF00B050"/>
        <rFont val="Noto Sans"/>
        <family val="2"/>
      </rPr>
      <t>rganic</t>
    </r>
    <r>
      <rPr>
        <sz val="7"/>
        <color rgb="FF00B050"/>
        <rFont val="Noto Sans"/>
        <family val="2"/>
      </rPr>
      <t xml:space="preserve"> </t>
    </r>
    <r>
      <rPr>
        <sz val="7"/>
        <color theme="1" tint="0.499984740745262"/>
        <rFont val="Noto Sans"/>
        <family val="2"/>
      </rPr>
      <t>VV-TVV in Pisca vineyard,</t>
    </r>
  </si>
  <si>
    <t>23NIEP20</t>
  </si>
  <si>
    <t>raised 3yrs in 550L pipes (pipas)</t>
  </si>
  <si>
    <t>RED PORT HALVES:</t>
  </si>
  <si>
    <t>24NIEP08HF</t>
  </si>
  <si>
    <t>(NB see Niepoort Wines in Portugal, above)</t>
  </si>
  <si>
    <t>21NIEP24HF</t>
  </si>
  <si>
    <t>2007 1st vintage of Bioma VP (1st named Pisca)</t>
  </si>
  <si>
    <t>2017NIEP01HF</t>
  </si>
  <si>
    <t>1931 1st vintage of Garrafeira Port</t>
  </si>
  <si>
    <t>RED TAWNY &amp; COLHEITA - WOOD-AGED PORTS:</t>
  </si>
  <si>
    <t>24NIEP33</t>
  </si>
  <si>
    <t>2013 Sweet Wine of The Year - Stuart Pigott (VP)</t>
  </si>
  <si>
    <t>2009 1st entry Wine Enthusiast, Top 100 Cellar Sel.</t>
  </si>
  <si>
    <t>24NIEP31</t>
  </si>
  <si>
    <t>2006 1st entry in Wine &amp; Spirits, Top 100</t>
  </si>
  <si>
    <t>24NIEP32</t>
  </si>
  <si>
    <t>2000 1st entry in Wine Spectator Top 100 (VP97)</t>
  </si>
  <si>
    <t>24NIEP42</t>
  </si>
  <si>
    <t>1996 1st entry in Wine Spectator Top 100 (Tawny)</t>
  </si>
  <si>
    <t>24NIEP51</t>
  </si>
  <si>
    <t>often Wine &amp; Spirits 'Top 100, Winery of the Year'</t>
  </si>
  <si>
    <t>24NIEP09</t>
  </si>
  <si>
    <t>19NIEP30</t>
  </si>
  <si>
    <t>17NIEP46</t>
  </si>
  <si>
    <t>NB FOR SPANISH WINES, SEE ABOVE</t>
  </si>
  <si>
    <t>24NIEP50MG</t>
  </si>
  <si>
    <t>NB FOR PORTUGUESE WINES, SEE (")</t>
  </si>
  <si>
    <t>BOTTLE-AGED PORT:</t>
  </si>
  <si>
    <t>25NIEP10</t>
  </si>
  <si>
    <t>25NIEP03</t>
  </si>
  <si>
    <t>24NIEP29</t>
  </si>
  <si>
    <t>VINTAGE PORT ('VP'):</t>
  </si>
  <si>
    <t>2019NIEP01</t>
  </si>
  <si>
    <t>2017NIEP01</t>
  </si>
  <si>
    <t>2015NIEP</t>
  </si>
  <si>
    <t>2007NIEP</t>
  </si>
  <si>
    <t>21NIEP02</t>
  </si>
  <si>
    <t>21NIEP22</t>
  </si>
  <si>
    <t>25NIEP04</t>
  </si>
  <si>
    <t>20NIEP05</t>
  </si>
  <si>
    <t>2017NIEP01MG</t>
  </si>
  <si>
    <t>BIOMA VV V.P.:</t>
  </si>
  <si>
    <t>2016NIEPBIOMA</t>
  </si>
  <si>
    <t>2015NIEPBIOMA</t>
  </si>
  <si>
    <t>12NIEP36</t>
  </si>
  <si>
    <t>12NIEP35</t>
  </si>
  <si>
    <t>10NIEP09</t>
  </si>
  <si>
    <t>QUINTA DO NOVAL</t>
  </si>
  <si>
    <t>2017NOVAL01</t>
  </si>
  <si>
    <t>AXA Millesimes. Christian Seely, MD</t>
  </si>
  <si>
    <t>2016NOVAL01</t>
  </si>
  <si>
    <t>Carlos Agrellos, head winemaker at Noval</t>
  </si>
  <si>
    <t>2014NOVAL01</t>
  </si>
  <si>
    <t>181ha vines, &gt;50ha other. 75% Port wine</t>
  </si>
  <si>
    <t>2012NOVAL02</t>
  </si>
  <si>
    <r>
      <rPr>
        <b/>
        <sz val="8"/>
        <color theme="1" tint="0.14999847407452621"/>
        <rFont val="Noto Sans"/>
        <family val="2"/>
      </rPr>
      <t>Nacional:</t>
    </r>
    <r>
      <rPr>
        <sz val="8"/>
        <color theme="1" tint="0.14999847407452621"/>
        <rFont val="Noto Sans"/>
        <family val="2"/>
      </rPr>
      <t xml:space="preserve"> 1.6ha planted 1920s ungrafted</t>
    </r>
  </si>
  <si>
    <t>03NOVAL01</t>
  </si>
  <si>
    <t>field-blend of ~20 varieties. 1st made 1931</t>
  </si>
  <si>
    <t>2012NOVAL01</t>
  </si>
  <si>
    <t>QuintaDoNoval.com</t>
  </si>
  <si>
    <t>2001NOVAL01</t>
  </si>
  <si>
    <t>GROWER CODE: NOVAL</t>
  </si>
  <si>
    <t xml:space="preserve">                                                                                                                                                                                                                                                                                                                                                                                                                                                 </t>
  </si>
  <si>
    <t>QUINTA DO PASSADOURO</t>
  </si>
  <si>
    <t>2000PASS01HF</t>
  </si>
  <si>
    <t>formerly made by Dirk Niepoort</t>
  </si>
  <si>
    <t>97PASSO02</t>
  </si>
  <si>
    <t>sold with 36ha vines to Noval/AXA in 2019</t>
  </si>
  <si>
    <t>94PASSO02</t>
  </si>
  <si>
    <t>Quinta-Do-Passadouro.com</t>
  </si>
  <si>
    <t>94PASSO03</t>
  </si>
  <si>
    <t>GROWER CODE: PASS</t>
  </si>
  <si>
    <r>
      <t>TAYLOR-FONSECA,</t>
    </r>
    <r>
      <rPr>
        <b/>
        <sz val="9.5"/>
        <color theme="1" tint="0.14999847407452621"/>
        <rFont val="Noto Sans"/>
        <family val="2"/>
      </rPr>
      <t xml:space="preserve"> aka</t>
    </r>
  </si>
  <si>
    <t>2nd WINE' VINTAGE PORT:</t>
  </si>
  <si>
    <t>TAYLOR, FLADGATE &amp; YEATMAN</t>
  </si>
  <si>
    <t>20FONSECAGUIM</t>
  </si>
  <si>
    <t>VPs always declared on St.George's day</t>
  </si>
  <si>
    <t>08TAYLOR01</t>
  </si>
  <si>
    <t>THE VINTAGE PORTS (VPs):</t>
  </si>
  <si>
    <t>VINTAGE PORT:</t>
  </si>
  <si>
    <r>
      <rPr>
        <b/>
        <sz val="7"/>
        <color theme="1" tint="0.499984740745262"/>
        <rFont val="Noto Sans"/>
        <family val="2"/>
      </rPr>
      <t xml:space="preserve">Croft: </t>
    </r>
    <r>
      <rPr>
        <sz val="7"/>
        <color theme="1" tint="0.499984740745262"/>
        <rFont val="Noto Sans"/>
        <family val="2"/>
      </rPr>
      <t>based on Q.da Roeda</t>
    </r>
  </si>
  <si>
    <t>11FONSECATB</t>
  </si>
  <si>
    <r>
      <rPr>
        <b/>
        <sz val="7"/>
        <color theme="1" tint="0.499984740745262"/>
        <rFont val="Noto Sans"/>
        <family val="2"/>
      </rPr>
      <t xml:space="preserve">Fonseca: </t>
    </r>
    <r>
      <rPr>
        <sz val="7"/>
        <color theme="1" tint="0.499984740745262"/>
        <rFont val="Noto Sans"/>
        <family val="2"/>
      </rPr>
      <t xml:space="preserve">Quintas Cruzeiro &amp; Santo António (Pinhão) </t>
    </r>
  </si>
  <si>
    <t>09FONSECA01</t>
  </si>
  <si>
    <t>Panascal (Távora). Made by Guimaraens family</t>
  </si>
  <si>
    <t>11TAYLOR01TB</t>
  </si>
  <si>
    <r>
      <rPr>
        <b/>
        <sz val="7"/>
        <color theme="1" tint="0.499984740745262"/>
        <rFont val="Noto Sans"/>
        <family val="2"/>
      </rPr>
      <t>Taylor:</t>
    </r>
    <r>
      <rPr>
        <sz val="7"/>
        <color theme="1" tint="0.499984740745262"/>
        <rFont val="Noto Sans"/>
        <family val="2"/>
      </rPr>
      <t xml:space="preserve"> Quintas Vargellas, Terra Feita, Junco.</t>
    </r>
  </si>
  <si>
    <t>09TAYLORS01</t>
  </si>
  <si>
    <t>Two winters in oak vats</t>
  </si>
  <si>
    <t>07TAYLOR01</t>
  </si>
  <si>
    <t>SPECIAL CUVÉES:</t>
  </si>
  <si>
    <t>VINTAGE PORT SPECIAL CUVÉES:</t>
  </si>
  <si>
    <r>
      <rPr>
        <b/>
        <sz val="7"/>
        <color theme="1" tint="0.499984740745262"/>
        <rFont val="Noto Sans"/>
        <family val="2"/>
      </rPr>
      <t>Croft Serikos:</t>
    </r>
    <r>
      <rPr>
        <sz val="7"/>
        <color theme="1" tint="0.499984740745262"/>
        <rFont val="Noto Sans"/>
        <family val="2"/>
      </rPr>
      <t xml:space="preserve"> tvv planted 1889-1900 in three</t>
    </r>
  </si>
  <si>
    <t>2017CROFTDP</t>
  </si>
  <si>
    <t>parcels of Quinta da Roeda: Benedita, Ferradura &amp;</t>
  </si>
  <si>
    <t>11TAYLOR02TB</t>
  </si>
  <si>
    <t>Galeria. 1st made 2017</t>
  </si>
  <si>
    <t>09TAYLORS02</t>
  </si>
  <si>
    <r>
      <rPr>
        <b/>
        <sz val="7"/>
        <color theme="1" tint="0.499984740745262"/>
        <rFont val="Noto Sans"/>
        <family val="2"/>
      </rPr>
      <t>Taylor Vargellas VV:</t>
    </r>
    <r>
      <rPr>
        <sz val="7"/>
        <color theme="1" tint="0.499984740745262"/>
        <rFont val="Noto Sans"/>
        <family val="2"/>
      </rPr>
      <t xml:space="preserve"> 4 parcels, 80 to 120yr tvv:</t>
    </r>
  </si>
  <si>
    <t>07TAYLOR02</t>
  </si>
  <si>
    <t>Renova do Depósito, Renova do Armazém, Gricha,</t>
  </si>
  <si>
    <t>Polverínho. 1st made 1995</t>
  </si>
  <si>
    <t>2001 Croft is acquired, including Q.da Roeda</t>
  </si>
  <si>
    <t>1999 Taylor's purchase Q.do Sao Xisto, by Vargellas</t>
  </si>
  <si>
    <t>1998 Taylor's purchase Q.do Junco, by Terra Feita</t>
  </si>
  <si>
    <t>1979 Fonseca purchase Q.do Panascal</t>
  </si>
  <si>
    <t>1978 Fonseca purchase Q.de Santo Antonio</t>
  </si>
  <si>
    <t>1974 Taylor's purchase Q.de Terra Feita, Pinhao</t>
  </si>
  <si>
    <t>1973 Fonseca purchase Q.do Cruzeiro</t>
  </si>
  <si>
    <t>1948 merger of Fonseca Guimaraens &amp; Taylor, F&amp;Y</t>
  </si>
  <si>
    <t>1927 1st varietal blocks, by Taylor at Vargellas Polverinho</t>
  </si>
  <si>
    <t>1893 &amp; 1896 Taylors acquired Q.de Vargellas</t>
  </si>
  <si>
    <t>1875 Q.da Roeda passes from Taylor's to Croft</t>
  </si>
  <si>
    <t>1844 Taylor's purchase Q. da Roeda</t>
  </si>
  <si>
    <t>1844 company becomes Taylor, Fladgate &amp; Yeatman</t>
  </si>
  <si>
    <t>1822 Fonseca formally founded by M.P.Guimaraens</t>
  </si>
  <si>
    <t>1744 becomes 1st Brits to buy Douro vineyard:</t>
  </si>
  <si>
    <t xml:space="preserve"> Casa dos Alambiques at Lugar das Lages</t>
  </si>
  <si>
    <t>1692 Taylor's company founded (as Bearsley)</t>
  </si>
  <si>
    <t>1588 Croft founded (as H.Thompson)</t>
  </si>
  <si>
    <t>CroftPort.com</t>
  </si>
  <si>
    <t>Fonseca.pt</t>
  </si>
  <si>
    <t>Taylor.pt</t>
  </si>
  <si>
    <t>FladgatePartnership.com</t>
  </si>
  <si>
    <t>PortoProtocol.com</t>
  </si>
  <si>
    <t>GROWER CODES: TAYLOR / FONSECA</t>
  </si>
  <si>
    <t>Fortified, Sherry</t>
  </si>
  <si>
    <t>JUAN PIÑERO, BODEGAS</t>
  </si>
  <si>
    <t>FLOR aka 'BIOLOGICALLY' AGED WINES:</t>
  </si>
  <si>
    <t>by Familia PIÑERO</t>
  </si>
  <si>
    <t>f</t>
  </si>
  <si>
    <t>21PINERO04</t>
  </si>
  <si>
    <t>Sanlucar de Barrameda, Andalucia</t>
  </si>
  <si>
    <t>21PINERO05</t>
  </si>
  <si>
    <t>18PINERO07</t>
  </si>
  <si>
    <t>2021 Juan Pinero passes away during Covid-19</t>
  </si>
  <si>
    <t>21PINERO06</t>
  </si>
  <si>
    <t>2017 10KL of aged Camborio moved to Sanlucar</t>
  </si>
  <si>
    <t>OXIDATIVE AGED WINES:</t>
  </si>
  <si>
    <t>2017 most of Camborio solera sold to P.Sisseck</t>
  </si>
  <si>
    <t>18PINERO02</t>
  </si>
  <si>
    <t>2016 1st 'Piñero' VORS bottlings &gt;30yrs old</t>
  </si>
  <si>
    <t>18PINERO01</t>
  </si>
  <si>
    <t>2013 Juan Piñero label is launched</t>
  </si>
  <si>
    <t>21PINERO03</t>
  </si>
  <si>
    <t xml:space="preserve">2007 bought fino Camborio Jerez bodega ex-Terry </t>
  </si>
  <si>
    <t>18PINERO09</t>
  </si>
  <si>
    <t>2000 bought manzanilla Maruja solera ex-Domecq</t>
  </si>
  <si>
    <t>18PINERO10</t>
  </si>
  <si>
    <t>90s &amp; 00s almacenista to Gitana &amp; Argueso</t>
  </si>
  <si>
    <t>SWEET WINES:</t>
  </si>
  <si>
    <t>1992 start with bodega purchase in Sanlucar town</t>
  </si>
  <si>
    <t>21PINERO07</t>
  </si>
  <si>
    <t>BodegasJuanPinero.com</t>
  </si>
  <si>
    <t>18PINERO08</t>
  </si>
  <si>
    <t>GROWER CODE: PINERO</t>
  </si>
  <si>
    <t>BODEGAS TRADICION</t>
  </si>
  <si>
    <t>Rivero family, Jerez, Andalucia</t>
  </si>
  <si>
    <t>13BTRAD07TB</t>
  </si>
  <si>
    <t>unblended, uncaramelised,</t>
  </si>
  <si>
    <t>unsweetened, unfined, unsulphited</t>
  </si>
  <si>
    <t>11BTRAD04</t>
  </si>
  <si>
    <t>14BTRAD02TB</t>
  </si>
  <si>
    <t>BodegasTradicion.com</t>
  </si>
  <si>
    <t>13BTRAD02MTB</t>
  </si>
  <si>
    <t>GROWER CODE: BTRAD</t>
  </si>
  <si>
    <t>BRANDY DE JEREZ:</t>
  </si>
  <si>
    <t>S13BTRAD06TB</t>
  </si>
  <si>
    <r>
      <t>NB</t>
    </r>
    <r>
      <rPr>
        <b/>
        <i/>
        <sz val="8"/>
        <color theme="1" tint="0.14999847407452621"/>
        <rFont val="Noto Sans"/>
        <family val="2"/>
      </rPr>
      <t xml:space="preserve"> MOSTLY</t>
    </r>
    <r>
      <rPr>
        <b/>
        <sz val="8"/>
        <color theme="1" tint="0.14999847407452621"/>
        <rFont val="Noto Sans"/>
        <family val="2"/>
      </rPr>
      <t xml:space="preserve"> IN THE VAULTS, EDINBURGH</t>
    </r>
  </si>
  <si>
    <t>FERNANDO DE CASTILLA</t>
  </si>
  <si>
    <t>Jan Pettersen. Jerez, Andalucia</t>
  </si>
  <si>
    <t>16FCAST03VDP</t>
  </si>
  <si>
    <t>17FCAST06VDP</t>
  </si>
  <si>
    <t>1999 Jan Pettersen purchase</t>
  </si>
  <si>
    <t>14FCAST06TB</t>
  </si>
  <si>
    <t>1972 renamed Fernando de Castilla</t>
  </si>
  <si>
    <t>1960s founded by  Fernando Andrada Vanderwilde</t>
  </si>
  <si>
    <t>FernandoDeCastilla.es</t>
  </si>
  <si>
    <t>GROWER CODE: FCAST</t>
  </si>
  <si>
    <t>Spirits, Scotland</t>
  </si>
  <si>
    <r>
      <t>NB</t>
    </r>
    <r>
      <rPr>
        <b/>
        <i/>
        <sz val="8"/>
        <color theme="1" tint="0.14999847407452621"/>
        <rFont val="Noto Sans"/>
        <family val="2"/>
      </rPr>
      <t xml:space="preserve"> ALL</t>
    </r>
    <r>
      <rPr>
        <b/>
        <sz val="8"/>
        <color theme="1" tint="0.14999847407452621"/>
        <rFont val="Noto Sans"/>
        <family val="2"/>
      </rPr>
      <t xml:space="preserve"> IN THE VAULTS EDINBURGH, OR IB SCOTLAND</t>
    </r>
  </si>
  <si>
    <t>THE BOTTLERS</t>
  </si>
  <si>
    <t>HIGHLAND:</t>
  </si>
  <si>
    <t>Single cask, cask strength single malts,</t>
  </si>
  <si>
    <t>ARDMORE-14540</t>
  </si>
  <si>
    <t>un-chill filtered, uncaramelised</t>
  </si>
  <si>
    <t>Cask No.14540 filled 24th June 2008, bottled June 2022 @ cask strength 55.9%</t>
  </si>
  <si>
    <t>TheBottlers.com</t>
  </si>
  <si>
    <t>ISLAND:</t>
  </si>
  <si>
    <t>CAOLILLA-5</t>
  </si>
  <si>
    <t>Cask No.5 filled 29th May 2008, bottled June 2022 @ cask strength 56.5% </t>
  </si>
  <si>
    <t>bottlers1</t>
  </si>
  <si>
    <t>Cask No.8 filled 11th March 2006, bottled June 2022 @ cask strength 57.2%</t>
  </si>
  <si>
    <t>"from an unnamed distillery near Kildalton, Isle of Islay, SE coast"</t>
  </si>
  <si>
    <t>bottlers2</t>
  </si>
  <si>
    <t>Cask No.828 filled 11th February 1992, bottled June 2022 @ cask strength 45.2%</t>
  </si>
  <si>
    <t>Hebridean Single Malt Scotch Whisky:</t>
  </si>
  <si>
    <t>'Every drop of spirit is distilled, matured and bottled on the Isle of Raasay'</t>
  </si>
  <si>
    <t>RAASAY DISTILLERY</t>
  </si>
  <si>
    <t>RAASAY SINGLE MALT SCOTCH WHISKY:</t>
  </si>
  <si>
    <t>Isle of Raasay, aka Eilean Ratharsair</t>
  </si>
  <si>
    <t>24RAASAY01TB</t>
  </si>
  <si>
    <t>from the old-Norse for 'roe deer island'</t>
  </si>
  <si>
    <t>24RAASAY03TB</t>
  </si>
  <si>
    <t xml:space="preserve">Inner Hebrides, North of Skye. </t>
  </si>
  <si>
    <t>24RAASAY04TB</t>
  </si>
  <si>
    <t>Founded by Scottish entrepreneur Bill Dobbie</t>
  </si>
  <si>
    <t>RAASAY GIN:</t>
  </si>
  <si>
    <t>&amp; whisky blender / botanist Alasdair Day, as</t>
  </si>
  <si>
    <t>24RAASAY02TB</t>
  </si>
  <si>
    <t>one of the VERY few Scottish owned distillers.</t>
  </si>
  <si>
    <t>London Dry Gin, 10 botanicals, including local juniper</t>
  </si>
  <si>
    <t xml:space="preserve">Malt is both peated and unpeated. </t>
  </si>
  <si>
    <t>Longer fermentation times</t>
  </si>
  <si>
    <t>Non chill-filtered, and natural colour (no caramel)</t>
  </si>
  <si>
    <t>KEY MALT BOTTLINGS INCLUDE:</t>
  </si>
  <si>
    <r>
      <rPr>
        <b/>
        <sz val="8"/>
        <color theme="1" tint="0.14999847407452621"/>
        <rFont val="Noto Sans"/>
        <family val="2"/>
      </rPr>
      <t xml:space="preserve">The Draam: </t>
    </r>
    <r>
      <rPr>
        <sz val="8"/>
        <color theme="1" tint="0.14999847407452621"/>
        <rFont val="Noto Sans"/>
        <family val="2"/>
      </rPr>
      <t>maturation is in three cask types:</t>
    </r>
  </si>
  <si>
    <t>i. French oak red Bordeaux 225L. (Q.Robur,</t>
  </si>
  <si>
    <t>&amp;/or Q.Petraea) ii. Rye whisky (Q.Alba) 190L</t>
  </si>
  <si>
    <t>from Woodford Reserve Distillery</t>
  </si>
  <si>
    <t>iii. Chinkapin (Q.Muehlenbergii) 190L new</t>
  </si>
  <si>
    <r>
      <rPr>
        <b/>
        <sz val="8"/>
        <color theme="1" tint="0.14999847407452621"/>
        <rFont val="Noto Sans"/>
        <family val="2"/>
      </rPr>
      <t>Dùn Cana:</t>
    </r>
    <r>
      <rPr>
        <sz val="8"/>
        <color theme="1" tint="0.14999847407452621"/>
        <rFont val="Noto Sans"/>
        <family val="2"/>
      </rPr>
      <t xml:space="preserve"> raised in the Rye casks then  </t>
    </r>
  </si>
  <si>
    <t>finished in PX &amp; Oloroso Sherry Quarter Casks</t>
  </si>
  <si>
    <r>
      <rPr>
        <b/>
        <sz val="8"/>
        <color theme="1" tint="0.14999847407452621"/>
        <rFont val="Noto Sans"/>
        <family val="2"/>
      </rPr>
      <t>TIMELINE (IN BRIEF):</t>
    </r>
  </si>
  <si>
    <t>2024 Whisky of the Year, London Spirits Comp (Dun Cana)</t>
  </si>
  <si>
    <t>2024 World's Best Single Malt Scotch Whisky, Forbes (Dun Cana)</t>
  </si>
  <si>
    <t>2023 1st release of Dun Cana</t>
  </si>
  <si>
    <t>2021 1st Rye &amp; Sherry Double Cask. Later becomes Dun Cana</t>
  </si>
  <si>
    <t>2020 1st malt release</t>
  </si>
  <si>
    <t>2017 1st spirit distilled</t>
  </si>
  <si>
    <t>2015 works started on Raasay after 2 yrs planning</t>
  </si>
  <si>
    <t>1800s Borodale House designed by Alexander Ross</t>
  </si>
  <si>
    <t>ISLE OF RAASAY:</t>
  </si>
  <si>
    <t>14 miles long, 3 miles wide (like Manhatten)</t>
  </si>
  <si>
    <t>Population 161 (at last count)</t>
  </si>
  <si>
    <t>Raasay is in preparation to be Carbon Neutral</t>
  </si>
  <si>
    <t>RaasayDistillery.com</t>
  </si>
  <si>
    <t>instagram.com/raasaydistillery/</t>
  </si>
  <si>
    <t>GROWER CODE: RAASAY</t>
  </si>
  <si>
    <t>NB ACCOMODATION AVAIL.: Borodale House</t>
  </si>
  <si>
    <t>Spirits, France</t>
  </si>
  <si>
    <t>DUPONT, Distillerie</t>
  </si>
  <si>
    <t>CIDRE BIO:</t>
  </si>
  <si>
    <t>Dupont family, distilling since ~1887</t>
  </si>
  <si>
    <t>c</t>
  </si>
  <si>
    <t>23DUPONT08HF</t>
  </si>
  <si>
    <t>Anne-Pamy Dupont with her father Etienne</t>
  </si>
  <si>
    <t>23DUPONT08</t>
  </si>
  <si>
    <t>30ha orchards at La Vigannerie farm at</t>
  </si>
  <si>
    <t>CALVADOS PAY'AUGE:</t>
  </si>
  <si>
    <t>Victor-Pontfol, Pays d'Auge, Normandy</t>
  </si>
  <si>
    <t>23DUPONT01</t>
  </si>
  <si>
    <t>Calvados-Dupont.com</t>
  </si>
  <si>
    <t>23DUPONT02</t>
  </si>
  <si>
    <t>GROWER CODE: DUPONT</t>
  </si>
  <si>
    <t>23DUPONT03</t>
  </si>
  <si>
    <t>23DUPONT04</t>
  </si>
  <si>
    <t>23DUPONT05</t>
  </si>
  <si>
    <t>23DUPONT06</t>
  </si>
  <si>
    <t>23DUPONT07</t>
  </si>
  <si>
    <t>16DUPONT05V</t>
  </si>
  <si>
    <t>FRANCOIS GAUNOUX</t>
  </si>
  <si>
    <t>Cote de Beaune, Burgundy</t>
  </si>
  <si>
    <r>
      <t xml:space="preserve">NB </t>
    </r>
    <r>
      <rPr>
        <b/>
        <i/>
        <sz val="8"/>
        <color theme="1" tint="0.14999847407452621"/>
        <rFont val="Noto Sans"/>
        <family val="2"/>
      </rPr>
      <t>ALL</t>
    </r>
    <r>
      <rPr>
        <b/>
        <sz val="8"/>
        <color theme="1" tint="0.14999847407452621"/>
        <rFont val="Noto Sans"/>
        <family val="2"/>
      </rPr>
      <t xml:space="preserve"> IN THE VAULTS, EDINBURGH:</t>
    </r>
  </si>
  <si>
    <t>G. MICLO, Distillerie</t>
  </si>
  <si>
    <t>CRÈMES &amp; LIQUEUR:</t>
  </si>
  <si>
    <t>Lapoutroie ("Pays Welche",) Alsace</t>
  </si>
  <si>
    <t>17MICLO06VDP</t>
  </si>
  <si>
    <t>founded 1962 by Gilbert Miclo. Now 3rd gen.</t>
  </si>
  <si>
    <t>17MICLO07VDP</t>
  </si>
  <si>
    <t>double pot still distillation</t>
  </si>
  <si>
    <t>reduction of alcohol by local spring water</t>
  </si>
  <si>
    <t>17MICLO10VDP</t>
  </si>
  <si>
    <t>KEY RANGES:</t>
  </si>
  <si>
    <t>24MICLO02</t>
  </si>
  <si>
    <r>
      <rPr>
        <b/>
        <sz val="7"/>
        <color theme="1" tint="0.499984740745262"/>
        <rFont val="Noto Sans"/>
        <family val="2"/>
      </rPr>
      <t>'Grande réserve'</t>
    </r>
    <r>
      <rPr>
        <sz val="7"/>
        <color theme="1" tint="0.499984740745262"/>
        <rFont val="Noto Sans"/>
        <family val="2"/>
      </rPr>
      <t>: aged 3-4yrs in tank, 43%</t>
    </r>
  </si>
  <si>
    <t>except vieille prune: 18mths used oak casks, 40%</t>
  </si>
  <si>
    <t>20MICLO01VDP</t>
  </si>
  <si>
    <r>
      <rPr>
        <b/>
        <sz val="7"/>
        <color theme="1" tint="0.499984740745262"/>
        <rFont val="Noto Sans"/>
        <family val="2"/>
      </rPr>
      <t>'Couer de chauffe'</t>
    </r>
    <r>
      <rPr>
        <sz val="7"/>
        <color theme="1" tint="0.499984740745262"/>
        <rFont val="Noto Sans"/>
        <family val="2"/>
      </rPr>
      <t>: a 30L cut from the heart of</t>
    </r>
  </si>
  <si>
    <t>17MICLO09VDP</t>
  </si>
  <si>
    <t>the second distillation, aged 3 years in tank, 45%</t>
  </si>
  <si>
    <t>EAUX DE VIE DE FRUITS - TANK ELEVAGE:</t>
  </si>
  <si>
    <t>Distillerie-Miclo.com</t>
  </si>
  <si>
    <t>17MICLO05VDP</t>
  </si>
  <si>
    <t>GROWER CODE: MICLO</t>
  </si>
  <si>
    <t>18MICLO02VDP</t>
  </si>
  <si>
    <t>20MICLO02VDP</t>
  </si>
  <si>
    <t>17MICLO02VDP</t>
  </si>
  <si>
    <t>EAUX DE VIE DE FRUITS - CASK ELEVAGE:</t>
  </si>
  <si>
    <t>17MICLO11VDP</t>
  </si>
  <si>
    <t>St. CHRISTEAU</t>
  </si>
  <si>
    <t>Armagnac. Auch, Gers. All 40% ABV</t>
  </si>
  <si>
    <t>24ARMJGOUD01</t>
  </si>
  <si>
    <t>24ARMJGOUD02</t>
  </si>
  <si>
    <t>GROWER CODE: ARMJGOUD / MICLO</t>
  </si>
  <si>
    <t>24ARMJGOUD03</t>
  </si>
  <si>
    <t>24ARMJGOUD04</t>
  </si>
  <si>
    <t>24ARMJGOUD05</t>
  </si>
  <si>
    <t>24ARMJGOUD06</t>
  </si>
  <si>
    <t>24ARMJGOUD07</t>
  </si>
  <si>
    <t>24ARMJGOUD08</t>
  </si>
  <si>
    <t>24ARMJGOUD09</t>
  </si>
  <si>
    <t>24ARMJGOUD10</t>
  </si>
  <si>
    <t>24ARMJGOUD11</t>
  </si>
  <si>
    <t>24ARMJGOUD12</t>
  </si>
  <si>
    <t>24ARMJGOUD13</t>
  </si>
  <si>
    <t>24ARMJGOUD14</t>
  </si>
  <si>
    <t>Spirits &amp; a liqueur, Italy</t>
  </si>
  <si>
    <t>Barolo, Piedmont</t>
  </si>
  <si>
    <t>SOME THOUGHTS ON CARLO GOBETTI, 1940-2020:</t>
  </si>
  <si>
    <t>CARLO GOBETTI</t>
  </si>
  <si>
    <t>ACQUAVITAE DI VINACCIA - WHITE SKINS, ALL &lt;N&gt;:</t>
  </si>
  <si>
    <t>Distilleria Artigiana. Min 50% alcohol</t>
  </si>
  <si>
    <t>21GOBET01</t>
  </si>
  <si>
    <t>Costermano, Marciaga, Garda, Veneto</t>
  </si>
  <si>
    <t>ACQUAVITAE DI VINACCIA - RED SKINS:</t>
  </si>
  <si>
    <t>2021 son Valerio takes over production</t>
  </si>
  <si>
    <t>17GOBET01</t>
  </si>
  <si>
    <t>2020 Carlo passes away</t>
  </si>
  <si>
    <t>17GOBET03</t>
  </si>
  <si>
    <t>1985 - 2020 son Claudio works with Carlo</t>
  </si>
  <si>
    <r>
      <rPr>
        <b/>
        <sz val="7"/>
        <color theme="1" tint="0.499984740745262"/>
        <rFont val="Noto Sans"/>
        <family val="2"/>
      </rPr>
      <t xml:space="preserve">Carlo Gobetti, Spring 2018: </t>
    </r>
    <r>
      <rPr>
        <sz val="7"/>
        <color theme="1" tint="0.499984740745262"/>
        <rFont val="Noto Sans"/>
        <family val="2"/>
      </rPr>
      <t>'the best I ever made' (on Lenguin 2012)</t>
    </r>
  </si>
  <si>
    <t>1985 Carlo moves stills to Marciaga; starts full-time</t>
  </si>
  <si>
    <t>21GOBET02</t>
  </si>
  <si>
    <t>1984 Italian law permits whole grape distillation</t>
  </si>
  <si>
    <t>17GOBET02</t>
  </si>
  <si>
    <t>1940 5th generation Carlo born</t>
  </si>
  <si>
    <t>17GOBET10MG</t>
  </si>
  <si>
    <t>1938 - 1972 Francesco distills in Garda town</t>
  </si>
  <si>
    <t>14GOBET09H</t>
  </si>
  <si>
    <t>1938 stills moved to Garda town by Francesco</t>
  </si>
  <si>
    <t>1836 Distilleria founded by Abramo</t>
  </si>
  <si>
    <t>ACQUAVITAE DI VINACCIA 'TUTTOGRADO' - RED SKINS, ALL &lt;E&gt;:</t>
  </si>
  <si>
    <t>THE MAIN FOUR CATEGORIES:</t>
  </si>
  <si>
    <t>17GOBET07HF</t>
  </si>
  <si>
    <r>
      <rPr>
        <b/>
        <sz val="7"/>
        <color theme="1" tint="0.499984740745262"/>
        <rFont val="Noto Sans"/>
        <family val="2"/>
      </rPr>
      <t>frutta</t>
    </r>
    <r>
      <rPr>
        <sz val="7"/>
        <color theme="1" tint="0.499984740745262"/>
        <rFont val="Noto Sans"/>
        <family val="2"/>
      </rPr>
      <t xml:space="preserve"> – whole fruit, AKA eau de vie de fruit</t>
    </r>
  </si>
  <si>
    <t>21GOBET04HF</t>
  </si>
  <si>
    <r>
      <rPr>
        <b/>
        <sz val="7"/>
        <color theme="1" tint="0.499984740745262"/>
        <rFont val="Noto Sans"/>
        <family val="2"/>
      </rPr>
      <t>uva</t>
    </r>
    <r>
      <rPr>
        <sz val="7"/>
        <color theme="1" tint="0.499984740745262"/>
        <rFont val="Noto Sans"/>
        <family val="2"/>
      </rPr>
      <t xml:space="preserve"> – whole grape - extremely rare now</t>
    </r>
  </si>
  <si>
    <t>17GOBET06HF</t>
  </si>
  <si>
    <r>
      <rPr>
        <b/>
        <sz val="7"/>
        <color theme="1" tint="0.499984740745262"/>
        <rFont val="Noto Sans"/>
        <family val="2"/>
      </rPr>
      <t>vinaccia</t>
    </r>
    <r>
      <rPr>
        <sz val="7"/>
        <color theme="1" tint="0.499984740745262"/>
        <rFont val="Noto Sans"/>
        <family val="2"/>
      </rPr>
      <t xml:space="preserve"> – pommace, AKA grappa. NB white &amp;/or</t>
    </r>
  </si>
  <si>
    <t>17GOBET05HF</t>
  </si>
  <si>
    <t>aromatic skins are better for beginners…</t>
  </si>
  <si>
    <t>21GOBET03HF</t>
  </si>
  <si>
    <r>
      <rPr>
        <b/>
        <sz val="7"/>
        <color theme="1" tint="0.499984740745262"/>
        <rFont val="Noto Sans"/>
        <family val="2"/>
      </rPr>
      <t>tuttogrado</t>
    </r>
    <r>
      <rPr>
        <sz val="7"/>
        <color theme="1" tint="0.499984740745262"/>
        <rFont val="Noto Sans"/>
        <family val="2"/>
      </rPr>
      <t xml:space="preserve"> – the above but undiluted</t>
    </r>
  </si>
  <si>
    <t>OUR GOBETTI CODE:</t>
  </si>
  <si>
    <t>ACQUAVITAE DI UVA - WHITE GRAPES, ALL &lt;N&gt;:</t>
  </si>
  <si>
    <t>Put simply, all Gobetti is INTENSE. TUTTOGRADO</t>
  </si>
  <si>
    <t>21GOBET07HF</t>
  </si>
  <si>
    <t>series is massively intense. For that reason we</t>
  </si>
  <si>
    <t>21GOBET08HF</t>
  </si>
  <si>
    <t>are highlighting the two stylistic extremes:</t>
  </si>
  <si>
    <r>
      <rPr>
        <b/>
        <sz val="8"/>
        <color theme="1" tint="0.499984740745262"/>
        <rFont val="Noto Sans"/>
        <family val="2"/>
      </rPr>
      <t>&lt;N&gt;</t>
    </r>
    <r>
      <rPr>
        <sz val="7"/>
        <color theme="1" tint="0.499984740745262"/>
        <rFont val="Noto Sans"/>
        <family val="2"/>
      </rPr>
      <t xml:space="preserve"> suitable for </t>
    </r>
    <r>
      <rPr>
        <b/>
        <sz val="8"/>
        <color theme="1" tint="0.499984740745262"/>
        <rFont val="Noto Sans"/>
        <family val="2"/>
      </rPr>
      <t>N</t>
    </r>
    <r>
      <rPr>
        <b/>
        <sz val="7"/>
        <color theme="1" tint="0.499984740745262"/>
        <rFont val="Noto Sans"/>
        <family val="2"/>
      </rPr>
      <t>ewcomers</t>
    </r>
    <r>
      <rPr>
        <sz val="7"/>
        <color theme="1" tint="0.499984740745262"/>
        <rFont val="Noto Sans"/>
        <family val="2"/>
      </rPr>
      <t xml:space="preserve"> to Gobetti</t>
    </r>
  </si>
  <si>
    <t>ACQUAVITAE DI UVA - RED GRAPES:</t>
  </si>
  <si>
    <r>
      <rPr>
        <b/>
        <sz val="8"/>
        <color theme="1" tint="0.499984740745262"/>
        <rFont val="Noto Sans"/>
        <family val="2"/>
      </rPr>
      <t>&lt;E&gt;</t>
    </r>
    <r>
      <rPr>
        <sz val="7"/>
        <color theme="1" tint="0.499984740745262"/>
        <rFont val="Noto Sans"/>
        <family val="2"/>
      </rPr>
      <t xml:space="preserve"> suitable for serious spirits</t>
    </r>
    <r>
      <rPr>
        <sz val="8"/>
        <color theme="1" tint="0.499984740745262"/>
        <rFont val="Noto Sans"/>
        <family val="2"/>
      </rPr>
      <t xml:space="preserve"> </t>
    </r>
    <r>
      <rPr>
        <b/>
        <sz val="8"/>
        <color theme="1" tint="0.499984740745262"/>
        <rFont val="Noto Sans"/>
        <family val="2"/>
      </rPr>
      <t>E</t>
    </r>
    <r>
      <rPr>
        <b/>
        <sz val="7"/>
        <color theme="1" tint="0.499984740745262"/>
        <rFont val="Noto Sans"/>
        <family val="2"/>
      </rPr>
      <t>xperts</t>
    </r>
    <r>
      <rPr>
        <sz val="7"/>
        <color theme="1" tint="0.499984740745262"/>
        <rFont val="Noto Sans"/>
        <family val="2"/>
      </rPr>
      <t xml:space="preserve"> only</t>
    </r>
  </si>
  <si>
    <t>17GOBET09HF</t>
  </si>
  <si>
    <t>Always better to work one's way up, step by step,</t>
  </si>
  <si>
    <t>21GOBET05HF</t>
  </si>
  <si>
    <t>rather than start at the top, fall down, never to return.</t>
  </si>
  <si>
    <t>21GOBET06HF</t>
  </si>
  <si>
    <t>DistilleriaCarloGobetti.it</t>
  </si>
  <si>
    <t>GROWER CODE: GOBET</t>
  </si>
  <si>
    <t>ACQUAVITAE DI FRUTTA - WHOLE FRUIT:</t>
  </si>
  <si>
    <t>21GOBET11HF</t>
  </si>
  <si>
    <t>17GOBET08HF</t>
  </si>
  <si>
    <t>14GOBET04H</t>
  </si>
  <si>
    <t>21GOBET10HF</t>
  </si>
  <si>
    <t>12GOBET07</t>
  </si>
  <si>
    <t>ACQUAVITAE DI FRUTTA 'TUTTOGRADO':</t>
  </si>
  <si>
    <t>12GOBET08</t>
  </si>
  <si>
    <t>CLAUDIO GOBETTI</t>
  </si>
  <si>
    <t>Distilleria Artigiana. son of Carlo</t>
  </si>
  <si>
    <t>17GOBET12HF</t>
  </si>
  <si>
    <t xml:space="preserve">own-label, started 2012; all 45% </t>
  </si>
  <si>
    <r>
      <t xml:space="preserve">Montalcino. </t>
    </r>
    <r>
      <rPr>
        <b/>
        <sz val="8"/>
        <color rgb="FF00B050"/>
        <rFont val="Noto Sans"/>
        <family val="2"/>
      </rPr>
      <t>Biodynamic certified</t>
    </r>
  </si>
  <si>
    <t>22SCOMPA03</t>
  </si>
  <si>
    <t>5yrs elevage in cask</t>
  </si>
  <si>
    <t>Spirits, Japan</t>
  </si>
  <si>
    <t>Addendum:</t>
  </si>
  <si>
    <t>New listings for Raeburn:</t>
  </si>
  <si>
    <t>New listings for 2025</t>
  </si>
  <si>
    <t>Vosne, Burgundy</t>
  </si>
  <si>
    <t>LES PIERRES SECHES X CATHERINE ROQUE</t>
  </si>
  <si>
    <t>Faugeres, Languedoc</t>
  </si>
  <si>
    <r>
      <t>p</t>
    </r>
    <r>
      <rPr>
        <b/>
        <sz val="7"/>
        <color rgb="FFFF0000"/>
        <rFont val="Noto Sans"/>
        <family val="2"/>
      </rPr>
      <t>/r</t>
    </r>
  </si>
  <si>
    <r>
      <rPr>
        <b/>
        <sz val="7"/>
        <color rgb="FF00B050"/>
        <rFont val="Noto Sans"/>
        <family val="2"/>
      </rPr>
      <t>w</t>
    </r>
    <r>
      <rPr>
        <b/>
        <sz val="7"/>
        <color rgb="FFFF0000"/>
        <rFont val="Noto Sans"/>
        <family val="2"/>
      </rPr>
      <t>/r</t>
    </r>
  </si>
  <si>
    <t>KAHIWI</t>
  </si>
  <si>
    <t>New listings for 2024</t>
  </si>
  <si>
    <t>CHAMPAGNE LA PARCELLE</t>
  </si>
  <si>
    <t>Maury</t>
  </si>
  <si>
    <t>Barolo cru Gramolere</t>
  </si>
  <si>
    <t xml:space="preserve">Vigna Barbischio Chianti Classico Riserva </t>
  </si>
  <si>
    <t>Frascati, Lazio</t>
  </si>
  <si>
    <r>
      <t>w/</t>
    </r>
    <r>
      <rPr>
        <b/>
        <sz val="7"/>
        <color rgb="FFFFFF00"/>
        <rFont val="Noto Sans"/>
        <family val="2"/>
      </rPr>
      <t>sw</t>
    </r>
  </si>
  <si>
    <t>SEMPAR by NIEPOORT</t>
  </si>
  <si>
    <r>
      <t>Sempar tinto</t>
    </r>
    <r>
      <rPr>
        <sz val="7"/>
        <color theme="1" tint="0.14999847407452621"/>
        <rFont val="Noto Sans"/>
        <family val="2"/>
      </rPr>
      <t xml:space="preserve"> (VV), Alentejo</t>
    </r>
  </si>
  <si>
    <t>Mosel rieslings</t>
  </si>
  <si>
    <r>
      <t>w</t>
    </r>
    <r>
      <rPr>
        <b/>
        <sz val="7"/>
        <color rgb="FFFFFF00"/>
        <rFont val="Noto Sans"/>
        <family val="2"/>
      </rPr>
      <t>/sw</t>
    </r>
  </si>
  <si>
    <t>RAASAY</t>
  </si>
  <si>
    <t>Raasay Single Malt, and Gin</t>
  </si>
  <si>
    <t>New listings for 2023</t>
  </si>
  <si>
    <r>
      <t xml:space="preserve">La Pie Grand Vin BLANC (vv), Right Bank </t>
    </r>
    <r>
      <rPr>
        <b/>
        <sz val="8"/>
        <color theme="1" tint="0.14999847407452621"/>
        <rFont val="Noto Sans"/>
        <family val="2"/>
      </rPr>
      <t>NEW</t>
    </r>
  </si>
  <si>
    <t>CHANDON DE BRIAILLES</t>
  </si>
  <si>
    <t>Burgundies</t>
  </si>
  <si>
    <t>FRANCOIS DE NICOLAY</t>
  </si>
  <si>
    <r>
      <t>w/</t>
    </r>
    <r>
      <rPr>
        <b/>
        <sz val="7"/>
        <color rgb="FFFF0000"/>
        <rFont val="Noto Sans"/>
        <family val="2"/>
      </rPr>
      <t>r</t>
    </r>
  </si>
  <si>
    <t>d'ALESIO aka TENUTA DEL PROFESSORE</t>
  </si>
  <si>
    <t>QUINTA DO MONTINHO</t>
  </si>
  <si>
    <t>alvarinho branco</t>
  </si>
  <si>
    <t>Acores Reserva branco</t>
  </si>
  <si>
    <t>AJ ADAM</t>
  </si>
  <si>
    <t>DAVOLOS FAMILY</t>
  </si>
  <si>
    <t>malbec Carnavalito, Salta</t>
  </si>
  <si>
    <t>New listings for 2022</t>
  </si>
  <si>
    <t>CHAMPAGNE AUGUSTIN</t>
  </si>
  <si>
    <t>CHATEAU ROBIN</t>
  </si>
  <si>
    <t>CHATEAU FERRIERE</t>
  </si>
  <si>
    <t>Margaux, Bordeaux</t>
  </si>
  <si>
    <t>CHATEAU HAUT-BAGES LIBERAL</t>
  </si>
  <si>
    <t>Pauillac, Bordeaux</t>
  </si>
  <si>
    <t>BOIGEY FRERES</t>
  </si>
  <si>
    <t>PATRICK NOEL</t>
  </si>
  <si>
    <t>Cornas</t>
  </si>
  <si>
    <t>SAME RIVER TWICE</t>
  </si>
  <si>
    <t>Southern Rhone</t>
  </si>
  <si>
    <t>Monforte d'Alba, Barolo, Piedmont</t>
  </si>
  <si>
    <t>Barbaresco, Piedmont</t>
  </si>
  <si>
    <r>
      <rPr>
        <b/>
        <sz val="7"/>
        <color rgb="FFFFC000"/>
        <rFont val="Noto Sans"/>
        <family val="2"/>
      </rPr>
      <t>o/</t>
    </r>
    <r>
      <rPr>
        <b/>
        <sz val="7"/>
        <color rgb="FFFF0000"/>
        <rFont val="Noto Sans"/>
        <family val="2"/>
      </rPr>
      <t>r</t>
    </r>
  </si>
  <si>
    <t>Lugana, Veneto</t>
  </si>
  <si>
    <t>Rioja Alta</t>
  </si>
  <si>
    <r>
      <rPr>
        <b/>
        <sz val="7"/>
        <color rgb="FFFD07DA"/>
        <rFont val="Noto Sans"/>
        <family val="2"/>
      </rPr>
      <t>p</t>
    </r>
    <r>
      <rPr>
        <b/>
        <sz val="7"/>
        <color rgb="FFFF0000"/>
        <rFont val="Noto Sans"/>
        <family val="2"/>
      </rPr>
      <t>/r</t>
    </r>
  </si>
  <si>
    <t>New listings for 2021</t>
  </si>
  <si>
    <t>Nuits, Burgundy</t>
  </si>
  <si>
    <t>Jura - MATURE MAGNUMS ONLY</t>
  </si>
  <si>
    <t>DOMAINE LES PALLIERES</t>
  </si>
  <si>
    <t>Gigondas</t>
  </si>
  <si>
    <t>VIEUX TELEGRAPH</t>
  </si>
  <si>
    <t>CNDP</t>
  </si>
  <si>
    <t>La Morra, Barolo</t>
  </si>
  <si>
    <t>Chianti Colli Senesi</t>
  </si>
  <si>
    <t>LEEUWENKUIL FAMILY VINEYARDS</t>
  </si>
  <si>
    <t>HEIWA SHUZO</t>
  </si>
  <si>
    <t>sake &amp; fruit infused sake, Japan</t>
  </si>
  <si>
    <t>sake, Japan</t>
  </si>
  <si>
    <t>Manzen shochu, Japan</t>
  </si>
  <si>
    <t>New listings for 2020</t>
  </si>
  <si>
    <t>Haut-Médoc</t>
  </si>
  <si>
    <t>LILIAN-LADOUYS, Ch.</t>
  </si>
  <si>
    <t>BERTRAND MAUME</t>
  </si>
  <si>
    <t>Gevrey Chambertin</t>
  </si>
  <si>
    <t>YVON CLERGET</t>
  </si>
  <si>
    <t>Volnay</t>
  </si>
  <si>
    <t>MICHEL GAUNOUX</t>
  </si>
  <si>
    <t>Pommard</t>
  </si>
  <si>
    <t>JEAN-CLAUDE MARSANNE</t>
  </si>
  <si>
    <t>St.Joseph</t>
  </si>
  <si>
    <t>DANIELE COUTANDIN</t>
  </si>
  <si>
    <t>Pinerolese, W.Piedmont</t>
  </si>
  <si>
    <t>ORESTE STEFANO</t>
  </si>
  <si>
    <t>PETTERINO</t>
  </si>
  <si>
    <t>Gattinara, Alto Piemonte</t>
  </si>
  <si>
    <t>VITTORIO SAVINO</t>
  </si>
  <si>
    <t>nero d'Avola Sichilli</t>
  </si>
  <si>
    <t>BAIAS E ENSEADAS ('B&amp;E')</t>
  </si>
  <si>
    <t>Colares zone varietals</t>
  </si>
  <si>
    <t>VILARINHO DO BARRO</t>
  </si>
  <si>
    <t>Malgas, Swartland</t>
  </si>
  <si>
    <t>Pre-mixed cases:</t>
  </si>
  <si>
    <r>
      <rPr>
        <b/>
        <sz val="7"/>
        <color rgb="FFCCFF33"/>
        <rFont val="Noto Sans"/>
        <family val="2"/>
      </rPr>
      <t>w/</t>
    </r>
    <r>
      <rPr>
        <b/>
        <sz val="7"/>
        <color rgb="FFFF0000"/>
        <rFont val="Noto Sans"/>
        <family val="2"/>
      </rPr>
      <t>r</t>
    </r>
  </si>
  <si>
    <t>FELTON ROAD</t>
  </si>
  <si>
    <r>
      <rPr>
        <sz val="8"/>
        <color theme="1" tint="0.14999847407452621"/>
        <rFont val="Noto Sans"/>
        <family val="2"/>
      </rPr>
      <t xml:space="preserve">mixed 3-pack of Block &amp; vineyard pinot noirs </t>
    </r>
    <r>
      <rPr>
        <b/>
        <sz val="8"/>
        <color theme="1" tint="0.14999847407452621"/>
        <rFont val="Noto Sans"/>
        <family val="2"/>
      </rPr>
      <t>MAGS</t>
    </r>
  </si>
  <si>
    <t>150x3</t>
  </si>
  <si>
    <t xml:space="preserve"> Montlis, Fongeant, Cote-Bodin, Cognet, Montmain, Le Champon, Bertholon, Leyat, La Vialliere. 1169 boxes made</t>
  </si>
  <si>
    <t>But de Mont, Fongent, Cote-Bodin ,Cognet, Montmain, La Vialliere, Leyat, Bertholon, Le Champon. 957 boxes made</t>
  </si>
  <si>
    <t>Fongent, Cote Bodin, Bertholon, Le Champon, Cognet, Montmain, La Vialliere</t>
  </si>
  <si>
    <t xml:space="preserve"> But de Mont, Fongent, Cote Bodin, Bertholon, Le Champon, La Vialiere</t>
  </si>
  <si>
    <t>End of line:</t>
  </si>
  <si>
    <t>End of line</t>
  </si>
  <si>
    <t>sparkling:</t>
  </si>
  <si>
    <t>16CAPEPNT01</t>
  </si>
  <si>
    <t>serious whites:</t>
  </si>
  <si>
    <t>02GUND05</t>
  </si>
  <si>
    <t>03GUND04</t>
  </si>
  <si>
    <t>12TYRREL01TB</t>
  </si>
  <si>
    <t>maturing sauvignon blanc:</t>
  </si>
  <si>
    <t>05MERLINDPH</t>
  </si>
  <si>
    <t>11RIFF02DP</t>
  </si>
  <si>
    <t>99PFAFFL01</t>
  </si>
  <si>
    <t>whites - VAULTS ONLY:</t>
  </si>
  <si>
    <t>NB ONLY lying in The Vaults, Edinburgh. MOQ 24btls for free delivery. (They cannot be combined with an order from LCB London.)</t>
  </si>
  <si>
    <t>13CATTIN01TB</t>
  </si>
  <si>
    <t>08WAKEFIELD01</t>
  </si>
  <si>
    <t>08ROCH01</t>
  </si>
  <si>
    <t>09KILIK02</t>
  </si>
  <si>
    <t>97EYMAEL01</t>
  </si>
  <si>
    <t>rosé:</t>
  </si>
  <si>
    <t>reds:</t>
  </si>
  <si>
    <t>15CUBI01TB</t>
  </si>
  <si>
    <t>06ELSEQUE01</t>
  </si>
  <si>
    <t>01CAILLOUX03</t>
  </si>
  <si>
    <t>09GCHIA01TB</t>
  </si>
  <si>
    <t>08WGYGAX04</t>
  </si>
  <si>
    <t>12TORBRK01TB</t>
  </si>
  <si>
    <t>reds - VAULTS:</t>
  </si>
  <si>
    <t>08NOVAL01</t>
  </si>
  <si>
    <t>08KILIK01</t>
  </si>
  <si>
    <t>07KILIK02</t>
  </si>
  <si>
    <t>07RMONNOT03</t>
  </si>
  <si>
    <t>06GREENOCK06</t>
  </si>
  <si>
    <t>02VALLI01</t>
  </si>
  <si>
    <t>98BEAU02</t>
  </si>
  <si>
    <t>Running wine</t>
  </si>
  <si>
    <t>sparkling white:</t>
  </si>
  <si>
    <t>sparkling pink:</t>
  </si>
  <si>
    <t>sparkling sweet:</t>
  </si>
  <si>
    <t>French white:</t>
  </si>
  <si>
    <t>Iberian white:</t>
  </si>
  <si>
    <t>North Italian white:</t>
  </si>
  <si>
    <t>Central &amp; South Italian white:</t>
  </si>
  <si>
    <t>riesling etc.:</t>
  </si>
  <si>
    <t>beyond Europe white:</t>
  </si>
  <si>
    <t>Running wine:</t>
  </si>
  <si>
    <t>'Fish restaurant classics':</t>
  </si>
  <si>
    <t>VAULTS ONLY white:</t>
  </si>
  <si>
    <t>orange:</t>
  </si>
  <si>
    <t>VAULTS ONLY rosé:</t>
  </si>
  <si>
    <t>UK DISTRIBUTION:</t>
  </si>
  <si>
    <t>French red:</t>
  </si>
  <si>
    <t>Iberian red:</t>
  </si>
  <si>
    <t>Piedmontese reds, Italy:</t>
  </si>
  <si>
    <t>rest of Italy reds:</t>
  </si>
  <si>
    <t>beyond Europe red:</t>
  </si>
  <si>
    <t>red restaurant classics:</t>
  </si>
  <si>
    <t>'fish friendly reds':</t>
  </si>
  <si>
    <t>VAULTS ONLY reds:</t>
  </si>
  <si>
    <t>sweet white:</t>
  </si>
  <si>
    <t>NB ALSO SEE HALF BOTTLES OF MOSEL RIESLING AUSLESE FROM GRUNHAUS, HAAG, PRUM, SCHAEFER etc.</t>
  </si>
  <si>
    <t>sweet red:</t>
  </si>
  <si>
    <t>fortified dry white:</t>
  </si>
  <si>
    <t>Special attribute focus selections:</t>
  </si>
  <si>
    <t>aka somm central</t>
  </si>
  <si>
    <t>White varieties focus sections:</t>
  </si>
  <si>
    <t>Focus on white…</t>
  </si>
  <si>
    <t>wholly ungrafted vines, by £:</t>
  </si>
  <si>
    <t>NB also see Schaefer, Haag, JJ Prum, etc.</t>
  </si>
  <si>
    <r>
      <t>Ad Armando</t>
    </r>
    <r>
      <rPr>
        <sz val="7"/>
        <color theme="1" tint="0.14999847407452621"/>
        <rFont val="Noto Sans"/>
        <family val="2"/>
      </rPr>
      <t xml:space="preserve"> (ungrafted 1920 trebbiano spoletino)</t>
    </r>
  </si>
  <si>
    <r>
      <t xml:space="preserve">Grecomusc' </t>
    </r>
    <r>
      <rPr>
        <sz val="7"/>
        <color theme="1" tint="0.14999847407452621"/>
        <rFont val="Noto Sans"/>
        <family val="2"/>
      </rPr>
      <t>(aka roviello bianco, ungrafted VV)</t>
    </r>
  </si>
  <si>
    <r>
      <t xml:space="preserve">Grecomusc' Burlesque </t>
    </r>
    <r>
      <rPr>
        <sz val="7"/>
        <color theme="1" tint="0.14999847407452621"/>
        <rFont val="Noto Sans"/>
        <family val="2"/>
      </rPr>
      <t>(aka roviello bianco, ungrafted VV)</t>
    </r>
  </si>
  <si>
    <t>riesling Has'Chen kabinett monopole (ungrafted 1930s vv)</t>
  </si>
  <si>
    <r>
      <t>Orto, Venice Lagoon</t>
    </r>
    <r>
      <rPr>
        <sz val="7"/>
        <color theme="1" tint="0.14999847407452621"/>
        <rFont val="Noto Sans"/>
        <family val="2"/>
      </rPr>
      <t xml:space="preserve"> (malvasia Istriana, friulano, fiano)</t>
    </r>
  </si>
  <si>
    <r>
      <t>Château Musar BLANC</t>
    </r>
    <r>
      <rPr>
        <sz val="7"/>
        <color theme="1" tint="0.14999847407452621"/>
        <rFont val="Noto Sans"/>
        <family val="2"/>
      </rPr>
      <t xml:space="preserve"> (80-90yr ungrafted vines)</t>
    </r>
  </si>
  <si>
    <t>TVV, vines &gt;100yrs, by £:</t>
  </si>
  <si>
    <t>Ad Armando bianco (1920 ungrafted trebbiano spoletino, tvv)</t>
  </si>
  <si>
    <t>Antea bianco (~170yr tvv)</t>
  </si>
  <si>
    <t>Duline Friulano (1920 tvv &amp; 1936 vv)</t>
  </si>
  <si>
    <t>higher altitude vineyards:</t>
  </si>
  <si>
    <t>from</t>
  </si>
  <si>
    <t>to</t>
  </si>
  <si>
    <t>300m</t>
  </si>
  <si>
    <t>400m</t>
  </si>
  <si>
    <t>500m</t>
  </si>
  <si>
    <t>340m</t>
  </si>
  <si>
    <t>420m</t>
  </si>
  <si>
    <t>Taurasi, Campania</t>
  </si>
  <si>
    <t>350m</t>
  </si>
  <si>
    <t>600m</t>
  </si>
  <si>
    <t>St.Romain BLANC</t>
  </si>
  <si>
    <t>395m</t>
  </si>
  <si>
    <t>450m</t>
  </si>
  <si>
    <t>Montemarzino bianco, Tortona</t>
  </si>
  <si>
    <t>460m</t>
  </si>
  <si>
    <t>480m</t>
  </si>
  <si>
    <t>550m</t>
  </si>
  <si>
    <t>650m</t>
  </si>
  <si>
    <t>700m</t>
  </si>
  <si>
    <t>620m</t>
  </si>
  <si>
    <t>750m</t>
  </si>
  <si>
    <t>640m</t>
  </si>
  <si>
    <t>680m</t>
  </si>
  <si>
    <t>Langhe nascetta</t>
  </si>
  <si>
    <t>Mt.Etna, Sicily</t>
  </si>
  <si>
    <t>1000m</t>
  </si>
  <si>
    <t>1100m</t>
  </si>
  <si>
    <t>1200m</t>
  </si>
  <si>
    <t>1500m</t>
  </si>
  <si>
    <t>with longer elevage:</t>
  </si>
  <si>
    <t>3 yrs</t>
  </si>
  <si>
    <t>4 yrs</t>
  </si>
  <si>
    <t>5yrs</t>
  </si>
  <si>
    <t>&gt;6yrs</t>
  </si>
  <si>
    <t>7yrs</t>
  </si>
  <si>
    <t>8 yrs</t>
  </si>
  <si>
    <t>20yrs</t>
  </si>
  <si>
    <t>Champagne Laetitia, Ambonnay GC (solera started 1983)</t>
  </si>
  <si>
    <t>solera</t>
  </si>
  <si>
    <t>54yrs</t>
  </si>
  <si>
    <t>longer in-bottle maturation:</t>
  </si>
  <si>
    <t>DRY:</t>
  </si>
  <si>
    <t>RIESLING RANGE:</t>
  </si>
  <si>
    <t>rarer grape varieties, A-Z:</t>
  </si>
  <si>
    <r>
      <rPr>
        <i/>
        <sz val="8"/>
        <color theme="1" tint="0.14999847407452621"/>
        <rFont val="Noto Sans"/>
        <family val="2"/>
      </rPr>
      <t>blatterle</t>
    </r>
    <r>
      <rPr>
        <sz val="8"/>
        <color theme="1" tint="0.14999847407452621"/>
        <rFont val="Noto Sans"/>
        <family val="2"/>
      </rPr>
      <t xml:space="preserve"> in Bl.te.le bianco</t>
    </r>
  </si>
  <si>
    <r>
      <rPr>
        <i/>
        <sz val="8"/>
        <color theme="1" tint="0.14999847407452621"/>
        <rFont val="Noto Sans"/>
        <family val="2"/>
      </rPr>
      <t>blatterle</t>
    </r>
    <r>
      <rPr>
        <sz val="8"/>
        <color theme="1" tint="0.14999847407452621"/>
        <rFont val="Noto Sans"/>
        <family val="2"/>
      </rPr>
      <t xml:space="preserve"> in B bianco</t>
    </r>
  </si>
  <si>
    <r>
      <rPr>
        <i/>
        <sz val="8"/>
        <color theme="1" tint="0.14999847407452621"/>
        <rFont val="Noto Sans"/>
        <family val="2"/>
      </rPr>
      <t>codega do larinho</t>
    </r>
    <r>
      <rPr>
        <sz val="8"/>
        <color theme="1" tint="0.14999847407452621"/>
        <rFont val="Noto Sans"/>
        <family val="2"/>
      </rPr>
      <t xml:space="preserve"> in Tiara BRANCO</t>
    </r>
  </si>
  <si>
    <r>
      <rPr>
        <i/>
        <sz val="8"/>
        <color theme="1" tint="0.14999847407452621"/>
        <rFont val="Noto Sans"/>
        <family val="2"/>
      </rPr>
      <t>gouveio</t>
    </r>
    <r>
      <rPr>
        <sz val="8"/>
        <color theme="1" tint="0.14999847407452621"/>
        <rFont val="Noto Sans"/>
        <family val="2"/>
      </rPr>
      <t xml:space="preserve"> in Ururabo BRANCO 50cl</t>
    </r>
  </si>
  <si>
    <r>
      <rPr>
        <i/>
        <sz val="8"/>
        <color theme="1" tint="0.14999847407452621"/>
        <rFont val="Noto Sans"/>
        <family val="2"/>
      </rPr>
      <t>merwah, obadieh</t>
    </r>
    <r>
      <rPr>
        <sz val="8"/>
        <color theme="1" tint="0.14999847407452621"/>
        <rFont val="Noto Sans"/>
        <family val="2"/>
      </rPr>
      <t xml:space="preserve"> in Château Musar BLANC</t>
    </r>
  </si>
  <si>
    <r>
      <rPr>
        <i/>
        <sz val="8"/>
        <color theme="1" tint="0.14999847407452621"/>
        <rFont val="Noto Sans"/>
        <family val="2"/>
      </rPr>
      <t>Pinot Gouges aka Pinot Noir Blanc</t>
    </r>
    <r>
      <rPr>
        <sz val="8"/>
        <color theme="1" tint="0.14999847407452621"/>
        <rFont val="Noto Sans"/>
        <family val="2"/>
      </rPr>
      <t xml:space="preserve"> in Nuits-St-Georges Les Argillats</t>
    </r>
  </si>
  <si>
    <r>
      <rPr>
        <i/>
        <sz val="8"/>
        <color theme="1" tint="0.14999847407452621"/>
        <rFont val="Noto Sans"/>
        <family val="2"/>
      </rPr>
      <t>Pinot Gouges aka Pinot Noir Blanc</t>
    </r>
    <r>
      <rPr>
        <sz val="8"/>
        <color theme="1" tint="0.14999847407452621"/>
        <rFont val="Noto Sans"/>
        <family val="2"/>
      </rPr>
      <t xml:space="preserve"> in Nuits-St-Georges La Perriere 1C</t>
    </r>
  </si>
  <si>
    <r>
      <rPr>
        <i/>
        <sz val="8"/>
        <color theme="1" tint="0.14999847407452621"/>
        <rFont val="Noto Sans"/>
        <family val="2"/>
      </rPr>
      <t>prié blanc</t>
    </r>
    <r>
      <rPr>
        <sz val="8"/>
        <color theme="1" tint="0.14999847407452621"/>
        <rFont val="Noto Sans"/>
        <family val="2"/>
      </rPr>
      <t xml:space="preserve"> in Blanc de Morgex</t>
    </r>
  </si>
  <si>
    <r>
      <rPr>
        <i/>
        <sz val="8"/>
        <color theme="1" tint="0.14999847407452621"/>
        <rFont val="Noto Sans"/>
        <family val="2"/>
      </rPr>
      <t>rossese bianco</t>
    </r>
    <r>
      <rPr>
        <sz val="8"/>
        <color theme="1" tint="0.14999847407452621"/>
        <rFont val="Noto Sans"/>
        <family val="2"/>
      </rPr>
      <t xml:space="preserve"> in Antea bianco (tvv)</t>
    </r>
  </si>
  <si>
    <r>
      <rPr>
        <i/>
        <sz val="8"/>
        <color theme="1" tint="0.14999847407452621"/>
        <rFont val="Noto Sans"/>
        <family val="2"/>
      </rPr>
      <t>roviello bianco</t>
    </r>
    <r>
      <rPr>
        <sz val="8"/>
        <color theme="1" tint="0.14999847407452621"/>
        <rFont val="Noto Sans"/>
        <family val="2"/>
      </rPr>
      <t xml:space="preserve"> in Grecomusc' (vv - HIGH acidity)</t>
    </r>
  </si>
  <si>
    <r>
      <rPr>
        <i/>
        <sz val="8"/>
        <color theme="1" tint="0.14999847407452621"/>
        <rFont val="Noto Sans"/>
        <family val="2"/>
      </rPr>
      <t>roviello bianco</t>
    </r>
    <r>
      <rPr>
        <sz val="8"/>
        <color theme="1" tint="0.14999847407452621"/>
        <rFont val="Noto Sans"/>
        <family val="2"/>
      </rPr>
      <t xml:space="preserve"> in Grecomusc' Burlesque</t>
    </r>
  </si>
  <si>
    <r>
      <rPr>
        <i/>
        <sz val="8"/>
        <color theme="1" tint="0.14999847407452621"/>
        <rFont val="Noto Sans"/>
        <family val="2"/>
      </rPr>
      <t>semillon gris</t>
    </r>
    <r>
      <rPr>
        <sz val="8"/>
        <color theme="1" tint="0.14999847407452621"/>
        <rFont val="Noto Sans"/>
        <family val="2"/>
      </rPr>
      <t xml:space="preserve"> in Kin 'red' semillon</t>
    </r>
  </si>
  <si>
    <r>
      <rPr>
        <i/>
        <sz val="8"/>
        <color theme="1" tint="0.14999847407452621"/>
        <rFont val="Noto Sans"/>
        <family val="2"/>
      </rPr>
      <t>tocai giallo</t>
    </r>
    <r>
      <rPr>
        <sz val="8"/>
        <color theme="1" tint="0.14999847407452621"/>
        <rFont val="Noto Sans"/>
        <family val="2"/>
      </rPr>
      <t xml:space="preserve"> (yellow skinned friulano) in Giallodi Duline</t>
    </r>
  </si>
  <si>
    <r>
      <t xml:space="preserve">one </t>
    </r>
    <r>
      <rPr>
        <i/>
        <sz val="8"/>
        <color theme="1" tint="0.14999847407452621"/>
        <rFont val="Noto Sans"/>
        <family val="2"/>
      </rPr>
      <t>totally unknown variety</t>
    </r>
    <r>
      <rPr>
        <sz val="8"/>
        <color theme="1" tint="0.14999847407452621"/>
        <rFont val="Noto Sans"/>
        <family val="2"/>
      </rPr>
      <t xml:space="preserve"> in Blanc igp</t>
    </r>
  </si>
  <si>
    <r>
      <t>vitovska</t>
    </r>
    <r>
      <rPr>
        <sz val="8"/>
        <color theme="1" tint="0.14999847407452621"/>
        <rFont val="Noto Sans"/>
        <family val="2"/>
      </rPr>
      <t>, Carso</t>
    </r>
  </si>
  <si>
    <r>
      <t xml:space="preserve">vitovska </t>
    </r>
    <r>
      <rPr>
        <sz val="8"/>
        <color theme="1" tint="0.14999847407452621"/>
        <rFont val="Noto Sans"/>
        <family val="2"/>
      </rPr>
      <t>classic</t>
    </r>
  </si>
  <si>
    <t>NSA / unsulphited</t>
  </si>
  <si>
    <t>sans souffre / senza solfiti / SSA</t>
  </si>
  <si>
    <t>Focus on orange</t>
  </si>
  <si>
    <t>by £:</t>
  </si>
  <si>
    <t>Red varieties focus sections:</t>
  </si>
  <si>
    <t>Focus on red…</t>
  </si>
  <si>
    <t>with lightness, by £:</t>
  </si>
  <si>
    <t>NB also see much red Burgundy</t>
  </si>
  <si>
    <t>wholly ungrafted vines, by producer:</t>
  </si>
  <si>
    <t>Clos Louie VV (45% pre-phylloxera ungrafted tvv merlot)</t>
  </si>
  <si>
    <t>barbera d'Alba Maggiur (tvv, planted 1930)</t>
  </si>
  <si>
    <t>Dao Conciso (tvv baga, jaen, etc.)</t>
  </si>
  <si>
    <t>Château Moulin Pey-Labrie (tvv of 90-110yr)</t>
  </si>
  <si>
    <t>Bandol rouge (7ha vv-tvv, 95% mourvedre 80-100yrs)</t>
  </si>
  <si>
    <t>Bandol rouge cuvée de Falun (tvv, planted 1890)</t>
  </si>
  <si>
    <t>Rosso dei Centenari, Etna (1910 ungrafted, Solicchiata)</t>
  </si>
  <si>
    <t>Nonna Concetta, Etna (1910 ungrafted, Randazzo)</t>
  </si>
  <si>
    <t>Brennecker Seppeltsfield grenache (1901)</t>
  </si>
  <si>
    <t>Château de Beaucastel Hommage a Jacques Perrin (1909 vines)</t>
  </si>
  <si>
    <t>St.Romain ROUGE</t>
  </si>
  <si>
    <t>MEE GODARD</t>
  </si>
  <si>
    <t>&gt;420m</t>
  </si>
  <si>
    <t>497m</t>
  </si>
  <si>
    <t>520m</t>
  </si>
  <si>
    <t>rosso di Montalcino</t>
  </si>
  <si>
    <t>570m</t>
  </si>
  <si>
    <t>580m</t>
  </si>
  <si>
    <t>Chianti Classico</t>
  </si>
  <si>
    <t>~550m</t>
  </si>
  <si>
    <t>&gt;600m</t>
  </si>
  <si>
    <t>730m</t>
  </si>
  <si>
    <t>~700m</t>
  </si>
  <si>
    <t>708m</t>
  </si>
  <si>
    <t>770m</t>
  </si>
  <si>
    <t>850m</t>
  </si>
  <si>
    <t>800m</t>
  </si>
  <si>
    <t>870m</t>
  </si>
  <si>
    <t>910m</t>
  </si>
  <si>
    <t>~1000m</t>
  </si>
  <si>
    <t>2.5yrs</t>
  </si>
  <si>
    <t>1-4yrs</t>
  </si>
  <si>
    <t>~3yrs</t>
  </si>
  <si>
    <t>3yrs</t>
  </si>
  <si>
    <t>&gt;3yrs</t>
  </si>
  <si>
    <t>&gt;3.5yrs</t>
  </si>
  <si>
    <t>3-6yrs</t>
  </si>
  <si>
    <t>4yrs</t>
  </si>
  <si>
    <t>&gt;4yrs</t>
  </si>
  <si>
    <t>4-6yrs</t>
  </si>
  <si>
    <t>4-5yrs</t>
  </si>
  <si>
    <t>5.5yrs</t>
  </si>
  <si>
    <t>~7yrs</t>
  </si>
  <si>
    <t>8yrs</t>
  </si>
  <si>
    <t>&gt;8yrs</t>
  </si>
  <si>
    <t>10yrs</t>
  </si>
  <si>
    <t>~10yrs</t>
  </si>
  <si>
    <t>11yrs</t>
  </si>
  <si>
    <t>26yrs</t>
  </si>
  <si>
    <t>30yrs</t>
  </si>
  <si>
    <t>BOTTLES, 65cls, HALVES etc.:</t>
  </si>
  <si>
    <t>150cl MAGNUMS:</t>
  </si>
  <si>
    <r>
      <rPr>
        <i/>
        <sz val="8"/>
        <color theme="1" tint="0.14999847407452621"/>
        <rFont val="Noto Sans"/>
        <family val="2"/>
      </rPr>
      <t>avana, avarengo, chatus, becuet, etc.</t>
    </r>
    <r>
      <rPr>
        <sz val="8"/>
        <color theme="1" tint="0.14999847407452621"/>
        <rFont val="Noto Sans"/>
        <family val="2"/>
      </rPr>
      <t xml:space="preserve"> in Ramié rosso</t>
    </r>
  </si>
  <si>
    <r>
      <rPr>
        <i/>
        <sz val="8"/>
        <color theme="1" tint="0.14999847407452621"/>
        <rFont val="Noto Sans"/>
        <family val="2"/>
      </rPr>
      <t>argan, béclan, enfariné, gueuche</t>
    </r>
    <r>
      <rPr>
        <sz val="8"/>
        <color theme="1" tint="0.14999847407452621"/>
        <rFont val="Noto Sans"/>
        <family val="2"/>
      </rPr>
      <t xml:space="preserve"> in A Table Avec Léandre</t>
    </r>
  </si>
  <si>
    <r>
      <rPr>
        <i/>
        <sz val="8"/>
        <color theme="1" tint="0.14999847407452621"/>
        <rFont val="Noto Sans"/>
        <family val="2"/>
      </rPr>
      <t xml:space="preserve">fruhburgunder </t>
    </r>
    <r>
      <rPr>
        <sz val="8"/>
        <color theme="1" tint="0.14999847407452621"/>
        <rFont val="Noto Sans"/>
        <family val="2"/>
      </rPr>
      <t>Sulzfelder</t>
    </r>
  </si>
  <si>
    <r>
      <rPr>
        <i/>
        <sz val="8"/>
        <color theme="1" tint="0.14999847407452621"/>
        <rFont val="Noto Sans"/>
        <family val="2"/>
      </rPr>
      <t>fruhburgunder</t>
    </r>
    <r>
      <rPr>
        <sz val="8"/>
        <color theme="1" tint="0.14999847407452621"/>
        <rFont val="Noto Sans"/>
        <family val="2"/>
      </rPr>
      <t>*** cru Sonnenberg</t>
    </r>
  </si>
  <si>
    <r>
      <rPr>
        <i/>
        <sz val="8"/>
        <color theme="1" tint="0.14999847407452621"/>
        <rFont val="Noto Sans"/>
        <family val="2"/>
      </rPr>
      <t>grero</t>
    </r>
    <r>
      <rPr>
        <sz val="8"/>
        <color theme="1" tint="0.14999847407452621"/>
        <rFont val="Noto Sans"/>
        <family val="2"/>
      </rPr>
      <t xml:space="preserve"> in PIANTAGRERO</t>
    </r>
  </si>
  <si>
    <t>pelaverga Verduno</t>
  </si>
  <si>
    <r>
      <rPr>
        <i/>
        <sz val="8"/>
        <color theme="1" tint="0.14999847407452621"/>
        <rFont val="Noto Sans"/>
        <family val="2"/>
      </rPr>
      <t>pelaverga Verduno</t>
    </r>
    <r>
      <rPr>
        <sz val="8"/>
        <color theme="1" tint="0.14999847407452621"/>
        <rFont val="Noto Sans"/>
        <family val="2"/>
      </rPr>
      <t xml:space="preserve"> speziale®</t>
    </r>
  </si>
  <si>
    <r>
      <t>ramisco</t>
    </r>
    <r>
      <rPr>
        <sz val="8"/>
        <color theme="1" tint="0.14999847407452621"/>
        <rFont val="Noto Sans"/>
        <family val="2"/>
      </rPr>
      <t xml:space="preserve"> in Colares TINTO</t>
    </r>
  </si>
  <si>
    <r>
      <rPr>
        <i/>
        <sz val="8"/>
        <color theme="1" tint="0.14999847407452621"/>
        <rFont val="Noto Sans"/>
        <family val="2"/>
      </rPr>
      <t>ròssola, ròssolino, ròssolino rosa</t>
    </r>
    <r>
      <rPr>
        <sz val="8"/>
        <color theme="1" tint="0.14999847407452621"/>
        <rFont val="Noto Sans"/>
        <family val="2"/>
      </rPr>
      <t xml:space="preserve"> in Liom</t>
    </r>
  </si>
  <si>
    <r>
      <rPr>
        <i/>
        <sz val="8"/>
        <color theme="1" tint="0.14999847407452621"/>
        <rFont val="Noto Sans"/>
        <family val="2"/>
      </rPr>
      <t>trepat</t>
    </r>
    <r>
      <rPr>
        <sz val="8"/>
        <color theme="1" tint="0.14999847407452621"/>
        <rFont val="Noto Sans"/>
        <family val="2"/>
      </rPr>
      <t xml:space="preserve"> Vi Roig (vv)</t>
    </r>
  </si>
  <si>
    <r>
      <rPr>
        <i/>
        <sz val="8"/>
        <color theme="1" tint="0.14999847407452621"/>
        <rFont val="Noto Sans"/>
        <family val="2"/>
      </rPr>
      <t>uva rara</t>
    </r>
    <r>
      <rPr>
        <sz val="8"/>
        <color theme="1" tint="0.14999847407452621"/>
        <rFont val="Noto Sans"/>
        <family val="2"/>
      </rPr>
      <t xml:space="preserve"> in Rairon</t>
    </r>
  </si>
  <si>
    <t>Focus on red:</t>
  </si>
  <si>
    <t>Focus on:</t>
  </si>
  <si>
    <t>'Supertuscans'</t>
  </si>
  <si>
    <r>
      <t xml:space="preserve">Sassi Chiusi </t>
    </r>
    <r>
      <rPr>
        <sz val="7"/>
        <color theme="1" tint="0.14999847407452621"/>
        <rFont val="Noto Sans"/>
        <family val="2"/>
      </rPr>
      <t>(cab sauv-merlot)</t>
    </r>
  </si>
  <si>
    <r>
      <t xml:space="preserve">Carnasciale </t>
    </r>
    <r>
      <rPr>
        <sz val="7"/>
        <color theme="1" tint="0.14999847407452621"/>
        <rFont val="Noto Sans"/>
        <family val="2"/>
      </rPr>
      <t>(2nd wine of 'caberlot' clone L.32)</t>
    </r>
  </si>
  <si>
    <r>
      <t>Guado de Gemoli, Bolgheri</t>
    </r>
    <r>
      <rPr>
        <sz val="7"/>
        <color theme="1" tint="0.14999847407452621"/>
        <rFont val="Noto Sans"/>
        <family val="2"/>
      </rPr>
      <t xml:space="preserve"> (~70% CS, 15% each CF &amp; M)</t>
    </r>
  </si>
  <si>
    <r>
      <t>Paretaio</t>
    </r>
    <r>
      <rPr>
        <sz val="7"/>
        <color theme="1" tint="0.14999847407452621"/>
        <rFont val="Noto Sans"/>
        <family val="2"/>
      </rPr>
      <t xml:space="preserve"> (sangiovese-merlot) </t>
    </r>
    <r>
      <rPr>
        <b/>
        <sz val="8"/>
        <color theme="1" tint="0.14999847407452621"/>
        <rFont val="Noto Sans"/>
        <family val="2"/>
      </rPr>
      <t>MAGS</t>
    </r>
  </si>
  <si>
    <r>
      <t xml:space="preserve">Campora </t>
    </r>
    <r>
      <rPr>
        <sz val="7"/>
        <color theme="1" tint="0.14999847407452621"/>
        <rFont val="Noto Sans"/>
        <family val="2"/>
      </rPr>
      <t xml:space="preserve">(cab sauv) </t>
    </r>
    <r>
      <rPr>
        <b/>
        <sz val="8"/>
        <color theme="1" tint="0.14999847407452621"/>
        <rFont val="Noto Sans"/>
        <family val="2"/>
      </rPr>
      <t>MAGS</t>
    </r>
  </si>
  <si>
    <r>
      <t xml:space="preserve">Sassi Chiusi </t>
    </r>
    <r>
      <rPr>
        <sz val="7"/>
        <color theme="1" tint="0.14999847407452621"/>
        <rFont val="Noto Sans"/>
        <family val="2"/>
      </rPr>
      <t xml:space="preserve">(cab sauv-merlot) </t>
    </r>
    <r>
      <rPr>
        <b/>
        <sz val="8"/>
        <color theme="1" tint="0.14999847407452621"/>
        <rFont val="Noto Sans"/>
        <family val="2"/>
      </rPr>
      <t>MAGS</t>
    </r>
  </si>
  <si>
    <r>
      <t xml:space="preserve">Il Caberlot </t>
    </r>
    <r>
      <rPr>
        <sz val="7"/>
        <color theme="1" tint="0.14999847407452621"/>
        <rFont val="Noto Sans"/>
        <family val="2"/>
      </rPr>
      <t>(grand vin of 'caberlot' clone L.32)</t>
    </r>
    <r>
      <rPr>
        <b/>
        <sz val="8"/>
        <color theme="1" tint="0.14999847407452621"/>
        <rFont val="Noto Sans"/>
        <family val="2"/>
      </rPr>
      <t xml:space="preserve"> MAGS</t>
    </r>
  </si>
  <si>
    <r>
      <t xml:space="preserve">Sassi Chiusi </t>
    </r>
    <r>
      <rPr>
        <sz val="7"/>
        <color theme="1" tint="0.14999847407452621"/>
        <rFont val="Noto Sans"/>
        <family val="2"/>
      </rPr>
      <t xml:space="preserve">(cab sauv-merlot) </t>
    </r>
    <r>
      <rPr>
        <b/>
        <sz val="8"/>
        <color theme="1" tint="0.14999847407452621"/>
        <rFont val="Noto Sans"/>
        <family val="2"/>
      </rPr>
      <t>300CL JEROS</t>
    </r>
  </si>
  <si>
    <r>
      <t xml:space="preserve">Il Caberlot </t>
    </r>
    <r>
      <rPr>
        <sz val="7"/>
        <color theme="1" tint="0.14999847407452621"/>
        <rFont val="Noto Sans"/>
        <family val="2"/>
      </rPr>
      <t xml:space="preserve">(grand vin of 'caberlot' clone L.32) </t>
    </r>
    <r>
      <rPr>
        <b/>
        <sz val="8"/>
        <color theme="1" tint="0.14999847407452621"/>
        <rFont val="Noto Sans"/>
        <family val="2"/>
      </rPr>
      <t>300CL JEROS</t>
    </r>
  </si>
  <si>
    <t>Superlatives etc. section, A-Z:</t>
  </si>
  <si>
    <r>
      <rPr>
        <b/>
        <sz val="8"/>
        <color theme="1" tint="0.14999847407452621"/>
        <rFont val="Noto Sans"/>
        <family val="2"/>
      </rPr>
      <t xml:space="preserve">Elisir (Elixir) </t>
    </r>
    <r>
      <rPr>
        <sz val="7"/>
        <color theme="1" tint="0.14999847407452621"/>
        <rFont val="Noto Sans"/>
        <family val="2"/>
      </rPr>
      <t>rosso, Etna (whole bunch nerello)</t>
    </r>
  </si>
  <si>
    <r>
      <rPr>
        <b/>
        <sz val="8"/>
        <color theme="1" tint="0.14999847407452621"/>
        <rFont val="Noto Sans"/>
        <family val="2"/>
      </rPr>
      <t>Eternel (Eternal)</t>
    </r>
    <r>
      <rPr>
        <b/>
        <sz val="7"/>
        <color theme="1" tint="0.14999847407452621"/>
        <rFont val="Noto Sans"/>
        <family val="2"/>
      </rPr>
      <t xml:space="preserve"> </t>
    </r>
    <r>
      <rPr>
        <sz val="7"/>
        <color theme="1" tint="0.14999847407452621"/>
        <rFont val="Noto Sans"/>
        <family val="2"/>
      </rPr>
      <t>Champagne rosé</t>
    </r>
  </si>
  <si>
    <t>nv</t>
  </si>
  <si>
    <r>
      <rPr>
        <b/>
        <sz val="8"/>
        <color theme="1" tint="0.14999847407452621"/>
        <rFont val="Noto Sans"/>
        <family val="2"/>
      </rPr>
      <t>Essence</t>
    </r>
    <r>
      <rPr>
        <sz val="7"/>
        <color theme="1" tint="0.14999847407452621"/>
        <rFont val="Noto Sans"/>
        <family val="2"/>
      </rPr>
      <t xml:space="preserve"> Champagne, Ambonnay GC</t>
    </r>
  </si>
  <si>
    <t>LAFARGE</t>
  </si>
  <si>
    <r>
      <t xml:space="preserve"> </t>
    </r>
    <r>
      <rPr>
        <b/>
        <sz val="8"/>
        <color theme="1" tint="0.14999847407452621"/>
        <rFont val="Noto Sans"/>
        <family val="2"/>
      </rPr>
      <t>L'Exception</t>
    </r>
    <r>
      <rPr>
        <sz val="7"/>
        <color theme="1" tint="0.14999847407452621"/>
        <rFont val="Noto Sans"/>
        <family val="2"/>
      </rPr>
      <t xml:space="preserve"> Bourgogne passetoutgrains (tvv)</t>
    </r>
  </si>
  <si>
    <r>
      <rPr>
        <b/>
        <sz val="8"/>
        <color theme="1" tint="0.14999847407452621"/>
        <rFont val="Noto Sans"/>
        <family val="2"/>
      </rPr>
      <t>Gravité</t>
    </r>
    <r>
      <rPr>
        <b/>
        <sz val="7"/>
        <color theme="1" tint="0.14999847407452621"/>
        <rFont val="Noto Sans"/>
        <family val="2"/>
      </rPr>
      <t xml:space="preserve"> </t>
    </r>
    <r>
      <rPr>
        <sz val="7"/>
        <color theme="1" tint="0.14999847407452621"/>
        <rFont val="Noto Sans"/>
        <family val="2"/>
      </rPr>
      <t>Santenay ROUGE</t>
    </r>
  </si>
  <si>
    <r>
      <rPr>
        <b/>
        <sz val="8"/>
        <color theme="1" tint="0.14999847407452621"/>
        <rFont val="Noto Sans"/>
        <family val="2"/>
      </rPr>
      <t>Les Larmes de Bacchus (Bacchus' tears)</t>
    </r>
    <r>
      <rPr>
        <sz val="7"/>
        <color theme="1" tint="0.14999847407452621"/>
        <rFont val="Noto Sans"/>
        <family val="2"/>
      </rPr>
      <t xml:space="preserve"> Vouvray liquoreux</t>
    </r>
  </si>
  <si>
    <t>Il Merlot (THE merlot), Ronco Pitotti MAGS</t>
  </si>
  <si>
    <r>
      <rPr>
        <b/>
        <sz val="8"/>
        <color theme="1" tint="0.14999847407452621"/>
        <rFont val="Noto Sans"/>
        <family val="2"/>
      </rPr>
      <t>Paradis</t>
    </r>
    <r>
      <rPr>
        <sz val="7"/>
        <color theme="1" tint="0.14999847407452621"/>
        <rFont val="Noto Sans"/>
        <family val="2"/>
      </rPr>
      <t xml:space="preserve"> St.Joseph VV BLANC </t>
    </r>
  </si>
  <si>
    <r>
      <rPr>
        <b/>
        <sz val="8"/>
        <color theme="1" tint="0.14999847407452621"/>
        <rFont val="Noto Sans"/>
        <family val="2"/>
      </rPr>
      <t xml:space="preserve">Quintessenz (Quintessence) </t>
    </r>
    <r>
      <rPr>
        <sz val="7"/>
        <color theme="1" tint="0.14999847407452621"/>
        <rFont val="Noto Sans"/>
        <family val="2"/>
      </rPr>
      <t>sauvignon blanc</t>
    </r>
  </si>
  <si>
    <r>
      <rPr>
        <b/>
        <sz val="8"/>
        <color theme="1" tint="0.14999847407452621"/>
        <rFont val="Noto Sans"/>
        <family val="2"/>
      </rPr>
      <t>Relentless</t>
    </r>
    <r>
      <rPr>
        <sz val="7"/>
        <color theme="1" tint="0.14999847407452621"/>
        <rFont val="Noto Sans"/>
        <family val="2"/>
      </rPr>
      <t>, Napa (syrah+petite sirah)</t>
    </r>
  </si>
  <si>
    <r>
      <rPr>
        <b/>
        <sz val="8"/>
        <color theme="1" tint="0.14999847407452621"/>
        <rFont val="Noto Sans"/>
        <family val="2"/>
      </rPr>
      <t>Sempar (Peerless)</t>
    </r>
    <r>
      <rPr>
        <sz val="8"/>
        <color theme="1" tint="0.14999847407452621"/>
        <rFont val="Noto Sans"/>
        <family val="2"/>
      </rPr>
      <t xml:space="preserve"> </t>
    </r>
    <r>
      <rPr>
        <sz val="7"/>
        <color theme="1" tint="0.14999847407452621"/>
        <rFont val="Noto Sans"/>
        <family val="2"/>
      </rPr>
      <t>tinto (VV), Alentejo</t>
    </r>
  </si>
  <si>
    <r>
      <rPr>
        <b/>
        <sz val="8"/>
        <color theme="1" tint="0.14999847407452621"/>
        <rFont val="Noto Sans"/>
        <family val="2"/>
      </rPr>
      <t xml:space="preserve">Superior </t>
    </r>
    <r>
      <rPr>
        <sz val="7"/>
        <color theme="1" tint="0.14999847407452621"/>
        <rFont val="Noto Sans"/>
        <family val="2"/>
      </rPr>
      <t xml:space="preserve">GL riesling Abtsberg </t>
    </r>
    <r>
      <rPr>
        <sz val="8"/>
        <color theme="1" tint="0.14999847407452621"/>
        <rFont val="Noto Sans"/>
        <family val="2"/>
      </rPr>
      <t>HVS</t>
    </r>
  </si>
  <si>
    <r>
      <rPr>
        <b/>
        <sz val="8"/>
        <color theme="1" tint="0.14999847407452621"/>
        <rFont val="Noto Sans"/>
        <family val="2"/>
      </rPr>
      <t xml:space="preserve">Superior </t>
    </r>
    <r>
      <rPr>
        <sz val="7"/>
        <color theme="1" tint="0.14999847407452621"/>
        <rFont val="Noto Sans"/>
        <family val="2"/>
      </rPr>
      <t>GL riesling Abtsberg</t>
    </r>
  </si>
  <si>
    <r>
      <rPr>
        <b/>
        <sz val="8"/>
        <color theme="1" tint="0.14999847407452621"/>
        <rFont val="Noto Sans"/>
        <family val="2"/>
      </rPr>
      <t>Superior</t>
    </r>
    <r>
      <rPr>
        <sz val="8"/>
        <color theme="1" tint="0.14999847407452621"/>
        <rFont val="Noto Sans"/>
        <family val="2"/>
      </rPr>
      <t xml:space="preserve"> GL riesling Abtsberg MAGS</t>
    </r>
  </si>
  <si>
    <r>
      <rPr>
        <b/>
        <sz val="8"/>
        <color theme="1" tint="0.14999847407452621"/>
        <rFont val="Noto Sans"/>
        <family val="2"/>
      </rPr>
      <t>Unendlich (Unending, Infinite)</t>
    </r>
    <r>
      <rPr>
        <sz val="8"/>
        <color theme="1" tint="0.14999847407452621"/>
        <rFont val="Noto Sans"/>
        <family val="2"/>
      </rPr>
      <t xml:space="preserve"> gruner veltliner smaragd</t>
    </r>
  </si>
  <si>
    <t>var.</t>
  </si>
  <si>
    <t>Art label section:</t>
  </si>
  <si>
    <t>Focus on…</t>
  </si>
  <si>
    <t>whites with art labels:</t>
  </si>
  <si>
    <t>Size</t>
  </si>
  <si>
    <r>
      <t>Gangloff St.Joseph BLANC (</t>
    </r>
    <r>
      <rPr>
        <b/>
        <sz val="8"/>
        <color theme="1" tint="0.14999847407452621"/>
        <rFont val="Noto Sans"/>
        <family val="2"/>
      </rPr>
      <t>Pierre Gangloff</t>
    </r>
    <r>
      <rPr>
        <sz val="7"/>
        <color theme="1" tint="0.14999847407452621"/>
        <rFont val="Noto Sans"/>
        <family val="2"/>
      </rPr>
      <t>, painter. 1953-2013)</t>
    </r>
  </si>
  <si>
    <r>
      <t>Gangloff Condrieu (</t>
    </r>
    <r>
      <rPr>
        <b/>
        <sz val="8"/>
        <color theme="1" tint="0.14999847407452621"/>
        <rFont val="Noto Sans"/>
        <family val="2"/>
      </rPr>
      <t>Pierre Gangloff</t>
    </r>
    <r>
      <rPr>
        <sz val="7"/>
        <color theme="1" tint="0.14999847407452621"/>
        <rFont val="Noto Sans"/>
        <family val="2"/>
      </rPr>
      <t>, painter. 1953-2013)</t>
    </r>
  </si>
  <si>
    <t>tillaillustration.com</t>
  </si>
  <si>
    <r>
      <t>Runchet moscato (</t>
    </r>
    <r>
      <rPr>
        <b/>
        <sz val="8"/>
        <color theme="1" tint="0.14999847407452621"/>
        <rFont val="Noto Sans"/>
        <family val="2"/>
      </rPr>
      <t>Tilla</t>
    </r>
    <r>
      <rPr>
        <sz val="7"/>
        <color theme="1" tint="0.14999847407452621"/>
        <rFont val="Noto Sans"/>
        <family val="2"/>
      </rPr>
      <t xml:space="preserve"> painting)</t>
    </r>
  </si>
  <si>
    <r>
      <t>Runchet bianco (</t>
    </r>
    <r>
      <rPr>
        <b/>
        <sz val="8"/>
        <color theme="1" tint="0.14999847407452621"/>
        <rFont val="Noto Sans"/>
        <family val="2"/>
      </rPr>
      <t xml:space="preserve">Tilla </t>
    </r>
    <r>
      <rPr>
        <sz val="7"/>
        <color theme="1" tint="0.14999847407452621"/>
        <rFont val="Noto Sans"/>
        <family val="2"/>
      </rPr>
      <t>painting)</t>
    </r>
  </si>
  <si>
    <t>marcsadler.it</t>
  </si>
  <si>
    <r>
      <t>ORTO, Venice (</t>
    </r>
    <r>
      <rPr>
        <b/>
        <sz val="8"/>
        <color theme="1" tint="0.14999847407452621"/>
        <rFont val="Noto Sans"/>
        <family val="2"/>
      </rPr>
      <t>Marc Sadler</t>
    </r>
    <r>
      <rPr>
        <sz val="7"/>
        <color theme="1" tint="0.14999847407452621"/>
        <rFont val="Noto Sans"/>
        <family val="2"/>
      </rPr>
      <t>, designer. 1946-)</t>
    </r>
  </si>
  <si>
    <t>kante.it</t>
  </si>
  <si>
    <r>
      <t>Kante Selezione series (</t>
    </r>
    <r>
      <rPr>
        <b/>
        <sz val="8"/>
        <color theme="1" tint="0.14999847407452621"/>
        <rFont val="Noto Sans"/>
        <family val="2"/>
      </rPr>
      <t xml:space="preserve">Edi Kante </t>
    </r>
    <r>
      <rPr>
        <sz val="7"/>
        <color theme="1" tint="0.14999847407452621"/>
        <rFont val="Noto Sans"/>
        <family val="2"/>
      </rPr>
      <t>painting)</t>
    </r>
  </si>
  <si>
    <r>
      <t>Duline's Malvasia Chioma Integrale (</t>
    </r>
    <r>
      <rPr>
        <b/>
        <sz val="8"/>
        <color theme="1" tint="0.14999847407452621"/>
        <rFont val="Noto Sans"/>
        <family val="2"/>
      </rPr>
      <t>Luca Gremese</t>
    </r>
    <r>
      <rPr>
        <sz val="7"/>
        <color theme="1" tint="0.14999847407452621"/>
        <rFont val="Noto Sans"/>
        <family val="2"/>
      </rPr>
      <t>, designer)</t>
    </r>
  </si>
  <si>
    <t>Duline's sauvignon blanc Ronco Pitotti (artist TBC)</t>
  </si>
  <si>
    <t>etnagrammi.it</t>
  </si>
  <si>
    <r>
      <t>Affiu Etna bianco (</t>
    </r>
    <r>
      <rPr>
        <b/>
        <sz val="8"/>
        <color theme="1" tint="0.14999847407452621"/>
        <rFont val="Noto Sans"/>
        <family val="2"/>
      </rPr>
      <t>Valentina Granata</t>
    </r>
    <r>
      <rPr>
        <sz val="7"/>
        <color theme="1" tint="0.14999847407452621"/>
        <rFont val="Noto Sans"/>
        <family val="2"/>
      </rPr>
      <t xml:space="preserve"> watercolour, @ETNAGRAMMI)</t>
    </r>
  </si>
  <si>
    <t>facebook.com/reginapessoa</t>
  </si>
  <si>
    <r>
      <t>Niepoort Drink Me Kali branco (</t>
    </r>
    <r>
      <rPr>
        <b/>
        <sz val="8"/>
        <color theme="1" tint="0.14999847407452621"/>
        <rFont val="Noto Sans"/>
        <family val="2"/>
      </rPr>
      <t>Regina Pessoa</t>
    </r>
    <r>
      <rPr>
        <sz val="7"/>
        <color theme="1" tint="0.14999847407452621"/>
        <rFont val="Noto Sans"/>
        <family val="2"/>
      </rPr>
      <t>, animator. 1969-)</t>
    </r>
  </si>
  <si>
    <t xml:space="preserve">en.wikipedia.org/wiki/Karl_Friedrich_Schinkel </t>
  </si>
  <si>
    <r>
      <t>F.X.Pichler gruner 'U' (</t>
    </r>
    <r>
      <rPr>
        <b/>
        <sz val="8"/>
        <color theme="1" tint="0.14999847407452621"/>
        <rFont val="Noto Sans"/>
        <family val="2"/>
      </rPr>
      <t>K.F.Schinkel</t>
    </r>
    <r>
      <rPr>
        <sz val="7"/>
        <color theme="1" tint="0.14999847407452621"/>
        <rFont val="Noto Sans"/>
        <family val="2"/>
      </rPr>
      <t>, architect. 1781-1841)</t>
    </r>
  </si>
  <si>
    <t>cornershopdesign.com.au</t>
  </si>
  <si>
    <r>
      <t>Kin by Alkina varietal series, Barossa (</t>
    </r>
    <r>
      <rPr>
        <b/>
        <sz val="8"/>
        <color theme="1" tint="0.14999847407452621"/>
        <rFont val="Noto Sans"/>
        <family val="2"/>
      </rPr>
      <t>Damian Hamilton</t>
    </r>
    <r>
      <rPr>
        <sz val="7"/>
        <color theme="1" tint="0.14999847407452621"/>
        <rFont val="Noto Sans"/>
        <family val="2"/>
      </rPr>
      <t>, designer)</t>
    </r>
  </si>
  <si>
    <t>gallery45.com.au</t>
  </si>
  <si>
    <r>
      <t xml:space="preserve">Akishika Yama sake (mountain label by </t>
    </r>
    <r>
      <rPr>
        <b/>
        <sz val="8"/>
        <color theme="1" tint="0.14999847407452621"/>
        <rFont val="Noto Sans"/>
        <family val="2"/>
      </rPr>
      <t>Hiroaki Oku</t>
    </r>
    <r>
      <rPr>
        <sz val="7"/>
        <color theme="1" tint="0.14999847407452621"/>
        <rFont val="Noto Sans"/>
        <family val="2"/>
      </rPr>
      <t>)</t>
    </r>
  </si>
  <si>
    <t>reds with art labels:</t>
  </si>
  <si>
    <t>glougueule.fr</t>
  </si>
  <si>
    <r>
      <t>Château Moulin (</t>
    </r>
    <r>
      <rPr>
        <b/>
        <sz val="8"/>
        <color theme="1" tint="0.14999847407452621"/>
        <rFont val="Noto Sans"/>
        <family val="2"/>
      </rPr>
      <t>Michel Tolmer</t>
    </r>
    <r>
      <rPr>
        <sz val="8"/>
        <color theme="1" tint="0.14999847407452621"/>
        <rFont val="Noto Sans"/>
        <family val="2"/>
      </rPr>
      <t>,</t>
    </r>
    <r>
      <rPr>
        <sz val="7"/>
        <color theme="1" tint="0.14999847407452621"/>
        <rFont val="Noto Sans"/>
        <family val="2"/>
      </rPr>
      <t xml:space="preserve"> artist)</t>
    </r>
  </si>
  <si>
    <r>
      <t>Chateau Langoa-Barton 200th Anniversary (</t>
    </r>
    <r>
      <rPr>
        <b/>
        <sz val="8"/>
        <color theme="1" tint="0.14999847407452621"/>
        <rFont val="Noto Sans"/>
        <family val="2"/>
      </rPr>
      <t>artist TBC</t>
    </r>
    <r>
      <rPr>
        <sz val="7"/>
        <color theme="1" tint="0.14999847407452621"/>
        <rFont val="Noto Sans"/>
        <family val="2"/>
      </rPr>
      <t>)</t>
    </r>
  </si>
  <si>
    <t>warnockfinearts.com</t>
  </si>
  <si>
    <r>
      <t>Cérès, by Chateau Haut-Bages Liberal (</t>
    </r>
    <r>
      <rPr>
        <b/>
        <sz val="8"/>
        <color theme="1" tint="0.14999847407452621"/>
        <rFont val="Noto Sans"/>
        <family val="2"/>
      </rPr>
      <t>Francois Houtin</t>
    </r>
    <r>
      <rPr>
        <sz val="7"/>
        <color theme="1" tint="0.14999847407452621"/>
        <rFont val="Noto Sans"/>
        <family val="2"/>
      </rPr>
      <t>, 1950-)</t>
    </r>
  </si>
  <si>
    <t>instagram.com/peterdoig/</t>
  </si>
  <si>
    <r>
      <t xml:space="preserve">Chateau Mouton-Rothschild </t>
    </r>
    <r>
      <rPr>
        <b/>
        <sz val="7"/>
        <color theme="1" tint="0.14999847407452621"/>
        <rFont val="Noto Sans"/>
        <family val="2"/>
      </rPr>
      <t>(</t>
    </r>
    <r>
      <rPr>
        <b/>
        <sz val="8"/>
        <color theme="1" tint="0.14999847407452621"/>
        <rFont val="Noto Sans"/>
        <family val="2"/>
      </rPr>
      <t>Peter Doig</t>
    </r>
    <r>
      <rPr>
        <sz val="7"/>
        <color theme="1" tint="0.14999847407452621"/>
        <rFont val="Noto Sans"/>
        <family val="2"/>
      </rPr>
      <t>)</t>
    </r>
  </si>
  <si>
    <t>instagram.com/joycedelimataartist/</t>
  </si>
  <si>
    <t>laurent-reynes.com</t>
  </si>
  <si>
    <r>
      <t>Marc Delienne Fleurie (</t>
    </r>
    <r>
      <rPr>
        <b/>
        <sz val="8"/>
        <color theme="1" tint="0.14999847407452621"/>
        <rFont val="Noto Sans"/>
        <family val="2"/>
      </rPr>
      <t>Laurent Reynes</t>
    </r>
    <r>
      <rPr>
        <sz val="7"/>
        <color theme="1" tint="0.14999847407452621"/>
        <rFont val="Noto Sans"/>
        <family val="2"/>
      </rPr>
      <t>, painter. 1961-)</t>
    </r>
  </si>
  <si>
    <t>pierre-gangloff.fr</t>
  </si>
  <si>
    <r>
      <t>Gangloff Cote Rotie Barbarine (</t>
    </r>
    <r>
      <rPr>
        <b/>
        <sz val="8"/>
        <color theme="1" tint="0.14999847407452621"/>
        <rFont val="Noto Sans"/>
        <family val="2"/>
      </rPr>
      <t>Pierre Gangloff,</t>
    </r>
    <r>
      <rPr>
        <sz val="7"/>
        <color theme="1" tint="0.14999847407452621"/>
        <rFont val="Noto Sans"/>
        <family val="2"/>
      </rPr>
      <t xml:space="preserve"> 1953-2013)</t>
    </r>
  </si>
  <si>
    <r>
      <t>Gangloff Cote Rotie Sereine Noir (</t>
    </r>
    <r>
      <rPr>
        <b/>
        <sz val="8"/>
        <color theme="1" tint="0.14999847407452621"/>
        <rFont val="Noto Sans"/>
        <family val="2"/>
      </rPr>
      <t>Pierre Gangloff</t>
    </r>
    <r>
      <rPr>
        <sz val="8"/>
        <color theme="1" tint="0.14999847407452621"/>
        <rFont val="Noto Sans"/>
        <family val="2"/>
      </rPr>
      <t>,</t>
    </r>
    <r>
      <rPr>
        <sz val="7"/>
        <color theme="1" tint="0.14999847407452621"/>
        <rFont val="Noto Sans"/>
        <family val="2"/>
      </rPr>
      <t xml:space="preserve"> 1953-2013)</t>
    </r>
  </si>
  <si>
    <r>
      <t>Runchet Langhe varietals (</t>
    </r>
    <r>
      <rPr>
        <b/>
        <sz val="8"/>
        <color theme="1" tint="0.14999847407452621"/>
        <rFont val="Noto Sans"/>
        <family val="2"/>
      </rPr>
      <t>Tilla</t>
    </r>
    <r>
      <rPr>
        <sz val="7"/>
        <color theme="1" tint="0.14999847407452621"/>
        <rFont val="Noto Sans"/>
        <family val="2"/>
      </rPr>
      <t xml:space="preserve"> painting)</t>
    </r>
  </si>
  <si>
    <r>
      <t>Runchet Barolo/Barbaresco (</t>
    </r>
    <r>
      <rPr>
        <b/>
        <sz val="8"/>
        <color theme="1" tint="0.14999847407452621"/>
        <rFont val="Noto Sans"/>
        <family val="2"/>
      </rPr>
      <t>Tilla</t>
    </r>
    <r>
      <rPr>
        <sz val="7"/>
        <color theme="1" tint="0.14999847407452621"/>
        <rFont val="Noto Sans"/>
        <family val="2"/>
      </rPr>
      <t xml:space="preserve"> painting)</t>
    </r>
  </si>
  <si>
    <t>simoneronzio.com</t>
  </si>
  <si>
    <r>
      <t>Barbacan, Valtellina (</t>
    </r>
    <r>
      <rPr>
        <b/>
        <sz val="8"/>
        <color theme="1" tint="0.14999847407452621"/>
        <rFont val="Noto Sans"/>
        <family val="2"/>
      </rPr>
      <t>Simone Ronzio</t>
    </r>
    <r>
      <rPr>
        <sz val="7"/>
        <color theme="1" tint="0.14999847407452621"/>
        <rFont val="Noto Sans"/>
        <family val="2"/>
      </rPr>
      <t>'s neolithic designs)</t>
    </r>
  </si>
  <si>
    <r>
      <t>La Porta di Vertine, Tuscany (</t>
    </r>
    <r>
      <rPr>
        <b/>
        <sz val="8"/>
        <color theme="1" tint="0.14999847407452621"/>
        <rFont val="Noto Sans"/>
        <family val="2"/>
      </rPr>
      <t>unknown artist</t>
    </r>
    <r>
      <rPr>
        <sz val="7"/>
        <color theme="1" tint="0.14999847407452621"/>
        <rFont val="Noto Sans"/>
        <family val="2"/>
      </rPr>
      <t>, drawn in lipstick)</t>
    </r>
  </si>
  <si>
    <r>
      <t>Carnasciale, Caberlot (</t>
    </r>
    <r>
      <rPr>
        <b/>
        <sz val="8"/>
        <color theme="1" tint="0.14999847407452621"/>
        <rFont val="Noto Sans"/>
        <family val="2"/>
      </rPr>
      <t xml:space="preserve">Gerd Hiepler </t>
    </r>
    <r>
      <rPr>
        <sz val="7"/>
        <color theme="1" tint="0.14999847407452621"/>
        <rFont val="Noto Sans"/>
        <family val="2"/>
      </rPr>
      <t xml:space="preserve"> </t>
    </r>
    <r>
      <rPr>
        <b/>
        <sz val="7"/>
        <color theme="1" tint="0.14999847407452621"/>
        <rFont val="Noto Sans"/>
        <family val="2"/>
      </rPr>
      <t xml:space="preserve">'X' </t>
    </r>
    <r>
      <rPr>
        <sz val="7"/>
        <color theme="1" tint="0.14999847407452621"/>
        <rFont val="Noto Sans"/>
        <family val="2"/>
      </rPr>
      <t>drawings)</t>
    </r>
  </si>
  <si>
    <t>peterwillburger.com</t>
  </si>
  <si>
    <r>
      <t>Conciliis aglianico Naima-Willburger (</t>
    </r>
    <r>
      <rPr>
        <b/>
        <sz val="8"/>
        <color theme="1" tint="0.14999847407452621"/>
        <rFont val="Noto Sans"/>
        <family val="2"/>
      </rPr>
      <t>Peter Willburger</t>
    </r>
    <r>
      <rPr>
        <sz val="7"/>
        <color theme="1" tint="0.14999847407452621"/>
        <rFont val="Noto Sans"/>
        <family val="2"/>
      </rPr>
      <t>. 1942-1998)</t>
    </r>
  </si>
  <si>
    <r>
      <t xml:space="preserve">Niepoort Drink Me Kali tinto </t>
    </r>
    <r>
      <rPr>
        <b/>
        <sz val="8"/>
        <color theme="1" tint="0.14999847407452621"/>
        <rFont val="Noto Sans"/>
        <family val="2"/>
      </rPr>
      <t>(Regina Pessoa</t>
    </r>
    <r>
      <rPr>
        <sz val="7"/>
        <color theme="1" tint="0.14999847407452621"/>
        <rFont val="Noto Sans"/>
        <family val="2"/>
      </rPr>
      <t>, animator. 1969-)</t>
    </r>
  </si>
  <si>
    <t>facebook.com/LuisDeBourbonCaligrafia/</t>
  </si>
  <si>
    <r>
      <t xml:space="preserve">Niepoort Lote D, Bairrada (artist/designer </t>
    </r>
    <r>
      <rPr>
        <b/>
        <sz val="8"/>
        <color theme="1" tint="0.14999847407452621"/>
        <rFont val="Noto Sans"/>
        <family val="2"/>
      </rPr>
      <t>Miguel Salazar</t>
    </r>
    <r>
      <rPr>
        <sz val="7"/>
        <color theme="1" tint="0.14999847407452621"/>
        <rFont val="Noto Sans"/>
        <family val="2"/>
      </rPr>
      <t>)</t>
    </r>
  </si>
  <si>
    <r>
      <t xml:space="preserve">Niepoort Museu dos Lagares, Douro (artist/designer </t>
    </r>
    <r>
      <rPr>
        <b/>
        <sz val="8"/>
        <color theme="1" tint="0.14999847407452621"/>
        <rFont val="Noto Sans"/>
        <family val="2"/>
      </rPr>
      <t>Miguel Salazar</t>
    </r>
    <r>
      <rPr>
        <sz val="7"/>
        <color theme="1" tint="0.14999847407452621"/>
        <rFont val="Noto Sans"/>
        <family val="2"/>
      </rPr>
      <t>)</t>
    </r>
  </si>
  <si>
    <t>joaonoutel.com</t>
  </si>
  <si>
    <t>Niepoort Turris MAGS (João Noutel, artist. 1971-)</t>
  </si>
  <si>
    <r>
      <t>Kin cuvée name series, Barossa (</t>
    </r>
    <r>
      <rPr>
        <b/>
        <sz val="8"/>
        <color theme="1" tint="0.14999847407452621"/>
        <rFont val="Noto Sans"/>
        <family val="2"/>
      </rPr>
      <t>Damian Coulthard</t>
    </r>
    <r>
      <rPr>
        <sz val="7"/>
        <color theme="1" tint="0.14999847407452621"/>
        <rFont val="Noto Sans"/>
        <family val="2"/>
      </rPr>
      <t>, painter)</t>
    </r>
  </si>
  <si>
    <t>(updated Jan.2025)</t>
  </si>
  <si>
    <t>Hommage focus section:</t>
  </si>
  <si>
    <t>female hommages, A-Z:</t>
  </si>
  <si>
    <r>
      <rPr>
        <b/>
        <sz val="8"/>
        <color theme="1" tint="0.14999847407452621"/>
        <rFont val="Noto Sans"/>
        <family val="2"/>
      </rPr>
      <t>AMI</t>
    </r>
    <r>
      <rPr>
        <sz val="7"/>
        <color theme="1" tint="0.14999847407452621"/>
        <rFont val="Noto Sans"/>
        <family val="2"/>
      </rPr>
      <t xml:space="preserve"> Burgundies (for Ami)</t>
    </r>
  </si>
  <si>
    <r>
      <rPr>
        <b/>
        <sz val="8"/>
        <color theme="1" tint="0.14999847407452621"/>
        <rFont val="Noto Sans"/>
        <family val="2"/>
      </rPr>
      <t>Amelie</t>
    </r>
    <r>
      <rPr>
        <sz val="7"/>
        <color theme="1" tint="0.14999847407452621"/>
        <rFont val="Noto Sans"/>
        <family val="2"/>
      </rPr>
      <t xml:space="preserve"> Givry 1C BLANC</t>
    </r>
  </si>
  <si>
    <r>
      <rPr>
        <b/>
        <sz val="8"/>
        <color theme="1" tint="0.14999847407452621"/>
        <rFont val="Noto Sans"/>
        <family val="2"/>
      </rPr>
      <t>Caro</t>
    </r>
    <r>
      <rPr>
        <sz val="8"/>
        <color theme="1" tint="0.14999847407452621"/>
        <rFont val="Noto Sans"/>
        <family val="2"/>
      </rPr>
      <t xml:space="preserve">, </t>
    </r>
    <r>
      <rPr>
        <sz val="7"/>
        <color theme="1" tint="0.14999847407452621"/>
        <rFont val="Noto Sans"/>
        <family val="2"/>
      </rPr>
      <t>Tiens Toi (for Marc Barriot's wife, Caroline)</t>
    </r>
  </si>
  <si>
    <r>
      <rPr>
        <b/>
        <sz val="8"/>
        <color theme="1" tint="0.14999847407452621"/>
        <rFont val="Noto Sans"/>
        <family val="2"/>
      </rPr>
      <t>Nonna Concetta</t>
    </r>
    <r>
      <rPr>
        <sz val="7"/>
        <color theme="1" tint="0.14999847407452621"/>
        <rFont val="Noto Sans"/>
        <family val="2"/>
      </rPr>
      <t>, Etna (for Max's nonna/grandmother)</t>
    </r>
  </si>
  <si>
    <r>
      <rPr>
        <b/>
        <sz val="8"/>
        <color theme="1" tint="0.14999847407452621"/>
        <rFont val="Noto Sans"/>
        <family val="2"/>
      </rPr>
      <t>Elda</t>
    </r>
    <r>
      <rPr>
        <sz val="7"/>
        <color theme="1" tint="0.14999847407452621"/>
        <rFont val="Noto Sans"/>
        <family val="2"/>
      </rPr>
      <t xml:space="preserve"> schiava, Sudtirol (for his wife)</t>
    </r>
  </si>
  <si>
    <r>
      <rPr>
        <b/>
        <sz val="8"/>
        <color theme="1" tint="0.14999847407452621"/>
        <rFont val="Noto Sans"/>
        <family val="2"/>
      </rPr>
      <t xml:space="preserve">Gaia </t>
    </r>
    <r>
      <rPr>
        <sz val="7"/>
        <color theme="1" tint="0.14999847407452621"/>
        <rFont val="Noto Sans"/>
        <family val="2"/>
      </rPr>
      <t>Champagne Le Mesnil GC (for the earth goddess)</t>
    </r>
  </si>
  <si>
    <r>
      <rPr>
        <b/>
        <sz val="8"/>
        <color theme="1" tint="0.14999847407452621"/>
        <rFont val="Noto Sans"/>
        <family val="2"/>
      </rPr>
      <t>Gloria</t>
    </r>
    <r>
      <rPr>
        <sz val="7"/>
        <color theme="1" tint="0.14999847407452621"/>
        <rFont val="Noto Sans"/>
        <family val="2"/>
      </rPr>
      <t xml:space="preserve"> (lagrein vv), Sudtirol (for their daughter)</t>
    </r>
  </si>
  <si>
    <r>
      <rPr>
        <b/>
        <sz val="8"/>
        <color theme="1" tint="0.14999847407452621"/>
        <rFont val="Noto Sans"/>
        <family val="2"/>
      </rPr>
      <t>Belle Helene</t>
    </r>
    <r>
      <rPr>
        <b/>
        <sz val="7"/>
        <color theme="1" tint="0.14999847407452621"/>
        <rFont val="Noto Sans"/>
        <family val="2"/>
      </rPr>
      <t xml:space="preserve"> </t>
    </r>
    <r>
      <rPr>
        <sz val="7"/>
        <color theme="1" tint="0.14999847407452621"/>
        <rFont val="Noto Sans"/>
        <family val="2"/>
      </rPr>
      <t>Cote Rotie</t>
    </r>
    <r>
      <rPr>
        <b/>
        <sz val="7"/>
        <color theme="1" tint="0.14999847407452621"/>
        <rFont val="Noto Sans"/>
        <family val="2"/>
      </rPr>
      <t xml:space="preserve"> </t>
    </r>
    <r>
      <rPr>
        <sz val="7"/>
        <color theme="1" tint="0.14999847407452621"/>
        <rFont val="Noto Sans"/>
        <family val="2"/>
      </rPr>
      <t>(for his mother)</t>
    </r>
  </si>
  <si>
    <r>
      <rPr>
        <b/>
        <sz val="8"/>
        <color theme="1" tint="0.14999847407452621"/>
        <rFont val="Noto Sans"/>
        <family val="2"/>
      </rPr>
      <t>Isobel</t>
    </r>
    <r>
      <rPr>
        <b/>
        <sz val="7"/>
        <color theme="1" tint="0.14999847407452621"/>
        <rFont val="Noto Sans"/>
        <family val="2"/>
      </rPr>
      <t xml:space="preserve"> </t>
    </r>
    <r>
      <rPr>
        <sz val="7"/>
        <color theme="1" tint="0.14999847407452621"/>
        <rFont val="Noto Sans"/>
        <family val="2"/>
      </rPr>
      <t>chardonnay, RRV (for Andy Smith's daughter)</t>
    </r>
  </si>
  <si>
    <r>
      <rPr>
        <b/>
        <sz val="8"/>
        <color rgb="FF262626"/>
        <rFont val="Noto Sans"/>
        <family val="2"/>
      </rPr>
      <t xml:space="preserve">Julia </t>
    </r>
    <r>
      <rPr>
        <sz val="7"/>
        <color rgb="FF262626"/>
        <rFont val="Noto Sans"/>
        <family val="2"/>
      </rPr>
      <t>pinot noir, Dundee Hills, Oregon (for Julia Wayne of Abbey Ridge)</t>
    </r>
  </si>
  <si>
    <r>
      <rPr>
        <b/>
        <sz val="8"/>
        <color theme="1" tint="0.14999847407452621"/>
        <rFont val="Noto Sans"/>
        <family val="2"/>
      </rPr>
      <t xml:space="preserve">Laetitia </t>
    </r>
    <r>
      <rPr>
        <sz val="7"/>
        <color theme="1" tint="0.14999847407452621"/>
        <rFont val="Noto Sans"/>
        <family val="2"/>
      </rPr>
      <t>Champagne, Ambonnay GC (for Serge's daughter)</t>
    </r>
  </si>
  <si>
    <r>
      <rPr>
        <b/>
        <sz val="8"/>
        <color theme="1" tint="0.14999847407452621"/>
        <rFont val="Noto Sans"/>
        <family val="2"/>
      </rPr>
      <t>Luce</t>
    </r>
    <r>
      <rPr>
        <sz val="7"/>
        <color theme="1" tint="0.14999847407452621"/>
        <rFont val="Noto Sans"/>
        <family val="2"/>
      </rPr>
      <t xml:space="preserve"> St.Aubin BLANC (for the siblings maternal grandmother)</t>
    </r>
  </si>
  <si>
    <r>
      <rPr>
        <b/>
        <sz val="8"/>
        <color theme="1" tint="0.14999847407452621"/>
        <rFont val="Noto Sans"/>
        <family val="2"/>
      </rPr>
      <t>Luci</t>
    </r>
    <r>
      <rPr>
        <sz val="7"/>
        <color theme="1" tint="0.14999847407452621"/>
        <rFont val="Noto Sans"/>
        <family val="2"/>
      </rPr>
      <t xml:space="preserve"> bianco, Abruzzo (for Lucia, Enzo's wife)</t>
    </r>
  </si>
  <si>
    <r>
      <t>'Pour</t>
    </r>
    <r>
      <rPr>
        <sz val="8"/>
        <color theme="1" tint="0.14999847407452621"/>
        <rFont val="Noto Sans"/>
        <family val="2"/>
      </rPr>
      <t xml:space="preserve"> </t>
    </r>
    <r>
      <rPr>
        <b/>
        <sz val="8"/>
        <color theme="1" tint="0.14999847407452621"/>
        <rFont val="Noto Sans"/>
        <family val="2"/>
      </rPr>
      <t>Lulu</t>
    </r>
    <r>
      <rPr>
        <sz val="7"/>
        <color theme="1" tint="0.14999847407452621"/>
        <rFont val="Noto Sans"/>
        <family val="2"/>
      </rPr>
      <t>' Bandol Classique (for Lulu's 100th birthday)</t>
    </r>
  </si>
  <si>
    <r>
      <rPr>
        <b/>
        <sz val="8"/>
        <color rgb="FF262626"/>
        <rFont val="Noto Sans"/>
        <family val="2"/>
      </rPr>
      <t xml:space="preserve">Madeline </t>
    </r>
    <r>
      <rPr>
        <sz val="7"/>
        <color rgb="FF262626"/>
        <rFont val="Noto Sans"/>
        <family val="2"/>
      </rPr>
      <t>pinot noir, Mt Pisa, Central Otago (for a mother)</t>
    </r>
  </si>
  <si>
    <r>
      <rPr>
        <b/>
        <sz val="8"/>
        <color theme="1" tint="0.14999847407452621"/>
        <rFont val="Noto Sans"/>
        <family val="2"/>
      </rPr>
      <t xml:space="preserve">Margot </t>
    </r>
    <r>
      <rPr>
        <sz val="7"/>
        <color theme="1" tint="0.14999847407452621"/>
        <rFont val="Noto Sans"/>
        <family val="2"/>
      </rPr>
      <t>Chassagne BLANC (for the siblings grandmother)</t>
    </r>
  </si>
  <si>
    <r>
      <rPr>
        <b/>
        <sz val="8"/>
        <color theme="1" tint="0.14999847407452621"/>
        <rFont val="Noto Sans"/>
        <family val="2"/>
      </rPr>
      <t>Marianna</t>
    </r>
    <r>
      <rPr>
        <b/>
        <sz val="7"/>
        <color theme="1" tint="0.14999847407452621"/>
        <rFont val="Noto Sans"/>
        <family val="2"/>
      </rPr>
      <t xml:space="preserve"> </t>
    </r>
    <r>
      <rPr>
        <sz val="7"/>
        <color theme="1" tint="0.14999847407452621"/>
        <rFont val="Noto Sans"/>
        <family val="2"/>
      </rPr>
      <t>rosso riserva (vv), Abruzzo (for their grandmother)</t>
    </r>
  </si>
  <si>
    <r>
      <rPr>
        <b/>
        <sz val="8"/>
        <color theme="1" tint="0.14999847407452621"/>
        <rFont val="Noto Sans"/>
        <family val="2"/>
      </rPr>
      <t>Marie</t>
    </r>
    <r>
      <rPr>
        <b/>
        <sz val="7"/>
        <color theme="1" tint="0.14999847407452621"/>
        <rFont val="Noto Sans"/>
        <family val="2"/>
      </rPr>
      <t xml:space="preserve"> </t>
    </r>
    <r>
      <rPr>
        <sz val="7"/>
        <color theme="1" tint="0.14999847407452621"/>
        <rFont val="Noto Sans"/>
        <family val="2"/>
      </rPr>
      <t>Beurrier CNDP (for Henri's Aunt)</t>
    </r>
  </si>
  <si>
    <r>
      <rPr>
        <b/>
        <sz val="8"/>
        <color theme="1" tint="0.14999847407452621"/>
        <rFont val="Noto Sans"/>
        <family val="2"/>
      </rPr>
      <t>Maria-Teresa</t>
    </r>
    <r>
      <rPr>
        <b/>
        <sz val="7"/>
        <color theme="1" tint="0.14999847407452621"/>
        <rFont val="Noto Sans"/>
        <family val="2"/>
      </rPr>
      <t xml:space="preserve"> </t>
    </r>
    <r>
      <rPr>
        <sz val="7"/>
        <color theme="1" tint="0.14999847407452621"/>
        <rFont val="Noto Sans"/>
        <family val="2"/>
      </rPr>
      <t>barbera d'Asti (for Cecilia's mother)</t>
    </r>
  </si>
  <si>
    <r>
      <rPr>
        <b/>
        <sz val="8"/>
        <color theme="1" tint="0.14999847407452621"/>
        <rFont val="Noto Sans"/>
        <family val="2"/>
      </rPr>
      <t>Naima</t>
    </r>
    <r>
      <rPr>
        <sz val="7"/>
        <color theme="1" tint="0.14999847407452621"/>
        <rFont val="Noto Sans"/>
        <family val="2"/>
      </rPr>
      <t xml:space="preserve"> aglianico vv, Campania (for John Coltrane's wife)</t>
    </r>
  </si>
  <si>
    <r>
      <rPr>
        <b/>
        <sz val="8"/>
        <color theme="1" tint="0.14999847407452621"/>
        <rFont val="Noto Sans"/>
        <family val="2"/>
      </rPr>
      <t>Sara</t>
    </r>
    <r>
      <rPr>
        <sz val="8"/>
        <color theme="1" tint="0.14999847407452621"/>
        <rFont val="Noto Sans"/>
        <family val="2"/>
      </rPr>
      <t xml:space="preserve"> </t>
    </r>
    <r>
      <rPr>
        <sz val="7"/>
        <color theme="1" tint="0.14999847407452621"/>
        <rFont val="Noto Sans"/>
        <family val="2"/>
      </rPr>
      <t>rosso, Etna (for baby Sara)</t>
    </r>
  </si>
  <si>
    <r>
      <rPr>
        <b/>
        <sz val="8"/>
        <color theme="1" tint="0.14999847407452621"/>
        <rFont val="Noto Sans"/>
        <family val="2"/>
      </rPr>
      <t>Sybele</t>
    </r>
    <r>
      <rPr>
        <sz val="7"/>
        <color theme="1" tint="0.14999847407452621"/>
        <rFont val="Noto Sans"/>
        <family val="2"/>
      </rPr>
      <t xml:space="preserve"> Crozes-Hermitage (for goddess Sybil, Cybele, aka Magnus Mater)</t>
    </r>
  </si>
  <si>
    <r>
      <rPr>
        <b/>
        <sz val="8"/>
        <color rgb="FF262626"/>
        <rFont val="Noto Sans"/>
        <family val="2"/>
      </rPr>
      <t xml:space="preserve">Stella </t>
    </r>
    <r>
      <rPr>
        <sz val="7"/>
        <color rgb="FF262626"/>
        <rFont val="Noto Sans"/>
        <family val="2"/>
      </rPr>
      <t>pinot noir, Mt Pisa, Central Otago (for a mother)</t>
    </r>
  </si>
  <si>
    <t>male hommages, A-Z:</t>
  </si>
  <si>
    <r>
      <t xml:space="preserve">Ad </t>
    </r>
    <r>
      <rPr>
        <b/>
        <sz val="8"/>
        <color theme="1" tint="0.14999847407452621"/>
        <rFont val="Noto Sans"/>
        <family val="2"/>
      </rPr>
      <t>Armando</t>
    </r>
    <r>
      <rPr>
        <b/>
        <sz val="7"/>
        <color theme="1" tint="0.14999847407452621"/>
        <rFont val="Noto Sans"/>
        <family val="2"/>
      </rPr>
      <t xml:space="preserve"> </t>
    </r>
    <r>
      <rPr>
        <sz val="7"/>
        <color theme="1" tint="0.14999847407452621"/>
        <rFont val="Noto Sans"/>
        <family val="2"/>
      </rPr>
      <t>bianco, Umbria (for Giampaolo's grandfather)</t>
    </r>
  </si>
  <si>
    <r>
      <rPr>
        <b/>
        <sz val="8"/>
        <color theme="1" tint="0.14999847407452621"/>
        <rFont val="Noto Sans"/>
        <family val="2"/>
      </rPr>
      <t xml:space="preserve">Bacchus, </t>
    </r>
    <r>
      <rPr>
        <sz val="7"/>
        <color theme="1" tint="0.14999847407452621"/>
        <rFont val="Noto Sans"/>
        <family val="2"/>
      </rPr>
      <t>Les Larmes de… Vouvray liquoreux (for the god of wine)</t>
    </r>
  </si>
  <si>
    <r>
      <rPr>
        <b/>
        <sz val="8"/>
        <color theme="1" tint="0.14999847407452621"/>
        <rFont val="Noto Sans"/>
        <family val="2"/>
      </rPr>
      <t xml:space="preserve">Columella </t>
    </r>
    <r>
      <rPr>
        <sz val="7"/>
        <color theme="1" tint="0.14999847407452621"/>
        <rFont val="Noto Sans"/>
        <family val="2"/>
      </rPr>
      <t>red, Swartland (for the Roman writer)</t>
    </r>
  </si>
  <si>
    <r>
      <rPr>
        <b/>
        <sz val="8"/>
        <color theme="1" tint="0.14999847407452621"/>
        <rFont val="Noto Sans"/>
        <family val="2"/>
      </rPr>
      <t>Épicure</t>
    </r>
    <r>
      <rPr>
        <sz val="8"/>
        <color theme="1" tint="0.14999847407452621"/>
        <rFont val="Noto Sans"/>
        <family val="2"/>
      </rPr>
      <t xml:space="preserve"> vin de paille</t>
    </r>
    <r>
      <rPr>
        <sz val="7"/>
        <color theme="1" tint="0.14999847407452621"/>
        <rFont val="Noto Sans"/>
        <family val="2"/>
      </rPr>
      <t xml:space="preserve"> (for Epicurus)</t>
    </r>
  </si>
  <si>
    <t>MEO-CAMUZET</t>
  </si>
  <si>
    <r>
      <rPr>
        <b/>
        <sz val="8"/>
        <color theme="1" tint="0.14999847407452621"/>
        <rFont val="Noto Sans"/>
        <family val="2"/>
      </rPr>
      <t>Etienne</t>
    </r>
    <r>
      <rPr>
        <sz val="8"/>
        <color theme="1" tint="0.14999847407452621"/>
        <rFont val="Noto Sans"/>
        <family val="2"/>
      </rPr>
      <t xml:space="preserve"> </t>
    </r>
    <r>
      <rPr>
        <sz val="7"/>
        <color theme="1" tint="0.14999847407452621"/>
        <rFont val="Noto Sans"/>
        <family val="2"/>
      </rPr>
      <t>Camuzet, Bourgogne Cote d'Or ROUGE (for founding grandfather)</t>
    </r>
  </si>
  <si>
    <r>
      <rPr>
        <b/>
        <sz val="8"/>
        <color theme="1" tint="0.14999847407452621"/>
        <rFont val="Noto Sans"/>
        <family val="2"/>
      </rPr>
      <t>Finn</t>
    </r>
    <r>
      <rPr>
        <sz val="7"/>
        <color theme="1" tint="0.14999847407452621"/>
        <rFont val="Noto Sans"/>
        <family val="2"/>
      </rPr>
      <t xml:space="preserve"> pinot noir, RRV (for Andy Smith's son)</t>
    </r>
  </si>
  <si>
    <r>
      <t xml:space="preserve">Hommage a </t>
    </r>
    <r>
      <rPr>
        <b/>
        <sz val="8"/>
        <color theme="1" tint="0.14999847407452621"/>
        <rFont val="Noto Sans"/>
        <family val="2"/>
      </rPr>
      <t>Jacques</t>
    </r>
    <r>
      <rPr>
        <sz val="7"/>
        <color theme="1" tint="0.14999847407452621"/>
        <rFont val="Noto Sans"/>
        <family val="2"/>
      </rPr>
      <t xml:space="preserve"> Perrin (Jean-Pierre &amp; Francois' father) </t>
    </r>
  </si>
  <si>
    <r>
      <rPr>
        <b/>
        <sz val="8"/>
        <color theme="1" tint="0.14999847407452621"/>
        <rFont val="Noto Sans"/>
        <family val="2"/>
      </rPr>
      <t>Jean</t>
    </r>
    <r>
      <rPr>
        <sz val="8"/>
        <color theme="1" tint="0.14999847407452621"/>
        <rFont val="Noto Sans"/>
        <family val="2"/>
      </rPr>
      <t xml:space="preserve"> </t>
    </r>
    <r>
      <rPr>
        <sz val="7"/>
        <color theme="1" tint="0.14999847407452621"/>
        <rFont val="Noto Sans"/>
        <family val="2"/>
      </rPr>
      <t>Gautreau, Château Sociando-Mallet (for her father)</t>
    </r>
  </si>
  <si>
    <r>
      <t>'</t>
    </r>
    <r>
      <rPr>
        <b/>
        <sz val="8"/>
        <color theme="1" tint="0.14999847407452621"/>
        <rFont val="Noto Sans"/>
        <family val="2"/>
      </rPr>
      <t>Jean &amp; Gabriel',</t>
    </r>
    <r>
      <rPr>
        <sz val="8"/>
        <color theme="1" tint="0.14999847407452621"/>
        <rFont val="Noto Sans"/>
        <family val="2"/>
      </rPr>
      <t xml:space="preserve"> </t>
    </r>
    <r>
      <rPr>
        <sz val="7"/>
        <color theme="1" tint="0.14999847407452621"/>
        <rFont val="Noto Sans"/>
        <family val="2"/>
      </rPr>
      <t>Lussac-St.Emilion</t>
    </r>
  </si>
  <si>
    <r>
      <t>a table avec</t>
    </r>
    <r>
      <rPr>
        <sz val="8"/>
        <color theme="1" tint="0.14999847407452621"/>
        <rFont val="Noto Sans"/>
        <family val="2"/>
      </rPr>
      <t xml:space="preserve"> </t>
    </r>
    <r>
      <rPr>
        <b/>
        <sz val="8"/>
        <color theme="1" tint="0.14999847407452621"/>
        <rFont val="Noto Sans"/>
        <family val="2"/>
      </rPr>
      <t>Léandre</t>
    </r>
    <r>
      <rPr>
        <sz val="7"/>
        <color theme="1" tint="0.14999847407452621"/>
        <rFont val="Noto Sans"/>
        <family val="2"/>
      </rPr>
      <t>, Jura (for their grandfather)</t>
    </r>
  </si>
  <si>
    <r>
      <t xml:space="preserve">Clos </t>
    </r>
    <r>
      <rPr>
        <b/>
        <sz val="8"/>
        <color theme="1" tint="0.14999847407452621"/>
        <rFont val="Noto Sans"/>
        <family val="2"/>
      </rPr>
      <t xml:space="preserve">Louie </t>
    </r>
    <r>
      <rPr>
        <sz val="7"/>
        <color theme="1" tint="0.14999847407452621"/>
        <rFont val="Noto Sans"/>
        <family val="2"/>
      </rPr>
      <t>VV, Castillon (45% tvv)</t>
    </r>
  </si>
  <si>
    <r>
      <rPr>
        <b/>
        <sz val="8"/>
        <color theme="1" tint="0.14999847407452621"/>
        <rFont val="Noto Sans"/>
        <family val="2"/>
      </rPr>
      <t>Nonno Nello</t>
    </r>
    <r>
      <rPr>
        <sz val="7"/>
        <color theme="1" tint="0.14999847407452621"/>
        <rFont val="Noto Sans"/>
        <family val="2"/>
      </rPr>
      <t xml:space="preserve"> Brunello riserva (for their nonno/grandfather)</t>
    </r>
  </si>
  <si>
    <r>
      <t xml:space="preserve">Dedicato a </t>
    </r>
    <r>
      <rPr>
        <b/>
        <sz val="8"/>
        <color theme="1" tint="0.14999847407452621"/>
        <rFont val="Noto Sans"/>
        <family val="2"/>
      </rPr>
      <t xml:space="preserve">Paolo </t>
    </r>
    <r>
      <rPr>
        <sz val="7"/>
        <color theme="1" tint="0.14999847407452621"/>
        <rFont val="Noto Sans"/>
        <family val="2"/>
      </rPr>
      <t>Barbaresco</t>
    </r>
    <r>
      <rPr>
        <b/>
        <sz val="7"/>
        <color theme="1" tint="0.14999847407452621"/>
        <rFont val="Noto Sans"/>
        <family val="2"/>
      </rPr>
      <t xml:space="preserve"> </t>
    </r>
    <r>
      <rPr>
        <sz val="7"/>
        <color theme="1" tint="0.14999847407452621"/>
        <rFont val="Noto Sans"/>
        <family val="2"/>
      </rPr>
      <t>(for Cecilia's father)</t>
    </r>
  </si>
  <si>
    <r>
      <t xml:space="preserve">Châteauneuf du Pape Habemus </t>
    </r>
    <r>
      <rPr>
        <b/>
        <sz val="8"/>
        <color theme="1" tint="0.14999847407452621"/>
        <rFont val="Noto Sans"/>
        <family val="2"/>
      </rPr>
      <t xml:space="preserve">Papam </t>
    </r>
    <r>
      <rPr>
        <sz val="7"/>
        <color theme="1" tint="0.14999847407452621"/>
        <rFont val="Noto Sans"/>
        <family val="2"/>
      </rPr>
      <t>(the Pope)</t>
    </r>
  </si>
  <si>
    <r>
      <rPr>
        <b/>
        <sz val="8"/>
        <color theme="1" tint="0.14999847407452621"/>
        <rFont val="Noto Sans"/>
        <family val="2"/>
      </rPr>
      <t>Palladius</t>
    </r>
    <r>
      <rPr>
        <sz val="8"/>
        <color theme="1" tint="0.14999847407452621"/>
        <rFont val="Noto Sans"/>
        <family val="2"/>
      </rPr>
      <t xml:space="preserve"> </t>
    </r>
    <r>
      <rPr>
        <sz val="7"/>
        <color theme="1" tint="0.14999847407452621"/>
        <rFont val="Noto Sans"/>
        <family val="2"/>
      </rPr>
      <t>white, Swartland (for the Roman writer)</t>
    </r>
  </si>
  <si>
    <r>
      <rPr>
        <b/>
        <sz val="8"/>
        <color theme="1" tint="0.14999847407452621"/>
        <rFont val="Noto Sans"/>
        <family val="2"/>
      </rPr>
      <t>Paul</t>
    </r>
    <r>
      <rPr>
        <sz val="7"/>
        <color theme="1" tint="0.14999847407452621"/>
        <rFont val="Noto Sans"/>
        <family val="2"/>
      </rPr>
      <t xml:space="preserve"> Sancerre, Loire (for his father)</t>
    </r>
  </si>
  <si>
    <r>
      <rPr>
        <b/>
        <sz val="8"/>
        <color theme="1" tint="0.14999847407452621"/>
        <rFont val="Noto Sans"/>
        <family val="2"/>
      </rPr>
      <t>Ryan</t>
    </r>
    <r>
      <rPr>
        <sz val="7"/>
        <color theme="1" tint="0.14999847407452621"/>
        <rFont val="Noto Sans"/>
        <family val="2"/>
      </rPr>
      <t xml:space="preserve"> pinot noir, RRV (for the founder's grandson)</t>
    </r>
  </si>
  <si>
    <t>other hommages, A-Z:</t>
  </si>
  <si>
    <r>
      <rPr>
        <b/>
        <sz val="8"/>
        <color theme="1" tint="0.14999847407452621"/>
        <rFont val="Noto Sans"/>
        <family val="2"/>
      </rPr>
      <t>AMI</t>
    </r>
    <r>
      <rPr>
        <sz val="7"/>
        <color theme="1" tint="0.14999847407452621"/>
        <rFont val="Noto Sans"/>
        <family val="2"/>
      </rPr>
      <t xml:space="preserve"> Burgundies (for friends)</t>
    </r>
  </si>
  <si>
    <r>
      <rPr>
        <b/>
        <sz val="8"/>
        <color theme="1" tint="0.14999847407452621"/>
        <rFont val="Noto Sans"/>
        <family val="2"/>
      </rPr>
      <t>Pour Les Amis</t>
    </r>
    <r>
      <rPr>
        <sz val="7"/>
        <color theme="1" tint="0.14999847407452621"/>
        <rFont val="Noto Sans"/>
        <family val="2"/>
      </rPr>
      <t xml:space="preserve"> St.Chinian (for friends)</t>
    </r>
  </si>
  <si>
    <r>
      <rPr>
        <b/>
        <sz val="8"/>
        <color rgb="FF262626"/>
        <rFont val="Noto Sans"/>
        <family val="2"/>
      </rPr>
      <t>Ceres</t>
    </r>
    <r>
      <rPr>
        <sz val="7"/>
        <color rgb="FF262626"/>
        <rFont val="Noto Sans"/>
        <family val="2"/>
      </rPr>
      <t xml:space="preserve"> by Haut-Bages-Liberal (goddess of agriculture)</t>
    </r>
  </si>
  <si>
    <r>
      <rPr>
        <b/>
        <sz val="8"/>
        <color theme="1" tint="0.14999847407452621"/>
        <rFont val="Noto Sans"/>
        <family val="2"/>
      </rPr>
      <t xml:space="preserve">Chatterton </t>
    </r>
    <r>
      <rPr>
        <sz val="7"/>
        <color theme="1" tint="0.14999847407452621"/>
        <rFont val="Noto Sans"/>
        <family val="2"/>
      </rPr>
      <t>Shiraz, Barossa (for Dave's old friends &amp; benefactors)</t>
    </r>
  </si>
  <si>
    <r>
      <rPr>
        <b/>
        <sz val="8"/>
        <color theme="1" tint="0.14999847407452621"/>
        <rFont val="Noto Sans"/>
        <family val="2"/>
      </rPr>
      <t>Oka</t>
    </r>
    <r>
      <rPr>
        <sz val="7"/>
        <color theme="1" tint="0.14999847407452621"/>
        <rFont val="Noto Sans"/>
        <family val="2"/>
      </rPr>
      <t xml:space="preserve"> Bourgogne rouge (for Bertille's draught-horse)</t>
    </r>
  </si>
  <si>
    <r>
      <t xml:space="preserve">Tenuta del </t>
    </r>
    <r>
      <rPr>
        <b/>
        <sz val="8"/>
        <color theme="1" tint="0.14999847407452621"/>
        <rFont val="Noto Sans"/>
        <family val="2"/>
      </rPr>
      <t>Professore</t>
    </r>
    <r>
      <rPr>
        <sz val="7"/>
        <color theme="1" tint="0.14999847407452621"/>
        <rFont val="Noto Sans"/>
        <family val="2"/>
      </rPr>
      <t>, trebbiano (for Professor grandfather)</t>
    </r>
  </si>
  <si>
    <r>
      <t xml:space="preserve">Tenuta del </t>
    </r>
    <r>
      <rPr>
        <b/>
        <sz val="8"/>
        <color theme="1" tint="0.14999847407452621"/>
        <rFont val="Noto Sans"/>
        <family val="2"/>
      </rPr>
      <t>Professore</t>
    </r>
    <r>
      <rPr>
        <sz val="7"/>
        <color theme="1" tint="0.14999847407452621"/>
        <rFont val="Noto Sans"/>
        <family val="2"/>
      </rPr>
      <t>, montepulciano riserva (for Professor grandfather)</t>
    </r>
  </si>
  <si>
    <r>
      <rPr>
        <b/>
        <sz val="8"/>
        <color theme="1" tint="0.14999847407452621"/>
        <rFont val="Noto Sans"/>
        <family val="2"/>
      </rPr>
      <t xml:space="preserve">Silene </t>
    </r>
    <r>
      <rPr>
        <sz val="7"/>
        <color theme="1" tint="0.14999847407452621"/>
        <rFont val="Noto Sans"/>
        <family val="2"/>
      </rPr>
      <t>Crozes-Hermitage  (for god Silenus, Dionysus' foster father)</t>
    </r>
  </si>
  <si>
    <t>(updated Dec.2024)</t>
  </si>
  <si>
    <t>Geological names focus section, A-Z:</t>
  </si>
  <si>
    <r>
      <rPr>
        <sz val="7"/>
        <color theme="1" tint="0.14999847407452621"/>
        <rFont val="Noto Sans"/>
        <family val="2"/>
      </rPr>
      <t>silvaner cru Sonnenberg</t>
    </r>
    <r>
      <rPr>
        <b/>
        <sz val="8"/>
        <color theme="1" tint="0.14999847407452621"/>
        <rFont val="Noto Sans"/>
        <family val="2"/>
      </rPr>
      <t xml:space="preserve"> gelbkalk (chalk, yellow)</t>
    </r>
  </si>
  <si>
    <r>
      <rPr>
        <sz val="7"/>
        <color theme="1" tint="0.14999847407452621"/>
        <rFont val="Noto Sans"/>
        <family val="2"/>
      </rPr>
      <t>Vougeot 1C</t>
    </r>
    <r>
      <rPr>
        <sz val="8"/>
        <color theme="1" tint="0.14999847407452621"/>
        <rFont val="Noto Sans"/>
        <family val="2"/>
      </rPr>
      <t xml:space="preserve"> </t>
    </r>
    <r>
      <rPr>
        <b/>
        <sz val="8"/>
        <color theme="1" tint="0.14999847407452621"/>
        <rFont val="Noto Sans"/>
        <family val="2"/>
      </rPr>
      <t>Les Cras (chalk)</t>
    </r>
  </si>
  <si>
    <r>
      <rPr>
        <sz val="7"/>
        <color theme="1" tint="0.14999847407452621"/>
        <rFont val="Noto Sans"/>
        <family val="2"/>
      </rPr>
      <t>Nuits BLANC</t>
    </r>
    <r>
      <rPr>
        <sz val="8"/>
        <color theme="1" tint="0.14999847407452621"/>
        <rFont val="Noto Sans"/>
        <family val="2"/>
      </rPr>
      <t xml:space="preserve"> </t>
    </r>
    <r>
      <rPr>
        <b/>
        <sz val="8"/>
        <color theme="1" tint="0.14999847407452621"/>
        <rFont val="Noto Sans"/>
        <family val="2"/>
      </rPr>
      <t>Les Argillats (clay)</t>
    </r>
  </si>
  <si>
    <r>
      <rPr>
        <sz val="7"/>
        <color theme="1" tint="0.14999847407452621"/>
        <rFont val="Noto Sans"/>
        <family val="2"/>
      </rPr>
      <t>Nuits 1C</t>
    </r>
    <r>
      <rPr>
        <sz val="8"/>
        <color theme="1" tint="0.14999847407452621"/>
        <rFont val="Noto Sans"/>
        <family val="2"/>
      </rPr>
      <t xml:space="preserve"> </t>
    </r>
    <r>
      <rPr>
        <b/>
        <sz val="8"/>
        <color theme="1" tint="0.14999847407452621"/>
        <rFont val="Noto Sans"/>
        <family val="2"/>
      </rPr>
      <t>Argillas (clay)</t>
    </r>
  </si>
  <si>
    <r>
      <rPr>
        <sz val="7"/>
        <color theme="1" tint="0.14999847407452621"/>
        <rFont val="Noto Sans"/>
        <family val="2"/>
      </rPr>
      <t xml:space="preserve">Pouilly-Fumé </t>
    </r>
    <r>
      <rPr>
        <b/>
        <sz val="8"/>
        <color theme="1" tint="0.14999847407452621"/>
        <rFont val="Noto Sans"/>
        <family val="2"/>
      </rPr>
      <t>Silex (flint)</t>
    </r>
  </si>
  <si>
    <t>J.G. BENDA, Montalcino</t>
  </si>
  <si>
    <r>
      <rPr>
        <sz val="7"/>
        <color theme="1" tint="0.14999847407452621"/>
        <rFont val="Noto Sans"/>
        <family val="2"/>
      </rPr>
      <t xml:space="preserve">Vigna </t>
    </r>
    <r>
      <rPr>
        <b/>
        <sz val="8"/>
        <color theme="1" tint="0.14999847407452621"/>
        <rFont val="Noto Sans"/>
        <family val="2"/>
      </rPr>
      <t>Pietrafocaia</t>
    </r>
    <r>
      <rPr>
        <sz val="7"/>
        <color theme="1" tint="0.14999847407452621"/>
        <rFont val="Noto Sans"/>
        <family val="2"/>
      </rPr>
      <t xml:space="preserve"> di Sopra (VPS)</t>
    </r>
    <r>
      <rPr>
        <b/>
        <sz val="8"/>
        <color theme="1" tint="0.14999847407452621"/>
        <rFont val="Noto Sans"/>
        <family val="2"/>
      </rPr>
      <t xml:space="preserve"> (flint)</t>
    </r>
  </si>
  <si>
    <r>
      <rPr>
        <sz val="7"/>
        <color theme="1" tint="0.14999847407452621"/>
        <rFont val="Noto Sans"/>
        <family val="2"/>
      </rPr>
      <t xml:space="preserve">sylvaner roche </t>
    </r>
    <r>
      <rPr>
        <b/>
        <sz val="8"/>
        <color theme="1" tint="0.14999847407452621"/>
        <rFont val="Noto Sans"/>
        <family val="2"/>
      </rPr>
      <t>granitique (granite)</t>
    </r>
  </si>
  <si>
    <r>
      <rPr>
        <sz val="7"/>
        <color theme="1" tint="0.14999847407452621"/>
        <rFont val="Noto Sans"/>
        <family val="2"/>
      </rPr>
      <t>riesling roche</t>
    </r>
    <r>
      <rPr>
        <sz val="8"/>
        <color theme="1" tint="0.14999847407452621"/>
        <rFont val="Noto Sans"/>
        <family val="2"/>
      </rPr>
      <t xml:space="preserve"> </t>
    </r>
    <r>
      <rPr>
        <b/>
        <sz val="8"/>
        <color theme="1" tint="0.14999847407452621"/>
        <rFont val="Noto Sans"/>
        <family val="2"/>
      </rPr>
      <t>granitique (granite)</t>
    </r>
  </si>
  <si>
    <r>
      <rPr>
        <sz val="7"/>
        <color theme="1" tint="0.14999847407452621"/>
        <rFont val="Noto Sans"/>
        <family val="2"/>
      </rPr>
      <t>pinot gris roche</t>
    </r>
    <r>
      <rPr>
        <sz val="8"/>
        <color theme="1" tint="0.14999847407452621"/>
        <rFont val="Noto Sans"/>
        <family val="2"/>
      </rPr>
      <t xml:space="preserve"> </t>
    </r>
    <r>
      <rPr>
        <b/>
        <sz val="8"/>
        <color theme="1" tint="0.14999847407452621"/>
        <rFont val="Noto Sans"/>
        <family val="2"/>
      </rPr>
      <t>granitique</t>
    </r>
    <r>
      <rPr>
        <sz val="7"/>
        <color theme="1" tint="0.14999847407452621"/>
        <rFont val="Noto Sans"/>
        <family val="2"/>
      </rPr>
      <t xml:space="preserve"> </t>
    </r>
    <r>
      <rPr>
        <b/>
        <sz val="8"/>
        <color theme="1" tint="0.14999847407452621"/>
        <rFont val="Noto Sans"/>
        <family val="2"/>
      </rPr>
      <t>(granite)</t>
    </r>
  </si>
  <si>
    <r>
      <rPr>
        <sz val="7"/>
        <color theme="1" tint="0.14999847407452621"/>
        <rFont val="Noto Sans"/>
        <family val="2"/>
      </rPr>
      <t xml:space="preserve">Bourgogne </t>
    </r>
    <r>
      <rPr>
        <b/>
        <sz val="8"/>
        <color theme="1" tint="0.14999847407452621"/>
        <rFont val="Noto Sans"/>
        <family val="2"/>
      </rPr>
      <t>Oxfordiennes (limestone, Oxfordian)</t>
    </r>
  </si>
  <si>
    <r>
      <rPr>
        <sz val="7"/>
        <color rgb="FF262626"/>
        <rFont val="Noto Sans"/>
        <family val="2"/>
      </rPr>
      <t>weissburgunder vom</t>
    </r>
    <r>
      <rPr>
        <sz val="8"/>
        <color rgb="FF262626"/>
        <rFont val="Noto Sans"/>
        <family val="2"/>
      </rPr>
      <t xml:space="preserve"> </t>
    </r>
    <r>
      <rPr>
        <b/>
        <sz val="8"/>
        <color rgb="FF262626"/>
        <rFont val="Noto Sans"/>
        <family val="2"/>
      </rPr>
      <t>gelben loess (loess, yellow)</t>
    </r>
  </si>
  <si>
    <r>
      <rPr>
        <sz val="7"/>
        <color theme="1" tint="0.14999847407452621"/>
        <rFont val="Noto Sans"/>
        <family val="2"/>
      </rPr>
      <t>riesling vom</t>
    </r>
    <r>
      <rPr>
        <b/>
        <sz val="8"/>
        <color theme="1" tint="0.14999847407452621"/>
        <rFont val="Noto Sans"/>
        <family val="2"/>
      </rPr>
      <t xml:space="preserve"> gelben loess (loess, yellow)</t>
    </r>
  </si>
  <si>
    <r>
      <rPr>
        <sz val="7"/>
        <color theme="1" tint="0.14999847407452621"/>
        <rFont val="Noto Sans"/>
        <family val="2"/>
      </rPr>
      <t xml:space="preserve">rosso </t>
    </r>
    <r>
      <rPr>
        <b/>
        <sz val="8"/>
        <color theme="1" tint="0.14999847407452621"/>
        <rFont val="Noto Sans"/>
        <family val="2"/>
      </rPr>
      <t>Magma®</t>
    </r>
    <r>
      <rPr>
        <sz val="7"/>
        <color theme="1" tint="0.14999847407452621"/>
        <rFont val="Noto Sans"/>
        <family val="2"/>
      </rPr>
      <t xml:space="preserve"> </t>
    </r>
    <r>
      <rPr>
        <b/>
        <sz val="8"/>
        <color theme="1" tint="0.14999847407452621"/>
        <rFont val="Noto Sans"/>
        <family val="2"/>
      </rPr>
      <t>(magma - liquid rock and gas)</t>
    </r>
  </si>
  <si>
    <r>
      <rPr>
        <sz val="7"/>
        <color theme="1" tint="0.14999847407452621"/>
        <rFont val="Noto Sans"/>
        <family val="2"/>
      </rPr>
      <t>Moulin à Vent</t>
    </r>
    <r>
      <rPr>
        <sz val="8"/>
        <color theme="1" tint="0.14999847407452621"/>
        <rFont val="Noto Sans"/>
        <family val="2"/>
      </rPr>
      <t xml:space="preserve"> </t>
    </r>
    <r>
      <rPr>
        <b/>
        <sz val="8"/>
        <color theme="1" tint="0.14999847407452621"/>
        <rFont val="Noto Sans"/>
        <family val="2"/>
      </rPr>
      <t>Saprolite</t>
    </r>
  </si>
  <si>
    <r>
      <rPr>
        <sz val="7"/>
        <color theme="1" tint="0.14999847407452621"/>
        <rFont val="Noto Sans"/>
        <family val="2"/>
      </rPr>
      <t>sauvignon St.Bris</t>
    </r>
    <r>
      <rPr>
        <sz val="8"/>
        <color theme="1" tint="0.14999847407452621"/>
        <rFont val="Noto Sans"/>
        <family val="2"/>
      </rPr>
      <t xml:space="preserve"> </t>
    </r>
    <r>
      <rPr>
        <b/>
        <sz val="8"/>
        <color theme="1" tint="0.14999847407452621"/>
        <rFont val="Noto Sans"/>
        <family val="2"/>
      </rPr>
      <t>Exogyra Virgula (shells, fossilised oysters)</t>
    </r>
  </si>
  <si>
    <r>
      <rPr>
        <sz val="7"/>
        <color theme="1" tint="0.14999847407452621"/>
        <rFont val="Noto Sans"/>
        <family val="2"/>
      </rPr>
      <t xml:space="preserve">Pouilly Fuissé </t>
    </r>
    <r>
      <rPr>
        <b/>
        <sz val="8"/>
        <color theme="1" tint="0.14999847407452621"/>
        <rFont val="Noto Sans"/>
        <family val="2"/>
      </rPr>
      <t>Pentacrine (shells, fossilised tiny starfish)</t>
    </r>
  </si>
  <si>
    <r>
      <rPr>
        <sz val="7"/>
        <color theme="1" tint="0.14999847407452621"/>
        <rFont val="Noto Sans"/>
        <family val="2"/>
      </rPr>
      <t>Bandol (tvv) cuvée du</t>
    </r>
    <r>
      <rPr>
        <sz val="8"/>
        <color theme="1" tint="0.14999847407452621"/>
        <rFont val="Noto Sans"/>
        <family val="2"/>
      </rPr>
      <t xml:space="preserve"> </t>
    </r>
    <r>
      <rPr>
        <b/>
        <sz val="8"/>
        <color theme="1" tint="0.14999847407452621"/>
        <rFont val="Noto Sans"/>
        <family val="2"/>
      </rPr>
      <t>Falun (shell sediments)</t>
    </r>
  </si>
  <si>
    <r>
      <t xml:space="preserve">Bernkasteler </t>
    </r>
    <r>
      <rPr>
        <b/>
        <sz val="8"/>
        <color theme="1" tint="0.14999847407452621"/>
        <rFont val="Noto Sans"/>
        <family val="2"/>
      </rPr>
      <t>Lay</t>
    </r>
    <r>
      <rPr>
        <sz val="7"/>
        <color theme="1" tint="0.14999847407452621"/>
        <rFont val="Noto Sans"/>
        <family val="2"/>
      </rPr>
      <t xml:space="preserve"> GK auslese (#19 23) </t>
    </r>
    <r>
      <rPr>
        <b/>
        <sz val="7"/>
        <color theme="1" tint="0.14999847407452621"/>
        <rFont val="Noto Sans"/>
        <family val="2"/>
      </rPr>
      <t xml:space="preserve">HVS </t>
    </r>
    <r>
      <rPr>
        <b/>
        <sz val="8"/>
        <color theme="1" tint="0.14999847407452621"/>
        <rFont val="Noto Sans"/>
        <family val="2"/>
      </rPr>
      <t>(slate)</t>
    </r>
  </si>
  <si>
    <r>
      <rPr>
        <sz val="7"/>
        <color theme="1" tint="0.14999847407452621"/>
        <rFont val="Noto Sans"/>
        <family val="2"/>
      </rPr>
      <t>riesling trocken</t>
    </r>
    <r>
      <rPr>
        <sz val="8"/>
        <color theme="1" tint="0.14999847407452621"/>
        <rFont val="Noto Sans"/>
        <family val="2"/>
      </rPr>
      <t xml:space="preserve"> </t>
    </r>
    <r>
      <rPr>
        <b/>
        <sz val="8"/>
        <color theme="1" tint="0.14999847407452621"/>
        <rFont val="Noto Sans"/>
        <family val="2"/>
      </rPr>
      <t>Devon-Schiefer (slate, Devonian)</t>
    </r>
  </si>
  <si>
    <r>
      <rPr>
        <sz val="7"/>
        <color theme="1" tint="0.14999847407452621"/>
        <rFont val="Noto Sans"/>
        <family val="2"/>
      </rPr>
      <t xml:space="preserve">riesling alte reben trocken (tvv) </t>
    </r>
    <r>
      <rPr>
        <b/>
        <sz val="8"/>
        <color theme="1" tint="0.14999847407452621"/>
        <rFont val="Noto Sans"/>
        <family val="2"/>
      </rPr>
      <t>Laurentiuslay (St.Laurent's slate)</t>
    </r>
  </si>
  <si>
    <r>
      <rPr>
        <sz val="7"/>
        <color theme="1" tint="0.14999847407452621"/>
        <rFont val="Noto Sans"/>
        <family val="2"/>
      </rPr>
      <t>riesling spatlese 1L (8%, tvv)</t>
    </r>
    <r>
      <rPr>
        <sz val="8"/>
        <color theme="1" tint="0.14999847407452621"/>
        <rFont val="Noto Sans"/>
        <family val="2"/>
      </rPr>
      <t xml:space="preserve"> </t>
    </r>
    <r>
      <rPr>
        <b/>
        <sz val="8"/>
        <color theme="1" tint="0.14999847407452621"/>
        <rFont val="Noto Sans"/>
        <family val="2"/>
      </rPr>
      <t>Laurentiuslay (St.Laurent's slate)</t>
    </r>
  </si>
  <si>
    <r>
      <rPr>
        <sz val="7"/>
        <color theme="1" tint="0.14999847407452621"/>
        <rFont val="Noto Sans"/>
        <family val="2"/>
      </rPr>
      <t>blaufränkisch</t>
    </r>
    <r>
      <rPr>
        <sz val="8"/>
        <color theme="1" tint="0.14999847407452621"/>
        <rFont val="Noto Sans"/>
        <family val="2"/>
      </rPr>
      <t xml:space="preserve"> </t>
    </r>
    <r>
      <rPr>
        <b/>
        <sz val="8"/>
        <color theme="1" tint="0.14999847407452621"/>
        <rFont val="Noto Sans"/>
        <family val="2"/>
      </rPr>
      <t>vom blauen schiefer (from blue slate)</t>
    </r>
  </si>
  <si>
    <t>Flora focus section, A-Z:</t>
  </si>
  <si>
    <r>
      <t xml:space="preserve">Ch.Climens Asphodele, Bordeaux BLANC - </t>
    </r>
    <r>
      <rPr>
        <b/>
        <sz val="8"/>
        <color theme="1" tint="0.14999847407452621"/>
        <rFont val="Noto Sans"/>
        <family val="2"/>
      </rPr>
      <t>ASPHODEL (FLOWER)</t>
    </r>
  </si>
  <si>
    <r>
      <t xml:space="preserve">Ronco Pitotti sauvignon (vv-tvv) - </t>
    </r>
    <r>
      <rPr>
        <b/>
        <sz val="8"/>
        <color theme="1" tint="0.14999847407452621"/>
        <rFont val="Noto Sans"/>
        <family val="2"/>
      </rPr>
      <t>BAMBOO LABEL</t>
    </r>
  </si>
  <si>
    <r>
      <t xml:space="preserve">Campo dell'Orzo - </t>
    </r>
    <r>
      <rPr>
        <b/>
        <sz val="8"/>
        <color theme="1" tint="0.14999847407452621"/>
        <rFont val="Noto Sans"/>
        <family val="2"/>
      </rPr>
      <t>BARLEY</t>
    </r>
  </si>
  <si>
    <r>
      <t xml:space="preserve">La Raison d'Hetre, Castillon - </t>
    </r>
    <r>
      <rPr>
        <b/>
        <sz val="8"/>
        <color theme="1" tint="0.14999847407452621"/>
        <rFont val="Noto Sans"/>
        <family val="2"/>
      </rPr>
      <t>BEECH</t>
    </r>
  </si>
  <si>
    <r>
      <t xml:space="preserve">L'Hetre, Castillon - </t>
    </r>
    <r>
      <rPr>
        <b/>
        <sz val="8"/>
        <color theme="1" tint="0.14999847407452621"/>
        <rFont val="Noto Sans"/>
        <family val="2"/>
      </rPr>
      <t>BEECH</t>
    </r>
  </si>
  <si>
    <r>
      <t>Chambolle Les Noirots 1C</t>
    </r>
    <r>
      <rPr>
        <b/>
        <sz val="8"/>
        <color theme="1" tint="0.14999847407452621"/>
        <rFont val="Noto Sans"/>
        <family val="2"/>
      </rPr>
      <t xml:space="preserve"> - BLACKBERRY, BRAMBLE</t>
    </r>
  </si>
  <si>
    <r>
      <t xml:space="preserve">Volnay Le Ronceret 1C - </t>
    </r>
    <r>
      <rPr>
        <b/>
        <sz val="8"/>
        <color theme="1" tint="0.14999847407452621"/>
        <rFont val="Noto Sans"/>
        <family val="2"/>
      </rPr>
      <t>BLACKBERRY, BRAMBLE</t>
    </r>
  </si>
  <si>
    <r>
      <t xml:space="preserve">Cérès Haut-Médoc, Ch.Haut-Bages-Liberal SSA - </t>
    </r>
    <r>
      <rPr>
        <b/>
        <sz val="8"/>
        <color theme="1" tint="0.14999847407452621"/>
        <rFont val="Noto Sans"/>
        <family val="2"/>
      </rPr>
      <t>CEREAL</t>
    </r>
  </si>
  <si>
    <r>
      <t>Griotte-Chambertin GC</t>
    </r>
    <r>
      <rPr>
        <b/>
        <sz val="8"/>
        <color theme="1" tint="0.14999847407452621"/>
        <rFont val="Noto Sans"/>
        <family val="2"/>
      </rPr>
      <t xml:space="preserve"> - WILD CHERRY</t>
    </r>
  </si>
  <si>
    <r>
      <t xml:space="preserve">Grano blend - </t>
    </r>
    <r>
      <rPr>
        <b/>
        <sz val="8"/>
        <color theme="1" tint="0.14999847407452621"/>
        <rFont val="Noto Sans"/>
        <family val="2"/>
      </rPr>
      <t>CORN, GRAIN</t>
    </r>
  </si>
  <si>
    <r>
      <t xml:space="preserve">Champagne Cuvée de L'Orme extra brut - </t>
    </r>
    <r>
      <rPr>
        <b/>
        <sz val="8"/>
        <color rgb="FF262626"/>
        <rFont val="Noto Sans"/>
        <family val="2"/>
      </rPr>
      <t>ELM</t>
    </r>
  </si>
  <si>
    <r>
      <t xml:space="preserve">Morey St.Denis Clos des Ormes 1C - </t>
    </r>
    <r>
      <rPr>
        <b/>
        <sz val="8"/>
        <color theme="1" tint="0.14999847407452621"/>
        <rFont val="Noto Sans"/>
        <family val="2"/>
      </rPr>
      <t>ELM</t>
    </r>
  </si>
  <si>
    <t>CHANTAL REMY</t>
  </si>
  <si>
    <r>
      <t xml:space="preserve">Chateau Lafleur, Pomerol - </t>
    </r>
    <r>
      <rPr>
        <b/>
        <sz val="8"/>
        <color theme="1" tint="0.14999847407452621"/>
        <rFont val="Noto Sans"/>
        <family val="2"/>
      </rPr>
      <t>FLOWER</t>
    </r>
  </si>
  <si>
    <r>
      <t xml:space="preserve">Chateau Alcée, Castillon - </t>
    </r>
    <r>
      <rPr>
        <b/>
        <sz val="8"/>
        <color theme="1" tint="0.14999847407452621"/>
        <rFont val="Noto Sans"/>
        <family val="2"/>
      </rPr>
      <t>HOLLYHOCK</t>
    </r>
  </si>
  <si>
    <r>
      <t xml:space="preserve">Bourgogne aligoté aux Poirelots (1944 vv) - </t>
    </r>
    <r>
      <rPr>
        <b/>
        <sz val="8"/>
        <color theme="1" tint="0.14999847407452621"/>
        <rFont val="Noto Sans"/>
        <family val="2"/>
      </rPr>
      <t>LEEKS</t>
    </r>
  </si>
  <si>
    <r>
      <t xml:space="preserve">Morus Alba, Friuli - </t>
    </r>
    <r>
      <rPr>
        <b/>
        <sz val="8"/>
        <color rgb="FF262626"/>
        <rFont val="Noto Sans"/>
        <family val="2"/>
      </rPr>
      <t>WHITE MULBERRY</t>
    </r>
  </si>
  <si>
    <r>
      <t xml:space="preserve">Morus Nigra, Friuli - </t>
    </r>
    <r>
      <rPr>
        <b/>
        <sz val="8"/>
        <color rgb="FF262626"/>
        <rFont val="Noto Sans"/>
        <family val="2"/>
      </rPr>
      <t>BLACK MULBERRY</t>
    </r>
  </si>
  <si>
    <r>
      <t xml:space="preserve">Gavi riserva, Vigna della Rovere Verde - </t>
    </r>
    <r>
      <rPr>
        <b/>
        <sz val="8"/>
        <color theme="1" tint="0.14999847407452621"/>
        <rFont val="Noto Sans"/>
        <family val="2"/>
      </rPr>
      <t>GREEN OAK</t>
    </r>
  </si>
  <si>
    <r>
      <t xml:space="preserve">Viré-Clessé Vieilles Vignes Sur Le Chene - </t>
    </r>
    <r>
      <rPr>
        <b/>
        <sz val="8"/>
        <color theme="1" tint="0.14999847407452621"/>
        <rFont val="Noto Sans"/>
        <family val="2"/>
      </rPr>
      <t>OAK</t>
    </r>
  </si>
  <si>
    <r>
      <t xml:space="preserve">Volnay Clos des Chenes 1C - </t>
    </r>
    <r>
      <rPr>
        <b/>
        <sz val="8"/>
        <color theme="1" tint="0.14999847407452621"/>
        <rFont val="Noto Sans"/>
        <family val="2"/>
      </rPr>
      <t>OAK</t>
    </r>
  </si>
  <si>
    <r>
      <t>Volnay Clos des Chenes 1C</t>
    </r>
    <r>
      <rPr>
        <b/>
        <sz val="8"/>
        <color theme="1" tint="0.14999847407452621"/>
        <rFont val="Noto Sans"/>
        <family val="2"/>
      </rPr>
      <t xml:space="preserve"> - OAK</t>
    </r>
  </si>
  <si>
    <r>
      <t xml:space="preserve">Volnay Le Clos des Chenes 1C - </t>
    </r>
    <r>
      <rPr>
        <b/>
        <sz val="8"/>
        <color theme="1" tint="0.14999847407452621"/>
        <rFont val="Noto Sans"/>
        <family val="2"/>
      </rPr>
      <t>OAK</t>
    </r>
  </si>
  <si>
    <r>
      <t xml:space="preserve">Le Pin, Pomerol - </t>
    </r>
    <r>
      <rPr>
        <b/>
        <sz val="8"/>
        <color theme="1" tint="0.14999847407452621"/>
        <rFont val="Noto Sans"/>
        <family val="2"/>
      </rPr>
      <t>PINE</t>
    </r>
  </si>
  <si>
    <r>
      <t xml:space="preserve">rossese di Dolceaqua cru Poggio Pini (tvv) - </t>
    </r>
    <r>
      <rPr>
        <b/>
        <sz val="8"/>
        <color theme="1" tint="0.14999847407452621"/>
        <rFont val="Noto Sans"/>
        <family val="2"/>
      </rPr>
      <t>PINE</t>
    </r>
  </si>
  <si>
    <r>
      <t xml:space="preserve">Les Pins du Tirecul La Graviere, Monbazillac 50cl - </t>
    </r>
    <r>
      <rPr>
        <b/>
        <sz val="8"/>
        <color theme="1" tint="0.14999847407452621"/>
        <rFont val="Noto Sans"/>
        <family val="2"/>
      </rPr>
      <t>PINE</t>
    </r>
  </si>
  <si>
    <r>
      <t xml:space="preserve">Nuits St.Georges Les Pruliers 1C (tvv) - </t>
    </r>
    <r>
      <rPr>
        <b/>
        <sz val="8"/>
        <color theme="1" tint="0.14999847407452621"/>
        <rFont val="Noto Sans"/>
        <family val="2"/>
      </rPr>
      <t>PLUM</t>
    </r>
  </si>
  <si>
    <t>GOUGES</t>
  </si>
  <si>
    <r>
      <t xml:space="preserve">Nuits St.Georges Les Pruliers 1C - </t>
    </r>
    <r>
      <rPr>
        <b/>
        <sz val="8"/>
        <color theme="1" tint="0.14999847407452621"/>
        <rFont val="Noto Sans"/>
        <family val="2"/>
      </rPr>
      <t>PLUM</t>
    </r>
  </si>
  <si>
    <r>
      <t>Nuits St Georges Les Pruliers 1C</t>
    </r>
    <r>
      <rPr>
        <b/>
        <sz val="8"/>
        <color theme="1"/>
        <rFont val="Noto Sans"/>
        <family val="2"/>
      </rPr>
      <t xml:space="preserve"> - PLUM</t>
    </r>
  </si>
  <si>
    <r>
      <t>La Rosine viognier</t>
    </r>
    <r>
      <rPr>
        <b/>
        <sz val="8"/>
        <color theme="1" tint="0.14999847407452621"/>
        <rFont val="Noto Sans"/>
        <family val="2"/>
      </rPr>
      <t xml:space="preserve"> - ROSE</t>
    </r>
  </si>
  <si>
    <r>
      <t>La Rosine syrah</t>
    </r>
    <r>
      <rPr>
        <b/>
        <sz val="7"/>
        <color theme="1" tint="0.14999847407452621"/>
        <rFont val="Noto Sans"/>
        <family val="2"/>
      </rPr>
      <t xml:space="preserve"> - </t>
    </r>
    <r>
      <rPr>
        <b/>
        <sz val="8"/>
        <color theme="1" tint="0.14999847407452621"/>
        <rFont val="Noto Sans"/>
        <family val="2"/>
      </rPr>
      <t>ROSE</t>
    </r>
  </si>
  <si>
    <r>
      <t xml:space="preserve">Berteru En Rose cannonau di Sardegna - </t>
    </r>
    <r>
      <rPr>
        <b/>
        <sz val="8"/>
        <color theme="1" tint="0.14999847407452621"/>
        <rFont val="Noto Sans"/>
        <family val="2"/>
      </rPr>
      <t>ROSE</t>
    </r>
  </si>
  <si>
    <r>
      <t>Wild Rose pinot noir, Sonoma Coast</t>
    </r>
    <r>
      <rPr>
        <b/>
        <sz val="8"/>
        <color theme="1" tint="0.14999847407452621"/>
        <rFont val="Noto Sans"/>
        <family val="2"/>
      </rPr>
      <t xml:space="preserve"> - ROSE</t>
    </r>
  </si>
  <si>
    <r>
      <t xml:space="preserve">Morey St.Denis Clos des Rosiers monopole - </t>
    </r>
    <r>
      <rPr>
        <b/>
        <sz val="8"/>
        <color theme="1" tint="0.14999847407452621"/>
        <rFont val="Noto Sans"/>
        <family val="2"/>
      </rPr>
      <t>ROSE</t>
    </r>
  </si>
  <si>
    <r>
      <t>Bourgogne cru Gueules de Loup BLANC</t>
    </r>
    <r>
      <rPr>
        <b/>
        <sz val="8"/>
        <color theme="1" tint="0.14999847407452621"/>
        <rFont val="Noto Sans"/>
        <family val="2"/>
      </rPr>
      <t xml:space="preserve"> - SNAPDRAGON</t>
    </r>
  </si>
  <si>
    <r>
      <t xml:space="preserve">Morey St.Denis Clos Sorbé 1C - </t>
    </r>
    <r>
      <rPr>
        <b/>
        <sz val="8"/>
        <color theme="1" tint="0.14999847407452621"/>
        <rFont val="Noto Sans"/>
        <family val="2"/>
      </rPr>
      <t>SORB APPLE</t>
    </r>
  </si>
  <si>
    <r>
      <t xml:space="preserve">Croix Violette VV, CDN (1937-46 vv) - </t>
    </r>
    <r>
      <rPr>
        <b/>
        <sz val="8"/>
        <color theme="1" tint="0.14999847407452621"/>
        <rFont val="Noto Sans"/>
        <family val="2"/>
      </rPr>
      <t>VIOLET</t>
    </r>
  </si>
  <si>
    <t>Chateau La Violette, Pomerol - VIOLET</t>
  </si>
  <si>
    <r>
      <rPr>
        <sz val="7"/>
        <color theme="1" tint="0.14999847407452621"/>
        <rFont val="Noto Sans"/>
        <family val="2"/>
      </rPr>
      <t xml:space="preserve">Pouilly Fuissé Ampelopsis </t>
    </r>
    <r>
      <rPr>
        <sz val="8"/>
        <color theme="1" tint="0.14999847407452621"/>
        <rFont val="Noto Sans"/>
        <family val="2"/>
      </rPr>
      <t xml:space="preserve">- </t>
    </r>
    <r>
      <rPr>
        <b/>
        <sz val="8"/>
        <color theme="1" tint="0.14999847407452621"/>
        <rFont val="Noto Sans"/>
        <family val="2"/>
      </rPr>
      <t>VINE</t>
    </r>
  </si>
  <si>
    <r>
      <t xml:space="preserve">Champagne La Rue des Noyers rosé - </t>
    </r>
    <r>
      <rPr>
        <b/>
        <sz val="8"/>
        <color rgb="FF262626"/>
        <rFont val="Noto Sans"/>
        <family val="2"/>
      </rPr>
      <t>WALNUT</t>
    </r>
  </si>
  <si>
    <r>
      <t xml:space="preserve">Champagne La Rue des Noyers extra brut - </t>
    </r>
    <r>
      <rPr>
        <b/>
        <sz val="8"/>
        <color rgb="FF262626"/>
        <rFont val="Noto Sans"/>
        <family val="2"/>
      </rPr>
      <t>WALNUT</t>
    </r>
  </si>
  <si>
    <r>
      <t xml:space="preserve">Coteaux Champenois La Rue des Noyers BLANC - </t>
    </r>
    <r>
      <rPr>
        <b/>
        <sz val="8"/>
        <color rgb="FF262626"/>
        <rFont val="Noto Sans"/>
        <family val="2"/>
      </rPr>
      <t>WALNUT</t>
    </r>
  </si>
  <si>
    <r>
      <t xml:space="preserve">Coteaux Champenois La Rue des Noyers ROUGE - </t>
    </r>
    <r>
      <rPr>
        <b/>
        <sz val="8"/>
        <color rgb="FF262626"/>
        <rFont val="Noto Sans"/>
        <family val="2"/>
      </rPr>
      <t>WALNUT</t>
    </r>
  </si>
  <si>
    <r>
      <t>Puligny Montrachet Noyer Bret (vv)</t>
    </r>
    <r>
      <rPr>
        <b/>
        <sz val="8"/>
        <color theme="1" tint="0.14999847407452621"/>
        <rFont val="Noto Sans"/>
        <family val="2"/>
      </rPr>
      <t xml:space="preserve"> - WALNUT</t>
    </r>
  </si>
  <si>
    <r>
      <t xml:space="preserve">Les Collines de L'If, St.Emilion - </t>
    </r>
    <r>
      <rPr>
        <b/>
        <sz val="8"/>
        <color theme="1" tint="0.14999847407452621"/>
        <rFont val="Noto Sans"/>
        <family val="2"/>
      </rPr>
      <t>YEW</t>
    </r>
  </si>
  <si>
    <r>
      <t xml:space="preserve">L'If, St.Emilion - </t>
    </r>
    <r>
      <rPr>
        <b/>
        <sz val="8"/>
        <color theme="1" tint="0.14999847407452621"/>
        <rFont val="Noto Sans"/>
        <family val="2"/>
      </rPr>
      <t>YEW</t>
    </r>
  </si>
  <si>
    <t>Ownership focus sections:</t>
  </si>
  <si>
    <t>MONOPOLES in Burgundy:</t>
  </si>
  <si>
    <t>size</t>
  </si>
  <si>
    <t>planted</t>
  </si>
  <si>
    <t>MICHEL BRIDAY</t>
  </si>
  <si>
    <r>
      <t xml:space="preserve">Rully - Clos de Remenot </t>
    </r>
    <r>
      <rPr>
        <b/>
        <sz val="7.5"/>
        <color theme="1" tint="0.14999847407452621"/>
        <rFont val="Noto Sans"/>
        <family val="2"/>
      </rPr>
      <t>monopole</t>
    </r>
  </si>
  <si>
    <t>0.54ha</t>
  </si>
  <si>
    <r>
      <t xml:space="preserve">Bourgogne HCdN - Clos St.Philibert </t>
    </r>
    <r>
      <rPr>
        <b/>
        <sz val="7.5"/>
        <color theme="1" tint="0.14999847407452621"/>
        <rFont val="Noto Sans"/>
        <family val="2"/>
      </rPr>
      <t>monopole</t>
    </r>
  </si>
  <si>
    <t>3.6ha</t>
  </si>
  <si>
    <t>1990s</t>
  </si>
  <si>
    <t>FRANCOIS/CLAUDINE GAUNOUX</t>
  </si>
  <si>
    <r>
      <t xml:space="preserve">Meursault - Clos de Meix Chavaux </t>
    </r>
    <r>
      <rPr>
        <b/>
        <sz val="7.5"/>
        <color theme="1" tint="0.14999847407452621"/>
        <rFont val="Noto Sans"/>
        <family val="2"/>
      </rPr>
      <t>monopole</t>
    </r>
  </si>
  <si>
    <t>3.5ha</t>
  </si>
  <si>
    <t>1949-96</t>
  </si>
  <si>
    <r>
      <t xml:space="preserve">Meursault - Le Clos de Tavaux </t>
    </r>
    <r>
      <rPr>
        <b/>
        <sz val="7.5"/>
        <color theme="1" tint="0.14999847407452621"/>
        <rFont val="Noto Sans"/>
        <family val="2"/>
      </rPr>
      <t>monopole</t>
    </r>
  </si>
  <si>
    <t>0.98ha</t>
  </si>
  <si>
    <t>1971&amp;89</t>
  </si>
  <si>
    <r>
      <t xml:space="preserve">Meursault Clos Richemont 1C </t>
    </r>
    <r>
      <rPr>
        <b/>
        <sz val="7.5"/>
        <color theme="1" tint="0.14999847407452621"/>
        <rFont val="Noto Sans"/>
        <family val="2"/>
      </rPr>
      <t>monopole</t>
    </r>
  </si>
  <si>
    <t>0.74ha</t>
  </si>
  <si>
    <t>&gt;65yrs</t>
  </si>
  <si>
    <r>
      <t xml:space="preserve">Puligny Clos de La Mouchere 1C </t>
    </r>
    <r>
      <rPr>
        <b/>
        <sz val="7.5"/>
        <color theme="1" tint="0.14999847407452621"/>
        <rFont val="Noto Sans"/>
        <family val="2"/>
      </rPr>
      <t>monopole</t>
    </r>
  </si>
  <si>
    <t>4ha</t>
  </si>
  <si>
    <r>
      <t xml:space="preserve">Le Clos Blanc de Vougeot 1C </t>
    </r>
    <r>
      <rPr>
        <b/>
        <sz val="7.5"/>
        <color theme="1" tint="0.14999847407452621"/>
        <rFont val="Noto Sans"/>
        <family val="2"/>
      </rPr>
      <t>monopole</t>
    </r>
  </si>
  <si>
    <t>2.29ha</t>
  </si>
  <si>
    <t>83-'96</t>
  </si>
  <si>
    <r>
      <t xml:space="preserve">Clos du Prieuré </t>
    </r>
    <r>
      <rPr>
        <b/>
        <sz val="7.5"/>
        <color theme="1" tint="0.14999847407452621"/>
        <rFont val="Noto Sans"/>
        <family val="2"/>
      </rPr>
      <t>monopole</t>
    </r>
  </si>
  <si>
    <r>
      <rPr>
        <b/>
        <sz val="7"/>
        <color rgb="FFCCFF33"/>
        <rFont val="Noto Sans"/>
        <family val="2"/>
      </rPr>
      <t>w</t>
    </r>
    <r>
      <rPr>
        <b/>
        <sz val="7"/>
        <color rgb="FFFF0000"/>
        <rFont val="Noto Sans"/>
        <family val="2"/>
      </rPr>
      <t>/r</t>
    </r>
  </si>
  <si>
    <t>1.89ha</t>
  </si>
  <si>
    <t>1901-</t>
  </si>
  <si>
    <t>MOULIN AUX MOINES</t>
  </si>
  <si>
    <r>
      <t xml:space="preserve">Bourgogne Clos de La Perriere </t>
    </r>
    <r>
      <rPr>
        <b/>
        <sz val="7.5"/>
        <color theme="1" tint="0.14999847407452621"/>
        <rFont val="Noto Sans"/>
        <family val="2"/>
      </rPr>
      <t>monopole</t>
    </r>
  </si>
  <si>
    <t>1.6ha</t>
  </si>
  <si>
    <t>1960s</t>
  </si>
  <si>
    <r>
      <t xml:space="preserve">Auxey Duresses - Clos du Moulin </t>
    </r>
    <r>
      <rPr>
        <b/>
        <sz val="7.5"/>
        <color theme="1" tint="0.14999847407452621"/>
        <rFont val="Noto Sans"/>
        <family val="2"/>
      </rPr>
      <t>monopole</t>
    </r>
  </si>
  <si>
    <t>2.8ha</t>
  </si>
  <si>
    <t>1954-00s</t>
  </si>
  <si>
    <t>JF MUGNIER</t>
  </si>
  <si>
    <r>
      <t xml:space="preserve">Nuits St.George - Clos de La Marechale 1C </t>
    </r>
    <r>
      <rPr>
        <b/>
        <sz val="7.5"/>
        <color theme="1" tint="0.14999847407452621"/>
        <rFont val="Noto Sans"/>
        <family val="2"/>
      </rPr>
      <t>monopole</t>
    </r>
  </si>
  <si>
    <t>9.6ha</t>
  </si>
  <si>
    <t>1910-80s</t>
  </si>
  <si>
    <t>G&amp;X BESSON</t>
  </si>
  <si>
    <r>
      <t xml:space="preserve">Givry Le Haut Colombier ROUGE </t>
    </r>
    <r>
      <rPr>
        <b/>
        <sz val="7.5"/>
        <color theme="1" tint="0.14999847407452621"/>
        <rFont val="Noto Sans"/>
        <family val="2"/>
      </rPr>
      <t>monopole</t>
    </r>
  </si>
  <si>
    <t>2.2ha</t>
  </si>
  <si>
    <t>~35yrs</t>
  </si>
  <si>
    <r>
      <t xml:space="preserve">Auxey Duresses - Clos du Moulin VV </t>
    </r>
    <r>
      <rPr>
        <b/>
        <sz val="7.5"/>
        <color theme="1" tint="0.14999847407452621"/>
        <rFont val="Noto Sans"/>
        <family val="2"/>
      </rPr>
      <t>monopole</t>
    </r>
  </si>
  <si>
    <t>BERNARD MOREAU</t>
  </si>
  <si>
    <r>
      <t>Chassagne Montrachet La Cardeuse 1C</t>
    </r>
    <r>
      <rPr>
        <b/>
        <sz val="7.5"/>
        <color theme="1" tint="0.14999847407452621"/>
        <rFont val="Noto Sans"/>
        <family val="2"/>
      </rPr>
      <t xml:space="preserve"> monopole</t>
    </r>
  </si>
  <si>
    <t>0.81ha</t>
  </si>
  <si>
    <t>in Morgeot</t>
  </si>
  <si>
    <r>
      <t xml:space="preserve">Nuits St.Georges Clos des Porrets 1C </t>
    </r>
    <r>
      <rPr>
        <b/>
        <sz val="7.5"/>
        <color theme="1" tint="0.14999847407452621"/>
        <rFont val="Noto Sans"/>
        <family val="2"/>
      </rPr>
      <t>monopole</t>
    </r>
  </si>
  <si>
    <t>&gt;50yrs</t>
  </si>
  <si>
    <r>
      <t xml:space="preserve">Pommard - Orgelot 1C </t>
    </r>
    <r>
      <rPr>
        <b/>
        <sz val="7.5"/>
        <color theme="1" tint="0.14999847407452621"/>
        <rFont val="Noto Sans"/>
        <family val="2"/>
      </rPr>
      <t>monopole</t>
    </r>
  </si>
  <si>
    <t>1.1ha</t>
  </si>
  <si>
    <t>1920&amp;90s</t>
  </si>
  <si>
    <t>CHANTAL/LOUIS REMY</t>
  </si>
  <si>
    <r>
      <t xml:space="preserve">Morey St.Denis - Clos des Rosiers </t>
    </r>
    <r>
      <rPr>
        <b/>
        <sz val="7.5"/>
        <color theme="1" tint="0.14999847407452621"/>
        <rFont val="Noto Sans"/>
        <family val="2"/>
      </rPr>
      <t>monopole</t>
    </r>
  </si>
  <si>
    <r>
      <t xml:space="preserve">Volnay Clos du Verseuil 1C </t>
    </r>
    <r>
      <rPr>
        <b/>
        <sz val="7.5"/>
        <color theme="1" tint="0.14999847407452621"/>
        <rFont val="Noto Sans"/>
        <family val="2"/>
      </rPr>
      <t>monopole</t>
    </r>
  </si>
  <si>
    <t>0.68ha</t>
  </si>
  <si>
    <t>~40yrs</t>
  </si>
  <si>
    <r>
      <t xml:space="preserve">Volnay - Clos du Chateau des Ducs 1C </t>
    </r>
    <r>
      <rPr>
        <b/>
        <sz val="7.5"/>
        <color theme="1" tint="0.14999847407452621"/>
        <rFont val="Noto Sans"/>
        <family val="2"/>
      </rPr>
      <t>monopole</t>
    </r>
  </si>
  <si>
    <t>0.57ha</t>
  </si>
  <si>
    <t>46/85/00</t>
  </si>
  <si>
    <r>
      <t xml:space="preserve">Nuits St.Georges Les Didiers 1C HOSPICES </t>
    </r>
    <r>
      <rPr>
        <b/>
        <sz val="7.5"/>
        <color theme="1" tint="0.14999847407452621"/>
        <rFont val="Noto Sans"/>
        <family val="2"/>
      </rPr>
      <t>monopole</t>
    </r>
  </si>
  <si>
    <t>2.5ha</t>
  </si>
  <si>
    <t>(updated Dec.2023)</t>
  </si>
  <si>
    <r>
      <t>Focus on</t>
    </r>
    <r>
      <rPr>
        <b/>
        <sz val="18"/>
        <color theme="1"/>
        <rFont val="Noto Sans"/>
        <family val="2"/>
      </rPr>
      <t>…</t>
    </r>
  </si>
  <si>
    <t>female owned/run wineries:</t>
  </si>
  <si>
    <t>Start year</t>
  </si>
  <si>
    <t>role</t>
  </si>
  <si>
    <t>LAETITIA BILLIOT (of Henri Billiot)</t>
  </si>
  <si>
    <t>Ambonnay GC, Champagne</t>
  </si>
  <si>
    <t>owner</t>
  </si>
  <si>
    <t>MARIE-LAURE LURTON, Ch.Villegeorge</t>
  </si>
  <si>
    <t>Haut-Médoc, Bordeaux</t>
  </si>
  <si>
    <t>SYLVIE GAUTREAU (Ch.Sociando Mallet)</t>
  </si>
  <si>
    <t>LILLIAN BARTON-SARTORIUS</t>
  </si>
  <si>
    <t>St.Julien, Bordeaux</t>
  </si>
  <si>
    <t>BERENICE LURTON, Ch.Climens</t>
  </si>
  <si>
    <t>Barsac-Sauternes, Bordeaux</t>
  </si>
  <si>
    <t>PATRICIA SIBLAS, of Siblas-Maume</t>
  </si>
  <si>
    <t>Gevrey, Burgundy</t>
  </si>
  <si>
    <t>Chambolle, Burgundy</t>
  </si>
  <si>
    <t>NATHALIE LAMARCHE</t>
  </si>
  <si>
    <t>owners</t>
  </si>
  <si>
    <t>Morey, Burgundy</t>
  </si>
  <si>
    <t>CLAUDINE GAUNOUX (of F.Gaunoux)</t>
  </si>
  <si>
    <t>Meursault, Cote de Beaune, Burgundy</t>
  </si>
  <si>
    <t>JULIE NOEL (of Sancerre Noel)</t>
  </si>
  <si>
    <t>Sancerre, Loire</t>
  </si>
  <si>
    <t>Morgon, Burgundy</t>
  </si>
  <si>
    <t>OPHELIE DUTRAIVE, of Famille Dutraive</t>
  </si>
  <si>
    <t>Fleurie, Beaujolais</t>
  </si>
  <si>
    <t>co-owner</t>
  </si>
  <si>
    <t>PEGGY BURONFOSSE</t>
  </si>
  <si>
    <t>WENDY PAILLÉ, at Domaine Le Soula</t>
  </si>
  <si>
    <t>Agly valley, Roussillon</t>
  </si>
  <si>
    <t>régisseur</t>
  </si>
  <si>
    <t>CATHERINE ROQUE</t>
  </si>
  <si>
    <r>
      <rPr>
        <b/>
        <sz val="7"/>
        <color rgb="FFFF66FF"/>
        <rFont val="Noto Sans"/>
        <family val="2"/>
      </rPr>
      <t>p</t>
    </r>
    <r>
      <rPr>
        <b/>
        <sz val="7"/>
        <color rgb="FFFF0000"/>
        <rFont val="Noto Sans"/>
        <family val="2"/>
      </rPr>
      <t>/r</t>
    </r>
  </si>
  <si>
    <t>RINALDI SISTERS at G.Rinaldi</t>
  </si>
  <si>
    <t>CECILA MONTE</t>
  </si>
  <si>
    <t>BROVIA SISTERS</t>
  </si>
  <si>
    <t>ROSINA SISTERS, of La Mesma</t>
  </si>
  <si>
    <t>Gavi, Piedmont</t>
  </si>
  <si>
    <t>LUIGIA ZUCCHI, of Rugra</t>
  </si>
  <si>
    <t>ELISA COLOMBERA, of La Colombera</t>
  </si>
  <si>
    <t>Timorasso Colli Tortonesi, Piedmont</t>
  </si>
  <si>
    <t>ELIZABETTA DALZOCCHIO</t>
  </si>
  <si>
    <t>Pinot Noir, Trentino</t>
  </si>
  <si>
    <t>CRISTIANA MEGGIOLARO</t>
  </si>
  <si>
    <t>Brunello di Montalcino, Tuscany</t>
  </si>
  <si>
    <t>BETTINA ROGOSKY, of Il Carnasciale</t>
  </si>
  <si>
    <t>Val d'Arno, Tuscany</t>
  </si>
  <si>
    <t>DORA &amp; PATRIZIA of Il Sanguineto</t>
  </si>
  <si>
    <t>ANTONELLA LONARDO, of Taurasi</t>
  </si>
  <si>
    <t>IMMA SOLER, of Mas de La Pansa</t>
  </si>
  <si>
    <t>Conca de Barbera, Catalonia</t>
  </si>
  <si>
    <t>BARBARA ADAM, of AJ Adam</t>
  </si>
  <si>
    <t>KATARINA PRUM, of JJ Prum</t>
  </si>
  <si>
    <t>KUNIKO MUKAI</t>
  </si>
  <si>
    <t>Mukai Shuzo, Japan</t>
  </si>
  <si>
    <t>brewer</t>
  </si>
  <si>
    <t>female co-owned/run wineries:</t>
  </si>
  <si>
    <t>KARLA GONET of Gonet-Sulcova</t>
  </si>
  <si>
    <t>daughter</t>
  </si>
  <si>
    <t>EMMANUELLE of Champagne Augustin</t>
  </si>
  <si>
    <t>STEPHANIE CHEVREUX of La Parcelle</t>
  </si>
  <si>
    <t>CLAUDIA BILANCINI, Tirecul La Graviere</t>
  </si>
  <si>
    <t>BENEDICTE HUBAU, of Moulin Peylabrie</t>
  </si>
  <si>
    <t>Bordeaux Right Bank</t>
  </si>
  <si>
    <t>ISABELLE RAVENEAU of Raveneau</t>
  </si>
  <si>
    <t>Chablis, Burgundy</t>
  </si>
  <si>
    <t>BERTHILLE ARLAUD of Arlaud</t>
  </si>
  <si>
    <r>
      <t>Morey, Burgundy</t>
    </r>
    <r>
      <rPr>
        <sz val="7"/>
        <color theme="1" tint="0.14999847407452621"/>
        <rFont val="Noto Sans"/>
        <family val="2"/>
      </rPr>
      <t xml:space="preserve"> (she's the horse-ploughing equestrian)</t>
    </r>
  </si>
  <si>
    <t>EVE FAIVELEY of Faiveley</t>
  </si>
  <si>
    <t>MATHILDE GRIVOT, of J.Grivot</t>
  </si>
  <si>
    <t>ISABELLE GUYON of JP Guyon</t>
  </si>
  <si>
    <t>CHANTAL &amp; CLOTHILDE LAFARGE</t>
  </si>
  <si>
    <t>Volnay, Burgundy</t>
  </si>
  <si>
    <t>co-owners</t>
  </si>
  <si>
    <t>CHANTAL DURRIEU, Potinet-Ampeau</t>
  </si>
  <si>
    <t>ANNE-MARIE VINCENT, JM &amp;AM Vincent</t>
  </si>
  <si>
    <t>Santenay, Burgundy</t>
  </si>
  <si>
    <t>SANDRINE BRIDAY of Michel Briday</t>
  </si>
  <si>
    <t>Chalonnaise, Burgundy</t>
  </si>
  <si>
    <t>ISABELLE HASARD, of A&amp;I Hasard</t>
  </si>
  <si>
    <t>CHRISTINE SAUMAIZE, Saumaize-Michelin</t>
  </si>
  <si>
    <t>Pouilly-Fuissé, Burgundy</t>
  </si>
  <si>
    <t>MARIE-FLORENCE PIGNIER, of Pignier</t>
  </si>
  <si>
    <t>PAULETTE SPELTY, of Spelty</t>
  </si>
  <si>
    <t>Chinon, Loire</t>
  </si>
  <si>
    <t>CAMILLE TARDIEU of Famille Tardieu</t>
  </si>
  <si>
    <t>Rhone</t>
  </si>
  <si>
    <t>LUCIE (LULU) PEYRAUD, Dom.Tempier</t>
  </si>
  <si>
    <t>Bandol, Provence</t>
  </si>
  <si>
    <t>founder</t>
  </si>
  <si>
    <t>BARBARA SANDRONE</t>
  </si>
  <si>
    <t>Barolo, Piemonte</t>
  </si>
  <si>
    <t>BEATRICE BONGIOVANNI, of Runchet</t>
  </si>
  <si>
    <t>Barbaresco, Piemonte</t>
  </si>
  <si>
    <t>MARIA MUSSO, of Serafino Rivella</t>
  </si>
  <si>
    <t>CATARINA VISTARINI of Mezzacane</t>
  </si>
  <si>
    <t>Lombardia</t>
  </si>
  <si>
    <t>GLORIA MAYR of Nusserhof</t>
  </si>
  <si>
    <t>Alto Adige</t>
  </si>
  <si>
    <t>MARIKA ZAGO, of Zago</t>
  </si>
  <si>
    <t>Valdobbiadene</t>
  </si>
  <si>
    <t>sister</t>
  </si>
  <si>
    <t>SERENA, of Raval</t>
  </si>
  <si>
    <t>Bardolino, Veneto</t>
  </si>
  <si>
    <t>FEDERICA MAGRINI of Duline</t>
  </si>
  <si>
    <t>Collio Orientali</t>
  </si>
  <si>
    <t>MATEJA GRAVNER of Gravner</t>
  </si>
  <si>
    <t>MONICA SOLDERA</t>
  </si>
  <si>
    <t>Montalcino, Tuscany</t>
  </si>
  <si>
    <t>SIMONETTA VALIANI, of Le Chiuse</t>
  </si>
  <si>
    <t>AKI CORNELISSEN of Frank Cornelissen</t>
  </si>
  <si>
    <t>ELISABETH PICHLER of Pichler-Krutzler</t>
  </si>
  <si>
    <t>JOHANNA PICHLER of F.X.Pichler</t>
  </si>
  <si>
    <t>HELMA JUSTEN, of Meulenhof</t>
  </si>
  <si>
    <t>LYNN BERGLUND, of Swan</t>
  </si>
  <si>
    <t>RRV, CA</t>
  </si>
  <si>
    <t>Wine celebration calendar:</t>
  </si>
  <si>
    <t>name</t>
  </si>
  <si>
    <t>date</t>
  </si>
  <si>
    <t>MOVEABLE / LUNAR FEASTS:</t>
  </si>
  <si>
    <t>Chinese New Years Eve'</t>
  </si>
  <si>
    <t>day before Chinese New Year</t>
  </si>
  <si>
    <t>Chinese New Year</t>
  </si>
  <si>
    <t>full moon after Jan 21st</t>
  </si>
  <si>
    <t>Shrove Tuesday</t>
  </si>
  <si>
    <t>pancake day</t>
  </si>
  <si>
    <t>day before 1st day of Lent</t>
  </si>
  <si>
    <t>Maundy Thursday</t>
  </si>
  <si>
    <t>Last Supper</t>
  </si>
  <si>
    <t>day before Good Friday</t>
  </si>
  <si>
    <t>Good Friday</t>
  </si>
  <si>
    <t>Crucifixion</t>
  </si>
  <si>
    <t>Friday before Easter Sunday</t>
  </si>
  <si>
    <t>Easter Sunday</t>
  </si>
  <si>
    <t>Resurrection</t>
  </si>
  <si>
    <t>1st Sunday after Paschal full moon</t>
  </si>
  <si>
    <r>
      <t>St.Sauveur</t>
    </r>
    <r>
      <rPr>
        <sz val="7"/>
        <color theme="1" tint="0.14999847407452621"/>
        <rFont val="Noto Sans"/>
        <family val="2"/>
      </rPr>
      <t xml:space="preserve"> (aka Sanctus Salvator, Holy Jesus)</t>
    </r>
  </si>
  <si>
    <t>Haut-Médoc village of Chateau Bernadotte, near Pauillac</t>
  </si>
  <si>
    <t>holy week</t>
  </si>
  <si>
    <r>
      <t>World Biodynamic Day</t>
    </r>
    <r>
      <rPr>
        <sz val="7"/>
        <color theme="1" tint="0.14999847407452621"/>
        <rFont val="Noto Sans"/>
        <family val="2"/>
      </rPr>
      <t xml:space="preserve"> (founded 2017)</t>
    </r>
  </si>
  <si>
    <t>Whitsun/Pentecost (the 7th Sunday after Easter)</t>
  </si>
  <si>
    <t>WorldBiodynamicDay.org</t>
  </si>
  <si>
    <t>www.facebook.com/WorldBiodynamicDay/</t>
  </si>
  <si>
    <t>JANUARY:</t>
  </si>
  <si>
    <t>New Year's Day</t>
  </si>
  <si>
    <t>Jan.01</t>
  </si>
  <si>
    <r>
      <t>St.Vivant</t>
    </r>
    <r>
      <rPr>
        <sz val="7"/>
        <color theme="1" tint="0.14999847407452621"/>
        <rFont val="Noto Sans"/>
        <family val="2"/>
      </rPr>
      <t xml:space="preserve"> (aka Vivientius, Vivence D.400, Fr)</t>
    </r>
  </si>
  <si>
    <t>Grand Cru of Vosne-Romanée, Burgundy</t>
  </si>
  <si>
    <t>Jan.13</t>
  </si>
  <si>
    <r>
      <t>St.Vincent of Zaragoza</t>
    </r>
    <r>
      <rPr>
        <sz val="8"/>
        <color theme="1" tint="0.14999847407452621"/>
        <rFont val="Noto Sans"/>
        <family val="2"/>
      </rPr>
      <t xml:space="preserve"> </t>
    </r>
    <r>
      <rPr>
        <sz val="7"/>
        <color theme="1" tint="0.14999847407452621"/>
        <rFont val="Noto Sans"/>
        <family val="2"/>
      </rPr>
      <t>(D.304, Sp)</t>
    </r>
  </si>
  <si>
    <t>wine, winemakers, vinegar makers</t>
  </si>
  <si>
    <t>Jan.22</t>
  </si>
  <si>
    <r>
      <t>San Gimignano</t>
    </r>
    <r>
      <rPr>
        <sz val="7"/>
        <color theme="1" tint="0.14999847407452621"/>
        <rFont val="Noto Sans"/>
        <family val="2"/>
      </rPr>
      <t xml:space="preserve"> (aka Geminianus, D.397 It)</t>
    </r>
  </si>
  <si>
    <t>Vernaccia di San Gimignano, a Tuscan white wine</t>
  </si>
  <si>
    <t>Jan.31</t>
  </si>
  <si>
    <t>FEBRUARY:</t>
  </si>
  <si>
    <t>International Furmint Day</t>
  </si>
  <si>
    <t>esp. dry &amp; sweet Tokaji, Hungary</t>
  </si>
  <si>
    <t>Feb.01</t>
  </si>
  <si>
    <r>
      <t>St.Brigid of Kildare</t>
    </r>
    <r>
      <rPr>
        <sz val="8"/>
        <color theme="1" tint="0.14999847407452621"/>
        <rFont val="Noto Sans"/>
        <family val="2"/>
      </rPr>
      <t xml:space="preserve"> </t>
    </r>
    <r>
      <rPr>
        <sz val="7"/>
        <color theme="1" tint="0.14999847407452621"/>
        <rFont val="Noto Sans"/>
        <family val="2"/>
      </rPr>
      <t>(453 to 524, Ie)</t>
    </r>
  </si>
  <si>
    <t>cattle, cheese, brewers</t>
  </si>
  <si>
    <r>
      <t>World Wetlands Day</t>
    </r>
    <r>
      <rPr>
        <sz val="7"/>
        <color theme="1" tint="0.14999847407452621"/>
        <rFont val="Noto Sans"/>
        <family val="2"/>
      </rPr>
      <t xml:space="preserve"> (founded 1997)</t>
    </r>
  </si>
  <si>
    <t>Feb.02</t>
  </si>
  <si>
    <t>WorldWetlandsDay.org</t>
  </si>
  <si>
    <r>
      <t>St.Blaise of Sebaste</t>
    </r>
    <r>
      <rPr>
        <sz val="7"/>
        <color theme="1" tint="0.14999847407452621"/>
        <rFont val="Noto Sans"/>
        <family val="2"/>
      </rPr>
      <t xml:space="preserve"> (D.316)</t>
    </r>
  </si>
  <si>
    <t>Madeira</t>
  </si>
  <si>
    <t>Feb.03</t>
  </si>
  <si>
    <r>
      <t>St.Agatha of Catania</t>
    </r>
    <r>
      <rPr>
        <sz val="7"/>
        <color theme="1" tint="0.14999847407452621"/>
        <rFont val="Noto Sans"/>
        <family val="2"/>
      </rPr>
      <t xml:space="preserve"> (~231-251 AD)</t>
    </r>
  </si>
  <si>
    <t>Sant'Agata marl, Tortonian era, of Langhe hills</t>
  </si>
  <si>
    <t>Feb.05</t>
  </si>
  <si>
    <r>
      <t xml:space="preserve">St.Amand of Maastricht </t>
    </r>
    <r>
      <rPr>
        <sz val="7"/>
        <color theme="1" tint="0.14999847407452621"/>
        <rFont val="Noto Sans"/>
        <family val="2"/>
      </rPr>
      <t>(584 to 675)</t>
    </r>
  </si>
  <si>
    <t>winegrowers, hoteliers, beer, bartenders</t>
  </si>
  <si>
    <t>Feb.06</t>
  </si>
  <si>
    <t>St.Valentine's day</t>
  </si>
  <si>
    <t>Feb.14</t>
  </si>
  <si>
    <t>Global Wine Day</t>
  </si>
  <si>
    <t>Feb.18</t>
  </si>
  <si>
    <t>MARCH:</t>
  </si>
  <si>
    <r>
      <t>St.Aubin</t>
    </r>
    <r>
      <rPr>
        <sz val="7"/>
        <color theme="1" tint="0.14999847407452621"/>
        <rFont val="Noto Sans"/>
        <family val="2"/>
      </rPr>
      <t xml:space="preserve"> (aka Albinus. 468/9 to 550, Angers, Fr.)</t>
    </r>
  </si>
  <si>
    <t xml:space="preserve">St.Aubin, a village in Burgundy </t>
  </si>
  <si>
    <t>Mar.01</t>
  </si>
  <si>
    <r>
      <rPr>
        <b/>
        <sz val="8"/>
        <color theme="1" tint="0.14999847407452621"/>
        <rFont val="Noto Sans"/>
        <family val="2"/>
      </rPr>
      <t>International Women's Day</t>
    </r>
    <r>
      <rPr>
        <sz val="7"/>
        <color theme="1" tint="0.14999847407452621"/>
        <rFont val="Noto Sans"/>
        <family val="2"/>
      </rPr>
      <t xml:space="preserve"> (started 1909)</t>
    </r>
  </si>
  <si>
    <t>(see list of women winemakers &amp; owners)</t>
  </si>
  <si>
    <t>Mar.08</t>
  </si>
  <si>
    <t>InternationalWomensDay.com</t>
  </si>
  <si>
    <t>International Riesling Day</t>
  </si>
  <si>
    <t>Mar.13</t>
  </si>
  <si>
    <r>
      <t>St.Joseph</t>
    </r>
    <r>
      <rPr>
        <sz val="7"/>
        <color theme="1" tint="0.14999847407452621"/>
        <rFont val="Noto Sans"/>
        <family val="2"/>
      </rPr>
      <t xml:space="preserve"> (BC)</t>
    </r>
  </si>
  <si>
    <t>North-Rhone AOC; artisans; the 3rd millenia</t>
  </si>
  <si>
    <t>Mar.19</t>
  </si>
  <si>
    <r>
      <t>International Day of Forests</t>
    </r>
    <r>
      <rPr>
        <sz val="7"/>
        <color theme="1" tint="0.14999847407452621"/>
        <rFont val="Noto Sans"/>
        <family val="2"/>
      </rPr>
      <t xml:space="preserve"> (founded 2012)</t>
    </r>
  </si>
  <si>
    <t>Mar.21</t>
  </si>
  <si>
    <t>UN.org</t>
  </si>
  <si>
    <r>
      <t>World Water Day</t>
    </r>
    <r>
      <rPr>
        <sz val="7"/>
        <color theme="1" tint="0.14999847407452621"/>
        <rFont val="Noto Sans"/>
        <family val="2"/>
      </rPr>
      <t xml:space="preserve"> (founded 1993)</t>
    </r>
  </si>
  <si>
    <t>Mar.22</t>
  </si>
  <si>
    <t>WorldWaterDay.org</t>
  </si>
  <si>
    <t>Spring equinox</t>
  </si>
  <si>
    <t>~Mar.22</t>
  </si>
  <si>
    <t>APRIL:</t>
  </si>
  <si>
    <r>
      <t>St.Urban of Langres</t>
    </r>
    <r>
      <rPr>
        <b/>
        <sz val="6.5"/>
        <color theme="1" tint="0.14999847407452621"/>
        <rFont val="Noto Sans"/>
        <family val="2"/>
      </rPr>
      <t xml:space="preserve"> </t>
    </r>
    <r>
      <rPr>
        <sz val="7"/>
        <color theme="1" tint="0.14999847407452621"/>
        <rFont val="Noto Sans"/>
        <family val="2"/>
      </rPr>
      <t xml:space="preserve">(~327 to 390) </t>
    </r>
  </si>
  <si>
    <t>vintners, vignerons, Dijon, coopers, anti-alcoholism</t>
  </si>
  <si>
    <t>Apr.02</t>
  </si>
  <si>
    <t>World Health Day</t>
  </si>
  <si>
    <t>Apr.07</t>
  </si>
  <si>
    <r>
      <t>St.Drogo</t>
    </r>
    <r>
      <rPr>
        <sz val="8"/>
        <color theme="1" tint="0.14999847407452621"/>
        <rFont val="Noto Sans"/>
        <family val="2"/>
      </rPr>
      <t xml:space="preserve"> </t>
    </r>
    <r>
      <rPr>
        <sz val="7"/>
        <color theme="1" tint="0.14999847407452621"/>
        <rFont val="Noto Sans"/>
        <family val="2"/>
      </rPr>
      <t>(1105 to 1186, Flanders, Be)</t>
    </r>
  </si>
  <si>
    <t>coffee, cattle, sheep</t>
  </si>
  <si>
    <t>Apr.16</t>
  </si>
  <si>
    <t>World Malbec Day</t>
  </si>
  <si>
    <t>Apr.17</t>
  </si>
  <si>
    <t>MalbecWorldDay.com</t>
  </si>
  <si>
    <r>
      <rPr>
        <b/>
        <sz val="8"/>
        <color theme="1" tint="0.14999847407452621"/>
        <rFont val="Noto Sans"/>
        <family val="2"/>
      </rPr>
      <t>World Earth Day</t>
    </r>
    <r>
      <rPr>
        <sz val="7"/>
        <color theme="1" tint="0.14999847407452621"/>
        <rFont val="Noto Sans"/>
        <family val="2"/>
      </rPr>
      <t xml:space="preserve"> (founded 1970, USA)</t>
    </r>
  </si>
  <si>
    <t>Apr.22</t>
  </si>
  <si>
    <t>EarthDay.org</t>
  </si>
  <si>
    <r>
      <rPr>
        <b/>
        <sz val="8"/>
        <color theme="1" tint="0.14999847407452621"/>
        <rFont val="Noto Sans"/>
        <family val="2"/>
      </rPr>
      <t>Mother Earth Day</t>
    </r>
    <r>
      <rPr>
        <sz val="7"/>
        <color theme="1" tint="0.14999847407452621"/>
        <rFont val="Noto Sans"/>
        <family val="2"/>
      </rPr>
      <t xml:space="preserve"> (founded 2009, UN)</t>
    </r>
  </si>
  <si>
    <r>
      <t>St.Georges</t>
    </r>
    <r>
      <rPr>
        <sz val="7"/>
        <color theme="1" tint="0.14999847407452621"/>
        <rFont val="Noto Sans"/>
        <family val="2"/>
      </rPr>
      <t xml:space="preserve"> (275/208 to 303AD, Israel)</t>
    </r>
  </si>
  <si>
    <t>Nuits St.Georges, village in Burgundy; St.Emilion satellite; VP declaration</t>
  </si>
  <si>
    <t>Apr.23</t>
  </si>
  <si>
    <t>MAY:</t>
  </si>
  <si>
    <r>
      <t>St.Philippe</t>
    </r>
    <r>
      <rPr>
        <sz val="7"/>
        <color theme="1" tint="0.14999847407452621"/>
        <rFont val="Noto Sans"/>
        <family val="2"/>
      </rPr>
      <t xml:space="preserve"> (apostle, D.80)</t>
    </r>
  </si>
  <si>
    <t>chef-patissiers</t>
  </si>
  <si>
    <t>May.03</t>
  </si>
  <si>
    <t>International Sauvignon Blanc Day</t>
  </si>
  <si>
    <t>May.07</t>
  </si>
  <si>
    <t>SauvBlancDay.com</t>
  </si>
  <si>
    <t>Moscato, Muscat, Moscatel, Muskateller day</t>
  </si>
  <si>
    <t>May.09</t>
  </si>
  <si>
    <t>The Ice Saints</t>
  </si>
  <si>
    <t>Mamertus (11th), Pancras (12th), Servatus (13th), Boniface (14th), Sophia (15th)</t>
  </si>
  <si>
    <t>11-15th</t>
  </si>
  <si>
    <r>
      <t>World Fair Trade Day</t>
    </r>
    <r>
      <rPr>
        <sz val="7"/>
        <color theme="1" tint="0.14999847407452621"/>
        <rFont val="Noto Sans"/>
        <family val="2"/>
      </rPr>
      <t xml:space="preserve"> (day founded 2004)</t>
    </r>
  </si>
  <si>
    <t>May.14</t>
  </si>
  <si>
    <t>WFTO.com</t>
  </si>
  <si>
    <r>
      <t>St.Isidro The Labourer</t>
    </r>
    <r>
      <rPr>
        <sz val="7"/>
        <color theme="1" tint="0.14999847407452621"/>
        <rFont val="Noto Sans"/>
        <family val="2"/>
      </rPr>
      <t xml:space="preserve"> (1070 to 1130, Sp.)</t>
    </r>
  </si>
  <si>
    <t>farmers, workers</t>
  </si>
  <si>
    <t>May.15</t>
  </si>
  <si>
    <r>
      <t>International Whisky Day</t>
    </r>
    <r>
      <rPr>
        <sz val="7"/>
        <color theme="1" tint="0.14999847407452621"/>
        <rFont val="Noto Sans"/>
        <family val="2"/>
      </rPr>
      <t xml:space="preserve"> (founded 2011)</t>
    </r>
  </si>
  <si>
    <t>3rd Saturday</t>
  </si>
  <si>
    <t>WorldWhiskyDay.com</t>
  </si>
  <si>
    <r>
      <t>World Bee Day</t>
    </r>
    <r>
      <rPr>
        <sz val="7"/>
        <color theme="1" tint="0.14999847407452621"/>
        <rFont val="Noto Sans"/>
        <family val="2"/>
      </rPr>
      <t xml:space="preserve"> (founded 2018)</t>
    </r>
  </si>
  <si>
    <t>by FAO</t>
  </si>
  <si>
    <t>May.20</t>
  </si>
  <si>
    <t>WorldBeeDay.org</t>
  </si>
  <si>
    <t>International Chardonnay Day</t>
  </si>
  <si>
    <t>May.21</t>
  </si>
  <si>
    <t>International Tea Day</t>
  </si>
  <si>
    <t>CBD.int</t>
  </si>
  <si>
    <t>International Day for Biodiversity</t>
  </si>
  <si>
    <t>by UN Convention of Biological Diversity</t>
  </si>
  <si>
    <t>May.22</t>
  </si>
  <si>
    <r>
      <t>St.Yzans</t>
    </r>
    <r>
      <rPr>
        <sz val="7"/>
        <color theme="1" tint="0.14999847407452621"/>
        <rFont val="Noto Sans"/>
        <family val="2"/>
      </rPr>
      <t xml:space="preserve"> (aka Dizan, Dicentius. C.VIII bishop)</t>
    </r>
  </si>
  <si>
    <t>Haut-Médoc village</t>
  </si>
  <si>
    <t>May.25</t>
  </si>
  <si>
    <r>
      <t>St.Urban I</t>
    </r>
    <r>
      <rPr>
        <b/>
        <sz val="6.5"/>
        <color theme="1" tint="0.14999847407452621"/>
        <rFont val="Noto Sans"/>
        <family val="2"/>
      </rPr>
      <t xml:space="preserve"> </t>
    </r>
    <r>
      <rPr>
        <sz val="7"/>
        <color theme="1" tint="0.14999847407452621"/>
        <rFont val="Noto Sans"/>
        <family val="2"/>
      </rPr>
      <t xml:space="preserve">(aka Urbanus, Urbain, ~175 to 230) </t>
    </r>
  </si>
  <si>
    <t>pope on Knoll's label; vintners</t>
  </si>
  <si>
    <r>
      <t>St.Bris</t>
    </r>
    <r>
      <rPr>
        <sz val="7"/>
        <color theme="1" tint="0.14999847407452621"/>
        <rFont val="Noto Sans"/>
        <family val="2"/>
      </rPr>
      <t xml:space="preserve"> (aka St.Prix de Saints, Priscus, D.274)</t>
    </r>
  </si>
  <si>
    <t>Burgundy's Sauvignon Blanc AOC</t>
  </si>
  <si>
    <t>May.26</t>
  </si>
  <si>
    <r>
      <t xml:space="preserve">St.Maximin of Trier </t>
    </r>
    <r>
      <rPr>
        <sz val="7"/>
        <color theme="1" tint="0.14999847407452621"/>
        <rFont val="Noto Sans"/>
        <family val="2"/>
      </rPr>
      <t>(D.346, Poitiers)</t>
    </r>
  </si>
  <si>
    <t>Mosel vineyards</t>
  </si>
  <si>
    <t>May.29</t>
  </si>
  <si>
    <t>JUNE:</t>
  </si>
  <si>
    <r>
      <t>Cork day</t>
    </r>
    <r>
      <rPr>
        <sz val="7"/>
        <color theme="1" tint="0.14999847407452621"/>
        <rFont val="Noto Sans"/>
        <family val="2"/>
      </rPr>
      <t xml:space="preserve"> (Portugal)</t>
    </r>
  </si>
  <si>
    <t>Jun.01</t>
  </si>
  <si>
    <r>
      <t>Sant'Erasmo</t>
    </r>
    <r>
      <rPr>
        <sz val="7"/>
        <color theme="1" tint="0.14999847407452621"/>
        <rFont val="Noto Sans"/>
        <family val="2"/>
      </rPr>
      <t xml:space="preserve"> (aka St.Erasmus, St.Elmo) (D.303)</t>
    </r>
  </si>
  <si>
    <t>Orto bianco from Sant'Erasmo island, Venice</t>
  </si>
  <si>
    <t>Jun.02</t>
  </si>
  <si>
    <r>
      <t>St.Morand of Cluny</t>
    </r>
    <r>
      <rPr>
        <sz val="8"/>
        <color theme="1" tint="0.14999847407452621"/>
        <rFont val="Noto Sans"/>
        <family val="2"/>
      </rPr>
      <t xml:space="preserve"> </t>
    </r>
    <r>
      <rPr>
        <sz val="7"/>
        <color theme="1" tint="0.14999847407452621"/>
        <rFont val="Noto Sans"/>
        <family val="2"/>
      </rPr>
      <t>(D.115)</t>
    </r>
  </si>
  <si>
    <t>wine</t>
  </si>
  <si>
    <t>Jun.03</t>
  </si>
  <si>
    <r>
      <t>Cognac Day</t>
    </r>
    <r>
      <rPr>
        <sz val="7"/>
        <color theme="1" tint="0.14999847407452621"/>
        <rFont val="Noto Sans"/>
        <family val="2"/>
      </rPr>
      <t xml:space="preserve"> (USA)</t>
    </r>
  </si>
  <si>
    <t>Jun.04</t>
  </si>
  <si>
    <t>World Environment Day</t>
  </si>
  <si>
    <t>UN</t>
  </si>
  <si>
    <t>Jun.05</t>
  </si>
  <si>
    <t>WorldEnvironmentDay.global</t>
  </si>
  <si>
    <t>World Oceans Day</t>
  </si>
  <si>
    <t>Jun.08</t>
  </si>
  <si>
    <t>UNWorldOceansDay.org</t>
  </si>
  <si>
    <t>Beer Day Britain</t>
  </si>
  <si>
    <t>Jun.15</t>
  </si>
  <si>
    <t>BeerDayBritain.co.uk</t>
  </si>
  <si>
    <r>
      <t>St.Cyr</t>
    </r>
    <r>
      <rPr>
        <sz val="7"/>
        <color theme="1" tint="0.14999847407452621"/>
        <rFont val="Noto Sans"/>
        <family val="2"/>
      </rPr>
      <t xml:space="preserve"> (aka Cyricus, Quiricus, D.304, Turkey)</t>
    </r>
  </si>
  <si>
    <t>Mee Godard's Beaujolais Villages parcel</t>
  </si>
  <si>
    <t>Jun.16</t>
  </si>
  <si>
    <r>
      <rPr>
        <b/>
        <sz val="8"/>
        <color theme="1" tint="0.14999847407452621"/>
        <rFont val="Noto Sans"/>
        <family val="2"/>
      </rPr>
      <t xml:space="preserve">Clean Air Day </t>
    </r>
    <r>
      <rPr>
        <sz val="8"/>
        <color theme="1" tint="0.14999847407452621"/>
        <rFont val="Noto Sans"/>
        <family val="2"/>
      </rPr>
      <t>(UK)</t>
    </r>
  </si>
  <si>
    <t>3rd Thursday</t>
  </si>
  <si>
    <t>CleanAirDay.org.uk</t>
  </si>
  <si>
    <r>
      <t>Sustainable Gastronomy Day</t>
    </r>
    <r>
      <rPr>
        <sz val="7"/>
        <color theme="1" tint="0.14999847407452621"/>
        <rFont val="Noto Sans"/>
        <family val="2"/>
      </rPr>
      <t xml:space="preserve"> (launched 2016)</t>
    </r>
  </si>
  <si>
    <t>UNESCO, FAO, &amp; UNGA</t>
  </si>
  <si>
    <t>Jun.18</t>
  </si>
  <si>
    <t>International Sushi Day</t>
  </si>
  <si>
    <t>Chenin Blanc day</t>
  </si>
  <si>
    <t>Jun.20</t>
  </si>
  <si>
    <t>World Lambrusco Day</t>
  </si>
  <si>
    <t>Jun.21</t>
  </si>
  <si>
    <t>LambruscoFest.com</t>
  </si>
  <si>
    <t>Summer solstice, aka midsummer's day</t>
  </si>
  <si>
    <t>longest day of the year</t>
  </si>
  <si>
    <t>~Jun.22</t>
  </si>
  <si>
    <r>
      <t xml:space="preserve">St.Jean </t>
    </r>
    <r>
      <rPr>
        <sz val="6.5"/>
        <color theme="1" tint="0.14999847407452621"/>
        <rFont val="Noto Sans"/>
        <family val="2"/>
      </rPr>
      <t>(aka John The Baptist, D.~31/32)</t>
    </r>
  </si>
  <si>
    <t>Cahors cru by Famille Jouffreau</t>
  </si>
  <si>
    <t>Jun.24</t>
  </si>
  <si>
    <r>
      <t>St.Peray</t>
    </r>
    <r>
      <rPr>
        <sz val="7"/>
        <color theme="1" tint="0.14999847407452621"/>
        <rFont val="Noto Sans"/>
        <family val="2"/>
      </rPr>
      <t xml:space="preserve"> (aka Pierre, Peter, Petrus, 1 to 64/70)</t>
    </r>
  </si>
  <si>
    <t>North Rhone white AOC; fishermen</t>
  </si>
  <si>
    <t>Jun.29</t>
  </si>
  <si>
    <t>JULY:</t>
  </si>
  <si>
    <r>
      <t>St.Cibard</t>
    </r>
    <r>
      <rPr>
        <sz val="7"/>
        <color theme="1" tint="0.14999847407452621"/>
        <rFont val="Noto Sans"/>
        <family val="2"/>
      </rPr>
      <t xml:space="preserve"> (aka Cybard d'Angouleme, 504 to 581) </t>
    </r>
  </si>
  <si>
    <t>town in Francs Cote de Bordeaux AOC</t>
  </si>
  <si>
    <t>Jul.01</t>
  </si>
  <si>
    <t>International Day of Cooperatives</t>
  </si>
  <si>
    <t>Jul.03</t>
  </si>
  <si>
    <r>
      <t>St.Goar of Aquitaine</t>
    </r>
    <r>
      <rPr>
        <sz val="8"/>
        <color theme="1" tint="0.14999847407452621"/>
        <rFont val="Noto Sans"/>
        <family val="2"/>
      </rPr>
      <t xml:space="preserve"> </t>
    </r>
    <r>
      <rPr>
        <sz val="7"/>
        <color theme="1" tint="0.14999847407452621"/>
        <rFont val="Noto Sans"/>
        <family val="2"/>
      </rPr>
      <t>(585 to 6.7.649)</t>
    </r>
  </si>
  <si>
    <t>Bordeaux, vinegrowers, hoteliers</t>
  </si>
  <si>
    <t>Jul.06</t>
  </si>
  <si>
    <r>
      <t>Sta.Maddalena</t>
    </r>
    <r>
      <rPr>
        <sz val="7"/>
        <color theme="1" tint="0.14999847407452621"/>
        <rFont val="Noto Sans"/>
        <family val="2"/>
      </rPr>
      <t xml:space="preserve"> (i.e. Mary Magdaleine)</t>
    </r>
  </si>
  <si>
    <t>Nusserhof's Alto Adige site; women</t>
  </si>
  <si>
    <t>Jul.22</t>
  </si>
  <si>
    <r>
      <t xml:space="preserve">Magdalenenkreuz </t>
    </r>
    <r>
      <rPr>
        <sz val="7"/>
        <color theme="1" tint="0.14999847407452621"/>
        <rFont val="Noto Sans"/>
        <family val="2"/>
      </rPr>
      <t>(i.e. Mary Magdaleine)</t>
    </r>
  </si>
  <si>
    <t>Leitz' Rheingau cru; women</t>
  </si>
  <si>
    <r>
      <t>St.Jacques</t>
    </r>
    <r>
      <rPr>
        <sz val="7"/>
        <color theme="1" tint="0.14999847407452621"/>
        <rFont val="Noto Sans"/>
        <family val="2"/>
      </rPr>
      <t xml:space="preserve"> (aka James the Less, or Jacob)</t>
    </r>
  </si>
  <si>
    <t>Gevrey-Chambertin 1C vineyard in Burgundy; Spain</t>
  </si>
  <si>
    <t>Jul.25</t>
  </si>
  <si>
    <r>
      <t xml:space="preserve">St.Martha </t>
    </r>
    <r>
      <rPr>
        <sz val="7"/>
        <color theme="1" tint="0.14999847407452621"/>
        <rFont val="Noto Sans"/>
        <family val="2"/>
      </rPr>
      <t>(Palestine)</t>
    </r>
  </si>
  <si>
    <t>hoteliers, waitstaff</t>
  </si>
  <si>
    <t>Jul.29</t>
  </si>
  <si>
    <r>
      <t>St.Neot</t>
    </r>
    <r>
      <rPr>
        <sz val="7"/>
        <color theme="1" tint="0.14999847407452621"/>
        <rFont val="Noto Sans"/>
        <family val="2"/>
      </rPr>
      <t xml:space="preserve"> (D.877, UK)</t>
    </r>
  </si>
  <si>
    <t>fish</t>
  </si>
  <si>
    <t>Jul.31</t>
  </si>
  <si>
    <t>AUGUST:</t>
  </si>
  <si>
    <t>International Beer Day</t>
  </si>
  <si>
    <t>1st Friday</t>
  </si>
  <si>
    <t>InternationalBeerDay.com</t>
  </si>
  <si>
    <r>
      <t>St.Amour</t>
    </r>
    <r>
      <rPr>
        <sz val="7"/>
        <color theme="1" tint="0.14999847407452621"/>
        <rFont val="Noto Sans"/>
        <family val="2"/>
      </rPr>
      <t xml:space="preserve"> (8th century, Fr)</t>
    </r>
  </si>
  <si>
    <t>Beaujolais cru</t>
  </si>
  <si>
    <t>Aug.09</t>
  </si>
  <si>
    <r>
      <t>St.Laurent</t>
    </r>
    <r>
      <rPr>
        <sz val="7"/>
        <color theme="1" tint="0.14999847407452621"/>
        <rFont val="Noto Sans"/>
        <family val="2"/>
      </rPr>
      <t xml:space="preserve"> (aka Lawrence, 225-258, Rome, It)</t>
    </r>
  </si>
  <si>
    <t>Austrian red grape; Rome &amp; cooks</t>
  </si>
  <si>
    <t>Aug.10</t>
  </si>
  <si>
    <r>
      <t>San Lorenzo</t>
    </r>
    <r>
      <rPr>
        <sz val="7"/>
        <color theme="1" tint="0.14999847407452621"/>
        <rFont val="Noto Sans"/>
        <family val="2"/>
      </rPr>
      <t xml:space="preserve"> (aka Lawrence, 225-258, Rome, It)</t>
    </r>
  </si>
  <si>
    <t>Barolo cru; Abruzzo estate; Rome &amp; cooks</t>
  </si>
  <si>
    <r>
      <t>St.Hippolytus</t>
    </r>
    <r>
      <rPr>
        <sz val="7"/>
        <color theme="1" tint="0.14999847407452621"/>
        <rFont val="Noto Sans"/>
        <family val="2"/>
      </rPr>
      <t xml:space="preserve"> (aka Hippolyte, 170-235, Rome, It)</t>
    </r>
  </si>
  <si>
    <t>St.Emilion village; horses</t>
  </si>
  <si>
    <t>Aug.13</t>
  </si>
  <si>
    <r>
      <t>San Rocco</t>
    </r>
    <r>
      <rPr>
        <sz val="7"/>
        <color theme="1" tint="0.14999847407452621"/>
        <rFont val="Noto Sans"/>
        <family val="2"/>
      </rPr>
      <t xml:space="preserve"> (aka Roch, 1348-1370s)</t>
    </r>
  </si>
  <si>
    <t>barbera cru at Alba; dogs, epidemics, pilgrims, surgeons</t>
  </si>
  <si>
    <t>Aug.16</t>
  </si>
  <si>
    <t>International Pinot Noir Day</t>
  </si>
  <si>
    <t>Aug.18</t>
  </si>
  <si>
    <r>
      <t>St.Philibert</t>
    </r>
    <r>
      <rPr>
        <sz val="7"/>
        <color theme="1" tint="0.14999847407452621"/>
        <rFont val="Noto Sans"/>
        <family val="2"/>
      </rPr>
      <t xml:space="preserve"> (~608/618 to 684, Fr)</t>
    </r>
  </si>
  <si>
    <t>monopole vineyard of Méo-Camuzet, Burgundy</t>
  </si>
  <si>
    <t>Aug.20</t>
  </si>
  <si>
    <r>
      <t>St.Genes</t>
    </r>
    <r>
      <rPr>
        <sz val="7"/>
        <color theme="1" tint="0.14999847407452621"/>
        <rFont val="Noto Sans"/>
        <family val="2"/>
      </rPr>
      <t xml:space="preserve"> (aka Genesius d'Arles, D.303/308, Fr)</t>
    </r>
  </si>
  <si>
    <t>St.Genes de Castillon (Clos Louie); notaries &amp; secretaries</t>
  </si>
  <si>
    <t>Aug.25</t>
  </si>
  <si>
    <t>SEPTEMBER:</t>
  </si>
  <si>
    <r>
      <t>Organic September</t>
    </r>
    <r>
      <rPr>
        <sz val="7"/>
        <color theme="1" tint="0.14999847407452621"/>
        <rFont val="Noto Sans"/>
        <family val="2"/>
      </rPr>
      <t xml:space="preserve"> (UK)</t>
    </r>
  </si>
  <si>
    <t>September</t>
  </si>
  <si>
    <t>International Cabernet Sauvignon Day</t>
  </si>
  <si>
    <t>Sep.02</t>
  </si>
  <si>
    <r>
      <t xml:space="preserve">St.Just </t>
    </r>
    <r>
      <rPr>
        <sz val="7"/>
        <color theme="1" tint="0.14999847407452621"/>
        <rFont val="Noto Sans"/>
        <family val="2"/>
      </rPr>
      <t>(aka Justus of Lyon, C.4th, Fr)</t>
    </r>
  </si>
  <si>
    <t>Saumur domaine, Loire</t>
  </si>
  <si>
    <t>International Day of Clean Air for Blue Skies</t>
  </si>
  <si>
    <t>Sep.07</t>
  </si>
  <si>
    <r>
      <rPr>
        <b/>
        <sz val="8"/>
        <color theme="1" tint="0.14999847407452621"/>
        <rFont val="Noto Sans"/>
        <family val="2"/>
      </rPr>
      <t>St.Kerran</t>
    </r>
    <r>
      <rPr>
        <sz val="7"/>
        <color theme="1" tint="0.14999847407452621"/>
        <rFont val="Noto Sans"/>
        <family val="2"/>
      </rPr>
      <t xml:space="preserve"> (aka Chiarain, Eire&amp;Scotland, D.548)</t>
    </r>
  </si>
  <si>
    <t>Kilkerran malt, Campbelton</t>
  </si>
  <si>
    <t>Sep.09</t>
  </si>
  <si>
    <r>
      <t xml:space="preserve">Sta.Cruz </t>
    </r>
    <r>
      <rPr>
        <sz val="7"/>
        <color theme="1" tint="0.14999847407452621"/>
        <rFont val="Noto Sans"/>
        <family val="2"/>
      </rPr>
      <t>(aka Holy Cross, Ste.Croix)</t>
    </r>
  </si>
  <si>
    <t>Artadi's Navarra grenache</t>
  </si>
  <si>
    <t>Sep.14</t>
  </si>
  <si>
    <t>International Grenache Day</t>
  </si>
  <si>
    <t>3rd Friday</t>
  </si>
  <si>
    <t>Autumn equinox</t>
  </si>
  <si>
    <t>~Sep.22</t>
  </si>
  <si>
    <t>Autumn / moon festival (Asia)</t>
  </si>
  <si>
    <t>Sep.22</t>
  </si>
  <si>
    <t>International Organic Day</t>
  </si>
  <si>
    <t>St.Michael (Archangel)</t>
  </si>
  <si>
    <t>La Marca di San Michele, winery in Marche; also Jews &amp; Catholics</t>
  </si>
  <si>
    <t>Sep.29</t>
  </si>
  <si>
    <t>(aka Michaelmas)</t>
  </si>
  <si>
    <t>St.Gabriel (Archangel)</t>
  </si>
  <si>
    <t>Portugal</t>
  </si>
  <si>
    <t>OCTOBER:</t>
  </si>
  <si>
    <t>Fungus Day (UK)</t>
  </si>
  <si>
    <t>1st Sat.</t>
  </si>
  <si>
    <t>UKFungusDay.co.uk</t>
  </si>
  <si>
    <t>International Pinotage Day</t>
  </si>
  <si>
    <t>2nd Saturday</t>
  </si>
  <si>
    <t>Pinotage.co.za</t>
  </si>
  <si>
    <r>
      <t>St.Denis</t>
    </r>
    <r>
      <rPr>
        <sz val="7"/>
        <color theme="1" tint="0.14999847407452621"/>
        <rFont val="Noto Sans"/>
        <family val="2"/>
      </rPr>
      <t xml:space="preserve"> (aka Dionysius, Dennis. D.250-270, Fr)</t>
    </r>
  </si>
  <si>
    <t>Morey-St.Denis village &amp; Clos St.Denis GC, Burgundy; Paris</t>
  </si>
  <si>
    <t>Oct.09</t>
  </si>
  <si>
    <r>
      <t>World Food Day</t>
    </r>
    <r>
      <rPr>
        <sz val="7"/>
        <color theme="1" tint="0.14999847407452621"/>
        <rFont val="Noto Sans"/>
        <family val="2"/>
      </rPr>
      <t xml:space="preserve"> (founded 1982)</t>
    </r>
  </si>
  <si>
    <t>Oct.16</t>
  </si>
  <si>
    <t>FAO.org</t>
  </si>
  <si>
    <r>
      <t>St.Véran</t>
    </r>
    <r>
      <rPr>
        <b/>
        <sz val="7"/>
        <color theme="1" tint="0.14999847407452621"/>
        <rFont val="Noto Sans"/>
        <family val="2"/>
      </rPr>
      <t xml:space="preserve"> </t>
    </r>
    <r>
      <rPr>
        <sz val="7"/>
        <color theme="1" tint="0.14999847407452621"/>
        <rFont val="Noto Sans"/>
        <family val="2"/>
      </rPr>
      <t xml:space="preserve">(aka Vérand, Veranus, Uranus. D.589) </t>
    </r>
  </si>
  <si>
    <t>white wine in Maconnais, Burgundy</t>
  </si>
  <si>
    <t>Oct.19</t>
  </si>
  <si>
    <r>
      <t xml:space="preserve">St.Seurin </t>
    </r>
    <r>
      <rPr>
        <sz val="7"/>
        <color theme="1" tint="0.14999847407452621"/>
        <rFont val="Noto Sans"/>
        <family val="2"/>
      </rPr>
      <t xml:space="preserve">(aka Severinus; D.420) </t>
    </r>
  </si>
  <si>
    <t>village of Sociando Mallet; Bordeaux</t>
  </si>
  <si>
    <t>Oct.21</t>
  </si>
  <si>
    <r>
      <t>Apple Day, UK</t>
    </r>
    <r>
      <rPr>
        <sz val="7"/>
        <color theme="1" tint="0.14999847407452621"/>
        <rFont val="Noto Sans"/>
        <family val="2"/>
      </rPr>
      <t xml:space="preserve"> (founded 1990)</t>
    </r>
  </si>
  <si>
    <t>CommonGround.org.uk</t>
  </si>
  <si>
    <r>
      <t>St.Romain</t>
    </r>
    <r>
      <rPr>
        <b/>
        <sz val="7"/>
        <color theme="1" tint="0.14999847407452621"/>
        <rFont val="Noto Sans"/>
        <family val="2"/>
      </rPr>
      <t xml:space="preserve"> </t>
    </r>
    <r>
      <rPr>
        <sz val="7"/>
        <color theme="1" tint="0.14999847407452621"/>
        <rFont val="Noto Sans"/>
        <family val="2"/>
      </rPr>
      <t>(aka Romanus, D.639, Fr)</t>
    </r>
  </si>
  <si>
    <t>village in Burgundy</t>
  </si>
  <si>
    <t>Oct.23</t>
  </si>
  <si>
    <t>World Champagne Day</t>
  </si>
  <si>
    <t>International Carignan Day</t>
  </si>
  <si>
    <t>Oct.31</t>
  </si>
  <si>
    <t>NOVEMBER:</t>
  </si>
  <si>
    <r>
      <t>International Xinomavro Day</t>
    </r>
    <r>
      <rPr>
        <sz val="7"/>
        <color theme="1" tint="0.14999847407452621"/>
        <rFont val="Noto Sans"/>
        <family val="2"/>
      </rPr>
      <t>(!)</t>
    </r>
  </si>
  <si>
    <t>Nov.01</t>
  </si>
  <si>
    <t>WinesOfGreece.org</t>
  </si>
  <si>
    <r>
      <t>All Saints Day</t>
    </r>
    <r>
      <rPr>
        <sz val="7"/>
        <color theme="1" tint="0.14999847407452621"/>
        <rFont val="Noto Sans"/>
        <family val="2"/>
      </rPr>
      <t xml:space="preserve"> (aka Toussaints)</t>
    </r>
  </si>
  <si>
    <t>All Souls Day</t>
  </si>
  <si>
    <t>day of the dead</t>
  </si>
  <si>
    <t>Nov.02</t>
  </si>
  <si>
    <r>
      <t xml:space="preserve">St.Mathurnin </t>
    </r>
    <r>
      <rPr>
        <sz val="7"/>
        <color theme="1" tint="0.14999847407452621"/>
        <rFont val="Noto Sans"/>
        <family val="2"/>
      </rPr>
      <t>(i.e.Maturinus, D.~300)</t>
    </r>
  </si>
  <si>
    <t>Pichot's vineyard for Vouvray Brut</t>
  </si>
  <si>
    <t>International Merlot Day</t>
  </si>
  <si>
    <t>Nov.07</t>
  </si>
  <si>
    <r>
      <t>International Tempranillo Day</t>
    </r>
    <r>
      <rPr>
        <sz val="7"/>
        <color theme="1" tint="0.14999847407452621"/>
        <rFont val="Noto Sans"/>
        <family val="2"/>
      </rPr>
      <t xml:space="preserve"> (founded 2011)</t>
    </r>
  </si>
  <si>
    <t>2nd Thursday</t>
  </si>
  <si>
    <r>
      <t>St.Martin of Tours</t>
    </r>
    <r>
      <rPr>
        <sz val="8"/>
        <color theme="1" tint="0.14999847407452621"/>
        <rFont val="Noto Sans"/>
        <family val="2"/>
      </rPr>
      <t xml:space="preserve"> </t>
    </r>
    <r>
      <rPr>
        <sz val="7"/>
        <color theme="1" tint="0.14999847407452621"/>
        <rFont val="Noto Sans"/>
        <family val="2"/>
      </rPr>
      <t>(316 or 336 to 397)</t>
    </r>
  </si>
  <si>
    <t>wine, Vintners Co., France, hoteliers, geese, Burgenland, etc.</t>
  </si>
  <si>
    <t>Nov.11</t>
  </si>
  <si>
    <r>
      <t>St.Emilion</t>
    </r>
    <r>
      <rPr>
        <sz val="7"/>
        <color theme="1" tint="0.14999847407452621"/>
        <rFont val="Noto Sans"/>
        <family val="2"/>
      </rPr>
      <t xml:space="preserve"> (aka Emilian, Emilianus, D.767)</t>
    </r>
  </si>
  <si>
    <t>Bordeaux Right Bank AOC; vintners</t>
  </si>
  <si>
    <t>Nov.16</t>
  </si>
  <si>
    <r>
      <t>St.Elizabeth of Hungary</t>
    </r>
    <r>
      <rPr>
        <sz val="8"/>
        <color theme="1" tint="0.14999847407452621"/>
        <rFont val="Noto Sans"/>
        <family val="2"/>
      </rPr>
      <t xml:space="preserve"> </t>
    </r>
    <r>
      <rPr>
        <sz val="7"/>
        <color theme="1" tint="0.14999847407452621"/>
        <rFont val="Noto Sans"/>
        <family val="2"/>
      </rPr>
      <t>(1207 to 17.11.1231)</t>
    </r>
  </si>
  <si>
    <t>baking</t>
  </si>
  <si>
    <t>Nov.17</t>
  </si>
  <si>
    <r>
      <t>St.Chinian</t>
    </r>
    <r>
      <rPr>
        <sz val="7"/>
        <color theme="1" tint="0.14999847407452621"/>
        <rFont val="Noto Sans"/>
        <family val="2"/>
      </rPr>
      <t xml:space="preserve"> (aka Aignan, C.8th, Fr) </t>
    </r>
  </si>
  <si>
    <t>Languedoc AOC; courage, resistance &amp; faith</t>
  </si>
  <si>
    <r>
      <t>International Carménère Day</t>
    </r>
    <r>
      <rPr>
        <sz val="7"/>
        <color theme="1" tint="0.14999847407452621"/>
        <rFont val="Noto Sans"/>
        <family val="2"/>
      </rPr>
      <t xml:space="preserve"> (2014)</t>
    </r>
  </si>
  <si>
    <t>Nov.24</t>
  </si>
  <si>
    <r>
      <t xml:space="preserve">Beaujolais </t>
    </r>
    <r>
      <rPr>
        <sz val="8"/>
        <color theme="1" tint="0.14999847407452621"/>
        <rFont val="Noto Sans"/>
        <family val="2"/>
      </rPr>
      <t>(Nouveau)</t>
    </r>
    <r>
      <rPr>
        <b/>
        <sz val="8"/>
        <color theme="1" tint="0.14999847407452621"/>
        <rFont val="Noto Sans"/>
        <family val="2"/>
      </rPr>
      <t xml:space="preserve"> Day</t>
    </r>
  </si>
  <si>
    <t>BeaujolaisNouveauDay.com</t>
  </si>
  <si>
    <r>
      <t>National Tree Week</t>
    </r>
    <r>
      <rPr>
        <sz val="7"/>
        <color theme="1" tint="0.14999847407452621"/>
        <rFont val="Noto Sans"/>
        <family val="2"/>
      </rPr>
      <t xml:space="preserve"> (UK)</t>
    </r>
  </si>
  <si>
    <t>last week</t>
  </si>
  <si>
    <t>TreeCouncil.org.uk</t>
  </si>
  <si>
    <t>DECEMBER:</t>
  </si>
  <si>
    <r>
      <t>St.Bibiana</t>
    </r>
    <r>
      <rPr>
        <sz val="7"/>
        <color theme="1" tint="0.14999847407452621"/>
        <rFont val="Noto Sans"/>
        <family val="2"/>
      </rPr>
      <t xml:space="preserve"> (aka Vivian, Viviana. D.460)</t>
    </r>
  </si>
  <si>
    <t>hangovers, etc.</t>
  </si>
  <si>
    <t>Dec.02</t>
  </si>
  <si>
    <t>International Cabernet Franc Day</t>
  </si>
  <si>
    <t>Dec.04</t>
  </si>
  <si>
    <t>World Soil Day</t>
  </si>
  <si>
    <t>Dec.05</t>
  </si>
  <si>
    <r>
      <t>St.Ambrose</t>
    </r>
    <r>
      <rPr>
        <sz val="8"/>
        <color theme="1" tint="0.14999847407452621"/>
        <rFont val="Noto Sans"/>
        <family val="2"/>
      </rPr>
      <t xml:space="preserve"> </t>
    </r>
    <r>
      <rPr>
        <sz val="7"/>
        <color theme="1" tint="0.14999847407452621"/>
        <rFont val="Noto Sans"/>
        <family val="2"/>
      </rPr>
      <t>(C.4th, Trier, De)</t>
    </r>
  </si>
  <si>
    <t>beekeepers, geese</t>
  </si>
  <si>
    <t>Dec.07</t>
  </si>
  <si>
    <r>
      <t xml:space="preserve">Terra Madre Day </t>
    </r>
    <r>
      <rPr>
        <sz val="7"/>
        <color theme="1" tint="0.14999847407452621"/>
        <rFont val="Noto Sans"/>
        <family val="2"/>
      </rPr>
      <t>(Slow Food, It)</t>
    </r>
  </si>
  <si>
    <t>Dec.10</t>
  </si>
  <si>
    <t>SlowFood.com</t>
  </si>
  <si>
    <t>Winter solstice, aka midwinter</t>
  </si>
  <si>
    <t>shortest day of the year</t>
  </si>
  <si>
    <t>~Dec.22</t>
  </si>
  <si>
    <t>Dec.25</t>
  </si>
  <si>
    <t>Christmas day</t>
  </si>
  <si>
    <r>
      <t>St.Estephe</t>
    </r>
    <r>
      <rPr>
        <sz val="7"/>
        <color theme="1" tint="0.14999847407452621"/>
        <rFont val="Noto Sans"/>
        <family val="2"/>
      </rPr>
      <t xml:space="preserve"> (aka Etienne, Stephen etc. D.34)</t>
    </r>
  </si>
  <si>
    <t>Bordeaux Left-Bank AOC; vineyards</t>
  </si>
  <si>
    <t>Dec.26</t>
  </si>
  <si>
    <r>
      <t>San Giovanni</t>
    </r>
    <r>
      <rPr>
        <sz val="7"/>
        <color theme="1" tint="0.14999847407452621"/>
        <rFont val="Noto Sans"/>
        <family val="2"/>
      </rPr>
      <t xml:space="preserve"> </t>
    </r>
    <r>
      <rPr>
        <sz val="6.5"/>
        <color theme="1" tint="0.14999847407452621"/>
        <rFont val="Noto Sans"/>
        <family val="2"/>
      </rPr>
      <t>(aka John The Apostle, 15-100AD)</t>
    </r>
  </si>
  <si>
    <t>Piglio wine by Costa Graia/Abbia Nova</t>
  </si>
  <si>
    <t>Dec.27</t>
  </si>
  <si>
    <t>New Year's Eve'</t>
  </si>
  <si>
    <t>Dec.31</t>
  </si>
  <si>
    <t>Chinese Zodiac Vintages:</t>
  </si>
  <si>
    <t>CHINESE ZODIAC ANIMAL SIGN:</t>
  </si>
  <si>
    <t>BIRTH YEARS:</t>
  </si>
  <si>
    <t>Rat</t>
  </si>
  <si>
    <r>
      <t xml:space="preserve">1900, 1912, 1924, 1936, 1948, 1960, 1972, 1984, </t>
    </r>
    <r>
      <rPr>
        <b/>
        <sz val="7.5"/>
        <rFont val="Noto Sans"/>
        <family val="2"/>
      </rPr>
      <t>1996, 2008,</t>
    </r>
    <r>
      <rPr>
        <sz val="7.5"/>
        <rFont val="Noto Sans"/>
        <family val="2"/>
      </rPr>
      <t xml:space="preserve"> 2020, 2032 …</t>
    </r>
  </si>
  <si>
    <t>Ox</t>
  </si>
  <si>
    <r>
      <t xml:space="preserve">1901, 1913, 1925, 1937, 1949, 1961, 1973, 1985, </t>
    </r>
    <r>
      <rPr>
        <b/>
        <sz val="7.5"/>
        <rFont val="Noto Sans"/>
        <family val="2"/>
      </rPr>
      <t>1997, 2009,</t>
    </r>
    <r>
      <rPr>
        <sz val="7.5"/>
        <rFont val="Noto Sans"/>
        <family val="2"/>
      </rPr>
      <t xml:space="preserve"> 2021, 2033 …</t>
    </r>
  </si>
  <si>
    <t>Tiger</t>
  </si>
  <si>
    <r>
      <t>1902, 1914, 1926, 1938, 1950, 1962, 1974, 1986,</t>
    </r>
    <r>
      <rPr>
        <b/>
        <sz val="7.5"/>
        <rFont val="Noto Sans"/>
        <family val="2"/>
      </rPr>
      <t xml:space="preserve"> 1998, 2010,</t>
    </r>
    <r>
      <rPr>
        <sz val="7.5"/>
        <rFont val="Noto Sans"/>
        <family val="2"/>
      </rPr>
      <t xml:space="preserve"> 2022, 2034 …</t>
    </r>
  </si>
  <si>
    <t>Rabbit</t>
  </si>
  <si>
    <r>
      <t xml:space="preserve">1903, 1915, 1927, 1939, 1951, 1963, 1975, 1987, </t>
    </r>
    <r>
      <rPr>
        <b/>
        <sz val="7.5"/>
        <rFont val="Noto Sans"/>
        <family val="2"/>
      </rPr>
      <t>1999, 2011,</t>
    </r>
    <r>
      <rPr>
        <sz val="7.5"/>
        <rFont val="Noto Sans"/>
        <family val="2"/>
      </rPr>
      <t xml:space="preserve"> 2023, 2035 ...</t>
    </r>
  </si>
  <si>
    <t>Dragon</t>
  </si>
  <si>
    <r>
      <t xml:space="preserve">1904, 1916, 1928, 1940, 1952, 1964, 1976, 1988, </t>
    </r>
    <r>
      <rPr>
        <b/>
        <sz val="7.5"/>
        <rFont val="Noto Sans"/>
        <family val="2"/>
      </rPr>
      <t>2000, 2012,</t>
    </r>
    <r>
      <rPr>
        <sz val="7.5"/>
        <rFont val="Noto Sans"/>
        <family val="2"/>
      </rPr>
      <t xml:space="preserve"> 2024, 2036 …</t>
    </r>
  </si>
  <si>
    <t>Snake</t>
  </si>
  <si>
    <r>
      <t xml:space="preserve">1905, 1917, 1929, 1941, 1953, 1965, 1977, 1989, </t>
    </r>
    <r>
      <rPr>
        <b/>
        <sz val="7.5"/>
        <rFont val="Noto Sans"/>
        <family val="2"/>
      </rPr>
      <t>2001, 2013,</t>
    </r>
    <r>
      <rPr>
        <sz val="7.5"/>
        <rFont val="Noto Sans"/>
        <family val="2"/>
      </rPr>
      <t xml:space="preserve"> 2025, 2037 …</t>
    </r>
  </si>
  <si>
    <t>Horse</t>
  </si>
  <si>
    <r>
      <t xml:space="preserve">1906, 1918, 1930, 1942, 1954, 1966, 1978, 1990, </t>
    </r>
    <r>
      <rPr>
        <b/>
        <sz val="7.5"/>
        <rFont val="Noto Sans"/>
        <family val="2"/>
      </rPr>
      <t>2002, 2014,</t>
    </r>
    <r>
      <rPr>
        <sz val="7.5"/>
        <rFont val="Noto Sans"/>
        <family val="2"/>
      </rPr>
      <t xml:space="preserve"> 2026, 2038 …</t>
    </r>
  </si>
  <si>
    <t>Goat</t>
  </si>
  <si>
    <r>
      <t xml:space="preserve">1907, 1919, 1931, 1943, 1955, 1967, 1979, 1991, </t>
    </r>
    <r>
      <rPr>
        <b/>
        <sz val="7.5"/>
        <rFont val="Noto Sans"/>
        <family val="2"/>
      </rPr>
      <t>2003, 2015,</t>
    </r>
    <r>
      <rPr>
        <sz val="7.5"/>
        <rFont val="Noto Sans"/>
        <family val="2"/>
      </rPr>
      <t xml:space="preserve"> 2027, 2039 …</t>
    </r>
  </si>
  <si>
    <t>Monkey</t>
  </si>
  <si>
    <r>
      <t xml:space="preserve">1908, 1920, 1932, 1944, 1956, 1968, 1980, 1992, </t>
    </r>
    <r>
      <rPr>
        <b/>
        <sz val="7.5"/>
        <rFont val="Noto Sans"/>
        <family val="2"/>
      </rPr>
      <t>2004, 2016,</t>
    </r>
    <r>
      <rPr>
        <sz val="7.5"/>
        <rFont val="Noto Sans"/>
        <family val="2"/>
      </rPr>
      <t xml:space="preserve"> 2028, 2040 …</t>
    </r>
  </si>
  <si>
    <t>Rooster</t>
  </si>
  <si>
    <r>
      <t xml:space="preserve">1909, 1921, 1933, 1945, 1957, 1969, 1981, 1993, </t>
    </r>
    <r>
      <rPr>
        <b/>
        <sz val="7.5"/>
        <rFont val="Noto Sans"/>
        <family val="2"/>
      </rPr>
      <t>2005, 2017,</t>
    </r>
    <r>
      <rPr>
        <sz val="7.5"/>
        <rFont val="Noto Sans"/>
        <family val="2"/>
      </rPr>
      <t xml:space="preserve"> 2029, 2041 …</t>
    </r>
  </si>
  <si>
    <t>Dog</t>
  </si>
  <si>
    <r>
      <t xml:space="preserve">1910, 1922, 1934, 1946, 1958, 1970, 1982, 1994, </t>
    </r>
    <r>
      <rPr>
        <b/>
        <sz val="7.5"/>
        <rFont val="Noto Sans"/>
        <family val="2"/>
      </rPr>
      <t>2006, 2018,</t>
    </r>
    <r>
      <rPr>
        <sz val="7.5"/>
        <rFont val="Noto Sans"/>
        <family val="2"/>
      </rPr>
      <t xml:space="preserve"> 2030, 2042 …</t>
    </r>
  </si>
  <si>
    <t>Pig</t>
  </si>
  <si>
    <r>
      <t>1911, 1923, 1935, 1947, 1959, 1971, 1983, 1995,</t>
    </r>
    <r>
      <rPr>
        <b/>
        <sz val="7.5"/>
        <rFont val="Noto Sans"/>
        <family val="2"/>
      </rPr>
      <t xml:space="preserve"> 2007, 2019, </t>
    </r>
    <r>
      <rPr>
        <sz val="7.5"/>
        <rFont val="Noto Sans"/>
        <family val="2"/>
      </rPr>
      <t>2031, 2043 …</t>
    </r>
  </si>
  <si>
    <t>French appellation big birthdays:</t>
  </si>
  <si>
    <t>Starting with France, this is a quick look at the date of inception of some of the main modern AOCs / DOPs that we often encounter.</t>
  </si>
  <si>
    <t xml:space="preserve">Baron Pierre Le Roy of Chateau Fortia created Chateauneuf in 1923 with other growers, then went on to create the INAO, which manages </t>
  </si>
  <si>
    <t>AOCs since 1935. Many important AOCs were created in 1936 &amp; 1937, which means that in 2036 &amp; 2037 there are going to be some very big</t>
  </si>
  <si>
    <t>centenary parties indeed. Spain (1926 with Rioja, the first DO) and Italy (1963) followed suit. Interestingly, quite a swathe of Burgundy AOCs</t>
  </si>
  <si>
    <t xml:space="preserve">came later in 1970. </t>
  </si>
  <si>
    <t>AOC, (YEAR CREATED):</t>
  </si>
  <si>
    <t>NEXT BIG CELEBRATION YEARS:</t>
  </si>
  <si>
    <t>AOC URL:</t>
  </si>
  <si>
    <r>
      <t>Coteaux Champenois</t>
    </r>
    <r>
      <rPr>
        <sz val="8"/>
        <color theme="1" tint="0.14999847407452621"/>
        <rFont val="Noto Sans"/>
        <family val="2"/>
      </rPr>
      <t xml:space="preserve"> (1974)</t>
    </r>
  </si>
  <si>
    <t>2024 - 50th birthday</t>
  </si>
  <si>
    <t>www.champagne.fr</t>
  </si>
  <si>
    <r>
      <t>Irancy</t>
    </r>
    <r>
      <rPr>
        <sz val="8"/>
        <color theme="1" tint="0.14999847407452621"/>
        <rFont val="Noto Sans"/>
        <family val="2"/>
      </rPr>
      <t xml:space="preserve"> (1999)(ex-Bourgogne-Irancy)</t>
    </r>
  </si>
  <si>
    <t xml:space="preserve">2024 - 25th birthday </t>
  </si>
  <si>
    <t>www.bourgogne-wines.com</t>
  </si>
  <si>
    <r>
      <t>Viré-Clessé</t>
    </r>
    <r>
      <rPr>
        <sz val="8"/>
        <color theme="1" tint="0.14999847407452621"/>
        <rFont val="Noto Sans"/>
        <family val="2"/>
      </rPr>
      <t xml:space="preserve"> (1999)</t>
    </r>
  </si>
  <si>
    <t>2024 - 25th birthday</t>
  </si>
  <si>
    <r>
      <t xml:space="preserve">Alsace Grand Cru </t>
    </r>
    <r>
      <rPr>
        <sz val="8"/>
        <color theme="1" tint="0.14999847407452621"/>
        <rFont val="Noto Sans"/>
        <family val="2"/>
      </rPr>
      <t>(1975)</t>
    </r>
  </si>
  <si>
    <t>2025 - 50th birthday</t>
  </si>
  <si>
    <t>www.vinsalsace.com</t>
  </si>
  <si>
    <r>
      <t xml:space="preserve">Cremant de Bourgogne </t>
    </r>
    <r>
      <rPr>
        <sz val="8"/>
        <color theme="1" tint="0.14999847407452621"/>
        <rFont val="Noto Sans"/>
        <family val="2"/>
      </rPr>
      <t>(1975)</t>
    </r>
  </si>
  <si>
    <r>
      <t>Cremant de Loire</t>
    </r>
    <r>
      <rPr>
        <sz val="8"/>
        <color theme="1" tint="0.14999847407452621"/>
        <rFont val="Noto Sans"/>
        <family val="2"/>
      </rPr>
      <t xml:space="preserve"> (1975)</t>
    </r>
  </si>
  <si>
    <t>www.vinsvaldeloire.fr</t>
  </si>
  <si>
    <r>
      <t>Cotes du Roussillon(-Villages)</t>
    </r>
    <r>
      <rPr>
        <sz val="8"/>
        <color theme="1" tint="0.14999847407452621"/>
        <rFont val="Noto Sans"/>
        <family val="2"/>
      </rPr>
      <t>(1977)</t>
    </r>
  </si>
  <si>
    <t>2027 - 50th birthday</t>
  </si>
  <si>
    <t>www.vignobles-occitanie.fr</t>
  </si>
  <si>
    <r>
      <t>Saint Bris</t>
    </r>
    <r>
      <rPr>
        <sz val="8"/>
        <color theme="1" tint="0.14999847407452621"/>
        <rFont val="Noto Sans"/>
        <family val="2"/>
      </rPr>
      <t xml:space="preserve"> (2003)</t>
    </r>
  </si>
  <si>
    <t>2028 - 25th birthday</t>
  </si>
  <si>
    <r>
      <t xml:space="preserve">Clos des Lambrays GC </t>
    </r>
    <r>
      <rPr>
        <sz val="8"/>
        <color theme="1" tint="0.14999847407452621"/>
        <rFont val="Noto Sans"/>
        <family val="2"/>
      </rPr>
      <t>(1981)</t>
    </r>
  </si>
  <si>
    <t>2031 - 50th birthday</t>
  </si>
  <si>
    <r>
      <t xml:space="preserve">Faugeres </t>
    </r>
    <r>
      <rPr>
        <sz val="8"/>
        <color theme="1" tint="0.14999847407452621"/>
        <rFont val="Noto Sans"/>
        <family val="2"/>
      </rPr>
      <t>(1982)</t>
    </r>
  </si>
  <si>
    <t>2032 - 50th birthday</t>
  </si>
  <si>
    <t>www.faugeres.com</t>
  </si>
  <si>
    <r>
      <t>Saint Chinian</t>
    </r>
    <r>
      <rPr>
        <sz val="8"/>
        <color theme="1" tint="0.14999847407452621"/>
        <rFont val="Noto Sans"/>
        <family val="2"/>
      </rPr>
      <t xml:space="preserve"> (1982)</t>
    </r>
  </si>
  <si>
    <t>Grower groups:</t>
  </si>
  <si>
    <t>VIGNERONS d'EUROPE</t>
  </si>
  <si>
    <t>11 point pan-European manifesto</t>
  </si>
  <si>
    <t>P.V.N.</t>
  </si>
  <si>
    <t>Spanish counterpart to the AVN of France</t>
  </si>
  <si>
    <t>vinosnaturales.wordpress.com</t>
  </si>
  <si>
    <t>agricultural transparency + no additve winemaking</t>
  </si>
  <si>
    <t>RAW</t>
  </si>
  <si>
    <t>annual tasting in various international cities + ethical charter</t>
  </si>
  <si>
    <t>RAWFair.com</t>
  </si>
  <si>
    <t>founded &amp; organised by Isabelle Legeron MW &amp; Deborah Lambert</t>
  </si>
  <si>
    <t>RAWWine.com</t>
  </si>
  <si>
    <t>RENAISSANCE-</t>
  </si>
  <si>
    <t xml:space="preserve">aka Return to Terroir. biodynamic farming w.certification </t>
  </si>
  <si>
    <t>DES APPELLATIONS</t>
  </si>
  <si>
    <t>multitple tastings + ethical charter</t>
  </si>
  <si>
    <t>Renaissance-des-Appellations.com</t>
  </si>
  <si>
    <t>VINI VERI</t>
  </si>
  <si>
    <t>annual tasting + ethical charter</t>
  </si>
  <si>
    <t xml:space="preserve">ViniVeri.net </t>
  </si>
  <si>
    <t>VINS SAINS</t>
  </si>
  <si>
    <t>Vins SAINS = Sans Aucun Intrant Ni Sulfite</t>
  </si>
  <si>
    <t>Vins-SAINS.org</t>
  </si>
  <si>
    <t>farming without chemicals, w. or without certification</t>
  </si>
  <si>
    <t>winemaking without additives. Ethical charter</t>
  </si>
  <si>
    <t>VIN NATUR</t>
  </si>
  <si>
    <t>VinNatur.org</t>
  </si>
  <si>
    <t>Re publications' terminology</t>
  </si>
  <si>
    <t>SLOW WINE GUIDE:</t>
  </si>
  <si>
    <t>Symbol awarded to a winery that we particularly like for the way it interprets Slow Food values</t>
  </si>
  <si>
    <t>(sensory perceptions, territory, environment, identity) and also offers good value for money.</t>
  </si>
  <si>
    <t>snail / chiocciola</t>
  </si>
  <si>
    <t>Symbol awarded to a winery whose bottles present excellent quality at our tastings</t>
  </si>
  <si>
    <t>bottle</t>
  </si>
  <si>
    <t>BETTANE+DESSEAUVE 2016:</t>
  </si>
  <si>
    <t>BettaneDesseauve.com</t>
  </si>
  <si>
    <t xml:space="preserve">the notation on producers  signals: </t>
  </si>
  <si>
    <r>
      <t>5</t>
    </r>
    <r>
      <rPr>
        <b/>
        <sz val="12"/>
        <color theme="1" tint="0.14999847407452621"/>
        <rFont val="Noto Sans"/>
        <family val="2"/>
      </rPr>
      <t>*</t>
    </r>
    <r>
      <rPr>
        <b/>
        <sz val="8"/>
        <color theme="1" tint="0.14999847407452621"/>
        <rFont val="Noto Sans"/>
        <family val="2"/>
      </rPr>
      <t xml:space="preserve"> b+d</t>
    </r>
  </si>
  <si>
    <t>Exceptional producers, those which represent the absolute summit of quality in France and in the world.</t>
  </si>
  <si>
    <r>
      <t>4</t>
    </r>
    <r>
      <rPr>
        <b/>
        <sz val="12"/>
        <color theme="1" tint="0.14999847407452621"/>
        <rFont val="Noto Sans"/>
        <family val="2"/>
      </rPr>
      <t xml:space="preserve">* </t>
    </r>
    <r>
      <rPr>
        <b/>
        <sz val="8"/>
        <color theme="1" tint="0.14999847407452621"/>
        <rFont val="Noto Sans"/>
        <family val="2"/>
      </rPr>
      <t>b+d</t>
    </r>
  </si>
  <si>
    <t>Producers of very high quality, those which are the glories of the French vineyard estate.</t>
  </si>
  <si>
    <r>
      <t>3</t>
    </r>
    <r>
      <rPr>
        <b/>
        <sz val="12"/>
        <color theme="1" tint="0.14999847407452621"/>
        <rFont val="Noto Sans"/>
        <family val="2"/>
      </rPr>
      <t>*</t>
    </r>
    <r>
      <rPr>
        <b/>
        <sz val="8"/>
        <color theme="1" tint="0.14999847407452621"/>
        <rFont val="Noto Sans"/>
        <family val="2"/>
      </rPr>
      <t xml:space="preserve"> b+d</t>
    </r>
  </si>
  <si>
    <t>A production of high quality, able to serve as a reference in it's sector.</t>
  </si>
  <si>
    <r>
      <t>2</t>
    </r>
    <r>
      <rPr>
        <b/>
        <sz val="12"/>
        <color theme="1" tint="0.14999847407452621"/>
        <rFont val="Noto Sans"/>
        <family val="2"/>
      </rPr>
      <t>*</t>
    </r>
    <r>
      <rPr>
        <b/>
        <sz val="8"/>
        <color theme="1" tint="0.14999847407452621"/>
        <rFont val="Noto Sans"/>
        <family val="2"/>
      </rPr>
      <t xml:space="preserve"> b+d</t>
    </r>
  </si>
  <si>
    <t>A serious, recommendable production, but with more regularity.</t>
  </si>
  <si>
    <r>
      <t>1</t>
    </r>
    <r>
      <rPr>
        <b/>
        <sz val="12"/>
        <color theme="1" tint="0.14999847407452621"/>
        <rFont val="Noto Sans"/>
        <family val="2"/>
      </rPr>
      <t>*</t>
    </r>
    <r>
      <rPr>
        <b/>
        <sz val="8"/>
        <color theme="1" tint="0.14999847407452621"/>
        <rFont val="Noto Sans"/>
        <family val="2"/>
      </rPr>
      <t xml:space="preserve"> b+d</t>
    </r>
  </si>
  <si>
    <t>A serious, recommendable production, conforming to what one has the right to expect from the appellation(s).</t>
  </si>
  <si>
    <t>RVF's LE GUIDE VERT, 2016:</t>
  </si>
  <si>
    <t>LaRVF.com</t>
  </si>
  <si>
    <t>starred  domaines:</t>
  </si>
  <si>
    <t>***</t>
  </si>
  <si>
    <t>These represent the excellence of the french vineyard. The best terroirs exploited by the greatest vignerons.</t>
  </si>
  <si>
    <t>To taste their wine is always a magic moment.</t>
  </si>
  <si>
    <t>**</t>
  </si>
  <si>
    <t>These very great domaines, often possessing fabulous terroirs, are the key players who, by the consistency and</t>
  </si>
  <si>
    <t>excellence of their production, should figure in the cellar of well-informed amateurs</t>
  </si>
  <si>
    <t>*</t>
  </si>
  <si>
    <t>Stars of the future, or vignerons of a good level of quality, you will not be deceived whilst tasting wines of these domaines.</t>
  </si>
  <si>
    <t>CLIVE COATES MW:</t>
  </si>
  <si>
    <t>from The Wines of Burgundy, 2008:</t>
  </si>
  <si>
    <r>
      <rPr>
        <b/>
        <sz val="12"/>
        <color theme="1" tint="0.14999847407452621"/>
        <rFont val="Noto Sans"/>
        <family val="2"/>
      </rPr>
      <t>***</t>
    </r>
    <r>
      <rPr>
        <b/>
        <sz val="8"/>
        <color theme="1" tint="0.14999847407452621"/>
        <rFont val="Noto Sans"/>
        <family val="2"/>
      </rPr>
      <t xml:space="preserve"> 'the best'</t>
    </r>
  </si>
  <si>
    <t>A domaine which which will not only have significant holdings in grand cru vineyards, but which will consistently</t>
  </si>
  <si>
    <t>make very high quality wines from them. Naturally they will ask high prices. These domaines are rare.</t>
  </si>
  <si>
    <r>
      <rPr>
        <b/>
        <sz val="12"/>
        <color theme="1" tint="0.14999847407452621"/>
        <rFont val="Noto Sans"/>
        <family val="2"/>
      </rPr>
      <t>**</t>
    </r>
    <r>
      <rPr>
        <b/>
        <sz val="8"/>
        <color theme="1" tint="0.14999847407452621"/>
        <rFont val="Noto Sans"/>
        <family val="2"/>
      </rPr>
      <t xml:space="preserve"> 'a fine domaine'</t>
    </r>
  </si>
  <si>
    <t>Again, it will have fine vineyard holdings. High results can be expected and will be priced accordingly.</t>
  </si>
  <si>
    <r>
      <rPr>
        <b/>
        <sz val="12"/>
        <color theme="1" tint="0.14999847407452621"/>
        <rFont val="Noto Sans"/>
        <family val="2"/>
      </rPr>
      <t>*</t>
    </r>
    <r>
      <rPr>
        <b/>
        <sz val="8"/>
        <color theme="1" tint="0.14999847407452621"/>
        <rFont val="Noto Sans"/>
        <family val="2"/>
      </rPr>
      <t xml:space="preserve"> 'a very good domaine'</t>
    </r>
  </si>
  <si>
    <t>The customer can safely buy wines with confidence here.</t>
  </si>
  <si>
    <t>Levi Dalton's 'I'll drink to that' podcast interviews:</t>
  </si>
  <si>
    <t>Growers:</t>
  </si>
  <si>
    <t>IllDrinkToThatPod.com</t>
  </si>
  <si>
    <t>/</t>
  </si>
  <si>
    <t>youtube</t>
  </si>
  <si>
    <t>ACCOMASSO, Lorenzo</t>
  </si>
  <si>
    <t>#482</t>
  </si>
  <si>
    <t>ALESSANDRIA</t>
  </si>
  <si>
    <t>#62, #246</t>
  </si>
  <si>
    <t>BERGLUND, Rod of Joe Swan</t>
  </si>
  <si>
    <t>RRV</t>
  </si>
  <si>
    <t>#474</t>
  </si>
  <si>
    <t>BRUNDLMAYER, Willi</t>
  </si>
  <si>
    <t>#157</t>
  </si>
  <si>
    <t>CHAVE, Jean-Louis</t>
  </si>
  <si>
    <t>North Rhone</t>
  </si>
  <si>
    <t>#352</t>
  </si>
  <si>
    <t>CORNELISSEN, Frank</t>
  </si>
  <si>
    <t>Mt.Etna</t>
  </si>
  <si>
    <t>#129</t>
  </si>
  <si>
    <t>FAIVELEY, Erwan</t>
  </si>
  <si>
    <t>Nuits</t>
  </si>
  <si>
    <t>#399</t>
  </si>
  <si>
    <t>FOURRIER, Jean-Marie</t>
  </si>
  <si>
    <t>Gevrey Chambertin, Burgundy</t>
  </si>
  <si>
    <t>#76</t>
  </si>
  <si>
    <t>#245</t>
  </si>
  <si>
    <t>HOCHAR, Serge</t>
  </si>
  <si>
    <t>#179</t>
  </si>
  <si>
    <t>LAFARGE, Michel</t>
  </si>
  <si>
    <t>#76, #249</t>
  </si>
  <si>
    <t>LAFARGE, Frédéric</t>
  </si>
  <si>
    <t>#415</t>
  </si>
  <si>
    <t>LAMBERT, Arnaud</t>
  </si>
  <si>
    <t>St.Just &amp; Brézé, Saumur, Loire</t>
  </si>
  <si>
    <t>#411</t>
  </si>
  <si>
    <t>LEITZ, Johannes</t>
  </si>
  <si>
    <t>#181</t>
  </si>
  <si>
    <t>MÉO, Jean-Nicholas</t>
  </si>
  <si>
    <t>Vosne-Romanée, Burgundy</t>
  </si>
  <si>
    <t>#367</t>
  </si>
  <si>
    <t>MOREAU, Alex of BERNARD MOREAU</t>
  </si>
  <si>
    <t>Chassagne Montrachet, Burgundy</t>
  </si>
  <si>
    <t>#128</t>
  </si>
  <si>
    <t>MUGNIER, JF</t>
  </si>
  <si>
    <t>Chambolle Musigny, Burgundy</t>
  </si>
  <si>
    <t>#405</t>
  </si>
  <si>
    <t>NEIPPERG, Stephan Von</t>
  </si>
  <si>
    <t>various Right Bank Bordeaux properties</t>
  </si>
  <si>
    <t>#194</t>
  </si>
  <si>
    <t>PETTERSEN, Jan</t>
  </si>
  <si>
    <t>Fernando de Castilla, Jerez</t>
  </si>
  <si>
    <t>#185</t>
  </si>
  <si>
    <t>PRUM, Katharina</t>
  </si>
  <si>
    <t>#80</t>
  </si>
  <si>
    <t>RAVIER, Daniel</t>
  </si>
  <si>
    <t>#218</t>
  </si>
  <si>
    <t>RIFFAULT, Sebastien</t>
  </si>
  <si>
    <t>#180</t>
  </si>
  <si>
    <t>RINALDI, Marta</t>
  </si>
  <si>
    <t>#62, #378</t>
  </si>
  <si>
    <t>SADIE, Eben</t>
  </si>
  <si>
    <t>#205</t>
  </si>
  <si>
    <t>SANCHEZ, Alex of BROVIA</t>
  </si>
  <si>
    <t>#364</t>
  </si>
  <si>
    <t>SCHAEFER, Christoph</t>
  </si>
  <si>
    <t>#192</t>
  </si>
  <si>
    <t>SCHUBERT, Carl Von</t>
  </si>
  <si>
    <t>Ruwer</t>
  </si>
  <si>
    <t>#259</t>
  </si>
  <si>
    <t>SWAN with Rod Berglund</t>
  </si>
  <si>
    <t xml:space="preserve">THIENPONT, Alexandre &amp; Francois </t>
  </si>
  <si>
    <t>#350</t>
  </si>
  <si>
    <t>ZIND-HUMBRECHT MW, Olivier</t>
  </si>
  <si>
    <t>#362</t>
  </si>
  <si>
    <t>Wine background:</t>
  </si>
  <si>
    <t>100% Whole Cluster</t>
  </si>
  <si>
    <t>incl. Jean-Nicholas Méo</t>
  </si>
  <si>
    <t>#416</t>
  </si>
  <si>
    <t>The Aligoté Thread</t>
  </si>
  <si>
    <t>incl. Frederic Lafarge</t>
  </si>
  <si>
    <t>#451</t>
  </si>
  <si>
    <t>Cilmate change</t>
  </si>
  <si>
    <t>with Beaune vigneron Benjamin Leroux</t>
  </si>
  <si>
    <t>#467</t>
  </si>
  <si>
    <t>DIAM Corks</t>
  </si>
  <si>
    <t>with Dominique Tourneix of DIAM</t>
  </si>
  <si>
    <t>#445</t>
  </si>
  <si>
    <t>Geology</t>
  </si>
  <si>
    <t>with Brenna Quigley, geologist</t>
  </si>
  <si>
    <t>#463</t>
  </si>
  <si>
    <t>Geology in Burgundy</t>
  </si>
  <si>
    <t>with Francoise Vannier</t>
  </si>
  <si>
    <t>#483</t>
  </si>
  <si>
    <t>Lake Garda</t>
  </si>
  <si>
    <t>by Erin Scala</t>
  </si>
  <si>
    <t>#484</t>
  </si>
  <si>
    <t>Pico Island, Azores</t>
  </si>
  <si>
    <t>#488</t>
  </si>
  <si>
    <t>Remembering Giulio Gambelli</t>
  </si>
  <si>
    <t>with Enrico POZZESI of Fattoria Rodano</t>
  </si>
  <si>
    <t>#444</t>
  </si>
  <si>
    <t>Rhone Grape Varieties in California</t>
  </si>
  <si>
    <t>#409</t>
  </si>
  <si>
    <t>U.S. Importers:</t>
  </si>
  <si>
    <t>BERK, Mannie</t>
  </si>
  <si>
    <t>Rare Wine Co.</t>
  </si>
  <si>
    <t>#9</t>
  </si>
  <si>
    <t>KACHER, Robert</t>
  </si>
  <si>
    <t>#243</t>
  </si>
  <si>
    <t>McKENNA, Kevin</t>
  </si>
  <si>
    <t>Dressner-Louis-McKenna</t>
  </si>
  <si>
    <t>#29</t>
  </si>
  <si>
    <t>PALAZZI, Nicholas</t>
  </si>
  <si>
    <t>#6</t>
  </si>
  <si>
    <t>ROVINE, Zev</t>
  </si>
  <si>
    <t>#14</t>
  </si>
  <si>
    <t>SKURNIK, Michael</t>
  </si>
  <si>
    <t>#31</t>
  </si>
  <si>
    <t>THEISE, Terry</t>
  </si>
  <si>
    <t>#237</t>
  </si>
  <si>
    <t>WASSERMAN, Becky</t>
  </si>
  <si>
    <t>A Burgundy Tour</t>
  </si>
  <si>
    <t>#430</t>
  </si>
  <si>
    <t>WEYGANDT, Peter</t>
  </si>
  <si>
    <t>Weygandt-Metzler</t>
  </si>
  <si>
    <t>#130</t>
  </si>
  <si>
    <t>Writers:</t>
  </si>
  <si>
    <t>D'AGATA, Ian</t>
  </si>
  <si>
    <t>Vinous</t>
  </si>
  <si>
    <t>#354</t>
  </si>
  <si>
    <t>ANSON, Jane</t>
  </si>
  <si>
    <t>Decanter, on Bordeaux</t>
  </si>
  <si>
    <t>#388</t>
  </si>
  <si>
    <t>ASIMOV, Eric</t>
  </si>
  <si>
    <t>The New York Times</t>
  </si>
  <si>
    <t>#5, #33</t>
  </si>
  <si>
    <t>BEHR, Ed</t>
  </si>
  <si>
    <t>The Art of Eating</t>
  </si>
  <si>
    <t>#127</t>
  </si>
  <si>
    <t>BONNÉ, Jon</t>
  </si>
  <si>
    <t>author</t>
  </si>
  <si>
    <t>#23, #126</t>
  </si>
  <si>
    <t>BROOK, Stephen</t>
  </si>
  <si>
    <t>Decanter, etc.</t>
  </si>
  <si>
    <t>#424</t>
  </si>
  <si>
    <t>CEVOLA, Alfonso</t>
  </si>
  <si>
    <t>ACevola.Blogspot.com</t>
  </si>
  <si>
    <t>#235</t>
  </si>
  <si>
    <t>COMISKEY, Patrick</t>
  </si>
  <si>
    <t>Wine &amp; Spirits, on American syrah</t>
  </si>
  <si>
    <t>#436</t>
  </si>
  <si>
    <t>CURTIS MW, Charles</t>
  </si>
  <si>
    <t>author, on Burgundy</t>
  </si>
  <si>
    <t>#270</t>
  </si>
  <si>
    <t>DALTON, Levi</t>
  </si>
  <si>
    <t>I'll Drink To That</t>
  </si>
  <si>
    <t>#150, #262</t>
  </si>
  <si>
    <t>FEIRING, Alice</t>
  </si>
  <si>
    <t>The Feiring Line</t>
  </si>
  <si>
    <t>#26</t>
  </si>
  <si>
    <t>GALLONI, Antonio</t>
  </si>
  <si>
    <t>#125, #253</t>
  </si>
  <si>
    <t>GARNER, Michael</t>
  </si>
  <si>
    <t>author, on Langhe</t>
  </si>
  <si>
    <t>#420</t>
  </si>
  <si>
    <t>GILMAN, John</t>
  </si>
  <si>
    <t>View From The Cellar</t>
  </si>
  <si>
    <t>#57</t>
  </si>
  <si>
    <t>GREENE, Josh</t>
  </si>
  <si>
    <t>Wine &amp; Spirits Magazine</t>
  </si>
  <si>
    <t>#119</t>
  </si>
  <si>
    <t>HANSON MW, Anthony</t>
  </si>
  <si>
    <t>auctioneer, author, merchant</t>
  </si>
  <si>
    <t>#472</t>
  </si>
  <si>
    <t>JOHNSON, Hugh</t>
  </si>
  <si>
    <t>#385</t>
  </si>
  <si>
    <t>LEGERON MW, Isabelle</t>
  </si>
  <si>
    <t>Raw Fair</t>
  </si>
  <si>
    <t>#392</t>
  </si>
  <si>
    <t>LEWIN MW, Benjamin</t>
  </si>
  <si>
    <t>#320</t>
  </si>
  <si>
    <t>LIEM, Peter</t>
  </si>
  <si>
    <t>ChampagneGuide.net</t>
  </si>
  <si>
    <t>#11, #38, #433</t>
  </si>
  <si>
    <t>LORCH, Wink</t>
  </si>
  <si>
    <t>Jura specialist</t>
  </si>
  <si>
    <t>#103</t>
  </si>
  <si>
    <t>MacNEIL, Karen</t>
  </si>
  <si>
    <t>#315</t>
  </si>
  <si>
    <t>MASNAGHETTI, Alessandro</t>
  </si>
  <si>
    <t>cartographer</t>
  </si>
  <si>
    <t>#417</t>
  </si>
  <si>
    <t>MEADOWS, Allen</t>
  </si>
  <si>
    <t>Burghound</t>
  </si>
  <si>
    <t>#123</t>
  </si>
  <si>
    <t>MORRIS MW, Jasper</t>
  </si>
  <si>
    <t>Goes Deep On Burgundy Crus</t>
  </si>
  <si>
    <t>#459</t>
  </si>
  <si>
    <t>NESTO MW, Bill</t>
  </si>
  <si>
    <t>on Chianti Classico &amp; Sicily</t>
  </si>
  <si>
    <t>#402</t>
  </si>
  <si>
    <t>PIGOTT, Stuart</t>
  </si>
  <si>
    <t>JamesSuckling.com</t>
  </si>
  <si>
    <t>#169</t>
  </si>
  <si>
    <t>RAYNOLDS, Josh</t>
  </si>
  <si>
    <t>Vinous.com</t>
  </si>
  <si>
    <t>#44</t>
  </si>
  <si>
    <t>ROBINSON MW, Jancis</t>
  </si>
  <si>
    <t>JancisRobinson.com</t>
  </si>
  <si>
    <t>#124</t>
  </si>
  <si>
    <t>SCHILDKNECHT, David</t>
  </si>
  <si>
    <t>#69</t>
  </si>
  <si>
    <t>SIMOND, Jean-Emmanuel</t>
  </si>
  <si>
    <t>RVF, and importer Oenotropie</t>
  </si>
  <si>
    <t>#492</t>
  </si>
  <si>
    <t>YARROW, Alder</t>
  </si>
  <si>
    <t xml:space="preserve">Vinography.com </t>
  </si>
  <si>
    <t>#121</t>
  </si>
  <si>
    <t>RFW, UK Trade Sales Terms &amp; Conditions:</t>
  </si>
  <si>
    <t>Sharing:</t>
  </si>
  <si>
    <r>
      <t xml:space="preserve">Please </t>
    </r>
    <r>
      <rPr>
        <b/>
        <sz val="7.5"/>
        <color theme="1" tint="0.14999847407452621"/>
        <rFont val="Noto Sans"/>
        <family val="2"/>
      </rPr>
      <t>share these Ts &amp; Cs</t>
    </r>
    <r>
      <rPr>
        <sz val="7.5"/>
        <color theme="1" tint="0.499984740745262"/>
        <rFont val="Noto Sans"/>
        <family val="2"/>
      </rPr>
      <t xml:space="preserve"> with colleagues in buying, goods receiving, ordering, accounts. Thank you.</t>
    </r>
  </si>
  <si>
    <t>New Accounts:</t>
  </si>
  <si>
    <t xml:space="preserve">Prospective new trade credit accounts will be expected to supply references from two established trade </t>
  </si>
  <si>
    <t>suppliers, together with details of their bankers. Please ask for a credit application form.</t>
  </si>
  <si>
    <t>Definitions:</t>
  </si>
  <si>
    <r>
      <rPr>
        <b/>
        <sz val="8"/>
        <color theme="1" tint="0.14999847407452621"/>
        <rFont val="Noto Sans"/>
        <family val="2"/>
      </rPr>
      <t>‘RFW’</t>
    </r>
    <r>
      <rPr>
        <b/>
        <sz val="7.5"/>
        <color theme="1" tint="0.499984740745262"/>
        <rFont val="Noto Sans"/>
        <family val="2"/>
      </rPr>
      <t xml:space="preserve"> </t>
    </r>
    <r>
      <rPr>
        <sz val="7.5"/>
        <color theme="1" tint="0.499984740745262"/>
        <rFont val="Noto Sans"/>
        <family val="2"/>
      </rPr>
      <t>below refers to Raeburn Fine Wines Ltd.</t>
    </r>
  </si>
  <si>
    <r>
      <rPr>
        <b/>
        <sz val="8"/>
        <color theme="1" tint="0.14999847407452621"/>
        <rFont val="Noto Sans"/>
        <family val="2"/>
      </rPr>
      <t>‘CASE’</t>
    </r>
    <r>
      <rPr>
        <sz val="7.5"/>
        <color theme="1" tint="0.499984740745262"/>
        <rFont val="Noto Sans"/>
        <family val="2"/>
      </rPr>
      <t xml:space="preserve"> of wine is 9litres e.g.12x75cl bottles, 24x37.5cl halves, 6x150cl mags, </t>
    </r>
    <r>
      <rPr>
        <b/>
        <i/>
        <sz val="7.5"/>
        <color theme="1" tint="0.14999847407452621"/>
        <rFont val="Noto Sans"/>
        <family val="2"/>
      </rPr>
      <t>regardless of conditioning</t>
    </r>
    <r>
      <rPr>
        <b/>
        <sz val="7.5"/>
        <color theme="1" tint="0.499984740745262"/>
        <rFont val="Noto Sans"/>
        <family val="2"/>
      </rPr>
      <t>.</t>
    </r>
  </si>
  <si>
    <r>
      <rPr>
        <b/>
        <sz val="8"/>
        <color theme="1" tint="0.14999847407452621"/>
        <rFont val="Noto Sans"/>
        <family val="2"/>
      </rPr>
      <t>‘EP’</t>
    </r>
    <r>
      <rPr>
        <sz val="7.5"/>
        <color theme="1" tint="0.499984740745262"/>
        <rFont val="Noto Sans"/>
        <family val="2"/>
      </rPr>
      <t xml:space="preserve"> means En Primeur</t>
    </r>
  </si>
  <si>
    <r>
      <rPr>
        <b/>
        <sz val="8"/>
        <color theme="1" tint="0.14999847407452621"/>
        <rFont val="Noto Sans"/>
        <family val="2"/>
      </rPr>
      <t>‘MOQ’</t>
    </r>
    <r>
      <rPr>
        <sz val="7.5"/>
        <color theme="1" tint="0.499984740745262"/>
        <rFont val="Noto Sans"/>
        <family val="2"/>
      </rPr>
      <t xml:space="preserve"> means Minimum Order Quantity</t>
    </r>
  </si>
  <si>
    <r>
      <rPr>
        <b/>
        <sz val="8"/>
        <color theme="1" tint="0.14999847407452621"/>
        <rFont val="Noto Sans"/>
        <family val="2"/>
      </rPr>
      <t xml:space="preserve">‘OOC’ </t>
    </r>
    <r>
      <rPr>
        <sz val="7.5"/>
        <color theme="1" tint="0.499984740745262"/>
        <rFont val="Noto Sans"/>
        <family val="2"/>
      </rPr>
      <t>means Out Of Condition, i.e. displays a technical fault</t>
    </r>
  </si>
  <si>
    <r>
      <rPr>
        <b/>
        <sz val="8"/>
        <color theme="1" tint="0.14999847407452621"/>
        <rFont val="Noto Sans"/>
        <family val="2"/>
      </rPr>
      <t>‘POD’</t>
    </r>
    <r>
      <rPr>
        <sz val="7.5"/>
        <color theme="1" tint="0.499984740745262"/>
        <rFont val="Noto Sans"/>
        <family val="2"/>
      </rPr>
      <t xml:space="preserve"> means Proof Of Delivery (e.g. signed paper delivery note, signed digital delivery form.)  </t>
    </r>
  </si>
  <si>
    <t xml:space="preserve">Minimum Order: </t>
  </si>
  <si>
    <t>One case-equivalent (NB see below for MOQs for free delivery.)</t>
  </si>
  <si>
    <t>NB cases can be mixed on all orders.</t>
  </si>
  <si>
    <t xml:space="preserve">Trade Pricing: </t>
  </si>
  <si>
    <t>Trade prices are quoted per unit. E.g. 1x half-bottle 37.5cl, bottle 75cl, magnum 150cl, as stated.</t>
  </si>
  <si>
    <t xml:space="preserve">(NB for EP, see below)  </t>
  </si>
  <si>
    <t>All trade tariff prices are quoted Duty Paid Delivered (DPD), exclusive of VAT at prevailing rate.</t>
  </si>
  <si>
    <r>
      <t xml:space="preserve">Due to factors like costs, duty, currency, RFW reserve the right to alter pricing. </t>
    </r>
    <r>
      <rPr>
        <b/>
        <u/>
        <sz val="7.5"/>
        <color theme="1" tint="0.14999847407452621"/>
        <rFont val="Noto Sans"/>
        <family val="2"/>
      </rPr>
      <t>E&amp;EO.</t>
    </r>
  </si>
  <si>
    <t>Availability:</t>
  </si>
  <si>
    <t xml:space="preserve">All wines are offered subject to remaining unsold and subject to final confirmation by RFW. </t>
  </si>
  <si>
    <t>Delivery:</t>
  </si>
  <si>
    <t xml:space="preserve">Prices quoted on RFW trade tariff include free delivery for these MOQs: </t>
  </si>
  <si>
    <r>
      <t>From LCB Tilbury-</t>
    </r>
    <r>
      <rPr>
        <b/>
        <sz val="7.5"/>
        <color theme="1" tint="0.14999847407452621"/>
        <rFont val="Noto Sans"/>
        <family val="2"/>
      </rPr>
      <t>London bond to within the M25</t>
    </r>
    <r>
      <rPr>
        <sz val="7.5"/>
        <color theme="1" tint="0.499984740745262"/>
        <rFont val="Noto Sans"/>
        <family val="2"/>
      </rPr>
      <t>: MOQ two or more cases (i.e. 24+ 75cl bottles)</t>
    </r>
  </si>
  <si>
    <r>
      <t>From LCB Tilbury-</t>
    </r>
    <r>
      <rPr>
        <b/>
        <sz val="7.5"/>
        <color theme="1" tint="0.14999847407452621"/>
        <rFont val="Noto Sans"/>
        <family val="2"/>
      </rPr>
      <t>London bond to the rest of mainland UK</t>
    </r>
    <r>
      <rPr>
        <sz val="7.5"/>
        <color theme="1" tint="0.499984740745262"/>
        <rFont val="Noto Sans"/>
        <family val="2"/>
      </rPr>
      <t xml:space="preserve"> – </t>
    </r>
    <r>
      <rPr>
        <b/>
        <i/>
        <sz val="7.5"/>
        <color theme="1" tint="0.14999847407452621"/>
        <rFont val="Noto Sans"/>
        <family val="2"/>
      </rPr>
      <t xml:space="preserve">MOQ varies according to postcode. </t>
    </r>
  </si>
  <si>
    <t>(This will be confirmed before or upon ordering: RFW aim to keep MOQs viable.)</t>
  </si>
  <si>
    <r>
      <t xml:space="preserve">From The Vaults, </t>
    </r>
    <r>
      <rPr>
        <b/>
        <sz val="7.5"/>
        <color theme="1" tint="0.14999847407452621"/>
        <rFont val="Noto Sans"/>
        <family val="2"/>
      </rPr>
      <t>Edinburgh to the greater Edinburgh area</t>
    </r>
    <r>
      <rPr>
        <sz val="7.5"/>
        <color theme="1" tint="0.499984740745262"/>
        <rFont val="Noto Sans"/>
        <family val="2"/>
      </rPr>
      <t>: MOQ one or more cases (i.e. 12+ 75cl btls)</t>
    </r>
  </si>
  <si>
    <r>
      <t xml:space="preserve">From The Vaults, </t>
    </r>
    <r>
      <rPr>
        <b/>
        <sz val="7.5"/>
        <color theme="1" tint="0.14999847407452621"/>
        <rFont val="Noto Sans"/>
        <family val="2"/>
      </rPr>
      <t>Edinburgh to mainland UK</t>
    </r>
    <r>
      <rPr>
        <sz val="7.5"/>
        <color theme="1" tint="0.499984740745262"/>
        <rFont val="Noto Sans"/>
        <family val="2"/>
      </rPr>
      <t>: MOQ two or more cases (i.e. 24+ 75cl bottles)</t>
    </r>
  </si>
  <si>
    <t xml:space="preserve">NB Orders below MOQs for free delivery will incur a delivery surcharge, at cost. </t>
  </si>
  <si>
    <t>Please ask re delivery outside mainland UK, or, for In-Bond (IB) delivery charges and pricing.</t>
  </si>
  <si>
    <t>Delivery Notes / PODs:</t>
  </si>
  <si>
    <t>Deliveries should be checked off upon receipt, and POD legibly signed, printed, marked 'checked'.</t>
  </si>
  <si>
    <r>
      <t>If full checking is not possible,</t>
    </r>
    <r>
      <rPr>
        <b/>
        <i/>
        <sz val="7.5"/>
        <color theme="1" tint="0.14999847407452621"/>
        <rFont val="Noto Sans"/>
        <family val="2"/>
      </rPr>
      <t xml:space="preserve"> at least</t>
    </r>
    <r>
      <rPr>
        <sz val="7.5"/>
        <color theme="1" tint="0.499984740745262"/>
        <rFont val="Noto Sans"/>
        <family val="2"/>
      </rPr>
      <t xml:space="preserve"> the number of physical boxes &amp;/or single bottles should be counted. </t>
    </r>
  </si>
  <si>
    <t>The delivery note/POD should be legibly signed, printed, the number of boxes &amp;/or single bottles indicated.</t>
  </si>
  <si>
    <t>RFW cannot be held responsible for discrepancies/loss if POD is illegible, or signed 'unchecked'.</t>
  </si>
  <si>
    <t xml:space="preserve">Claims: </t>
  </si>
  <si>
    <t>Please report any claims re shortages &amp;/or breakages within 24 hours of date of dispatch or invoice.</t>
  </si>
  <si>
    <t>Out Of Condition:</t>
  </si>
  <si>
    <t>Corked, oxidised, or ullaged OOC items purchased recently will be replaced/credited, when under 5 yrs old</t>
  </si>
  <si>
    <t>Please notify RFW ASAP, and keep the item at least seven days in case RFW need to check it.</t>
  </si>
  <si>
    <t>NB older OOC items, of 5+yrs from vintage at date of purchase, will only be replaced at RFW discretion.</t>
  </si>
  <si>
    <t>RFW accepts no liability for atypical bottles, ‘déviation’, which show no technical fault.</t>
  </si>
  <si>
    <r>
      <t xml:space="preserve">Limitations which </t>
    </r>
    <r>
      <rPr>
        <i/>
        <sz val="7.5"/>
        <color theme="1" tint="0.499984740745262"/>
        <rFont val="Noto Sans"/>
        <family val="2"/>
      </rPr>
      <t>may</t>
    </r>
    <r>
      <rPr>
        <sz val="7.5"/>
        <color theme="1" tint="0.499984740745262"/>
        <rFont val="Noto Sans"/>
        <family val="2"/>
      </rPr>
      <t xml:space="preserve"> be RFW clients’ liability:</t>
    </r>
  </si>
  <si>
    <t>Wine stored in an warm, dry or fluctuating conditions, increasing risk of oxidation, ullage, atypical flavours</t>
  </si>
  <si>
    <t xml:space="preserve">Wine stored in an area that falls below 0°C, increasing risk of oxidation/ullage </t>
  </si>
  <si>
    <t>Wine stored where bleach or other chlorinated compounds are used or stored, increasing TCA risk</t>
  </si>
  <si>
    <t>Wine mis-sold to, or misunderstood by end clients</t>
  </si>
  <si>
    <t>Wines returned by end clients which are not faulty</t>
  </si>
  <si>
    <t>Payment:</t>
  </si>
  <si>
    <t>Terms are payment before delivery, unless clients are an approved credit account holder.</t>
  </si>
  <si>
    <t>Terms for credit account holders are strictly 30 days from invoice date.</t>
  </si>
  <si>
    <t>2% discount is available for payment before delivery. (NB not for EP, nor Pre-Shipment offers.)</t>
  </si>
  <si>
    <t>Interest will be charged on overdue/unpaid accounts at 2.5% over base rate p.c.m.</t>
  </si>
  <si>
    <t>Returned or represented cheques will incur a charge of £20 on each occasion.</t>
  </si>
  <si>
    <t>Ownership:</t>
  </si>
  <si>
    <t>All goods remain the property of RFW, Raeburn Fine Wines Ltd., until paid for in full. (I.e.retention of title)</t>
  </si>
  <si>
    <t>Paid Samples:</t>
  </si>
  <si>
    <t>Paid samples can be supplied at tariff price less 10%. This is negotiable on volume &amp;/or value of order.</t>
  </si>
  <si>
    <t xml:space="preserve">Volume Pricing: </t>
  </si>
  <si>
    <t>Prices and terms are available for volume Ex-Cellars &amp; In-Bond purchases.</t>
  </si>
  <si>
    <t>EP Terms:</t>
  </si>
  <si>
    <t>All EP and Pre-Shipment orders assume clients have read and accepted RFW EP Terms, below:</t>
  </si>
  <si>
    <t xml:space="preserve">VAT &amp; Duty charges are due at prevailing rates when wine has been shipped and cleared from LCB bond. </t>
  </si>
  <si>
    <t>Onward delivery charges to clients’ addresses or bond accounts will be charged at cost.</t>
  </si>
  <si>
    <t>All wines are offered subject to availability and final confirmation from RFW.</t>
  </si>
  <si>
    <r>
      <rPr>
        <b/>
        <i/>
        <sz val="7.5"/>
        <color theme="1" tint="0.14999847407452621"/>
        <rFont val="Noto Sans"/>
        <family val="2"/>
      </rPr>
      <t>Please carefully note the following</t>
    </r>
    <r>
      <rPr>
        <sz val="7.5"/>
        <color theme="1" tint="0.499984740745262"/>
        <rFont val="Noto Sans"/>
        <family val="2"/>
      </rPr>
      <t>: if any wine ordered is not available due to events outside of RFW</t>
    </r>
  </si>
  <si>
    <t xml:space="preserve"> control, &amp;/or due to the negligence of other parties, RFW will refund in full only monies paid by the client.</t>
  </si>
  <si>
    <t>Prices may be subject to alteration. E&amp;OE</t>
  </si>
  <si>
    <t>(updated June 2025)</t>
  </si>
  <si>
    <t>PRODUCER</t>
  </si>
  <si>
    <t>PRODUCER NAME</t>
  </si>
  <si>
    <t>Vol. (cl)</t>
  </si>
  <si>
    <t>Stock Status</t>
  </si>
  <si>
    <t>COUNTRY</t>
  </si>
  <si>
    <t>REGION</t>
  </si>
  <si>
    <t>SUB-REGION</t>
  </si>
  <si>
    <t>Organic?</t>
  </si>
  <si>
    <t>Case Size</t>
  </si>
  <si>
    <t>ABV %</t>
  </si>
  <si>
    <t>Charles Palmer rosé brut</t>
  </si>
  <si>
    <t>75</t>
  </si>
  <si>
    <t/>
  </si>
  <si>
    <t>East Sussex</t>
  </si>
  <si>
    <t>Charles Palmer classic cuvée brut</t>
  </si>
  <si>
    <t>&lt;24</t>
  </si>
  <si>
    <t>Charles Palmer blanc de blancs brut</t>
  </si>
  <si>
    <t>Charles Palmer special reserve blanc de pinot noir brut</t>
  </si>
  <si>
    <t>Charles Palmer pinot noir</t>
  </si>
  <si>
    <t>Champagne Polisy</t>
  </si>
  <si>
    <t>Polisy</t>
  </si>
  <si>
    <t>Champagne Ambonnay blanc de blanc GC</t>
  </si>
  <si>
    <t>Ambonnay</t>
  </si>
  <si>
    <t>Champagne Les Clos d'Ambonnay GC</t>
  </si>
  <si>
    <t>Champagne Ambonnay GC</t>
  </si>
  <si>
    <t>Champagne Eternel rosé</t>
  </si>
  <si>
    <t>Champagne blanc de noirs brut</t>
  </si>
  <si>
    <t>Champagne brut nature</t>
  </si>
  <si>
    <t>Champagne brut Signature</t>
  </si>
  <si>
    <t>Champagne Prestige Millésimé</t>
  </si>
  <si>
    <t>Champagne blanc de noirs brut MAGS</t>
  </si>
  <si>
    <t>150</t>
  </si>
  <si>
    <t>Champagne Augustin</t>
  </si>
  <si>
    <t>Champagne TERRE (disgorged Mar.2021)</t>
  </si>
  <si>
    <t>'nv19'</t>
  </si>
  <si>
    <t>Organic</t>
  </si>
  <si>
    <t>Champagne FEU (vv - disgorged Mar.2021)</t>
  </si>
  <si>
    <t>Champagne CXVI (aka 116 aka sans souffre - disgorged Mar.2020)</t>
  </si>
  <si>
    <t>'nv16'</t>
  </si>
  <si>
    <t>Champagne O2 Rosée aka EAU (vv - disgorged Mar.2020)</t>
  </si>
  <si>
    <t>Champagne Rosé Gaia (vv)</t>
  </si>
  <si>
    <t>Henri Billiot</t>
  </si>
  <si>
    <t>Champagne rosé réserve</t>
  </si>
  <si>
    <t>Champagne cuvée de réserve</t>
  </si>
  <si>
    <t>mv</t>
  </si>
  <si>
    <t>Champagne cuvée de réserve MAGS</t>
  </si>
  <si>
    <t>Champagne millésimé</t>
  </si>
  <si>
    <t>Champagne Julie (cask aged - shipped 2011)</t>
  </si>
  <si>
    <t>Champagne Laetitia (solera - shipped 2022)</t>
  </si>
  <si>
    <t>Champagne Essence de Billiot</t>
  </si>
  <si>
    <t>Champagne Initiation brut rosé</t>
  </si>
  <si>
    <t>L.19</t>
  </si>
  <si>
    <t>Champagne La Rue des Noyers rosé de saignée</t>
  </si>
  <si>
    <t>L.18</t>
  </si>
  <si>
    <t>Champagne Initiation brut</t>
  </si>
  <si>
    <t>L.17</t>
  </si>
  <si>
    <t>Champagne La Rue des Noyers extra brut</t>
  </si>
  <si>
    <t>L.16</t>
  </si>
  <si>
    <t>L.15</t>
  </si>
  <si>
    <t>L.14</t>
  </si>
  <si>
    <t>Champagne Cuvée de L'Orme extra brut</t>
  </si>
  <si>
    <t>Champagne Cuvée La Pythie extra brut (a single cask of Noyers)</t>
  </si>
  <si>
    <t>Champagne La Rue des Noyers extra brut MAGS</t>
  </si>
  <si>
    <t>Coteaux Champenois La Rue des Noyers BLANC</t>
  </si>
  <si>
    <t>L.11</t>
  </si>
  <si>
    <t>Coteaux Champenois</t>
  </si>
  <si>
    <t>Coteaux Champenois La Rue des Noyers ROUGE</t>
  </si>
  <si>
    <t>L.13</t>
  </si>
  <si>
    <t>VAULTS &lt;24</t>
  </si>
  <si>
    <t>Champagne Rosé cuvée Sakura extra brut</t>
  </si>
  <si>
    <t>Champagne blanc de blancs brut HVS</t>
  </si>
  <si>
    <t>37.5</t>
  </si>
  <si>
    <t>Champagne brut réserve</t>
  </si>
  <si>
    <t>Champagne blanc de blancs brut</t>
  </si>
  <si>
    <t>Champagne cuvée Vincent Gonet (shipped 2012)</t>
  </si>
  <si>
    <t>Champagne brut réserve MAGS</t>
  </si>
  <si>
    <t>Champagne grand millésime GC (bdb) brut</t>
  </si>
  <si>
    <t>Champagne grand millésime GC (bdb) brut MAGS</t>
  </si>
  <si>
    <t>Champagne Millesimé Le Mesnil GC bdb JEROS</t>
  </si>
  <si>
    <t>300</t>
  </si>
  <si>
    <t>Champagne Gaia Le Mesnil GC bdb (incl. tvv) extra brut</t>
  </si>
  <si>
    <t>Chetillon</t>
  </si>
  <si>
    <t>Champagne Gaia Le Mesnil GC bdb (incl. tvv) brut MAGS</t>
  </si>
  <si>
    <t>Champagne 'Decelle' brut rosé by Gyejacquot (shipped 2016)</t>
  </si>
  <si>
    <t>Champagne Charles Simon rosé (shipped 2013)</t>
  </si>
  <si>
    <t>Champagne Gyejacquot brut Tradition (shipped 2013) HVS</t>
  </si>
  <si>
    <t>Champagne Cuvee Millesime by Gyejacquot</t>
  </si>
  <si>
    <t>Champagne Anatom bdb (shipped 2013)</t>
  </si>
  <si>
    <t>Champagne Anatom bdb (shipped 2015)</t>
  </si>
  <si>
    <t>Champagne L'Aphrodisiaque</t>
  </si>
  <si>
    <t>LV17</t>
  </si>
  <si>
    <t>Coteaux Champenois chardonnay de Trépail</t>
  </si>
  <si>
    <t>LV20</t>
  </si>
  <si>
    <t>Champagne Lilbert bdb brut GC MAGS</t>
  </si>
  <si>
    <t>Champagne Lilbert bdb brut Perle GC (vv, lower pressure)</t>
  </si>
  <si>
    <t>La Parcelle, Champagne Chevreux Bournazel</t>
  </si>
  <si>
    <t>Champagne La Parcelle</t>
  </si>
  <si>
    <t>Champagne La Parcelle - La Capella</t>
  </si>
  <si>
    <t>Champagne La Parcelle 7 Cépages</t>
  </si>
  <si>
    <t>Champagne La Parcelle millésimé (disgorged 2023)</t>
  </si>
  <si>
    <t>Connigis</t>
  </si>
  <si>
    <t>Champagne La Parcelle MAGS</t>
  </si>
  <si>
    <t>Coteaux Champenois 7 Cépages BLANC</t>
  </si>
  <si>
    <t>Ratafia liqueur assemblage 50cl</t>
  </si>
  <si>
    <t>50</t>
  </si>
  <si>
    <t>Cedric Guyot Les Vertus d'Élise</t>
  </si>
  <si>
    <t>Champagne blanc de blancs 1C (disgorged 2015)</t>
  </si>
  <si>
    <t>Lanson</t>
  </si>
  <si>
    <t>Champagne Clos Lanson (bdb)</t>
  </si>
  <si>
    <t>Champagne Clos Lanson (bdb) MAGS</t>
  </si>
  <si>
    <t>Kirrenbourg</t>
  </si>
  <si>
    <t>sylvaner roche granitique</t>
  </si>
  <si>
    <t>muscat cuvée reserve</t>
  </si>
  <si>
    <t>pinot blanc cuvée reserve</t>
  </si>
  <si>
    <t>riesling roche granitique</t>
  </si>
  <si>
    <t>pinot gris roche granitique</t>
  </si>
  <si>
    <t>gewurztraminer roche granitique</t>
  </si>
  <si>
    <t>gewurztraminer cuvée reserve</t>
  </si>
  <si>
    <t>muscat macération Les Origines</t>
  </si>
  <si>
    <t>riesling Brand GC</t>
  </si>
  <si>
    <t>riesling Rangen GC</t>
  </si>
  <si>
    <t>riesling Schlossberg GC</t>
  </si>
  <si>
    <t>riesling Schlossberg GC MAGS</t>
  </si>
  <si>
    <t>pinot gris Brand GC</t>
  </si>
  <si>
    <t>pinot gris Schlossberg GC</t>
  </si>
  <si>
    <t>gewurtztraminer Hengst GC</t>
  </si>
  <si>
    <t>gewurtztraminer Schlossberg GC</t>
  </si>
  <si>
    <t>pinot noir premier</t>
  </si>
  <si>
    <t xml:space="preserve">pinot noir cuvée Mathieu </t>
  </si>
  <si>
    <t>pinot noir cuvée Mathieu</t>
  </si>
  <si>
    <t>gewurztraminer VT</t>
  </si>
  <si>
    <t>pinot gris Schlossberg GC SGN 50cl</t>
  </si>
  <si>
    <t>Chateau Clinet</t>
  </si>
  <si>
    <t>ex - POA</t>
  </si>
  <si>
    <t>ex-cellars</t>
  </si>
  <si>
    <t>Bordeaux</t>
  </si>
  <si>
    <t>Clos de la Vieille École MAGS</t>
  </si>
  <si>
    <t>Chateau La Conseillante</t>
  </si>
  <si>
    <t>L’Eglise-Clinet</t>
  </si>
  <si>
    <t>La Petite Église (2nd wine)</t>
  </si>
  <si>
    <t>Chateau L’Eglise-Clinet</t>
  </si>
  <si>
    <t>Chateau L'Évangile</t>
  </si>
  <si>
    <t>Chateau Feytit-Clinet</t>
  </si>
  <si>
    <t>La Fleur Petrus</t>
  </si>
  <si>
    <t>Chateau La Fleur Petrus</t>
  </si>
  <si>
    <t>Chateau Guillot-Clauzel</t>
  </si>
  <si>
    <t>Chateau Guillot-Clauzel MAGS</t>
  </si>
  <si>
    <t>Chateau Mayne-Réné</t>
  </si>
  <si>
    <t>Les Pensées (de Lafleur)</t>
  </si>
  <si>
    <t>Chateau Lafleur</t>
  </si>
  <si>
    <t>Chateau Latour a Pomerol</t>
  </si>
  <si>
    <t>Trilogie</t>
  </si>
  <si>
    <t>19/20/21</t>
  </si>
  <si>
    <t>Chateau Trotanoy</t>
  </si>
  <si>
    <t>Vieux Chateau Certan MAGS</t>
  </si>
  <si>
    <t>Chateau La Violette</t>
  </si>
  <si>
    <t>Chateau Vray Croix de Gay</t>
  </si>
  <si>
    <t>l'Angelus</t>
  </si>
  <si>
    <t>Chateau l'Angelus</t>
  </si>
  <si>
    <t>Chapelle d'Ausone</t>
  </si>
  <si>
    <t>Chateau Ausone</t>
  </si>
  <si>
    <t>Beau-Séjour-Bécot</t>
  </si>
  <si>
    <t>Chateau Beau-Séjour-Bécot</t>
  </si>
  <si>
    <t>Beauséjour-Duffau-Lagarrosse</t>
  </si>
  <si>
    <t>Chateau Beauséjour-Duffau-Lagarrosse</t>
  </si>
  <si>
    <t>Chateau Belair-Monange</t>
  </si>
  <si>
    <t>Chateau Berliquet</t>
  </si>
  <si>
    <t>Chateau Canon</t>
  </si>
  <si>
    <t>Chateau du Cauze</t>
  </si>
  <si>
    <t>Cheval-Blanc</t>
  </si>
  <si>
    <t>Chateau Cheval-Blanc</t>
  </si>
  <si>
    <t>Petit Figeac</t>
  </si>
  <si>
    <t>Chateau Figeac</t>
  </si>
  <si>
    <t>Chateau Fonplegade</t>
  </si>
  <si>
    <t>Clos La Gaffeliere</t>
  </si>
  <si>
    <t>Clos La Gaffeliere HVS</t>
  </si>
  <si>
    <t>Clos La Gaffeliere MAGS</t>
  </si>
  <si>
    <t>Chateau La Gaffeliere</t>
  </si>
  <si>
    <t>Chateau La Gaffeliere MAGS</t>
  </si>
  <si>
    <t>Chateau La Gaffeliere DBL MAGS</t>
  </si>
  <si>
    <t>Chateau Les Giraudels de Milon</t>
  </si>
  <si>
    <t>Chateau La Gomerie</t>
  </si>
  <si>
    <t>Les Collines de L'If</t>
  </si>
  <si>
    <t>Laroque (St Emilion)</t>
  </si>
  <si>
    <t>Chateau Laroque (St Emilion)</t>
  </si>
  <si>
    <t>Chateau Lassegue</t>
  </si>
  <si>
    <t>Chateau Mangot</t>
  </si>
  <si>
    <t>Chateau Matignon</t>
  </si>
  <si>
    <t>Château Moulin du Jura</t>
  </si>
  <si>
    <t>Château Moulin du Jura MAGS</t>
  </si>
  <si>
    <t>Château Pavie-Macquin</t>
  </si>
  <si>
    <t>Chateau Peby Faugeres (vv)</t>
  </si>
  <si>
    <t>Petit Gravet Ainé</t>
  </si>
  <si>
    <t>Château Petit Gravet Ainé (vv)</t>
  </si>
  <si>
    <t>Le Prieuré</t>
  </si>
  <si>
    <t>Chateau Le Prieuré</t>
  </si>
  <si>
    <t>Puyblanquet</t>
  </si>
  <si>
    <t>Chateau Puyblanquet</t>
  </si>
  <si>
    <t>Le Dragon de Quintus</t>
  </si>
  <si>
    <t>Chateau Quintus</t>
  </si>
  <si>
    <t>Chateau Rochebelle</t>
  </si>
  <si>
    <t>Saintem aka Saintayme</t>
  </si>
  <si>
    <t>Saintem / Saintayme</t>
  </si>
  <si>
    <t>Terte Roteboeuf</t>
  </si>
  <si>
    <t>Chateau Troplong Mondot</t>
  </si>
  <si>
    <t>Chateau Trottevieille</t>
  </si>
  <si>
    <t>Chateau Valandraud</t>
  </si>
  <si>
    <t>Roc De Cambes</t>
  </si>
  <si>
    <t>Domaine de Cambes</t>
  </si>
  <si>
    <t>Côtes de Bourg</t>
  </si>
  <si>
    <t>Domaine de Cambes MAGS</t>
  </si>
  <si>
    <t>Roc de Cambes MAGS</t>
  </si>
  <si>
    <t>Chateau Grand Village BLANC</t>
  </si>
  <si>
    <t>Chateau Grand Village BLANC MAGS</t>
  </si>
  <si>
    <t>Les Champs Libres BLANC MAGS</t>
  </si>
  <si>
    <t>Chateau Grand Village ROUGE</t>
  </si>
  <si>
    <t>Les Perrières</t>
  </si>
  <si>
    <t>Château Moulin (Tolmer windmill label)</t>
  </si>
  <si>
    <t>Château Moulin (Tolmer windmill label) MAGS</t>
  </si>
  <si>
    <t>Château Moulin Pey-Labrie (vv) HVS</t>
  </si>
  <si>
    <t>Château Moulin Pey-Labrie (vv)</t>
  </si>
  <si>
    <t>Château Moulin Pey-Labrie (vv - NB fully mature)</t>
  </si>
  <si>
    <t>Château Moulin Pey-Labrie (vv) MAGS</t>
  </si>
  <si>
    <t>Chateau Belles-Graves</t>
  </si>
  <si>
    <t>La Chenade</t>
  </si>
  <si>
    <t>Chateau Les Cruzelles</t>
  </si>
  <si>
    <t>Chateau Bel Air 'Jean &amp; Gabriel'</t>
  </si>
  <si>
    <t>Chateau Bel Air 'Jean &amp; Gabriel' MAGS</t>
  </si>
  <si>
    <t>Chateau Bel Air 'Jean &amp; Gabriel' DBL MAGS</t>
  </si>
  <si>
    <t>Chateau Guibeau</t>
  </si>
  <si>
    <t>Puisseguin St. Emilion</t>
  </si>
  <si>
    <t>Jan &amp; Florian Thienpont</t>
  </si>
  <si>
    <t>Clos Fontaine Grand Vin (vv)</t>
  </si>
  <si>
    <t>Francs - Côtes de Bordeaux</t>
  </si>
  <si>
    <t>Clos Fontaine 1er Vin (vv)</t>
  </si>
  <si>
    <t>Clos Fontaine 1er Vin (vv) MAGS</t>
  </si>
  <si>
    <t>Chateau d'Aiguilhe</t>
  </si>
  <si>
    <t>Chateau Alcée</t>
  </si>
  <si>
    <t>Clos Louie VV (incl.tvv)</t>
  </si>
  <si>
    <t>Joanin Bécot</t>
  </si>
  <si>
    <t>Chateau Joanin Bécot</t>
  </si>
  <si>
    <t>La Pie Grand Vin BLANC (vv)</t>
  </si>
  <si>
    <t>La Raison d'Hetre</t>
  </si>
  <si>
    <t>Goubau</t>
  </si>
  <si>
    <t>La Source de Goubau (now La Raison d'Hetre)</t>
  </si>
  <si>
    <t>Chateau Goubau (now L'Hetre)</t>
  </si>
  <si>
    <t>La Raison d'Hetre MAGS</t>
  </si>
  <si>
    <t>La Source de Goubau MAGS</t>
  </si>
  <si>
    <t>L'Hetre MAGS</t>
  </si>
  <si>
    <t>Chateau Montlandrie</t>
  </si>
  <si>
    <t>Chateau Robin</t>
  </si>
  <si>
    <t>Valrose</t>
  </si>
  <si>
    <t>Grand-Bireau sauvignon-blanc</t>
  </si>
  <si>
    <t>Chateau Valrose Jean Le Soldat BLANC</t>
  </si>
  <si>
    <t>Château Valrose ROUGE</t>
  </si>
  <si>
    <t>Château La Gontrie BLANC sec</t>
  </si>
  <si>
    <t>VAULTS</t>
  </si>
  <si>
    <t>Château La Gontrie Clairet (fuller rosé)</t>
  </si>
  <si>
    <t>Château La Gontrie ROUGE HVS</t>
  </si>
  <si>
    <t>Château La Gontrie ROUGE</t>
  </si>
  <si>
    <t>Château La Gontrie ROUGE DBL MAGS</t>
  </si>
  <si>
    <t>Château La Gontrie ROUGE 500cl</t>
  </si>
  <si>
    <t>500</t>
  </si>
  <si>
    <t>Château La Gontrie MOELLEUX</t>
  </si>
  <si>
    <t>Château Massereau Bordeaux Superieur</t>
  </si>
  <si>
    <t>Château Massereau Bordeaux Cuvée 'X' (SSA)</t>
  </si>
  <si>
    <t>Château Massereau Graves</t>
  </si>
  <si>
    <t>Chateau Massereau Bordeaux Superieur MAGS</t>
  </si>
  <si>
    <t>Chateau Massereau Graves MAGS</t>
  </si>
  <si>
    <t>Château Massereau Sauternes-Barsac 'M' 50cl</t>
  </si>
  <si>
    <t>Semillon (1850 tvv) &amp; Malbec (1955 vv) 50cl 2-pack</t>
  </si>
  <si>
    <t>w/r</t>
  </si>
  <si>
    <t>Pessac-Léognan</t>
  </si>
  <si>
    <t>Chateau Carbonnieux BLANC</t>
  </si>
  <si>
    <t>1741 de Carbonnieux BLANC</t>
  </si>
  <si>
    <t>Le C des Carmes Haut Brion HVS</t>
  </si>
  <si>
    <t>Le C des Carmes Haut Brion MAGS</t>
  </si>
  <si>
    <t>Chateau Les Carmes Haut Brion</t>
  </si>
  <si>
    <t>Domaine De Chevalier</t>
  </si>
  <si>
    <t>Esprit de Chevalier BLANC</t>
  </si>
  <si>
    <t>Domaine de Chevalier BLANC</t>
  </si>
  <si>
    <t>Esprit de Chevalier ROUGE</t>
  </si>
  <si>
    <t>Domaine de Chevalier ROUGE</t>
  </si>
  <si>
    <t>Chateau de Fieuzal</t>
  </si>
  <si>
    <t>Chateau Haut Bailly</t>
  </si>
  <si>
    <t>Chateau Haut Bergey</t>
  </si>
  <si>
    <t>La Clarté de Haut Brion BLANC</t>
  </si>
  <si>
    <t>Le Clarence de Haut Brion</t>
  </si>
  <si>
    <t>Chateau Haut Brion</t>
  </si>
  <si>
    <t>La Chapelle de Mission Haut Brion</t>
  </si>
  <si>
    <t>Chateau La Mission Haut Brion</t>
  </si>
  <si>
    <t>Chateau Malartic-Lagraviere</t>
  </si>
  <si>
    <t>Chateau Pape Clément</t>
  </si>
  <si>
    <t>Chateau Smith-Haut Lafitte BLANC</t>
  </si>
  <si>
    <t>Le Petit Smith-Haut Lafitte</t>
  </si>
  <si>
    <t>Chateau Smith-Haut Lafitte</t>
  </si>
  <si>
    <t>Chateau Cantemerle</t>
  </si>
  <si>
    <t>Chateau Cantemerle MAGS</t>
  </si>
  <si>
    <t>Chateau La Lagune</t>
  </si>
  <si>
    <t>Chateau La Lagune MAGS</t>
  </si>
  <si>
    <t>Chateau Villegeorge</t>
  </si>
  <si>
    <t>Bel-Air Marquis d'Aligre</t>
  </si>
  <si>
    <t>Chateau Bel-Air Marquis d'Aligre</t>
  </si>
  <si>
    <t>Baron de Brane</t>
  </si>
  <si>
    <t>Chateau Brane-Cantenac</t>
  </si>
  <si>
    <t>Chateau Dauzac</t>
  </si>
  <si>
    <t>Chateau Desmirail HVS</t>
  </si>
  <si>
    <t>Haut-Médoc de Desmirail</t>
  </si>
  <si>
    <t>Chateau Desmirail</t>
  </si>
  <si>
    <t>Durfort Vivens BLANC (SSA)</t>
  </si>
  <si>
    <t>La Nature de Durfort (SSA)</t>
  </si>
  <si>
    <t>Le Relais de Durfort</t>
  </si>
  <si>
    <t>Durfort Vivens Les Plantes</t>
  </si>
  <si>
    <t>Durfort Vivens Le Hameau</t>
  </si>
  <si>
    <t>Durfort Vivens Le Plateau</t>
  </si>
  <si>
    <t>Durfort Vivens Les Plantes MAGS</t>
  </si>
  <si>
    <t>Durfort Vivens Le Hameau MAGS</t>
  </si>
  <si>
    <t>Durfort Vivens Le Plateau MAGS</t>
  </si>
  <si>
    <t>Chateau Durfort Vivens HVS</t>
  </si>
  <si>
    <t>Chateau Durfort Vivens</t>
  </si>
  <si>
    <t>Chateau Durfort Vivens MAGS</t>
  </si>
  <si>
    <t>Chateau Durfort Vivens DBL MAGS</t>
  </si>
  <si>
    <t>Ferrière</t>
  </si>
  <si>
    <t>Chateau Ferrière HVS</t>
  </si>
  <si>
    <t>Chateau Ferrière</t>
  </si>
  <si>
    <t>Chateau Giscours</t>
  </si>
  <si>
    <t>Laroque (Margaux)</t>
  </si>
  <si>
    <t>Chateau Laroque (Margaux)</t>
  </si>
  <si>
    <t>Chateau Malescot St. Exupéry</t>
  </si>
  <si>
    <t>Pavillon Rouge du Chateau Margaux</t>
  </si>
  <si>
    <t>Chateau Margaux</t>
  </si>
  <si>
    <t>Alter Ego de Palmer</t>
  </si>
  <si>
    <t>Chateau Palmer</t>
  </si>
  <si>
    <t>Chateau Rauzan-Segla</t>
  </si>
  <si>
    <t>Chateau du Tertre</t>
  </si>
  <si>
    <t>Chateau du Tertre MAGS</t>
  </si>
  <si>
    <t>Chateau Chasse-Spleen BLANC</t>
  </si>
  <si>
    <t>Chateau Duplessis MAGS</t>
  </si>
  <si>
    <t>Chateau Mauvesin-Barton</t>
  </si>
  <si>
    <t>Chateau Poujeaux</t>
  </si>
  <si>
    <t>Chateau Beychevelle</t>
  </si>
  <si>
    <t>Chateau Branaire Ducru</t>
  </si>
  <si>
    <t>Chateau Branaire Ducru MAGS</t>
  </si>
  <si>
    <t>Chateau Ducru-Beaucaillou</t>
  </si>
  <si>
    <t>Chateau Gloria</t>
  </si>
  <si>
    <t>Sarget de Gruaud Larose</t>
  </si>
  <si>
    <t>Chateau Gruaud Larose</t>
  </si>
  <si>
    <t>Chateau Lagrange</t>
  </si>
  <si>
    <t>Chateau Langoa-Barton</t>
  </si>
  <si>
    <t>Chateau Langoa-Barton - 200th Anniversary</t>
  </si>
  <si>
    <t>Léoville Las Cases</t>
  </si>
  <si>
    <t>Le Petit Lion du Marquis de Las Cases</t>
  </si>
  <si>
    <t>Chateau Léoville Las Cases</t>
  </si>
  <si>
    <t>Léoville-Poyferré</t>
  </si>
  <si>
    <t>Chateau Léoville-Poyferré</t>
  </si>
  <si>
    <t>Chateau Saint-Pierre</t>
  </si>
  <si>
    <t>Chateau Talbot</t>
  </si>
  <si>
    <t>Chateau d'Armailhac</t>
  </si>
  <si>
    <t>Chateau Clerc-Milon (vv)</t>
  </si>
  <si>
    <t>Chateau Duhart-Milon</t>
  </si>
  <si>
    <t>Lacoste Borie</t>
  </si>
  <si>
    <t>Chateau Grand-Puy Lacoste</t>
  </si>
  <si>
    <t>Lacoste Borie (MIXED 9L: 1x3L, 2x1.5L, 4x0.75L)</t>
  </si>
  <si>
    <t>900</t>
  </si>
  <si>
    <t>Chateau Grand-Puy Lacoste (MIXED: 1x3L, 2x1.5L, 4x0.75L)</t>
  </si>
  <si>
    <t>Haut-Bages-Liberal</t>
  </si>
  <si>
    <t>Cérès Haut-Médoc de Chateau Haut-Bages-Liberal (SSA)</t>
  </si>
  <si>
    <t>La Chapelle de Bages</t>
  </si>
  <si>
    <t>Chateau Haut-Bages-Liberal</t>
  </si>
  <si>
    <t>Chateau Haut-Bages-Liberal MAGS</t>
  </si>
  <si>
    <t>Carruades de Lafite</t>
  </si>
  <si>
    <t>Chateau Lafite Rothschild</t>
  </si>
  <si>
    <t>Blanc de Lynch-Bages</t>
  </si>
  <si>
    <t>Chateau Lynch-Bages</t>
  </si>
  <si>
    <t>Mouton-Rothschild</t>
  </si>
  <si>
    <t>Petit Mouton de Mouton-Rothschild</t>
  </si>
  <si>
    <t>Chateau Mouton-Rothschild</t>
  </si>
  <si>
    <t>Pichon-Lalande</t>
  </si>
  <si>
    <t>Réserve de Pichon-Comtesse</t>
  </si>
  <si>
    <t>Chateau Pichon-Lalande</t>
  </si>
  <si>
    <t>Chateau Pontet Canet</t>
  </si>
  <si>
    <t>Chateau Calon-Segur</t>
  </si>
  <si>
    <t>Capbern</t>
  </si>
  <si>
    <t>Chateau Capbern-Gasqueton HVS</t>
  </si>
  <si>
    <t>Chateau Capbern</t>
  </si>
  <si>
    <t>Chateau Capbern MAGS</t>
  </si>
  <si>
    <t>Chateau Cos d'Estournel</t>
  </si>
  <si>
    <t>Chateau Domeyne</t>
  </si>
  <si>
    <t>Chateau Lafon-Rochet</t>
  </si>
  <si>
    <t>La Devise de Lilian</t>
  </si>
  <si>
    <t>Chateau Lilian-Ladouys</t>
  </si>
  <si>
    <t>Chateau Meyney</t>
  </si>
  <si>
    <t>La Dame de Montrose</t>
  </si>
  <si>
    <t>Chateau Montrose</t>
  </si>
  <si>
    <t>Chateau de Pez</t>
  </si>
  <si>
    <t>Chateau Phelan-Segur</t>
  </si>
  <si>
    <t>Petit Manou</t>
  </si>
  <si>
    <t>Medoc</t>
  </si>
  <si>
    <t>Clos Manou, cuvée 1850 (vines, tvv)</t>
  </si>
  <si>
    <t>Chateau Potensac</t>
  </si>
  <si>
    <t>Château Tour Haut-Caussan</t>
  </si>
  <si>
    <t>Château Sociando-Mallet, cuvée Jean Gautreau</t>
  </si>
  <si>
    <t>Northern Haut-Medoc</t>
  </si>
  <si>
    <t>Château Sociando-Mallet, cuvée Jean Gautreau MAGS</t>
  </si>
  <si>
    <t>Domaine De L'Alliance</t>
  </si>
  <si>
    <t>Domaine de L'Alliance 'Définition', BLANC SEC</t>
  </si>
  <si>
    <t>Chateau Climens Asphodele, BLANC SEC</t>
  </si>
  <si>
    <t>Clos des Lunes</t>
  </si>
  <si>
    <t>Lune d'Argent MAGS</t>
  </si>
  <si>
    <t>Château Coutet</t>
  </si>
  <si>
    <t>Château de Fargues</t>
  </si>
  <si>
    <t>Chateau Guiraud</t>
  </si>
  <si>
    <t>Lafon</t>
  </si>
  <si>
    <t>Chateau Lafon</t>
  </si>
  <si>
    <t>Château du Mayne</t>
  </si>
  <si>
    <t>Chateau Rayne Vigneau</t>
  </si>
  <si>
    <t xml:space="preserve"> Chateau Rieussec</t>
  </si>
  <si>
    <t>Chateau Suduiraut</t>
  </si>
  <si>
    <t>Chateau d'Yquem HVS</t>
  </si>
  <si>
    <t>Tirecul la Gravière</t>
  </si>
  <si>
    <t>Blanc Mademoiselle SEC, VdP</t>
  </si>
  <si>
    <t>South West</t>
  </si>
  <si>
    <t>Les Pins du Tirecul La Graviere, Monbazillac 50cl</t>
  </si>
  <si>
    <t>'Chateau' Tirecul La Graviere, Monbazillac 50cl</t>
  </si>
  <si>
    <t>cuvée Madame du Tirecul La Graviere, Monbazillac 50cl</t>
  </si>
  <si>
    <t>Cahors Le Gamotin</t>
  </si>
  <si>
    <t>Cahors Clos de Gamot</t>
  </si>
  <si>
    <t>Cahors Clos de Gamot MAGS</t>
  </si>
  <si>
    <t>Cahors Clos de Gamot Vignes Centenaires (tvv, 1885 vines)</t>
  </si>
  <si>
    <t>Cahors Le Clos St.Jean</t>
  </si>
  <si>
    <t>Domaine de Chantemerle</t>
  </si>
  <si>
    <t>Petit Chablis</t>
  </si>
  <si>
    <t>Chablis Fourchaume 1C</t>
  </si>
  <si>
    <t>Chablis L'Homme Mort 1C</t>
  </si>
  <si>
    <t>Domaine Chaude Écuelle</t>
  </si>
  <si>
    <t>Chablis Vaillons 1C (vv)</t>
  </si>
  <si>
    <t>Chablis VV</t>
  </si>
  <si>
    <t>Chablis Cote de Lechet 1C</t>
  </si>
  <si>
    <t>Chablis Mont de Milieu 1C</t>
  </si>
  <si>
    <t>Chablis Vaillons 1C</t>
  </si>
  <si>
    <t>Chablis Vaudesir GC</t>
  </si>
  <si>
    <t>Chablis Bougros GC</t>
  </si>
  <si>
    <t>Domaine Goisot</t>
  </si>
  <si>
    <t>sauvignon St.Bris Exogyra Virgula</t>
  </si>
  <si>
    <t>Yonne</t>
  </si>
  <si>
    <t>sauvignon St.Bris cru Moury</t>
  </si>
  <si>
    <t>sauvignon St.Bris cru La Ronce</t>
  </si>
  <si>
    <t>Bourgogne Côtes d'Auxerre BLANC</t>
  </si>
  <si>
    <t>Bourgogne cru Biaumont BLANC</t>
  </si>
  <si>
    <t>Bourgogne cru Gueules de Loup BLANC</t>
  </si>
  <si>
    <t>Bourgogne cru Gondonne BLANC (vv)</t>
  </si>
  <si>
    <t>Chablis Faucertaine</t>
  </si>
  <si>
    <t>Bourgogne rouge Corps de Garde</t>
  </si>
  <si>
    <t>Bourgogne rouge Le Court Vit</t>
  </si>
  <si>
    <t>Bourgogne rouge cru La Ronce</t>
  </si>
  <si>
    <t>Irancy rouge cru La Voie de Cravant</t>
  </si>
  <si>
    <t>Irancy rouge cru Les Mazelots (tvv)</t>
  </si>
  <si>
    <t>J&amp;J Archambaud</t>
  </si>
  <si>
    <t>Hautes Cotes de Nuits (vv)</t>
  </si>
  <si>
    <t>Vosne Romanée (vv)</t>
  </si>
  <si>
    <t>Vosne Romanée Petits Monts 1C (vv)</t>
  </si>
  <si>
    <t>Echezeaux GC</t>
  </si>
  <si>
    <t>Pernand Blanc CA</t>
  </si>
  <si>
    <t>Bourgogne rouge Oka CA</t>
  </si>
  <si>
    <t>Et Arlaud</t>
  </si>
  <si>
    <t>Bourgogne rouge Oka EA</t>
  </si>
  <si>
    <t>Hautes Cotes de Nuits (vv) CA</t>
  </si>
  <si>
    <t>Hautes Cotes de Nuits (vv) EA</t>
  </si>
  <si>
    <t>Domaine Arlaud</t>
  </si>
  <si>
    <t>Bourgogne Roncevie rouge</t>
  </si>
  <si>
    <t>Morey-St-Denis</t>
  </si>
  <si>
    <t>Morey-St-Denis Clos Solon CA</t>
  </si>
  <si>
    <t>Morey-St-Denis Clos Solon EA</t>
  </si>
  <si>
    <t>Vosne Romanée CA</t>
  </si>
  <si>
    <t>Vosne Romanée EA</t>
  </si>
  <si>
    <t>Vosne Romanée Aux Réas CA</t>
  </si>
  <si>
    <t>Vosne Romanée Aux Réas EA</t>
  </si>
  <si>
    <t>Gevrey-Chambertin aux Combottes 1C (vv &amp; tvv)</t>
  </si>
  <si>
    <t>Morey-St-Denis Les Millandes 1C</t>
  </si>
  <si>
    <t>Morey St Denis Les Ruchots 1C (vv)</t>
  </si>
  <si>
    <t>Chambolle-Musigny Les Chatelots 1C</t>
  </si>
  <si>
    <t>Chambolle-Musigny Les Noirots 1C</t>
  </si>
  <si>
    <t>Chambolle-Musigny Les Sentiers 1C</t>
  </si>
  <si>
    <t>Vosne Romanée Petits Monts 1C EA</t>
  </si>
  <si>
    <t>Nuits-St-Georges Aux Chaignots 1C CA (vv)</t>
  </si>
  <si>
    <t>Nuits-St-Georges Aux Chaignots 1C cuvée Joseph EA (vv)</t>
  </si>
  <si>
    <t>Charmes-Chambertin GC</t>
  </si>
  <si>
    <t>Clos de La Roche GC</t>
  </si>
  <si>
    <t>Clos St.Denis GC</t>
  </si>
  <si>
    <t>Bonnes Mares GC</t>
  </si>
  <si>
    <t>Clos de Vougeot GC CA</t>
  </si>
  <si>
    <t>Echezeaux GC EA</t>
  </si>
  <si>
    <t>Gevrey-Chambertin aux Combottes 1C (vv &amp; tvv) MAGS</t>
  </si>
  <si>
    <t>Morey-St-Denis Les Millandes 1C MAGS</t>
  </si>
  <si>
    <t>Chambolle-Musigny Les Chatelots 1C MAGS</t>
  </si>
  <si>
    <t>Nuits-St-Georges Aux Chaignots 1C CA (vv) MAGS</t>
  </si>
  <si>
    <t>Nuits-St-Georges Aux Chaignots 1C cuvée Joseph EA (vv) MAGS</t>
  </si>
  <si>
    <t>Clos de La Roche GC MAGS</t>
  </si>
  <si>
    <t>Bonnes Mares GC MAGS</t>
  </si>
  <si>
    <t>Nuits-St-Georges Les Chaignots 1C Joseph EA (vv) JEROS</t>
  </si>
  <si>
    <t>Vosne Romanée Petits Monts 1C EA JEROS</t>
  </si>
  <si>
    <t>Echezeaux GC EA JEROS</t>
  </si>
  <si>
    <t>Domaine Boigey Freres</t>
  </si>
  <si>
    <t>Bourgogne rouge (aux Rogers)</t>
  </si>
  <si>
    <t>Nuits-St-Georges Les Boudots 1C</t>
  </si>
  <si>
    <t>Nuits-St-Georges Les Damodes 1C</t>
  </si>
  <si>
    <t>Vosne Romanée aux Jachées</t>
  </si>
  <si>
    <t>Vosne Romanée Les Suchots 1C</t>
  </si>
  <si>
    <t>Bourgogne rouge (aux Rogers) MAGS</t>
  </si>
  <si>
    <t>Nuits-St-Georges Les Boudots 1C MAGS</t>
  </si>
  <si>
    <t>Nuits-St-Georges Les Damodes 1C MAGS</t>
  </si>
  <si>
    <t>Vosne Romanée aux Jachées MAGS</t>
  </si>
  <si>
    <t>Vosne Romanée Les Ormes MAGS</t>
  </si>
  <si>
    <t>Vosne Romanée Les Suchots 1C MAGS</t>
  </si>
  <si>
    <t>Domaine Ghislaine Barthod</t>
  </si>
  <si>
    <t>Bourgogne Les Graviers BLANC</t>
  </si>
  <si>
    <t>Chambolle-Musigny</t>
  </si>
  <si>
    <t>Chambolle-Musigny Chatelots 1C</t>
  </si>
  <si>
    <t>Chambolle-Musigny Beaux Bruns 1C</t>
  </si>
  <si>
    <t>Chambolle-Musigny Les Fuées 1C</t>
  </si>
  <si>
    <t>Chambolle-Musigny Les Veroilles 1C</t>
  </si>
  <si>
    <t>Chambolle-Musigny Les Charmes 1C</t>
  </si>
  <si>
    <t>Domaine Louis Boillot</t>
  </si>
  <si>
    <t>Beaune Épenotes ROUGE (vv)</t>
  </si>
  <si>
    <t>Volnay Grands Poisots (vv)</t>
  </si>
  <si>
    <t>Volnay Les Angles 1C (vv)</t>
  </si>
  <si>
    <t>Volnay Les Brouillards 1C</t>
  </si>
  <si>
    <t>Volnay Caillerets 1C (vv)</t>
  </si>
  <si>
    <t>Volnay Caillerets 1C</t>
  </si>
  <si>
    <t>Volnay Caillerets 1C (vv )</t>
  </si>
  <si>
    <t>Pommard Fremiers 1C (vv)</t>
  </si>
  <si>
    <t>Pommard Les Croix Noires 1C (vv-tvv)</t>
  </si>
  <si>
    <t>Gevrey-Chambertin</t>
  </si>
  <si>
    <t>Gevrey-Chambertin Evocelles (vv)</t>
  </si>
  <si>
    <t>Gevrey-Chambertin Les Cherbaudes 1C (tvv)</t>
  </si>
  <si>
    <t>Nuits-St-Georges Les Pruliers 1C (tvv)</t>
  </si>
  <si>
    <t>Beaune Epenottes ROUGE (vv) MAGS</t>
  </si>
  <si>
    <t>Volnay Grands Poisots (vv) MAGS</t>
  </si>
  <si>
    <t>Volnay Caillerets 1C (vv) MAGS</t>
  </si>
  <si>
    <t>Pommard Les Fremiers 1C (vv) MAGS</t>
  </si>
  <si>
    <t>Gevrey-Chambertin MAGS</t>
  </si>
  <si>
    <t>Nuits-St-Georges Les Pruliers 1C (tvv) MAGS</t>
  </si>
  <si>
    <t>Domaine Sylvain Cathiard</t>
  </si>
  <si>
    <t>Bourgogne aligoté (vv)</t>
  </si>
  <si>
    <t>Hautes Cotes de Nuits</t>
  </si>
  <si>
    <t>Hautes Cotes de Nuits Aux Chaumes</t>
  </si>
  <si>
    <t>Hautes Cotes de Nuits Les Dames Huguette</t>
  </si>
  <si>
    <t>Nuits-St-Georges</t>
  </si>
  <si>
    <t>Vosne-Romanee</t>
  </si>
  <si>
    <t>Chambolle-Musigny Les Clos de l'Orme</t>
  </si>
  <si>
    <t>Nuits-St-Georges Aux Murgers 1C</t>
  </si>
  <si>
    <t>Nuits-St-Georges Aux Thorey 1C</t>
  </si>
  <si>
    <t>Vosne-Romanee En Orveaux 1C</t>
  </si>
  <si>
    <t>Vosne-Romanee Aux Reignots 1C</t>
  </si>
  <si>
    <t>Vosne-Romanee Les Suchots 1C</t>
  </si>
  <si>
    <t>Vosne-Romanee Aux Malconsorts 1C</t>
  </si>
  <si>
    <t>Romanee St Vivant GC</t>
  </si>
  <si>
    <t>Domaine Jean Chauvenet</t>
  </si>
  <si>
    <t>Nuits-St-Georges Les Lavières (1920 tvv) HVS</t>
  </si>
  <si>
    <t>Nuits-St-Georges Les Lavières (1920 tvv)</t>
  </si>
  <si>
    <t>Nuits-St-Georges Argillas 1C</t>
  </si>
  <si>
    <t>Nuits-St-Georges Damodes 1C (vv)</t>
  </si>
  <si>
    <t>Nuits-St-Georges Rue de Chaux 1C (vv)</t>
  </si>
  <si>
    <t>Nuits-St-Georges Les Perrieres 1C (vv)</t>
  </si>
  <si>
    <t>Nuits-St-Georges Les Vaucrains 1C (vv)</t>
  </si>
  <si>
    <t>Nuits-St-Georges Les Lavières (tvv) MAGS</t>
  </si>
  <si>
    <t>Nuits-St-Georges Damodes 1C (vv) MAGS</t>
  </si>
  <si>
    <t>Nuits-St-Georges Rue de Chaux 1C (vv) MAGS</t>
  </si>
  <si>
    <t>Nuits-St-Georges Les Poulettes 1C (vv) MAGS</t>
  </si>
  <si>
    <t>Nuits-St-Georges Les Perrieres 1C MAGS</t>
  </si>
  <si>
    <t>Nuits-St-Georges Les Vaucrains 1C MAGS</t>
  </si>
  <si>
    <t>Domaine Faiveley</t>
  </si>
  <si>
    <t>Puligny-Montrachet Champ Gain 1C</t>
  </si>
  <si>
    <t>Puligny-Montrachet La Garenne 1C</t>
  </si>
  <si>
    <t>Corton Charlemagne GC</t>
  </si>
  <si>
    <t>Batard Montrachet GC</t>
  </si>
  <si>
    <t>Bienvenues-Batard Montrachet GC</t>
  </si>
  <si>
    <t>Corton Charlemagne GC MAGS</t>
  </si>
  <si>
    <t>Batard Montrachet GC MAGS</t>
  </si>
  <si>
    <t>Blagny la Piece Sous le Bois 1C</t>
  </si>
  <si>
    <t>Corton Clos des Cortons GC monopole</t>
  </si>
  <si>
    <t>Gevrey-Chambertin Les Cazetiers 1C</t>
  </si>
  <si>
    <t>Chambolle-Musigny Charmes 1C</t>
  </si>
  <si>
    <t>Nuits-St-Georges Les Pruliers 1C</t>
  </si>
  <si>
    <t>Nuits-St-Georges Aux Chaignots 1C (vv)</t>
  </si>
  <si>
    <t>Charmes Chambertin GC</t>
  </si>
  <si>
    <t>Mazis Chambertin GC</t>
  </si>
  <si>
    <t>Chambertin Clos de Beze GC</t>
  </si>
  <si>
    <t>Chambertin Clos de Beze GC Les Ouvrées Rodin (vv)</t>
  </si>
  <si>
    <t>Clos de Vougeot GC</t>
  </si>
  <si>
    <t>Echezeaux En Orveaux GC</t>
  </si>
  <si>
    <t>Le Musigny GC</t>
  </si>
  <si>
    <t>Clos de Vougeot GC JEROS</t>
  </si>
  <si>
    <t>Charmes Chambertin GC JEROS</t>
  </si>
  <si>
    <t>Mazis Chambertin GC MAGS</t>
  </si>
  <si>
    <t>Mazis Chambertin GC JEROS</t>
  </si>
  <si>
    <t>Domaine Jean Fournier</t>
  </si>
  <si>
    <t>Bourgogne aligoté Cuvee S (for Spéciale, for Sauvignon...)</t>
  </si>
  <si>
    <t>Bourgogne Champ Forey VV (tvv/vv aligoté)</t>
  </si>
  <si>
    <t>Marsannay rosé</t>
  </si>
  <si>
    <t>Marsannay Les Longeroies HVS</t>
  </si>
  <si>
    <t>Bourgogne Côte d'Or rouge</t>
  </si>
  <si>
    <t>Pernand-Vergelesses Les Vergelesses 1C VV</t>
  </si>
  <si>
    <t>Croix Violette VV, CDN (1937-46 vv)</t>
  </si>
  <si>
    <t>Croix Violette VV, CDN (1937-46 vv) MAGS</t>
  </si>
  <si>
    <t>Domaine Henri Gouges</t>
  </si>
  <si>
    <t>Nuits-St-Georges La Perriere 1C BLANC (vv)</t>
  </si>
  <si>
    <t>Nuits-St-Georges Les Chaignots 1C</t>
  </si>
  <si>
    <t>Nuits-St-Georges Clos des Porrets 1C monopole</t>
  </si>
  <si>
    <t>Nuits-St-Georges Les Vaucrains 1C</t>
  </si>
  <si>
    <t>Nuits-St-Georges Les St.Georges 1C</t>
  </si>
  <si>
    <t>Nuits-St-Georges Les Pruliers 1C MAGS</t>
  </si>
  <si>
    <t>Domaine Jean Grivot</t>
  </si>
  <si>
    <t>Chambolle-Musigny La Combe d'Orveau</t>
  </si>
  <si>
    <t>Nuits-St-Georges aux Boudots 1C</t>
  </si>
  <si>
    <t>Vosne-Romanée Les Rouges 1C</t>
  </si>
  <si>
    <t>Vosne-Romanée Les Beaux Monts 1C</t>
  </si>
  <si>
    <t>Vosne-Romanée Suchots 1C</t>
  </si>
  <si>
    <t>Vosne-Romanée Les Reignots 1C</t>
  </si>
  <si>
    <t>Richebourg GC</t>
  </si>
  <si>
    <t>Nuits-St-Georges Les Pruliers 1C JEROS</t>
  </si>
  <si>
    <t>Nuits-St-Georges Les Boudots 1C JEROS</t>
  </si>
  <si>
    <t>Domaine Guillard</t>
  </si>
  <si>
    <t>Gevrey-Chambertin Les Platieres VV</t>
  </si>
  <si>
    <t>Gevrey-Chambertin Reniard VV</t>
  </si>
  <si>
    <t>Gevrey-Chambertin aux Corvées VV</t>
  </si>
  <si>
    <t>Gevrey-Chambertin Les Corbeaux 1C (tvv de1929)</t>
  </si>
  <si>
    <t>Gevrey-Chambertin Poissenot 1C</t>
  </si>
  <si>
    <t>Gevrey-Chambertin Lavaux St.Jacques 1C</t>
  </si>
  <si>
    <t>Domaine J.P. Guyon</t>
  </si>
  <si>
    <t>Morey-St-Denis La Bidaude BLANC</t>
  </si>
  <si>
    <t>Nuits-St-Georges Les Argillats (PINOT NOIR-BLANC)</t>
  </si>
  <si>
    <t>Chorey-Les-Beaune Les Bons Ores</t>
  </si>
  <si>
    <t>Savigny-Les-Beaune Les Peuillets 1C</t>
  </si>
  <si>
    <t>Chorey-Les-Beaune Les Bons Ores MAGS</t>
  </si>
  <si>
    <t>Savigny-Les-Beaune Les Peuillets 1C MAGS</t>
  </si>
  <si>
    <t>Vosne Romanée</t>
  </si>
  <si>
    <t>Vosne Romanée Les Charmes de Mazieres (vv)</t>
  </si>
  <si>
    <t>Vosne Romanée En Orveaux 1C</t>
  </si>
  <si>
    <t>Vosne Romanée Les Brulées 1C</t>
  </si>
  <si>
    <t>Domaine Olivier Jouan</t>
  </si>
  <si>
    <t>Hautes Cotes de Nuits VV ROUGE</t>
  </si>
  <si>
    <t>Morey-St-Denis Clos Solon</t>
  </si>
  <si>
    <t>Chambolle-Musigny Les Bussières VV</t>
  </si>
  <si>
    <t>Morey-St-Denis Les Ruchots 1C VV</t>
  </si>
  <si>
    <t>Morey-St-Denis La Riotte 1C VV (1934 vines)</t>
  </si>
  <si>
    <t>Nicole Lamarche</t>
  </si>
  <si>
    <t>Bourgogne pinot noir</t>
  </si>
  <si>
    <t>Nuits-St-Georges Les Cras 1C</t>
  </si>
  <si>
    <t>Vosne-Romanée Les Chaumes 1C</t>
  </si>
  <si>
    <t>Vosne-Romanée Les Suchots 1C</t>
  </si>
  <si>
    <t>La Grande Rue GC monopole</t>
  </si>
  <si>
    <t>Domaine des Lambrays</t>
  </si>
  <si>
    <t>Morey St Denis Clos Sorbe 1C</t>
  </si>
  <si>
    <t>Morey St Denis Les Loups 1C</t>
  </si>
  <si>
    <t>Nuits-St-Georges La Richmone 1C</t>
  </si>
  <si>
    <t>Vosne Romanée Les Beaux Monts 1C</t>
  </si>
  <si>
    <t>Clos des Lambrays GC</t>
  </si>
  <si>
    <t>Gevrey-Chambertin Clos Prieur (vv)</t>
  </si>
  <si>
    <t>Gevrey-Chambertin Combe aux Moines 1C VV</t>
  </si>
  <si>
    <t>Gevrey-Chambertin Champeaux 1C</t>
  </si>
  <si>
    <t xml:space="preserve">Gevrey-Chambertin Lavaux-Saint-Jacques 1C </t>
  </si>
  <si>
    <t>Griotte-Chambertin GC</t>
  </si>
  <si>
    <t>Bourgogne rouge MAGS</t>
  </si>
  <si>
    <t>Gevrey-Chambertin Clos Prieur (vv) MAGS</t>
  </si>
  <si>
    <t>Griotte-Chambertin GC MAGS</t>
  </si>
  <si>
    <t>Francois Legros</t>
  </si>
  <si>
    <t>St.Aubin BLANC</t>
  </si>
  <si>
    <t>St.Aubin En Remilly 1C BLANC</t>
  </si>
  <si>
    <t>St.Aubin Murgers des Dents de Chien 1C BLANC</t>
  </si>
  <si>
    <t>Puligny-Montrachet Noyer Bret (vv)</t>
  </si>
  <si>
    <t>Chambolle-Musigny Vieilles Vignes</t>
  </si>
  <si>
    <t>Nuits-St-Georges Aux Bousselots 1C</t>
  </si>
  <si>
    <t>Nuits-St-Georges La Rue de Chaux 1C</t>
  </si>
  <si>
    <t>Nuits-St-Georges Les Perrieres 1C</t>
  </si>
  <si>
    <t>Morey-St-Denis Clos Sorbé 1C</t>
  </si>
  <si>
    <t>Morey-St-Denis La Riotte 1C</t>
  </si>
  <si>
    <t>Vougeot Les Cras 1C</t>
  </si>
  <si>
    <t>Nuits-St-Georges MAGS</t>
  </si>
  <si>
    <t>Morey-St-Denis Clos Sorbé 1C MAGS</t>
  </si>
  <si>
    <t>Nuits-St-Georges Aux Thorey 1C MAGS</t>
  </si>
  <si>
    <t>Bourgogne aligoté aux Poirelots (1943/1944 vv)</t>
  </si>
  <si>
    <t>St.Romain BLANC MAGS</t>
  </si>
  <si>
    <t>Bourgogne pinot noir Grand Chaliot</t>
  </si>
  <si>
    <t>Gevrey-Chambertin Regnard</t>
  </si>
  <si>
    <t>Gevrey-Chambertin Les Seuvrées (1938 to 1966 vv)</t>
  </si>
  <si>
    <t>Morey-St-Denis Trilogie (vv)</t>
  </si>
  <si>
    <t>Morey-St-Denis Tres Girard (1970s vines)</t>
  </si>
  <si>
    <t>Chambolle-Musigny Les Buissieres (vv)</t>
  </si>
  <si>
    <t>Gevrey-Chambertin Aux Combottes 1C (1957 vv )</t>
  </si>
  <si>
    <t>Morey-St-Denis Clos Baulet 1C</t>
  </si>
  <si>
    <t>Morey-St-Denis Les Blanchards 1C</t>
  </si>
  <si>
    <t>Morey-St-Denis 1C Vieilles Vignes</t>
  </si>
  <si>
    <t>Nuits-St-Georges Les Didiers 1C Hospices monopole</t>
  </si>
  <si>
    <t>Nuits-St-Georges Les Vignerondes 1C HOSPICES</t>
  </si>
  <si>
    <t>Charmes Chambertin GC (1948 vv in Mazoyères Haut)</t>
  </si>
  <si>
    <t>Clos de La Roche GC (1960s vv)</t>
  </si>
  <si>
    <t>Clos de La Roche MCMLV GC (1955 vv)</t>
  </si>
  <si>
    <t>Gevrey-Chambertin Les Seuvrées MAGS</t>
  </si>
  <si>
    <t>Morey-St-Denis La Riotte 1C MAGS</t>
  </si>
  <si>
    <t>Nuits-St-Georges Les Didiers 1C Hospices monopole MAGS</t>
  </si>
  <si>
    <t>Clos de Vougeot GC MAGS</t>
  </si>
  <si>
    <t>Charmes Chambertin GC (1948 vv in Mazoyères Haut) MAGS</t>
  </si>
  <si>
    <t>Domaine Maume-Siblas</t>
  </si>
  <si>
    <t>Gevrey-Chambertin en Pallud (vv)</t>
  </si>
  <si>
    <t>Gevrey-Chambertin Les Cherbaudes 1C (vv)</t>
  </si>
  <si>
    <t>Marchand-Tawse</t>
  </si>
  <si>
    <t>Gevrey-Chambertin HVS</t>
  </si>
  <si>
    <t>Cote de Nuits ROUGE</t>
  </si>
  <si>
    <t>Marsannay</t>
  </si>
  <si>
    <t>Nuits-St-Georges La Petite Charmotte</t>
  </si>
  <si>
    <t>Morey-St-Denis En La Rue de Vergy</t>
  </si>
  <si>
    <t>Gevrey-Chambertin en Pallud</t>
  </si>
  <si>
    <t>Gevrey-Chambertin aux Etelois</t>
  </si>
  <si>
    <t>Morey-St-Denis Les Genavrieres 1C</t>
  </si>
  <si>
    <t>Morey-St-Denis Clos des Ormes 1C</t>
  </si>
  <si>
    <t>Gevrey-Chambertin Champeaux 1C (Maison)</t>
  </si>
  <si>
    <t>Gevrey-Chambertin Les Cherbaudes 1C</t>
  </si>
  <si>
    <t>Gevrey-Chambertin Lavaux St.Jacques 1C (vv)</t>
  </si>
  <si>
    <t>Mazoyeres Chambertin GC</t>
  </si>
  <si>
    <t>Charmes Chambertin GC (vv)</t>
  </si>
  <si>
    <t>Mazis Chambertin GC (vv)</t>
  </si>
  <si>
    <t>Mazoyeres Chambertin GC (vv) MAGS</t>
  </si>
  <si>
    <t>Mazis Chambertin GC (vv) MAGS</t>
  </si>
  <si>
    <t>Domaine Méo-Camuzet</t>
  </si>
  <si>
    <t>Clos St.Philibert HCdN monopole BLANC</t>
  </si>
  <si>
    <t>Clos St.Philibert HCdN monopole BLANC MAGS</t>
  </si>
  <si>
    <t>Bourgogne Cote d'Or cuvée Etienne Camuzet ROUGE</t>
  </si>
  <si>
    <t>Bourgogne ROUGE</t>
  </si>
  <si>
    <t>Marsannay ROUGE F&amp;S</t>
  </si>
  <si>
    <t>Fixin Clos du Chapitre 1C F&amp;S</t>
  </si>
  <si>
    <t>Chambolle Feusselottes 1C F&amp;S</t>
  </si>
  <si>
    <t>Nuits-St-Georges Murgers 1C</t>
  </si>
  <si>
    <t>Corton Clos Rognet GC</t>
  </si>
  <si>
    <t>Vosne Aux Brulées 1C</t>
  </si>
  <si>
    <t>Vosne Cros Parantoux 1C</t>
  </si>
  <si>
    <t>Domaine A &amp; JM Molin</t>
  </si>
  <si>
    <t>Fixin VV BLANC</t>
  </si>
  <si>
    <t>Fixin Les Hervelets 1C BLANC</t>
  </si>
  <si>
    <t>Fixin VV</t>
  </si>
  <si>
    <t>Fixin Les Chenevrieres</t>
  </si>
  <si>
    <t>Fixin Les Hervelets 1C (vv)</t>
  </si>
  <si>
    <t>Mazy Chambertin GC (vv)</t>
  </si>
  <si>
    <t>Nuits-St-Georges Clos de la Marechale 1C monopole</t>
  </si>
  <si>
    <t>Chambolle-Musigny Les Amoureuses 1C</t>
  </si>
  <si>
    <t>Musigny GC</t>
  </si>
  <si>
    <t>Domaine Chantal Remy</t>
  </si>
  <si>
    <t>Bourgogne ROUGE cuvée Jardin</t>
  </si>
  <si>
    <t>Morey-St-Denis Clos des Rosiers monopole</t>
  </si>
  <si>
    <t>Morey-St-Denis Clos des Rosiers monopole JEROS</t>
  </si>
  <si>
    <t>Clos de la Roche GC</t>
  </si>
  <si>
    <t>Clos de la Roche GC MAGS</t>
  </si>
  <si>
    <t>Clos de la Roche GC JEROS</t>
  </si>
  <si>
    <t>Latricieres-Chambertin GC (vv)</t>
  </si>
  <si>
    <t>Latricieres-Chambertin GC (vv) JEROS</t>
  </si>
  <si>
    <t>Le Chambertin GC</t>
  </si>
  <si>
    <t>Le Chambertin GC MAGS</t>
  </si>
  <si>
    <t>Bourgogne pinot noir Cote d'Or</t>
  </si>
  <si>
    <t>Nuits-St-Georges Albuca</t>
  </si>
  <si>
    <t>Chambolle-Musigny Les Cabottes</t>
  </si>
  <si>
    <t>Chambolle-Musigny aux Échanges MAGS</t>
  </si>
  <si>
    <t>Chambolle-Musigny Feusselottes 1C</t>
  </si>
  <si>
    <t>Vosne-Romanée vieilles vignes</t>
  </si>
  <si>
    <t>Vosne-Romanée Rouges du Dessus 1C</t>
  </si>
  <si>
    <t>Vosne-Romanée Les Beaumonts 1C</t>
  </si>
  <si>
    <t>Echezeaux du Dessus GC</t>
  </si>
  <si>
    <t>Chapelle-Chambertin GC (vv)</t>
  </si>
  <si>
    <t>Domaine Natalie Vigot</t>
  </si>
  <si>
    <t>Domaine de la Vougeraie</t>
  </si>
  <si>
    <t>Bourgogne chardonnay Terres de Famille</t>
  </si>
  <si>
    <t>Chassagne-Montrache Clos de La Maltroie 1C BLANC</t>
  </si>
  <si>
    <t>Le Clos Blanc de Vougeot 1C monopole</t>
  </si>
  <si>
    <t>Chevalier Montrachet GC</t>
  </si>
  <si>
    <t>Corton Charlemagne - Le Charlemagne GC</t>
  </si>
  <si>
    <t>Bourgogne pinot noir Terres de Famille</t>
  </si>
  <si>
    <t>Vougeot Clos du Prieuré monopole</t>
  </si>
  <si>
    <t>Gevrey-Chambertin Les Evocelles</t>
  </si>
  <si>
    <t>Vosne Romanée aux Champs Perdrix MAGS</t>
  </si>
  <si>
    <t>Charmes Chambertin - Les Mazoyeres GC</t>
  </si>
  <si>
    <t>Bourgogne La Tete dans Les Nuages BLANC</t>
  </si>
  <si>
    <t>Côte de Beaune Les Monsnières BLANC</t>
  </si>
  <si>
    <t>Côte de Beaune (Les Monsnières) BLANC</t>
  </si>
  <si>
    <t>Saint Romain Sous Roche BLANC</t>
  </si>
  <si>
    <t>Saint Romain BLANC</t>
  </si>
  <si>
    <t>Santenay Clos Rousseau 1C BLANC</t>
  </si>
  <si>
    <t>Gaminot ROUGE vdf (pinot-gamay-aligoté-chardonnay)</t>
  </si>
  <si>
    <t>Gaminot ROUGE vdf (pinot-gamay-aligoté)</t>
  </si>
  <si>
    <t>Bourgogne La Tete dans Les Nuages ROUGE</t>
  </si>
  <si>
    <t>Bourgogne Albin ROUGE</t>
  </si>
  <si>
    <t>Cote de Nuits Villages ROUGE</t>
  </si>
  <si>
    <t>Savigny Les Beaune ROUGE</t>
  </si>
  <si>
    <t>Chorey Les Beaune ROUGE</t>
  </si>
  <si>
    <t>Maranges &lt;&lt;Ou Maranges&gt;&gt;</t>
  </si>
  <si>
    <t>Pommard Vaumuriens</t>
  </si>
  <si>
    <t>Maranges La Fussière 1C ROUGE (vv)</t>
  </si>
  <si>
    <t>Beaune Champimonts 1C</t>
  </si>
  <si>
    <t xml:space="preserve">Pommard Les Poutures 1C </t>
  </si>
  <si>
    <t>St.Aubin Derriere La Tour 1C ROUGE HVS</t>
  </si>
  <si>
    <t>St.Aubin Derriere La Tour 1C ROUGE</t>
  </si>
  <si>
    <t xml:space="preserve">Chassagne-Montrachet Le Concis des Champs ROUGE (vv) </t>
  </si>
  <si>
    <t>Chassagne-Montrachet VV ROUGE</t>
  </si>
  <si>
    <t>St.Aubin Derriere La Tour 1C ROUGE JEROS</t>
  </si>
  <si>
    <t>St.Aubin Derriere La Tour 1C ROUGE MAGS</t>
  </si>
  <si>
    <t>Chassagne-Montrachet VV ROUGE MAGS</t>
  </si>
  <si>
    <t>Puligny-Montrachet Les Aubues</t>
  </si>
  <si>
    <t>St.Aubin Le Charmois 1C BLANC</t>
  </si>
  <si>
    <t>St.Aubin Champlots 1C BLANC</t>
  </si>
  <si>
    <t>Beaune Clos du Roi 1C</t>
  </si>
  <si>
    <t>Pommard Clos Blanc 1C</t>
  </si>
  <si>
    <t>Pommard Les Rugiens 1C</t>
  </si>
  <si>
    <t>Volnay Les Fremiets 1C</t>
  </si>
  <si>
    <t>Volnay Les Chevrets 1C</t>
  </si>
  <si>
    <t>Volnay Les Caillerets 1C</t>
  </si>
  <si>
    <t>Volnay Les Fremiets 1C MAGS</t>
  </si>
  <si>
    <t>Volnay Les Chevrets 1C MAGS</t>
  </si>
  <si>
    <t>Echezeaux GC MAGS</t>
  </si>
  <si>
    <t>Bourgogne chardonnay BLANC</t>
  </si>
  <si>
    <t>Meursault</t>
  </si>
  <si>
    <t>Meursault Les Poruzots 1C</t>
  </si>
  <si>
    <t>Meursault Genevrieres 1C</t>
  </si>
  <si>
    <t>Meursault Perrieres 1C</t>
  </si>
  <si>
    <t>Meursault Les Gouttes d'Or 1C</t>
  </si>
  <si>
    <t>Meursault Clos Richemont monopole (vv)</t>
  </si>
  <si>
    <t>Meursault Clos Richemont monopole (vv) MAGS</t>
  </si>
  <si>
    <t>Puligny-Montrachet</t>
  </si>
  <si>
    <t>Puligny-Montrachet Les Combettes 1C</t>
  </si>
  <si>
    <t>Puligny-Montrachet Les Folatieres 1C</t>
  </si>
  <si>
    <t>Puligny-Montrachet Les Perrieres 1C</t>
  </si>
  <si>
    <t>Puligny Clos de La Mouchère 1C monopole</t>
  </si>
  <si>
    <t>Batard-Montrachet GC</t>
  </si>
  <si>
    <t>Le Montrachet GC</t>
  </si>
  <si>
    <t>Domaine Camus-Bruchon</t>
  </si>
  <si>
    <t>Savigny aux Grands Liards VV (tvv)</t>
  </si>
  <si>
    <t>Savigny Gravains 1C</t>
  </si>
  <si>
    <t>Savigny Les Lavieres 1C (vv)</t>
  </si>
  <si>
    <t>Savigny Narbantons 1C (vv)</t>
  </si>
  <si>
    <t>Chandon De Briailles</t>
  </si>
  <si>
    <t>Pernand Ile des Vergelesses 1C (SSA)</t>
  </si>
  <si>
    <t>Savigny Les Lavieres 1C (1954 vv, SSA)</t>
  </si>
  <si>
    <t>Savigny Les Lavieres 1C (1954 vv)</t>
  </si>
  <si>
    <t>Pernand-Vergelesses 1C</t>
  </si>
  <si>
    <t>Pernand Les Vergelesses 1C (1954 vv)</t>
  </si>
  <si>
    <t>Pernand Ile des Vergelesses 1C</t>
  </si>
  <si>
    <t>Corton Les Bressandes GC</t>
  </si>
  <si>
    <t>Macon Village BLANC</t>
  </si>
  <si>
    <t>Macon Village BLANC (SSA)</t>
  </si>
  <si>
    <t>Rully Les Maizieres BLANC</t>
  </si>
  <si>
    <t>Rully Les Maizieres BLANC (SSA)</t>
  </si>
  <si>
    <t>Cote de Beaune La Grande Chatelaine BLANC</t>
  </si>
  <si>
    <t>Bourgogne Cote d'Auxerre pinot noir</t>
  </si>
  <si>
    <t>Domaine Yvon Clerget</t>
  </si>
  <si>
    <t>Meursault Les Chevalieres</t>
  </si>
  <si>
    <t>Volnay en Carelle Sous La Chapelle 1C</t>
  </si>
  <si>
    <t>Volnay Mitans 1C</t>
  </si>
  <si>
    <t>Volnay Santenots 1C</t>
  </si>
  <si>
    <t>Volnay Clos du Verseuil 1C monopole</t>
  </si>
  <si>
    <t>Volnay Champans 1C MAGS</t>
  </si>
  <si>
    <t>Pommard Rugiens 1C</t>
  </si>
  <si>
    <t>Domaine Marc Colin</t>
  </si>
  <si>
    <t>St.Aubin 1C ROUGE</t>
  </si>
  <si>
    <t>Santenay Les Champs Claude VV ROUGE (1910 tvv)</t>
  </si>
  <si>
    <t>Santenay VV ROUGE (90% Champs Claude 1910 tvv)</t>
  </si>
  <si>
    <t>Santenay Les Champs Claude VV ROUGE (1910 tvv) MAGS</t>
  </si>
  <si>
    <t>Santenay Les Champs Claude VV ROUGE (1910 tvv) JEROS</t>
  </si>
  <si>
    <t>St.Aubin cuvée Luce BLANC</t>
  </si>
  <si>
    <t>St.Aubin en Montceau 1C BLANC</t>
  </si>
  <si>
    <t>Chassagne-Montrachet cuvée Margot BLANC</t>
  </si>
  <si>
    <t>Chassagne-Montrachet Vides Bourses 1C BLANC</t>
  </si>
  <si>
    <t>Domaine Follin-Arbelet</t>
  </si>
  <si>
    <t>Pernand en Caradeux 1C BLANC</t>
  </si>
  <si>
    <t>Corton Charlemagne GC (vv)</t>
  </si>
  <si>
    <t>Aloxe-Corton</t>
  </si>
  <si>
    <t>Pernand-Vergelesses Les Fichots 1C</t>
  </si>
  <si>
    <t>Aloxe-Corton Les Vercots 1C</t>
  </si>
  <si>
    <t>Aloxe-Corton Clos du Chapitre 1C</t>
  </si>
  <si>
    <t>Le Corton GC</t>
  </si>
  <si>
    <t>Corton Bressandes GC (vv)</t>
  </si>
  <si>
    <t>Romanée St Vivant GC</t>
  </si>
  <si>
    <t>Pernand-Vergelesses Les Fichots 1C MAGS</t>
  </si>
  <si>
    <t>Aloxe-Corton MAGS</t>
  </si>
  <si>
    <t>Le Corton GC MAGS</t>
  </si>
  <si>
    <t>Corton Bressandes GC (vv) MAGS</t>
  </si>
  <si>
    <t>Le Corton GC JEROS</t>
  </si>
  <si>
    <t>Corton Bressandes GC JEROS</t>
  </si>
  <si>
    <t>Meursault Clos de Tavaux monopole</t>
  </si>
  <si>
    <t>Meursault Goutte d'Or, 1C (1970s, massale)</t>
  </si>
  <si>
    <t>Beaune Clos des Mouches 1C ROUGE (1967, massale)</t>
  </si>
  <si>
    <t>Volnay Le Clos des Chenes 1C (1960s/70s, massale)</t>
  </si>
  <si>
    <t>Pommard Epenots 1C</t>
  </si>
  <si>
    <t>Pommard Les Grands Epenots 1C (vv &amp; tvv)</t>
  </si>
  <si>
    <t>Pommard Les Rugiens 1C (40% 1892 massale)</t>
  </si>
  <si>
    <t>Marc de Bourgogne 40%</t>
  </si>
  <si>
    <t>Beaune ROUGE</t>
  </si>
  <si>
    <t>Pommard 1C</t>
  </si>
  <si>
    <t>Pommard Arvelets 1C</t>
  </si>
  <si>
    <t>Pommard Grands Epenots 1C</t>
  </si>
  <si>
    <t>Corton Renardes GC</t>
  </si>
  <si>
    <t>Pommard Grands Epenots 1C MAGS</t>
  </si>
  <si>
    <t>Pommard Rugiens 1C MAGS</t>
  </si>
  <si>
    <t>Corton Renardes GC MAGS</t>
  </si>
  <si>
    <t>Thierry Glantenay</t>
  </si>
  <si>
    <t>Puligny-Montrachet Les Folatieres 1C (vv)</t>
  </si>
  <si>
    <t>Bourgogne Côte d'Or pinot noir</t>
  </si>
  <si>
    <t>Volnay V.V.</t>
  </si>
  <si>
    <t>Volnay Brouillards 1C (vv)</t>
  </si>
  <si>
    <t>Volnay Clos des Chenes 1C</t>
  </si>
  <si>
    <t>Pommard Saussilles 1C (tvv)</t>
  </si>
  <si>
    <t>Pommard Rugiens 1C (vv)</t>
  </si>
  <si>
    <t>Bourgogne Côte d'Or pinot noir MAGS</t>
  </si>
  <si>
    <t>Volnay MAGS</t>
  </si>
  <si>
    <t>Volnay Brouillards 1C (vv) MAGS</t>
  </si>
  <si>
    <t>Pommard Saussilles 1C (tvv) MAGS</t>
  </si>
  <si>
    <t>Domaine Alain Gras</t>
  </si>
  <si>
    <t>St.Romain BLANC HVS</t>
  </si>
  <si>
    <t>St.Romain ROUGE HVS</t>
  </si>
  <si>
    <t>St.Romain ROUGE MAGS</t>
  </si>
  <si>
    <t>Auxey Duresses tres vieilles vignes</t>
  </si>
  <si>
    <t>Auxey Duresses tres vieilles vignes MAGS</t>
  </si>
  <si>
    <t>Domaine Michel Lafarge</t>
  </si>
  <si>
    <t>Meursault Vendanges Selectionées</t>
  </si>
  <si>
    <t>Beaune les Aigrots 1C BLANC</t>
  </si>
  <si>
    <t>Beaune les Aigrots 1C BLANC MAGS</t>
  </si>
  <si>
    <t>Bourgogne passetoutgrains L'Exception (tvv)</t>
  </si>
  <si>
    <t>Bourgogne passetoutgrains Anthologie (tvv) MAGS</t>
  </si>
  <si>
    <t>Cote de Beaune villages (vv)</t>
  </si>
  <si>
    <t>Volnay Vendanges Selectionnées</t>
  </si>
  <si>
    <t>Beaune les Aigrots 1C ROUGE</t>
  </si>
  <si>
    <t>Beaune Greves 1C (vv)</t>
  </si>
  <si>
    <t>Pommard Pezerolles 1C</t>
  </si>
  <si>
    <t>Volnay 1C</t>
  </si>
  <si>
    <t>Volnay Clos du Chateau des Duc 1C monopole</t>
  </si>
  <si>
    <t>Beaune les Aigrots 1C ROUGE MAGS</t>
  </si>
  <si>
    <t>Beaune Grèves 1C (vv) MAGS</t>
  </si>
  <si>
    <t>Savigny Les Vergelesses SSA 1C BLANC</t>
  </si>
  <si>
    <t>w/o</t>
  </si>
  <si>
    <t>Savigny Les Lavieres SSA 1C ROUGE</t>
  </si>
  <si>
    <t>Gevrey-Chambertin (SSA)</t>
  </si>
  <si>
    <t>Savigny Les Vergelesses 1C BLANC</t>
  </si>
  <si>
    <t xml:space="preserve">Savigny Les Vergelesses 1C BLANC </t>
  </si>
  <si>
    <t>Chassagne-Montrachet Abbaye de Morgeot 1C BLANC</t>
  </si>
  <si>
    <t>Puligny-Montrachet Champs Gain 1C</t>
  </si>
  <si>
    <t>Meursault Les Genevrieres 1C</t>
  </si>
  <si>
    <t>Pommard Les Saussilles</t>
  </si>
  <si>
    <t>Savigny Les Lavieres 1C</t>
  </si>
  <si>
    <t>Beaune Tuvilains 1C</t>
  </si>
  <si>
    <t>Beaune Le Clos Du Roi 1C monopole</t>
  </si>
  <si>
    <t>Beaune Teurons 1C</t>
  </si>
  <si>
    <t>Alex Moreau</t>
  </si>
  <si>
    <t>Bernard Moreau</t>
  </si>
  <si>
    <t>Chassagne-Montrachet La Cardeuse 1C monopole ROUGE</t>
  </si>
  <si>
    <t>Chassagne-Montrachet BLANC</t>
  </si>
  <si>
    <t>Chassagne-Montrachet Les Chenevottes 1C BLANC</t>
  </si>
  <si>
    <t>Chassagne-Montrachet La Maltroie 1C BLANC</t>
  </si>
  <si>
    <t>Chassagne-Montrachet Les Morgeot 1C BLANC</t>
  </si>
  <si>
    <t>Chassagne-Montrachet Grandes Ruchottes 1C BLANC</t>
  </si>
  <si>
    <t>Chevalier-Montrachet GC</t>
  </si>
  <si>
    <t>Clos du Moulin aux Moines</t>
  </si>
  <si>
    <t>Bourgogne Clos de La Perriere monopole BLANC</t>
  </si>
  <si>
    <t>Pernand Les Combottes BLANC</t>
  </si>
  <si>
    <t>Monthelie Sous Le Cellier BLANC</t>
  </si>
  <si>
    <t>Meursault Le Pre de Manche</t>
  </si>
  <si>
    <t>Puligny-Montrachet au Paupillot (vv)</t>
  </si>
  <si>
    <t>Auxey-Duresses Clos du Moulin monopole BLANC</t>
  </si>
  <si>
    <t>Beaune Les Montrevenots 1C BLANC</t>
  </si>
  <si>
    <t>Meursault Charmes 1C (vv)</t>
  </si>
  <si>
    <t>vin natur pinot noir 'vdf monopole' (vv)</t>
  </si>
  <si>
    <t>Bourgogne aux Seurrets ROUGE</t>
  </si>
  <si>
    <t>Bourgogne Clos de La Perriere monopole ROUGE</t>
  </si>
  <si>
    <t>St.Romain Sous Roches ROUGE (vv)</t>
  </si>
  <si>
    <t>Monthelie Sous Le Cellier (vv - final  vintage)</t>
  </si>
  <si>
    <t>Volnay Les Famines</t>
  </si>
  <si>
    <t>Beaune Les Cents Vignes 1C</t>
  </si>
  <si>
    <t>Auxey Duresses Clos du Moulin monopole (vv)</t>
  </si>
  <si>
    <t xml:space="preserve">Auxey Duresses Clos du Moulin VV monopole </t>
  </si>
  <si>
    <t>Auxey Duresses Clos du Moulin VV monopole MAGS</t>
  </si>
  <si>
    <t>Pommard Les Pezerolles 1C</t>
  </si>
  <si>
    <t>Pommard Orgelot 1C monopole  (tvv)</t>
  </si>
  <si>
    <t>Domaine Potinet-Ampeau</t>
  </si>
  <si>
    <t>Monthelie BLANC</t>
  </si>
  <si>
    <t>Meursault Les Rougeots</t>
  </si>
  <si>
    <t>Meursault Porusot 1C</t>
  </si>
  <si>
    <t>Meursault Les Charmes 1C</t>
  </si>
  <si>
    <t>Puligny-Montrachet Champs Gains 1C</t>
  </si>
  <si>
    <t>Monthelie ROUGE</t>
  </si>
  <si>
    <t>Monthelie Les Riottes 1C ROUGE</t>
  </si>
  <si>
    <t>Monthelie Les Champs Fuillots 1C ROUGE</t>
  </si>
  <si>
    <t>Auxey-Duresses Bas des Duresses 1C ROUGE</t>
  </si>
  <si>
    <t>Monthelie Les Champs Fuillots 1C ROUGE MAGS</t>
  </si>
  <si>
    <t>Pommard Les Pezerolles 1C MAGS</t>
  </si>
  <si>
    <t>Volnay Clos des Chenes 1C MAGS</t>
  </si>
  <si>
    <t>St.Aubin La Chateniere 1C BLANC</t>
  </si>
  <si>
    <t>St.Aubin Sur Le Sentier du Clou 1C VV ROUGE</t>
  </si>
  <si>
    <t>Domaine Rémi Rollin</t>
  </si>
  <si>
    <t>Pernand BLANC</t>
  </si>
  <si>
    <t>Pernand Les Cloux BLANC</t>
  </si>
  <si>
    <t>Corton-Charlemagne GC</t>
  </si>
  <si>
    <t>Bourgogne HCDB rouge</t>
  </si>
  <si>
    <t>Pernand Vergelesses</t>
  </si>
  <si>
    <t>Pernand Vergelesses Les Fichots 1C</t>
  </si>
  <si>
    <t>Pernand Vergelesses Ile des Vergelesses 1C</t>
  </si>
  <si>
    <t>Pernand Vergelesses Les Fichots 1C MAGS</t>
  </si>
  <si>
    <t>Domaine Serrigny</t>
  </si>
  <si>
    <t>Bourgogne aligoté (tvv)</t>
  </si>
  <si>
    <t>Savigny Les Beaune BLANC</t>
  </si>
  <si>
    <t>Cote de Nuits villages ROUGE</t>
  </si>
  <si>
    <t>Pernand Vergelesses ROUGE</t>
  </si>
  <si>
    <t>Meursault ROUGE</t>
  </si>
  <si>
    <t>Savigny Les Beaune 'Serrignyssime' (vv)</t>
  </si>
  <si>
    <t>Savigny Les Beaune Les Peuillets 1C</t>
  </si>
  <si>
    <t>Savigny Les Beaune La Dominode 1C (tvv)</t>
  </si>
  <si>
    <t>Auxey Duresses Le Bas des Duresses 1C (vv)</t>
  </si>
  <si>
    <t>Monthelie Sur la Velle 1C ROUGE</t>
  </si>
  <si>
    <t>Volnay Les Mitans 1C</t>
  </si>
  <si>
    <t>Domaine Terres de Velle</t>
  </si>
  <si>
    <t>Bourgogne Cote d'Or chardonnay BLANC</t>
  </si>
  <si>
    <t>Savigny aux Vergelesses 1C BLANC</t>
  </si>
  <si>
    <t>Meursault MAGS</t>
  </si>
  <si>
    <t>Meursault Les Luchets VV MAGS</t>
  </si>
  <si>
    <t>Puligny-Montrachet MAGS</t>
  </si>
  <si>
    <t>Meursault Les Charmes 1C (1936 vv) MAGS</t>
  </si>
  <si>
    <t>Bourgogne Cote d'Or pinot noir</t>
  </si>
  <si>
    <t>Volnay ez Blanches (vv)</t>
  </si>
  <si>
    <t>Monthelie Rouge Les Duresses 1C ROUGE</t>
  </si>
  <si>
    <t>Volnay Le Ronceret 1C</t>
  </si>
  <si>
    <t>Bourgogne Cote d'Or pinot noir MAGS</t>
  </si>
  <si>
    <t>Monthelie Rouge Les Duresses 1C ROUGE MAGS</t>
  </si>
  <si>
    <t>Volnay ez Blanches (vv) MAGS</t>
  </si>
  <si>
    <t>Volnay Le Ronceret 1C MAGS</t>
  </si>
  <si>
    <t>JM, AM &amp; A Vincent</t>
  </si>
  <si>
    <t>Auxey-Duresses Les Bretterins 1C ROUGE (vv)</t>
  </si>
  <si>
    <t>Santenay vieilles vignes ROUGE</t>
  </si>
  <si>
    <t>Santenay Passetemps 1C ROUGE</t>
  </si>
  <si>
    <t>Santenay Beaurepaire 1C ROUGE (vv)</t>
  </si>
  <si>
    <t>Santenay Les Gravieres 1C ROUGE (vv)</t>
  </si>
  <si>
    <t>Santenay Gravité ROUGE</t>
  </si>
  <si>
    <t>Bourgogne BLANC</t>
  </si>
  <si>
    <t>Santenay "Vignes Denses" BLANC</t>
  </si>
  <si>
    <t>St.Aubin 1C BLANC</t>
  </si>
  <si>
    <t>Auxey Les Hautés 1C BLANC</t>
  </si>
  <si>
    <t>Santenay Les Potets 1C BLANC</t>
  </si>
  <si>
    <t>Santenay Le Beaurepaire 1C BLANC</t>
  </si>
  <si>
    <t>Santenay Les Gravieres 1C BLANC</t>
  </si>
  <si>
    <t>Domaine G &amp; X Besson</t>
  </si>
  <si>
    <t>Givry 1C BLANC Amelie</t>
  </si>
  <si>
    <t>Givry Le Haut Colombier monopole ROUGE</t>
  </si>
  <si>
    <t>Givry Les Grands Pretans 1C</t>
  </si>
  <si>
    <t>Givry Les Bois Gautiers 1C</t>
  </si>
  <si>
    <t xml:space="preserve">Beaune Les Champs Pimont 1C </t>
  </si>
  <si>
    <t>Givry Le Haut Colombier monopole ROUGE MAGS</t>
  </si>
  <si>
    <t>Givry Les Grands Pretans 1C MAGS</t>
  </si>
  <si>
    <t>Givry Les Bois Gautiers 1C MAGS</t>
  </si>
  <si>
    <t>Domaine Michel Briday</t>
  </si>
  <si>
    <t>Mercurey Le Roc Blanc BLANC</t>
  </si>
  <si>
    <t>Rully BLANC</t>
  </si>
  <si>
    <t>Rully Clos de Remenot monopole BLANC</t>
  </si>
  <si>
    <t>Rully La Pucelle 1C BLANC</t>
  </si>
  <si>
    <t>Rully Gresigny 1C BLANC (vv)</t>
  </si>
  <si>
    <t>Rully Les 4 Vignes HVS</t>
  </si>
  <si>
    <t>Rully Les 4 Vignes</t>
  </si>
  <si>
    <t>Rully 1C</t>
  </si>
  <si>
    <t>Rully Champs Cloux 1C</t>
  </si>
  <si>
    <t>Rully Les Pierres 1C</t>
  </si>
  <si>
    <t>Rully Les Pierres 1C MAGS</t>
  </si>
  <si>
    <t>Mercurey Clos Marcilly 1C</t>
  </si>
  <si>
    <t>A&amp;I Hasard Les Champs de L'Abbaye</t>
  </si>
  <si>
    <t>Cremant de Bourgogne BLANC</t>
  </si>
  <si>
    <t>Bourgogne Oxfordiennes BLANC</t>
  </si>
  <si>
    <t>Bourgogne Cote Chalonnaise Les Amourettes BLANC</t>
  </si>
  <si>
    <t>Rully La Chatalienne BLANC</t>
  </si>
  <si>
    <t>Rully Les Cailloux BLANC</t>
  </si>
  <si>
    <t>Monthélie Les Sous Roches BLANC</t>
  </si>
  <si>
    <t>Bourgogne Cote Chalonnaise Les Gardes Rémi ROUGE</t>
  </si>
  <si>
    <t>Bourgogne Cote Chalonnaise Les Claveaux ROUGE</t>
  </si>
  <si>
    <t>Bourgogne Clos des Roches (vv) ROUGE</t>
  </si>
  <si>
    <t>Mercurey La Brigadiere ROUGE</t>
  </si>
  <si>
    <t>Mercurey Les Marcoeurs ROUGE</t>
  </si>
  <si>
    <t>Monthélie Les Sous Roches ROUGE</t>
  </si>
  <si>
    <t>Domaine de l'Échelette</t>
  </si>
  <si>
    <t>Macon-Cruzille</t>
  </si>
  <si>
    <t>Macon-Cruzille La Belouse VV</t>
  </si>
  <si>
    <t>Domaine Réné Michel</t>
  </si>
  <si>
    <t>Macon Villages</t>
  </si>
  <si>
    <t>Viré-Clessé Tradition HVS</t>
  </si>
  <si>
    <t>Viré-Clessé Tradition</t>
  </si>
  <si>
    <t>Viré-Clessé Vieilles Vignes Sur Le Chene MAGS</t>
  </si>
  <si>
    <t>Macon-Villages ROUGE (tvv gamay)</t>
  </si>
  <si>
    <t>Domaine Cornin</t>
  </si>
  <si>
    <t>Macon Chaintre Les Serreuxdieres</t>
  </si>
  <si>
    <t>Pouilly-Fuissé Chevrieres</t>
  </si>
  <si>
    <t>Macon Vergisson Sur La Roche BLANC</t>
  </si>
  <si>
    <t>St.Veran</t>
  </si>
  <si>
    <t>St.Veran Les Creches</t>
  </si>
  <si>
    <t>Pouilly Fuissé Pentacrine</t>
  </si>
  <si>
    <t>Pouilly Fuissé Courtelongs</t>
  </si>
  <si>
    <t>Pouilly Fuissé Aux Charmes (vv)</t>
  </si>
  <si>
    <t>Pouilly Fuissé Vers Cras 1C</t>
  </si>
  <si>
    <t>Pouilly Fuissé La Marechaude 1C</t>
  </si>
  <si>
    <t>Pouilly Fuissé 'Clos' Sur La Roche 1C</t>
  </si>
  <si>
    <t>Pouilly Fuissé Ampelopsis</t>
  </si>
  <si>
    <t>Mâcon Les Bruyeres ROUGE</t>
  </si>
  <si>
    <t>Fleurie Grille-Midi (vv)</t>
  </si>
  <si>
    <t>Moulin a Vent vieilles vignes</t>
  </si>
  <si>
    <t>Moulin a Vent Les Rouchaux (vv)</t>
  </si>
  <si>
    <t>Moulin a Vent Le Plantier de Favre (vv)</t>
  </si>
  <si>
    <t>Moulin a Vent Brusselions</t>
  </si>
  <si>
    <t>Moulin a Vent Thorins</t>
  </si>
  <si>
    <t>Moulin a Vent Les Rouchaux (vv) MAGS</t>
  </si>
  <si>
    <t>JP Brun Domaine Terres Dorées</t>
  </si>
  <si>
    <t>Beaujolais BLANC 'classic'</t>
  </si>
  <si>
    <t>Domaine Marc Delienne</t>
  </si>
  <si>
    <t>Fleurie Avalanche de Printemps</t>
  </si>
  <si>
    <t>Fleurie Abbaye Road</t>
  </si>
  <si>
    <t>Fleurie Avalanche de Printemps MAGS</t>
  </si>
  <si>
    <t>Fleurie Abbaye Road MAGS</t>
  </si>
  <si>
    <t>Fleurie Avalanche de Printemps JEROS</t>
  </si>
  <si>
    <t>Famille Dutraive Domaine de la Grand'Cour</t>
  </si>
  <si>
    <t>Beaujolais-Villages Haut du Bois de Leynes FD MAGS</t>
  </si>
  <si>
    <t>Chenas Les Perelles FD</t>
  </si>
  <si>
    <t>Chenas en Papolet FD</t>
  </si>
  <si>
    <t>St.Amour Clos du Chapitre FD</t>
  </si>
  <si>
    <t>Brouilly VV</t>
  </si>
  <si>
    <t>Chiroubles FD MAGS</t>
  </si>
  <si>
    <t>Chenas en Papolet FD MAGS</t>
  </si>
  <si>
    <t>St.Amour Clos du Chapitre FD MAGS</t>
  </si>
  <si>
    <t>Brouilly VV MAGS</t>
  </si>
  <si>
    <t>Fleurie La Tonne FD</t>
  </si>
  <si>
    <t>Fleurie Le Pied de La Rue FD</t>
  </si>
  <si>
    <t>Fleurie Chapelle des Bois</t>
  </si>
  <si>
    <t>Fleurie Clos de La Grand'Cour</t>
  </si>
  <si>
    <t>Fleurie Le Clos vieilles vignes</t>
  </si>
  <si>
    <t>Fleurie La Madone FD MAGS</t>
  </si>
  <si>
    <t>Fleurie Le Pied de La Rue FD MAGS</t>
  </si>
  <si>
    <t>Fleurie Chapelle des Bois MAGS</t>
  </si>
  <si>
    <t>Fleurie Clos de La Grand'Cour MAGS</t>
  </si>
  <si>
    <t>Beaujolais BLANC</t>
  </si>
  <si>
    <t>Beaujolais Villages (vv)</t>
  </si>
  <si>
    <t>Beaujolais Villages (vv) MAGS</t>
  </si>
  <si>
    <t>Côte de Brouilly Metamorphoses</t>
  </si>
  <si>
    <t>Morgon Grand Cras</t>
  </si>
  <si>
    <t>Morgon Corcelette (vv)</t>
  </si>
  <si>
    <t>Morgon Côte du Py (vv)</t>
  </si>
  <si>
    <t>Morgon (Côte du Py) Passerelle 577 (vv)</t>
  </si>
  <si>
    <t>Moulin a Vent au Michelon (incl vv/tvv)</t>
  </si>
  <si>
    <t>Morgon Grand Cras MAGS</t>
  </si>
  <si>
    <t>Morgon Corcelette (vv) MAGS</t>
  </si>
  <si>
    <t>Morgon Côte du Py (vv) MAGS</t>
  </si>
  <si>
    <t>Morgon (Côte du Py) Passerelle 577 (vv) MAGS</t>
  </si>
  <si>
    <t>Moulin a Vent au Michelon (incl vv/tvv) MAGS</t>
  </si>
  <si>
    <t>Chateau la Grange Cochard</t>
  </si>
  <si>
    <t>Morgon Les Charmes (vv &amp; tvv)</t>
  </si>
  <si>
    <t>Morgon Cote du Py (vv)</t>
  </si>
  <si>
    <t>Beaujolais Villages, Piémonts MPJ</t>
  </si>
  <si>
    <t>Beaujolais Villages, vignes des Jumeaux</t>
  </si>
  <si>
    <t>Brouilly MPJ (vv, in Terra Vitis)</t>
  </si>
  <si>
    <t>Moulin à Vent Empreinte</t>
  </si>
  <si>
    <t>Moulin à Vent Les Vignes du Tremblay</t>
  </si>
  <si>
    <t>Moulin à Vent Saprolite (vv/tvv)</t>
  </si>
  <si>
    <t>Moulin à Vent Saprolite (vv/tvv) MAGS</t>
  </si>
  <si>
    <t>Moulin à Vent Heritage (vv/tvv)</t>
  </si>
  <si>
    <t>Moulin à Vent Heritage (vv/tvv) MAGS</t>
  </si>
  <si>
    <t>Moulin à Vent Greneriers (pre-1914 tvv)</t>
  </si>
  <si>
    <t>Christophe Pacalet Chateau les Labourons</t>
  </si>
  <si>
    <t>Beaujolais Villages</t>
  </si>
  <si>
    <t>Côte de Brouilly</t>
  </si>
  <si>
    <t>Julienas</t>
  </si>
  <si>
    <t>St.Amour</t>
  </si>
  <si>
    <t>Fleurie Les Labourons</t>
  </si>
  <si>
    <t>Moulin a Vent</t>
  </si>
  <si>
    <t>Moulin a Vent &lt;cuvée spéciale&gt;</t>
  </si>
  <si>
    <t>chardonnay Marcus</t>
  </si>
  <si>
    <t>chardonnay Ephemere</t>
  </si>
  <si>
    <t>chardonnay Les Ammonites</t>
  </si>
  <si>
    <t>chardonnay Varron (vv)</t>
  </si>
  <si>
    <t>chardonnay Ephemere MAGS</t>
  </si>
  <si>
    <t>savagnin L'Hopital</t>
  </si>
  <si>
    <t>savagnin Varron</t>
  </si>
  <si>
    <t>savagnin Le Monceau (vv) MAGS</t>
  </si>
  <si>
    <t>SE KWA SA? Rouge</t>
  </si>
  <si>
    <t>trousseau L'Hopital</t>
  </si>
  <si>
    <t>poulsard</t>
  </si>
  <si>
    <t>pinot noir</t>
  </si>
  <si>
    <t>vin de paille Épicure HVS</t>
  </si>
  <si>
    <t>marc égrappé de Jura (45%) 70cl</t>
  </si>
  <si>
    <t>70</t>
  </si>
  <si>
    <t>Domaine Pignier</t>
  </si>
  <si>
    <t>Cremant brut nature BLANC</t>
  </si>
  <si>
    <t>Cremant L'Autre brut BLANC</t>
  </si>
  <si>
    <t>GPS – vin blanc d'antan (blend, SSA)</t>
  </si>
  <si>
    <t>gamay blanc (chardonnay)</t>
  </si>
  <si>
    <t>chardonnay de la reculée</t>
  </si>
  <si>
    <t>chardonnay de la reculée MAGS</t>
  </si>
  <si>
    <t>Sauvageon en Oeuf (savagnin 1yr elevage)</t>
  </si>
  <si>
    <t>chardonnay Cellier des Chartreux  (3yr elevage)</t>
  </si>
  <si>
    <t>savagnin (3-4yr elevage)</t>
  </si>
  <si>
    <t>Vin Jaune (savagnin, 6+yr elevage) 62cl</t>
  </si>
  <si>
    <t>62</t>
  </si>
  <si>
    <t>a table avec Léandre (SSA)</t>
  </si>
  <si>
    <t>trousseau HVS</t>
  </si>
  <si>
    <t>trousseau</t>
  </si>
  <si>
    <t>trousseau MAGS</t>
  </si>
  <si>
    <t>trousseau Les Gauthières (SSA)</t>
  </si>
  <si>
    <t>vin de paille HVS</t>
  </si>
  <si>
    <t>Arbois trousseau MAGS</t>
  </si>
  <si>
    <t>Renardat-Fâche</t>
  </si>
  <si>
    <t>En Blanc Aussi, chardonnay pet-nat</t>
  </si>
  <si>
    <t>Cerdon de Bugey (méthode ancestrale)</t>
  </si>
  <si>
    <t>Domaine Bizet</t>
  </si>
  <si>
    <t>Sancerre BLANC HVS</t>
  </si>
  <si>
    <t>Sancerre BLANC</t>
  </si>
  <si>
    <t>Sancerre BLANC cuvée Dolium</t>
  </si>
  <si>
    <t>Sancerre ROSÉ</t>
  </si>
  <si>
    <t>Sancerre ROUGE</t>
  </si>
  <si>
    <t>Sancerre cuvée Celestin ROUGE (vv)</t>
  </si>
  <si>
    <t>Sancerre Caillottes</t>
  </si>
  <si>
    <t>Sancerre Monts Damnés</t>
  </si>
  <si>
    <t>Sancerre Les Culs de Beaujeu</t>
  </si>
  <si>
    <t>Sancerre Grande Cote</t>
  </si>
  <si>
    <t>Sancerre cuvée Paul</t>
  </si>
  <si>
    <t>D&amp;E Millet Domaine De La Loge</t>
  </si>
  <si>
    <t>Pouilly Fumé Cuvée La Loge</t>
  </si>
  <si>
    <t>Pouilly Fume</t>
  </si>
  <si>
    <t>Pouilly Fumé Les Aveillons (vv)</t>
  </si>
  <si>
    <t>Pouilly-Fumé Silex</t>
  </si>
  <si>
    <t>Pouilly-Fumé Rénaissance (vv/tvv)</t>
  </si>
  <si>
    <t>Pouilly-Fumé Rénaissance (vv/tvv) MAGS</t>
  </si>
  <si>
    <t>Sancerre Noël</t>
  </si>
  <si>
    <t>Sancerre rosé</t>
  </si>
  <si>
    <t>Sancerre Etincelle du Loup (on silex)</t>
  </si>
  <si>
    <t>Menetou-Salon Les Morogues rouge</t>
  </si>
  <si>
    <t>Sebastien Riffault</t>
  </si>
  <si>
    <t>Sancerre Raudonas ROUGE (SSA)</t>
  </si>
  <si>
    <t>Saumur BLANC Les Perruches (stoneware)</t>
  </si>
  <si>
    <t>Saumur-Champigny Plume (cement)</t>
  </si>
  <si>
    <t>Saumur-Champigny Rococo (concrete)</t>
  </si>
  <si>
    <t>Saumur-Champigny Vue Sur Loire (1954 vv, from stoneware)</t>
  </si>
  <si>
    <t>Domaine Arnaud Lambert</t>
  </si>
  <si>
    <t>Saumur Clos de l’Étoile, Brézé</t>
  </si>
  <si>
    <t>Domaine Pichot</t>
  </si>
  <si>
    <t>Vouvray Brut</t>
  </si>
  <si>
    <t>Vouvray Coteau de La Biche sec (silex)</t>
  </si>
  <si>
    <t>Vouvray L'Electron Libre</t>
  </si>
  <si>
    <t>Vouvray Le Peu de La Moriette demi-sec</t>
  </si>
  <si>
    <t>Vouvray Le Marigny moelleux monopole (silex)</t>
  </si>
  <si>
    <t>Vouvray Les Larmes de Bacchus liquoreux</t>
  </si>
  <si>
    <t>Vouvray Les Larmes de Bacchus liquoreux tries de grains nobles</t>
  </si>
  <si>
    <t>Johann Spelty Domaine du Caroi Portier</t>
  </si>
  <si>
    <t>Chinon BLANC</t>
  </si>
  <si>
    <t>Chinon Eloge du Soleau (1930 vv on silex)</t>
  </si>
  <si>
    <t>Chinon Les Graviers MAGS</t>
  </si>
  <si>
    <t>Chinon Clos de Neuilly monopole (vv) MAGS</t>
  </si>
  <si>
    <t>Muscadet Les Bonnets Blancs sur lie</t>
  </si>
  <si>
    <t>Muscadet Les Gautronnieres</t>
  </si>
  <si>
    <t>Muscadet cru Goulaine</t>
  </si>
  <si>
    <t>Cornas Chaillot</t>
  </si>
  <si>
    <t>Cornas Reynard</t>
  </si>
  <si>
    <t>Crozes-Hermitage Sybèle BLANC</t>
  </si>
  <si>
    <t>St.Joseph Circa BLANC</t>
  </si>
  <si>
    <t>Hermitage Blanche BLANC</t>
  </si>
  <si>
    <t>Côtes du Rhône Mon Coeur</t>
  </si>
  <si>
    <t>Côtes du Rhône Mon Coeur MAGS</t>
  </si>
  <si>
    <t>Crozes-Hermitage Silene</t>
  </si>
  <si>
    <t>St Joseph Offerus</t>
  </si>
  <si>
    <t>Hermitage Farconnet</t>
  </si>
  <si>
    <t>Hermitage BLANC</t>
  </si>
  <si>
    <t>St.Joseph ROUGE</t>
  </si>
  <si>
    <t>St.Joseph Clos Florentin ROUGE</t>
  </si>
  <si>
    <t>Hermitage ROUGE</t>
  </si>
  <si>
    <t>Famille Tardieu</t>
  </si>
  <si>
    <t>Crozes-Hermitage VV BLANC</t>
  </si>
  <si>
    <t>St.Peray VV BLANC</t>
  </si>
  <si>
    <t>St.Joseph VV BLANC</t>
  </si>
  <si>
    <t>St.Joseph VV BLANC Paradis &lt;SC&gt;</t>
  </si>
  <si>
    <t>Condrieu</t>
  </si>
  <si>
    <t>St.Joseph VV BLANC Paradis &lt;SC&gt; MAGS</t>
  </si>
  <si>
    <t>Condrieu MAGS</t>
  </si>
  <si>
    <t>Hermitage BLANC MAGS</t>
  </si>
  <si>
    <t>'LE GOUT DU LIEU' - MIXED 3-PACK NORTH RHÔNE PARCELLAIRE:</t>
  </si>
  <si>
    <t>18&amp;20</t>
  </si>
  <si>
    <t>Crozes-Hermitage VV</t>
  </si>
  <si>
    <t>Crozes-Hermitage Cuvée La Tour VV &lt;SC&gt;</t>
  </si>
  <si>
    <t>Crozes-Hermitage Mejean VV &lt;SC&gt;</t>
  </si>
  <si>
    <t>Crozes-Hermitage Gervans VV &lt;SC&gt;</t>
  </si>
  <si>
    <t>St.Joseph VV</t>
  </si>
  <si>
    <t>St.Joseph VV St. Pierre de Boeuf &lt;SC&gt;</t>
  </si>
  <si>
    <t>St.Joseph VV St.Pierre de Boeuf &lt;SC&gt;</t>
  </si>
  <si>
    <t>Cornas Coteaux</t>
  </si>
  <si>
    <t>Cornas VV</t>
  </si>
  <si>
    <t>Cornas VV Les Eygats &lt;SC&gt;</t>
  </si>
  <si>
    <t>Cornas Les Eygats (vv) &lt;SC&gt;</t>
  </si>
  <si>
    <t>Côte-Rotie Semons &lt;SC&gt;</t>
  </si>
  <si>
    <t>Côte-Rotie Cote de Rozier &lt;SC&gt;</t>
  </si>
  <si>
    <t>Côte-Rotie</t>
  </si>
  <si>
    <t>Côte-Rotie VV</t>
  </si>
  <si>
    <t>Hermitage (vv)</t>
  </si>
  <si>
    <t>Hermitage Rouméas &lt;SC&gt;</t>
  </si>
  <si>
    <t>Hermitage</t>
  </si>
  <si>
    <t>Crozes-Hermitage Mejean VV &lt;SC&gt; MAGS</t>
  </si>
  <si>
    <t>Crozes-Hermitage Gervans VV &lt;SC&gt; MAGS</t>
  </si>
  <si>
    <t>Crozes-Hermitage VV MAGS</t>
  </si>
  <si>
    <t>St.Joseph VV St. Pierre de Boeuf &lt;SC&gt; MAGS</t>
  </si>
  <si>
    <t>St.Joseph VV St.Pierre de Boeuf &lt;SC&gt; MAGS</t>
  </si>
  <si>
    <t>St.Joseph VV MAGS</t>
  </si>
  <si>
    <t>Cornas Coteaux MAGS</t>
  </si>
  <si>
    <t>Cornas VV Les Eygats &lt;SC&gt; MAGS</t>
  </si>
  <si>
    <t>Cornas Les Eygats (vv) &lt;SC&gt; MAGS</t>
  </si>
  <si>
    <t>Cornas VV MAGS</t>
  </si>
  <si>
    <t>Côte-Rotie Semons &lt;SC&gt; MAGS</t>
  </si>
  <si>
    <t>Côte-Rotie Cote de Rozier &lt;SC&gt; MAGS</t>
  </si>
  <si>
    <t>Côte-Rotie MAGS</t>
  </si>
  <si>
    <t>Hermitage Rouméas &lt;SC&gt; MAGS</t>
  </si>
  <si>
    <t>Hermitage MAGS</t>
  </si>
  <si>
    <t>St.Joseph BLANC</t>
  </si>
  <si>
    <t>Côte-Rôtie Barbarine</t>
  </si>
  <si>
    <t>Côte-Rôtie Sereine Noire</t>
  </si>
  <si>
    <t>Côte-Rôtie Cote Rozier</t>
  </si>
  <si>
    <t>St.Joseph BLANC HVS</t>
  </si>
  <si>
    <t>viognier Les Ruisseaux igp</t>
  </si>
  <si>
    <t>St.Joseph BLANC MAGS</t>
  </si>
  <si>
    <t>St.Joseph ROUGE HVS</t>
  </si>
  <si>
    <t>St.Joseph ROUGE MAGS</t>
  </si>
  <si>
    <t>St.Joseph ROUGE JEROS</t>
  </si>
  <si>
    <t>Le Temps est Venu, Cotes du Rhone BLANC</t>
  </si>
  <si>
    <t>Blanc d'Ogier</t>
  </si>
  <si>
    <t>La Rosine viognier</t>
  </si>
  <si>
    <t>Condrieu Combe de Malleval</t>
  </si>
  <si>
    <t>Condrieu, les vieilles vignes de Jacques Vernay</t>
  </si>
  <si>
    <t>La Rosine syrah HVS</t>
  </si>
  <si>
    <t>L’Âme Soeur syrah, Seyssuel HVS</t>
  </si>
  <si>
    <t>Côte Rôtie Reserve HVS</t>
  </si>
  <si>
    <t>La Rosine syrah</t>
  </si>
  <si>
    <t>L’Âme Soeur syrah, Seyssuel</t>
  </si>
  <si>
    <t>Côte Rôtie Mon Village HVS</t>
  </si>
  <si>
    <t>Côte Rôtie Mon Village</t>
  </si>
  <si>
    <t>Côte Rôtie Réserve</t>
  </si>
  <si>
    <t>Côte Rôtie cru La Champon</t>
  </si>
  <si>
    <t>Côte Rôtie Belle Hélène (Côte Rozier)</t>
  </si>
  <si>
    <t>Côte Rôtie Lieux-dits MIXED 9-PACK</t>
  </si>
  <si>
    <t>Côte Rôtie Lieux-dits MIXED 6-PACK</t>
  </si>
  <si>
    <t>Côte Rôtie Lieux-dits MIXED 7-PACK</t>
  </si>
  <si>
    <t>La Rosine syrah MAGS</t>
  </si>
  <si>
    <t>L’Âme Soeur syrah, Seyssuel MAGS</t>
  </si>
  <si>
    <t>Côte Rôtie Village MAGS</t>
  </si>
  <si>
    <t>Côte Rôtie Reserve MAGS</t>
  </si>
  <si>
    <t>Domaine Remizieres</t>
  </si>
  <si>
    <t>Crozes-Hermitage BLANC cuvée Particulière</t>
  </si>
  <si>
    <t>Crozes-Hermitage ROUGE cuvée Christophe</t>
  </si>
  <si>
    <t>Hermitage ROUGE cuvée Autrement</t>
  </si>
  <si>
    <t>Hermitage ROUGE cuvée Emilie</t>
  </si>
  <si>
    <t>Denis Barrillon</t>
  </si>
  <si>
    <t>Châteauneuf-du-Pape MAGS</t>
  </si>
  <si>
    <t>Les Rouliers vdf du Gard</t>
  </si>
  <si>
    <t>Chateauneuf du Pape</t>
  </si>
  <si>
    <t>Chateauneuf du Pape, cuvée Marie Beurrier</t>
  </si>
  <si>
    <t>Chateauneuf du Pape, Reserve Celestins</t>
  </si>
  <si>
    <t>Chateauneuf du Pape, cuvée Marie Beurrier MAGS</t>
  </si>
  <si>
    <t>Chateauneuf du Pape, Reserve Celestins MAGS</t>
  </si>
  <si>
    <t>Domaine Charvin</t>
  </si>
  <si>
    <t>Chateauneuf-du-Pape BLANC</t>
  </si>
  <si>
    <t>Cotes du Rhone</t>
  </si>
  <si>
    <t>Chateauneuf-du-Pape HVS</t>
  </si>
  <si>
    <t>Chateauneuf-du-Pape</t>
  </si>
  <si>
    <t>Chateauneuf-du-Pape MAGS</t>
  </si>
  <si>
    <t>Chateauneuf-du-Pape JEROS</t>
  </si>
  <si>
    <t>Clos Des Papes</t>
  </si>
  <si>
    <t>Châteauneuf-du-Pape BLANC</t>
  </si>
  <si>
    <t>Châteauneuf-du-Pape</t>
  </si>
  <si>
    <t>Gigondas L'Argnée VV (tvv)</t>
  </si>
  <si>
    <t>Chateau de Beaucastel</t>
  </si>
  <si>
    <t>Château de Beaucastel, Chateauneuf du Pape BLANC</t>
  </si>
  <si>
    <t>Château de Beaucastel roussanne VV BLANC</t>
  </si>
  <si>
    <t>Coudoulet de Beaucastel, Cotes du Rhone</t>
  </si>
  <si>
    <t>Château de Beaucastel, Chateauneuf du Pape</t>
  </si>
  <si>
    <t>Château de Beaucastel Hommage a Jacques Perrin (tvv)</t>
  </si>
  <si>
    <t>Côtes du Rhône Nobles Origines BLANC</t>
  </si>
  <si>
    <t>Côtes du Rhône Guy Louis BLANC</t>
  </si>
  <si>
    <t>Vacqueyras BLANC</t>
  </si>
  <si>
    <t>Châteauneuf-du-Pape VV BLANC</t>
  </si>
  <si>
    <t>Côtes du Rhône Nobles Origines</t>
  </si>
  <si>
    <t>Côtes du Rhône Guy Louis</t>
  </si>
  <si>
    <t>Côtes du Rhône cuvée speciale VV</t>
  </si>
  <si>
    <t>Lirac VV</t>
  </si>
  <si>
    <t>Rasteau VV</t>
  </si>
  <si>
    <t>Rasteau VV La Montagne &lt;SC&gt;</t>
  </si>
  <si>
    <t>Vacqueyras VV</t>
  </si>
  <si>
    <t>Vacqueyras Cabassol VV &lt;SC&gt;</t>
  </si>
  <si>
    <t>Vacqueyras Les Pendants VV &lt;SC&gt;</t>
  </si>
  <si>
    <t>Gigondas La Machotte VV &lt;SC&gt;</t>
  </si>
  <si>
    <t>Gigondas Les Teysonnieres VV &lt;SC&gt;</t>
  </si>
  <si>
    <t>Gigondas VV</t>
  </si>
  <si>
    <t>Gigondas Les Dentelles VV &lt;SC&gt;</t>
  </si>
  <si>
    <t>Châteauneuf-du-Pape VV</t>
  </si>
  <si>
    <t>Châteauneuf-du-Pape Solitude de La Crau VV &lt;SC&gt;</t>
  </si>
  <si>
    <t>Châteauneuf-du-Pape cuvée spéciale (tvv)</t>
  </si>
  <si>
    <t>Côtes du Rhône cuvée spéciale VV MAGS</t>
  </si>
  <si>
    <t>Lirac VV MAGS</t>
  </si>
  <si>
    <t>Rasteau La Montagne VV &lt;SC&gt; MAGS</t>
  </si>
  <si>
    <t>Rasteau VV MAGS</t>
  </si>
  <si>
    <t>Vacqueyras Les Pendants VV &lt;SC&gt; MAGS</t>
  </si>
  <si>
    <t>Vacqueyras VV MAGS</t>
  </si>
  <si>
    <t>Gigondas VV MAGS</t>
  </si>
  <si>
    <t>Châteauneuf-du-Pape Solitude de La Crau VV &lt;SC&gt; MAGS</t>
  </si>
  <si>
    <t>Châteauneuf-du-Pape VV MAGS</t>
  </si>
  <si>
    <t>Châteauneuf-du-Pape cuvée spéciale (tvv) MAGS</t>
  </si>
  <si>
    <t>Domaine de la Mordorée</t>
  </si>
  <si>
    <t>Chateauneuf du Pape, La Reine des Bois</t>
  </si>
  <si>
    <t>Same River Twice BLANC vdf</t>
  </si>
  <si>
    <t>Same River Twice ORANGE, vdf</t>
  </si>
  <si>
    <t>Same River Twice ROSÉ, vdf</t>
  </si>
  <si>
    <t>Same River Twice ROUGE, vdf</t>
  </si>
  <si>
    <t>Domaine Des Pallieres</t>
  </si>
  <si>
    <t>Gigondas Les Racines</t>
  </si>
  <si>
    <t>Gigondas Les Racines MAGS</t>
  </si>
  <si>
    <t>Chateauneuf du Pape Piedlong</t>
  </si>
  <si>
    <t>Chateauneuf du Pape MAGS</t>
  </si>
  <si>
    <t>Domaine de Villeneuve</t>
  </si>
  <si>
    <t>La Griffe, Côtes du Rhône</t>
  </si>
  <si>
    <t>Chateauneuf du Pape vieilles vignes</t>
  </si>
  <si>
    <t xml:space="preserve">Chateauneuf du Pape vieilles vignes </t>
  </si>
  <si>
    <t>Châteauneuf du Pape vieilles vignes  MAGS</t>
  </si>
  <si>
    <t>Châteauneuf du Pape Habemus Papam  MAGS</t>
  </si>
  <si>
    <t>Original BLANC</t>
  </si>
  <si>
    <t>Les Quilles Libres BLANC (vv)</t>
  </si>
  <si>
    <t>Les Quilles Libres BLANC (vv - oxidative)</t>
  </si>
  <si>
    <t>Tiens toi a Caro</t>
  </si>
  <si>
    <t>Soif de Plaisir ROUGE (vv)</t>
  </si>
  <si>
    <t>Les Quilles Libres ROUGE (vv)</t>
  </si>
  <si>
    <t>Maury vdn (tvv) 50cl</t>
  </si>
  <si>
    <t>Trigone BLANC No.19</t>
  </si>
  <si>
    <t>'mv'</t>
  </si>
  <si>
    <t>Le Soula BLANC</t>
  </si>
  <si>
    <t>Le Soula BLANC MAGS</t>
  </si>
  <si>
    <t>La Maceration du Soula No.21</t>
  </si>
  <si>
    <t>La Maceration du Soula No.19 MAGS</t>
  </si>
  <si>
    <t>Le Soula ROUGE</t>
  </si>
  <si>
    <t>Domaine de Montmarin</t>
  </si>
  <si>
    <t>Horizon BLANC, Côtes de Thongue</t>
  </si>
  <si>
    <t>Horizon Rosé, Côtes de Thongue</t>
  </si>
  <si>
    <t>viognier, Côtes de Thongue</t>
  </si>
  <si>
    <t>chardonnay, Côtes de Thongue</t>
  </si>
  <si>
    <t>Horizon Rouge, Côtes de Thongue</t>
  </si>
  <si>
    <t>Fleurs des Causses, rosé igp</t>
  </si>
  <si>
    <t>Les Pierres Seches, Faugères rouge</t>
  </si>
  <si>
    <t>Chateau Gilbert &amp; Gaillard</t>
  </si>
  <si>
    <t>St.Chinian, Pour Les Amis de G&amp;G</t>
  </si>
  <si>
    <t>St.Chinian, Chateau Gilbert &amp; Gaillard</t>
  </si>
  <si>
    <t>Roc d'Anglade ROSÉ, Gard</t>
  </si>
  <si>
    <t>Roc d'Anglade BLANC, Gard</t>
  </si>
  <si>
    <t>Roc d'Anglade BLANC, Gard MAGS</t>
  </si>
  <si>
    <t>Roc d'Anglade Anglada BLANC, Gard</t>
  </si>
  <si>
    <t>Roc d'Anglade Anglada BLANC, Gard MAGS</t>
  </si>
  <si>
    <t>Roc d'Anglade ROUGE, Gard HVS</t>
  </si>
  <si>
    <t>Roc d'Anglade ROUGE, Gard</t>
  </si>
  <si>
    <t>Roc d'Anglade Anglada ROUGE, Gard</t>
  </si>
  <si>
    <t>Roc d'Anglade ROUGE, Gard MAGS</t>
  </si>
  <si>
    <t>Roc d'Anglade ROUGE, Gard JEROS</t>
  </si>
  <si>
    <t>Reserva Especial No.12</t>
  </si>
  <si>
    <t>MV</t>
  </si>
  <si>
    <t>Reserva Especial No.11</t>
  </si>
  <si>
    <t>Reserva Especial No.10</t>
  </si>
  <si>
    <t>Reserva Especial No.9</t>
  </si>
  <si>
    <t>Reserva Especial No.8</t>
  </si>
  <si>
    <t>Reserva Especial No.7</t>
  </si>
  <si>
    <t>Reserva Especial No.6 (bottled 2018)</t>
  </si>
  <si>
    <t>Reserva Especial No.5 (bottled 2017)</t>
  </si>
  <si>
    <t>Reserva Especial No.4 (bottled 2016)</t>
  </si>
  <si>
    <t>Reserva Especial No.3 (bottled 2015)</t>
  </si>
  <si>
    <t>Reserva Especial No.2 (bottled 2014)</t>
  </si>
  <si>
    <t>Reserva Especial No.1 (bottled 2013)</t>
  </si>
  <si>
    <t>Reserva Especial No.10 MAGS</t>
  </si>
  <si>
    <t>Reserva Especial No.9 MAGS</t>
  </si>
  <si>
    <t>Reserva Especial No.8 MAGS</t>
  </si>
  <si>
    <t>Reserva Especial No.7 MAGS</t>
  </si>
  <si>
    <t>Reserva Especial No.6 (bottled 2018) MAGS</t>
  </si>
  <si>
    <t>Reserva Especial No.5 (bottled 2017) MAGS</t>
  </si>
  <si>
    <t>Reserva Especial No.3 (bottled 2015) MAGS</t>
  </si>
  <si>
    <t>Reserva Especial No.2 (bottled 2014) MAGS</t>
  </si>
  <si>
    <t>Domaine Ray-Jane</t>
  </si>
  <si>
    <t>Ray Jane BLANC igp</t>
  </si>
  <si>
    <t>Bandol BLANC</t>
  </si>
  <si>
    <t>Bandol ROSÉ</t>
  </si>
  <si>
    <t>Bandol ROSÉ JEROS</t>
  </si>
  <si>
    <t>Ray Jane ROUGE igp</t>
  </si>
  <si>
    <t>Bandol ROUGE (vv-tvv)</t>
  </si>
  <si>
    <t>Bandol cuvée du Falun ROUGE (tvv)</t>
  </si>
  <si>
    <t>Bandol ROUGE (vv-tvv) MAGS</t>
  </si>
  <si>
    <t>Bandol VV</t>
  </si>
  <si>
    <t>Domaine Tempier</t>
  </si>
  <si>
    <t>Bandol classique HVS</t>
  </si>
  <si>
    <t>Bandol 'Lulu &amp; Lucien'</t>
  </si>
  <si>
    <t>Bandol classique</t>
  </si>
  <si>
    <t>Bandol cru La Migoua</t>
  </si>
  <si>
    <t xml:space="preserve">Bandol cru La Migoua </t>
  </si>
  <si>
    <t>Bandol cru La Tourtine</t>
  </si>
  <si>
    <t>Bandol cru Cabassaou</t>
  </si>
  <si>
    <t>Bandol classique 'Pour Lulu' MAGS</t>
  </si>
  <si>
    <t>Bandol cru La Migoua MAGS</t>
  </si>
  <si>
    <t>Bandol cru La Tourtine MAGS</t>
  </si>
  <si>
    <t>Bandol cru La Migoua JEROS</t>
  </si>
  <si>
    <t>Bandol cru La Tourtine JEROS</t>
  </si>
  <si>
    <t>Blanc de Morgex</t>
  </si>
  <si>
    <t>Antea bianco (tvv)</t>
  </si>
  <si>
    <t>Sciacau rosato</t>
  </si>
  <si>
    <t>rossese di Dolceaqua</t>
  </si>
  <si>
    <t>rossese di Dolceaqua cru Luvaira</t>
  </si>
  <si>
    <t>rossese di Dolceaqua cru Fulavin</t>
  </si>
  <si>
    <t>rossese di Dolceaqua cru Poggio Pini (tvv)</t>
  </si>
  <si>
    <t>Passato by Bel Colle</t>
  </si>
  <si>
    <t>barbera d'Alba</t>
  </si>
  <si>
    <t>nebbiolo Langhe</t>
  </si>
  <si>
    <t>favorita bianco</t>
  </si>
  <si>
    <t>dolcetto d'Alba</t>
  </si>
  <si>
    <t>barbera d'Alba Ape Reale</t>
  </si>
  <si>
    <t>nebbiolo d'Alba La Reala</t>
  </si>
  <si>
    <t>nebbiolo Langhe MAGS</t>
  </si>
  <si>
    <t>Barbaresco cru Pajore</t>
  </si>
  <si>
    <t>Barolo Simposio (Verduno village blend)</t>
  </si>
  <si>
    <t>Barolo cru Bussia</t>
  </si>
  <si>
    <t>Barolo cru Monvigliero</t>
  </si>
  <si>
    <t xml:space="preserve">Barolo cru Monvigliero </t>
  </si>
  <si>
    <t>Barbaresco cru Pajore MAGS</t>
  </si>
  <si>
    <t>Barolo cru Monvigliero MAGS</t>
  </si>
  <si>
    <t>Barbaresco cru Pajore JEROS</t>
  </si>
  <si>
    <t>Barbaresco cru Pajore 500cl</t>
  </si>
  <si>
    <t>Barolo cru Monvigliero JEROS</t>
  </si>
  <si>
    <t>Barolo cru Monvigliero 500cl</t>
  </si>
  <si>
    <t>Langhe nebbiolo</t>
  </si>
  <si>
    <t>Barolo Brunate</t>
  </si>
  <si>
    <t>Barolo Brunate MAGS</t>
  </si>
  <si>
    <t>Barolo Brunate JEROS</t>
  </si>
  <si>
    <t>Anterse extra brut</t>
  </si>
  <si>
    <t>Roero arneis</t>
  </si>
  <si>
    <t>dolcetto Vignavillej (vv)</t>
  </si>
  <si>
    <t>barbera Sori del Drago</t>
  </si>
  <si>
    <t xml:space="preserve">barbera Ciabot del Fi </t>
  </si>
  <si>
    <t>freisa La Villarina Seca</t>
  </si>
  <si>
    <t>nebbiolo d'Alba</t>
  </si>
  <si>
    <t>Barolo Brovia</t>
  </si>
  <si>
    <t>Barolo cru Garblet Sué, Castiglione Falleto</t>
  </si>
  <si>
    <t>Barolo cru Rocche di Castiglione</t>
  </si>
  <si>
    <t>Barolo cru Villero, Castiglione Falleto</t>
  </si>
  <si>
    <t>Barolo cru Brea-Ca'Mia Serralunga d'Alba monopole</t>
  </si>
  <si>
    <t>Barolo cru Garblet Sué, Castiglione Falleto MAGS</t>
  </si>
  <si>
    <t>Barolo cru Villero, Castiglione Falleto MAGS</t>
  </si>
  <si>
    <t>Barolo cru Brea-Ca'Mia Serralunga d'Alba monopole MAGS</t>
  </si>
  <si>
    <t>Barolo Grinzane Cavour</t>
  </si>
  <si>
    <t>Barolo cru Paiagallo</t>
  </si>
  <si>
    <t>Barolo cru Paiagallo MAGS</t>
  </si>
  <si>
    <t>Ciama N'Aut rosso (dolcetto carbo di Dogliani)</t>
  </si>
  <si>
    <t>barbera d'Asti (1960 vv)</t>
  </si>
  <si>
    <t>Nizza DOCG (1940 barbera vv, cru Bricco)</t>
  </si>
  <si>
    <t>Langhe nebbiolo (cru Gramolere)</t>
  </si>
  <si>
    <t>Barolo MAGS</t>
  </si>
  <si>
    <t>Barolo cru Castelletto</t>
  </si>
  <si>
    <t>Barolo cru Castelletto MAGS</t>
  </si>
  <si>
    <t>Barolo cru Perno riserva (Vigna della Croce, 1940 vv Michet clone)</t>
  </si>
  <si>
    <t>Barolo cru Bussia Dardi Le Rose</t>
  </si>
  <si>
    <t>barbera d’Alba Vigna Francia</t>
  </si>
  <si>
    <t>barbera d’Alba Vigna Ceretta</t>
  </si>
  <si>
    <t>nebbiolo d'Alba Vigna Arione</t>
  </si>
  <si>
    <t>Barolo cru Arione, Serralunga d'Alba</t>
  </si>
  <si>
    <t>Barolo cru Ceretta, Serralunga d'Alba</t>
  </si>
  <si>
    <t>Barolo cru Francia, Serralunga d'Alba</t>
  </si>
  <si>
    <t>Barolo Monfortino, Serralunga d'Alba</t>
  </si>
  <si>
    <t>Barolo cru Arione MAGS</t>
  </si>
  <si>
    <t>Barolo cru Ceretta MAGS</t>
  </si>
  <si>
    <t>Barolo cru Cascina Francia MAGS</t>
  </si>
  <si>
    <t>Barolo Monfortino MAGS</t>
  </si>
  <si>
    <t>Verduno pelaverga speziale®</t>
  </si>
  <si>
    <t>Barolo di Verduno, Flli.Alessandria</t>
  </si>
  <si>
    <t>Barolo cru San Lorenzo</t>
  </si>
  <si>
    <t>Barolo cru Gramolere (vv)</t>
  </si>
  <si>
    <t>Barolo di Verduno, Flli.Alessandria MAGS</t>
  </si>
  <si>
    <t>Barolo cru San Lorenzo MAGS</t>
  </si>
  <si>
    <t>Barolo cru Gramolere (vv) MAGS</t>
  </si>
  <si>
    <t>Barolo cru Briccolina, Serralunga d'Alba</t>
  </si>
  <si>
    <t>Barolo cru Briccolina, Serralunga d'Alba MAGS</t>
  </si>
  <si>
    <t>Poderi Marcarini</t>
  </si>
  <si>
    <t>moscato d'Asti (5%)</t>
  </si>
  <si>
    <t>dolcetto d’Alba Boschi di Berri (pre-phylloxera vines, tvv)</t>
  </si>
  <si>
    <t>barbera Ciabot Camerano</t>
  </si>
  <si>
    <t>Barolo La Morra</t>
  </si>
  <si>
    <t>Barolo cru La Serra</t>
  </si>
  <si>
    <t>Barolo cru Brunate</t>
  </si>
  <si>
    <t>Barolo La Morra MAGS</t>
  </si>
  <si>
    <t>Barolo cru La Serra MAGS</t>
  </si>
  <si>
    <t>Barolo cru Brunate MAGS</t>
  </si>
  <si>
    <t>Barolo cru Brunate JEROS</t>
  </si>
  <si>
    <t>Barolo Chinato (16%) HVS</t>
  </si>
  <si>
    <t>Langhe freisa</t>
  </si>
  <si>
    <t>Barolo Bartolo Mascarello</t>
  </si>
  <si>
    <t>Barolo Bartolo Mascarello MAGS</t>
  </si>
  <si>
    <t>Spluva rosso</t>
  </si>
  <si>
    <t>Barolo Rocche dell'Annunziata</t>
  </si>
  <si>
    <t>Barolo Rocche dell'Annunziata MAGS</t>
  </si>
  <si>
    <t>Barolo Rocche dell'Annunziata JEROS</t>
  </si>
  <si>
    <t>Barolo cru Perno</t>
  </si>
  <si>
    <t>Barolo cru Perno riserva</t>
  </si>
  <si>
    <t>Barolo cru Perno MAGS</t>
  </si>
  <si>
    <t>Barolo cru Perno riserva MAGS</t>
  </si>
  <si>
    <t>Barolo cru Perno riserva 500cl</t>
  </si>
  <si>
    <t>dolcetto d’Alba</t>
  </si>
  <si>
    <t>barbera d’Alba</t>
  </si>
  <si>
    <t>freisa</t>
  </si>
  <si>
    <t>Barolo Tre Tine (Cannubi Boschis-Ravera-Le Coste)</t>
  </si>
  <si>
    <t>Langhe bianco nascetta di Novello</t>
  </si>
  <si>
    <t>Barolo undicicomuni (11 commune blend)</t>
  </si>
  <si>
    <t>Barolo cru Castello, Grinzane Cavour</t>
  </si>
  <si>
    <t>Barolo cru Ravera, Novello</t>
  </si>
  <si>
    <t>Barolo cru Boiolo, La Morra</t>
  </si>
  <si>
    <t>Barolo cru Monvigliero, Verduno</t>
  </si>
  <si>
    <t>Barolo cru Bussia, Monforte d'Alba</t>
  </si>
  <si>
    <t>Barolo cru Vigna Rionda, Serralunga d'Alba</t>
  </si>
  <si>
    <t>Barolo 2016 mixed 6 with 2x village, 4x crus</t>
  </si>
  <si>
    <t>Barolo undicicomuni (11 commune blend) MAGS</t>
  </si>
  <si>
    <t>Barolo undicicomuni (11 commune blend) JEROS</t>
  </si>
  <si>
    <t>Barolo cru Castello, Grinzane Cavour MAGS</t>
  </si>
  <si>
    <t>Barolo cru Ravera, Novello MAGS</t>
  </si>
  <si>
    <t>Barolo cru Boiolo, La Morra MAGS</t>
  </si>
  <si>
    <t>Barolo cru Monvigliero, Verduno MAGS</t>
  </si>
  <si>
    <t>Barolo cru Bussia, Monforte d'Alba MAGS</t>
  </si>
  <si>
    <t>Barolo cru Vigna Rionda, Serralunga d'Alba MAGS</t>
  </si>
  <si>
    <t>Barolo cru Rocche di Castiglione MAGS</t>
  </si>
  <si>
    <t>Langhe bianco</t>
  </si>
  <si>
    <t>Solea bianco</t>
  </si>
  <si>
    <t>Solea 'bianco' MAGS</t>
  </si>
  <si>
    <t>Montemarzino bianco, Tortona MAGS</t>
  </si>
  <si>
    <t>barbera (5yrs elevage)</t>
  </si>
  <si>
    <t>Langhe rosso (nebbiolo, 5yrs elevage)</t>
  </si>
  <si>
    <t>Barbaresco cru Pajé</t>
  </si>
  <si>
    <t>Barbaresco cru Faset</t>
  </si>
  <si>
    <t>Barbaresco cru Gallina</t>
  </si>
  <si>
    <t>Barbaresco cru Albesani</t>
  </si>
  <si>
    <t>Barbaresco cru Pajé vecchie viti (vv)</t>
  </si>
  <si>
    <t>Barbaresco cru Montefico vecchie viti (vv)</t>
  </si>
  <si>
    <t>Barbaresco cru Pajé MAGS</t>
  </si>
  <si>
    <t>Barbaresco cru Faset MAGS</t>
  </si>
  <si>
    <t>Barbaresco cru Gallina MAGS</t>
  </si>
  <si>
    <t>Barbaresco cru Albesani MAGS</t>
  </si>
  <si>
    <t>Barbaresco cru Asili vecchie viti (vv) MAGS</t>
  </si>
  <si>
    <t>Barbaresco cru Montefico vecchie viti (vv) MAGS</t>
  </si>
  <si>
    <t>Barbaresco Crichēt Pajé (vv)</t>
  </si>
  <si>
    <t>Barbaresco Crichēt Pajé (vv) MAGS</t>
  </si>
  <si>
    <t>Barbaresco Crichēt Pajé (vv) JEROS</t>
  </si>
  <si>
    <t>Barbaresco Crichēt Pajé (vv) 500cl</t>
  </si>
  <si>
    <t>Crichēt Pajé (vv) 1200cl</t>
  </si>
  <si>
    <t>1200</t>
  </si>
  <si>
    <t>Crichēt Pajé (vv) 1800cl</t>
  </si>
  <si>
    <t>1800</t>
  </si>
  <si>
    <t>Barolo di Barolo</t>
  </si>
  <si>
    <t>Barolo cru La Pira monopole</t>
  </si>
  <si>
    <t>Barolo cru La Pira vecchie viti monopole (vv)</t>
  </si>
  <si>
    <t>Barolo di Barolo MAGS</t>
  </si>
  <si>
    <t>Barolo cru La Pira vecchie viti monopole (vv) MAGS</t>
  </si>
  <si>
    <t>Barolo La Pira riserva Etichetta Nera monopole</t>
  </si>
  <si>
    <t>Barolo La Pira riserva Etichetta Nera monopole MAGS</t>
  </si>
  <si>
    <t>Queen Case: Barolo &amp; Barbaresco crus JEROS</t>
  </si>
  <si>
    <t>300x6</t>
  </si>
  <si>
    <t>King Case: Barolo &amp; Barbaresco crus 500cl</t>
  </si>
  <si>
    <t>500x6</t>
  </si>
  <si>
    <t>Barolo Chinato</t>
  </si>
  <si>
    <t>Barolo Chinato Vecchie Formula Etichetta Nera</t>
  </si>
  <si>
    <t>Grappa di Barbaresco</t>
  </si>
  <si>
    <t>Grappa di Barolo</t>
  </si>
  <si>
    <t>nebbiolo d'Alba Valmaggiore sibi et paucis</t>
  </si>
  <si>
    <t>Barolo Le Vigne</t>
  </si>
  <si>
    <t>Barolo Le Vigne MAGS</t>
  </si>
  <si>
    <t>Barolo Le Vigne JEROS</t>
  </si>
  <si>
    <t>Barolo Aleste MAGS</t>
  </si>
  <si>
    <t>Barolo Aleste JEROS</t>
  </si>
  <si>
    <t>barbera Maggiur (tvv at Alba)</t>
  </si>
  <si>
    <t>barbera Axilium (vv at Asili, Barbaresco)</t>
  </si>
  <si>
    <t>nebbiolo Langhe Maggiur</t>
  </si>
  <si>
    <t>Barbaresco Paolin (vv, Neive)</t>
  </si>
  <si>
    <t>Barbaresco cru Asili (vv)</t>
  </si>
  <si>
    <t>Barbaresco cru Basarin</t>
  </si>
  <si>
    <t>Barbaresco cru Rabaja-Bas</t>
  </si>
  <si>
    <t>Barbaresco cru Rabaja</t>
  </si>
  <si>
    <t>Barbaresco riserva (vv, blend)</t>
  </si>
  <si>
    <t>Barolo Leon, Serralunga (cru Ceretta)</t>
  </si>
  <si>
    <t>viognier Lume</t>
  </si>
  <si>
    <t>timorasso Campogatto, Colli Tortonesi</t>
  </si>
  <si>
    <t>dolcetto Montubert</t>
  </si>
  <si>
    <t>barbera Maria Teresa  (vv)</t>
  </si>
  <si>
    <t xml:space="preserve">Barbaresco cru Serracapelli </t>
  </si>
  <si>
    <t>Barbaresco Dedicato a Paolo, cru Serracapelli (vv)</t>
  </si>
  <si>
    <t>dolcetto Montubert MAGS</t>
  </si>
  <si>
    <t>Barbaresco cru Serracapelli riserva MAGS</t>
  </si>
  <si>
    <t>moscato d'Asti (vv, cru Sette Vie) HVS</t>
  </si>
  <si>
    <t>moscato d'Asti (vv, cru Sette Vie)</t>
  </si>
  <si>
    <t>Langhe chardonnay</t>
  </si>
  <si>
    <t xml:space="preserve">Barbaresco Meruzzano </t>
  </si>
  <si>
    <t>Barbaresco Meruzzano</t>
  </si>
  <si>
    <t>Barbaresco cru Monte Stefano</t>
  </si>
  <si>
    <t>Terseux Retaggio XII, Alta Langa (nebbiolo rosato)</t>
  </si>
  <si>
    <t>barbera d'Asti</t>
  </si>
  <si>
    <t>freisa MAGS</t>
  </si>
  <si>
    <t>Barbaresco cru Roncaglie</t>
  </si>
  <si>
    <t xml:space="preserve">Barbaresco cru Roncaglie riserva </t>
  </si>
  <si>
    <t>Barbaresco cru Roncaglie riserva</t>
  </si>
  <si>
    <t>Barbaresco MAGS</t>
  </si>
  <si>
    <t>Barbaresco cru Roncaglie MAGS</t>
  </si>
  <si>
    <t>Barbaresco cru Roncaglie riserva  MAGS</t>
  </si>
  <si>
    <t>Conterno-Nervi</t>
  </si>
  <si>
    <t>Nervi Erbaluce di Caluso</t>
  </si>
  <si>
    <t>Gattinara JEROS</t>
  </si>
  <si>
    <t>Gattinara cru Valferana JEROS</t>
  </si>
  <si>
    <t>Gattinara cru Molsino JEROS</t>
  </si>
  <si>
    <t>Gattinara riserva</t>
  </si>
  <si>
    <t>Gattinara riserva MAGS</t>
  </si>
  <si>
    <t>Gattinara riserva JEROS</t>
  </si>
  <si>
    <t>&lt;Alice&gt; (moscato secco)</t>
  </si>
  <si>
    <t>timorasso cru ll Montino, Colli Tortonesi</t>
  </si>
  <si>
    <t>Cascina Conti Bronda</t>
  </si>
  <si>
    <t>moscato rosso Giusy Dus</t>
  </si>
  <si>
    <t>Gavi INDI - CON LE BOLLE (metodo ancestrale)</t>
  </si>
  <si>
    <t>Gavi Metodo Classico</t>
  </si>
  <si>
    <t>Gavi Metodo Classico MAGS</t>
  </si>
  <si>
    <t>Gavi Yellow label</t>
  </si>
  <si>
    <t>Gavi Black label</t>
  </si>
  <si>
    <t>Gavi INDI label</t>
  </si>
  <si>
    <t>Gavi riserva, Vigna della Rovere Verde</t>
  </si>
  <si>
    <t>Gavi riserva, Vigna della Rovere Verde MAGS</t>
  </si>
  <si>
    <t>Gavi Black label HVS (late release)</t>
  </si>
  <si>
    <t>Gavi Tempo al Tempo (2024 release)</t>
  </si>
  <si>
    <t>Gavi Black label (2019 release)</t>
  </si>
  <si>
    <t>Gavi di Tassarolo</t>
  </si>
  <si>
    <t>Nivö dolcetto, Monferrato rosso</t>
  </si>
  <si>
    <t>Scajeta nebbiolo, Monferrato rosso</t>
  </si>
  <si>
    <t>Ramié rosso (big blend, SSA)</t>
  </si>
  <si>
    <t>Barbacan rosso Alpi Retiche</t>
  </si>
  <si>
    <t>cru Liom (rosso Alpi Retiche)</t>
  </si>
  <si>
    <t>Valgella cru Sol (incl.tvv)</t>
  </si>
  <si>
    <t>Valgella cru Jazpemi (tvv)</t>
  </si>
  <si>
    <t>Valgella cru Livel (vv)</t>
  </si>
  <si>
    <t>Valgella cru Fracia riserva (tvv)</t>
  </si>
  <si>
    <t>Valgella cru Livel (vv, riserva program)</t>
  </si>
  <si>
    <t xml:space="preserve">Sforzato di Valtellina </t>
  </si>
  <si>
    <t>Barbacan rosso di Valtellina MAGS</t>
  </si>
  <si>
    <t>Valgella cru Pizamej (tvv) MAGS</t>
  </si>
  <si>
    <t>Valgella cru Livel (vv) MAGS</t>
  </si>
  <si>
    <t>Valgella cru Fracia riserva (tvv) MAGS</t>
  </si>
  <si>
    <t>Cantina Mezzacane</t>
  </si>
  <si>
    <t>Grano (blend: ~6mths macerate in anfora, then tonneaux)</t>
  </si>
  <si>
    <t>Cimento (cortese: 6mths maceration in cement, then tonneaux)</t>
  </si>
  <si>
    <t>Corteggio (cortese: 9mths maceration in anfora, SSA)</t>
  </si>
  <si>
    <t>Losco (timorasso: 7mths maceration in anfora, then tonneaux)</t>
  </si>
  <si>
    <t>Atarké (riesling Italico: 9mths macerate in tonneaux, SSA)</t>
  </si>
  <si>
    <t>Grano (blend: ~6mths macerate in anfora, then tonneaux) MAGS</t>
  </si>
  <si>
    <t>Cimento (cortese: 6mths maceration in cement, then tonneaux) MAGS</t>
  </si>
  <si>
    <t>Losco (timorasso: 7mths maceration in anfora, then tonneaux) MAGS</t>
  </si>
  <si>
    <t>Fuja rosso (blend: 6mths maceration, SSA)</t>
  </si>
  <si>
    <t>Fuja rosso (blend: 6mths maceration)</t>
  </si>
  <si>
    <t>Fuja rosso (blend: 6mths maceration) MAGS</t>
  </si>
  <si>
    <t>Podere Il Santo</t>
  </si>
  <si>
    <t>Rairon rosso (uva rara vv, 8yrs elevage)</t>
  </si>
  <si>
    <t>Cento9 rosso (barbera &amp; croatina vv, 9yrs elevage)</t>
  </si>
  <si>
    <t>Cento9 rosso (barbera &amp; croatina vv, 10yrs elevage)</t>
  </si>
  <si>
    <t>Bl.te.le (blatterle) bianco</t>
  </si>
  <si>
    <t>L.2022</t>
  </si>
  <si>
    <t>B (blatterle) bianco</t>
  </si>
  <si>
    <t>Mitterberg lagrein rosato</t>
  </si>
  <si>
    <t>Kretzer lagrein rosato</t>
  </si>
  <si>
    <t>Elda rosso (schiava vv/tvv based field blend)</t>
  </si>
  <si>
    <t>L.2018</t>
  </si>
  <si>
    <t>Ty...(teroldego) rosso</t>
  </si>
  <si>
    <t>lagrein riserva</t>
  </si>
  <si>
    <t>Gloria (lagrein) rosso (vv)</t>
  </si>
  <si>
    <t>Cantina Caldaro aka Kellerei Kaltern</t>
  </si>
  <si>
    <t>pinot grigio</t>
  </si>
  <si>
    <t>muller thurgau</t>
  </si>
  <si>
    <t>pinot bianco</t>
  </si>
  <si>
    <t>sauvignon blanc</t>
  </si>
  <si>
    <t>sauvignon blanc Quintessenz</t>
  </si>
  <si>
    <t>Kalterersee classico rosso (schiava)</t>
  </si>
  <si>
    <t>Pfarrhof cabernet sauvignon riserva</t>
  </si>
  <si>
    <t>pinot noir MAGS</t>
  </si>
  <si>
    <t>Valpolicella ripasso</t>
  </si>
  <si>
    <t>Amarone della Valpolicella</t>
  </si>
  <si>
    <t>Recioto della Valpolicella 50cl</t>
  </si>
  <si>
    <t>Corte Lavel by Marion</t>
  </si>
  <si>
    <t>Valpolicella ripasso CORTE LAVEL</t>
  </si>
  <si>
    <t>Amarone della Valpolicella CORTE LAVEL</t>
  </si>
  <si>
    <t>Valpolicella superiore HVS</t>
  </si>
  <si>
    <t>Amarone della Valpolicella HVS</t>
  </si>
  <si>
    <t>Valpolicella superiore</t>
  </si>
  <si>
    <t>teroldego rotaliano</t>
  </si>
  <si>
    <t>cabernet sauvignon</t>
  </si>
  <si>
    <t>cabernet sauvignon MAGS</t>
  </si>
  <si>
    <t>teroldego rotaliano MAGS</t>
  </si>
  <si>
    <t>Amarone della Valpolicella MAGS</t>
  </si>
  <si>
    <t>Dal’Forno Romano</t>
  </si>
  <si>
    <t>Valpolicella DBL MAGS</t>
  </si>
  <si>
    <t>08&amp;09</t>
  </si>
  <si>
    <t>Vigna Seré passito rosso dolce (recioto) HVS</t>
  </si>
  <si>
    <t>Recioto della Valpolicella MAGS</t>
  </si>
  <si>
    <t>Lugana Cromalgo</t>
  </si>
  <si>
    <t>Lugana riserva</t>
  </si>
  <si>
    <t>bianco (unoaked chardonnay)</t>
  </si>
  <si>
    <t>Bardolino chiaretto (rosato)</t>
  </si>
  <si>
    <t>Bardolino rosso</t>
  </si>
  <si>
    <t>Alessandro Filippi</t>
  </si>
  <si>
    <t>garganega sulle bucce (di Soave)</t>
  </si>
  <si>
    <t>Soave Magenta</t>
  </si>
  <si>
    <t>Cristiana Meggiolaro</t>
  </si>
  <si>
    <t>garganega Saro</t>
  </si>
  <si>
    <t>So San rosso (Colli Berici tocai, aka grenache - SSA)</t>
  </si>
  <si>
    <t>Masieri Rosso (merlot, grenache)</t>
  </si>
  <si>
    <t>Orto DBL MAGS</t>
  </si>
  <si>
    <t>Borgo Frare Il Colle</t>
  </si>
  <si>
    <t>Prosecco di Treviso spumante brut</t>
  </si>
  <si>
    <t>Prosecco brut BIOLOGICO</t>
  </si>
  <si>
    <t>Ca'Dei Zago</t>
  </si>
  <si>
    <t>Prosecco col-fondo</t>
  </si>
  <si>
    <t>Prosecco col-fondo MAGS</t>
  </si>
  <si>
    <t>Prosecco di Valdobbiadene</t>
  </si>
  <si>
    <t>Prosecco di Valdobbiadene JEROS</t>
  </si>
  <si>
    <t>Ronco Pitotti pinot grigio</t>
  </si>
  <si>
    <t>malvasia Istriana - Chioma Integrale</t>
  </si>
  <si>
    <t>Duline friulano (vv/tvv)</t>
  </si>
  <si>
    <t>Ronco Pitotti chardonnay</t>
  </si>
  <si>
    <t>Morus Alba bianco</t>
  </si>
  <si>
    <t>Ronco Pitotti sauvignon (vv- tvv)</t>
  </si>
  <si>
    <t>Giallodi Duline MAGS</t>
  </si>
  <si>
    <t>Duline schioppettino</t>
  </si>
  <si>
    <t>Morus Nigra</t>
  </si>
  <si>
    <t>Ronco Pitotti pinot noir</t>
  </si>
  <si>
    <t>Ronco Pitotti Il Merlot MAGS</t>
  </si>
  <si>
    <t>ribolla gialla</t>
  </si>
  <si>
    <t>ribolla gialla MAGS</t>
  </si>
  <si>
    <t>pinot gris ramato</t>
  </si>
  <si>
    <t>Rujno rosso (merlot vv)</t>
  </si>
  <si>
    <t>Breg rosso pignolo</t>
  </si>
  <si>
    <t>Breg rosso pignolo MAGS</t>
  </si>
  <si>
    <t>rosato dosaggio zero metodo classico 'KK'</t>
  </si>
  <si>
    <t>NV</t>
  </si>
  <si>
    <t>malvasia Istriana 'KM' (SSA)</t>
  </si>
  <si>
    <t>sauvignon blanc 'KS' (SSA)</t>
  </si>
  <si>
    <t>vitovska classic</t>
  </si>
  <si>
    <t>malvasia Istriana classic</t>
  </si>
  <si>
    <t>chardonnay classic</t>
  </si>
  <si>
    <t>sauvignon blanc classic</t>
  </si>
  <si>
    <t>malvasia Istriana selezione</t>
  </si>
  <si>
    <t>chardonnay La Bora di Kante selezione</t>
  </si>
  <si>
    <t>sauvignon blanc selezione</t>
  </si>
  <si>
    <t>chardonnay La Bora di Kante selezione MAGS</t>
  </si>
  <si>
    <t>sauvignon blanc selezione MAGS</t>
  </si>
  <si>
    <t>terrano rosso</t>
  </si>
  <si>
    <t>vitovska, Carso</t>
  </si>
  <si>
    <t>malvasia Istriana, Carso</t>
  </si>
  <si>
    <t>pinot grigio Il Tasso</t>
  </si>
  <si>
    <t>friulano (vv)</t>
  </si>
  <si>
    <t>ribolla gialla (vv)</t>
  </si>
  <si>
    <t>traminer aromatico</t>
  </si>
  <si>
    <t>chardonnay</t>
  </si>
  <si>
    <t>merlot Il Tasso</t>
  </si>
  <si>
    <t>merlot</t>
  </si>
  <si>
    <t>cabernet franc</t>
  </si>
  <si>
    <t>Podere Il Carnasciale</t>
  </si>
  <si>
    <t>Ottantadue, Vald'Arno di Sopra DOC</t>
  </si>
  <si>
    <t>Carnasciale (2nd wine)</t>
  </si>
  <si>
    <t>Carnasciale Il Caberlot SOMMELERIA</t>
  </si>
  <si>
    <t>Carnasciale Il Caberlot MAGS</t>
  </si>
  <si>
    <t>Carnasciale Il Caberlot riserva MAGS</t>
  </si>
  <si>
    <t>Carnasciale Il Caberlot JEROS</t>
  </si>
  <si>
    <t xml:space="preserve">vernaccia di San Gimignano Vigna a Solatio </t>
  </si>
  <si>
    <t>vernaccia di San Gimignano Vigna a Solatio riserva</t>
  </si>
  <si>
    <t>Paretaio rosso (sangiovese/merlot)</t>
  </si>
  <si>
    <t>Campora rosso (cabernet sauvignon)</t>
  </si>
  <si>
    <t>Paretaio rosso (sangiovese/merlot) MAGS</t>
  </si>
  <si>
    <t>Campora rosso (cabernet sauvignon) MAGS</t>
  </si>
  <si>
    <t>William Brogioni</t>
  </si>
  <si>
    <t>Vin Santo del Chianti (3 anni di caratello, 17.5%) 50cl</t>
  </si>
  <si>
    <t>Vin Santo del Chianti (3 anni di caratello, 15.5%) 50cl</t>
  </si>
  <si>
    <t>Vin Santo del Chianti (3 anni di caratello, 16%) 50cl</t>
  </si>
  <si>
    <t>Vin Santo del Chianti (4 anni di caratello, 15.5%) 50cl</t>
  </si>
  <si>
    <t>Vin Santo del Chianti Stravecchio (8 anni di caratello, 15.5%) 50cl</t>
  </si>
  <si>
    <t>Chianti-Shire</t>
  </si>
  <si>
    <t xml:space="preserve">Chianti Classico </t>
  </si>
  <si>
    <t>Chianti Classico MAGS</t>
  </si>
  <si>
    <t>Chianti Classico Riserva</t>
  </si>
  <si>
    <t>Chianti Classico Riserva MAGS</t>
  </si>
  <si>
    <t>Fattoria Montellori</t>
  </si>
  <si>
    <t>Chianti</t>
  </si>
  <si>
    <t>Chianti Classico Riserva (vv)</t>
  </si>
  <si>
    <t>Chianti Classico Riserva (vv) MAGS</t>
  </si>
  <si>
    <t>Chianti Classico Riserva (vv) JEROS</t>
  </si>
  <si>
    <t>Sassi Chiusi</t>
  </si>
  <si>
    <t>Sassi Chiusi MAGS</t>
  </si>
  <si>
    <t>Sassi Chiusi JEROS</t>
  </si>
  <si>
    <t>Torre Alle Tolfe</t>
  </si>
  <si>
    <t>Chianti Colli Senesi riserva</t>
  </si>
  <si>
    <t>canaiolo</t>
  </si>
  <si>
    <t>malvasia nera</t>
  </si>
  <si>
    <t>Campo dell'Orzo (sangiovese cru)</t>
  </si>
  <si>
    <t>Baricci Colombaio di Montesoli</t>
  </si>
  <si>
    <t>Brunello di Montalcino</t>
  </si>
  <si>
    <t xml:space="preserve">Brunello di Montalcino Riserva Nello </t>
  </si>
  <si>
    <t>Brunello di Montalcino Riserva Nello</t>
  </si>
  <si>
    <t>Brunello di Montalcino MAGS</t>
  </si>
  <si>
    <t>Brunello di Montalcino  MAGS</t>
  </si>
  <si>
    <t>Case Basse by Famiglia Soldera</t>
  </si>
  <si>
    <t>Soldera wine glass</t>
  </si>
  <si>
    <t>glass</t>
  </si>
  <si>
    <t>16</t>
  </si>
  <si>
    <t>J.G. Benda</t>
  </si>
  <si>
    <t>J.G.Benda, rosso di Montalcino</t>
  </si>
  <si>
    <t>J.G.Benda, rosso di Montalcino MAGS</t>
  </si>
  <si>
    <t>Brunello di Montalcino JEROS</t>
  </si>
  <si>
    <t>Brunello di Montalcino diecianni riserva</t>
  </si>
  <si>
    <t>Brunello di Montalcino diecianni riserva MAGS</t>
  </si>
  <si>
    <t>Brigo sangiovese di Toscana</t>
  </si>
  <si>
    <t>Rosso di Montalcino</t>
  </si>
  <si>
    <t>Rosso di Montalcino MAGS</t>
  </si>
  <si>
    <t>Famiglia Lisini</t>
  </si>
  <si>
    <t>Brunello di Montalcino cru Ugolaia</t>
  </si>
  <si>
    <t>Brunello di Montalcino cru Ugolaia MAGS</t>
  </si>
  <si>
    <t>Brunello di Montalcino Bacia</t>
  </si>
  <si>
    <t>Brunello di Montalcino riserva</t>
  </si>
  <si>
    <t>Brunello di Montalcino 600cl</t>
  </si>
  <si>
    <t>600</t>
  </si>
  <si>
    <t>Poderi Sanguineto I&amp;II</t>
  </si>
  <si>
    <t>rosso di Montepulciano</t>
  </si>
  <si>
    <t>Vino Nobile di Montepulciano</t>
  </si>
  <si>
    <t>Vino Nobile di Montepulciano riserva</t>
  </si>
  <si>
    <t>Lavico, Montecucco sangiovese</t>
  </si>
  <si>
    <t xml:space="preserve">Cenere, Montecucco sangiovese riserva </t>
  </si>
  <si>
    <t>Joke MT (mansengs &amp; Croce Manzoni)</t>
  </si>
  <si>
    <t>L'Ernesto (cab &amp; 96 caucasian varieties)</t>
  </si>
  <si>
    <t>RHOD, sangiovese di Romagna</t>
  </si>
  <si>
    <t>Abbia Nova</t>
  </si>
  <si>
    <t>Senza Vandalismi - passerina del Frusinate bianco</t>
  </si>
  <si>
    <t>Senza Vandalismi - cesanese del Piglio rosso</t>
  </si>
  <si>
    <t>Piglio (cesanese del Piglio)</t>
  </si>
  <si>
    <t>cru San Giovanni  (cesanese del Piglio)</t>
  </si>
  <si>
    <t>verdicchio Capovolto</t>
  </si>
  <si>
    <t>verdicchio Il Pigro della Marca</t>
  </si>
  <si>
    <t>Bastian Contrario montepulciano</t>
  </si>
  <si>
    <t>D'Alesio aka Tenuta del Professore</t>
  </si>
  <si>
    <t>Tenuta del Professore, trebbiano d'Abruzzo</t>
  </si>
  <si>
    <t>Tenuta del Professore, trebbiano d'Abruzzo MAGS</t>
  </si>
  <si>
    <t>Tenuta del Professore, montepulciano d'Abruzzo riserva</t>
  </si>
  <si>
    <t>Luci bianco (trebbiano)</t>
  </si>
  <si>
    <t>Praesidium montepulciano d'Abruzzo riserva</t>
  </si>
  <si>
    <t>Praesidium montepulciano d'Abruzzo riserva A Marianna (vv)</t>
  </si>
  <si>
    <t>Liquore Ratafia (26.5%) 50cl</t>
  </si>
  <si>
    <t>Frascati '496' (vv)</t>
  </si>
  <si>
    <t>Frascati 'Abelos' (vv)</t>
  </si>
  <si>
    <t>Cannellino di Frascati (botrytis) 50cl</t>
  </si>
  <si>
    <t>trebbiano d'Abruzzo Casabianca (incl.10% malvasia)</t>
  </si>
  <si>
    <t>passerina</t>
  </si>
  <si>
    <t>montepulciano d'Abruzzo Casabianca</t>
  </si>
  <si>
    <t>montepulciano d'Abruzzo lunga macerazione zerosolfiti (SSA)</t>
  </si>
  <si>
    <t>montepulciano d'Abruzzo Riserva Escol, Colli Teramane</t>
  </si>
  <si>
    <t>montepulciano d'Abruzzo Sirio MAGS</t>
  </si>
  <si>
    <t>Giampaolo Tabarrini</t>
  </si>
  <si>
    <t>Ad Armando bianco (tvv)</t>
  </si>
  <si>
    <t>Ad Armando bianco (tvv) MAGS</t>
  </si>
  <si>
    <t>Ad Armando bianco (tvv) JEROS</t>
  </si>
  <si>
    <t>Il Padrone delle Vigne rosso</t>
  </si>
  <si>
    <t xml:space="preserve">Montefalco rosso Boccatone </t>
  </si>
  <si>
    <t>Umbria rosso PIANTAGRERO</t>
  </si>
  <si>
    <t>Umbria rosso PIANTAGRERO (3-vintage, 5-pack)</t>
  </si>
  <si>
    <t>13to15</t>
  </si>
  <si>
    <t>Montefalco sagrantino Colle Grimaldesco</t>
  </si>
  <si>
    <t>Montefalco sagrantino Campo alla Cerqua</t>
  </si>
  <si>
    <t>Montefalco sagrantino Colle alle Macchie</t>
  </si>
  <si>
    <t>Montefalco sagrantino Il Bisbetico Domato</t>
  </si>
  <si>
    <t>Montefalco rosso Boccatone MAGS</t>
  </si>
  <si>
    <t>Montefalco sagrantino Colle Grimaldesco MAGS</t>
  </si>
  <si>
    <t>Montefalco sagrantino Campo alla Cerqua MAGS</t>
  </si>
  <si>
    <t>Montefalco sagrantino Colle alle Macchie MAGS</t>
  </si>
  <si>
    <t>Montefalco sagrantino Colle Grimaldesco JEROS</t>
  </si>
  <si>
    <t>Montefalco sagrantino Campo alla Cerqua JEROS</t>
  </si>
  <si>
    <t>Montefalco sagrantino Campo alla Cerqua  JEROS</t>
  </si>
  <si>
    <t>Montefalco sagrantino passito HVS</t>
  </si>
  <si>
    <t>L'Invitta fiano 'mediterraneo', Morigerati</t>
  </si>
  <si>
    <t>De Conciliis</t>
  </si>
  <si>
    <t>Selim brut</t>
  </si>
  <si>
    <t>Cuoredoro greco bianco</t>
  </si>
  <si>
    <t>Cala Mona primitivo</t>
  </si>
  <si>
    <t>Monteforte aglianicone</t>
  </si>
  <si>
    <t>Montefortino Tempa aglianicone MAGS</t>
  </si>
  <si>
    <t>Naima aglianico (vv)</t>
  </si>
  <si>
    <t>Naima Willburger aglianico (vv)</t>
  </si>
  <si>
    <t>Cantina Lonardo Contrade di Taurasi</t>
  </si>
  <si>
    <t>Grecomusc' (aka roviello bianco, ungrafted vv)</t>
  </si>
  <si>
    <t>Taurasi</t>
  </si>
  <si>
    <t>Grecomusc' Burlesque (aka roviello bianco, ungrafted vv)</t>
  </si>
  <si>
    <t xml:space="preserve">Irpinia aglianico </t>
  </si>
  <si>
    <t xml:space="preserve">Taurasi </t>
  </si>
  <si>
    <t>Taurasi Coste cru</t>
  </si>
  <si>
    <t>Taurasi Vigne d'Alto cru (vv)</t>
  </si>
  <si>
    <t xml:space="preserve">Taurasi Riserva </t>
  </si>
  <si>
    <t>Primitivo di Manduria secco</t>
  </si>
  <si>
    <t>Primitivo di Manduria secco riserva</t>
  </si>
  <si>
    <t xml:space="preserve">Primitivo di Manduria passito dolce 50cl </t>
  </si>
  <si>
    <t>Il Gusto Della Costa</t>
  </si>
  <si>
    <t>Limoncello liquore 'Sirenuse' 50cl</t>
  </si>
  <si>
    <t>Tenuta La Chiusa</t>
  </si>
  <si>
    <t>Elba ansonica bianco</t>
  </si>
  <si>
    <t>Elba vermentino bianco</t>
  </si>
  <si>
    <t>vermentino Orto delle Fanciulle, Elba</t>
  </si>
  <si>
    <t>Elba rosso riserva Ginevra</t>
  </si>
  <si>
    <t>aleatico passito dell'Elba HVS</t>
  </si>
  <si>
    <t>Cantina Gungui</t>
  </si>
  <si>
    <t xml:space="preserve">Berteru En Rose cannonau di Sardegna </t>
  </si>
  <si>
    <t xml:space="preserve">Berteru Sa Cava de Pulenaria cannonau di Sardegna </t>
  </si>
  <si>
    <t xml:space="preserve">Berteru Nuraghe Sas de Melas cannonau di Sardegna </t>
  </si>
  <si>
    <t xml:space="preserve">Berteru cannonau di Sardegna </t>
  </si>
  <si>
    <t>Berteru cannonau di Sardegna riserva  (vv)</t>
  </si>
  <si>
    <t>Berteru cannonau di Sardegna riserva (vv)</t>
  </si>
  <si>
    <t>Berteru cannonau di Sardegna riserva (vv) MAGS</t>
  </si>
  <si>
    <t>Nero-Miniera, carignano del Sulcis</t>
  </si>
  <si>
    <t>Seruci, carignano del Sulcis (ungrafted 1958 vv)</t>
  </si>
  <si>
    <t>minella bianco (vv)</t>
  </si>
  <si>
    <t>carricante bianco (vv)</t>
  </si>
  <si>
    <t>nerello cappuccio</t>
  </si>
  <si>
    <t>Elisir rosso (whole bunch)</t>
  </si>
  <si>
    <t>Rosso Sara (Feudo di Mezzo)</t>
  </si>
  <si>
    <t>Piede franco (ungrafted massale)</t>
  </si>
  <si>
    <t>Rosso dei Centenari (tvv), Solicchiata</t>
  </si>
  <si>
    <t>Nonna Concetta (tvv), Randazzo</t>
  </si>
  <si>
    <t>nerello Vigne Vecchie (tvv - bottled 2022)</t>
  </si>
  <si>
    <t>Affiu Etna bianco</t>
  </si>
  <si>
    <t>Utri Etna rosso</t>
  </si>
  <si>
    <t>Susucaru rosato</t>
  </si>
  <si>
    <t>Susucaru rosso</t>
  </si>
  <si>
    <t>Munjebel bianco</t>
  </si>
  <si>
    <t>Munjebel bianco VA MAGS</t>
  </si>
  <si>
    <t>Munjebel rosso ''classic'' (vv) HVS</t>
  </si>
  <si>
    <t>Munjebel rosso ''classic'' (vv)</t>
  </si>
  <si>
    <t>Munjebel rosso ''classic'' (vv) MAGS</t>
  </si>
  <si>
    <t>Munjebel rosso ''classic'' (vv) JEROS</t>
  </si>
  <si>
    <t>Munjebel Perpetuum P2 rosso (vv, 2015 to 2020 solera)</t>
  </si>
  <si>
    <t>Munjebel Perpetuum P1 rosso (vv, 2015 to 2019 solera)</t>
  </si>
  <si>
    <t>Munjebel Perpetuum P2 rosso (vv, 2015 to 2020 solera) MAGS</t>
  </si>
  <si>
    <t>Munjebel Perpetuum P1 rosso (vv, 2015 to 2019 solera) MAGS</t>
  </si>
  <si>
    <t>Munjebel rosso CD</t>
  </si>
  <si>
    <t>Munjebel rosso CR (vv)</t>
  </si>
  <si>
    <t>Munjebel rosso FM</t>
  </si>
  <si>
    <t>Munjebel rosso MC (vv)</t>
  </si>
  <si>
    <t>Munjebel rosso PA (vv)</t>
  </si>
  <si>
    <t>Munjebel rosso CD MAGS</t>
  </si>
  <si>
    <t>Munjebel rosso CR (vv) MAGS</t>
  </si>
  <si>
    <t>Munjebel rosso FM MAGS</t>
  </si>
  <si>
    <t>Munjebel rosso MC (vv) MAGS</t>
  </si>
  <si>
    <t>Munjebel rosso PA (vv) MAGS</t>
  </si>
  <si>
    <t>Munjebel rosso CS (tvv)</t>
  </si>
  <si>
    <t>Munjebel rosso VA (tvv)</t>
  </si>
  <si>
    <t>Magma rosso (tvv)</t>
  </si>
  <si>
    <t>Munjebel rosso CS (tvv) MAGS</t>
  </si>
  <si>
    <t>Munjebel rosso VA (tvv) MAGS</t>
  </si>
  <si>
    <t>Magma rosso (tvv) MAGS</t>
  </si>
  <si>
    <t>Nous - catarratto Erice (vv) 3L BIB</t>
  </si>
  <si>
    <t>Nero Sichilli by Savino</t>
  </si>
  <si>
    <t>Nero Sichilli, nero d'avola</t>
  </si>
  <si>
    <t>frappato, Cassaro (Az.Agr.Porta Pantalica label)</t>
  </si>
  <si>
    <t>nero d’Avola, Terre delle Sirene, Ferla</t>
  </si>
  <si>
    <t>Bodegas Pascual</t>
  </si>
  <si>
    <t>albarino Leira Reyero</t>
  </si>
  <si>
    <t>Spain</t>
  </si>
  <si>
    <t>Ladredo</t>
  </si>
  <si>
    <t>Bierzo godello BLANCO</t>
  </si>
  <si>
    <t>Bierzo mencia tinto seleccion</t>
  </si>
  <si>
    <t>Rueda blanco Peñalosa (verdejo)</t>
  </si>
  <si>
    <t>Ribera del Duero crianza - Finca La Colorada HVS</t>
  </si>
  <si>
    <t>Ribera Del Duero</t>
  </si>
  <si>
    <t>Ribera del Duero roble - Finca La Linde</t>
  </si>
  <si>
    <t>Ribera del Duero crianza - Finca La Colorada</t>
  </si>
  <si>
    <t>Ribera del Duero Parcela Uno/1 - Finca Valera (ex-reserva)</t>
  </si>
  <si>
    <t>Ribera del Duero Bagús - Pago de Manvirgo (vv)</t>
  </si>
  <si>
    <t>Ribera del Duero Viracocha - Pago de Machín (vv)</t>
  </si>
  <si>
    <t>Nocturna, Rioja Alta (1903 tvv grenache)</t>
  </si>
  <si>
    <t>Rioja blanco (vv)</t>
  </si>
  <si>
    <t>Rioja crianza (40+ yr old: 95% tempranillo)</t>
  </si>
  <si>
    <t>Rioja Selección Privada (vv tempranillo, &gt;75yrs)</t>
  </si>
  <si>
    <t>Rioja Vina Gravonia crianza BLANCO</t>
  </si>
  <si>
    <t>Rioja Vina Tondonia reserva BLANCO</t>
  </si>
  <si>
    <t>Rioja Vina Tondonia reserva HVS</t>
  </si>
  <si>
    <t>Rioja Vina Tondonia reserva</t>
  </si>
  <si>
    <t>Rioja Vina Tondonia reserva MAGS</t>
  </si>
  <si>
    <t>Torre San Millan Gorrebusto</t>
  </si>
  <si>
    <t>Rioja Gorrebusto tempranillo (tinto joven)</t>
  </si>
  <si>
    <t>Rioja Gorrebusto crianza</t>
  </si>
  <si>
    <t>Rioja tempranillo (tvv - 1903 vines)</t>
  </si>
  <si>
    <t>Vina Zorzal X Niepoort</t>
  </si>
  <si>
    <t>Nat'Cool tinto, Navarra 1L</t>
  </si>
  <si>
    <t>100</t>
  </si>
  <si>
    <t>Mas de la Basserola</t>
  </si>
  <si>
    <t>Basserola methode traditionelle brut (Cava)</t>
  </si>
  <si>
    <t>nv20</t>
  </si>
  <si>
    <t>Basserola methode traditionelle brut nature (Cava)</t>
  </si>
  <si>
    <t>Basserola Seleccio methode traditionelle (Cava)</t>
  </si>
  <si>
    <t>macabeu bota</t>
  </si>
  <si>
    <t>parellada Vi Blanc (vv)</t>
  </si>
  <si>
    <t>Conca De Barbera</t>
  </si>
  <si>
    <t>macabeu Vi Orange (vv)</t>
  </si>
  <si>
    <t>trepat Vi Roig (vv)</t>
  </si>
  <si>
    <t>Priorat Clos Tafall</t>
  </si>
  <si>
    <t xml:space="preserve"> Priorat selecció (vv garnacha/carinena)</t>
  </si>
  <si>
    <t>Clos Pinell Terra Alta garnacha blanco</t>
  </si>
  <si>
    <t>Clos Pinell Terra Alta Rosta garnacha rose</t>
  </si>
  <si>
    <t>Clos Pinell Terra Alta garnacha tinto</t>
  </si>
  <si>
    <t>Cellers Tarroné</t>
  </si>
  <si>
    <t>Merian negre, Terra Alta (garnacha)</t>
  </si>
  <si>
    <t>Somdinou Puresa tinto (samso, AKA carignan vv)</t>
  </si>
  <si>
    <t>Les Tallades, Montsant tinto</t>
  </si>
  <si>
    <t>sauvignon blanc Impromptu</t>
  </si>
  <si>
    <t>pinot noir Bassus</t>
  </si>
  <si>
    <t>tinto bobal Bobos</t>
  </si>
  <si>
    <t>blanco 'Legs' Pampaneo (tvv)</t>
  </si>
  <si>
    <t>tempranillo eco/bio 'Legs' Pampaneo</t>
  </si>
  <si>
    <t>tinto velasco de Sol a Sol (tvv)</t>
  </si>
  <si>
    <t>Acores branco reserva</t>
  </si>
  <si>
    <t>Quinta do Montinho</t>
  </si>
  <si>
    <t>alvarinho branco, Vinho Verde</t>
  </si>
  <si>
    <t>Vinho Verde</t>
  </si>
  <si>
    <t>Loureiro Docil, Vinho Verde - PROJECTOS</t>
  </si>
  <si>
    <t>Niepoort Quinta de Napoles</t>
  </si>
  <si>
    <t>Redoma rosé</t>
  </si>
  <si>
    <t>Drink me! BRANCO</t>
  </si>
  <si>
    <t>Tiara BRANCO (vv @ 600m)</t>
  </si>
  <si>
    <t>Redoma BRANCO</t>
  </si>
  <si>
    <t>Redoma BRANCO reserva</t>
  </si>
  <si>
    <t>Coche BRANCO</t>
  </si>
  <si>
    <t>Ururabo BRANCO 50cl</t>
  </si>
  <si>
    <t>Redoma BRANCO MAGS</t>
  </si>
  <si>
    <t>Redoma HVS</t>
  </si>
  <si>
    <t>Batuta (vv-tvv) HVS</t>
  </si>
  <si>
    <t>Drink Me! tinto</t>
  </si>
  <si>
    <t>Voyeur Nat'Cool tinto</t>
  </si>
  <si>
    <t>tinta amarela</t>
  </si>
  <si>
    <t xml:space="preserve">bastardo (aka trousseau) - PROJECTOS </t>
  </si>
  <si>
    <t>pinot noir – PROJECTOS</t>
  </si>
  <si>
    <t>Vertente</t>
  </si>
  <si>
    <t>Bioma</t>
  </si>
  <si>
    <t>Omlet (by Telmo Rodriguez - vv @500m)</t>
  </si>
  <si>
    <t>Redoma</t>
  </si>
  <si>
    <t>Quinta de Napoles tinto</t>
  </si>
  <si>
    <t>Batuta (vv-tvv)</t>
  </si>
  <si>
    <t>Robustus (4yrs elevage)</t>
  </si>
  <si>
    <t>Vinha do Carril (vv/tvv)</t>
  </si>
  <si>
    <t>Doda (Douro/Dao blend)</t>
  </si>
  <si>
    <t>Charme</t>
  </si>
  <si>
    <t>Museu dos Lagares 'GC' (vv)</t>
  </si>
  <si>
    <t>Vertente MAGS</t>
  </si>
  <si>
    <t>Turris (tvv) MAGS (artist João Noutel label)</t>
  </si>
  <si>
    <t>Douro moscatel 5yr (vv)</t>
  </si>
  <si>
    <t>5yr</t>
  </si>
  <si>
    <t>Douro moscatel 20yr (vv) HVS</t>
  </si>
  <si>
    <t>20yr</t>
  </si>
  <si>
    <t>Quinta do Baixo by Niepoort</t>
  </si>
  <si>
    <t>Vinhas Velhas branco (tvv)</t>
  </si>
  <si>
    <t>Vinhas Velhas branco (tvv) JEROS</t>
  </si>
  <si>
    <t>Caracolete (vv)</t>
  </si>
  <si>
    <t>Nat'Cool Bairrada tinto 100cl</t>
  </si>
  <si>
    <t>Lagar de Baixo</t>
  </si>
  <si>
    <t>Poeirinho (tvv)</t>
  </si>
  <si>
    <t>Lote D (tvv)</t>
  </si>
  <si>
    <t>Poeirinho (tvv) JEROS</t>
  </si>
  <si>
    <t>Bucaco Bairrada-label ROSADO</t>
  </si>
  <si>
    <t>Bucaco Bairrada-label BRANCO</t>
  </si>
  <si>
    <t>Bucaco Bairrada-label TINTO</t>
  </si>
  <si>
    <t>Bucaco ROSADO</t>
  </si>
  <si>
    <t>Bucaco ROSADO MAGS</t>
  </si>
  <si>
    <t>Bucaco BRANCO</t>
  </si>
  <si>
    <t>Bucaco Mistico BRANCO</t>
  </si>
  <si>
    <t>Bucaco BRANCO MAGS</t>
  </si>
  <si>
    <t>Bucaco TINTO</t>
  </si>
  <si>
    <t>Bucaco Mistico TINTO</t>
  </si>
  <si>
    <t>Bucaco VM (Vina Mata) TINTO</t>
  </si>
  <si>
    <t>Bucaco TINTO MAGS</t>
  </si>
  <si>
    <t>Gonçalves Faria, Bairrada TINTO (vv)</t>
  </si>
  <si>
    <t>Quinta da Lomba by Niepoort</t>
  </si>
  <si>
    <t>Dao Conciso BRANCO (vv-tvv)</t>
  </si>
  <si>
    <t>Dao Rotulo</t>
  </si>
  <si>
    <t>Dao Conciso TINTO</t>
  </si>
  <si>
    <t>malvasia</t>
  </si>
  <si>
    <t>malvasia reserva</t>
  </si>
  <si>
    <t>arinto</t>
  </si>
  <si>
    <t>fernão pires</t>
  </si>
  <si>
    <t>fernão pires reserva</t>
  </si>
  <si>
    <t>malvasia escolha pessoal</t>
  </si>
  <si>
    <t>Colares malvasia</t>
  </si>
  <si>
    <t>arinto escolha pessoal</t>
  </si>
  <si>
    <t>fernão pires escolha pessoal</t>
  </si>
  <si>
    <t>fernão pires escolha pessoal MAGS</t>
  </si>
  <si>
    <t>castelão TINTO</t>
  </si>
  <si>
    <t>escolha pessoal TINTO</t>
  </si>
  <si>
    <t>Colares TINTO 65cl</t>
  </si>
  <si>
    <t>65</t>
  </si>
  <si>
    <t>Domino BRANCO by Vitor Claro, Portalegre (&gt;750m)</t>
  </si>
  <si>
    <t>Sempar by Niepoort</t>
  </si>
  <si>
    <t>Sempar tinto (vv)</t>
  </si>
  <si>
    <t>pinot blanc Loiben</t>
  </si>
  <si>
    <t>Austria</t>
  </si>
  <si>
    <t>pinot blanc Klostersatz</t>
  </si>
  <si>
    <t>gruner veltliner Durnstein</t>
  </si>
  <si>
    <t>gruner veltliner Klostersatz</t>
  </si>
  <si>
    <t>gruner veltliner Kellerberg 'S'</t>
  </si>
  <si>
    <t>gruner veltliner Supperin</t>
  </si>
  <si>
    <t>gruner veltliner Rothenhof alte reben</t>
  </si>
  <si>
    <t>gruner veltliner Loibenberg</t>
  </si>
  <si>
    <t>gruner veltliner Kellerberg</t>
  </si>
  <si>
    <t>gruner veltliner Wunderberg (now Kellerberg)</t>
  </si>
  <si>
    <t>gruner veltliner Pfaffenberg alte reben</t>
  </si>
  <si>
    <t>gruner veltliner Kellerberg &lt;LBV&gt;</t>
  </si>
  <si>
    <t>gruner veltliner Supperin MAGS</t>
  </si>
  <si>
    <t>gruner veltliner Rothenhof alte reben MAGS</t>
  </si>
  <si>
    <t>gruner veltliner Loibenberg MAGS</t>
  </si>
  <si>
    <t>gruner veltliner Kellerberg MAGS</t>
  </si>
  <si>
    <t>gruner veltliner Pfaffenberg alte reben MAGS</t>
  </si>
  <si>
    <t>riesling Loiben</t>
  </si>
  <si>
    <t>riesling Pfaffenberg</t>
  </si>
  <si>
    <t>riesling In der Wand</t>
  </si>
  <si>
    <t>riesling Loibenberg</t>
  </si>
  <si>
    <t>riesling Kellerberg</t>
  </si>
  <si>
    <t>riesling Pfaffenberg alte reben</t>
  </si>
  <si>
    <t>riesling Rothenberg &lt;Reserve&gt;</t>
  </si>
  <si>
    <t>riesling Loibenberg MAGS</t>
  </si>
  <si>
    <t>riesling Kellerberg MAGS</t>
  </si>
  <si>
    <t>riesling Wunderberg (now Kellerberg) MAGS</t>
  </si>
  <si>
    <t>riesling Pfaffenberg alte reben MAGS</t>
  </si>
  <si>
    <t>riesling Rothenberg &lt;Reserve&gt; MAGS</t>
  </si>
  <si>
    <t>grüner veltliner ried Trum federspiel</t>
  </si>
  <si>
    <t>gruner veltliner ried Schutt smaragd</t>
  </si>
  <si>
    <t>riesling Pfaffenberg Selection</t>
  </si>
  <si>
    <t>riesling ried Schutt smaragd</t>
  </si>
  <si>
    <t>gelber traminer auslese 50cl</t>
  </si>
  <si>
    <t>gruner veltliner auslese 50cl</t>
  </si>
  <si>
    <t>riesling Vinothek</t>
  </si>
  <si>
    <t>gelber muskateller Durnsteiner (Loibner ried Loibenberg)</t>
  </si>
  <si>
    <t>grüner veltliner Durnsteiner HVS</t>
  </si>
  <si>
    <t>grüner veltliner Loibner ried Loibenberg HVS</t>
  </si>
  <si>
    <t>grüner veltliner ried Klostersatz</t>
  </si>
  <si>
    <t>grüner veltliner Loibner ried Steinertal</t>
  </si>
  <si>
    <t>grüner veltliner Loibner Steinertal smaragd</t>
  </si>
  <si>
    <t>grüner veltliner Loibner Loibenberg smaragd</t>
  </si>
  <si>
    <t>grüner veltliner Durnstein Liebenberg smaragd</t>
  </si>
  <si>
    <t>grüner veltliner Durnstein ried Kellerberg</t>
  </si>
  <si>
    <t>grüner veltliner Durnstein Kellerberg smaragd</t>
  </si>
  <si>
    <t>gruner veltliner 'U' Unendlich</t>
  </si>
  <si>
    <t>gruner veltliner 'U' Unendlich MAGS</t>
  </si>
  <si>
    <t>riesling Loibner Loibenberg smaragd HVS</t>
  </si>
  <si>
    <t>riesling Urgestein terrassen federspiel MAGS</t>
  </si>
  <si>
    <t>riesling Loibner Steinertal smaragd</t>
  </si>
  <si>
    <t>riesling Loibner Loibenberg smaragd</t>
  </si>
  <si>
    <t>riesling Durnstein ried Kellerberg</t>
  </si>
  <si>
    <t>riesling Durnstein Kellerberg smaragd</t>
  </si>
  <si>
    <t>riesling 'U' Unendlich</t>
  </si>
  <si>
    <t>gruner veltliner Hinter der Burg federspiel</t>
  </si>
  <si>
    <t>gruner veltliner Achleiten smaragd (vv)</t>
  </si>
  <si>
    <t>gruner veltliner Achleiten Stockkultur smaragd (vv)</t>
  </si>
  <si>
    <t>gruner veltliner Wachstum Bodenstein smaragd</t>
  </si>
  <si>
    <t>gruner veltliner Zwerithaler Kammergut smaragd (tvv)</t>
  </si>
  <si>
    <t>gruner veltliner Achleiten Stockkultur smaragd (vv) MAGS</t>
  </si>
  <si>
    <t>gruner veltliner Zwerithaler Kammergut smaragd (tvv) MAGS</t>
  </si>
  <si>
    <t>riesling Steinriegl federspiel (vv)</t>
  </si>
  <si>
    <t>riesling Achleiten smaragd (vv)</t>
  </si>
  <si>
    <t xml:space="preserve"> riesling Wachstum Bodenstein</t>
  </si>
  <si>
    <t xml:space="preserve"> riesling Klaus smaragd (vv)</t>
  </si>
  <si>
    <t>riesling Achleiten smaragd (vv) MAGS</t>
  </si>
  <si>
    <t xml:space="preserve"> riesling Wachstum Bodenstein MAGS</t>
  </si>
  <si>
    <t xml:space="preserve"> riesling Klaus smaragd (vv) MAGS</t>
  </si>
  <si>
    <t xml:space="preserve"> riesling Achleiten auslese 50cl</t>
  </si>
  <si>
    <t xml:space="preserve"> riesling Achleiten BA (beerenauslese) 50cl </t>
  </si>
  <si>
    <t>Bründlmayer</t>
  </si>
  <si>
    <t>Brundlmayer brut rosé HVS</t>
  </si>
  <si>
    <t>Brundlmayer brut rosé (2016 shipment)</t>
  </si>
  <si>
    <t>Rosé zweigelt</t>
  </si>
  <si>
    <t>grüner veltliner Kamptaler Terrassen HVS</t>
  </si>
  <si>
    <t>grüner veltliner Kamptaler Terrassen</t>
  </si>
  <si>
    <t>grüner veltliner Langenloiser alte reben</t>
  </si>
  <si>
    <t>riesling Zöbinger Heiligenstein 1L HVS</t>
  </si>
  <si>
    <t>riesling ried Steinmassel</t>
  </si>
  <si>
    <t>riesling Zöbinger Heiligenstein 1L</t>
  </si>
  <si>
    <t>riesling Zöbinger Heiligenstein</t>
  </si>
  <si>
    <t>grüner veltliner Langenloiser alte reben auslese HVS</t>
  </si>
  <si>
    <t>gruner veltliner Wagram terrassen</t>
  </si>
  <si>
    <t>weissburgunder (pinot blanc) Grossweikersdorf vom gelben loess</t>
  </si>
  <si>
    <t>riesling vom gelben loess</t>
  </si>
  <si>
    <t>zweigelt rosé</t>
  </si>
  <si>
    <t>blauer zweigelt</t>
  </si>
  <si>
    <t>St.Laurent</t>
  </si>
  <si>
    <t>muskateller auslese HVS</t>
  </si>
  <si>
    <t>'Weisser Schiefer' blanc (welschriesling)</t>
  </si>
  <si>
    <t>weissburgunder blanc (pinot blanc)</t>
  </si>
  <si>
    <t>traminer 'M' (3 colours of traminer)</t>
  </si>
  <si>
    <t>Weisser Schiefer 'M' (blend, 4yrs elevage)</t>
  </si>
  <si>
    <t>Weisser Schiefer 'M' (blend, 4yrs elevage) MAGS</t>
  </si>
  <si>
    <t>Konigsberg 'K' blaufränkisch HVS</t>
  </si>
  <si>
    <t>blaufränkisch Burgenland</t>
  </si>
  <si>
    <t>blaufränkisch 'vom Blauen Schiefer'</t>
  </si>
  <si>
    <t>blaufränkisch Burgenland MAGS</t>
  </si>
  <si>
    <t>Eisenberg blaufränkisch MAGS</t>
  </si>
  <si>
    <t>Szapary blaufränkisch HVS</t>
  </si>
  <si>
    <t>Konigsberg Alte Weingarten blaufrankisch (vv) HVS</t>
  </si>
  <si>
    <t>Reihburg blaufränkisch HVS</t>
  </si>
  <si>
    <t>Hoad blaufrankisch reserve, Leithaberg</t>
  </si>
  <si>
    <t>Leithaberg</t>
  </si>
  <si>
    <t>Szapary blaufränkisch</t>
  </si>
  <si>
    <t>Konigsberg Alte Weingarten blaufrankisch (vv)</t>
  </si>
  <si>
    <t>Reihburg blaufränkisch</t>
  </si>
  <si>
    <t>Szapary blaufränkisch MAGS</t>
  </si>
  <si>
    <t>Varidor (yellow skin massale selection)</t>
  </si>
  <si>
    <t>Germany</t>
  </si>
  <si>
    <t>alte reben (vv &gt;70yrs)</t>
  </si>
  <si>
    <t>Maximin Klosterlay 1L</t>
  </si>
  <si>
    <t>Laurentiuslay 1L alte reben (tvv)</t>
  </si>
  <si>
    <t>Maximin Herrenberg 1L '1896' alte reben (tvv) - WHITE LABEL</t>
  </si>
  <si>
    <t>Ritsch GG 1L</t>
  </si>
  <si>
    <t>Maximin Herrenberg GG 1L '1902' (tvv)</t>
  </si>
  <si>
    <t>'1896' 1L (tvv) - GREY LABEL</t>
  </si>
  <si>
    <t>Quant</t>
  </si>
  <si>
    <t>Herrenberg kabinett (tvv)</t>
  </si>
  <si>
    <t>Ritsch Im Schneidersberg kabinett - Auktion</t>
  </si>
  <si>
    <t>Laurentiuslay 1L spatlese (tvv)</t>
  </si>
  <si>
    <t>Maximin Herrenberg 1L auslese (tvv/w)</t>
  </si>
  <si>
    <t>Maximin Herrenberg 1L auslese Goldkap (tvv/w)</t>
  </si>
  <si>
    <t>Maximin Herrenberg 1L auslese Goldkap (1896 tvv) - Auktion</t>
  </si>
  <si>
    <t>Ritsch 1L BA HVS - Auktion</t>
  </si>
  <si>
    <t>Ritsch 1L BA HVS</t>
  </si>
  <si>
    <t>Leiwener Klostergarten BA '-8°C' HVS</t>
  </si>
  <si>
    <t>Goldtropfchen GG trocken (part tvv)</t>
  </si>
  <si>
    <t>In der Sangerei feinherb</t>
  </si>
  <si>
    <t xml:space="preserve">Has'Chen kabinett monopole (ungrafted vv) </t>
  </si>
  <si>
    <t>Goldtropfchen kabinett</t>
  </si>
  <si>
    <t>Hofberg kabinett alte reben (vv)</t>
  </si>
  <si>
    <t>Hofberg spatlese</t>
  </si>
  <si>
    <t>Goldtropfchen spatlese</t>
  </si>
  <si>
    <t>In der Sangerei feinherb MAGS</t>
  </si>
  <si>
    <t>Hofberg spatlese MAGS</t>
  </si>
  <si>
    <t>Hofberg auslese 1* (Goldkap) HVS</t>
  </si>
  <si>
    <t>Hofberg auslese HVS</t>
  </si>
  <si>
    <t>Hofberg auslese</t>
  </si>
  <si>
    <t>Hofberg auslese 1* (Goldkap)</t>
  </si>
  <si>
    <t>pinot blanc / weissburgunder #26</t>
  </si>
  <si>
    <t>riesling 'J' trocken HVS</t>
  </si>
  <si>
    <t>Brauneberger Juffer GG #24 HVS</t>
  </si>
  <si>
    <t>Brauneberger Juffer GG #24</t>
  </si>
  <si>
    <t>Brauneberger Juffer Sonnenuhr GG #8</t>
  </si>
  <si>
    <t>Fritz Haag riesling #2</t>
  </si>
  <si>
    <t>Brauneberger Juffer feinherb GL #19</t>
  </si>
  <si>
    <t>Brauneberger Juffer kabinett #3</t>
  </si>
  <si>
    <t>Brauneberger Juffer kabinett</t>
  </si>
  <si>
    <t>Brauneberger Juffer Sonnenuhr spatlese #7 HVS</t>
  </si>
  <si>
    <t>Brauneberger Juffer Sonnenuhr spatlese #7</t>
  </si>
  <si>
    <t>Brauneberger Juffer Sonnenuhr spatlese</t>
  </si>
  <si>
    <t>Brauneberger Juffer Sonnenuhr auslese #6 HVS</t>
  </si>
  <si>
    <t>Brauneberger Juffer Sonnenuhr auslese HVS</t>
  </si>
  <si>
    <t>Brauneberger Juffer Sonnenuhr auslese #6</t>
  </si>
  <si>
    <t>Brauneberger Juffer Sonnenuhr auslese #10</t>
  </si>
  <si>
    <t>Brauneberger Juffer Goldkap auslese #22 HVS</t>
  </si>
  <si>
    <t>Brauneberger Juffer Sonnenuhr Goldkap auslese HVS DS93</t>
  </si>
  <si>
    <t>Brauneberger Juffer Sonnenuhr Goldkap auslese #9 HVS VINOUS95</t>
  </si>
  <si>
    <t xml:space="preserve">Brauneberger Juffer Sonnenuhr Goldkap auslese HVS </t>
  </si>
  <si>
    <t>Brauneberger Juffer Sonnenuhr Goldkap auslese #9</t>
  </si>
  <si>
    <t>Brauneberger Juffer Sonnenuhr Goldkap auslese DS93</t>
  </si>
  <si>
    <t>Brauneberger Juffer Sonnenuhr Goldkap auslese #9 DS93</t>
  </si>
  <si>
    <t>Brauneberger Juffer Sonnenuhr Goldkap auslese VINOUS95</t>
  </si>
  <si>
    <t>Brauneberger Juffer Sonnenuhr Goldkap auslese VINOUS92</t>
  </si>
  <si>
    <t>Brauneberger Juffer Sonnenuhr Goldkap auslese #12</t>
  </si>
  <si>
    <t>Brauneberger Juffer BA #25 HVS</t>
  </si>
  <si>
    <t>Brauneberger Juffer Sonnenuhr BA HVS (DS95-96)</t>
  </si>
  <si>
    <t>Brauneberger Juffer Sonnenuhr BA #16 HVS</t>
  </si>
  <si>
    <t>Brauneberger Juffer Sonnenuhr BA #16 HVS VINOUS95</t>
  </si>
  <si>
    <t>Brauneberger Juffer Sonnenuhr BA #16 HVS VINOUS94</t>
  </si>
  <si>
    <t>Brauneberger Juffer Sonnenuhr BA #16 HVS VINOUS98</t>
  </si>
  <si>
    <t>Brauneberger Juffer TBA HVS</t>
  </si>
  <si>
    <t>Brauneberger Juffer TBA #21 HVS</t>
  </si>
  <si>
    <t>Devon-Schiefer trocken</t>
  </si>
  <si>
    <t>Wehlener Sonnenuhr kabinett</t>
  </si>
  <si>
    <t>Erdener Treppchen kabinett</t>
  </si>
  <si>
    <t>Wehlener Sonnenuhr spätlese</t>
  </si>
  <si>
    <t>Erdener Treppchen spätlese trocken</t>
  </si>
  <si>
    <t>Erdener Treppchen spätlese 1-star</t>
  </si>
  <si>
    <t>Erdener Treppchen spätlese</t>
  </si>
  <si>
    <t>Erdener Pralat spätlese (tvv)</t>
  </si>
  <si>
    <t>Erdener Pralat spätlese (tvv) Auktion</t>
  </si>
  <si>
    <t>Erdener Treppchen auslese</t>
  </si>
  <si>
    <t>Erdener Pralat auslese (tvv)</t>
  </si>
  <si>
    <t>Erdener Treppchen BA HVS</t>
  </si>
  <si>
    <t>Erdener Treppchen TBA HVS</t>
  </si>
  <si>
    <t>Erdener Treppchen BA MAGS</t>
  </si>
  <si>
    <t>Bernkasteler Badstube kabinett (#03 24)</t>
  </si>
  <si>
    <t>Bernkasteler Badstube kabinett (#06 23)</t>
  </si>
  <si>
    <t>Bernkasteler Badstube kabinett (#07 22)</t>
  </si>
  <si>
    <t>Bernkasteler Badstube kabinett (#26 21)</t>
  </si>
  <si>
    <t>Graacher Himmelreich kabinett (#20 24)</t>
  </si>
  <si>
    <t>Graacher Himmelreich kabinett (#07 23)</t>
  </si>
  <si>
    <t>Graacher Himmelreich kabinett (#08 22)</t>
  </si>
  <si>
    <t>Graacher Himmelreich kabinett (#36 21)</t>
  </si>
  <si>
    <t>Wehlener Sonnenuhr kabinett (#21 24)</t>
  </si>
  <si>
    <t>Wehlener Sonnenuhr kabinett (#08 23)</t>
  </si>
  <si>
    <t>Wehlener Sonnenuhr kabinett (#16 22)</t>
  </si>
  <si>
    <t>Wehlener Sonnenuhr kabinett (#26 20)</t>
  </si>
  <si>
    <t>Graacher Himmelreich kabinett (#07 23) MAGS</t>
  </si>
  <si>
    <t>Graacher Himmelreich kabinett (#11 21) MAGS</t>
  </si>
  <si>
    <t>Wehlener Sonnenuhr kabinett (#08 23) MAGS</t>
  </si>
  <si>
    <t>Wehlener Sonnenuhr kabinett (#09 22) MAGS</t>
  </si>
  <si>
    <t>Wehlener Sonnenuhr kabinett (#09 20) MAGS</t>
  </si>
  <si>
    <t>Bernkasteler Badstube spatlese (#09 23)</t>
  </si>
  <si>
    <t>Graacher Himmelreich spatlese (#07 24)</t>
  </si>
  <si>
    <t>Graacher Himmelreich spatlese (#10 23)</t>
  </si>
  <si>
    <t>Graacher Himmelreich spatlese (#14 22)</t>
  </si>
  <si>
    <t>Graacher Himmelreich spatlese (#12 20)</t>
  </si>
  <si>
    <t>Wehlener Sonnenuhr spätlese (#23 24)</t>
  </si>
  <si>
    <t>Wehlener Sonnenuhr spätlese (#11 23)</t>
  </si>
  <si>
    <t>Wehlener Sonnenuhr spätlese (#17 22)</t>
  </si>
  <si>
    <t>Wehlener Sonnenuhr spätlese (# 37 21)</t>
  </si>
  <si>
    <t>Wehlener Sonnenuhr spätlese (#04 22)</t>
  </si>
  <si>
    <t>Wehlener Sonnenuhr spätlese (#13 22) MAGS</t>
  </si>
  <si>
    <t>Wehlener Sonnenuhr spätlese (#13 20) MAGS</t>
  </si>
  <si>
    <t>Graacher Himmelreich auslese (#03 22) HVS</t>
  </si>
  <si>
    <t>Graacher Himmelreich auslese (#16 20) HVS</t>
  </si>
  <si>
    <t>Wehlener Sonnenuhr auslese (#12 24) HVS</t>
  </si>
  <si>
    <t>Wehlener Sonnenuhr auslese (#17 23) HVS AK94</t>
  </si>
  <si>
    <t>Wehlener Sonnenuhr auslese (#17 22) HVS AK96</t>
  </si>
  <si>
    <t>Wehlener Sonnenuhr auslese (#17 20) HVS</t>
  </si>
  <si>
    <t>Graacher Himmelreich auslese (#11 24)</t>
  </si>
  <si>
    <t>Graacher Himmelreich auslese (#16 23)</t>
  </si>
  <si>
    <t>Graacher Himmelreich auslese (#12 22) AK95</t>
  </si>
  <si>
    <t>Graacher Himmelreich auslese (#19 21)</t>
  </si>
  <si>
    <t>Graacher Himmelreich auslese</t>
  </si>
  <si>
    <t>Wehlener Sonnenuhr auslese (#12 24)</t>
  </si>
  <si>
    <t>Wehlener Sonnenuhr auslese (#17 23) AK94</t>
  </si>
  <si>
    <t>Wehlener Sonnenuhr auslese (#13 22) AK96</t>
  </si>
  <si>
    <t>Wehlener Sonnenuhr auslese DS93</t>
  </si>
  <si>
    <t>Wehlener Sonnenuhr auslese VINOUS93+</t>
  </si>
  <si>
    <t>Wehlener Sonnenuhr auslese MAGS VINOUS92</t>
  </si>
  <si>
    <t>Bernkasteler Badstube GoldKap auslese (#13 24) HVS</t>
  </si>
  <si>
    <t>Bernkasteler Lay GoldKap auslese (#19 23) HVS AK94</t>
  </si>
  <si>
    <t>Graacher Himmelreich GoldKap auslese (#19 20) HVS</t>
  </si>
  <si>
    <t>Graacher Himmelreich GoldKap auslese HVS DS94</t>
  </si>
  <si>
    <t>Graacher Himmelreich GoldKap auslese HVS</t>
  </si>
  <si>
    <t>Wehlener Sonnenuhr GoldKap auslese HVS (#15 24)</t>
  </si>
  <si>
    <t>Wehlener Sonnenuhr GoldKap auslese HVS</t>
  </si>
  <si>
    <t>Zeltinger Sonnenuhr GoldKap auslese (#21 21)</t>
  </si>
  <si>
    <t>Graacher Himmelreich GoldKap auslese (#20 23) AK93</t>
  </si>
  <si>
    <t>Graacher Himmelreich GoldKap auslese (#22 21)</t>
  </si>
  <si>
    <t>Graacher Himmelreich GoldKap auslese (#19 20)</t>
  </si>
  <si>
    <t>Graacher Himmelreich GoldKap auslese DS94</t>
  </si>
  <si>
    <t>Graacher Himmelreich GoldKap auslese</t>
  </si>
  <si>
    <t>Wehlener Sonnenuhr GoldKap auslese (#09 07)</t>
  </si>
  <si>
    <t>Wehlener Sonnenuhr GoldKap auslese DS95</t>
  </si>
  <si>
    <t>Wehlener Sonnenuhr GoldKap auslese MAGS VINOUS93</t>
  </si>
  <si>
    <t>Zeltinger Sonnenuhr Lange GoldKap auslese (#21 23) HVS AK95</t>
  </si>
  <si>
    <t>Zeltinger Sonnenuhr Lange GoldKap auslese (#21 23) AK95</t>
  </si>
  <si>
    <t>Maximin Grünhaus</t>
  </si>
  <si>
    <t>pinot noir Grunhauser 1G (spatburgunder)</t>
  </si>
  <si>
    <t>pinot noir (spatburgunder)</t>
  </si>
  <si>
    <t>pinot noir Gloria (spatburgunder)</t>
  </si>
  <si>
    <t>pinot noir (spatburgunder) MAGS</t>
  </si>
  <si>
    <t>1btl each GG &amp; Superior from Bruderberg, Herrenberg, Abtsberg</t>
  </si>
  <si>
    <t>Abtsberg alte reben trocken No.21</t>
  </si>
  <si>
    <t>MASH riesling</t>
  </si>
  <si>
    <t>Abtsberg GG HVS</t>
  </si>
  <si>
    <t>Abtsberg GG</t>
  </si>
  <si>
    <t>Bruderberg GG</t>
  </si>
  <si>
    <t>Abtsberg GG MAGS</t>
  </si>
  <si>
    <t>Abtsberg Superior GL HVS</t>
  </si>
  <si>
    <t>Herrenberg Superior</t>
  </si>
  <si>
    <t>Abtsberg Superior GL</t>
  </si>
  <si>
    <t>Abtsberg Superior</t>
  </si>
  <si>
    <t>Abtsberg Superior MAGS</t>
  </si>
  <si>
    <t>Herrenberg kabinett GL</t>
  </si>
  <si>
    <t>Bruderberg kabinett GL</t>
  </si>
  <si>
    <t>Abtsberg kabinett GL</t>
  </si>
  <si>
    <t>Abtsberg kabinett Nr.50 GL - Auktion</t>
  </si>
  <si>
    <t>Abtsberg kabinett Nr.64 GL - Auktion</t>
  </si>
  <si>
    <t>Bruderberg kabinett GL MAGS</t>
  </si>
  <si>
    <t>Abtsberg kabinett GL MAGS</t>
  </si>
  <si>
    <t>Abtsberg kabinett MAGS</t>
  </si>
  <si>
    <t>Abtsberg spatlese GL HVS</t>
  </si>
  <si>
    <t>Abtsberg spatlese HVS</t>
  </si>
  <si>
    <t>Herrenberg spatlese GL</t>
  </si>
  <si>
    <t>Bruderberg spatlese GL</t>
  </si>
  <si>
    <t>Abtsberg spatlese GL</t>
  </si>
  <si>
    <t>Abtsberg spatlese GL No.22</t>
  </si>
  <si>
    <t>Abtsberg spatlese GL MAGS</t>
  </si>
  <si>
    <t>Herrenberg auslese GL HVS</t>
  </si>
  <si>
    <t>Bruderberg auslese Jungfernwein HVS</t>
  </si>
  <si>
    <t>Abtsberg auslese HVS</t>
  </si>
  <si>
    <t>Herrenberg auslese</t>
  </si>
  <si>
    <t>Abtsberg auslese GL</t>
  </si>
  <si>
    <t>Abtsberg auslese GL MAGS</t>
  </si>
  <si>
    <t>Herrenberg auslese GL Cask Nr.59 HVS</t>
  </si>
  <si>
    <t>Herrenberg auslese GL Cask Nr.31 HVS</t>
  </si>
  <si>
    <t>Herrenberg auslese Cask Nr.25 HVS</t>
  </si>
  <si>
    <t>Herrenberg auslese Cask Nr.49 HVS</t>
  </si>
  <si>
    <t>Abtsberg auslese GL Cask Nr.87 HVS DS94</t>
  </si>
  <si>
    <t>Abtsberg auslese GL Cask Nr.24 HVS DS93</t>
  </si>
  <si>
    <t>Abtsberg auslese Cask Nr.87 HVS</t>
  </si>
  <si>
    <t>Abtsberg auslese Cask Nr.72 HVS</t>
  </si>
  <si>
    <t>Abtsberg auslese Cask Nr.24 HVS</t>
  </si>
  <si>
    <t>Abtsberg auslese Cask Nr.149 HVS</t>
  </si>
  <si>
    <t>Abtsberg auslese Cask Nr.93 HVS NM98</t>
  </si>
  <si>
    <t>Abtsberg auslese Cask Nr.45 HVS</t>
  </si>
  <si>
    <t>Herrenberg auslese GL Cask Nr.59</t>
  </si>
  <si>
    <t>Herrenberg auslese GL Cask Nr.31</t>
  </si>
  <si>
    <t>Herrenberg auslese Cask Nr.25</t>
  </si>
  <si>
    <t>Herrenberg auslese Cask Nr.49</t>
  </si>
  <si>
    <t>Herrenberg auslese Cask Nr.30</t>
  </si>
  <si>
    <t>Abtsberg auslese GL Cask Nr.87 DS94</t>
  </si>
  <si>
    <t>Abtsberg auslese GL Cask Nr.24 DS93</t>
  </si>
  <si>
    <t>Abtsberg auslese Cask Nr.87</t>
  </si>
  <si>
    <t>Abtsberg BA GL HVS DS95</t>
  </si>
  <si>
    <t>Abtsberg BA GL HVS DS92</t>
  </si>
  <si>
    <t>Herrenberg eiswein HVS</t>
  </si>
  <si>
    <t>Herrenberg eiswein HVS VINOUS95</t>
  </si>
  <si>
    <t>Herrenweg eiswein Cask No.56 HVS VINOUS97</t>
  </si>
  <si>
    <t>Herrenberg eiswein VINOUS95</t>
  </si>
  <si>
    <t>Graacher feinherb #7</t>
  </si>
  <si>
    <t>Graacher Himmelreich GL #12</t>
  </si>
  <si>
    <t>Graacher Himmelreich kabinett #2</t>
  </si>
  <si>
    <t>Graacher Domprobst kabinett #3</t>
  </si>
  <si>
    <t>Wehlener Sonnenuhr kabinett #19</t>
  </si>
  <si>
    <t>Graacher Domprobst kabinett #3 MAGS</t>
  </si>
  <si>
    <t>Graacher Himmelreich spatlese #8</t>
  </si>
  <si>
    <t>Graacher Himmelreich spatlese</t>
  </si>
  <si>
    <t>Graacher Domprobst spatlese #5</t>
  </si>
  <si>
    <t>Graacher Domprobst spatlese #10</t>
  </si>
  <si>
    <t>Wehlener Sonnenuhr spatlese #17</t>
  </si>
  <si>
    <t>Wehlener Sonnenuhr spatlese</t>
  </si>
  <si>
    <t>Graacher Domprobst spatlese #5 MAGS</t>
  </si>
  <si>
    <t>Graacher Himmelreich auslese #4 HVS DS94</t>
  </si>
  <si>
    <t>Graacher Himmelreich auslese #4 HVS</t>
  </si>
  <si>
    <t>Graacher Himmelreich auslese #9 HVS</t>
  </si>
  <si>
    <t>Graacher Domprobst auslese #10 HVS VINOUS92+</t>
  </si>
  <si>
    <t>Graacher Domprobst auslese #11 HVS</t>
  </si>
  <si>
    <t>Graacher Domprobst auslese #11 HVS DS93</t>
  </si>
  <si>
    <t>Graacher Domprobst auslese #11 HVS DS92</t>
  </si>
  <si>
    <t>Graacher Domprobst auslese #14 HVS</t>
  </si>
  <si>
    <t>Graacher Domprobst auslese #14 HVS DS94</t>
  </si>
  <si>
    <t>Graacher Domprobst auslese #14 HVS VINOUS94</t>
  </si>
  <si>
    <t>Graacher Domprobst auslese #14 HVS VINOUS92</t>
  </si>
  <si>
    <t>Graacher Himmelreich auslese #4 DS94</t>
  </si>
  <si>
    <t>Graacher Himmelreich auslese #9</t>
  </si>
  <si>
    <t>Graacher Domprobst auslese #1</t>
  </si>
  <si>
    <t>Graacher Domprobst auslese #11</t>
  </si>
  <si>
    <t>Graacher Domprobst auslese #11 DS93</t>
  </si>
  <si>
    <t>Graacher Domprobst auslese #11 DS92</t>
  </si>
  <si>
    <t>Graacher Domprobst auslese #14 DS94</t>
  </si>
  <si>
    <t>Graacher Domprobst auslese #14</t>
  </si>
  <si>
    <t>Graacher Domprobst auslese #14 VINOUS94</t>
  </si>
  <si>
    <t>Graacher Domprobst auslese #14 VINOUS92</t>
  </si>
  <si>
    <t>Wehlener Sonnenuhr auslese</t>
  </si>
  <si>
    <t>Graacher Domprobst BA #4 HVS VINOUS94</t>
  </si>
  <si>
    <t>Zeltlinger Sonnenuhr GG (trocken)</t>
  </si>
  <si>
    <t>Zeltlinger Schlossberg kabinett</t>
  </si>
  <si>
    <t>Zeltlinger Sonnenuhr spatlese feinherb Ur AR MCM (tvv)</t>
  </si>
  <si>
    <t>Zeltinger Schlossberg auslese 2**</t>
  </si>
  <si>
    <t>Wehlener Sonnenuhr auslese 2**</t>
  </si>
  <si>
    <t>Zeltinger Sonnenuhr auslese 2**</t>
  </si>
  <si>
    <t>Graacher Domprobst BA beerenauslese HVS</t>
  </si>
  <si>
    <t>Zeltinger Sonnenuhr BA beerenauslese 1* HVS</t>
  </si>
  <si>
    <t>Zeltinger Sonnenuhr TBA HVS</t>
  </si>
  <si>
    <t>Luckert Family Weingut Zehnthof</t>
  </si>
  <si>
    <t>silvaner Sulzfelder</t>
  </si>
  <si>
    <t>silvaner cru Sonnenberg gelbkalk</t>
  </si>
  <si>
    <t>silvaner cru Maustal GG (vv)</t>
  </si>
  <si>
    <t>silvaner Creutz *** (1870 ungrafted tvv)</t>
  </si>
  <si>
    <t>fruhburgunder Sulzfelder</t>
  </si>
  <si>
    <t>fruhburgunder*** cru Sonnenberg</t>
  </si>
  <si>
    <t>spatburgunder Sulzfelder</t>
  </si>
  <si>
    <t>spatburgunder cru Maustal GG </t>
  </si>
  <si>
    <t>Dönnhoff</t>
  </si>
  <si>
    <t>Oberhauser Brucke riesling eiswein HVS</t>
  </si>
  <si>
    <t>Rudesheimer Magdalenenkreuz spatlese</t>
  </si>
  <si>
    <t>Rudesheimer Berg Roseneck spatlese</t>
  </si>
  <si>
    <t>Musar Jeune BLANC</t>
  </si>
  <si>
    <t>Musar Jeune ROSÉ</t>
  </si>
  <si>
    <t>Musar Jeune ROUGE</t>
  </si>
  <si>
    <t>Château Musar BLANC (vv)</t>
  </si>
  <si>
    <t>Hochar rouge</t>
  </si>
  <si>
    <t>Hochar rouge MAGS</t>
  </si>
  <si>
    <t>Château Musar HVS</t>
  </si>
  <si>
    <t>Château Musar</t>
  </si>
  <si>
    <t>Château Musar MAGS</t>
  </si>
  <si>
    <t>Château Musar DBL MAGS</t>
  </si>
  <si>
    <t>Cromas cabernet sauvignon gran reserva</t>
  </si>
  <si>
    <t>Highland Divide chardonnay</t>
  </si>
  <si>
    <t>USA</t>
  </si>
  <si>
    <t>Isobel chardonnay, Charles Heintz v/y</t>
  </si>
  <si>
    <t>Sonoma Coast</t>
  </si>
  <si>
    <t>Hyde v/y chardonnay</t>
  </si>
  <si>
    <t>Carneros-Napa</t>
  </si>
  <si>
    <t>Estate chardonnay</t>
  </si>
  <si>
    <t>Highland Divide pinot noir</t>
  </si>
  <si>
    <t>Eoin pinot noir, Sonoma Stage v/y</t>
  </si>
  <si>
    <t>Wildrose v/y pinot noir</t>
  </si>
  <si>
    <t>Joy Road v/y pinot noir</t>
  </si>
  <si>
    <t>Connor pinot noir, Joy Road v/y</t>
  </si>
  <si>
    <t>Ryan pinot noir, Jentoft v/y</t>
  </si>
  <si>
    <t>Ryan pinot noir, Widdoes v/y</t>
  </si>
  <si>
    <t>Finn pinot noir</t>
  </si>
  <si>
    <t>MacIntyre Estate pinot noir</t>
  </si>
  <si>
    <t>Bressay Estate pinot noir</t>
  </si>
  <si>
    <t>Estate pinot noir</t>
  </si>
  <si>
    <t>Estate pinot noir MAGS</t>
  </si>
  <si>
    <t>Jack Robert's Run syrah, Estate</t>
  </si>
  <si>
    <t>Napa</t>
  </si>
  <si>
    <t>Montecillo vineyard cabernet sauvignon, Moon Mtn</t>
  </si>
  <si>
    <t>Sonoma</t>
  </si>
  <si>
    <t>Ballard cabernet sauvignon, Spring Mountain</t>
  </si>
  <si>
    <t>Meteor cabernet sauvignon, Coombsville</t>
  </si>
  <si>
    <t>Meteor cabernet sauvignon, Coombsville MAGS</t>
  </si>
  <si>
    <t>gewurztraminer Saralee's</t>
  </si>
  <si>
    <t>grenache blanc Catie's Corner (NB tartrate crystal deposit)</t>
  </si>
  <si>
    <t>gewurztraminer Saralee's MAGS</t>
  </si>
  <si>
    <t>grenache blanc cuvée orange</t>
  </si>
  <si>
    <t>pinot noir Saralee's</t>
  </si>
  <si>
    <t>pinot noir Catie's Corner</t>
  </si>
  <si>
    <t>syrah Trenton Estate</t>
  </si>
  <si>
    <t xml:space="preserve">zinfandel cuvée de trois </t>
  </si>
  <si>
    <t xml:space="preserve">zinfandel Vine Hill School Rd </t>
  </si>
  <si>
    <t>cabernet sauvignon Trenton Estate</t>
  </si>
  <si>
    <t>tannat late picked</t>
  </si>
  <si>
    <t>syrah , Araujo Estate label</t>
  </si>
  <si>
    <t>Eisele Vineyard cabernet sauvignon</t>
  </si>
  <si>
    <t>Eisele Vineyard cabernet sauvignon MAGS</t>
  </si>
  <si>
    <t>Othello by Dominus</t>
  </si>
  <si>
    <t>Napanook</t>
  </si>
  <si>
    <t>chardonnay Red Shoulder Ranch</t>
  </si>
  <si>
    <t>Carneros</t>
  </si>
  <si>
    <t>TD-9 Proprietary red (cab-based Bordeaux blend)</t>
  </si>
  <si>
    <t>Relentless, Napa (syrah+petite sirah)</t>
  </si>
  <si>
    <t>Hillside Select cabernet sauvignon</t>
  </si>
  <si>
    <t>Hillside Select cabernet MAGS</t>
  </si>
  <si>
    <t>chardonnay Dundee Hills</t>
  </si>
  <si>
    <t>Abbey Ridge chardonnay</t>
  </si>
  <si>
    <t>Clos Electrique blanc (chardonnay)</t>
  </si>
  <si>
    <t>pinot noir Dundee Hills</t>
  </si>
  <si>
    <t>Reserve pinot noir</t>
  </si>
  <si>
    <t>Abbey Ridge pinot noir</t>
  </si>
  <si>
    <t>Clos Electrique rouge (pinot noir)</t>
  </si>
  <si>
    <t>Julia pinot noir</t>
  </si>
  <si>
    <t>Ramiiisol chardonnay</t>
  </si>
  <si>
    <t>Monticello</t>
  </si>
  <si>
    <t>Ramiiisol cerasuolo</t>
  </si>
  <si>
    <t>Ramiiisol cabernet franc</t>
  </si>
  <si>
    <t>Ramiiisol cabernet franc riserva (46mths elevage)</t>
  </si>
  <si>
    <t>riesling Craighall (dry)</t>
  </si>
  <si>
    <t>follows</t>
  </si>
  <si>
    <t>New Zealand</t>
  </si>
  <si>
    <t>pinot gris</t>
  </si>
  <si>
    <t>gewurztraminer Lovat</t>
  </si>
  <si>
    <t>tempranillo</t>
  </si>
  <si>
    <t>syrah Lovat</t>
  </si>
  <si>
    <t>syrah Lovat MAGS</t>
  </si>
  <si>
    <t>Kidnappers Cliffs by Dry River</t>
  </si>
  <si>
    <t>Solan (sauv/sem)</t>
  </si>
  <si>
    <t>pinotage</t>
  </si>
  <si>
    <t>Ariki (merlot based right-bank blend)</t>
  </si>
  <si>
    <t>Felton Road Vin Gris</t>
  </si>
  <si>
    <t>Dry riesling</t>
  </si>
  <si>
    <t>riesling Bannockburn (off-dry)</t>
  </si>
  <si>
    <t>chardonnay Bannockburn</t>
  </si>
  <si>
    <t>chardonnay Block 2</t>
  </si>
  <si>
    <t>chardonnay Block 6</t>
  </si>
  <si>
    <t>chardonnay Block 2 MAGS</t>
  </si>
  <si>
    <t>pinot noir Bannockburn</t>
  </si>
  <si>
    <t>pinot noir Cornish Point</t>
  </si>
  <si>
    <t>pinot noir Calvert</t>
  </si>
  <si>
    <t>pinot noir MacMuir</t>
  </si>
  <si>
    <t>pinot noir Block 3</t>
  </si>
  <si>
    <t>pinot noir Block 5</t>
  </si>
  <si>
    <t>Block &amp; vineyard pinots MAGS PER 3-PACK</t>
  </si>
  <si>
    <t>pinot noir Madeline</t>
  </si>
  <si>
    <t>pinot noir Stella</t>
  </si>
  <si>
    <t>pinot noir Madeline MAGS</t>
  </si>
  <si>
    <t>pinot noir Stella MAGS</t>
  </si>
  <si>
    <t>Gapsted</t>
  </si>
  <si>
    <t>Valley selection dry riesling</t>
  </si>
  <si>
    <t>Australia</t>
  </si>
  <si>
    <t>Waterstone Bridge shiraz</t>
  </si>
  <si>
    <t>Kin by Alkina</t>
  </si>
  <si>
    <t>KIN semillon (1950s vv)</t>
  </si>
  <si>
    <t>KIN semillon (1950s vv) MAGS</t>
  </si>
  <si>
    <t>KIN 'red' semillon</t>
  </si>
  <si>
    <t>KIN grenache</t>
  </si>
  <si>
    <t>KIN shiraz</t>
  </si>
  <si>
    <t>KIN grenache MAGS</t>
  </si>
  <si>
    <t>KIN shiraz MAGS</t>
  </si>
  <si>
    <t>Wild Earth - Field 'White' (vv from qvevri)</t>
  </si>
  <si>
    <t>Birdsong shiraz</t>
  </si>
  <si>
    <t>Birdsong shiraz MAGS</t>
  </si>
  <si>
    <t>Night Sky GSM (vv, cement)</t>
  </si>
  <si>
    <t>Night Sky GSM (vv, cement, ex-'Field Red')</t>
  </si>
  <si>
    <t>Field red (GSM vv, cement)</t>
  </si>
  <si>
    <t>Night Sky GSM (vv, cement) MAGS</t>
  </si>
  <si>
    <t>Striato shiraz (ex-'Spice Garden')</t>
  </si>
  <si>
    <t>Spice Garden shiraz (now 'Striato')</t>
  </si>
  <si>
    <t>Spice Garden shiraz</t>
  </si>
  <si>
    <t>Striato shiraz MAGS</t>
  </si>
  <si>
    <t>Spice Garden shiraz MAGS</t>
  </si>
  <si>
    <t>Old Quarter GSM (vv)</t>
  </si>
  <si>
    <t>Old Quarter GSM (vv) MAGS</t>
  </si>
  <si>
    <t>Polygon No.1 (shiraz vv)</t>
  </si>
  <si>
    <t>Polygon No.3 (grenache vv)</t>
  </si>
  <si>
    <t>Polygon No.5 (grenache vv)</t>
  </si>
  <si>
    <t>Polygon No.1 (shiraz vv) MAGS</t>
  </si>
  <si>
    <t>Polygon No.3 (grenache vv) MAGS</t>
  </si>
  <si>
    <t>Polygon No.5 (grenache vv) MAGS</t>
  </si>
  <si>
    <t>Powell &amp; Son/Neldner Road</t>
  </si>
  <si>
    <t>Eden Valley riesling (tvv)</t>
  </si>
  <si>
    <t>Barossa roussanne marsanne</t>
  </si>
  <si>
    <t>Riverside GMS, Barossa (GMS)</t>
  </si>
  <si>
    <t>Barossa GSM (vv &amp; tvv)</t>
  </si>
  <si>
    <t>Barossa GSM (vv &amp; tvv )</t>
  </si>
  <si>
    <t>Brennecker Seppeltsfield grenache, Barossa (tvv)</t>
  </si>
  <si>
    <t>Kleinig Mataro (vv), Greenock, Barossa</t>
  </si>
  <si>
    <t>Barossa Valley shiraz</t>
  </si>
  <si>
    <t>Barossa &amp; Eden Valleys shiraz (vv)</t>
  </si>
  <si>
    <t xml:space="preserve">Herrmann shiraz (vv), Kalimna, NW Barossa </t>
  </si>
  <si>
    <t xml:space="preserve">Schulz shiraz, Koonunga Hill (BD), NW Barossa </t>
  </si>
  <si>
    <t>Loechel shiraz (vv), Eden</t>
  </si>
  <si>
    <t>Chatterton's shiraz (vv) Barossa</t>
  </si>
  <si>
    <t>Steinert Flaxman's shiraz (tvv), Eden</t>
  </si>
  <si>
    <t>Kraehe Marananga shiraz (tvv), Barossa</t>
  </si>
  <si>
    <t>Barossa GSM (vv &amp; tvv) MAGS</t>
  </si>
  <si>
    <t>Brennecker Seppeltsfield grenache (tvv) MAGS</t>
  </si>
  <si>
    <t>Barossa shiraz MAGS</t>
  </si>
  <si>
    <t>Barossa &amp; Eden Valleys shiraz (vv) MAGS</t>
  </si>
  <si>
    <t>Schulz shiraz, Koonunga Hill, NW Barossa (BD) MAGS</t>
  </si>
  <si>
    <t>Loechel shiraz (vv), Eden MAGS</t>
  </si>
  <si>
    <t>Steinert Flaxman's shiraz (tvv), Eden MAGS</t>
  </si>
  <si>
    <t>Kraehe Marananga shiraz (tvv), Barossa MAGS</t>
  </si>
  <si>
    <t>Piccadilly Valley Pinot Noir</t>
  </si>
  <si>
    <t>Estate Pinot Noir</t>
  </si>
  <si>
    <t>Cap Classique bdb brut</t>
  </si>
  <si>
    <t>Die Kluise white (chenin blanc)</t>
  </si>
  <si>
    <t>Paarl</t>
  </si>
  <si>
    <t>organic</t>
  </si>
  <si>
    <t>Die Kluise 'mature-vine' chenin blanc</t>
  </si>
  <si>
    <t>Die Kluise red (cinsault)</t>
  </si>
  <si>
    <t>Die Kluise 'bush-vine' syrah</t>
  </si>
  <si>
    <t>Leeuwenkuil Family</t>
  </si>
  <si>
    <t>Heritage chenin blanc</t>
  </si>
  <si>
    <t>The Sadie Family</t>
  </si>
  <si>
    <t>Palladius, Swartland</t>
  </si>
  <si>
    <t>Kokerboom: semillon, Olifants River (vv)</t>
  </si>
  <si>
    <t>Olifants River</t>
  </si>
  <si>
    <t>Rotsbank: chenin, Swartland</t>
  </si>
  <si>
    <t>Skerpioen: chenin/palomino, Swartland (vv)</t>
  </si>
  <si>
    <t>Skurfberg: chenin, Olifants River (vv)</t>
  </si>
  <si>
    <t>Mev.Kirsten: chenin, Stellenbosch (tvv)</t>
  </si>
  <si>
    <t>Columella</t>
  </si>
  <si>
    <t>Pofadder: cinsault, Swartland (vv)</t>
  </si>
  <si>
    <t>Soldaat: grenache, Piekenierskloof</t>
  </si>
  <si>
    <t>Piekenierskloof</t>
  </si>
  <si>
    <t>Treinspoor: tinta barocca, Swartland</t>
  </si>
  <si>
    <t>Sijnn chenin blanc, Malgas</t>
  </si>
  <si>
    <t>Sijnn estate white, Malgas</t>
  </si>
  <si>
    <t>Sijnn estate white, Malgas MAGS</t>
  </si>
  <si>
    <t>Sijnn estate white, Malgas JEROS</t>
  </si>
  <si>
    <t>Low Profile red, Malgas</t>
  </si>
  <si>
    <t>Low Profile red, Malgas MAGS</t>
  </si>
  <si>
    <t>Sijnn cabernet sauvignon, Malgas</t>
  </si>
  <si>
    <t>Sijnn carignan, Malgas</t>
  </si>
  <si>
    <t>Sijnn grenache noir, Malgas</t>
  </si>
  <si>
    <t>Sijnn mourvedre, Malgas</t>
  </si>
  <si>
    <t>Sijnn syrah, Malgas</t>
  </si>
  <si>
    <t>Sijnn trincadeira, Malgas</t>
  </si>
  <si>
    <t>Sijnn estate red, Malgas</t>
  </si>
  <si>
    <t>Sijnn estate red, Malgas MAGS</t>
  </si>
  <si>
    <t>Sijnn estate red, Malgas JEROS</t>
  </si>
  <si>
    <t>Sijnn Cape Vintage, Malgas HVS</t>
  </si>
  <si>
    <t>The First Lady pinotage</t>
  </si>
  <si>
    <t>Trilogy (CS 64%, CF 18%, 18% M)</t>
  </si>
  <si>
    <t>Mukai Shuzo</t>
  </si>
  <si>
    <t>Ine Mankai – red rice!</t>
  </si>
  <si>
    <t>72</t>
  </si>
  <si>
    <t>Terada Honke</t>
  </si>
  <si>
    <t>Daigo no Shizuku</t>
  </si>
  <si>
    <t>Heiwa Shuzo</t>
  </si>
  <si>
    <t>Kido 'KID' Ginjo</t>
  </si>
  <si>
    <t>Senkin</t>
  </si>
  <si>
    <t>Senkin Kame-no-o (ex-'50')</t>
  </si>
  <si>
    <t>Senkin Tsurukame '19'</t>
  </si>
  <si>
    <t>Okamura Honke</t>
  </si>
  <si>
    <t>Kinkame 80</t>
  </si>
  <si>
    <t>Senkin Kame-No-o (ex-'50')</t>
  </si>
  <si>
    <t>Akishika Shuzo</t>
  </si>
  <si>
    <t>Yama nama 'mountain label'</t>
  </si>
  <si>
    <t>Okarakuchi</t>
  </si>
  <si>
    <t>Ota Shuzo</t>
  </si>
  <si>
    <t>Kokoro</t>
  </si>
  <si>
    <t>Gonin Musume</t>
  </si>
  <si>
    <t>Uehara Shuzo</t>
  </si>
  <si>
    <t>Soma No Tengu</t>
  </si>
  <si>
    <t>junmai ginjo nama-gen usunigori – 59% polish</t>
  </si>
  <si>
    <t>Katori 80</t>
  </si>
  <si>
    <t>Katori 90</t>
  </si>
  <si>
    <t>Katori 90 180cl</t>
  </si>
  <si>
    <t>180</t>
  </si>
  <si>
    <t>Katori 90 nama</t>
  </si>
  <si>
    <t>Kirei Shuzo</t>
  </si>
  <si>
    <t>Hachi-Ku ('89')</t>
  </si>
  <si>
    <t>Hachi-Ku ('89') 180cl</t>
  </si>
  <si>
    <t>Kidoizumi Shuzo</t>
  </si>
  <si>
    <t>Shiboritate</t>
  </si>
  <si>
    <t>Hakugyokuko</t>
  </si>
  <si>
    <t>Okushika</t>
  </si>
  <si>
    <t>Okushika 180cl</t>
  </si>
  <si>
    <t>(TBC)</t>
  </si>
  <si>
    <t>Kiokejikomi 'Tree Label'</t>
  </si>
  <si>
    <t>Kiokejikomi</t>
  </si>
  <si>
    <t>Kaikoshu</t>
  </si>
  <si>
    <t>Mii No Kotobuki</t>
  </si>
  <si>
    <t>Biden koshu</t>
  </si>
  <si>
    <t>Biden koshu 180cl</t>
  </si>
  <si>
    <t xml:space="preserve">Uehara Shuzo </t>
  </si>
  <si>
    <t>Taiko no Izanai</t>
  </si>
  <si>
    <t>Kokin 1990</t>
  </si>
  <si>
    <t>'Tsuru-Ume' Suppai Umeshu</t>
  </si>
  <si>
    <t>1yr</t>
  </si>
  <si>
    <t>Mii no Umeshu 30cl</t>
  </si>
  <si>
    <t>25yrs</t>
  </si>
  <si>
    <t>30</t>
  </si>
  <si>
    <t>Mii no Umeshu</t>
  </si>
  <si>
    <t>Mii no Umeshu 180cl</t>
  </si>
  <si>
    <t>'Tsuru-Ume' Yuzu</t>
  </si>
  <si>
    <t>Yuzu infused</t>
  </si>
  <si>
    <t>'Tsuru-Ume' Yuzu 180cl</t>
  </si>
  <si>
    <t>Miyako Bijin</t>
  </si>
  <si>
    <t>Yoigokochi Yuzu</t>
  </si>
  <si>
    <t>Yoigokochi Yuzu 180cl</t>
  </si>
  <si>
    <t>Manzen shochu (sweet potato)</t>
  </si>
  <si>
    <t>Shochu</t>
  </si>
  <si>
    <t>Manzen shochu (sweet potato) 180cl</t>
  </si>
  <si>
    <t>Niepoort Port glass</t>
  </si>
  <si>
    <t>12s</t>
  </si>
  <si>
    <t>Fortified</t>
  </si>
  <si>
    <t>Dry white Port (macerated)</t>
  </si>
  <si>
    <t>(3.5yrs)</t>
  </si>
  <si>
    <t>10 year Dry white Port (macerated)</t>
  </si>
  <si>
    <t>10yr</t>
  </si>
  <si>
    <t>Colheita White Colheita Port (bottled 2022)</t>
  </si>
  <si>
    <t>Colheita Port (vv) HVS</t>
  </si>
  <si>
    <t>LBV Port (1vv) HVS</t>
  </si>
  <si>
    <t>Vintage Port (vv-tvv) HVS</t>
  </si>
  <si>
    <t>Senior tawny Port</t>
  </si>
  <si>
    <t>10 year tawny Port (vv)</t>
  </si>
  <si>
    <t>20 year tawny Port (vv)</t>
  </si>
  <si>
    <t>30 year tawny Port</t>
  </si>
  <si>
    <t>30yr</t>
  </si>
  <si>
    <t>Colheita Port (vv)</t>
  </si>
  <si>
    <t>Colheita Port (bottled 2023)</t>
  </si>
  <si>
    <t>Colheita Port (bottled 1994)</t>
  </si>
  <si>
    <t>Garrafeira Port (bottled 2007)</t>
  </si>
  <si>
    <t>10 year tawny Port (vv) 'baby demijohn' OWC MAGS</t>
  </si>
  <si>
    <t>ruby Port</t>
  </si>
  <si>
    <t>LBV Port (vv)</t>
  </si>
  <si>
    <t>Crusted Port, bottled 2021 (vv &amp; tvv)</t>
  </si>
  <si>
    <t>Bioma VV Crusted Port, bottled 2017 (vv &amp; tvv)</t>
  </si>
  <si>
    <t>(14&amp;15)</t>
  </si>
  <si>
    <t>Bioma VV Crusted Port, bottled 2014 (vv &amp; tvv)</t>
  </si>
  <si>
    <t>(12&amp;13)</t>
  </si>
  <si>
    <t>Vintage Port (vv-tvv)</t>
  </si>
  <si>
    <t>Vintage Port MAGS</t>
  </si>
  <si>
    <t>Bioma VV Vintage Port (vv-tvv)</t>
  </si>
  <si>
    <t>Pisca VV Vintage Port (vv-tvv)</t>
  </si>
  <si>
    <t>Quinta Do Noval</t>
  </si>
  <si>
    <t>Quinta do Noval VP</t>
  </si>
  <si>
    <t>Quinta do Noval NACIONAL VP (tvv)</t>
  </si>
  <si>
    <t>Quinta Do Passadouro</t>
  </si>
  <si>
    <t>Quinta do Passadouro VP HVS</t>
  </si>
  <si>
    <t>Quinta do Passadouro VP MAGS</t>
  </si>
  <si>
    <t>Fonseca Guimaraens VP</t>
  </si>
  <si>
    <t>Taylor Vargellas</t>
  </si>
  <si>
    <t>Fonseca VP</t>
  </si>
  <si>
    <t>Taylor's VP</t>
  </si>
  <si>
    <t>Croft Quinta da Roeda Serikos VP</t>
  </si>
  <si>
    <t>Taylor's Quinta de Vargellas VV VP</t>
  </si>
  <si>
    <t>Juan Piñero</t>
  </si>
  <si>
    <t xml:space="preserve">manzanilla Maruja </t>
  </si>
  <si>
    <t>(8-9)</t>
  </si>
  <si>
    <t xml:space="preserve">fino Camborio </t>
  </si>
  <si>
    <t>(9-10)</t>
  </si>
  <si>
    <t>manzanilla pasada Maruja 50cl</t>
  </si>
  <si>
    <t>~12</t>
  </si>
  <si>
    <t>fino en rama seleccionado Camborio 50cl</t>
  </si>
  <si>
    <t>amontillado 12 'Great Duke'</t>
  </si>
  <si>
    <t>oloroso 12 'Great Duke'</t>
  </si>
  <si>
    <t>(~20)</t>
  </si>
  <si>
    <t>palo cortado 12 'Great Duke'</t>
  </si>
  <si>
    <t>amontillado Piñero VORS 50cl</t>
  </si>
  <si>
    <t>(35-40)</t>
  </si>
  <si>
    <t>oloroso Piñero VORS 50cl</t>
  </si>
  <si>
    <t>(50-60)</t>
  </si>
  <si>
    <t xml:space="preserve">P.X. </t>
  </si>
  <si>
    <t>(~7)</t>
  </si>
  <si>
    <t>cream Piñero VOS 50cl</t>
  </si>
  <si>
    <t>~20</t>
  </si>
  <si>
    <t>cream muy viejo</t>
  </si>
  <si>
    <t>&gt;25yrs</t>
  </si>
  <si>
    <t>oloroso VORS</t>
  </si>
  <si>
    <t>&gt;55yrs</t>
  </si>
  <si>
    <t>amontillado VORS</t>
  </si>
  <si>
    <t>amontillado VORS MAGS</t>
  </si>
  <si>
    <t>brandy de jerez gran reserva Gold label</t>
  </si>
  <si>
    <t>&gt;20yrs</t>
  </si>
  <si>
    <t>Fernando De Castilla</t>
  </si>
  <si>
    <t>Classic oloroso</t>
  </si>
  <si>
    <t>Antique amontillado 50cl</t>
  </si>
  <si>
    <t>~20yrs</t>
  </si>
  <si>
    <t>Antique palo cortado 50cl</t>
  </si>
  <si>
    <t>~30yrs</t>
  </si>
  <si>
    <t>Ardmore Single Malt 2008, 1st fill ex-Margaux red wine barrique</t>
  </si>
  <si>
    <t>13yrs</t>
  </si>
  <si>
    <t>Spirits</t>
  </si>
  <si>
    <t xml:space="preserve">Caol Ila Single Malt 2008, Islay - 1st fill ex-Margaux red wine barrique </t>
  </si>
  <si>
    <t>14yrs</t>
  </si>
  <si>
    <t>(Ardbeg) Single Malt 2006, Islay - 1st fill Bourbon cask</t>
  </si>
  <si>
    <t>16yrs</t>
  </si>
  <si>
    <t>Isle of Jura Single Malt 1992 – refill Bourbon cask</t>
  </si>
  <si>
    <t>Raasay 'The Draam' Lightly Peated (46.4%)</t>
  </si>
  <si>
    <t>NAS</t>
  </si>
  <si>
    <t>Raasay Dùn Cana - Sherry Quarter Cask, cask-strength (52%)</t>
  </si>
  <si>
    <t>Raasay Peated Margaux single Cask, cask strength (60.4%)</t>
  </si>
  <si>
    <t>Raasay Hebridean gin (46%)</t>
  </si>
  <si>
    <t>Cidre Bouche Bio 33cl</t>
  </si>
  <si>
    <t>33</t>
  </si>
  <si>
    <t>Cidre Bouche Bio 75cl</t>
  </si>
  <si>
    <t>Calvados Fine 40%</t>
  </si>
  <si>
    <t>-</t>
  </si>
  <si>
    <t>Calvados Original 40%</t>
  </si>
  <si>
    <t>Calvados Reserve 40%</t>
  </si>
  <si>
    <t>Calvados VSOP 42%</t>
  </si>
  <si>
    <t>Calvados Hors d'Age 42%</t>
  </si>
  <si>
    <t>Calvados over 12 yrs 42%</t>
  </si>
  <si>
    <t>12+</t>
  </si>
  <si>
    <t>Calvados over 30 yrs 42%</t>
  </si>
  <si>
    <t>30+</t>
  </si>
  <si>
    <t>Calvados 42%</t>
  </si>
  <si>
    <t>Francois Gaunoux marc de Bourgogne 70cl 40%</t>
  </si>
  <si>
    <t>Distillerie G. Miclo</t>
  </si>
  <si>
    <t>liqueur de pain d'épices (19%) 50cl</t>
  </si>
  <si>
    <t>crème de mure (18%, blackberry)</t>
  </si>
  <si>
    <t>crème de poire Williams (18%, Williams pear)</t>
  </si>
  <si>
    <t>liqueur de poire Williams (25%, Williams pear)</t>
  </si>
  <si>
    <t>crème de cassis (18%, blackcurrant)</t>
  </si>
  <si>
    <t>crème de framboise (18%, raspberry)</t>
  </si>
  <si>
    <t>mirabelle grande réserve (43%)</t>
  </si>
  <si>
    <t>vieux kirsche grande réserve (43%)</t>
  </si>
  <si>
    <t>poire William grande réserve (43%)</t>
  </si>
  <si>
    <t>framboise sauvage grande réserve (43%)</t>
  </si>
  <si>
    <t>vieille prune grande réserve (40%)</t>
  </si>
  <si>
    <t>Armagnac VSOP</t>
  </si>
  <si>
    <t>recioto di Soave, de Bruno 50% &lt;N&gt;</t>
  </si>
  <si>
    <t>Bardolino, Raval 50%</t>
  </si>
  <si>
    <t>Valpolicella, Corte Lenguin 50%</t>
  </si>
  <si>
    <t>Amarone, Brigaldara 50%</t>
  </si>
  <si>
    <t>Amarone, Brigaldara 50% MAGS</t>
  </si>
  <si>
    <t>teroldego, Sebastiani 50% 50cl</t>
  </si>
  <si>
    <t>tuttogrado lagrein Abbazia di Muri 62.1% 50cl &lt;E&gt;</t>
  </si>
  <si>
    <t>tuttogrado Amarone Quintarelli 64% 50cl &lt;E&gt;</t>
  </si>
  <si>
    <t>tuttogrado Amarone Quintarelli 65% 50cl &lt;E&gt;</t>
  </si>
  <si>
    <t>tuttogrado Brunello Poggio San Polo 59.7% 50cl &lt;E&gt;</t>
  </si>
  <si>
    <t>tuttogrado Amarone, Brigaldara 60% 50cl &lt;E&gt;</t>
  </si>
  <si>
    <t>moscato bianco uva, dal Santo 50% 50cl &lt;N&gt;</t>
  </si>
  <si>
    <t>moscato d'Hamburgo uva, di Filippo 50% 50cl &lt;N&gt;</t>
  </si>
  <si>
    <t>teroldego uva, Donati 50% 50cl</t>
  </si>
  <si>
    <t>Valpolicella uva, Silvestri 50% 50cl</t>
  </si>
  <si>
    <t>Bardolino uva, Banfi-Maffezzoli 50% 50cl</t>
  </si>
  <si>
    <t>ciliegia mora, Monte dei Ragni 50% 50cl (black cherry) &lt;N&gt;</t>
  </si>
  <si>
    <t>albicocca Val d'Illasi 50% 50cl (apricot) &lt;N&gt;</t>
  </si>
  <si>
    <t>ciliegia marasca Fiamene 50% 50cl (bird cherry) &lt;E&gt;</t>
  </si>
  <si>
    <t>mela Golden Leonardi 50% vol 50cl (apple) &lt;E&gt;</t>
  </si>
  <si>
    <t>tuttogrado ciliegia marasca... 54.7% 50cl (bird cherry) &lt;E&gt;</t>
  </si>
  <si>
    <t>Claudio Gobetti</t>
  </si>
  <si>
    <t>vinaccia di Amarone (45%) 50cl</t>
  </si>
  <si>
    <t>Stella Di Campalto</t>
  </si>
  <si>
    <t>grappa di Brunello di Montalcino (riserva) (42%) 50cl</t>
  </si>
  <si>
    <t>grappa di Brunello di Montalcino riserva (42%) 50cl</t>
  </si>
  <si>
    <t>Manzen (sweet potato shochu)</t>
  </si>
  <si>
    <t>Manzen (sweet potato shochu) 180cl MAG</t>
  </si>
  <si>
    <t>End Of Line</t>
  </si>
  <si>
    <t>J.CATTIN</t>
  </si>
  <si>
    <t>ROBERT EYMAEL</t>
  </si>
  <si>
    <t>Erdener Pralat riesling auslese</t>
  </si>
  <si>
    <t>GUNDERLOCH</t>
  </si>
  <si>
    <t>N.Rothenberg riesling auslese</t>
  </si>
  <si>
    <t>Rheinhessen</t>
  </si>
  <si>
    <t>N.Rothenberg riesling auslese Goldkap HVS</t>
  </si>
  <si>
    <t>sylvaner reserve</t>
  </si>
  <si>
    <t>ROCHIOLI</t>
  </si>
  <si>
    <t>KILIKANOON</t>
  </si>
  <si>
    <t>Mort's Block riesling</t>
  </si>
  <si>
    <t>Clare Valley</t>
  </si>
  <si>
    <t>ARTADI GROUP</t>
  </si>
  <si>
    <t>El Seque (VV monastrell)</t>
  </si>
  <si>
    <t>Alicante</t>
  </si>
  <si>
    <t>VALENTINA CUBI</t>
  </si>
  <si>
    <t>Valpolicella Classico Superiore 'Il Tabarro'</t>
  </si>
  <si>
    <t>GIOVANNI CHIAPPINI</t>
  </si>
  <si>
    <t>Guado de Gemoli</t>
  </si>
  <si>
    <t>Bolgheri</t>
  </si>
  <si>
    <t>TORBRECK</t>
  </si>
  <si>
    <t>Run Rig shiraz</t>
  </si>
  <si>
    <t>Oracle shiraz</t>
  </si>
  <si>
    <t>GREENOCK CREEK</t>
  </si>
  <si>
    <t>cabernet sauvignon, Seppeltsfield</t>
  </si>
  <si>
    <t>TABLAS CREEK</t>
  </si>
  <si>
    <t>Tablas Creek Red</t>
  </si>
  <si>
    <t>Paso Robles</t>
  </si>
  <si>
    <t>VALLI</t>
  </si>
  <si>
    <t>pinot noir 'Bald Hills'</t>
  </si>
  <si>
    <t>Cedro do Noval</t>
  </si>
  <si>
    <t>CASCINA EBREO</t>
  </si>
  <si>
    <t>Torbido Rosso VdT</t>
  </si>
  <si>
    <t>Langhe</t>
  </si>
  <si>
    <t>CLOS DU MONT OLIVET</t>
  </si>
  <si>
    <t>Cuvee Papet Rouge Chateauneuf-du-Pape</t>
  </si>
  <si>
    <t>ROBLET MONNOT</t>
  </si>
  <si>
    <t>Volnay L'Ormeau 1er Cru</t>
  </si>
  <si>
    <t>WAKEFIELD</t>
  </si>
  <si>
    <t>Wakefield riesling</t>
  </si>
  <si>
    <t>TYRRELL'S</t>
  </si>
  <si>
    <t>Malers Selection VAT 1 Semillon</t>
  </si>
  <si>
    <t>Hunter Valley</t>
  </si>
  <si>
    <t>CLAUDE RIFFAULT</t>
  </si>
  <si>
    <t>Sancerre les Desmalets</t>
  </si>
  <si>
    <t>R&amp;A PFAFFL</t>
  </si>
  <si>
    <t>sauvignon blanc Exklusiv</t>
  </si>
  <si>
    <t>Weinviertel</t>
  </si>
  <si>
    <t>CAPE POINT VINEYARDS</t>
  </si>
  <si>
    <t>Cape Point Vineyards sauvignon blanc</t>
  </si>
  <si>
    <t>Western Cape</t>
  </si>
  <si>
    <t>MERLIN CHERRIER</t>
  </si>
  <si>
    <t>Sancerre Merlin HVS</t>
  </si>
  <si>
    <r>
      <t>Kin by Alkina Semillon, Barossa (</t>
    </r>
    <r>
      <rPr>
        <b/>
        <sz val="8"/>
        <color theme="1" tint="0.14999847407452621"/>
        <rFont val="Noto Sans"/>
        <family val="2"/>
      </rPr>
      <t>Damian Hamilton</t>
    </r>
    <r>
      <rPr>
        <sz val="7"/>
        <color theme="1" tint="0.14999847407452621"/>
        <rFont val="Noto Sans"/>
        <family val="2"/>
      </rPr>
      <t>, designer)</t>
    </r>
  </si>
  <si>
    <r>
      <t>Kin Wild Earth 'Field White', Barossa (</t>
    </r>
    <r>
      <rPr>
        <b/>
        <sz val="8"/>
        <color theme="1" tint="0.14999847407452621"/>
        <rFont val="Noto Sans"/>
        <family val="2"/>
      </rPr>
      <t>Damian Coulthard,</t>
    </r>
    <r>
      <rPr>
        <sz val="7"/>
        <color theme="1" tint="0.14999847407452621"/>
        <rFont val="Noto Sans"/>
        <family val="2"/>
      </rPr>
      <t xml:space="preserve"> painter)</t>
    </r>
  </si>
  <si>
    <t>l'Hêtre – Castillion, Côtes de Bordeaux</t>
  </si>
  <si>
    <t>Château Langoa Barton 2021</t>
  </si>
  <si>
    <r>
      <t xml:space="preserve">L'Hetre, Castillon </t>
    </r>
    <r>
      <rPr>
        <sz val="8"/>
        <color theme="1" tint="0.14999847407452621"/>
        <rFont val="Noto Sans"/>
        <family val="2"/>
      </rPr>
      <t>(</t>
    </r>
    <r>
      <rPr>
        <b/>
        <sz val="8"/>
        <color theme="1" tint="0.14999847407452621"/>
        <rFont val="Noto Sans"/>
        <family val="2"/>
      </rPr>
      <t>Anne Van Herreweghe</t>
    </r>
    <r>
      <rPr>
        <sz val="7"/>
        <color theme="1" tint="0.14999847407452621"/>
        <rFont val="Noto Sans"/>
        <family val="2"/>
      </rPr>
      <t>, artist)</t>
    </r>
  </si>
  <si>
    <r>
      <t>Lignier Clos de La Roche MCMLV (</t>
    </r>
    <r>
      <rPr>
        <b/>
        <sz val="8"/>
        <color theme="1" tint="0.14999847407452621"/>
        <rFont val="Noto Sans"/>
        <family val="2"/>
      </rPr>
      <t>Joyce Delimata</t>
    </r>
    <r>
      <rPr>
        <sz val="7"/>
        <color theme="1" tint="0.14999847407452621"/>
        <rFont val="Noto Sans"/>
        <family val="2"/>
      </rPr>
      <t>)</t>
    </r>
  </si>
  <si>
    <r>
      <t>Fratelli Alessandria pelaverga Verduno. (</t>
    </r>
    <r>
      <rPr>
        <b/>
        <sz val="8"/>
        <color theme="1" tint="0.14999847407452621"/>
        <rFont val="Noto Sans"/>
        <family val="2"/>
      </rPr>
      <t>Henri Spaeti</t>
    </r>
    <r>
      <rPr>
        <sz val="7"/>
        <color theme="1" tint="0.14999847407452621"/>
        <rFont val="Noto Sans"/>
        <family val="2"/>
      </rPr>
      <t>, 1952-)</t>
    </r>
  </si>
  <si>
    <r>
      <t xml:space="preserve">Julia pinot noir </t>
    </r>
    <r>
      <rPr>
        <sz val="7"/>
        <color rgb="FF262626"/>
        <rFont val="Noto Sans"/>
        <family val="2"/>
      </rPr>
      <t>(madrone plant by</t>
    </r>
    <r>
      <rPr>
        <b/>
        <sz val="8"/>
        <color rgb="FF262626"/>
        <rFont val="Noto Sans"/>
        <family val="2"/>
      </rPr>
      <t xml:space="preserve"> Julia Wayne</t>
    </r>
    <r>
      <rPr>
        <b/>
        <sz val="7"/>
        <color rgb="FF262626"/>
        <rFont val="Noto Sans"/>
        <family val="2"/>
      </rPr>
      <t>,</t>
    </r>
    <r>
      <rPr>
        <sz val="7"/>
        <color rgb="FF262626"/>
        <rFont val="Noto Sans"/>
        <family val="2"/>
      </rPr>
      <t xml:space="preserve"> Abbey Ridge)</t>
    </r>
  </si>
  <si>
    <t>20OGIER07</t>
  </si>
  <si>
    <r>
      <rPr>
        <b/>
        <sz val="8"/>
        <color theme="1" tint="0.14999847407452621"/>
        <rFont val="Noto Sans"/>
        <family val="2"/>
      </rPr>
      <t xml:space="preserve">Julie </t>
    </r>
    <r>
      <rPr>
        <sz val="7"/>
        <color theme="1" tint="0.14999847407452621"/>
        <rFont val="Noto Sans"/>
        <family val="2"/>
      </rPr>
      <t>Champagne, Ambonnay GC (for Laetitia's niece)</t>
    </r>
  </si>
  <si>
    <t>AMI, Burgundy</t>
  </si>
  <si>
    <r>
      <t xml:space="preserve">Meursault Les Genavrieres 1C - </t>
    </r>
    <r>
      <rPr>
        <b/>
        <sz val="8"/>
        <color theme="1" tint="0.14999847407452621"/>
        <rFont val="Noto Sans"/>
        <family val="2"/>
      </rPr>
      <t>JUNIPER</t>
    </r>
  </si>
  <si>
    <t>Les Pierres Seches, Faugères</t>
  </si>
  <si>
    <r>
      <rPr>
        <b/>
        <sz val="7"/>
        <color theme="1" tint="0.499984740745262"/>
        <rFont val="Noto Sans"/>
        <family val="2"/>
      </rPr>
      <t>Sängerei:</t>
    </r>
    <r>
      <rPr>
        <sz val="7"/>
        <color theme="1" tint="0.499984740745262"/>
        <rFont val="Noto Sans"/>
        <family val="2"/>
      </rPr>
      <t xml:space="preserve"> a parcel within the Hofberg</t>
    </r>
  </si>
  <si>
    <t>1GCC (A)</t>
  </si>
  <si>
    <t>Left classification 2021</t>
  </si>
  <si>
    <t>1GCC</t>
  </si>
  <si>
    <t>GCC</t>
  </si>
  <si>
    <t>2022 La Gaffeliere departs St.Emilion 1GCC 'B'</t>
  </si>
  <si>
    <t>Left classification 2022</t>
  </si>
  <si>
    <t>5GCC</t>
  </si>
  <si>
    <t>3GCC</t>
  </si>
  <si>
    <t>2GCC</t>
  </si>
  <si>
    <t>4GCC</t>
  </si>
  <si>
    <r>
      <rPr>
        <b/>
        <sz val="7"/>
        <color theme="0" tint="-0.499984740745262"/>
        <rFont val="Noto Sans"/>
        <family val="2"/>
      </rPr>
      <t>Claire Villars Lurton</t>
    </r>
    <r>
      <rPr>
        <sz val="7"/>
        <color theme="0" tint="-0.499984740745262"/>
        <rFont val="Noto Sans"/>
        <family val="2"/>
      </rPr>
      <t xml:space="preserve"> ''THE LIFE OF THE SOIL IS CRUCIAL. IT IS THE FUTURE OF VITICULTURE'</t>
    </r>
  </si>
  <si>
    <t>Pauillac.</t>
  </si>
  <si>
    <t>23LAM01</t>
  </si>
  <si>
    <t>23LAM03</t>
  </si>
  <si>
    <t>23LAM04</t>
  </si>
  <si>
    <t>23LAM06</t>
  </si>
  <si>
    <t>23LAM05</t>
  </si>
  <si>
    <t>23LAM07</t>
  </si>
  <si>
    <t>06CAM02V</t>
  </si>
  <si>
    <t>19OGIER09</t>
  </si>
  <si>
    <t>18OGIER05</t>
  </si>
  <si>
    <t>19OGIER08</t>
  </si>
  <si>
    <t>18OGIER04</t>
  </si>
  <si>
    <t>21OGIER06</t>
  </si>
  <si>
    <t>19OGIER10</t>
  </si>
  <si>
    <t>25LMESMA04</t>
  </si>
  <si>
    <t>25LECHIUSE03</t>
  </si>
  <si>
    <t>25LECHIUSE01</t>
  </si>
  <si>
    <t>25LECHIUSE01MG</t>
  </si>
  <si>
    <t>25LECHIUSE01JB</t>
  </si>
  <si>
    <t>25LECHIUSE02</t>
  </si>
  <si>
    <t>25LECHIUSE02MG</t>
  </si>
  <si>
    <t>25LISINI02</t>
  </si>
  <si>
    <t>25LISINI01</t>
  </si>
  <si>
    <t>25SIJNN02</t>
  </si>
  <si>
    <t>25SIJNN01</t>
  </si>
  <si>
    <t>25NIEP01</t>
  </si>
  <si>
    <t>Class.</t>
  </si>
  <si>
    <t>1GCC (B)</t>
  </si>
  <si>
    <t>20DUMOL13SM</t>
  </si>
  <si>
    <t>Pauillac. 100ha. 4 main blocks, 140 parcels:</t>
  </si>
  <si>
    <t>GC</t>
  </si>
  <si>
    <t>1C</t>
  </si>
  <si>
    <t>GCE</t>
  </si>
  <si>
    <t>Chateau Desmirail MAGS</t>
  </si>
  <si>
    <t>CB</t>
  </si>
  <si>
    <t>CBE</t>
  </si>
  <si>
    <t>1CS</t>
  </si>
  <si>
    <t>25MILLET01</t>
  </si>
  <si>
    <t>Amarone della Valpolicella 3-pack (2x 2008 / 1x 2009)</t>
  </si>
  <si>
    <t>20LAMBRAY01MG</t>
  </si>
  <si>
    <t>19LAMBRAY01MG</t>
  </si>
  <si>
    <t>17LAMBRAY01MG</t>
  </si>
  <si>
    <t>14LAMBRAY01MG</t>
  </si>
  <si>
    <t>13LAMBRAY01MG</t>
  </si>
  <si>
    <t>Côte Rôtie Cote Blonde MAGS</t>
  </si>
  <si>
    <t>18OGIER04MG</t>
  </si>
  <si>
    <t>Côte Rôtie Belle Hélène (Côte Rozier) MAGS</t>
  </si>
  <si>
    <t>17OGIER04MG</t>
  </si>
  <si>
    <t>Côte Rôtie La Viallière MAGS</t>
  </si>
  <si>
    <t>18OGIER03MG</t>
  </si>
  <si>
    <t>25NERVI01</t>
  </si>
  <si>
    <t>24NERVI01</t>
  </si>
  <si>
    <t>23NERVI01</t>
  </si>
  <si>
    <t>22NERVI01</t>
  </si>
  <si>
    <t>21NERVI01</t>
  </si>
  <si>
    <t>25NERVI03</t>
  </si>
  <si>
    <t>24NERVI03</t>
  </si>
  <si>
    <t>23NERVI03</t>
  </si>
  <si>
    <t>25NERVI02</t>
  </si>
  <si>
    <t>24NERVI02</t>
  </si>
  <si>
    <t>23NERVI02</t>
  </si>
  <si>
    <t>21NERVI02</t>
  </si>
  <si>
    <t>19NERVI03</t>
  </si>
  <si>
    <t>19NERVI04</t>
  </si>
  <si>
    <t>24NERVI01MG</t>
  </si>
  <si>
    <t>23NERVI01MG</t>
  </si>
  <si>
    <t>21NERVI01MG</t>
  </si>
  <si>
    <t>20NERVI01MG</t>
  </si>
  <si>
    <t>25NERVI03MG</t>
  </si>
  <si>
    <t>24NERVI03MG</t>
  </si>
  <si>
    <t>25NERVI02MG</t>
  </si>
  <si>
    <t>24NERVI02MG</t>
  </si>
  <si>
    <t>23NERVI02MG</t>
  </si>
  <si>
    <t>23NERVI01JB</t>
  </si>
  <si>
    <t>21NERVI03JB</t>
  </si>
  <si>
    <t>21NERVI02MG</t>
  </si>
  <si>
    <t>22SOLDER01</t>
  </si>
  <si>
    <t>22SCOMPA02JB</t>
  </si>
  <si>
    <t>24FELTON10MT</t>
  </si>
  <si>
    <t>FELTON ROAD WINES</t>
  </si>
  <si>
    <t>proprietor Nigel Greening, Blair Walter,</t>
  </si>
  <si>
    <t>viticulturalist Gareth King, &amp; Co.</t>
  </si>
  <si>
    <t>Bannockburn, Central Otago. founded 1991</t>
  </si>
  <si>
    <t>32ha est.vines, 30% ungrafted +40ha farm</t>
  </si>
  <si>
    <t>3 tier gravity flow winery; open top fermenters</t>
  </si>
  <si>
    <t>16LLADOUYS01</t>
  </si>
  <si>
    <t>25BIZET01</t>
  </si>
  <si>
    <t>25BIZET02</t>
  </si>
  <si>
    <t>25NIEP17</t>
  </si>
  <si>
    <t>25NIEP14</t>
  </si>
  <si>
    <t>23NIEP25HF</t>
  </si>
  <si>
    <t>25NIEP15</t>
  </si>
  <si>
    <t>25NIEP16</t>
  </si>
  <si>
    <t>23SAKE18</t>
  </si>
  <si>
    <t>25NIEP12</t>
  </si>
  <si>
    <t>25NIEP02</t>
  </si>
  <si>
    <t>24NIEP30</t>
  </si>
  <si>
    <t>22MONDOTTE03</t>
  </si>
  <si>
    <t>22DDCR02</t>
  </si>
  <si>
    <t>22MALATRIC03</t>
  </si>
  <si>
    <t>22BEYCHEVELLE03</t>
  </si>
  <si>
    <t>Léoville Barton</t>
  </si>
  <si>
    <t>Chateau Léoville Barton</t>
  </si>
  <si>
    <t>22LACOSTE02</t>
  </si>
  <si>
    <t>22BAGES02</t>
  </si>
  <si>
    <t>25RAVAL03</t>
  </si>
  <si>
    <t>25RAVAL02</t>
  </si>
  <si>
    <t>25VCECIONE01</t>
  </si>
  <si>
    <t>riesling TBA (Loibenberg) HVS</t>
  </si>
  <si>
    <t>25FELTON01</t>
  </si>
  <si>
    <t>25FELTON02</t>
  </si>
  <si>
    <t>25FELTON03</t>
  </si>
  <si>
    <t>25FELTON04</t>
  </si>
  <si>
    <t>25FELTON05</t>
  </si>
  <si>
    <t>Mee Godard</t>
  </si>
  <si>
    <t>david@raeburnfinewines.com</t>
  </si>
  <si>
    <t>rr@raeburnfinewines.com</t>
  </si>
  <si>
    <t>liam@raeburnfinewines.com</t>
  </si>
  <si>
    <t>julia@raeburnfinewines.com</t>
  </si>
  <si>
    <t>sales@raeburnfinewines.com</t>
  </si>
  <si>
    <t>ben@raeburnfinewines.com</t>
  </si>
  <si>
    <t>murray@raeburnfinewines.com</t>
  </si>
  <si>
    <t>lily@raeburnfinewines.com</t>
  </si>
  <si>
    <t>humair@raeburnfinewines.com</t>
  </si>
  <si>
    <t>zubair@raeburnfinewines.com</t>
  </si>
  <si>
    <t>taher@raeburnfinewines.com</t>
  </si>
  <si>
    <t>November 25 version</t>
  </si>
  <si>
    <t>O</t>
  </si>
  <si>
    <t>75/3</t>
  </si>
  <si>
    <t>75/12</t>
  </si>
  <si>
    <t>150/12</t>
  </si>
  <si>
    <t>50/8</t>
  </si>
  <si>
    <t>50/6</t>
  </si>
  <si>
    <t>50/2</t>
  </si>
  <si>
    <t>37.5/6</t>
  </si>
  <si>
    <t>500/1</t>
  </si>
  <si>
    <t>900/1</t>
  </si>
  <si>
    <t>75/4</t>
  </si>
  <si>
    <t>50/12</t>
  </si>
  <si>
    <t>37.5/24</t>
  </si>
  <si>
    <t>70/6</t>
  </si>
  <si>
    <t>62/6</t>
  </si>
  <si>
    <t>75/9</t>
  </si>
  <si>
    <t>75/7</t>
  </si>
  <si>
    <t>300/6</t>
  </si>
  <si>
    <t>150/5</t>
  </si>
  <si>
    <t>1200/1</t>
  </si>
  <si>
    <t>1800/1</t>
  </si>
  <si>
    <t>300x6/6</t>
  </si>
  <si>
    <t>500x6/6</t>
  </si>
  <si>
    <t>150/2</t>
  </si>
  <si>
    <t>300/3</t>
  </si>
  <si>
    <t>16/1</t>
  </si>
  <si>
    <t>600/1</t>
  </si>
  <si>
    <t>300/2</t>
  </si>
  <si>
    <t>100/6</t>
  </si>
  <si>
    <t>65/6</t>
  </si>
  <si>
    <t>37.5/1</t>
  </si>
  <si>
    <t>37.5/3</t>
  </si>
  <si>
    <t>150/4</t>
  </si>
  <si>
    <t>72/12</t>
  </si>
  <si>
    <t>180/6</t>
  </si>
  <si>
    <t>72/6</t>
  </si>
  <si>
    <t>30/12</t>
  </si>
  <si>
    <t>12s/1</t>
  </si>
  <si>
    <t>70/1</t>
  </si>
  <si>
    <t>33/12</t>
  </si>
  <si>
    <t>70/9</t>
  </si>
  <si>
    <t>50/9</t>
  </si>
  <si>
    <t>BOUSCAUT, Bordeaux</t>
  </si>
  <si>
    <t>MAXIMIN GRÜNHAUS, Mosel</t>
  </si>
  <si>
    <t>FAMILLE TARDIEU, Rhone - North</t>
  </si>
  <si>
    <t>GRAND-PUY LACOSTE, Bordeaux</t>
  </si>
  <si>
    <t>ARNALDO RIVERA, Piedmont</t>
  </si>
  <si>
    <t>ROAGNA, Piedmont</t>
  </si>
  <si>
    <t>DAL’FORNO ROMANO, Veneto</t>
  </si>
  <si>
    <t>GIAMPAOLO TABARRINI, Umbria</t>
  </si>
  <si>
    <t>M&amp;S OGIER D'AMPUIS, Rhone - North</t>
  </si>
  <si>
    <t>CALABRETTA, Sicily</t>
  </si>
  <si>
    <t>CAPE POINT VINEYARDS, Western Cape</t>
  </si>
  <si>
    <t>CONTERNO-NERVI, Piedmont</t>
  </si>
  <si>
    <t>RUGRA, Piedmont</t>
  </si>
  <si>
    <t>CLOT DE L'ORIGINE, South</t>
  </si>
  <si>
    <t>GUNDERLOCH, Rheinhessen</t>
  </si>
  <si>
    <t>TYRRELL'S, Hunter Valley</t>
  </si>
  <si>
    <t>MERLIN CHERRIER, Loire</t>
  </si>
  <si>
    <t>WINGSPAN, South Island</t>
  </si>
  <si>
    <t>VIGNA DEL LAURO, Veneto</t>
  </si>
  <si>
    <t>HISPANO+SUIZAS, Valencia</t>
  </si>
  <si>
    <t>CLAUDE RIFFAULT, Loire</t>
  </si>
  <si>
    <t>R&amp;A PFAFFL, Weinviertel</t>
  </si>
  <si>
    <t>J.CATTIN, Alsace</t>
  </si>
  <si>
    <t>WAKEFIELD, Clare Valley</t>
  </si>
  <si>
    <t>ROCHIOLI, Russian River Valley</t>
  </si>
  <si>
    <t>LEITZ, Rheingau</t>
  </si>
  <si>
    <t>KILIKANOON, Clare Valley</t>
  </si>
  <si>
    <t>ROBERT EYMAEL, Mosel</t>
  </si>
  <si>
    <t>LA GONTRIE, Bordeaux</t>
  </si>
  <si>
    <t>GANDESA, Terra Alta</t>
  </si>
  <si>
    <t>VALENTINA CUBI, Veneto</t>
  </si>
  <si>
    <t>ARTADI GROUP, Alicante</t>
  </si>
  <si>
    <t>CLOS DU MONT OLIVET, Rhone</t>
  </si>
  <si>
    <t>GIOVANNI CHIAPPINI, Bolgheri</t>
  </si>
  <si>
    <t>CASCINA EBREO, Langhe</t>
  </si>
  <si>
    <t>TORBRECK, Barossa</t>
  </si>
  <si>
    <t>DOMAINE RÉNÉ MICHEL, Burgundy</t>
  </si>
  <si>
    <t>QUINTA DO NOVAL, Douro</t>
  </si>
  <si>
    <t>ROBLET MONNOT, Burgundy</t>
  </si>
  <si>
    <t>GREENOCK CREEK, Barossa</t>
  </si>
  <si>
    <t>VALLI, Central Otago</t>
  </si>
  <si>
    <t>TABLAS CREEK, Paso Robles</t>
  </si>
  <si>
    <t>BORGO FRARE IL COLLE, Veneto</t>
  </si>
  <si>
    <t>MAS DE LA BASSEROLA, Penedes</t>
  </si>
  <si>
    <t>LA MESMA, Piedmont</t>
  </si>
  <si>
    <t>CA'DEI ZAGO, Veneto</t>
  </si>
  <si>
    <t>RENARDAT-FÂCHE, Ain</t>
  </si>
  <si>
    <t>TENUTA LA PICCOLA, Emilia Romagna</t>
  </si>
  <si>
    <t>DOMAINE PIGNIER, Jura</t>
  </si>
  <si>
    <t>GONET-SULCOVA, Champagne</t>
  </si>
  <si>
    <t>HENRI BILLIOT, Champagne</t>
  </si>
  <si>
    <t>CASCINA CONTI BRONDA, Piedmont</t>
  </si>
  <si>
    <t>GYEJACQUOT, Champagne</t>
  </si>
  <si>
    <t>SOCRÉ, Piedmont</t>
  </si>
  <si>
    <t>ALBERT BEERENS, Champagne</t>
  </si>
  <si>
    <t>CHARLES PALMER, East Sussex</t>
  </si>
  <si>
    <t>BROVIA, Piedmont</t>
  </si>
  <si>
    <t>RUNCHET, Piedmont</t>
  </si>
  <si>
    <t>PODERI MARCARINI, Piedmont</t>
  </si>
  <si>
    <t>DOMAINE DE MONTMARIN, South</t>
  </si>
  <si>
    <t>VALROSE, Bordeaux</t>
  </si>
  <si>
    <t>SAME RIVER TWICE, Rhone - South</t>
  </si>
  <si>
    <t>DOMAINE DE L'ÉCHELETTE, Burgundy</t>
  </si>
  <si>
    <t>BONNET-HUTEAU, Loire</t>
  </si>
  <si>
    <t>DOMAINE RAY-JANE, South</t>
  </si>
  <si>
    <t>JEAN-CLAUDE MARSANNE, Rhone - North</t>
  </si>
  <si>
    <t>JP BRUN DOMAINE TERRES DORÉES, Burgundy</t>
  </si>
  <si>
    <t>D&amp;E MILLET DOMAINE DE LA LOGE, Loire</t>
  </si>
  <si>
    <t>LEGADO DE FARRO, Bierzo</t>
  </si>
  <si>
    <t>DOMINIO DE BERZAL, Rioja</t>
  </si>
  <si>
    <t>NIEPOORT, Minho</t>
  </si>
  <si>
    <t>QUINTA DO MONTINHO, Minho</t>
  </si>
  <si>
    <t>RAVAL, Veneto</t>
  </si>
  <si>
    <t>CANTINA CALDARO AKA KELLEREI KALTERN, Alto-Adige</t>
  </si>
  <si>
    <t>BEL COLLE, Piedmont</t>
  </si>
  <si>
    <t>CRISTIANA MEGGIOLARO, Veneto</t>
  </si>
  <si>
    <t>LA COLOMBERA, Piedmont</t>
  </si>
  <si>
    <t>RADO KOCJANCIC, Veneto</t>
  </si>
  <si>
    <t>CORTE SERMANA, Veneto</t>
  </si>
  <si>
    <t>SAN LORENZO, Abruzzo</t>
  </si>
  <si>
    <t>CASALE FALCHINI, Tuscany</t>
  </si>
  <si>
    <t>TENUTA LA CHIUSA, Elba</t>
  </si>
  <si>
    <t>MARCA DI SAN MICHELE, Marche</t>
  </si>
  <si>
    <t>ABBIA NOVA, Lazio</t>
  </si>
  <si>
    <t>ALESSANDRO FILIPPI, Sicily</t>
  </si>
  <si>
    <t>MEULENHOF, Mosel</t>
  </si>
  <si>
    <t>GAPSTED, Victoria</t>
  </si>
  <si>
    <t>FRITZ HAAG, Mosel</t>
  </si>
  <si>
    <t>EHMOSER, Wagram</t>
  </si>
  <si>
    <t>CARL LOEWEN, Mosel</t>
  </si>
  <si>
    <t>DIE KLUISE BY RAEBURN FINE WINES, Paarl</t>
  </si>
  <si>
    <t>KIN BY ALKINA, South Australia</t>
  </si>
  <si>
    <t>LEEUWENKUIL FAMILY, Swartland</t>
  </si>
  <si>
    <t>SWAN ESTATE, California</t>
  </si>
  <si>
    <t>SIJNN WINES, Malgas</t>
  </si>
  <si>
    <t>POWELL &amp; SON/NELDNER ROAD, South Australia</t>
  </si>
  <si>
    <t>LUCKERT FAMILY WEINGUT ZEHNTHOF, Franken</t>
  </si>
  <si>
    <t>DE SANCTIS, Lazio</t>
  </si>
  <si>
    <t>BRÜNDLMAYER, Kamptal</t>
  </si>
  <si>
    <t>CLOS PINELL, Terra Alta</t>
  </si>
  <si>
    <t>BODEGAS PASCUAL, Rueda</t>
  </si>
  <si>
    <t>CHATEAU MUSAR, Bekaa Valley</t>
  </si>
  <si>
    <t>DE CONCILIIS, Campania</t>
  </si>
  <si>
    <t>ALESSANDRO FILIPPI, Veneto</t>
  </si>
  <si>
    <t>NUSSERHOF, Alto-Adige</t>
  </si>
  <si>
    <t>TENUTA ANFOSSO, Liguria</t>
  </si>
  <si>
    <t>MAS DE LA PANSA, Conca De Barbera</t>
  </si>
  <si>
    <t>LES PIERRES SECHES, South</t>
  </si>
  <si>
    <t>NIEPOORT QUINTA DE NAPOLES, Douro</t>
  </si>
  <si>
    <t>SANCERRE NOËL, Loire</t>
  </si>
  <si>
    <t>CANTINA GUNGUI, Sardinia</t>
  </si>
  <si>
    <t>DOMAINE JEAN FOURNIER, Burgundy</t>
  </si>
  <si>
    <t>CLOS DE GAMOT, South West</t>
  </si>
  <si>
    <t>CHRISTOPHE PACALET CHATEAU LES LABOURONS, Burgundy</t>
  </si>
  <si>
    <t>J.L. CHAVE SELECTION, Rhone - North</t>
  </si>
  <si>
    <t>DOMAINE BIZET, Loire</t>
  </si>
  <si>
    <t>CHATEAU GILBERT &amp; GAILLARD, South</t>
  </si>
  <si>
    <t>PAUL JANIN, Burgundy</t>
  </si>
  <si>
    <t>MASSEREAU, Bordeaux</t>
  </si>
  <si>
    <t>ESENCIA RURAL, Castilla-La Mancha</t>
  </si>
  <si>
    <t>TORRE SAN MILLAN GORREBUSTO, Rioja</t>
  </si>
  <si>
    <t>CELLERS TARRONÉ, Terra Alta</t>
  </si>
  <si>
    <t>LES TALLADES, Montsant</t>
  </si>
  <si>
    <t>QUINTA DA LOMBA BY NIEPOORT, Dao</t>
  </si>
  <si>
    <t>SEMPAR BY NIEPOORT, Alentejo</t>
  </si>
  <si>
    <t>LOPEZ CRISTOBAL, Ribera Del Duero</t>
  </si>
  <si>
    <t>CLOS BERENGUER, Priorat</t>
  </si>
  <si>
    <t>QUINTA DO BAIXO BY NIEPOORT, Bairrada</t>
  </si>
  <si>
    <t>VINA ZORZAL X NIEPOORT, Navarra</t>
  </si>
  <si>
    <t>CECILIA MONTE, Piedmont</t>
  </si>
  <si>
    <t>PASSATO BY BEL COLLE, Piedmont</t>
  </si>
  <si>
    <t>FRATELLI ALESSANDRIA, Piedmont</t>
  </si>
  <si>
    <t>CASCINA LUISIN, Piedmont</t>
  </si>
  <si>
    <t>CASTELLO DI PERNO, Piedmont</t>
  </si>
  <si>
    <t>CORTE LENGUIN, Veneto</t>
  </si>
  <si>
    <t>FATTORIA MONTELLORI, Tuscany</t>
  </si>
  <si>
    <t>DO ZENNER &amp; FRIENDS, Sicily</t>
  </si>
  <si>
    <t>TORRE ALLE TOLFE, Tuscany</t>
  </si>
  <si>
    <t>ENRICO ESU, Sardinia</t>
  </si>
  <si>
    <t>TERRE DI MACERATO, Emilia Romagna</t>
  </si>
  <si>
    <t>FRANK CORNELISSEN, Sicily</t>
  </si>
  <si>
    <t>DIE KLUISE BY RAEBURN FINE WINES, Swartland</t>
  </si>
  <si>
    <t>LOS VASCOS, Colchagua</t>
  </si>
  <si>
    <t>FAMILLE TARDIEU, Rhone - South</t>
  </si>
  <si>
    <t>CLOS DU MOULIN AUX MOINES, Burgundy</t>
  </si>
  <si>
    <t>ET ARLAUD, Burgundy</t>
  </si>
  <si>
    <t>BAIAS E ENSEADAS, Colares</t>
  </si>
  <si>
    <t>DOMAINE G &amp; X BESSON, Burgundy</t>
  </si>
  <si>
    <t>ELISABETTA DALZOCCHIO, Trentino</t>
  </si>
  <si>
    <t>VIGNAI DA DULINE, Veneto</t>
  </si>
  <si>
    <t>FINCA TACUIL, Salta</t>
  </si>
  <si>
    <t>TIRECUL LA GRAVIÈRE, South West</t>
  </si>
  <si>
    <t>LAFON, Bordeaux</t>
  </si>
  <si>
    <t>DU MAYNE, Bordeaux</t>
  </si>
  <si>
    <t>JUAN PIÑERO, Sherry</t>
  </si>
  <si>
    <t>BURONFOSSE, Jura</t>
  </si>
  <si>
    <t>NIEPOORT, Port</t>
  </si>
  <si>
    <t>ATTANASIO, Puglia</t>
  </si>
  <si>
    <t>CANTINA LONARDO, Campania</t>
  </si>
  <si>
    <t>A.J. ADAM, Mosel</t>
  </si>
  <si>
    <t>ALBERT VEVEY, Aosta</t>
  </si>
  <si>
    <t>ORTO, Veneto</t>
  </si>
  <si>
    <t>DRY RIVER, North Island</t>
  </si>
  <si>
    <t>LUCKERT, Franken</t>
  </si>
  <si>
    <t>DOMAINE SERRIGNY, Burgundy</t>
  </si>
  <si>
    <t>SELBACH-OSTER, Mosel</t>
  </si>
  <si>
    <t>THE SADIE FAMILY, Stellenbosch</t>
  </si>
  <si>
    <t>LE SOULA, Roussillon</t>
  </si>
  <si>
    <t>DOMAINE ALAIN GRAS, Burgundy</t>
  </si>
  <si>
    <t>PRAESIDIUM, Abruzzo</t>
  </si>
  <si>
    <t>POWELL &amp; SON/NELDNER ROAD, S. Aust.</t>
  </si>
  <si>
    <t>CALDARO/KALTERN, Alto-Adige</t>
  </si>
  <si>
    <t>THE SADIE FAMILY, Olifants River</t>
  </si>
  <si>
    <t>MORIGERATI, Campania</t>
  </si>
  <si>
    <t>WILLIAM BROGIONI, Tuscany</t>
  </si>
  <si>
    <t>GRAVNER, Veneto</t>
  </si>
  <si>
    <t>DOMAINE RÉMI ROLLIN, Burgundy</t>
  </si>
  <si>
    <t>BUSSACO PALACE HOTEL, Bairrada</t>
  </si>
  <si>
    <t>WILLI SCHAEFER, Mosel</t>
  </si>
  <si>
    <t>NIKOLAIHOF, Wachau</t>
  </si>
  <si>
    <t>DE FARGUES, Bordeaux</t>
  </si>
  <si>
    <t>DOMAINE PICHOT, Loire</t>
  </si>
  <si>
    <t>DOMAINE J.P. GUYON, Burgundy</t>
  </si>
  <si>
    <t>DOMAINE HENRI GOUGES, Burgundy</t>
  </si>
  <si>
    <t>EDI KANTE, Veneto</t>
  </si>
  <si>
    <t>CANTINA MEZZACANE, Lombardia</t>
  </si>
  <si>
    <t>CHAMPAGNE AUGUSTIN, Champagne</t>
  </si>
  <si>
    <t>CHANDON DE BRIAILLES, Burgundy</t>
  </si>
  <si>
    <t>DURFORT VIVENS, Bordeaux</t>
  </si>
  <si>
    <t>KIRRENBOURG, Alsace</t>
  </si>
  <si>
    <t>MAISON FRANCOIS DE NICOLAY, Burgundy</t>
  </si>
  <si>
    <t>MARCHAND-TAWSE, Burgundy</t>
  </si>
  <si>
    <t>LE SOULA, South</t>
  </si>
  <si>
    <t>UWE SCHIEFER, Burgenland</t>
  </si>
  <si>
    <t>PICHLER-KRUTZLER, Wachau</t>
  </si>
  <si>
    <t>CHRISTOPHE PACALET, Burgundy</t>
  </si>
  <si>
    <t>FAMILLE DUTRAIVE, Burgundy</t>
  </si>
  <si>
    <t>BENOIT DEHU, Champagne</t>
  </si>
  <si>
    <t>ALKINA, South Australia</t>
  </si>
  <si>
    <t>CLOS LOUIE, Bordeaux</t>
  </si>
  <si>
    <t>CLOS MANOU, Bordeaux</t>
  </si>
  <si>
    <t>L'ARGNÉE GIGONDAS, Rhone - South</t>
  </si>
  <si>
    <t>QUINTA DO NOVAL, Port</t>
  </si>
  <si>
    <t>VIUVA GOMES, Colares</t>
  </si>
  <si>
    <t>BODEGAS TRITIUM, Rioja</t>
  </si>
  <si>
    <t>DOMAINE GOISOT, Burgundy</t>
  </si>
  <si>
    <t>MOULIN PEY-LABRIE, Bordeaux</t>
  </si>
  <si>
    <t>DOMAINE MARC COLIN, Burgundy</t>
  </si>
  <si>
    <t>DOMAINE CAMUS-BRUCHON, Burgundy</t>
  </si>
  <si>
    <t>OXER BASTEGIETA, Rioja</t>
  </si>
  <si>
    <t>DOMAINE JEAN CHAUVENET, Burgundy</t>
  </si>
  <si>
    <t>DOMAINE GUILLARD, Burgundy</t>
  </si>
  <si>
    <t>DOMAINE LOUIS BOILLOT, Burgundy</t>
  </si>
  <si>
    <t>FRANCOIS GAUNOUX, Burgundy</t>
  </si>
  <si>
    <t>CHATEAU DE BEAUCASTEL, Rhone - South</t>
  </si>
  <si>
    <t>LES PIERRES SECHES, Languedoc</t>
  </si>
  <si>
    <t>AMIATA, Tuscany</t>
  </si>
  <si>
    <t>BARBACAN, Lombardia</t>
  </si>
  <si>
    <t>CASCINA GRAMOLERE, Piedmont</t>
  </si>
  <si>
    <t>STEFANO ORESTE, Piedmont</t>
  </si>
  <si>
    <t>DUMOL, California</t>
  </si>
  <si>
    <t>J.G. BENDA, Tuscany</t>
  </si>
  <si>
    <t>ASHTON HILLS, South Australia</t>
  </si>
  <si>
    <t>LA PORTA DI VERTINE, Tuscany</t>
  </si>
  <si>
    <t>NIEPOORT PROJECTOS, Ribera Sacra</t>
  </si>
  <si>
    <t>DANIELE COUTANDIN, Piedmont</t>
  </si>
  <si>
    <t>ROC D'ANGLADE, South</t>
  </si>
  <si>
    <t>SERAFINO RIVELLA, Piedmont</t>
  </si>
  <si>
    <t>PODERI SANGUINETO I&amp;II, Tuscany</t>
  </si>
  <si>
    <t>BARICCI, Tuscany</t>
  </si>
  <si>
    <t>LE CHIUSE, Tuscany</t>
  </si>
  <si>
    <t>MARCO PETTERINO, Piedmont</t>
  </si>
  <si>
    <t>STELLA DI CAMPALTO, Tuscany</t>
  </si>
  <si>
    <t>LA BRICCOLINA, Piedmont</t>
  </si>
  <si>
    <t>HENRI BONNEAU, Rhone - South</t>
  </si>
  <si>
    <t>GIACOMO CONTERNO, Piedmont</t>
  </si>
  <si>
    <t>BEL-AIR MARQUIS D'ALIGRE, Bordeaux</t>
  </si>
  <si>
    <t>SOLDERA, Tuscany</t>
  </si>
  <si>
    <t>PODERE IL SANTO, Lombardia</t>
  </si>
  <si>
    <t>L’EGLISE-CLINET, Bordeaux</t>
  </si>
  <si>
    <t>MAYNE-RÉNÉ, Bordeaux</t>
  </si>
  <si>
    <t>FONPLEGADE, Bordeaux</t>
  </si>
  <si>
    <t>LA GOMERIE, Bordeaux</t>
  </si>
  <si>
    <t>PEBY FAUGERES, Bordeaux</t>
  </si>
  <si>
    <t>HAUT-BAGES-LIBERAL, Bordeaux</t>
  </si>
  <si>
    <t>TOUR HAUT-CAUSSAN, Bordeaux</t>
  </si>
  <si>
    <t>SOCIANDO-MALLET, Bordeaux</t>
  </si>
  <si>
    <t>DOMAINE FOLLIN-ARBELET, Burgundy</t>
  </si>
  <si>
    <t>MICHEL GAUNOUX, Burgundy</t>
  </si>
  <si>
    <t>DOMAINE MICHEL LAFARGE, Burgundy</t>
  </si>
  <si>
    <t>DOMAINE POTINET-AMPEAU, Burgundy</t>
  </si>
  <si>
    <t>HENRI PRUDHON, Burgundy</t>
  </si>
  <si>
    <t>DOMAINE REMIZIERES, Rhone - North</t>
  </si>
  <si>
    <t>DOMAINE DE LA MORDORÉE, Rhone - South</t>
  </si>
  <si>
    <t>KELLEREI KALTERN, Alto-Adige</t>
  </si>
  <si>
    <t>GUILLOT-CLAUZEL, Bordeaux</t>
  </si>
  <si>
    <t>DUPLESSIS, Bordeaux</t>
  </si>
  <si>
    <t>ROLET P&amp;F, Jura</t>
  </si>
  <si>
    <t>JOHANN SPELTY, Loire</t>
  </si>
  <si>
    <t>LA BIANCARA, Veneto</t>
  </si>
  <si>
    <t>SEBASTIEN RIFFAULT, Loire</t>
  </si>
  <si>
    <t>CASALE FALCHINI</t>
  </si>
  <si>
    <t>PODERE IL CARNASCIALE</t>
  </si>
  <si>
    <t>JM, AM &amp; A VINCENT, Burgundy</t>
  </si>
  <si>
    <t>SHAFER, California</t>
  </si>
  <si>
    <t>F.X. PICHLER, Wachau</t>
  </si>
  <si>
    <t>CAMERON, Oregon</t>
  </si>
  <si>
    <t>DOMAINE TEMPIER, South</t>
  </si>
  <si>
    <t>KAHIWI, South Island</t>
  </si>
  <si>
    <t>THE SADIE FAMILY, Swartland</t>
  </si>
  <si>
    <t>DOMAINE MÉO-CAMUZET, Burgundy</t>
  </si>
  <si>
    <t>BEL AIR, Bordeaux</t>
  </si>
  <si>
    <t>DOMAINE DE VILLENEUVE, Rhone - South</t>
  </si>
  <si>
    <t>FRANCOIS COTAT, Loire</t>
  </si>
  <si>
    <t>CYPRIEN ARLAUD, Burgundy</t>
  </si>
  <si>
    <t>D'ALESIO AKA TENUTA DEL PROFESSORE, Abruzzo</t>
  </si>
  <si>
    <t>FRANCOIS LEGROS, Burgundy</t>
  </si>
  <si>
    <t>A&amp;I HASARD, Burgundy</t>
  </si>
  <si>
    <t>SAUMAIZE-MICHELIN, Burgundy</t>
  </si>
  <si>
    <t>J.J. PRÜM, Mosel</t>
  </si>
  <si>
    <t>CLIMENS, Bordeaux</t>
  </si>
  <si>
    <t>VALLONE DI CECIONE, Tuscany</t>
  </si>
  <si>
    <t>L'HÊTRE, Bordeaux</t>
  </si>
  <si>
    <t>DOMAINE TERRES DE VELLE, Burgundy</t>
  </si>
  <si>
    <t>RÉNÉ LECLERC, Burgundy</t>
  </si>
  <si>
    <t>DOMAINE CHANTAL REMY, Burgundy</t>
  </si>
  <si>
    <t>LAFLEUR, Bordeaux</t>
  </si>
  <si>
    <t>ALCÉE, Bordeaux</t>
  </si>
  <si>
    <t>HUBERT LIGNIER, Burgundy</t>
  </si>
  <si>
    <t>THIERRY GLANTENAY, Burgundy</t>
  </si>
  <si>
    <t>LE PIN, Bordeaux</t>
  </si>
  <si>
    <t>DOMAINE FAIVELEY, Burgundy</t>
  </si>
  <si>
    <t>DOMAINE JEAN GRIVOT, Burgundy</t>
  </si>
  <si>
    <t>LA VIOLETTE, Bordeaux</t>
  </si>
  <si>
    <t>L'IF, Bordeaux</t>
  </si>
  <si>
    <t>whites:</t>
  </si>
  <si>
    <t>Sparkling 'runners':</t>
  </si>
  <si>
    <t>White 'runners':</t>
  </si>
  <si>
    <t>Orange &amp; Rosé 'runners':</t>
  </si>
  <si>
    <t>Red 'runners':</t>
  </si>
  <si>
    <t>Sweet &amp; Fortified 'runners':</t>
  </si>
  <si>
    <t>Shippers and Wholesalers of Fine Wine - WEB Tariff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</si>
</sst>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Red]\-&quot;£&quot;#,##0.00"/>
    <numFmt numFmtId="44" formatCode="_-&quot;£&quot;* #,##0.00_-;\-&quot;£&quot;* #,##0.00_-;_-&quot;£&quot;* &quot;-&quot;??_-;_-@_-"/>
    <numFmt numFmtId="164" formatCode="&quot;£&quot;#,##0.00_);\(&quot;£&quot;#,##0.00\)"/>
    <numFmt numFmtId="165" formatCode="&quot;£&quot;#,##0.00_);[Red]\(&quot;£&quot;#,##0.00\)"/>
    <numFmt numFmtId="166" formatCode="_(&quot;£&quot;* #,##0.00_);_(&quot;£&quot;* \(#,##0.00\);_(&quot;£&quot;* &quot;-&quot;??_);_(@_)"/>
    <numFmt numFmtId="167" formatCode="&quot;£&quot;#,##0.00"/>
  </numFmts>
  <fonts count="298">
    <font>
      <sz val="10"/>
      <name val="Arial"/>
      <family val="2"/>
    </font>
    <font>
      <sz val="11"/>
      <color theme="1"/>
      <name val="Calibri"/>
      <family val="2"/>
      <scheme val="minor"/>
    </font>
    <font>
      <sz val="11"/>
      <color theme="1"/>
      <name val="Calibri"/>
      <family val="2"/>
      <scheme val="minor"/>
    </font>
    <font>
      <sz val="7"/>
      <name val="Arial"/>
      <family val="2"/>
    </font>
    <font>
      <sz val="8"/>
      <name val="Arial"/>
      <family val="2"/>
    </font>
    <font>
      <sz val="10"/>
      <name val="Arial"/>
      <family val="2"/>
    </font>
    <font>
      <sz val="8"/>
      <color theme="1" tint="0.14999847407452621"/>
      <name val="Arial"/>
      <family val="2"/>
    </font>
    <font>
      <sz val="7"/>
      <color theme="1" tint="0.14999847407452621"/>
      <name val="Arial"/>
      <family val="2"/>
    </font>
    <font>
      <sz val="14"/>
      <color theme="1" tint="0.14999847407452621"/>
      <name val="Arial"/>
      <family val="2"/>
    </font>
    <font>
      <b/>
      <sz val="7"/>
      <color rgb="FF00B050"/>
      <name val="Arial"/>
      <family val="2"/>
    </font>
    <font>
      <b/>
      <sz val="7.5"/>
      <color rgb="FF00B050"/>
      <name val="Arial"/>
      <family val="2"/>
    </font>
    <font>
      <b/>
      <sz val="7"/>
      <color theme="1" tint="0.499984740745262"/>
      <name val="Arial"/>
      <family val="2"/>
    </font>
    <font>
      <sz val="14"/>
      <color theme="1"/>
      <name val="Baskerville Old Face"/>
      <family val="1"/>
    </font>
    <font>
      <i/>
      <sz val="28"/>
      <color theme="1" tint="0.14999847407452621"/>
      <name val="Baskerville Old Face"/>
      <family val="1"/>
    </font>
    <font>
      <sz val="11"/>
      <color theme="1"/>
      <name val="Calibri"/>
      <family val="2"/>
    </font>
    <font>
      <sz val="11"/>
      <color theme="1"/>
      <name val="Calibri"/>
      <family val="2"/>
    </font>
    <font>
      <sz val="11"/>
      <color rgb="FF00B050"/>
      <name val="Arial Black"/>
      <family val="2"/>
    </font>
    <font>
      <b/>
      <sz val="10"/>
      <name val="Arial"/>
      <family val="2"/>
    </font>
    <font>
      <sz val="8.5"/>
      <name val="Aptos"/>
      <family val="2"/>
    </font>
    <font>
      <sz val="8.5"/>
      <color theme="1" tint="0.14999847407452621"/>
      <name val="Aptos"/>
      <family val="2"/>
    </font>
    <font>
      <sz val="8.5"/>
      <color theme="1"/>
      <name val="Aptos"/>
      <family val="2"/>
    </font>
    <font>
      <b/>
      <sz val="8.5"/>
      <color theme="1" tint="0.14999847407452621"/>
      <name val="Aptos"/>
      <family val="2"/>
    </font>
    <font>
      <sz val="8.5"/>
      <color theme="1" tint="0.499984740745262"/>
      <name val="Aptos"/>
      <family val="2"/>
    </font>
    <font>
      <sz val="10"/>
      <name val="Aptos"/>
      <family val="2"/>
    </font>
    <font>
      <b/>
      <sz val="22"/>
      <color theme="1"/>
      <name val="Noto Sans"/>
      <family val="2"/>
    </font>
    <font>
      <sz val="22"/>
      <color theme="1"/>
      <name val="Noto Sans"/>
      <family val="2"/>
    </font>
    <font>
      <sz val="22"/>
      <color theme="1" tint="0.14999847407452621"/>
      <name val="Noto Sans"/>
      <family val="2"/>
    </font>
    <font>
      <sz val="8"/>
      <color theme="1" tint="0.14999847407452621"/>
      <name val="Noto Sans"/>
      <family val="2"/>
    </font>
    <font>
      <u/>
      <sz val="8"/>
      <color theme="1" tint="0.14999847407452621"/>
      <name val="Noto Sans"/>
      <family val="2"/>
    </font>
    <font>
      <b/>
      <sz val="8"/>
      <color theme="1" tint="0.14999847407452621"/>
      <name val="Noto Sans"/>
      <family val="2"/>
    </font>
    <font>
      <b/>
      <sz val="10"/>
      <color theme="1" tint="0.14999847407452621"/>
      <name val="Noto Sans"/>
      <family val="2"/>
    </font>
    <font>
      <sz val="7"/>
      <color theme="1" tint="0.14999847407452621"/>
      <name val="Noto Sans"/>
      <family val="2"/>
    </font>
    <font>
      <b/>
      <i/>
      <sz val="8"/>
      <color theme="1" tint="0.14999847407452621"/>
      <name val="Noto Sans"/>
      <family val="2"/>
    </font>
    <font>
      <b/>
      <sz val="7"/>
      <color theme="1" tint="0.14999847407452621"/>
      <name val="Noto Sans"/>
      <family val="2"/>
    </font>
    <font>
      <b/>
      <sz val="8"/>
      <color rgb="FFFFC000"/>
      <name val="Noto Sans"/>
      <family val="2"/>
    </font>
    <font>
      <sz val="9"/>
      <color theme="1" tint="0.14999847407452621"/>
      <name val="Noto Sans"/>
      <family val="2"/>
    </font>
    <font>
      <i/>
      <sz val="8"/>
      <color rgb="FF00B050"/>
      <name val="Noto Sans"/>
      <family val="2"/>
    </font>
    <font>
      <b/>
      <sz val="8"/>
      <color rgb="FFFD07DA"/>
      <name val="Noto Sans"/>
      <family val="2"/>
    </font>
    <font>
      <b/>
      <sz val="8"/>
      <color rgb="FFCCFF33"/>
      <name val="Noto Sans"/>
      <family val="2"/>
    </font>
    <font>
      <b/>
      <sz val="8"/>
      <color rgb="FFFF0000"/>
      <name val="Noto Sans"/>
      <family val="2"/>
    </font>
    <font>
      <i/>
      <sz val="8"/>
      <color theme="1" tint="0.14999847407452621"/>
      <name val="Noto Sans"/>
      <family val="2"/>
    </font>
    <font>
      <sz val="8"/>
      <color rgb="FFFFFF00"/>
      <name val="Noto Sans"/>
      <family val="2"/>
    </font>
    <font>
      <b/>
      <u/>
      <sz val="8"/>
      <color theme="10"/>
      <name val="Noto Sans"/>
      <family val="2"/>
    </font>
    <font>
      <b/>
      <u/>
      <sz val="8"/>
      <color rgb="FF0000FF"/>
      <name val="Noto Sans"/>
      <family val="2"/>
    </font>
    <font>
      <b/>
      <u/>
      <sz val="14"/>
      <color theme="1" tint="4.9989318521683403E-2"/>
      <name val="Noto Sans"/>
      <family val="2"/>
    </font>
    <font>
      <b/>
      <sz val="8"/>
      <name val="Noto Sans"/>
      <family val="2"/>
    </font>
    <font>
      <sz val="10"/>
      <name val="Noto Sans"/>
      <family val="2"/>
    </font>
    <font>
      <sz val="9"/>
      <name val="Noto Sans"/>
      <family val="2"/>
    </font>
    <font>
      <b/>
      <sz val="9"/>
      <color theme="1" tint="0.14999847407452621"/>
      <name val="Noto Sans"/>
      <family val="2"/>
    </font>
    <font>
      <sz val="14"/>
      <color theme="1" tint="0.14999847407452621"/>
      <name val="Noto Sans"/>
      <family val="2"/>
    </font>
    <font>
      <b/>
      <sz val="14"/>
      <name val="Noto Sans"/>
      <family val="2"/>
    </font>
    <font>
      <sz val="14"/>
      <name val="Noto Sans"/>
      <family val="2"/>
    </font>
    <font>
      <b/>
      <sz val="14"/>
      <color theme="1" tint="0.14999847407452621"/>
      <name val="Noto Sans"/>
      <family val="2"/>
    </font>
    <font>
      <b/>
      <sz val="22"/>
      <color theme="1" tint="4.9989318521683403E-2"/>
      <name val="Noto Sans"/>
      <family val="2"/>
    </font>
    <font>
      <sz val="8"/>
      <color theme="1"/>
      <name val="Noto Sans"/>
      <family val="2"/>
    </font>
    <font>
      <b/>
      <sz val="8"/>
      <color theme="1"/>
      <name val="Noto Sans"/>
      <family val="2"/>
    </font>
    <font>
      <sz val="8"/>
      <name val="Noto Sans"/>
      <family val="2"/>
    </font>
    <font>
      <b/>
      <sz val="9"/>
      <name val="Noto Sans"/>
      <family val="2"/>
    </font>
    <font>
      <b/>
      <sz val="9"/>
      <color theme="1" tint="4.9989318521683403E-2"/>
      <name val="Noto Sans"/>
      <family val="2"/>
    </font>
    <font>
      <sz val="8"/>
      <color theme="1" tint="4.9989318521683403E-2"/>
      <name val="Noto Sans"/>
      <family val="2"/>
    </font>
    <font>
      <b/>
      <u/>
      <sz val="14"/>
      <color theme="1"/>
      <name val="Noto Sans"/>
      <family val="2"/>
    </font>
    <font>
      <b/>
      <sz val="8"/>
      <color theme="1" tint="4.9989318521683403E-2"/>
      <name val="Noto Sans"/>
      <family val="2"/>
    </font>
    <font>
      <b/>
      <sz val="12"/>
      <color theme="1" tint="4.9989318521683403E-2"/>
      <name val="Noto Sans"/>
      <family val="2"/>
    </font>
    <font>
      <b/>
      <u/>
      <sz val="12"/>
      <color theme="1" tint="4.9989318521683403E-2"/>
      <name val="Noto Sans"/>
      <family val="2"/>
    </font>
    <font>
      <b/>
      <u/>
      <sz val="22"/>
      <color theme="10"/>
      <name val="Noto Sans"/>
      <family val="2"/>
    </font>
    <font>
      <u/>
      <sz val="22"/>
      <color theme="1" tint="0.14999847407452621"/>
      <name val="Noto Sans"/>
      <family val="2"/>
    </font>
    <font>
      <i/>
      <u/>
      <sz val="22"/>
      <color theme="1" tint="0.14999847407452621"/>
      <name val="Noto Sans"/>
      <family val="2"/>
    </font>
    <font>
      <sz val="8"/>
      <color theme="10"/>
      <name val="Noto Sans"/>
      <family val="2"/>
    </font>
    <font>
      <b/>
      <sz val="9"/>
      <color theme="1" tint="0.499984740745262"/>
      <name val="Noto Sans"/>
      <family val="2"/>
    </font>
    <font>
      <b/>
      <sz val="7"/>
      <color rgb="FF00B050"/>
      <name val="Noto Sans"/>
      <family val="2"/>
    </font>
    <font>
      <b/>
      <u/>
      <sz val="7"/>
      <color theme="1" tint="0.499984740745262"/>
      <name val="Noto Sans"/>
      <family val="2"/>
    </font>
    <font>
      <b/>
      <sz val="8"/>
      <color theme="1" tint="0.499984740745262"/>
      <name val="Noto Sans"/>
      <family val="2"/>
    </font>
    <font>
      <sz val="7"/>
      <color theme="1" tint="0.499984740745262"/>
      <name val="Noto Sans"/>
      <family val="2"/>
    </font>
    <font>
      <u/>
      <sz val="7"/>
      <color theme="1" tint="0.499984740745262"/>
      <name val="Noto Sans"/>
      <family val="2"/>
    </font>
    <font>
      <i/>
      <u/>
      <sz val="7"/>
      <color theme="1" tint="0.499984740745262"/>
      <name val="Noto Sans"/>
      <family val="2"/>
    </font>
    <font>
      <b/>
      <sz val="7"/>
      <color theme="1" tint="0.499984740745262"/>
      <name val="Noto Sans"/>
      <family val="2"/>
    </font>
    <font>
      <b/>
      <sz val="11"/>
      <color theme="1" tint="0.14999847407452621"/>
      <name val="Noto Sans"/>
      <family val="2"/>
    </font>
    <font>
      <b/>
      <u/>
      <sz val="8"/>
      <color theme="1" tint="0.14999847407452621"/>
      <name val="Noto Sans"/>
      <family val="2"/>
    </font>
    <font>
      <sz val="11"/>
      <color theme="1" tint="0.14999847407452621"/>
      <name val="Noto Sans"/>
      <family val="2"/>
    </font>
    <font>
      <b/>
      <sz val="8"/>
      <color rgb="FF00B050"/>
      <name val="Noto Sans"/>
      <family val="2"/>
    </font>
    <font>
      <sz val="7"/>
      <color rgb="FF808080"/>
      <name val="Noto Sans"/>
      <family val="2"/>
    </font>
    <font>
      <b/>
      <sz val="7"/>
      <color rgb="FF808080"/>
      <name val="Noto Sans"/>
      <family val="2"/>
    </font>
    <font>
      <b/>
      <u/>
      <sz val="9"/>
      <color theme="10"/>
      <name val="Noto Sans"/>
      <family val="2"/>
    </font>
    <font>
      <b/>
      <u/>
      <sz val="9"/>
      <color rgb="FF0000FF"/>
      <name val="Noto Sans"/>
      <family val="2"/>
    </font>
    <font>
      <i/>
      <u/>
      <sz val="8"/>
      <color theme="1" tint="0.14999847407452621"/>
      <name val="Noto Sans"/>
      <family val="2"/>
    </font>
    <font>
      <b/>
      <sz val="11"/>
      <color theme="1" tint="4.9989318521683403E-2"/>
      <name val="Noto Sans"/>
      <family val="2"/>
    </font>
    <font>
      <b/>
      <u/>
      <sz val="8"/>
      <color rgb="FF333333"/>
      <name val="Noto Sans"/>
      <family val="2"/>
    </font>
    <font>
      <b/>
      <i/>
      <sz val="8"/>
      <color rgb="FF00B050"/>
      <name val="Noto Sans"/>
      <family val="2"/>
    </font>
    <font>
      <b/>
      <sz val="8"/>
      <color rgb="FFFFFF00"/>
      <name val="Noto Sans"/>
      <family val="2"/>
    </font>
    <font>
      <sz val="10"/>
      <color theme="1" tint="0.14999847407452621"/>
      <name val="Noto Sans"/>
      <family val="2"/>
    </font>
    <font>
      <b/>
      <sz val="7"/>
      <color rgb="FFFF0000"/>
      <name val="Noto Sans"/>
      <family val="2"/>
    </font>
    <font>
      <i/>
      <sz val="7"/>
      <color theme="1" tint="0.14999847407452621"/>
      <name val="Noto Sans"/>
      <family val="2"/>
    </font>
    <font>
      <sz val="8"/>
      <color rgb="FF252525"/>
      <name val="Noto Sans"/>
      <family val="2"/>
    </font>
    <font>
      <u/>
      <sz val="8"/>
      <color theme="10"/>
      <name val="Noto Sans"/>
      <family val="2"/>
    </font>
    <font>
      <sz val="8"/>
      <color theme="1" tint="0.499984740745262"/>
      <name val="Noto Sans"/>
      <family val="2"/>
    </font>
    <font>
      <i/>
      <sz val="8"/>
      <color theme="1" tint="0.499984740745262"/>
      <name val="Noto Sans"/>
      <family val="2"/>
    </font>
    <font>
      <b/>
      <u/>
      <sz val="8.5"/>
      <color theme="10"/>
      <name val="Noto Sans"/>
      <family val="2"/>
    </font>
    <font>
      <sz val="8"/>
      <color rgb="FF262626"/>
      <name val="Noto Sans"/>
      <family val="2"/>
    </font>
    <font>
      <b/>
      <sz val="8"/>
      <color rgb="FF262626"/>
      <name val="Noto Sans"/>
      <family val="2"/>
    </font>
    <font>
      <b/>
      <i/>
      <sz val="7"/>
      <color theme="1" tint="0.499984740745262"/>
      <name val="Noto Sans"/>
      <family val="2"/>
    </font>
    <font>
      <i/>
      <sz val="7"/>
      <color theme="1" tint="0.499984740745262"/>
      <name val="Noto Sans"/>
      <family val="2"/>
    </font>
    <font>
      <sz val="7"/>
      <color rgb="FF262626"/>
      <name val="Noto Sans"/>
      <family val="2"/>
    </font>
    <font>
      <sz val="7.5"/>
      <color theme="1" tint="0.14999847407452621"/>
      <name val="Noto Sans"/>
      <family val="2"/>
    </font>
    <font>
      <b/>
      <sz val="8"/>
      <color theme="5" tint="-0.249977111117893"/>
      <name val="Noto Sans"/>
      <family val="2"/>
    </font>
    <font>
      <b/>
      <sz val="22"/>
      <color theme="1" tint="0.14999847407452621"/>
      <name val="Noto Sans"/>
      <family val="2"/>
    </font>
    <font>
      <b/>
      <u/>
      <sz val="8"/>
      <color theme="1"/>
      <name val="Noto Sans"/>
      <family val="2"/>
    </font>
    <font>
      <sz val="7"/>
      <color theme="1"/>
      <name val="Noto Sans"/>
      <family val="2"/>
    </font>
    <font>
      <b/>
      <sz val="8"/>
      <color theme="9" tint="-0.249977111117893"/>
      <name val="Noto Sans"/>
      <family val="2"/>
    </font>
    <font>
      <b/>
      <sz val="20"/>
      <color theme="1"/>
      <name val="Noto Sans"/>
      <family val="2"/>
    </font>
    <font>
      <sz val="8.5"/>
      <color theme="0" tint="-0.499984740745262"/>
      <name val="Noto Sans"/>
      <family val="2"/>
    </font>
    <font>
      <sz val="8.5"/>
      <color theme="1" tint="0.499984740745262"/>
      <name val="Noto Sans"/>
      <family val="2"/>
    </font>
    <font>
      <b/>
      <sz val="9.5"/>
      <color theme="1" tint="0.14999847407452621"/>
      <name val="Noto Sans"/>
      <family val="2"/>
    </font>
    <font>
      <sz val="8"/>
      <color rgb="FF00B050"/>
      <name val="Noto Sans"/>
      <family val="2"/>
    </font>
    <font>
      <u/>
      <sz val="10"/>
      <color theme="10"/>
      <name val="Noto Sans"/>
      <family val="2"/>
    </font>
    <font>
      <sz val="6"/>
      <color theme="1" tint="0.14999847407452621"/>
      <name val="Noto Sans"/>
      <family val="2"/>
    </font>
    <font>
      <b/>
      <sz val="10.5"/>
      <color theme="1" tint="0.14999847407452621"/>
      <name val="Noto Sans"/>
      <family val="2"/>
    </font>
    <font>
      <sz val="7"/>
      <color theme="1" tint="0.34998626667073579"/>
      <name val="Noto Sans"/>
      <family val="2"/>
    </font>
    <font>
      <sz val="8"/>
      <color rgb="FF333333"/>
      <name val="Noto Sans"/>
      <family val="2"/>
    </font>
    <font>
      <sz val="10"/>
      <color theme="1" tint="0.499984740745262"/>
      <name val="Noto Sans"/>
      <family val="2"/>
    </font>
    <font>
      <i/>
      <sz val="22"/>
      <color theme="1" tint="0.14999847407452621"/>
      <name val="Noto Sans"/>
      <family val="2"/>
    </font>
    <font>
      <b/>
      <u/>
      <sz val="22"/>
      <color theme="1"/>
      <name val="Noto Sans"/>
      <family val="2"/>
    </font>
    <font>
      <b/>
      <i/>
      <sz val="22"/>
      <color theme="1" tint="0.14999847407452621"/>
      <name val="Noto Sans"/>
      <family val="2"/>
    </font>
    <font>
      <vertAlign val="superscript"/>
      <sz val="8"/>
      <color theme="1" tint="0.14999847407452621"/>
      <name val="Noto Sans"/>
      <family val="2"/>
    </font>
    <font>
      <u/>
      <sz val="10"/>
      <color theme="1" tint="0.14999847407452621"/>
      <name val="Noto Sans"/>
      <family val="2"/>
    </font>
    <font>
      <b/>
      <sz val="8"/>
      <color rgb="FF7030A0"/>
      <name val="Noto Sans"/>
      <family val="2"/>
    </font>
    <font>
      <b/>
      <sz val="8"/>
      <color theme="6" tint="-0.249977111117893"/>
      <name val="Noto Sans"/>
      <family val="2"/>
    </font>
    <font>
      <b/>
      <u/>
      <sz val="7"/>
      <color theme="10"/>
      <name val="Noto Sans"/>
      <family val="2"/>
    </font>
    <font>
      <b/>
      <i/>
      <sz val="7"/>
      <color rgb="FF00B050"/>
      <name val="Noto Sans"/>
      <family val="2"/>
    </font>
    <font>
      <b/>
      <sz val="12"/>
      <color theme="1" tint="0.14999847407452621"/>
      <name val="Noto Sans"/>
      <family val="2"/>
    </font>
    <font>
      <sz val="12"/>
      <color theme="1" tint="0.14999847407452621"/>
      <name val="Noto Sans"/>
      <family val="2"/>
    </font>
    <font>
      <u/>
      <sz val="17"/>
      <color theme="1" tint="0.14999847407452621"/>
      <name val="Noto Sans"/>
      <family val="2"/>
    </font>
    <font>
      <sz val="6.5"/>
      <color theme="1" tint="0.499984740745262"/>
      <name val="Noto Sans"/>
      <family val="2"/>
    </font>
    <font>
      <b/>
      <sz val="8"/>
      <color rgb="FF222222"/>
      <name val="Noto Sans"/>
      <family val="2"/>
    </font>
    <font>
      <b/>
      <sz val="8"/>
      <color rgb="FF111111"/>
      <name val="Noto Sans"/>
      <family val="2"/>
    </font>
    <font>
      <sz val="8"/>
      <color rgb="FF222222"/>
      <name val="Noto Sans"/>
      <family val="2"/>
    </font>
    <font>
      <b/>
      <sz val="10"/>
      <color rgb="FFFF0000"/>
      <name val="Noto Sans"/>
      <family val="2"/>
    </font>
    <font>
      <b/>
      <sz val="21"/>
      <color theme="1"/>
      <name val="Noto Sans"/>
      <family val="2"/>
    </font>
    <font>
      <b/>
      <sz val="21"/>
      <color theme="1" tint="0.14999847407452621"/>
      <name val="Noto Sans"/>
      <family val="2"/>
    </font>
    <font>
      <b/>
      <i/>
      <sz val="21"/>
      <color theme="1" tint="0.14999847407452621"/>
      <name val="Noto Sans"/>
      <family val="2"/>
    </font>
    <font>
      <u/>
      <sz val="17"/>
      <color theme="1"/>
      <name val="Noto Sans"/>
      <family val="2"/>
    </font>
    <font>
      <b/>
      <u/>
      <sz val="18"/>
      <color theme="1"/>
      <name val="Noto Sans"/>
      <family val="2"/>
    </font>
    <font>
      <b/>
      <sz val="18"/>
      <color theme="1"/>
      <name val="Noto Sans"/>
      <family val="2"/>
    </font>
    <font>
      <b/>
      <u/>
      <sz val="9"/>
      <color theme="1" tint="4.9989318521683403E-2"/>
      <name val="Noto Sans"/>
      <family val="2"/>
    </font>
    <font>
      <b/>
      <sz val="16"/>
      <color theme="1"/>
      <name val="Noto Sans"/>
      <family val="2"/>
    </font>
    <font>
      <b/>
      <u/>
      <sz val="9"/>
      <color theme="1"/>
      <name val="Noto Sans"/>
      <family val="2"/>
    </font>
    <font>
      <b/>
      <u/>
      <sz val="8"/>
      <color theme="1" tint="4.9989318521683403E-2"/>
      <name val="Noto Sans"/>
      <family val="2"/>
    </font>
    <font>
      <i/>
      <sz val="10"/>
      <color theme="1" tint="0.14999847407452621"/>
      <name val="Noto Sans"/>
      <family val="2"/>
    </font>
    <font>
      <b/>
      <sz val="7"/>
      <color theme="1"/>
      <name val="Noto Sans"/>
      <family val="2"/>
    </font>
    <font>
      <sz val="7"/>
      <color rgb="FF00B050"/>
      <name val="Noto Sans"/>
      <family val="2"/>
    </font>
    <font>
      <b/>
      <u/>
      <sz val="7.5"/>
      <color theme="10"/>
      <name val="Noto Sans"/>
      <family val="2"/>
    </font>
    <font>
      <b/>
      <i/>
      <u/>
      <sz val="8"/>
      <color theme="1" tint="0.14999847407452621"/>
      <name val="Noto Sans"/>
      <family val="2"/>
    </font>
    <font>
      <b/>
      <i/>
      <sz val="7"/>
      <color theme="1" tint="0.14999847407452621"/>
      <name val="Noto Sans"/>
      <family val="2"/>
    </font>
    <font>
      <b/>
      <sz val="20.5"/>
      <color theme="1"/>
      <name val="Noto Sans"/>
      <family val="2"/>
    </font>
    <font>
      <sz val="7"/>
      <color rgb="FFFF0000"/>
      <name val="Noto Sans"/>
      <family val="2"/>
    </font>
    <font>
      <vertAlign val="superscript"/>
      <sz val="7"/>
      <color theme="1" tint="0.499984740745262"/>
      <name val="Noto Sans"/>
      <family val="2"/>
    </font>
    <font>
      <sz val="10"/>
      <color theme="1"/>
      <name val="Noto Sans"/>
      <family val="2"/>
    </font>
    <font>
      <b/>
      <u/>
      <sz val="8"/>
      <name val="Noto Sans"/>
      <family val="2"/>
    </font>
    <font>
      <b/>
      <sz val="6.5"/>
      <color theme="1" tint="0.499984740745262"/>
      <name val="Noto Sans"/>
      <family val="2"/>
    </font>
    <font>
      <b/>
      <sz val="17"/>
      <color theme="1"/>
      <name val="Noto Sans"/>
      <family val="2"/>
    </font>
    <font>
      <b/>
      <sz val="8"/>
      <color rgb="FF00B0F0"/>
      <name val="Noto Sans"/>
      <family val="2"/>
    </font>
    <font>
      <b/>
      <sz val="9.6"/>
      <color theme="1" tint="0.14999847407452621"/>
      <name val="Noto Sans"/>
      <family val="2"/>
    </font>
    <font>
      <sz val="18"/>
      <color theme="1" tint="0.14999847407452621"/>
      <name val="Noto Sans"/>
      <family val="2"/>
    </font>
    <font>
      <b/>
      <sz val="7"/>
      <color theme="10"/>
      <name val="Noto Sans"/>
      <family val="2"/>
    </font>
    <font>
      <sz val="8"/>
      <color rgb="FF091D0C"/>
      <name val="Noto Sans"/>
      <family val="2"/>
    </font>
    <font>
      <sz val="11"/>
      <color rgb="FF091D0C"/>
      <name val="Noto Sans"/>
      <family val="2"/>
    </font>
    <font>
      <b/>
      <u/>
      <sz val="11"/>
      <color rgb="FF0000FF"/>
      <name val="Noto Sans"/>
      <family val="2"/>
    </font>
    <font>
      <b/>
      <u/>
      <sz val="15"/>
      <color rgb="FF0000FF"/>
      <name val="Noto Sans"/>
      <family val="2"/>
    </font>
    <font>
      <b/>
      <sz val="18"/>
      <color theme="1" tint="0.14999847407452621"/>
      <name val="Noto Sans"/>
      <family val="2"/>
    </font>
    <font>
      <b/>
      <u/>
      <sz val="9"/>
      <color theme="1" tint="0.499984740745262"/>
      <name val="Noto Sans"/>
      <family val="2"/>
    </font>
    <font>
      <b/>
      <sz val="10"/>
      <color rgb="FF0000FF"/>
      <name val="Noto Sans"/>
      <family val="2"/>
    </font>
    <font>
      <b/>
      <sz val="7.5"/>
      <color rgb="FFFFFF00"/>
      <name val="Noto Sans"/>
      <family val="2"/>
    </font>
    <font>
      <b/>
      <i/>
      <sz val="8"/>
      <color theme="1"/>
      <name val="Noto Sans"/>
      <family val="2"/>
    </font>
    <font>
      <b/>
      <sz val="8"/>
      <color theme="9"/>
      <name val="Noto Sans"/>
      <family val="2"/>
    </font>
    <font>
      <b/>
      <sz val="10"/>
      <color rgb="FF00B0F0"/>
      <name val="Noto Sans"/>
      <family val="2"/>
    </font>
    <font>
      <sz val="7"/>
      <name val="Noto Sans"/>
      <family val="2"/>
    </font>
    <font>
      <b/>
      <i/>
      <sz val="8"/>
      <color theme="1" tint="0.499984740745262"/>
      <name val="Noto Sans"/>
      <family val="2"/>
    </font>
    <font>
      <u/>
      <sz val="8"/>
      <color rgb="FF0000FF"/>
      <name val="Noto Sans"/>
      <family val="2"/>
    </font>
    <font>
      <b/>
      <sz val="8"/>
      <color rgb="FF252525"/>
      <name val="Noto Sans"/>
      <family val="2"/>
    </font>
    <font>
      <b/>
      <sz val="11"/>
      <color rgb="FF262626"/>
      <name val="Noto Sans"/>
      <family val="2"/>
    </font>
    <font>
      <sz val="18"/>
      <color theme="1" tint="0.499984740745262"/>
      <name val="Noto Sans"/>
      <family val="2"/>
    </font>
    <font>
      <b/>
      <sz val="18"/>
      <color theme="1" tint="0.499984740745262"/>
      <name val="Noto Sans"/>
      <family val="2"/>
    </font>
    <font>
      <b/>
      <i/>
      <sz val="8"/>
      <color rgb="FFFF0000"/>
      <name val="Noto Sans"/>
      <family val="2"/>
    </font>
    <font>
      <b/>
      <sz val="7.5"/>
      <color rgb="FFCCFF33"/>
      <name val="Noto Sans"/>
      <family val="2"/>
    </font>
    <font>
      <b/>
      <sz val="8"/>
      <color rgb="FF0000FF"/>
      <name val="Noto Sans"/>
      <family val="2"/>
    </font>
    <font>
      <sz val="12"/>
      <color rgb="FF222222"/>
      <name val="Noto Sans"/>
      <family val="2"/>
    </font>
    <font>
      <b/>
      <sz val="6.5"/>
      <color theme="1" tint="0.14999847407452621"/>
      <name val="Noto Sans"/>
      <family val="2"/>
    </font>
    <font>
      <b/>
      <sz val="8"/>
      <color rgb="FFC00000"/>
      <name val="Noto Sans"/>
      <family val="2"/>
    </font>
    <font>
      <b/>
      <sz val="7"/>
      <color rgb="FFCCFF33"/>
      <name val="Noto Sans"/>
      <family val="2"/>
    </font>
    <font>
      <b/>
      <sz val="8"/>
      <color theme="1" tint="0.249977111117893"/>
      <name val="Noto Sans"/>
      <family val="2"/>
    </font>
    <font>
      <b/>
      <u/>
      <sz val="22"/>
      <color theme="1" tint="0.14999847407452621"/>
      <name val="Noto Sans"/>
      <family val="2"/>
    </font>
    <font>
      <b/>
      <sz val="7.5"/>
      <color rgb="FF00B050"/>
      <name val="Noto Sans"/>
      <family val="2"/>
    </font>
    <font>
      <b/>
      <sz val="10"/>
      <color theme="6" tint="-0.249977111117893"/>
      <name val="Noto Sans"/>
      <family val="2"/>
    </font>
    <font>
      <u/>
      <sz val="15"/>
      <color rgb="FF0000FF"/>
      <name val="Noto Sans"/>
      <family val="2"/>
    </font>
    <font>
      <i/>
      <sz val="18"/>
      <color theme="1" tint="0.14999847407452621"/>
      <name val="Noto Sans"/>
      <family val="2"/>
    </font>
    <font>
      <sz val="7"/>
      <color rgb="FF969696"/>
      <name val="Noto Sans"/>
      <family val="2"/>
    </font>
    <font>
      <b/>
      <sz val="7"/>
      <color rgb="FF969696"/>
      <name val="Noto Sans"/>
      <family val="2"/>
    </font>
    <font>
      <b/>
      <i/>
      <sz val="22"/>
      <color theme="1"/>
      <name val="Noto Sans"/>
      <family val="2"/>
    </font>
    <font>
      <b/>
      <sz val="7"/>
      <color rgb="FFFFFF00"/>
      <name val="Noto Sans"/>
      <family val="2"/>
    </font>
    <font>
      <b/>
      <sz val="11"/>
      <color theme="1"/>
      <name val="Noto Sans"/>
      <family val="2"/>
    </font>
    <font>
      <b/>
      <u/>
      <sz val="18"/>
      <color rgb="FF0000FF"/>
      <name val="Noto Sans"/>
      <family val="2"/>
    </font>
    <font>
      <b/>
      <u/>
      <sz val="22"/>
      <color rgb="FF0000FF"/>
      <name val="Noto Sans"/>
      <family val="2"/>
    </font>
    <font>
      <b/>
      <u/>
      <sz val="9"/>
      <color theme="1" tint="0.14999847407452621"/>
      <name val="Noto Sans"/>
      <family val="2"/>
    </font>
    <font>
      <b/>
      <u/>
      <sz val="17"/>
      <color rgb="FF0000FF"/>
      <name val="Noto Sans"/>
      <family val="2"/>
    </font>
    <font>
      <sz val="6.5"/>
      <color theme="1"/>
      <name val="Noto Sans"/>
      <family val="2"/>
    </font>
    <font>
      <sz val="8"/>
      <color rgb="FF0D0D0D"/>
      <name val="Noto Sans"/>
      <family val="2"/>
    </font>
    <font>
      <sz val="8"/>
      <color rgb="FFFF0000"/>
      <name val="Noto Sans"/>
      <family val="2"/>
    </font>
    <font>
      <b/>
      <u/>
      <sz val="6"/>
      <color theme="1" tint="0.14999847407452621"/>
      <name val="Noto Sans"/>
      <family val="2"/>
    </font>
    <font>
      <u/>
      <sz val="10"/>
      <color theme="1" tint="0.499984740745262"/>
      <name val="Noto Sans"/>
      <family val="2"/>
    </font>
    <font>
      <b/>
      <sz val="7"/>
      <color rgb="FF262626"/>
      <name val="Noto Sans"/>
      <family val="2"/>
    </font>
    <font>
      <b/>
      <sz val="7"/>
      <name val="Noto Sans"/>
      <family val="2"/>
    </font>
    <font>
      <b/>
      <sz val="8"/>
      <color rgb="FF101010"/>
      <name val="Noto Sans"/>
      <family val="2"/>
    </font>
    <font>
      <b/>
      <sz val="10"/>
      <color theme="1"/>
      <name val="Noto Sans"/>
      <family val="2"/>
    </font>
    <font>
      <b/>
      <sz val="7"/>
      <color rgb="FF7030A0"/>
      <name val="Noto Sans"/>
      <family val="2"/>
    </font>
    <font>
      <b/>
      <i/>
      <sz val="10"/>
      <color theme="1" tint="0.14999847407452621"/>
      <name val="Noto Sans"/>
      <family val="2"/>
    </font>
    <font>
      <i/>
      <u/>
      <sz val="7"/>
      <color theme="1" tint="0.14999847407452621"/>
      <name val="Noto Sans"/>
      <family val="2"/>
    </font>
    <font>
      <i/>
      <sz val="11"/>
      <color theme="1" tint="0.14999847407452621"/>
      <name val="Noto Sans"/>
      <family val="2"/>
    </font>
    <font>
      <b/>
      <u/>
      <sz val="10"/>
      <color theme="1" tint="0.14999847407452621"/>
      <name val="Noto Sans"/>
      <family val="2"/>
    </font>
    <font>
      <b/>
      <sz val="22"/>
      <color rgb="FF0000FF"/>
      <name val="Noto Sans"/>
      <family val="2"/>
    </font>
    <font>
      <sz val="8"/>
      <color rgb="FF0000FF"/>
      <name val="Noto Sans"/>
      <family val="2"/>
    </font>
    <font>
      <sz val="7"/>
      <color rgb="FF0000FF"/>
      <name val="Noto Sans"/>
      <family val="2"/>
    </font>
    <font>
      <b/>
      <u/>
      <sz val="17.5"/>
      <color theme="1"/>
      <name val="Noto Sans"/>
      <family val="2"/>
    </font>
    <font>
      <b/>
      <u/>
      <sz val="18"/>
      <color theme="9"/>
      <name val="Noto Sans"/>
      <family val="2"/>
    </font>
    <font>
      <b/>
      <u/>
      <sz val="10"/>
      <color theme="1"/>
      <name val="Noto Sans"/>
      <family val="2"/>
    </font>
    <font>
      <b/>
      <u/>
      <sz val="18"/>
      <color theme="5" tint="-0.249977111117893"/>
      <name val="Noto Sans"/>
      <family val="2"/>
    </font>
    <font>
      <b/>
      <u/>
      <sz val="18"/>
      <color rgb="FFFF0000"/>
      <name val="Noto Sans"/>
      <family val="2"/>
    </font>
    <font>
      <b/>
      <u/>
      <sz val="18"/>
      <color rgb="FFFD07DA"/>
      <name val="Noto Sans"/>
      <family val="2"/>
    </font>
    <font>
      <b/>
      <u/>
      <sz val="18"/>
      <color rgb="FF7030A0"/>
      <name val="Noto Sans"/>
      <family val="2"/>
    </font>
    <font>
      <b/>
      <u/>
      <sz val="18"/>
      <color theme="6" tint="-0.249977111117893"/>
      <name val="Noto Sans"/>
      <family val="2"/>
    </font>
    <font>
      <b/>
      <u/>
      <sz val="18"/>
      <color theme="1" tint="4.9989318521683403E-2"/>
      <name val="Noto Sans"/>
      <family val="2"/>
    </font>
    <font>
      <b/>
      <u/>
      <sz val="8"/>
      <color rgb="FFCCFF33"/>
      <name val="Noto Sans"/>
      <family val="2"/>
    </font>
    <font>
      <u/>
      <sz val="18"/>
      <color theme="1" tint="0.14999847407452621"/>
      <name val="Noto Sans"/>
      <family val="2"/>
    </font>
    <font>
      <b/>
      <i/>
      <sz val="8"/>
      <color rgb="FFFFC000"/>
      <name val="Noto Sans"/>
      <family val="2"/>
    </font>
    <font>
      <u/>
      <sz val="12"/>
      <color theme="1"/>
      <name val="Noto Sans"/>
      <family val="2"/>
    </font>
    <font>
      <b/>
      <i/>
      <u/>
      <sz val="8"/>
      <color rgb="FFFFC000"/>
      <name val="Noto Sans"/>
      <family val="2"/>
    </font>
    <font>
      <sz val="7.5"/>
      <color theme="1" tint="0.499984740745262"/>
      <name val="Noto Sans"/>
      <family val="2"/>
    </font>
    <font>
      <b/>
      <sz val="7.5"/>
      <color theme="1" tint="0.499984740745262"/>
      <name val="Noto Sans"/>
      <family val="2"/>
    </font>
    <font>
      <b/>
      <u/>
      <sz val="17"/>
      <color theme="1"/>
      <name val="Noto Sans"/>
      <family val="2"/>
    </font>
    <font>
      <b/>
      <u/>
      <sz val="12"/>
      <color theme="1"/>
      <name val="Noto Sans"/>
      <family val="2"/>
    </font>
    <font>
      <sz val="16"/>
      <color theme="1"/>
      <name val="Noto Sans"/>
      <family val="2"/>
    </font>
    <font>
      <u/>
      <sz val="18"/>
      <name val="Noto Sans"/>
      <family val="2"/>
    </font>
    <font>
      <b/>
      <u/>
      <sz val="8"/>
      <color theme="1" tint="0.499984740745262"/>
      <name val="Noto Sans"/>
      <family val="2"/>
    </font>
    <font>
      <b/>
      <sz val="7.5"/>
      <color theme="1" tint="0.14999847407452621"/>
      <name val="Noto Sans"/>
      <family val="2"/>
    </font>
    <font>
      <sz val="6.5"/>
      <color theme="1" tint="0.14999847407452621"/>
      <name val="Noto Sans"/>
      <family val="2"/>
    </font>
    <font>
      <b/>
      <sz val="7.5"/>
      <color rgb="FFFFC000"/>
      <name val="Noto Sans"/>
      <family val="2"/>
    </font>
    <font>
      <b/>
      <u/>
      <sz val="18"/>
      <name val="Noto Sans"/>
      <family val="2"/>
    </font>
    <font>
      <b/>
      <sz val="22"/>
      <name val="Noto Sans"/>
      <family val="2"/>
    </font>
    <font>
      <sz val="18"/>
      <name val="Noto Sans"/>
      <family val="2"/>
    </font>
    <font>
      <b/>
      <u/>
      <sz val="11"/>
      <color theme="1" tint="0.14999847407452621"/>
      <name val="Noto Sans"/>
      <family val="2"/>
    </font>
    <font>
      <u/>
      <sz val="12"/>
      <color theme="1" tint="0.14999847407452621"/>
      <name val="Noto Sans"/>
      <family val="2"/>
    </font>
    <font>
      <b/>
      <i/>
      <sz val="6.5"/>
      <color theme="1" tint="0.14999847407452621"/>
      <name val="Noto Sans"/>
      <family val="2"/>
    </font>
    <font>
      <b/>
      <u/>
      <sz val="5"/>
      <color theme="10"/>
      <name val="Noto Sans"/>
      <family val="2"/>
    </font>
    <font>
      <i/>
      <sz val="6.5"/>
      <color theme="1" tint="0.14999847407452621"/>
      <name val="Noto Sans"/>
      <family val="2"/>
    </font>
    <font>
      <u/>
      <sz val="6"/>
      <color theme="10"/>
      <name val="Noto Sans"/>
      <family val="2"/>
    </font>
    <font>
      <sz val="5"/>
      <color theme="1" tint="0.14999847407452621"/>
      <name val="Noto Sans"/>
      <family val="2"/>
    </font>
    <font>
      <u/>
      <sz val="8"/>
      <color theme="1" tint="0.499984740745262"/>
      <name val="Noto Sans"/>
      <family val="2"/>
    </font>
    <font>
      <b/>
      <sz val="10"/>
      <name val="Noto Sans"/>
      <family val="2"/>
    </font>
    <font>
      <sz val="7.5"/>
      <name val="Noto Sans"/>
      <family val="2"/>
    </font>
    <font>
      <b/>
      <sz val="7.5"/>
      <name val="Noto Sans"/>
      <family val="2"/>
    </font>
    <font>
      <u/>
      <sz val="11"/>
      <color theme="1" tint="0.14999847407452621"/>
      <name val="Noto Sans"/>
      <family val="2"/>
    </font>
    <font>
      <b/>
      <sz val="13"/>
      <color theme="1" tint="0.14999847407452621"/>
      <name val="Noto Sans"/>
      <family val="2"/>
    </font>
    <font>
      <b/>
      <u/>
      <sz val="18"/>
      <color theme="10"/>
      <name val="Noto Sans"/>
      <family val="2"/>
    </font>
    <font>
      <b/>
      <sz val="18"/>
      <color rgb="FFFD07DA"/>
      <name val="Noto Sans"/>
      <family val="2"/>
    </font>
    <font>
      <sz val="8"/>
      <color rgb="FFFD07DA"/>
      <name val="Noto Sans"/>
      <family val="2"/>
    </font>
    <font>
      <b/>
      <i/>
      <sz val="7.5"/>
      <color theme="1" tint="0.14999847407452621"/>
      <name val="Noto Sans"/>
      <family val="2"/>
    </font>
    <font>
      <b/>
      <u/>
      <sz val="7.5"/>
      <color theme="1" tint="0.14999847407452621"/>
      <name val="Noto Sans"/>
      <family val="2"/>
    </font>
    <font>
      <i/>
      <sz val="7.5"/>
      <color theme="1" tint="0.499984740745262"/>
      <name val="Noto Sans"/>
      <family val="2"/>
    </font>
    <font>
      <b/>
      <sz val="7"/>
      <color rgb="FFFD07DA"/>
      <name val="Noto Sans"/>
      <family val="2"/>
    </font>
    <font>
      <b/>
      <sz val="7"/>
      <color rgb="FFFFC000"/>
      <name val="Noto Sans"/>
      <family val="2"/>
    </font>
    <font>
      <b/>
      <sz val="7"/>
      <color rgb="FFFF66FF"/>
      <name val="Noto Sans"/>
      <family val="2"/>
    </font>
    <font>
      <b/>
      <i/>
      <sz val="7"/>
      <color rgb="FFFF0000"/>
      <name val="Noto Sans"/>
      <family val="2"/>
    </font>
    <font>
      <b/>
      <sz val="7"/>
      <color theme="1" tint="4.9989318521683403E-2"/>
      <name val="Noto Sans"/>
      <family val="2"/>
    </font>
    <font>
      <b/>
      <sz val="7"/>
      <color theme="9"/>
      <name val="Noto Sans"/>
      <family val="2"/>
    </font>
    <font>
      <b/>
      <sz val="7"/>
      <color rgb="FFFF7C80"/>
      <name val="Noto Sans"/>
      <family val="2"/>
    </font>
    <font>
      <sz val="8.5"/>
      <color theme="1"/>
      <name val="Noto Sans"/>
      <family val="2"/>
    </font>
    <font>
      <sz val="8.5"/>
      <color theme="1" tint="4.9989318521683403E-2"/>
      <name val="Noto Sans"/>
      <family val="2"/>
    </font>
    <font>
      <sz val="8.5"/>
      <color theme="1" tint="0.14999847407452621"/>
      <name val="Noto Sans"/>
      <family val="2"/>
    </font>
    <font>
      <sz val="10"/>
      <name val="Noto Sans"/>
      <family val="2"/>
    </font>
    <font>
      <u/>
      <sz val="10"/>
      <color theme="10"/>
      <name val="Noto Sans"/>
      <family val="2"/>
    </font>
    <font>
      <u/>
      <sz val="10"/>
      <color theme="11"/>
      <name val="Noto Sans"/>
      <family val="2"/>
    </font>
    <font>
      <sz val="6"/>
      <name val="Noto Sans"/>
      <family val="2"/>
    </font>
    <font>
      <sz val="7"/>
      <color theme="0"/>
      <name val="Noto sans"/>
      <family val="2"/>
    </font>
    <font>
      <sz val="8"/>
      <color theme="0"/>
      <name val="Noto sans"/>
      <family val="2"/>
    </font>
    <font>
      <b/>
      <u/>
      <sz val="10"/>
      <color theme="10"/>
      <name val="Noto Sans"/>
      <family val="2"/>
    </font>
    <font>
      <b/>
      <u/>
      <sz val="8.4"/>
      <color theme="10"/>
      <name val="Noto Sans"/>
      <family val="2"/>
    </font>
    <font>
      <b/>
      <u/>
      <sz val="17"/>
      <name val="Noto Sans"/>
      <family val="2"/>
    </font>
    <font>
      <b/>
      <u/>
      <sz val="15"/>
      <name val="Noto Sans"/>
      <family val="2"/>
    </font>
    <font>
      <b/>
      <u/>
      <sz val="7"/>
      <color theme="1"/>
      <name val="Noto Sans"/>
      <family val="2"/>
    </font>
    <font>
      <b/>
      <u/>
      <sz val="7"/>
      <color theme="1" tint="0.14999847407452621"/>
      <name val="Noto Sans"/>
      <family val="2"/>
    </font>
    <font>
      <b/>
      <sz val="7.5"/>
      <color theme="1"/>
      <name val="Noto Sans"/>
      <family val="2"/>
    </font>
    <font>
      <sz val="8.5"/>
      <name val="Noto Sans"/>
      <family val="2"/>
    </font>
    <font>
      <b/>
      <sz val="8"/>
      <color rgb="FF000000"/>
      <name val="Noto Sans"/>
      <family val="2"/>
    </font>
    <font>
      <i/>
      <sz val="8"/>
      <color rgb="FF262626"/>
      <name val="Noto Sans"/>
      <family val="2"/>
    </font>
    <font>
      <b/>
      <sz val="11"/>
      <color rgb="FF00B050"/>
      <name val="Noto Sans"/>
      <family val="2"/>
    </font>
    <font>
      <b/>
      <sz val="11"/>
      <color rgb="FF0D0D0D"/>
      <name val="Noto Sans"/>
      <family val="2"/>
    </font>
    <font>
      <b/>
      <sz val="8"/>
      <name val="Arial"/>
      <family val="2"/>
    </font>
    <font>
      <b/>
      <i/>
      <sz val="8"/>
      <color rgb="FF262626"/>
      <name val="Noto Sans"/>
      <family val="2"/>
    </font>
    <font>
      <sz val="7"/>
      <color theme="0" tint="-0.499984740745262"/>
      <name val="Noto Sans"/>
      <family val="2"/>
    </font>
    <font>
      <b/>
      <sz val="7"/>
      <color theme="0" tint="-0.499984740745262"/>
      <name val="Noto Sans"/>
      <family val="2"/>
    </font>
  </fonts>
  <fills count="11">
    <fill>
      <patternFill patternType="none"/>
    </fill>
    <fill>
      <patternFill patternType="gray125"/>
    </fill>
    <fill>
      <patternFill patternType="solid">
        <fgColor theme="9" tint="0.79998168889431442"/>
        <bgColor indexed="64"/>
      </patternFill>
    </fill>
    <fill>
      <patternFill patternType="solid">
        <fgColor rgb="FFFFC000"/>
        <bgColor indexed="64"/>
      </patternFill>
    </fill>
    <fill>
      <patternFill patternType="solid">
        <fgColor theme="8" tint="0.79998168889431442"/>
        <bgColor indexed="64"/>
      </patternFill>
    </fill>
    <fill>
      <patternFill patternType="solid">
        <fgColor rgb="FFFFFFCC"/>
        <bgColor indexed="64"/>
      </patternFill>
    </fill>
    <fill>
      <patternFill patternType="solid">
        <fgColor rgb="FFFFCCCC"/>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0"/>
        <bgColor indexed="64"/>
      </patternFill>
    </fill>
  </fills>
  <borders count="3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indexed="64"/>
      </right>
      <top/>
      <bottom style="medium">
        <color rgb="FF000000"/>
      </bottom>
      <diagonal/>
    </border>
    <border>
      <left/>
      <right style="medium">
        <color indexed="64"/>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indexed="64"/>
      </bottom>
      <diagonal/>
    </border>
  </borders>
  <cellStyleXfs count="13">
    <xf numFmtId="0" fontId="0" fillId="0" borderId="0"/>
    <xf numFmtId="0" fontId="277" fillId="0" borderId="0" applyNumberFormat="0" applyFill="0" applyBorder="0" applyAlignment="0" applyProtection="0"/>
    <xf numFmtId="166" fontId="5" fillId="0" borderId="0" applyFont="0" applyFill="0" applyBorder="0" applyAlignment="0" applyProtection="0"/>
    <xf numFmtId="0" fontId="2" fillId="0" borderId="0"/>
    <xf numFmtId="9" fontId="5" fillId="0" borderId="0" applyFont="0" applyFill="0" applyBorder="0" applyAlignment="0" applyProtection="0"/>
    <xf numFmtId="0" fontId="14" fillId="0" borderId="0"/>
    <xf numFmtId="0" fontId="15" fillId="0" borderId="0"/>
    <xf numFmtId="0" fontId="277" fillId="0" borderId="0" applyNumberFormat="0" applyFill="0" applyBorder="0" applyAlignment="0" applyProtection="0"/>
    <xf numFmtId="44" fontId="5" fillId="0" borderId="0" applyFont="0" applyFill="0" applyBorder="0" applyAlignment="0" applyProtection="0"/>
    <xf numFmtId="0" fontId="1" fillId="0" borderId="0"/>
    <xf numFmtId="0" fontId="14" fillId="0" borderId="0"/>
    <xf numFmtId="44" fontId="5" fillId="0" borderId="0" applyFont="0" applyFill="0" applyBorder="0" applyAlignment="0" applyProtection="0"/>
    <xf numFmtId="0" fontId="278" fillId="0" borderId="0" applyNumberFormat="0" applyFill="0" applyBorder="0" applyAlignment="0" applyProtection="0"/>
  </cellStyleXfs>
  <cellXfs count="1373">
    <xf numFmtId="0" fontId="0" fillId="0" borderId="0" xfId="0"/>
    <xf numFmtId="0" fontId="7" fillId="0" borderId="0" xfId="0" applyFont="1" applyAlignment="1">
      <alignment horizontal="center" vertical="center"/>
    </xf>
    <xf numFmtId="0" fontId="6" fillId="0" borderId="0" xfId="0" applyFont="1" applyAlignment="1">
      <alignment horizontal="center" vertical="center"/>
    </xf>
    <xf numFmtId="0" fontId="6" fillId="0" borderId="0" xfId="0" applyFont="1" applyAlignment="1">
      <alignment horizontal="left" vertical="center"/>
    </xf>
    <xf numFmtId="0" fontId="7" fillId="0" borderId="0" xfId="0" applyFont="1" applyAlignment="1">
      <alignment horizontal="right" vertical="center"/>
    </xf>
    <xf numFmtId="0" fontId="0" fillId="0" borderId="0" xfId="0" applyAlignment="1">
      <alignment vertical="center"/>
    </xf>
    <xf numFmtId="0" fontId="8" fillId="0" borderId="0" xfId="0" applyFont="1" applyAlignment="1">
      <alignment horizontal="center" vertical="center"/>
    </xf>
    <xf numFmtId="0" fontId="13"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vertical="center"/>
    </xf>
    <xf numFmtId="0" fontId="20" fillId="0" borderId="0" xfId="0" applyFont="1"/>
    <xf numFmtId="0" fontId="19" fillId="0" borderId="0" xfId="0" applyFont="1" applyAlignment="1">
      <alignment vertical="center"/>
    </xf>
    <xf numFmtId="0" fontId="20" fillId="0" borderId="0" xfId="0" applyFont="1" applyAlignment="1">
      <alignment vertical="center"/>
    </xf>
    <xf numFmtId="0" fontId="22" fillId="0" borderId="0" xfId="0" applyFont="1" applyAlignment="1">
      <alignment horizontal="center" vertical="center"/>
    </xf>
    <xf numFmtId="0" fontId="17" fillId="0" borderId="0" xfId="0" applyFont="1"/>
    <xf numFmtId="0" fontId="23" fillId="0" borderId="0" xfId="0" applyFont="1"/>
    <xf numFmtId="0" fontId="18" fillId="0" borderId="0" xfId="0" applyFont="1" applyAlignment="1">
      <alignment vertical="center"/>
    </xf>
    <xf numFmtId="0" fontId="0" fillId="0" borderId="0" xfId="0" applyAlignment="1">
      <alignment horizontal="center" vertical="center"/>
    </xf>
    <xf numFmtId="0" fontId="19" fillId="0" borderId="0" xfId="0" applyFont="1" applyAlignment="1">
      <alignment horizontal="center" vertical="center"/>
    </xf>
    <xf numFmtId="0" fontId="19" fillId="0" borderId="0" xfId="0" applyFont="1" applyAlignment="1">
      <alignment vertical="center" wrapText="1"/>
    </xf>
    <xf numFmtId="0" fontId="3" fillId="0" borderId="0" xfId="0" applyFont="1" applyAlignment="1">
      <alignment horizontal="right" vertical="center"/>
    </xf>
    <xf numFmtId="15" fontId="19" fillId="0" borderId="0" xfId="0" applyNumberFormat="1" applyFont="1" applyAlignment="1">
      <alignment vertical="center"/>
    </xf>
    <xf numFmtId="0" fontId="24" fillId="0" borderId="10" xfId="0" applyFont="1" applyBorder="1" applyAlignment="1">
      <alignment horizontal="center" vertical="center"/>
    </xf>
    <xf numFmtId="0" fontId="24" fillId="0" borderId="3" xfId="0" applyFont="1" applyBorder="1" applyAlignment="1">
      <alignment horizontal="center" vertical="center" wrapText="1"/>
    </xf>
    <xf numFmtId="0" fontId="24" fillId="0" borderId="1" xfId="0" applyFont="1" applyBorder="1" applyAlignment="1">
      <alignment horizontal="left" vertical="center"/>
    </xf>
    <xf numFmtId="0" fontId="24" fillId="0" borderId="2" xfId="0" applyFont="1" applyBorder="1" applyAlignment="1">
      <alignment horizontal="left" vertical="center"/>
    </xf>
    <xf numFmtId="0" fontId="25" fillId="0" borderId="2" xfId="0" applyFont="1" applyBorder="1" applyAlignment="1">
      <alignment vertical="center"/>
    </xf>
    <xf numFmtId="0" fontId="26" fillId="0" borderId="2" xfId="0" applyFont="1" applyBorder="1" applyAlignment="1">
      <alignment horizontal="center" vertical="center" wrapText="1"/>
    </xf>
    <xf numFmtId="0" fontId="27" fillId="0" borderId="13" xfId="0" applyFont="1" applyBorder="1" applyAlignment="1">
      <alignment horizontal="left" vertical="center"/>
    </xf>
    <xf numFmtId="0" fontId="27" fillId="0" borderId="0" xfId="0" applyFont="1" applyAlignment="1">
      <alignment vertical="center"/>
    </xf>
    <xf numFmtId="0" fontId="27" fillId="0" borderId="5" xfId="0" applyFont="1" applyBorder="1" applyAlignment="1">
      <alignment vertical="center"/>
    </xf>
    <xf numFmtId="0" fontId="31" fillId="0" borderId="5" xfId="0" applyFont="1" applyBorder="1" applyAlignment="1">
      <alignment horizontal="center" vertical="center" wrapText="1"/>
    </xf>
    <xf numFmtId="0" fontId="27" fillId="0" borderId="15" xfId="0" applyFont="1" applyBorder="1" applyAlignment="1">
      <alignment horizontal="left" vertical="center"/>
    </xf>
    <xf numFmtId="0" fontId="29" fillId="0" borderId="11" xfId="0" applyFont="1" applyBorder="1" applyAlignment="1">
      <alignment horizontal="left" vertical="center"/>
    </xf>
    <xf numFmtId="0" fontId="33" fillId="0" borderId="0" xfId="0" applyFont="1" applyAlignment="1">
      <alignment horizontal="center" vertical="center" wrapText="1"/>
    </xf>
    <xf numFmtId="0" fontId="34" fillId="0" borderId="0" xfId="0" applyFont="1" applyAlignment="1">
      <alignment vertical="center"/>
    </xf>
    <xf numFmtId="0" fontId="31" fillId="0" borderId="0" xfId="0" applyFont="1" applyAlignment="1">
      <alignment horizontal="center" vertical="center" wrapText="1"/>
    </xf>
    <xf numFmtId="0" fontId="35" fillId="0" borderId="15" xfId="0" applyFont="1" applyBorder="1" applyAlignment="1">
      <alignment vertical="center"/>
    </xf>
    <xf numFmtId="0" fontId="36" fillId="0" borderId="15" xfId="0" quotePrefix="1" applyFont="1" applyBorder="1" applyAlignment="1">
      <alignment horizontal="center" vertical="center"/>
    </xf>
    <xf numFmtId="0" fontId="34" fillId="0" borderId="11" xfId="0" applyFont="1" applyBorder="1" applyAlignment="1">
      <alignment horizontal="left" vertical="center"/>
    </xf>
    <xf numFmtId="0" fontId="36" fillId="0" borderId="15" xfId="0" applyFont="1" applyBorder="1" applyAlignment="1">
      <alignment horizontal="center" vertical="center"/>
    </xf>
    <xf numFmtId="0" fontId="27" fillId="0" borderId="11" xfId="0" applyFont="1" applyBorder="1" applyAlignment="1">
      <alignment vertical="center"/>
    </xf>
    <xf numFmtId="0" fontId="37" fillId="0" borderId="11" xfId="0" applyFont="1" applyBorder="1" applyAlignment="1">
      <alignment horizontal="left" vertical="center"/>
    </xf>
    <xf numFmtId="0" fontId="38" fillId="0" borderId="0" xfId="0" applyFont="1" applyAlignment="1">
      <alignment vertical="center"/>
    </xf>
    <xf numFmtId="0" fontId="39" fillId="0" borderId="11" xfId="0" applyFont="1" applyBorder="1" applyAlignment="1">
      <alignment horizontal="left" vertical="center"/>
    </xf>
    <xf numFmtId="0" fontId="38" fillId="0" borderId="11" xfId="0" applyFont="1" applyBorder="1" applyAlignment="1">
      <alignment horizontal="left" vertical="center"/>
    </xf>
    <xf numFmtId="0" fontId="41" fillId="0" borderId="11" xfId="0" applyFont="1" applyBorder="1" applyAlignment="1">
      <alignment horizontal="left" vertical="center"/>
    </xf>
    <xf numFmtId="0" fontId="29" fillId="0" borderId="7" xfId="0" applyFont="1" applyBorder="1" applyAlignment="1">
      <alignment horizontal="left" vertical="center"/>
    </xf>
    <xf numFmtId="0" fontId="27" fillId="0" borderId="8" xfId="0" applyFont="1" applyBorder="1" applyAlignment="1">
      <alignment vertical="center"/>
    </xf>
    <xf numFmtId="0" fontId="25" fillId="0" borderId="1" xfId="0" applyFont="1" applyBorder="1" applyAlignment="1">
      <alignment vertical="center"/>
    </xf>
    <xf numFmtId="0" fontId="24" fillId="0" borderId="2" xfId="0" applyFont="1" applyBorder="1" applyAlignment="1">
      <alignment horizontal="center" vertical="center" wrapText="1"/>
    </xf>
    <xf numFmtId="0" fontId="25" fillId="0" borderId="2" xfId="0" applyFont="1" applyBorder="1" applyAlignment="1">
      <alignment horizontal="center" vertical="center" wrapText="1"/>
    </xf>
    <xf numFmtId="0" fontId="25" fillId="0" borderId="2" xfId="0" applyFont="1" applyBorder="1" applyAlignment="1">
      <alignment horizontal="center" vertical="center"/>
    </xf>
    <xf numFmtId="0" fontId="30" fillId="0" borderId="5" xfId="0" applyFont="1" applyBorder="1" applyAlignment="1">
      <alignment vertical="center"/>
    </xf>
    <xf numFmtId="0" fontId="42" fillId="0" borderId="5" xfId="1" applyFont="1" applyFill="1" applyBorder="1" applyAlignment="1">
      <alignment horizontal="center" vertical="center"/>
    </xf>
    <xf numFmtId="0" fontId="27" fillId="0" borderId="5" xfId="0" applyFont="1" applyBorder="1" applyAlignment="1">
      <alignment horizontal="center" vertical="center"/>
    </xf>
    <xf numFmtId="0" fontId="31" fillId="0" borderId="5" xfId="0" applyFont="1" applyBorder="1" applyAlignment="1">
      <alignment horizontal="right" vertical="center"/>
    </xf>
    <xf numFmtId="0" fontId="43" fillId="0" borderId="0" xfId="0" applyFont="1" applyAlignment="1">
      <alignment horizontal="center" vertical="center"/>
    </xf>
    <xf numFmtId="0" fontId="27" fillId="0" borderId="0" xfId="0" applyFont="1" applyAlignment="1">
      <alignment horizontal="left" vertical="center"/>
    </xf>
    <xf numFmtId="0" fontId="27" fillId="0" borderId="0" xfId="0" applyFont="1" applyAlignment="1">
      <alignment horizontal="center" vertical="center"/>
    </xf>
    <xf numFmtId="0" fontId="31" fillId="0" borderId="0" xfId="0" applyFont="1" applyAlignment="1">
      <alignment horizontal="right" vertical="center"/>
    </xf>
    <xf numFmtId="0" fontId="30" fillId="0" borderId="0" xfId="0" applyFont="1" applyAlignment="1">
      <alignment vertical="center"/>
    </xf>
    <xf numFmtId="0" fontId="42" fillId="0" borderId="0" xfId="1" applyFont="1" applyFill="1" applyBorder="1" applyAlignment="1">
      <alignment horizontal="center" vertical="center"/>
    </xf>
    <xf numFmtId="0" fontId="27" fillId="0" borderId="0" xfId="1" applyFont="1" applyFill="1" applyBorder="1" applyAlignment="1">
      <alignment horizontal="left" vertical="center"/>
    </xf>
    <xf numFmtId="0" fontId="24" fillId="0" borderId="2" xfId="0" applyFont="1" applyBorder="1" applyAlignment="1">
      <alignment horizontal="center" vertical="center"/>
    </xf>
    <xf numFmtId="0" fontId="44" fillId="0" borderId="0" xfId="0" applyFont="1" applyAlignment="1">
      <alignment vertical="center"/>
    </xf>
    <xf numFmtId="0" fontId="45" fillId="0" borderId="0" xfId="0" applyFont="1" applyAlignment="1">
      <alignment horizontal="right" vertical="center"/>
    </xf>
    <xf numFmtId="0" fontId="46" fillId="0" borderId="0" xfId="0" applyFont="1" applyAlignment="1">
      <alignment vertical="center"/>
    </xf>
    <xf numFmtId="0" fontId="29" fillId="0" borderId="0" xfId="0" applyFont="1" applyAlignment="1">
      <alignment horizontal="right" vertical="center"/>
    </xf>
    <xf numFmtId="0" fontId="35" fillId="0" borderId="0" xfId="0" applyFont="1" applyAlignment="1">
      <alignment horizontal="center" vertical="center"/>
    </xf>
    <xf numFmtId="0" fontId="47" fillId="0" borderId="0" xfId="0" applyFont="1" applyAlignment="1">
      <alignment horizontal="right" vertical="center"/>
    </xf>
    <xf numFmtId="0" fontId="47" fillId="0" borderId="0" xfId="0" applyFont="1" applyAlignment="1">
      <alignment vertical="center"/>
    </xf>
    <xf numFmtId="0" fontId="35" fillId="0" borderId="0" xfId="0" applyFont="1" applyAlignment="1">
      <alignment horizontal="right" vertical="center"/>
    </xf>
    <xf numFmtId="0" fontId="35" fillId="0" borderId="0" xfId="0" applyFont="1" applyAlignment="1">
      <alignment vertical="center"/>
    </xf>
    <xf numFmtId="0" fontId="27" fillId="0" borderId="0" xfId="0" applyFont="1" applyAlignment="1">
      <alignment horizontal="right" vertical="center"/>
    </xf>
    <xf numFmtId="0" fontId="49" fillId="0" borderId="0" xfId="0" applyFont="1" applyAlignment="1">
      <alignment horizontal="center" vertical="center"/>
    </xf>
    <xf numFmtId="0" fontId="50" fillId="0" borderId="0" xfId="0" applyFont="1" applyAlignment="1">
      <alignment horizontal="right" vertical="center"/>
    </xf>
    <xf numFmtId="0" fontId="51" fillId="0" borderId="0" xfId="0" applyFont="1" applyAlignment="1">
      <alignment vertical="center"/>
    </xf>
    <xf numFmtId="0" fontId="52" fillId="0" borderId="0" xfId="0" applyFont="1" applyAlignment="1">
      <alignment horizontal="right" vertical="center"/>
    </xf>
    <xf numFmtId="0" fontId="48" fillId="0" borderId="0" xfId="0" applyFont="1" applyAlignment="1">
      <alignment vertical="center"/>
    </xf>
    <xf numFmtId="0" fontId="27" fillId="0" borderId="1" xfId="0" applyFont="1" applyBorder="1" applyAlignment="1">
      <alignment vertical="center" wrapText="1"/>
    </xf>
    <xf numFmtId="0" fontId="53" fillId="0" borderId="2" xfId="0" applyFont="1" applyBorder="1" applyAlignment="1">
      <alignment horizontal="center" vertical="center"/>
    </xf>
    <xf numFmtId="0" fontId="27" fillId="0" borderId="2" xfId="0" applyFont="1" applyBorder="1" applyAlignment="1">
      <alignment vertical="center"/>
    </xf>
    <xf numFmtId="0" fontId="54" fillId="0" borderId="2" xfId="0" applyFont="1" applyBorder="1" applyAlignment="1">
      <alignment horizontal="right" vertical="center"/>
    </xf>
    <xf numFmtId="0" fontId="46" fillId="0" borderId="2" xfId="0" applyFont="1" applyBorder="1" applyAlignment="1">
      <alignment vertical="center"/>
    </xf>
    <xf numFmtId="0" fontId="56" fillId="0" borderId="0" xfId="0" applyFont="1" applyAlignment="1">
      <alignment horizontal="right" vertical="center"/>
    </xf>
    <xf numFmtId="0" fontId="54" fillId="0" borderId="0" xfId="0" applyFont="1" applyAlignment="1">
      <alignment vertical="center"/>
    </xf>
    <xf numFmtId="0" fontId="55" fillId="0" borderId="0" xfId="0" applyFont="1" applyAlignment="1">
      <alignment horizontal="center" vertical="center"/>
    </xf>
    <xf numFmtId="0" fontId="54" fillId="0" borderId="0" xfId="0" applyFont="1" applyAlignment="1">
      <alignment horizontal="center" vertical="center" wrapText="1"/>
    </xf>
    <xf numFmtId="0" fontId="54" fillId="0" borderId="0" xfId="0" applyFont="1" applyAlignment="1">
      <alignment horizontal="center" vertical="center"/>
    </xf>
    <xf numFmtId="0" fontId="27" fillId="0" borderId="0" xfId="0" applyFont="1" applyAlignment="1">
      <alignment horizontal="center" vertical="center" wrapText="1"/>
    </xf>
    <xf numFmtId="0" fontId="57" fillId="0" borderId="0" xfId="0" applyFont="1" applyAlignment="1">
      <alignment horizontal="right" vertical="center"/>
    </xf>
    <xf numFmtId="0" fontId="48" fillId="0" borderId="0" xfId="0" applyFont="1" applyAlignment="1">
      <alignment horizontal="right" vertical="center"/>
    </xf>
    <xf numFmtId="0" fontId="58" fillId="0" borderId="0" xfId="0" applyFont="1" applyAlignment="1">
      <alignment vertical="center" wrapText="1"/>
    </xf>
    <xf numFmtId="0" fontId="35" fillId="0" borderId="0" xfId="0" quotePrefix="1" applyFont="1" applyAlignment="1">
      <alignment vertical="center"/>
    </xf>
    <xf numFmtId="0" fontId="59" fillId="0" borderId="0" xfId="0" applyFont="1" applyAlignment="1">
      <alignment vertical="center"/>
    </xf>
    <xf numFmtId="0" fontId="56" fillId="0" borderId="0" xfId="0" applyFont="1" applyAlignment="1">
      <alignment vertical="center"/>
    </xf>
    <xf numFmtId="0" fontId="44" fillId="0" borderId="0" xfId="0" quotePrefix="1" applyFont="1" applyAlignment="1">
      <alignment vertical="center"/>
    </xf>
    <xf numFmtId="0" fontId="37" fillId="0" borderId="0" xfId="0" applyFont="1" applyAlignment="1">
      <alignment horizontal="left" vertical="center"/>
    </xf>
    <xf numFmtId="0" fontId="39" fillId="0" borderId="0" xfId="0" applyFont="1" applyAlignment="1">
      <alignment horizontal="left" vertical="center"/>
    </xf>
    <xf numFmtId="0" fontId="41" fillId="0" borderId="0" xfId="0" applyFont="1" applyAlignment="1">
      <alignment horizontal="left" vertical="center"/>
    </xf>
    <xf numFmtId="0" fontId="60" fillId="0" borderId="0" xfId="0" applyFont="1" applyAlignment="1">
      <alignment vertical="center"/>
    </xf>
    <xf numFmtId="0" fontId="61" fillId="0" borderId="0" xfId="0" applyFont="1" applyAlignment="1">
      <alignment vertical="center" wrapText="1"/>
    </xf>
    <xf numFmtId="0" fontId="55" fillId="0" borderId="2" xfId="0" applyFont="1" applyBorder="1" applyAlignment="1">
      <alignment horizontal="right" vertical="center"/>
    </xf>
    <xf numFmtId="0" fontId="27" fillId="0" borderId="0" xfId="0" applyFont="1" applyAlignment="1">
      <alignment vertical="center" wrapText="1"/>
    </xf>
    <xf numFmtId="0" fontId="53" fillId="0" borderId="0" xfId="0" applyFont="1" applyAlignment="1">
      <alignment horizontal="center" vertical="center"/>
    </xf>
    <xf numFmtId="0" fontId="54" fillId="0" borderId="0" xfId="0" applyFont="1" applyAlignment="1">
      <alignment horizontal="right" vertical="center"/>
    </xf>
    <xf numFmtId="0" fontId="55" fillId="0" borderId="0" xfId="0" applyFont="1" applyAlignment="1">
      <alignment horizontal="right" vertical="center"/>
    </xf>
    <xf numFmtId="0" fontId="62" fillId="0" borderId="4" xfId="0" applyFont="1" applyBorder="1" applyAlignment="1">
      <alignment vertical="center" wrapText="1"/>
    </xf>
    <xf numFmtId="0" fontId="63" fillId="0" borderId="5" xfId="0" applyFont="1" applyBorder="1" applyAlignment="1">
      <alignment horizontal="center" vertical="center" wrapText="1"/>
    </xf>
    <xf numFmtId="0" fontId="29" fillId="0" borderId="5" xfId="0" applyFont="1" applyBorder="1" applyAlignment="1">
      <alignment vertical="center"/>
    </xf>
    <xf numFmtId="0" fontId="45" fillId="0" borderId="5" xfId="0" applyFont="1" applyBorder="1" applyAlignment="1">
      <alignment horizontal="right" vertical="center"/>
    </xf>
    <xf numFmtId="0" fontId="46" fillId="0" borderId="5" xfId="0" applyFont="1" applyBorder="1" applyAlignment="1">
      <alignment vertical="center"/>
    </xf>
    <xf numFmtId="0" fontId="30" fillId="0" borderId="11" xfId="0" applyFont="1" applyBorder="1" applyAlignment="1">
      <alignment vertical="center" wrapText="1"/>
    </xf>
    <xf numFmtId="49" fontId="29" fillId="0" borderId="0" xfId="0" applyNumberFormat="1" applyFont="1" applyAlignment="1">
      <alignment horizontal="center" vertical="center"/>
    </xf>
    <xf numFmtId="0" fontId="27" fillId="0" borderId="12" xfId="0" applyFont="1" applyBorder="1" applyAlignment="1">
      <alignment vertical="center"/>
    </xf>
    <xf numFmtId="0" fontId="30" fillId="0" borderId="7" xfId="0" applyFont="1" applyBorder="1" applyAlignment="1">
      <alignment vertical="center" wrapText="1"/>
    </xf>
    <xf numFmtId="0" fontId="27" fillId="0" borderId="8" xfId="0" applyFont="1" applyBorder="1" applyAlignment="1">
      <alignment horizontal="center" vertical="center"/>
    </xf>
    <xf numFmtId="0" fontId="29" fillId="0" borderId="8" xfId="0" applyFont="1" applyBorder="1" applyAlignment="1">
      <alignment horizontal="center" vertical="center"/>
    </xf>
    <xf numFmtId="0" fontId="46" fillId="0" borderId="8" xfId="0" applyFont="1" applyBorder="1" applyAlignment="1">
      <alignment vertical="center"/>
    </xf>
    <xf numFmtId="0" fontId="30" fillId="0" borderId="0" xfId="0" applyFont="1" applyAlignment="1">
      <alignment vertical="center" wrapText="1"/>
    </xf>
    <xf numFmtId="0" fontId="58" fillId="0" borderId="11" xfId="0" applyFont="1" applyBorder="1" applyAlignment="1">
      <alignment horizontal="left" vertical="center" wrapText="1"/>
    </xf>
    <xf numFmtId="0" fontId="29" fillId="0" borderId="0" xfId="0" applyFont="1" applyAlignment="1">
      <alignment horizontal="center" vertical="center"/>
    </xf>
    <xf numFmtId="0" fontId="27" fillId="0" borderId="13" xfId="0" applyFont="1" applyBorder="1" applyAlignment="1">
      <alignment horizontal="center" vertical="center"/>
    </xf>
    <xf numFmtId="0" fontId="27" fillId="0" borderId="15" xfId="0" applyFont="1" applyBorder="1" applyAlignment="1">
      <alignment horizontal="center" vertical="center"/>
    </xf>
    <xf numFmtId="0" fontId="27" fillId="0" borderId="14" xfId="0" applyFont="1" applyBorder="1" applyAlignment="1">
      <alignment horizontal="center" vertical="center"/>
    </xf>
    <xf numFmtId="0" fontId="27" fillId="0" borderId="0" xfId="0" quotePrefix="1" applyFont="1" applyAlignment="1">
      <alignment horizontal="center" vertical="center"/>
    </xf>
    <xf numFmtId="0" fontId="58" fillId="0" borderId="7" xfId="0" applyFont="1" applyBorder="1" applyAlignment="1">
      <alignment horizontal="left" vertical="center" wrapText="1"/>
    </xf>
    <xf numFmtId="0" fontId="58" fillId="0" borderId="0" xfId="0" applyFont="1" applyAlignment="1">
      <alignment horizontal="left" vertical="center" wrapText="1"/>
    </xf>
    <xf numFmtId="0" fontId="29" fillId="0" borderId="0" xfId="0" applyFont="1" applyAlignment="1">
      <alignment vertical="center"/>
    </xf>
    <xf numFmtId="0" fontId="62" fillId="0" borderId="4" xfId="0" applyFont="1" applyBorder="1" applyAlignment="1">
      <alignment vertical="center"/>
    </xf>
    <xf numFmtId="0" fontId="58" fillId="0" borderId="0" xfId="0" applyFont="1" applyAlignment="1">
      <alignment horizontal="right" vertical="center" wrapText="1"/>
    </xf>
    <xf numFmtId="0" fontId="45" fillId="0" borderId="5" xfId="0" applyFont="1" applyBorder="1" applyAlignment="1">
      <alignment horizontal="center" vertical="center"/>
    </xf>
    <xf numFmtId="0" fontId="58" fillId="0" borderId="11" xfId="0" applyFont="1" applyBorder="1" applyAlignment="1">
      <alignment vertical="center" wrapText="1"/>
    </xf>
    <xf numFmtId="0" fontId="58" fillId="0" borderId="11" xfId="0" applyFont="1" applyBorder="1" applyAlignment="1">
      <alignment vertical="center"/>
    </xf>
    <xf numFmtId="0" fontId="58" fillId="0" borderId="7" xfId="0" applyFont="1" applyBorder="1" applyAlignment="1">
      <alignment vertical="center"/>
    </xf>
    <xf numFmtId="0" fontId="35" fillId="0" borderId="8" xfId="0" applyFont="1" applyBorder="1" applyAlignment="1">
      <alignment horizontal="center" vertical="center"/>
    </xf>
    <xf numFmtId="0" fontId="31" fillId="0" borderId="0" xfId="0" applyFont="1" applyAlignment="1">
      <alignment vertical="center"/>
    </xf>
    <xf numFmtId="0" fontId="24" fillId="0" borderId="10" xfId="0" applyFont="1" applyBorder="1" applyAlignment="1">
      <alignment vertical="center"/>
    </xf>
    <xf numFmtId="0" fontId="55" fillId="0" borderId="2" xfId="0" applyFont="1" applyBorder="1" applyAlignment="1">
      <alignment horizontal="center" vertical="center"/>
    </xf>
    <xf numFmtId="0" fontId="55" fillId="0" borderId="2" xfId="0" applyFont="1" applyBorder="1" applyAlignment="1">
      <alignment horizontal="center" vertical="center" wrapText="1"/>
    </xf>
    <xf numFmtId="0" fontId="55" fillId="0" borderId="2" xfId="0" applyFont="1" applyBorder="1" applyAlignment="1">
      <alignment vertical="center"/>
    </xf>
    <xf numFmtId="0" fontId="64" fillId="0" borderId="1" xfId="1" applyFont="1" applyFill="1" applyBorder="1" applyAlignment="1">
      <alignment horizontal="left" vertical="center"/>
    </xf>
    <xf numFmtId="0" fontId="26" fillId="0" borderId="2" xfId="0" applyFont="1" applyBorder="1" applyAlignment="1">
      <alignment vertical="center"/>
    </xf>
    <xf numFmtId="0" fontId="65" fillId="0" borderId="2" xfId="0" applyFont="1" applyBorder="1" applyAlignment="1">
      <alignment horizontal="center" vertical="center" wrapText="1"/>
    </xf>
    <xf numFmtId="0" fontId="67" fillId="0" borderId="0" xfId="1" applyFont="1" applyFill="1" applyBorder="1" applyAlignment="1">
      <alignment horizontal="left" vertical="center"/>
    </xf>
    <xf numFmtId="0" fontId="68" fillId="0" borderId="0" xfId="0" applyFont="1" applyAlignment="1">
      <alignment horizontal="center" vertical="center"/>
    </xf>
    <xf numFmtId="0" fontId="69" fillId="0" borderId="0" xfId="0" applyFont="1" applyAlignment="1">
      <alignment horizontal="center" vertical="center"/>
    </xf>
    <xf numFmtId="0" fontId="70" fillId="0" borderId="0" xfId="1" applyFont="1" applyFill="1" applyBorder="1" applyAlignment="1">
      <alignment horizontal="center" vertical="center"/>
    </xf>
    <xf numFmtId="0" fontId="71" fillId="0" borderId="0" xfId="0" applyFont="1" applyAlignment="1">
      <alignment horizontal="center" vertical="center"/>
    </xf>
    <xf numFmtId="0" fontId="72" fillId="0" borderId="0" xfId="0" applyFont="1" applyAlignment="1">
      <alignment horizontal="center" vertical="center"/>
    </xf>
    <xf numFmtId="0" fontId="73" fillId="0" borderId="0" xfId="0" applyFont="1" applyAlignment="1">
      <alignment horizontal="center" vertical="center" wrapText="1"/>
    </xf>
    <xf numFmtId="0" fontId="72" fillId="0" borderId="0" xfId="0" quotePrefix="1" applyFont="1" applyAlignment="1">
      <alignment horizontal="center" vertical="center"/>
    </xf>
    <xf numFmtId="0" fontId="76" fillId="0" borderId="13" xfId="0" applyFont="1" applyBorder="1" applyAlignment="1">
      <alignment vertical="center"/>
    </xf>
    <xf numFmtId="0" fontId="77" fillId="0" borderId="0" xfId="0" applyFont="1" applyAlignment="1">
      <alignment horizontal="center" vertical="center"/>
    </xf>
    <xf numFmtId="0" fontId="78" fillId="0" borderId="14" xfId="0" applyFont="1" applyBorder="1" applyAlignment="1">
      <alignment vertical="center"/>
    </xf>
    <xf numFmtId="0" fontId="37" fillId="0" borderId="0" xfId="0" applyFont="1" applyAlignment="1">
      <alignment horizontal="center" vertical="center"/>
    </xf>
    <xf numFmtId="0" fontId="31" fillId="0" borderId="0" xfId="0" quotePrefix="1" applyFont="1" applyAlignment="1">
      <alignment horizontal="center" vertical="center" wrapText="1"/>
    </xf>
    <xf numFmtId="165" fontId="31" fillId="0" borderId="0" xfId="0" applyNumberFormat="1" applyFont="1" applyAlignment="1">
      <alignment horizontal="right" vertical="center" wrapText="1"/>
    </xf>
    <xf numFmtId="0" fontId="38" fillId="0" borderId="0" xfId="0" applyFont="1" applyAlignment="1">
      <alignment horizontal="center" vertical="center"/>
    </xf>
    <xf numFmtId="0" fontId="79" fillId="0" borderId="0" xfId="0" applyFont="1" applyAlignment="1">
      <alignment horizontal="left" vertical="center"/>
    </xf>
    <xf numFmtId="0" fontId="39" fillId="0" borderId="0" xfId="0" applyFont="1" applyAlignment="1">
      <alignment horizontal="center" vertical="center"/>
    </xf>
    <xf numFmtId="0" fontId="72" fillId="0" borderId="0" xfId="0" applyFont="1" applyAlignment="1">
      <alignment vertical="center"/>
    </xf>
    <xf numFmtId="0" fontId="72" fillId="0" borderId="0" xfId="0" quotePrefix="1" applyFont="1" applyAlignment="1">
      <alignment horizontal="left" vertical="center" wrapText="1"/>
    </xf>
    <xf numFmtId="0" fontId="80" fillId="0" borderId="0" xfId="0" applyFont="1" applyAlignment="1">
      <alignment vertical="center"/>
    </xf>
    <xf numFmtId="165" fontId="33" fillId="0" borderId="0" xfId="0" applyNumberFormat="1" applyFont="1" applyAlignment="1">
      <alignment horizontal="right" vertical="center" wrapText="1"/>
    </xf>
    <xf numFmtId="0" fontId="82" fillId="0" borderId="0" xfId="1" applyFont="1" applyFill="1" applyBorder="1" applyAlignment="1">
      <alignment vertical="center"/>
    </xf>
    <xf numFmtId="0" fontId="83" fillId="0" borderId="0" xfId="1" applyFont="1" applyFill="1" applyBorder="1" applyAlignment="1">
      <alignment horizontal="left" vertical="center"/>
    </xf>
    <xf numFmtId="0" fontId="82" fillId="0" borderId="0" xfId="1" applyFont="1" applyFill="1" applyBorder="1" applyAlignment="1">
      <alignment horizontal="left" vertical="center"/>
    </xf>
    <xf numFmtId="0" fontId="82" fillId="0" borderId="0" xfId="1" applyFont="1" applyFill="1" applyAlignment="1">
      <alignment vertical="center"/>
    </xf>
    <xf numFmtId="0" fontId="69" fillId="0" borderId="2" xfId="0" applyFont="1" applyBorder="1" applyAlignment="1">
      <alignment horizontal="center" vertical="center"/>
    </xf>
    <xf numFmtId="0" fontId="42" fillId="0" borderId="0" xfId="1" applyFont="1" applyFill="1" applyBorder="1" applyAlignment="1">
      <alignment horizontal="left" vertical="center"/>
    </xf>
    <xf numFmtId="0" fontId="28" fillId="0" borderId="0" xfId="0" applyFont="1" applyAlignment="1">
      <alignment horizontal="center" vertical="center" wrapText="1"/>
    </xf>
    <xf numFmtId="0" fontId="85" fillId="0" borderId="13" xfId="1" applyFont="1" applyFill="1" applyBorder="1" applyAlignment="1">
      <alignment horizontal="left" vertical="center"/>
    </xf>
    <xf numFmtId="0" fontId="86" fillId="0" borderId="0" xfId="0" applyFont="1" applyAlignment="1">
      <alignment horizontal="center" vertical="center"/>
    </xf>
    <xf numFmtId="0" fontId="85" fillId="0" borderId="14" xfId="1" applyFont="1" applyFill="1" applyBorder="1" applyAlignment="1">
      <alignment horizontal="left" vertical="center"/>
    </xf>
    <xf numFmtId="0" fontId="31" fillId="0" borderId="0" xfId="0" quotePrefix="1" applyFont="1" applyAlignment="1">
      <alignment horizontal="center" vertical="center"/>
    </xf>
    <xf numFmtId="0" fontId="77" fillId="0" borderId="0" xfId="0" applyFont="1" applyAlignment="1">
      <alignment horizontal="center" vertical="center" wrapText="1"/>
    </xf>
    <xf numFmtId="0" fontId="31" fillId="0" borderId="0" xfId="0" applyFont="1" applyAlignment="1">
      <alignment horizontal="center" vertical="center"/>
    </xf>
    <xf numFmtId="0" fontId="87" fillId="0" borderId="0" xfId="0" quotePrefix="1" applyFont="1" applyAlignment="1">
      <alignment vertical="center"/>
    </xf>
    <xf numFmtId="0" fontId="87" fillId="0" borderId="0" xfId="0" applyFont="1" applyAlignment="1">
      <alignment vertical="center"/>
    </xf>
    <xf numFmtId="0" fontId="79" fillId="0" borderId="0" xfId="0" applyFont="1" applyAlignment="1">
      <alignment vertical="center"/>
    </xf>
    <xf numFmtId="0" fontId="88" fillId="0" borderId="0" xfId="0" applyFont="1" applyAlignment="1">
      <alignment horizontal="center" vertical="center"/>
    </xf>
    <xf numFmtId="0" fontId="33" fillId="0" borderId="0" xfId="0" applyFont="1" applyAlignment="1">
      <alignment horizontal="center" vertical="center"/>
    </xf>
    <xf numFmtId="0" fontId="76" fillId="0" borderId="10" xfId="0" applyFont="1" applyBorder="1" applyAlignment="1">
      <alignment vertical="center"/>
    </xf>
    <xf numFmtId="0" fontId="89" fillId="0" borderId="0" xfId="0" applyFont="1" applyAlignment="1">
      <alignment vertical="center"/>
    </xf>
    <xf numFmtId="0" fontId="90" fillId="0" borderId="0" xfId="0" applyFont="1" applyAlignment="1">
      <alignment horizontal="left" vertical="center" wrapText="1"/>
    </xf>
    <xf numFmtId="0" fontId="76" fillId="0" borderId="14" xfId="0" quotePrefix="1" applyFont="1" applyBorder="1" applyAlignment="1">
      <alignment vertical="center"/>
    </xf>
    <xf numFmtId="0" fontId="92" fillId="0" borderId="0" xfId="0" applyFont="1" applyAlignment="1">
      <alignment horizontal="left" vertical="center"/>
    </xf>
    <xf numFmtId="0" fontId="93" fillId="0" borderId="0" xfId="1" applyFont="1" applyFill="1" applyAlignment="1">
      <alignment horizontal="left" vertical="center" wrapText="1"/>
    </xf>
    <xf numFmtId="0" fontId="94" fillId="0" borderId="4" xfId="0" applyFont="1" applyBorder="1" applyAlignment="1">
      <alignment vertical="center"/>
    </xf>
    <xf numFmtId="0" fontId="69" fillId="0" borderId="5" xfId="0" applyFont="1" applyBorder="1" applyAlignment="1">
      <alignment horizontal="center" vertical="center"/>
    </xf>
    <xf numFmtId="0" fontId="89" fillId="0" borderId="5" xfId="0" applyFont="1" applyBorder="1" applyAlignment="1">
      <alignment vertical="center"/>
    </xf>
    <xf numFmtId="0" fontId="89" fillId="0" borderId="6" xfId="0" applyFont="1" applyBorder="1" applyAlignment="1">
      <alignment vertical="center"/>
    </xf>
    <xf numFmtId="0" fontId="95" fillId="0" borderId="11" xfId="0" quotePrefix="1" applyFont="1" applyBorder="1" applyAlignment="1">
      <alignment vertical="center"/>
    </xf>
    <xf numFmtId="0" fontId="27" fillId="0" borderId="0" xfId="0" quotePrefix="1" applyFont="1" applyAlignment="1">
      <alignment vertical="center"/>
    </xf>
    <xf numFmtId="0" fontId="95" fillId="0" borderId="11" xfId="0" applyFont="1" applyBorder="1" applyAlignment="1">
      <alignment vertical="center"/>
    </xf>
    <xf numFmtId="0" fontId="94" fillId="0" borderId="11" xfId="0" applyFont="1" applyBorder="1" applyAlignment="1">
      <alignment horizontal="left" vertical="center"/>
    </xf>
    <xf numFmtId="0" fontId="95" fillId="0" borderId="11" xfId="0" quotePrefix="1" applyFont="1" applyBorder="1" applyAlignment="1">
      <alignment horizontal="left" vertical="center"/>
    </xf>
    <xf numFmtId="0" fontId="82" fillId="0" borderId="0" xfId="1" applyFont="1" applyFill="1" applyAlignment="1">
      <alignment horizontal="left" vertical="center"/>
    </xf>
    <xf numFmtId="0" fontId="95" fillId="0" borderId="11" xfId="0" applyFont="1" applyBorder="1" applyAlignment="1">
      <alignment horizontal="left" vertical="center"/>
    </xf>
    <xf numFmtId="0" fontId="37" fillId="0" borderId="0" xfId="0" applyFont="1" applyAlignment="1">
      <alignment horizontal="left" vertical="center" wrapText="1"/>
    </xf>
    <xf numFmtId="0" fontId="95" fillId="0" borderId="7" xfId="0" applyFont="1" applyBorder="1" applyAlignment="1">
      <alignment vertical="center"/>
    </xf>
    <xf numFmtId="0" fontId="69" fillId="0" borderId="8" xfId="0" applyFont="1" applyBorder="1" applyAlignment="1">
      <alignment horizontal="center" vertical="center"/>
    </xf>
    <xf numFmtId="0" fontId="39" fillId="0" borderId="8" xfId="0" applyFont="1" applyBorder="1" applyAlignment="1">
      <alignment horizontal="center" vertical="center"/>
    </xf>
    <xf numFmtId="0" fontId="89" fillId="0" borderId="8" xfId="0" applyFont="1" applyBorder="1" applyAlignment="1">
      <alignment vertical="center"/>
    </xf>
    <xf numFmtId="0" fontId="89" fillId="0" borderId="9" xfId="0" applyFont="1" applyBorder="1" applyAlignment="1">
      <alignment vertical="center"/>
    </xf>
    <xf numFmtId="0" fontId="95" fillId="0" borderId="0" xfId="0" applyFont="1" applyAlignment="1">
      <alignment vertical="center"/>
    </xf>
    <xf numFmtId="0" fontId="94" fillId="0" borderId="0" xfId="0" applyFont="1" applyAlignment="1">
      <alignment vertical="center"/>
    </xf>
    <xf numFmtId="0" fontId="75" fillId="0" borderId="0" xfId="0" applyFont="1" applyAlignment="1">
      <alignment horizontal="center" vertical="center"/>
    </xf>
    <xf numFmtId="0" fontId="72" fillId="0" borderId="0" xfId="0" applyFont="1" applyAlignment="1">
      <alignment horizontal="center" vertical="center" wrapText="1"/>
    </xf>
    <xf numFmtId="0" fontId="97" fillId="0" borderId="0" xfId="0" applyFont="1" applyAlignment="1">
      <alignment horizontal="center" vertical="center" wrapText="1"/>
    </xf>
    <xf numFmtId="0" fontId="83" fillId="0" borderId="0" xfId="1" applyFont="1" applyFill="1" applyBorder="1" applyAlignment="1">
      <alignment vertical="center"/>
    </xf>
    <xf numFmtId="0" fontId="83" fillId="0" borderId="0" xfId="1" applyFont="1" applyFill="1" applyAlignment="1">
      <alignment vertical="center"/>
    </xf>
    <xf numFmtId="0" fontId="94" fillId="0" borderId="0" xfId="0" applyFont="1" applyAlignment="1">
      <alignment horizontal="left" vertical="center"/>
    </xf>
    <xf numFmtId="0" fontId="99" fillId="0" borderId="0" xfId="0" quotePrefix="1" applyFont="1" applyAlignment="1">
      <alignment horizontal="center" vertical="center"/>
    </xf>
    <xf numFmtId="0" fontId="75" fillId="0" borderId="0" xfId="0" applyFont="1" applyAlignment="1">
      <alignment horizontal="center" vertical="center" wrapText="1"/>
    </xf>
    <xf numFmtId="0" fontId="40" fillId="0" borderId="0" xfId="0" applyFont="1" applyAlignment="1">
      <alignment vertical="center"/>
    </xf>
    <xf numFmtId="0" fontId="79" fillId="0" borderId="0" xfId="0" quotePrefix="1" applyFont="1" applyAlignment="1">
      <alignment vertical="center"/>
    </xf>
    <xf numFmtId="0" fontId="27" fillId="0" borderId="0" xfId="1" applyFont="1" applyFill="1" applyBorder="1" applyAlignment="1">
      <alignment vertical="center"/>
    </xf>
    <xf numFmtId="0" fontId="29" fillId="0" borderId="0" xfId="1" applyFont="1" applyFill="1" applyBorder="1" applyAlignment="1">
      <alignment vertical="center"/>
    </xf>
    <xf numFmtId="0" fontId="77" fillId="0" borderId="0" xfId="0" quotePrefix="1" applyFont="1" applyAlignment="1">
      <alignment horizontal="center" vertical="center"/>
    </xf>
    <xf numFmtId="167" fontId="31" fillId="0" borderId="0" xfId="2" applyNumberFormat="1" applyFont="1" applyFill="1" applyBorder="1" applyAlignment="1">
      <alignment horizontal="right" vertical="center"/>
    </xf>
    <xf numFmtId="0" fontId="29" fillId="0" borderId="0" xfId="0" quotePrefix="1" applyFont="1" applyAlignment="1">
      <alignment vertical="center"/>
    </xf>
    <xf numFmtId="0" fontId="94" fillId="0" borderId="0" xfId="0" quotePrefix="1" applyFont="1" applyAlignment="1">
      <alignment vertical="center"/>
    </xf>
    <xf numFmtId="0" fontId="71" fillId="0" borderId="0" xfId="0" applyFont="1" applyAlignment="1">
      <alignment vertical="center"/>
    </xf>
    <xf numFmtId="0" fontId="29" fillId="0" borderId="0" xfId="0" applyFont="1" applyAlignment="1">
      <alignment horizontal="center" vertical="center" wrapText="1"/>
    </xf>
    <xf numFmtId="0" fontId="97" fillId="0" borderId="0" xfId="0" applyFont="1" applyAlignment="1">
      <alignment horizontal="center" vertical="center"/>
    </xf>
    <xf numFmtId="0" fontId="31" fillId="0" borderId="0" xfId="0" applyFont="1" applyAlignment="1">
      <alignment horizontal="right" vertical="center" wrapText="1"/>
    </xf>
    <xf numFmtId="0" fontId="102" fillId="0" borderId="0" xfId="0" applyFont="1" applyAlignment="1">
      <alignment vertical="center"/>
    </xf>
    <xf numFmtId="0" fontId="76" fillId="0" borderId="14" xfId="0" applyFont="1" applyBorder="1" applyAlignment="1">
      <alignment vertical="center"/>
    </xf>
    <xf numFmtId="0" fontId="34" fillId="0" borderId="0" xfId="0" applyFont="1" applyAlignment="1">
      <alignment horizontal="center" vertical="center"/>
    </xf>
    <xf numFmtId="0" fontId="103" fillId="0" borderId="0" xfId="0" applyFont="1" applyAlignment="1">
      <alignment horizontal="left" vertical="center" wrapText="1"/>
    </xf>
    <xf numFmtId="167" fontId="31" fillId="0" borderId="0" xfId="0" applyNumberFormat="1" applyFont="1" applyAlignment="1">
      <alignment horizontal="right" vertical="center" wrapText="1"/>
    </xf>
    <xf numFmtId="0" fontId="54" fillId="0" borderId="1" xfId="0" applyFont="1" applyBorder="1" applyAlignment="1">
      <alignment vertical="center"/>
    </xf>
    <xf numFmtId="0" fontId="104" fillId="0" borderId="2" xfId="0" applyFont="1" applyBorder="1" applyAlignment="1">
      <alignment horizontal="center" vertical="center" wrapText="1"/>
    </xf>
    <xf numFmtId="0" fontId="78" fillId="0" borderId="13" xfId="0" applyFont="1" applyBorder="1" applyAlignment="1">
      <alignment vertical="center"/>
    </xf>
    <xf numFmtId="0" fontId="105" fillId="0" borderId="0" xfId="0" quotePrefix="1" applyFont="1" applyAlignment="1">
      <alignment horizontal="center" vertical="center" wrapText="1"/>
    </xf>
    <xf numFmtId="0" fontId="105" fillId="0" borderId="0" xfId="0" applyFont="1" applyAlignment="1">
      <alignment horizontal="center" vertical="center" wrapText="1"/>
    </xf>
    <xf numFmtId="0" fontId="55" fillId="0" borderId="0" xfId="0" applyFont="1" applyAlignment="1">
      <alignment vertical="center"/>
    </xf>
    <xf numFmtId="0" fontId="105" fillId="0" borderId="0" xfId="0" applyFont="1" applyAlignment="1">
      <alignment horizontal="center" vertical="center"/>
    </xf>
    <xf numFmtId="0" fontId="82" fillId="0" borderId="0" xfId="1" applyFont="1" applyFill="1" applyAlignment="1">
      <alignment horizontal="left" vertical="center" wrapText="1"/>
    </xf>
    <xf numFmtId="0" fontId="107" fillId="0" borderId="0" xfId="0" applyFont="1" applyAlignment="1">
      <alignment horizontal="left" vertical="center" wrapText="1"/>
    </xf>
    <xf numFmtId="0" fontId="24" fillId="0" borderId="1" xfId="0" applyFont="1" applyBorder="1" applyAlignment="1">
      <alignment vertical="center"/>
    </xf>
    <xf numFmtId="0" fontId="108" fillId="0" borderId="2" xfId="0" applyFont="1" applyBorder="1" applyAlignment="1">
      <alignment horizontal="center" vertical="center"/>
    </xf>
    <xf numFmtId="0" fontId="109" fillId="0" borderId="5" xfId="0" applyFont="1" applyBorder="1" applyAlignment="1">
      <alignment vertical="center" wrapText="1"/>
    </xf>
    <xf numFmtId="0" fontId="24" fillId="8" borderId="1" xfId="0" applyFont="1" applyFill="1" applyBorder="1" applyAlignment="1">
      <alignment vertical="center"/>
    </xf>
    <xf numFmtId="0" fontId="108" fillId="8" borderId="2" xfId="0" applyFont="1" applyFill="1" applyBorder="1" applyAlignment="1">
      <alignment horizontal="center" vertical="center"/>
    </xf>
    <xf numFmtId="0" fontId="69" fillId="8" borderId="2" xfId="0" applyFont="1" applyFill="1" applyBorder="1" applyAlignment="1">
      <alignment horizontal="center" vertical="center"/>
    </xf>
    <xf numFmtId="0" fontId="55" fillId="8" borderId="2" xfId="0" applyFont="1" applyFill="1" applyBorder="1" applyAlignment="1">
      <alignment horizontal="center" vertical="center"/>
    </xf>
    <xf numFmtId="0" fontId="104" fillId="8" borderId="2" xfId="0" applyFont="1" applyFill="1" applyBorder="1" applyAlignment="1">
      <alignment horizontal="center" vertical="center" wrapText="1"/>
    </xf>
    <xf numFmtId="0" fontId="29" fillId="8" borderId="11" xfId="0" applyFont="1" applyFill="1" applyBorder="1" applyAlignment="1">
      <alignment vertical="center"/>
    </xf>
    <xf numFmtId="0" fontId="69" fillId="8" borderId="0" xfId="0" applyFont="1" applyFill="1" applyAlignment="1">
      <alignment horizontal="center" vertical="center"/>
    </xf>
    <xf numFmtId="0" fontId="31" fillId="8" borderId="0" xfId="0" applyFont="1" applyFill="1" applyAlignment="1">
      <alignment horizontal="center" vertical="center" wrapText="1"/>
    </xf>
    <xf numFmtId="0" fontId="29" fillId="8" borderId="7" xfId="0" applyFont="1" applyFill="1" applyBorder="1" applyAlignment="1">
      <alignment vertical="center"/>
    </xf>
    <xf numFmtId="0" fontId="69" fillId="8" borderId="8" xfId="0" applyFont="1" applyFill="1" applyBorder="1" applyAlignment="1">
      <alignment horizontal="center" vertical="center"/>
    </xf>
    <xf numFmtId="0" fontId="35" fillId="7" borderId="4" xfId="0" applyFont="1" applyFill="1" applyBorder="1" applyAlignment="1">
      <alignment vertical="center"/>
    </xf>
    <xf numFmtId="0" fontId="35" fillId="7" borderId="5" xfId="0" applyFont="1" applyFill="1" applyBorder="1" applyAlignment="1">
      <alignment horizontal="center" vertical="center"/>
    </xf>
    <xf numFmtId="0" fontId="69" fillId="7" borderId="5" xfId="0" applyFont="1" applyFill="1" applyBorder="1" applyAlignment="1">
      <alignment horizontal="center" vertical="center"/>
    </xf>
    <xf numFmtId="0" fontId="55" fillId="7" borderId="5" xfId="0" applyFont="1" applyFill="1" applyBorder="1" applyAlignment="1">
      <alignment horizontal="center" vertical="center"/>
    </xf>
    <xf numFmtId="0" fontId="35" fillId="7" borderId="5" xfId="0" applyFont="1" applyFill="1" applyBorder="1" applyAlignment="1">
      <alignment horizontal="center" vertical="center" wrapText="1"/>
    </xf>
    <xf numFmtId="0" fontId="35" fillId="7" borderId="11" xfId="0" applyFont="1" applyFill="1" applyBorder="1" applyAlignment="1">
      <alignment vertical="center"/>
    </xf>
    <xf numFmtId="0" fontId="35" fillId="7" borderId="0" xfId="0" applyFont="1" applyFill="1" applyAlignment="1">
      <alignment horizontal="center" vertical="center"/>
    </xf>
    <xf numFmtId="0" fontId="69" fillId="7" borderId="0" xfId="0" applyFont="1" applyFill="1" applyAlignment="1">
      <alignment horizontal="center" vertical="center"/>
    </xf>
    <xf numFmtId="0" fontId="55" fillId="7" borderId="0" xfId="0" applyFont="1" applyFill="1" applyAlignment="1">
      <alignment horizontal="center" vertical="center"/>
    </xf>
    <xf numFmtId="0" fontId="35" fillId="7" borderId="0" xfId="0" applyFont="1" applyFill="1" applyAlignment="1">
      <alignment horizontal="center" vertical="center" wrapText="1"/>
    </xf>
    <xf numFmtId="0" fontId="35" fillId="7" borderId="7" xfId="0" applyFont="1" applyFill="1" applyBorder="1" applyAlignment="1">
      <alignment vertical="center"/>
    </xf>
    <xf numFmtId="0" fontId="29" fillId="7" borderId="8" xfId="0" applyFont="1" applyFill="1" applyBorder="1" applyAlignment="1">
      <alignment horizontal="center" vertical="center"/>
    </xf>
    <xf numFmtId="0" fontId="69" fillId="7" borderId="8" xfId="0" applyFont="1" applyFill="1" applyBorder="1" applyAlignment="1">
      <alignment horizontal="center" vertical="center"/>
    </xf>
    <xf numFmtId="0" fontId="39" fillId="7" borderId="8" xfId="0" applyFont="1" applyFill="1" applyBorder="1" applyAlignment="1">
      <alignment horizontal="center" vertical="center"/>
    </xf>
    <xf numFmtId="0" fontId="31" fillId="7" borderId="8" xfId="0" applyFont="1" applyFill="1" applyBorder="1" applyAlignment="1">
      <alignment horizontal="center" vertical="center" wrapText="1"/>
    </xf>
    <xf numFmtId="0" fontId="76" fillId="0" borderId="0" xfId="0" applyFont="1" applyAlignment="1">
      <alignment vertical="center"/>
    </xf>
    <xf numFmtId="0" fontId="27" fillId="0" borderId="0" xfId="0" applyFont="1" applyAlignment="1">
      <alignment horizontal="left" vertical="center" wrapText="1"/>
    </xf>
    <xf numFmtId="0" fontId="30" fillId="0" borderId="10" xfId="0" applyFont="1" applyBorder="1" applyAlignment="1">
      <alignment vertical="center"/>
    </xf>
    <xf numFmtId="0" fontId="94" fillId="0" borderId="0" xfId="0" applyFont="1" applyAlignment="1">
      <alignment horizontal="center" vertical="center" wrapText="1"/>
    </xf>
    <xf numFmtId="0" fontId="113" fillId="0" borderId="0" xfId="1" applyFont="1" applyFill="1" applyAlignment="1">
      <alignment horizontal="left" vertical="center" wrapText="1"/>
    </xf>
    <xf numFmtId="0" fontId="89" fillId="0" borderId="0" xfId="0" applyFont="1" applyAlignment="1">
      <alignment horizontal="right" vertical="center"/>
    </xf>
    <xf numFmtId="0" fontId="76" fillId="0" borderId="15" xfId="0" applyFont="1" applyBorder="1" applyAlignment="1">
      <alignment vertical="center"/>
    </xf>
    <xf numFmtId="0" fontId="114" fillId="0" borderId="0" xfId="0" applyFont="1" applyAlignment="1">
      <alignment horizontal="center" vertical="center"/>
    </xf>
    <xf numFmtId="0" fontId="42" fillId="0" borderId="0" xfId="1" applyFont="1" applyFill="1" applyBorder="1" applyAlignment="1">
      <alignment vertical="center"/>
    </xf>
    <xf numFmtId="0" fontId="113" fillId="0" borderId="0" xfId="1" applyFont="1" applyFill="1" applyBorder="1" applyAlignment="1">
      <alignment vertical="center"/>
    </xf>
    <xf numFmtId="0" fontId="115" fillId="0" borderId="13" xfId="0" applyFont="1" applyBorder="1" applyAlignment="1">
      <alignment vertical="center"/>
    </xf>
    <xf numFmtId="0" fontId="31" fillId="0" borderId="0" xfId="0" quotePrefix="1" applyFont="1" applyAlignment="1">
      <alignment vertical="center"/>
    </xf>
    <xf numFmtId="0" fontId="69" fillId="0" borderId="0" xfId="0" applyFont="1" applyAlignment="1">
      <alignment vertical="center"/>
    </xf>
    <xf numFmtId="0" fontId="90" fillId="0" borderId="0" xfId="0" applyFont="1" applyAlignment="1">
      <alignment horizontal="center" vertical="center"/>
    </xf>
    <xf numFmtId="0" fontId="29" fillId="0" borderId="0" xfId="0" applyFont="1" applyAlignment="1">
      <alignment horizontal="left" vertical="center"/>
    </xf>
    <xf numFmtId="0" fontId="46" fillId="0" borderId="0" xfId="0" applyFont="1" applyAlignment="1">
      <alignment horizontal="center" vertical="center"/>
    </xf>
    <xf numFmtId="0" fontId="79" fillId="0" borderId="0" xfId="0" applyFont="1" applyAlignment="1">
      <alignment horizontal="left" vertical="center" wrapText="1"/>
    </xf>
    <xf numFmtId="0" fontId="117" fillId="0" borderId="0" xfId="0" applyFont="1" applyAlignment="1">
      <alignment vertical="center"/>
    </xf>
    <xf numFmtId="0" fontId="113" fillId="0" borderId="0" xfId="1" applyFont="1" applyFill="1" applyAlignment="1">
      <alignment vertical="center"/>
    </xf>
    <xf numFmtId="0" fontId="43" fillId="0" borderId="0" xfId="1" applyFont="1" applyFill="1" applyBorder="1" applyAlignment="1">
      <alignment vertical="center"/>
    </xf>
    <xf numFmtId="0" fontId="72" fillId="0" borderId="0" xfId="0" applyFont="1" applyAlignment="1">
      <alignment horizontal="left" vertical="center"/>
    </xf>
    <xf numFmtId="0" fontId="72" fillId="0" borderId="0" xfId="0" applyFont="1" applyAlignment="1">
      <alignment horizontal="left" vertical="center" wrapText="1"/>
    </xf>
    <xf numFmtId="0" fontId="72" fillId="0" borderId="0" xfId="0" quotePrefix="1" applyFont="1" applyAlignment="1">
      <alignment horizontal="center" vertical="center" wrapText="1"/>
    </xf>
    <xf numFmtId="0" fontId="29" fillId="0" borderId="14" xfId="0" applyFont="1" applyBorder="1" applyAlignment="1">
      <alignment vertical="center"/>
    </xf>
    <xf numFmtId="0" fontId="118" fillId="0" borderId="0" xfId="0" applyFont="1" applyAlignment="1">
      <alignment vertical="center"/>
    </xf>
    <xf numFmtId="0" fontId="79" fillId="0" borderId="0" xfId="0" quotePrefix="1" applyFont="1" applyAlignment="1">
      <alignment horizontal="left" vertical="center" wrapText="1"/>
    </xf>
    <xf numFmtId="0" fontId="24" fillId="0" borderId="4" xfId="0" applyFont="1" applyBorder="1" applyAlignment="1">
      <alignment vertical="center"/>
    </xf>
    <xf numFmtId="0" fontId="24" fillId="0" borderId="5" xfId="0" applyFont="1" applyBorder="1" applyAlignment="1">
      <alignment horizontal="center" vertical="center"/>
    </xf>
    <xf numFmtId="0" fontId="55" fillId="0" borderId="5" xfId="0" applyFont="1" applyBorder="1" applyAlignment="1">
      <alignment horizontal="center" vertical="center"/>
    </xf>
    <xf numFmtId="0" fontId="104" fillId="0" borderId="5" xfId="0" applyFont="1" applyBorder="1" applyAlignment="1">
      <alignment horizontal="center" vertical="center" wrapText="1"/>
    </xf>
    <xf numFmtId="0" fontId="24" fillId="0" borderId="7" xfId="0" applyFont="1" applyBorder="1" applyAlignment="1">
      <alignment vertical="center"/>
    </xf>
    <xf numFmtId="0" fontId="24" fillId="0" borderId="8" xfId="0" applyFont="1" applyBorder="1" applyAlignment="1">
      <alignment horizontal="center" vertical="center"/>
    </xf>
    <xf numFmtId="0" fontId="55" fillId="0" borderId="8" xfId="0" applyFont="1" applyBorder="1" applyAlignment="1">
      <alignment horizontal="center" vertical="center"/>
    </xf>
    <xf numFmtId="0" fontId="104" fillId="0" borderId="8" xfId="0" applyFont="1" applyBorder="1" applyAlignment="1">
      <alignment horizontal="center" vertical="center" wrapText="1"/>
    </xf>
    <xf numFmtId="0" fontId="35" fillId="0" borderId="5" xfId="0" applyFont="1" applyBorder="1" applyAlignment="1">
      <alignment vertical="center"/>
    </xf>
    <xf numFmtId="0" fontId="29" fillId="0" borderId="5" xfId="0" applyFont="1" applyBorder="1" applyAlignment="1">
      <alignment horizontal="center" vertical="center"/>
    </xf>
    <xf numFmtId="0" fontId="39" fillId="0" borderId="5" xfId="0" applyFont="1" applyBorder="1" applyAlignment="1">
      <alignment horizontal="center" vertical="center"/>
    </xf>
    <xf numFmtId="0" fontId="33" fillId="0" borderId="5" xfId="0" applyFont="1" applyBorder="1" applyAlignment="1">
      <alignment horizontal="center" vertical="center" wrapText="1"/>
    </xf>
    <xf numFmtId="0" fontId="61" fillId="3" borderId="0" xfId="0" applyFont="1" applyFill="1" applyAlignment="1">
      <alignment vertical="center"/>
    </xf>
    <xf numFmtId="0" fontId="104" fillId="3" borderId="0" xfId="0" applyFont="1" applyFill="1" applyAlignment="1">
      <alignment horizontal="center" vertical="center"/>
    </xf>
    <xf numFmtId="0" fontId="69" fillId="3" borderId="0" xfId="0" applyFont="1" applyFill="1" applyAlignment="1">
      <alignment horizontal="center" vertical="center"/>
    </xf>
    <xf numFmtId="0" fontId="29" fillId="3" borderId="0" xfId="0" applyFont="1" applyFill="1" applyAlignment="1">
      <alignment horizontal="center" vertical="center"/>
    </xf>
    <xf numFmtId="0" fontId="31" fillId="3" borderId="0" xfId="0" applyFont="1" applyFill="1" applyAlignment="1">
      <alignment horizontal="center" vertical="center" wrapText="1"/>
    </xf>
    <xf numFmtId="0" fontId="53" fillId="3" borderId="0" xfId="0" applyFont="1" applyFill="1" applyAlignment="1">
      <alignment vertical="center"/>
    </xf>
    <xf numFmtId="0" fontId="26" fillId="3" borderId="0" xfId="0" applyFont="1" applyFill="1" applyAlignment="1">
      <alignment horizontal="center" vertical="center" wrapText="1"/>
    </xf>
    <xf numFmtId="0" fontId="100" fillId="0" borderId="0" xfId="0" quotePrefix="1" applyFont="1" applyAlignment="1">
      <alignment horizontal="center" vertical="center"/>
    </xf>
    <xf numFmtId="0" fontId="100" fillId="0" borderId="0" xfId="0" quotePrefix="1" applyFont="1" applyAlignment="1">
      <alignment horizontal="center" vertical="center" wrapText="1"/>
    </xf>
    <xf numFmtId="0" fontId="48" fillId="0" borderId="0" xfId="0" applyFont="1" applyAlignment="1">
      <alignment horizontal="center" vertical="center" wrapText="1"/>
    </xf>
    <xf numFmtId="0" fontId="27" fillId="4" borderId="0" xfId="0" applyFont="1" applyFill="1" applyAlignment="1">
      <alignment vertical="center"/>
    </xf>
    <xf numFmtId="0" fontId="29" fillId="4" borderId="0" xfId="0" applyFont="1" applyFill="1" applyAlignment="1">
      <alignment horizontal="center" vertical="center"/>
    </xf>
    <xf numFmtId="0" fontId="69" fillId="4" borderId="0" xfId="0" applyFont="1" applyFill="1" applyAlignment="1">
      <alignment horizontal="center" vertical="center"/>
    </xf>
    <xf numFmtId="0" fontId="31" fillId="4" borderId="0" xfId="0" applyFont="1" applyFill="1" applyAlignment="1">
      <alignment horizontal="center" vertical="center" wrapText="1"/>
    </xf>
    <xf numFmtId="0" fontId="76" fillId="4" borderId="13" xfId="0" applyFont="1" applyFill="1" applyBorder="1" applyAlignment="1">
      <alignment vertical="center"/>
    </xf>
    <xf numFmtId="0" fontId="27" fillId="4" borderId="0" xfId="0" applyFont="1" applyFill="1" applyAlignment="1">
      <alignment horizontal="center" vertical="center" wrapText="1"/>
    </xf>
    <xf numFmtId="0" fontId="39" fillId="4" borderId="0" xfId="0" applyFont="1" applyFill="1" applyAlignment="1">
      <alignment horizontal="center" vertical="center"/>
    </xf>
    <xf numFmtId="0" fontId="33" fillId="4" borderId="0" xfId="0" applyFont="1" applyFill="1" applyAlignment="1">
      <alignment horizontal="center" vertical="center" wrapText="1"/>
    </xf>
    <xf numFmtId="0" fontId="76" fillId="4" borderId="14" xfId="0" applyFont="1" applyFill="1" applyBorder="1" applyAlignment="1">
      <alignment vertical="center"/>
    </xf>
    <xf numFmtId="0" fontId="79" fillId="4" borderId="0" xfId="0" quotePrefix="1" applyFont="1" applyFill="1" applyAlignment="1">
      <alignment vertical="center"/>
    </xf>
    <xf numFmtId="0" fontId="89" fillId="4" borderId="0" xfId="0" applyFont="1" applyFill="1" applyAlignment="1">
      <alignment vertical="center"/>
    </xf>
    <xf numFmtId="0" fontId="29" fillId="4" borderId="0" xfId="0" applyFont="1" applyFill="1" applyAlignment="1">
      <alignment vertical="center"/>
    </xf>
    <xf numFmtId="0" fontId="72" fillId="4" borderId="0" xfId="0" applyFont="1" applyFill="1" applyAlignment="1">
      <alignment vertical="center"/>
    </xf>
    <xf numFmtId="0" fontId="82" fillId="4" borderId="0" xfId="1" applyFont="1" applyFill="1" applyBorder="1" applyAlignment="1">
      <alignment vertical="center"/>
    </xf>
    <xf numFmtId="0" fontId="39" fillId="0" borderId="0" xfId="0" applyFont="1" applyAlignment="1">
      <alignment horizontal="left" vertical="center" wrapText="1"/>
    </xf>
    <xf numFmtId="0" fontId="72" fillId="0" borderId="0" xfId="0" applyFont="1" applyAlignment="1">
      <alignment horizontal="right" vertical="center" wrapText="1"/>
    </xf>
    <xf numFmtId="0" fontId="37" fillId="0" borderId="0" xfId="0" applyFont="1" applyAlignment="1">
      <alignment vertical="center"/>
    </xf>
    <xf numFmtId="0" fontId="120" fillId="4" borderId="0" xfId="0" applyFont="1" applyFill="1" applyAlignment="1">
      <alignment vertical="center"/>
    </xf>
    <xf numFmtId="0" fontId="55" fillId="4" borderId="0" xfId="0" applyFont="1" applyFill="1" applyAlignment="1">
      <alignment horizontal="center" vertical="center"/>
    </xf>
    <xf numFmtId="0" fontId="104" fillId="4" borderId="0" xfId="0" applyFont="1" applyFill="1" applyAlignment="1">
      <alignment horizontal="center" vertical="center" wrapText="1"/>
    </xf>
    <xf numFmtId="0" fontId="77" fillId="4" borderId="0" xfId="0" applyFont="1" applyFill="1" applyAlignment="1">
      <alignment horizontal="center" vertical="center" wrapText="1"/>
    </xf>
    <xf numFmtId="0" fontId="78" fillId="4" borderId="14" xfId="0" applyFont="1" applyFill="1" applyBorder="1" applyAlignment="1">
      <alignment vertical="center"/>
    </xf>
    <xf numFmtId="0" fontId="38" fillId="4" borderId="0" xfId="0" applyFont="1" applyFill="1" applyAlignment="1">
      <alignment horizontal="center" vertical="center"/>
    </xf>
    <xf numFmtId="0" fontId="79" fillId="4" borderId="0" xfId="0" applyFont="1" applyFill="1" applyAlignment="1">
      <alignment vertical="center"/>
    </xf>
    <xf numFmtId="0" fontId="76" fillId="4" borderId="10" xfId="0" applyFont="1" applyFill="1" applyBorder="1" applyAlignment="1">
      <alignment vertical="center"/>
    </xf>
    <xf numFmtId="0" fontId="77" fillId="4" borderId="0" xfId="0" applyFont="1" applyFill="1" applyAlignment="1">
      <alignment horizontal="center" vertical="center"/>
    </xf>
    <xf numFmtId="0" fontId="37" fillId="4" borderId="0" xfId="0" applyFont="1" applyFill="1" applyAlignment="1">
      <alignment horizontal="center" vertical="center"/>
    </xf>
    <xf numFmtId="0" fontId="83" fillId="4" borderId="0" xfId="1" applyFont="1" applyFill="1" applyBorder="1" applyAlignment="1">
      <alignment vertical="center"/>
    </xf>
    <xf numFmtId="0" fontId="33" fillId="4" borderId="0" xfId="0" applyFont="1" applyFill="1" applyAlignment="1">
      <alignment horizontal="center" vertical="center"/>
    </xf>
    <xf numFmtId="0" fontId="88" fillId="4" borderId="0" xfId="0" applyFont="1" applyFill="1" applyAlignment="1">
      <alignment horizontal="center" vertical="center"/>
    </xf>
    <xf numFmtId="0" fontId="115" fillId="0" borderId="10" xfId="0" applyFont="1" applyBorder="1" applyAlignment="1">
      <alignment vertical="center"/>
    </xf>
    <xf numFmtId="0" fontId="123" fillId="0" borderId="0" xfId="1" applyFont="1" applyFill="1" applyAlignment="1">
      <alignment horizontal="left" vertical="center" wrapText="1"/>
    </xf>
    <xf numFmtId="0" fontId="79" fillId="0" borderId="0" xfId="1" applyFont="1" applyFill="1" applyBorder="1" applyAlignment="1">
      <alignment vertical="center"/>
    </xf>
    <xf numFmtId="0" fontId="30" fillId="0" borderId="0" xfId="0" applyFont="1" applyAlignment="1">
      <alignment horizontal="center" vertical="center"/>
    </xf>
    <xf numFmtId="0" fontId="30" fillId="0" borderId="13" xfId="0" applyFont="1" applyBorder="1" applyAlignment="1">
      <alignment vertical="center"/>
    </xf>
    <xf numFmtId="0" fontId="30" fillId="0" borderId="14" xfId="0" applyFont="1" applyBorder="1" applyAlignment="1">
      <alignment vertical="center"/>
    </xf>
    <xf numFmtId="0" fontId="75" fillId="0" borderId="0" xfId="0" applyFont="1" applyAlignment="1">
      <alignment vertical="center"/>
    </xf>
    <xf numFmtId="0" fontId="82" fillId="0" borderId="0" xfId="1" applyFont="1" applyFill="1" applyBorder="1" applyAlignment="1">
      <alignment horizontal="left" vertical="center" wrapText="1"/>
    </xf>
    <xf numFmtId="0" fontId="124" fillId="0" borderId="0" xfId="0" applyFont="1" applyAlignment="1">
      <alignment horizontal="left" vertical="center"/>
    </xf>
    <xf numFmtId="0" fontId="27" fillId="0" borderId="0" xfId="1" applyFont="1" applyFill="1" applyAlignment="1">
      <alignment horizontal="left" vertical="center" wrapText="1"/>
    </xf>
    <xf numFmtId="0" fontId="79" fillId="0" borderId="0" xfId="1" applyFont="1" applyFill="1" applyAlignment="1">
      <alignment horizontal="left" vertical="center"/>
    </xf>
    <xf numFmtId="0" fontId="30" fillId="0" borderId="15" xfId="0" applyFont="1" applyBorder="1" applyAlignment="1">
      <alignment vertical="center"/>
    </xf>
    <xf numFmtId="0" fontId="72" fillId="0" borderId="0" xfId="0" applyFont="1" applyAlignment="1">
      <alignment vertical="center" wrapText="1"/>
    </xf>
    <xf numFmtId="0" fontId="33" fillId="0" borderId="0" xfId="0" applyFont="1" applyAlignment="1">
      <alignment vertical="center"/>
    </xf>
    <xf numFmtId="0" fontId="103" fillId="0" borderId="0" xfId="0" applyFont="1" applyAlignment="1">
      <alignment vertical="center"/>
    </xf>
    <xf numFmtId="0" fontId="125" fillId="0" borderId="0" xfId="0" applyFont="1" applyAlignment="1">
      <alignment horizontal="left" vertical="center"/>
    </xf>
    <xf numFmtId="0" fontId="29" fillId="0" borderId="4" xfId="0" applyFont="1" applyBorder="1" applyAlignment="1">
      <alignment horizontal="center" vertical="center"/>
    </xf>
    <xf numFmtId="0" fontId="126" fillId="0" borderId="11" xfId="1" applyFont="1" applyFill="1" applyBorder="1" applyAlignment="1">
      <alignment horizontal="center" vertical="center" wrapText="1"/>
    </xf>
    <xf numFmtId="0" fontId="127" fillId="0" borderId="0" xfId="0" applyFont="1" applyAlignment="1">
      <alignment horizontal="center" vertical="center"/>
    </xf>
    <xf numFmtId="0" fontId="32" fillId="0" borderId="0" xfId="0" applyFont="1" applyAlignment="1">
      <alignment horizontal="left" vertical="center"/>
    </xf>
    <xf numFmtId="0" fontId="126" fillId="0" borderId="11" xfId="1" applyFont="1" applyFill="1" applyBorder="1" applyAlignment="1">
      <alignment horizontal="center" vertical="center"/>
    </xf>
    <xf numFmtId="0" fontId="32" fillId="0" borderId="0" xfId="0" applyFont="1" applyAlignment="1">
      <alignment vertical="center"/>
    </xf>
    <xf numFmtId="0" fontId="126" fillId="0" borderId="7" xfId="1" applyFont="1" applyFill="1" applyBorder="1" applyAlignment="1">
      <alignment horizontal="center" vertical="center"/>
    </xf>
    <xf numFmtId="0" fontId="127" fillId="0" borderId="8" xfId="0" applyFont="1" applyBorder="1" applyAlignment="1">
      <alignment horizontal="center" vertical="center"/>
    </xf>
    <xf numFmtId="0" fontId="32" fillId="0" borderId="8" xfId="0" applyFont="1" applyBorder="1" applyAlignment="1">
      <alignment horizontal="left" vertical="center"/>
    </xf>
    <xf numFmtId="0" fontId="31" fillId="0" borderId="8" xfId="0" applyFont="1" applyBorder="1" applyAlignment="1">
      <alignment horizontal="center" vertical="center" wrapText="1"/>
    </xf>
    <xf numFmtId="0" fontId="126" fillId="0" borderId="0" xfId="1" applyFont="1" applyFill="1" applyBorder="1" applyAlignment="1">
      <alignment horizontal="center" vertical="center"/>
    </xf>
    <xf numFmtId="0" fontId="35" fillId="0" borderId="2" xfId="0" applyFont="1" applyBorder="1" applyAlignment="1">
      <alignment vertical="center"/>
    </xf>
    <xf numFmtId="0" fontId="89" fillId="0" borderId="0" xfId="0" applyFont="1" applyAlignment="1">
      <alignment horizontal="center" vertical="center"/>
    </xf>
    <xf numFmtId="0" fontId="128" fillId="0" borderId="10" xfId="0" applyFont="1" applyBorder="1" applyAlignment="1">
      <alignment vertical="center"/>
    </xf>
    <xf numFmtId="0" fontId="129" fillId="0" borderId="0" xfId="0" applyFont="1" applyAlignment="1">
      <alignment horizontal="center" vertical="center" wrapText="1"/>
    </xf>
    <xf numFmtId="0" fontId="100" fillId="0" borderId="0" xfId="0" applyFont="1" applyAlignment="1">
      <alignment vertical="center"/>
    </xf>
    <xf numFmtId="0" fontId="104" fillId="0" borderId="1" xfId="0" applyFont="1" applyBorder="1" applyAlignment="1">
      <alignment vertical="center"/>
    </xf>
    <xf numFmtId="0" fontId="29" fillId="0" borderId="2" xfId="0" applyFont="1" applyBorder="1" applyAlignment="1">
      <alignment horizontal="center" vertical="center"/>
    </xf>
    <xf numFmtId="0" fontId="104" fillId="0" borderId="2" xfId="0" applyFont="1" applyBorder="1" applyAlignment="1">
      <alignment horizontal="center" vertical="center"/>
    </xf>
    <xf numFmtId="0" fontId="27" fillId="0" borderId="0" xfId="0" quotePrefix="1" applyFont="1" applyAlignment="1">
      <alignment horizontal="center" vertical="center" wrapText="1"/>
    </xf>
    <xf numFmtId="0" fontId="130" fillId="0" borderId="0" xfId="0" applyFont="1" applyAlignment="1">
      <alignment horizontal="center" vertical="center" wrapText="1"/>
    </xf>
    <xf numFmtId="0" fontId="96" fillId="0" borderId="0" xfId="1" applyFont="1" applyFill="1" applyAlignment="1">
      <alignment vertical="center"/>
    </xf>
    <xf numFmtId="0" fontId="131" fillId="0" borderId="0" xfId="0" applyFont="1" applyAlignment="1">
      <alignment vertical="center"/>
    </xf>
    <xf numFmtId="0" fontId="132" fillId="0" borderId="0" xfId="0" applyFont="1" applyAlignment="1">
      <alignment vertical="center"/>
    </xf>
    <xf numFmtId="0" fontId="133" fillId="0" borderId="0" xfId="0" applyFont="1" applyAlignment="1">
      <alignment horizontal="left" vertical="center"/>
    </xf>
    <xf numFmtId="0" fontId="134" fillId="0" borderId="0" xfId="0" applyFont="1" applyAlignment="1">
      <alignment vertical="center"/>
    </xf>
    <xf numFmtId="0" fontId="135" fillId="0" borderId="0" xfId="0" applyFont="1" applyAlignment="1">
      <alignment horizontal="center" vertical="center" wrapText="1"/>
    </xf>
    <xf numFmtId="0" fontId="136" fillId="0" borderId="1" xfId="0" applyFont="1" applyBorder="1" applyAlignment="1">
      <alignment horizontal="left" vertical="center"/>
    </xf>
    <xf numFmtId="0" fontId="136" fillId="0" borderId="2" xfId="0" applyFont="1" applyBorder="1" applyAlignment="1">
      <alignment vertical="center"/>
    </xf>
    <xf numFmtId="0" fontId="137" fillId="0" borderId="2" xfId="0" applyFont="1" applyBorder="1" applyAlignment="1">
      <alignment horizontal="center" vertical="center" wrapText="1"/>
    </xf>
    <xf numFmtId="0" fontId="139" fillId="0" borderId="0" xfId="0" applyFont="1" applyAlignment="1">
      <alignment horizontal="center" vertical="center" wrapText="1"/>
    </xf>
    <xf numFmtId="0" fontId="140" fillId="5" borderId="4" xfId="0" applyFont="1" applyFill="1" applyBorder="1" applyAlignment="1">
      <alignment vertical="center"/>
    </xf>
    <xf numFmtId="0" fontId="140" fillId="5" borderId="5" xfId="0" applyFont="1" applyFill="1" applyBorder="1" applyAlignment="1">
      <alignment horizontal="left" vertical="center"/>
    </xf>
    <xf numFmtId="0" fontId="69" fillId="5" borderId="5" xfId="0" applyFont="1" applyFill="1" applyBorder="1" applyAlignment="1">
      <alignment horizontal="center" vertical="center"/>
    </xf>
    <xf numFmtId="0" fontId="55" fillId="5" borderId="5" xfId="0" applyFont="1" applyFill="1" applyBorder="1" applyAlignment="1">
      <alignment horizontal="right" vertical="center"/>
    </xf>
    <xf numFmtId="0" fontId="142" fillId="5" borderId="5" xfId="0" applyFont="1" applyFill="1" applyBorder="1" applyAlignment="1">
      <alignment horizontal="center" vertical="center" wrapText="1"/>
    </xf>
    <xf numFmtId="0" fontId="143" fillId="5" borderId="5" xfId="0" applyFont="1" applyFill="1" applyBorder="1" applyAlignment="1">
      <alignment horizontal="center" vertical="center"/>
    </xf>
    <xf numFmtId="0" fontId="110" fillId="5" borderId="11" xfId="0" applyFont="1" applyFill="1" applyBorder="1" applyAlignment="1">
      <alignment vertical="center" wrapText="1"/>
    </xf>
    <xf numFmtId="0" fontId="110" fillId="5" borderId="0" xfId="0" applyFont="1" applyFill="1" applyAlignment="1">
      <alignment vertical="center" wrapText="1"/>
    </xf>
    <xf numFmtId="0" fontId="110" fillId="5" borderId="12" xfId="0" applyFont="1" applyFill="1" applyBorder="1" applyAlignment="1">
      <alignment vertical="center" wrapText="1"/>
    </xf>
    <xf numFmtId="0" fontId="77" fillId="5" borderId="11" xfId="0" applyFont="1" applyFill="1" applyBorder="1" applyAlignment="1">
      <alignment vertical="center"/>
    </xf>
    <xf numFmtId="0" fontId="77" fillId="5" borderId="0" xfId="0" applyFont="1" applyFill="1" applyAlignment="1">
      <alignment horizontal="center" vertical="center"/>
    </xf>
    <xf numFmtId="0" fontId="69" fillId="5" borderId="0" xfId="0" applyFont="1" applyFill="1" applyAlignment="1">
      <alignment horizontal="center" vertical="center"/>
    </xf>
    <xf numFmtId="0" fontId="71" fillId="5" borderId="0" xfId="0" applyFont="1" applyFill="1" applyAlignment="1">
      <alignment horizontal="center" vertical="center"/>
    </xf>
    <xf numFmtId="0" fontId="143" fillId="5" borderId="0" xfId="0" applyFont="1" applyFill="1" applyAlignment="1">
      <alignment horizontal="center" vertical="center"/>
    </xf>
    <xf numFmtId="0" fontId="29" fillId="5" borderId="11" xfId="0" applyFont="1" applyFill="1" applyBorder="1" applyAlignment="1">
      <alignment vertical="center"/>
    </xf>
    <xf numFmtId="0" fontId="142" fillId="5" borderId="0" xfId="0" applyFont="1" applyFill="1" applyAlignment="1">
      <alignment horizontal="center" vertical="center" wrapText="1"/>
    </xf>
    <xf numFmtId="0" fontId="69" fillId="5" borderId="8" xfId="0" applyFont="1" applyFill="1" applyBorder="1" applyAlignment="1">
      <alignment horizontal="center" vertical="center"/>
    </xf>
    <xf numFmtId="0" fontId="68" fillId="0" borderId="0" xfId="0" applyFont="1" applyAlignment="1">
      <alignment horizontal="center" vertical="center" wrapText="1"/>
    </xf>
    <xf numFmtId="0" fontId="40" fillId="0" borderId="0" xfId="0" applyFont="1" applyAlignment="1">
      <alignment horizontal="center" vertical="center" wrapText="1"/>
    </xf>
    <xf numFmtId="0" fontId="31" fillId="0" borderId="0" xfId="0" applyFont="1" applyAlignment="1">
      <alignment horizontal="left" vertical="center"/>
    </xf>
    <xf numFmtId="0" fontId="146" fillId="0" borderId="0" xfId="0" applyFont="1" applyAlignment="1">
      <alignment vertical="center"/>
    </xf>
    <xf numFmtId="0" fontId="146" fillId="0" borderId="0" xfId="0" applyFont="1" applyAlignment="1">
      <alignment horizontal="right" vertical="center"/>
    </xf>
    <xf numFmtId="0" fontId="29" fillId="0" borderId="13" xfId="0" applyFont="1" applyBorder="1" applyAlignment="1">
      <alignment vertical="center"/>
    </xf>
    <xf numFmtId="0" fontId="76" fillId="0" borderId="10" xfId="0" applyFont="1" applyBorder="1" applyAlignment="1">
      <alignment horizontal="left" vertical="center"/>
    </xf>
    <xf numFmtId="0" fontId="75" fillId="0" borderId="0" xfId="0" quotePrefix="1" applyFont="1" applyAlignment="1">
      <alignment horizontal="center" vertical="center"/>
    </xf>
    <xf numFmtId="0" fontId="76" fillId="0" borderId="10" xfId="1" applyFont="1" applyFill="1" applyBorder="1" applyAlignment="1">
      <alignment vertical="center"/>
    </xf>
    <xf numFmtId="0" fontId="72" fillId="0" borderId="0" xfId="1" applyFont="1" applyFill="1" applyBorder="1" applyAlignment="1">
      <alignment vertical="center"/>
    </xf>
    <xf numFmtId="0" fontId="98" fillId="0" borderId="0" xfId="0" applyFont="1" applyAlignment="1">
      <alignment vertical="center"/>
    </xf>
    <xf numFmtId="0" fontId="29" fillId="0" borderId="0" xfId="0" applyFont="1" applyAlignment="1">
      <alignment vertical="center" wrapText="1"/>
    </xf>
    <xf numFmtId="0" fontId="115" fillId="0" borderId="13" xfId="0" applyFont="1" applyBorder="1" applyAlignment="1">
      <alignment horizontal="left" vertical="center"/>
    </xf>
    <xf numFmtId="0" fontId="115" fillId="0" borderId="14" xfId="0" applyFont="1" applyBorder="1" applyAlignment="1">
      <alignment horizontal="left" vertical="center"/>
    </xf>
    <xf numFmtId="0" fontId="148" fillId="0" borderId="0" xfId="0" applyFont="1" applyAlignment="1">
      <alignment vertical="center"/>
    </xf>
    <xf numFmtId="0" fontId="100" fillId="0" borderId="0" xfId="0" quotePrefix="1" applyFont="1" applyAlignment="1">
      <alignment vertical="center"/>
    </xf>
    <xf numFmtId="167" fontId="31" fillId="0" borderId="0" xfId="0" applyNumberFormat="1" applyFont="1" applyAlignment="1">
      <alignment vertical="center"/>
    </xf>
    <xf numFmtId="167" fontId="33" fillId="0" borderId="0" xfId="0" applyNumberFormat="1" applyFont="1" applyAlignment="1">
      <alignment horizontal="right" vertical="center"/>
    </xf>
    <xf numFmtId="0" fontId="82" fillId="0" borderId="14" xfId="1" applyFont="1" applyFill="1" applyBorder="1" applyAlignment="1">
      <alignment vertical="center"/>
    </xf>
    <xf numFmtId="165" fontId="72" fillId="0" borderId="0" xfId="0" applyNumberFormat="1" applyFont="1" applyAlignment="1">
      <alignment horizontal="center" vertical="center"/>
    </xf>
    <xf numFmtId="165" fontId="72" fillId="0" borderId="0" xfId="0" quotePrefix="1" applyNumberFormat="1" applyFont="1" applyAlignment="1">
      <alignment horizontal="center" vertical="center"/>
    </xf>
    <xf numFmtId="0" fontId="29" fillId="0" borderId="10" xfId="0" applyFont="1" applyBorder="1" applyAlignment="1">
      <alignment vertical="center"/>
    </xf>
    <xf numFmtId="0" fontId="76" fillId="0" borderId="4" xfId="0" applyFont="1" applyBorder="1" applyAlignment="1">
      <alignment vertical="center"/>
    </xf>
    <xf numFmtId="0" fontId="77" fillId="0" borderId="19" xfId="0" quotePrefix="1" applyFont="1" applyBorder="1" applyAlignment="1">
      <alignment horizontal="center" vertical="center" wrapText="1"/>
    </xf>
    <xf numFmtId="0" fontId="69" fillId="0" borderId="20" xfId="0" applyFont="1" applyBorder="1" applyAlignment="1">
      <alignment horizontal="center" vertical="center"/>
    </xf>
    <xf numFmtId="0" fontId="38" fillId="0" borderId="20" xfId="0" applyFont="1" applyBorder="1" applyAlignment="1">
      <alignment horizontal="center" vertical="center"/>
    </xf>
    <xf numFmtId="0" fontId="31" fillId="0" borderId="20" xfId="0" applyFont="1" applyBorder="1" applyAlignment="1">
      <alignment horizontal="center" vertical="center" wrapText="1"/>
    </xf>
    <xf numFmtId="0" fontId="78" fillId="0" borderId="11" xfId="0" applyFont="1" applyBorder="1" applyAlignment="1">
      <alignment vertical="center"/>
    </xf>
    <xf numFmtId="0" fontId="77" fillId="0" borderId="21" xfId="0" quotePrefix="1" applyFont="1" applyBorder="1" applyAlignment="1">
      <alignment horizontal="center" vertical="center" wrapText="1"/>
    </xf>
    <xf numFmtId="0" fontId="78" fillId="0" borderId="7" xfId="0" quotePrefix="1" applyFont="1" applyBorder="1" applyAlignment="1">
      <alignment vertical="center"/>
    </xf>
    <xf numFmtId="0" fontId="27" fillId="0" borderId="4" xfId="0" applyFont="1" applyBorder="1" applyAlignment="1">
      <alignment vertical="center"/>
    </xf>
    <xf numFmtId="0" fontId="48" fillId="0" borderId="7" xfId="0" quotePrefix="1" applyFont="1" applyBorder="1" applyAlignment="1">
      <alignment vertical="center"/>
    </xf>
    <xf numFmtId="0" fontId="29" fillId="0" borderId="11" xfId="0" applyFont="1" applyBorder="1" applyAlignment="1">
      <alignment vertical="center"/>
    </xf>
    <xf numFmtId="0" fontId="29" fillId="0" borderId="7" xfId="0" applyFont="1" applyBorder="1" applyAlignment="1">
      <alignment vertical="center"/>
    </xf>
    <xf numFmtId="0" fontId="54" fillId="0" borderId="22" xfId="0" applyFont="1" applyBorder="1" applyAlignment="1">
      <alignment horizontal="center" vertical="center"/>
    </xf>
    <xf numFmtId="0" fontId="69" fillId="0" borderId="23" xfId="0" applyFont="1" applyBorder="1" applyAlignment="1">
      <alignment horizontal="center" vertical="center"/>
    </xf>
    <xf numFmtId="0" fontId="39" fillId="0" borderId="23" xfId="0" applyFont="1" applyBorder="1" applyAlignment="1">
      <alignment horizontal="center" vertical="center"/>
    </xf>
    <xf numFmtId="0" fontId="31" fillId="0" borderId="23" xfId="0" applyFont="1" applyBorder="1" applyAlignment="1">
      <alignment horizontal="center" vertical="center" wrapText="1"/>
    </xf>
    <xf numFmtId="0" fontId="27" fillId="0" borderId="0" xfId="0" applyFont="1" applyAlignment="1">
      <alignment horizontal="justify" vertical="center"/>
    </xf>
    <xf numFmtId="0" fontId="83" fillId="0" borderId="0" xfId="1" applyFont="1" applyFill="1" applyBorder="1" applyAlignment="1">
      <alignment horizontal="justify" vertical="center"/>
    </xf>
    <xf numFmtId="0" fontId="91" fillId="0" borderId="0" xfId="0" applyFont="1" applyAlignment="1">
      <alignment horizontal="right" vertical="center"/>
    </xf>
    <xf numFmtId="0" fontId="129" fillId="0" borderId="0" xfId="0" applyFont="1" applyAlignment="1">
      <alignment vertical="center"/>
    </xf>
    <xf numFmtId="0" fontId="29" fillId="0" borderId="0" xfId="0" applyFont="1" applyAlignment="1">
      <alignment horizontal="left" vertical="center" wrapText="1"/>
    </xf>
    <xf numFmtId="0" fontId="75" fillId="0" borderId="0" xfId="0" applyFont="1" applyAlignment="1">
      <alignment horizontal="left" vertical="center"/>
    </xf>
    <xf numFmtId="0" fontId="152" fillId="0" borderId="1" xfId="0" applyFont="1" applyBorder="1" applyAlignment="1">
      <alignment horizontal="left" vertical="center"/>
    </xf>
    <xf numFmtId="0" fontId="140" fillId="6" borderId="4" xfId="0" applyFont="1" applyFill="1" applyBorder="1" applyAlignment="1">
      <alignment vertical="center"/>
    </xf>
    <xf numFmtId="0" fontId="140" fillId="6" borderId="5" xfId="0" applyFont="1" applyFill="1" applyBorder="1" applyAlignment="1">
      <alignment horizontal="center" vertical="center" wrapText="1"/>
    </xf>
    <xf numFmtId="0" fontId="69" fillId="6" borderId="5" xfId="0" applyFont="1" applyFill="1" applyBorder="1" applyAlignment="1">
      <alignment horizontal="center" vertical="center"/>
    </xf>
    <xf numFmtId="0" fontId="55" fillId="6" borderId="5" xfId="0" applyFont="1" applyFill="1" applyBorder="1" applyAlignment="1">
      <alignment horizontal="right" vertical="center"/>
    </xf>
    <xf numFmtId="0" fontId="142" fillId="6" borderId="5" xfId="0" applyFont="1" applyFill="1" applyBorder="1" applyAlignment="1">
      <alignment horizontal="center" vertical="center" wrapText="1"/>
    </xf>
    <xf numFmtId="0" fontId="143" fillId="6" borderId="5" xfId="0" applyFont="1" applyFill="1" applyBorder="1" applyAlignment="1">
      <alignment horizontal="center" vertical="center"/>
    </xf>
    <xf numFmtId="0" fontId="110" fillId="6" borderId="0" xfId="0" applyFont="1" applyFill="1" applyAlignment="1">
      <alignment vertical="center" wrapText="1"/>
    </xf>
    <xf numFmtId="0" fontId="110" fillId="6" borderId="0" xfId="0" applyFont="1" applyFill="1" applyAlignment="1">
      <alignment vertical="center"/>
    </xf>
    <xf numFmtId="0" fontId="110" fillId="6" borderId="12" xfId="0" applyFont="1" applyFill="1" applyBorder="1" applyAlignment="1">
      <alignment vertical="center" wrapText="1"/>
    </xf>
    <xf numFmtId="0" fontId="77" fillId="6" borderId="11" xfId="0" applyFont="1" applyFill="1" applyBorder="1" applyAlignment="1">
      <alignment vertical="center"/>
    </xf>
    <xf numFmtId="0" fontId="77" fillId="6" borderId="0" xfId="0" applyFont="1" applyFill="1" applyAlignment="1">
      <alignment horizontal="center" vertical="center"/>
    </xf>
    <xf numFmtId="0" fontId="69" fillId="6" borderId="0" xfId="0" applyFont="1" applyFill="1" applyAlignment="1">
      <alignment horizontal="center" vertical="center"/>
    </xf>
    <xf numFmtId="0" fontId="71" fillId="6" borderId="0" xfId="0" applyFont="1" applyFill="1" applyAlignment="1">
      <alignment horizontal="center" vertical="center"/>
    </xf>
    <xf numFmtId="0" fontId="143" fillId="6" borderId="0" xfId="0" applyFont="1" applyFill="1" applyAlignment="1">
      <alignment horizontal="center" vertical="center"/>
    </xf>
    <xf numFmtId="0" fontId="29" fillId="6" borderId="11" xfId="0" applyFont="1" applyFill="1" applyBorder="1" applyAlignment="1">
      <alignment vertical="center"/>
    </xf>
    <xf numFmtId="0" fontId="38" fillId="6" borderId="0" xfId="0" applyFont="1" applyFill="1" applyAlignment="1">
      <alignment horizontal="center" vertical="center"/>
    </xf>
    <xf numFmtId="0" fontId="31" fillId="6" borderId="0" xfId="0" applyFont="1" applyFill="1" applyAlignment="1">
      <alignment horizontal="center" vertical="center" wrapText="1"/>
    </xf>
    <xf numFmtId="0" fontId="29" fillId="6" borderId="7" xfId="0" applyFont="1" applyFill="1" applyBorder="1" applyAlignment="1">
      <alignment vertical="center"/>
    </xf>
    <xf numFmtId="0" fontId="69" fillId="6" borderId="8" xfId="0" applyFont="1" applyFill="1" applyBorder="1" applyAlignment="1">
      <alignment horizontal="center" vertical="center"/>
    </xf>
    <xf numFmtId="0" fontId="100" fillId="0" borderId="0" xfId="0" applyFont="1" applyAlignment="1">
      <alignment horizontal="center" vertical="center"/>
    </xf>
    <xf numFmtId="0" fontId="153" fillId="0" borderId="0" xfId="0" applyFont="1" applyAlignment="1">
      <alignment horizontal="center" vertical="center"/>
    </xf>
    <xf numFmtId="0" fontId="147" fillId="0" borderId="0" xfId="0" applyFont="1" applyAlignment="1">
      <alignment horizontal="center" vertical="center"/>
    </xf>
    <xf numFmtId="0" fontId="115" fillId="0" borderId="14" xfId="0" applyFont="1" applyBorder="1" applyAlignment="1">
      <alignment vertical="center"/>
    </xf>
    <xf numFmtId="0" fontId="98" fillId="0" borderId="0" xfId="0" applyFont="1" applyAlignment="1">
      <alignment vertical="center" wrapText="1"/>
    </xf>
    <xf numFmtId="0" fontId="155" fillId="0" borderId="0" xfId="0" applyFont="1" applyAlignment="1">
      <alignment vertical="center"/>
    </xf>
    <xf numFmtId="0" fontId="39" fillId="0" borderId="0" xfId="0" applyFont="1" applyAlignment="1">
      <alignment vertical="center"/>
    </xf>
    <xf numFmtId="0" fontId="97" fillId="0" borderId="0" xfId="0" applyFont="1" applyAlignment="1">
      <alignment vertical="center"/>
    </xf>
    <xf numFmtId="0" fontId="72" fillId="0" borderId="11" xfId="0" applyFont="1" applyBorder="1" applyAlignment="1">
      <alignment vertical="center"/>
    </xf>
    <xf numFmtId="0" fontId="72" fillId="0" borderId="12" xfId="0" applyFont="1" applyBorder="1" applyAlignment="1">
      <alignment vertical="center"/>
    </xf>
    <xf numFmtId="0" fontId="72" fillId="0" borderId="7" xfId="0" applyFont="1" applyBorder="1" applyAlignment="1">
      <alignment vertical="center"/>
    </xf>
    <xf numFmtId="0" fontId="72" fillId="0" borderId="8" xfId="0" applyFont="1" applyBorder="1" applyAlignment="1">
      <alignment horizontal="center" vertical="center"/>
    </xf>
    <xf numFmtId="0" fontId="72" fillId="0" borderId="8" xfId="0" applyFont="1" applyBorder="1" applyAlignment="1">
      <alignment vertical="center"/>
    </xf>
    <xf numFmtId="0" fontId="156" fillId="0" borderId="0" xfId="0" applyFont="1" applyAlignment="1">
      <alignment horizontal="center" vertical="center" wrapText="1"/>
    </xf>
    <xf numFmtId="0" fontId="75" fillId="0" borderId="0" xfId="0" applyFont="1" applyAlignment="1">
      <alignment horizontal="left" vertical="center" wrapText="1"/>
    </xf>
    <xf numFmtId="0" fontId="125" fillId="0" borderId="0" xfId="0" applyFont="1" applyAlignment="1">
      <alignment horizontal="left" vertical="center" wrapText="1"/>
    </xf>
    <xf numFmtId="0" fontId="78" fillId="0" borderId="15" xfId="0" applyFont="1" applyBorder="1" applyAlignment="1">
      <alignment vertical="center"/>
    </xf>
    <xf numFmtId="165" fontId="72" fillId="0" borderId="0" xfId="0" applyNumberFormat="1" applyFont="1" applyAlignment="1">
      <alignment horizontal="left" vertical="center"/>
    </xf>
    <xf numFmtId="0" fontId="42" fillId="0" borderId="0" xfId="1" applyFont="1" applyFill="1" applyAlignment="1">
      <alignment vertical="center"/>
    </xf>
    <xf numFmtId="165" fontId="31" fillId="0" borderId="0" xfId="0" applyNumberFormat="1" applyFont="1" applyAlignment="1">
      <alignment horizontal="right" vertical="center"/>
    </xf>
    <xf numFmtId="165" fontId="33" fillId="0" borderId="0" xfId="0" applyNumberFormat="1" applyFont="1" applyAlignment="1">
      <alignment horizontal="right" vertical="center"/>
    </xf>
    <xf numFmtId="0" fontId="91" fillId="0" borderId="0" xfId="0" applyFont="1" applyAlignment="1">
      <alignment vertical="center"/>
    </xf>
    <xf numFmtId="0" fontId="77" fillId="0" borderId="4" xfId="0" quotePrefix="1" applyFont="1" applyBorder="1" applyAlignment="1">
      <alignment horizontal="center" vertical="center" wrapText="1"/>
    </xf>
    <xf numFmtId="0" fontId="38" fillId="0" borderId="5" xfId="0" applyFont="1" applyBorder="1" applyAlignment="1">
      <alignment horizontal="center" vertical="center"/>
    </xf>
    <xf numFmtId="0" fontId="77" fillId="0" borderId="11" xfId="0" quotePrefix="1" applyFont="1" applyBorder="1" applyAlignment="1">
      <alignment horizontal="center" vertical="center" wrapText="1"/>
    </xf>
    <xf numFmtId="0" fontId="78" fillId="0" borderId="14" xfId="0" quotePrefix="1" applyFont="1" applyBorder="1" applyAlignment="1">
      <alignment vertical="center"/>
    </xf>
    <xf numFmtId="0" fontId="27" fillId="0" borderId="13" xfId="0" applyFont="1" applyBorder="1" applyAlignment="1">
      <alignment vertical="center"/>
    </xf>
    <xf numFmtId="0" fontId="48" fillId="0" borderId="15" xfId="0" quotePrefix="1" applyFont="1" applyBorder="1" applyAlignment="1">
      <alignment vertical="center"/>
    </xf>
    <xf numFmtId="0" fontId="27" fillId="0" borderId="15" xfId="0" applyFont="1" applyBorder="1" applyAlignment="1">
      <alignment vertical="center"/>
    </xf>
    <xf numFmtId="0" fontId="29" fillId="0" borderId="15" xfId="0" applyFont="1" applyBorder="1" applyAlignment="1">
      <alignment vertical="center"/>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158" fillId="0" borderId="1" xfId="0" applyFont="1" applyBorder="1" applyAlignment="1">
      <alignment vertical="center"/>
    </xf>
    <xf numFmtId="0" fontId="33" fillId="0" borderId="2" xfId="0" applyFont="1" applyBorder="1" applyAlignment="1">
      <alignment horizontal="center" vertical="center" wrapText="1"/>
    </xf>
    <xf numFmtId="0" fontId="151" fillId="0" borderId="3" xfId="0" applyFont="1" applyBorder="1" applyAlignment="1">
      <alignment horizontal="right" vertical="center" wrapText="1"/>
    </xf>
    <xf numFmtId="0" fontId="159" fillId="0" borderId="0" xfId="0" applyFont="1" applyAlignment="1">
      <alignment horizontal="left" vertical="center" wrapText="1"/>
    </xf>
    <xf numFmtId="0" fontId="160" fillId="0" borderId="13" xfId="0" applyFont="1" applyBorder="1" applyAlignment="1">
      <alignment vertical="center"/>
    </xf>
    <xf numFmtId="0" fontId="72" fillId="0" borderId="0" xfId="0" quotePrefix="1" applyFont="1" applyAlignment="1">
      <alignment vertical="center"/>
    </xf>
    <xf numFmtId="0" fontId="104" fillId="0" borderId="1" xfId="0" applyFont="1" applyBorder="1" applyAlignment="1">
      <alignment horizontal="center" vertical="center"/>
    </xf>
    <xf numFmtId="0" fontId="104" fillId="0" borderId="3" xfId="0" applyFont="1" applyBorder="1" applyAlignment="1">
      <alignment horizontal="center" vertical="center" wrapText="1"/>
    </xf>
    <xf numFmtId="0" fontId="27" fillId="0" borderId="0" xfId="1" applyFont="1" applyFill="1" applyBorder="1" applyAlignment="1">
      <alignment horizontal="center" vertical="center" wrapText="1"/>
    </xf>
    <xf numFmtId="0" fontId="27" fillId="0" borderId="0" xfId="1" quotePrefix="1" applyFont="1" applyFill="1" applyBorder="1" applyAlignment="1">
      <alignment horizontal="center" vertical="center" wrapText="1"/>
    </xf>
    <xf numFmtId="0" fontId="75" fillId="0" borderId="0" xfId="1" quotePrefix="1" applyFont="1" applyFill="1" applyBorder="1" applyAlignment="1">
      <alignment horizontal="center" vertical="center" wrapText="1"/>
    </xf>
    <xf numFmtId="0" fontId="161" fillId="0" borderId="0" xfId="0" applyFont="1" applyAlignment="1">
      <alignment vertical="center"/>
    </xf>
    <xf numFmtId="0" fontId="72" fillId="0" borderId="0" xfId="1" quotePrefix="1" applyFont="1" applyFill="1" applyBorder="1" applyAlignment="1">
      <alignment horizontal="center" vertical="center"/>
    </xf>
    <xf numFmtId="0" fontId="55" fillId="0" borderId="13" xfId="0" applyFont="1" applyBorder="1" applyAlignment="1">
      <alignment vertical="center"/>
    </xf>
    <xf numFmtId="0" fontId="55" fillId="0" borderId="14" xfId="0" applyFont="1" applyBorder="1" applyAlignment="1">
      <alignment vertical="center"/>
    </xf>
    <xf numFmtId="0" fontId="162" fillId="0" borderId="0" xfId="1" applyFont="1" applyFill="1" applyAlignment="1">
      <alignment vertical="center"/>
    </xf>
    <xf numFmtId="0" fontId="163" fillId="0" borderId="0" xfId="0" applyFont="1" applyAlignment="1">
      <alignment horizontal="center" vertical="center"/>
    </xf>
    <xf numFmtId="0" fontId="164" fillId="0" borderId="0" xfId="0" applyFont="1" applyAlignment="1">
      <alignment vertical="center"/>
    </xf>
    <xf numFmtId="0" fontId="77" fillId="0" borderId="0" xfId="0" applyFont="1" applyAlignment="1">
      <alignment vertical="center"/>
    </xf>
    <xf numFmtId="0" fontId="165" fillId="0" borderId="1" xfId="1" applyFont="1" applyFill="1" applyBorder="1" applyAlignment="1">
      <alignment horizontal="left" vertical="center"/>
    </xf>
    <xf numFmtId="9" fontId="31" fillId="0" borderId="0" xfId="0" applyNumberFormat="1" applyFont="1" applyAlignment="1">
      <alignment horizontal="center" vertical="center" wrapText="1"/>
    </xf>
    <xf numFmtId="0" fontId="126" fillId="0" borderId="0" xfId="1" applyFont="1" applyAlignment="1">
      <alignment horizontal="center" vertical="center" wrapText="1"/>
    </xf>
    <xf numFmtId="0" fontId="40" fillId="0" borderId="0" xfId="0" applyFont="1" applyAlignment="1">
      <alignment horizontal="left" vertical="center"/>
    </xf>
    <xf numFmtId="0" fontId="77" fillId="0" borderId="4" xfId="0" applyFont="1" applyBorder="1" applyAlignment="1">
      <alignment horizontal="center" vertical="center" wrapText="1"/>
    </xf>
    <xf numFmtId="0" fontId="127" fillId="0" borderId="5" xfId="0" applyFont="1" applyBorder="1" applyAlignment="1">
      <alignment horizontal="center" vertical="center"/>
    </xf>
    <xf numFmtId="0" fontId="32" fillId="0" borderId="5" xfId="0" applyFont="1" applyBorder="1" applyAlignment="1">
      <alignment horizontal="left" vertical="center"/>
    </xf>
    <xf numFmtId="0" fontId="40" fillId="0" borderId="5" xfId="0" applyFont="1" applyBorder="1" applyAlignment="1">
      <alignment horizontal="left" vertical="center"/>
    </xf>
    <xf numFmtId="0" fontId="127" fillId="0" borderId="0" xfId="0" quotePrefix="1" applyFont="1" applyAlignment="1">
      <alignment horizontal="center" vertical="center"/>
    </xf>
    <xf numFmtId="0" fontId="32" fillId="0" borderId="0" xfId="0" quotePrefix="1" applyFont="1" applyAlignment="1">
      <alignment horizontal="left" vertical="center"/>
    </xf>
    <xf numFmtId="0" fontId="126" fillId="0" borderId="7" xfId="1" applyFont="1" applyFill="1" applyBorder="1" applyAlignment="1">
      <alignment horizontal="center" vertical="center" wrapText="1"/>
    </xf>
    <xf numFmtId="0" fontId="40" fillId="0" borderId="8" xfId="0" applyFont="1" applyBorder="1" applyAlignment="1">
      <alignment horizontal="left" vertical="center"/>
    </xf>
    <xf numFmtId="0" fontId="166" fillId="0" borderId="1" xfId="1" applyFont="1" applyFill="1" applyBorder="1" applyAlignment="1">
      <alignment horizontal="left" vertical="center"/>
    </xf>
    <xf numFmtId="0" fontId="38" fillId="0" borderId="2" xfId="0" applyFont="1" applyBorder="1" applyAlignment="1">
      <alignment horizontal="center" vertical="center"/>
    </xf>
    <xf numFmtId="0" fontId="30" fillId="0" borderId="1" xfId="0" applyFont="1" applyBorder="1" applyAlignment="1">
      <alignment vertical="center"/>
    </xf>
    <xf numFmtId="0" fontId="167" fillId="0" borderId="2" xfId="0" applyFont="1" applyBorder="1" applyAlignment="1">
      <alignment horizontal="center" vertical="center" wrapText="1"/>
    </xf>
    <xf numFmtId="0" fontId="161" fillId="0" borderId="0" xfId="0" applyFont="1" applyAlignment="1">
      <alignment horizontal="center" vertical="center" wrapText="1"/>
    </xf>
    <xf numFmtId="0" fontId="167" fillId="0" borderId="0" xfId="0" applyFont="1" applyAlignment="1">
      <alignment horizontal="center" vertical="center" wrapText="1"/>
    </xf>
    <xf numFmtId="0" fontId="112" fillId="0" borderId="0" xfId="0" applyFont="1" applyAlignment="1">
      <alignment horizontal="center" vertical="center" wrapText="1"/>
    </xf>
    <xf numFmtId="0" fontId="29" fillId="4" borderId="0" xfId="0" applyFont="1" applyFill="1" applyAlignment="1">
      <alignment horizontal="center" vertical="center" wrapText="1"/>
    </xf>
    <xf numFmtId="0" fontId="98" fillId="4" borderId="0" xfId="0" applyFont="1" applyFill="1" applyAlignment="1">
      <alignment vertical="center" wrapText="1"/>
    </xf>
    <xf numFmtId="0" fontId="89" fillId="0" borderId="1" xfId="0" applyFont="1" applyBorder="1" applyAlignment="1">
      <alignment vertical="center"/>
    </xf>
    <xf numFmtId="0" fontId="168" fillId="0" borderId="4" xfId="0" applyFont="1" applyBorder="1" applyAlignment="1">
      <alignment horizontal="center" vertical="center"/>
    </xf>
    <xf numFmtId="0" fontId="72" fillId="0" borderId="11" xfId="0" applyFont="1" applyBorder="1" applyAlignment="1">
      <alignment horizontal="left" vertical="center" wrapText="1"/>
    </xf>
    <xf numFmtId="0" fontId="89" fillId="0" borderId="12" xfId="0" applyFont="1" applyBorder="1" applyAlignment="1">
      <alignment vertical="center"/>
    </xf>
    <xf numFmtId="0" fontId="72" fillId="0" borderId="11" xfId="0" applyFont="1" applyBorder="1" applyAlignment="1">
      <alignment horizontal="left" vertical="center"/>
    </xf>
    <xf numFmtId="0" fontId="31" fillId="0" borderId="12" xfId="0" applyFont="1" applyBorder="1" applyAlignment="1">
      <alignment horizontal="right" vertical="center"/>
    </xf>
    <xf numFmtId="0" fontId="131" fillId="0" borderId="0" xfId="0" applyFont="1" applyAlignment="1">
      <alignment horizontal="left" vertical="center"/>
    </xf>
    <xf numFmtId="0" fontId="168" fillId="0" borderId="11" xfId="0" applyFont="1" applyBorder="1" applyAlignment="1">
      <alignment horizontal="center" vertical="center"/>
    </xf>
    <xf numFmtId="0" fontId="72" fillId="0" borderId="11" xfId="0" applyFont="1" applyBorder="1" applyAlignment="1">
      <alignment vertical="center" wrapText="1"/>
    </xf>
    <xf numFmtId="0" fontId="118" fillId="0" borderId="11" xfId="0" applyFont="1" applyBorder="1" applyAlignment="1">
      <alignment vertical="center"/>
    </xf>
    <xf numFmtId="0" fontId="94" fillId="0" borderId="7" xfId="0" applyFont="1" applyBorder="1" applyAlignment="1">
      <alignment vertical="center"/>
    </xf>
    <xf numFmtId="0" fontId="27" fillId="0" borderId="14" xfId="0" applyFont="1" applyBorder="1" applyAlignment="1">
      <alignment vertical="center"/>
    </xf>
    <xf numFmtId="0" fontId="89" fillId="0" borderId="2" xfId="0" applyFont="1" applyBorder="1" applyAlignment="1">
      <alignment horizontal="left" vertical="center"/>
    </xf>
    <xf numFmtId="0" fontId="27" fillId="0" borderId="4" xfId="0" applyFont="1" applyBorder="1" applyAlignment="1">
      <alignment horizontal="center" vertical="center"/>
    </xf>
    <xf numFmtId="0" fontId="31" fillId="0" borderId="5" xfId="0" applyFont="1" applyBorder="1" applyAlignment="1">
      <alignment horizontal="center" vertical="center"/>
    </xf>
    <xf numFmtId="0" fontId="31" fillId="0" borderId="6" xfId="0" applyFont="1" applyBorder="1" applyAlignment="1">
      <alignment horizontal="center" vertical="center"/>
    </xf>
    <xf numFmtId="0" fontId="27" fillId="0" borderId="11" xfId="0" applyFont="1" applyBorder="1" applyAlignment="1">
      <alignment horizontal="center" vertical="center"/>
    </xf>
    <xf numFmtId="0" fontId="31" fillId="0" borderId="12" xfId="0" applyFont="1" applyBorder="1" applyAlignment="1">
      <alignment horizontal="center" vertical="center"/>
    </xf>
    <xf numFmtId="0" fontId="27" fillId="0" borderId="7" xfId="0" applyFont="1" applyBorder="1" applyAlignment="1">
      <alignment horizontal="center" vertical="center"/>
    </xf>
    <xf numFmtId="0" fontId="31" fillId="0" borderId="8" xfId="0" applyFont="1" applyBorder="1" applyAlignment="1">
      <alignment horizontal="center" vertical="center"/>
    </xf>
    <xf numFmtId="0" fontId="31" fillId="0" borderId="9" xfId="0" applyFont="1" applyBorder="1" applyAlignment="1">
      <alignment horizontal="center" vertical="center"/>
    </xf>
    <xf numFmtId="0" fontId="29" fillId="0" borderId="1" xfId="0" applyFont="1" applyBorder="1" applyAlignment="1">
      <alignment horizontal="center" vertical="center"/>
    </xf>
    <xf numFmtId="0" fontId="29" fillId="0" borderId="5" xfId="0" applyFont="1" applyBorder="1" applyAlignment="1">
      <alignment horizontal="center" vertical="center" wrapText="1"/>
    </xf>
    <xf numFmtId="0" fontId="29" fillId="0" borderId="8" xfId="0" applyFont="1" applyBorder="1" applyAlignment="1">
      <alignment horizontal="center" vertical="center" wrapText="1"/>
    </xf>
    <xf numFmtId="0" fontId="98" fillId="0" borderId="14" xfId="0" applyFont="1" applyBorder="1" applyAlignment="1">
      <alignment vertical="center" wrapText="1"/>
    </xf>
    <xf numFmtId="0" fontId="77" fillId="0" borderId="0" xfId="0" applyFont="1" applyAlignment="1">
      <alignment horizontal="left" vertical="center"/>
    </xf>
    <xf numFmtId="0" fontId="89" fillId="0" borderId="0" xfId="0" applyFont="1" applyAlignment="1">
      <alignment vertical="center" wrapText="1"/>
    </xf>
    <xf numFmtId="0" fontId="82" fillId="0" borderId="0" xfId="1" quotePrefix="1" applyFont="1" applyFill="1" applyBorder="1" applyAlignment="1">
      <alignment vertical="center"/>
    </xf>
    <xf numFmtId="0" fontId="113" fillId="4" borderId="0" xfId="1" applyFont="1" applyFill="1" applyBorder="1" applyAlignment="1">
      <alignment vertical="center"/>
    </xf>
    <xf numFmtId="0" fontId="31" fillId="4" borderId="0" xfId="0" applyFont="1" applyFill="1" applyAlignment="1">
      <alignment horizontal="center" vertical="center"/>
    </xf>
    <xf numFmtId="0" fontId="31" fillId="4" borderId="0" xfId="0" applyFont="1" applyFill="1" applyAlignment="1">
      <alignment horizontal="right" vertical="center"/>
    </xf>
    <xf numFmtId="0" fontId="27" fillId="4" borderId="0" xfId="0" applyFont="1" applyFill="1" applyAlignment="1">
      <alignment horizontal="center" vertical="center"/>
    </xf>
    <xf numFmtId="0" fontId="76" fillId="0" borderId="13" xfId="0" quotePrefix="1" applyFont="1" applyBorder="1" applyAlignment="1">
      <alignment vertical="center"/>
    </xf>
    <xf numFmtId="0" fontId="169" fillId="0" borderId="0" xfId="0" applyFont="1" applyAlignment="1">
      <alignment horizontal="center" vertical="center"/>
    </xf>
    <xf numFmtId="9" fontId="27" fillId="0" borderId="0" xfId="0" applyNumberFormat="1" applyFont="1" applyAlignment="1">
      <alignment vertical="center"/>
    </xf>
    <xf numFmtId="0" fontId="104" fillId="0" borderId="4" xfId="0" applyFont="1" applyBorder="1" applyAlignment="1">
      <alignment vertical="center"/>
    </xf>
    <xf numFmtId="0" fontId="170" fillId="0" borderId="0" xfId="0" applyFont="1" applyAlignment="1">
      <alignment horizontal="center" vertical="center"/>
    </xf>
    <xf numFmtId="0" fontId="76" fillId="4" borderId="0" xfId="0" applyFont="1" applyFill="1" applyAlignment="1">
      <alignment vertical="center"/>
    </xf>
    <xf numFmtId="0" fontId="75" fillId="4" borderId="0" xfId="0" applyFont="1" applyFill="1" applyAlignment="1">
      <alignment vertical="center"/>
    </xf>
    <xf numFmtId="0" fontId="172" fillId="0" borderId="0" xfId="0" applyFont="1" applyAlignment="1">
      <alignment horizontal="left" vertical="center" wrapText="1"/>
    </xf>
    <xf numFmtId="0" fontId="173" fillId="0" borderId="0" xfId="0" applyFont="1" applyAlignment="1">
      <alignment horizontal="center" vertical="center" wrapText="1"/>
    </xf>
    <xf numFmtId="0" fontId="174" fillId="0" borderId="0" xfId="0" applyFont="1" applyAlignment="1">
      <alignment horizontal="right" vertical="center"/>
    </xf>
    <xf numFmtId="0" fontId="78" fillId="0" borderId="8" xfId="0" applyFont="1" applyBorder="1" applyAlignment="1">
      <alignment vertical="center"/>
    </xf>
    <xf numFmtId="0" fontId="31" fillId="0" borderId="1" xfId="0" applyFont="1" applyBorder="1" applyAlignment="1">
      <alignment vertical="center"/>
    </xf>
    <xf numFmtId="0" fontId="37" fillId="0" borderId="2" xfId="0" applyFont="1" applyBorder="1" applyAlignment="1">
      <alignment horizontal="center" vertical="center"/>
    </xf>
    <xf numFmtId="0" fontId="55" fillId="0" borderId="1" xfId="0" applyFont="1" applyBorder="1" applyAlignment="1">
      <alignment vertical="center"/>
    </xf>
    <xf numFmtId="0" fontId="33" fillId="0" borderId="1" xfId="0" applyFont="1" applyBorder="1" applyAlignment="1">
      <alignment vertical="center"/>
    </xf>
    <xf numFmtId="0" fontId="29" fillId="0" borderId="2" xfId="0" applyFont="1" applyBorder="1" applyAlignment="1">
      <alignment vertical="center"/>
    </xf>
    <xf numFmtId="0" fontId="112" fillId="0" borderId="0" xfId="0" applyFont="1" applyAlignment="1">
      <alignment vertical="center"/>
    </xf>
    <xf numFmtId="0" fontId="54" fillId="0" borderId="0" xfId="3" applyFont="1" applyAlignment="1">
      <alignment horizontal="center" vertical="center"/>
    </xf>
    <xf numFmtId="0" fontId="42" fillId="0" borderId="0" xfId="1" applyFont="1" applyFill="1" applyAlignment="1">
      <alignment horizontal="right" vertical="center"/>
    </xf>
    <xf numFmtId="0" fontId="76" fillId="0" borderId="13" xfId="0" applyFont="1" applyBorder="1" applyAlignment="1">
      <alignment vertical="center" wrapText="1"/>
    </xf>
    <xf numFmtId="0" fontId="78" fillId="0" borderId="14" xfId="0" applyFont="1" applyBorder="1" applyAlignment="1">
      <alignment vertical="center" wrapText="1"/>
    </xf>
    <xf numFmtId="0" fontId="71" fillId="0" borderId="13" xfId="0" applyFont="1" applyBorder="1" applyAlignment="1">
      <alignment vertical="center"/>
    </xf>
    <xf numFmtId="0" fontId="94" fillId="0" borderId="15" xfId="0" applyFont="1" applyBorder="1" applyAlignment="1">
      <alignment vertical="center"/>
    </xf>
    <xf numFmtId="0" fontId="118" fillId="0" borderId="15" xfId="0" applyFont="1" applyBorder="1" applyAlignment="1">
      <alignment vertical="center"/>
    </xf>
    <xf numFmtId="0" fontId="89" fillId="0" borderId="15" xfId="0" applyFont="1" applyBorder="1" applyAlignment="1">
      <alignment vertical="center"/>
    </xf>
    <xf numFmtId="0" fontId="94" fillId="0" borderId="14" xfId="0" applyFont="1" applyBorder="1" applyAlignment="1">
      <alignment vertical="center"/>
    </xf>
    <xf numFmtId="0" fontId="94" fillId="0" borderId="2" xfId="0" applyFont="1" applyBorder="1" applyAlignment="1">
      <alignment vertical="center"/>
    </xf>
    <xf numFmtId="0" fontId="94" fillId="0" borderId="13" xfId="0" applyFont="1" applyBorder="1" applyAlignment="1">
      <alignment horizontal="left" vertical="center"/>
    </xf>
    <xf numFmtId="0" fontId="94" fillId="0" borderId="15" xfId="0" applyFont="1" applyBorder="1" applyAlignment="1">
      <alignment horizontal="left" vertical="center"/>
    </xf>
    <xf numFmtId="0" fontId="94" fillId="0" borderId="15" xfId="0" applyFont="1" applyBorder="1" applyAlignment="1">
      <alignment horizontal="left" vertical="center" wrapText="1"/>
    </xf>
    <xf numFmtId="0" fontId="94" fillId="0" borderId="14" xfId="0" applyFont="1" applyBorder="1" applyAlignment="1">
      <alignment horizontal="left" vertical="center"/>
    </xf>
    <xf numFmtId="0" fontId="176" fillId="0" borderId="0" xfId="1" applyFont="1" applyFill="1" applyBorder="1" applyAlignment="1">
      <alignment vertical="center"/>
    </xf>
    <xf numFmtId="0" fontId="30" fillId="0" borderId="14" xfId="0" quotePrefix="1" applyFont="1" applyBorder="1" applyAlignment="1">
      <alignment vertical="center"/>
    </xf>
    <xf numFmtId="0" fontId="71" fillId="0" borderId="0" xfId="0" quotePrefix="1" applyFont="1" applyAlignment="1">
      <alignment horizontal="center" vertical="center"/>
    </xf>
    <xf numFmtId="0" fontId="29" fillId="0" borderId="14" xfId="0" quotePrefix="1" applyFont="1" applyBorder="1" applyAlignment="1">
      <alignment vertical="center"/>
    </xf>
    <xf numFmtId="0" fontId="124" fillId="0" borderId="0" xfId="0" applyFont="1" applyAlignment="1">
      <alignment horizontal="left" vertical="center" wrapText="1"/>
    </xf>
    <xf numFmtId="0" fontId="77" fillId="0" borderId="4" xfId="0" applyFont="1" applyBorder="1" applyAlignment="1">
      <alignment horizontal="center" vertical="center"/>
    </xf>
    <xf numFmtId="0" fontId="42" fillId="0" borderId="11" xfId="1" applyFont="1" applyFill="1" applyBorder="1" applyAlignment="1">
      <alignment horizontal="center" vertical="center"/>
    </xf>
    <xf numFmtId="0" fontId="31" fillId="0" borderId="12" xfId="0" applyFont="1" applyBorder="1" applyAlignment="1">
      <alignment vertical="center"/>
    </xf>
    <xf numFmtId="0" fontId="42" fillId="0" borderId="7" xfId="1" applyFont="1" applyFill="1" applyBorder="1" applyAlignment="1">
      <alignment horizontal="center" vertical="center"/>
    </xf>
    <xf numFmtId="0" fontId="31" fillId="0" borderId="8" xfId="0" applyFont="1" applyBorder="1" applyAlignment="1">
      <alignment vertical="center"/>
    </xf>
    <xf numFmtId="0" fontId="31" fillId="0" borderId="9" xfId="0" applyFont="1" applyBorder="1" applyAlignment="1">
      <alignment vertical="center"/>
    </xf>
    <xf numFmtId="0" fontId="72" fillId="0" borderId="0" xfId="0" applyFont="1" applyAlignment="1">
      <alignment horizontal="right" vertical="center"/>
    </xf>
    <xf numFmtId="0" fontId="92" fillId="0" borderId="0" xfId="0" applyFont="1" applyAlignment="1">
      <alignment vertical="center"/>
    </xf>
    <xf numFmtId="0" fontId="177" fillId="0" borderId="0" xfId="0" applyFont="1" applyAlignment="1">
      <alignment vertical="center"/>
    </xf>
    <xf numFmtId="0" fontId="100" fillId="0" borderId="4" xfId="0" applyFont="1" applyBorder="1" applyAlignment="1">
      <alignment horizontal="left" vertical="center"/>
    </xf>
    <xf numFmtId="0" fontId="100" fillId="0" borderId="11" xfId="0" applyFont="1" applyBorder="1" applyAlignment="1">
      <alignment horizontal="left" vertical="center"/>
    </xf>
    <xf numFmtId="0" fontId="31" fillId="0" borderId="12" xfId="0" applyFont="1" applyBorder="1" applyAlignment="1">
      <alignment horizontal="center" vertical="center" wrapText="1"/>
    </xf>
    <xf numFmtId="0" fontId="100" fillId="0" borderId="7" xfId="0" applyFont="1" applyBorder="1" applyAlignment="1">
      <alignment horizontal="left" vertical="center"/>
    </xf>
    <xf numFmtId="0" fontId="31" fillId="0" borderId="9" xfId="0" applyFont="1" applyBorder="1" applyAlignment="1">
      <alignment horizontal="center" vertical="center" wrapText="1"/>
    </xf>
    <xf numFmtId="0" fontId="134" fillId="0" borderId="0" xfId="0" applyFont="1" applyAlignment="1">
      <alignment horizontal="center" vertical="center" wrapText="1"/>
    </xf>
    <xf numFmtId="0" fontId="120" fillId="0" borderId="1" xfId="0" applyFont="1" applyBorder="1" applyAlignment="1">
      <alignment vertical="center"/>
    </xf>
    <xf numFmtId="0" fontId="39" fillId="0" borderId="2" xfId="0" applyFont="1" applyBorder="1" applyAlignment="1">
      <alignment horizontal="center" vertical="center"/>
    </xf>
    <xf numFmtId="0" fontId="68" fillId="0" borderId="4" xfId="0" applyFont="1" applyBorder="1" applyAlignment="1">
      <alignment horizontal="left" vertical="center"/>
    </xf>
    <xf numFmtId="0" fontId="72" fillId="0" borderId="7" xfId="0" applyFont="1" applyBorder="1" applyAlignment="1">
      <alignment horizontal="left" vertical="center"/>
    </xf>
    <xf numFmtId="0" fontId="27" fillId="0" borderId="7" xfId="0" applyFont="1" applyBorder="1" applyAlignment="1">
      <alignment vertical="center"/>
    </xf>
    <xf numFmtId="0" fontId="178" fillId="0" borderId="14" xfId="0" applyFont="1" applyBorder="1" applyAlignment="1">
      <alignment vertical="center"/>
    </xf>
    <xf numFmtId="0" fontId="81" fillId="0" borderId="0" xfId="0" applyFont="1" applyAlignment="1">
      <alignment vertical="center"/>
    </xf>
    <xf numFmtId="0" fontId="100" fillId="0" borderId="4" xfId="0" quotePrefix="1" applyFont="1" applyBorder="1" applyAlignment="1">
      <alignment vertical="center"/>
    </xf>
    <xf numFmtId="0" fontId="71" fillId="0" borderId="5" xfId="0" applyFont="1" applyBorder="1" applyAlignment="1">
      <alignment horizontal="center" vertical="center"/>
    </xf>
    <xf numFmtId="0" fontId="179" fillId="0" borderId="5" xfId="0" applyFont="1" applyBorder="1" applyAlignment="1">
      <alignment horizontal="center" vertical="center" wrapText="1"/>
    </xf>
    <xf numFmtId="0" fontId="100" fillId="0" borderId="11" xfId="0" applyFont="1" applyBorder="1" applyAlignment="1">
      <alignment vertical="center"/>
    </xf>
    <xf numFmtId="0" fontId="179" fillId="0" borderId="0" xfId="0" applyFont="1" applyAlignment="1">
      <alignment horizontal="center" vertical="center" wrapText="1"/>
    </xf>
    <xf numFmtId="0" fontId="100" fillId="0" borderId="7" xfId="0" applyFont="1" applyBorder="1" applyAlignment="1">
      <alignment vertical="center"/>
    </xf>
    <xf numFmtId="0" fontId="71" fillId="0" borderId="8" xfId="0" applyFont="1" applyBorder="1" applyAlignment="1">
      <alignment horizontal="center" vertical="center"/>
    </xf>
    <xf numFmtId="0" fontId="179" fillId="0" borderId="8" xfId="0" applyFont="1" applyBorder="1" applyAlignment="1">
      <alignment horizontal="center" vertical="center" wrapText="1"/>
    </xf>
    <xf numFmtId="0" fontId="27" fillId="0" borderId="1" xfId="0" applyFont="1" applyBorder="1" applyAlignment="1">
      <alignment vertical="center"/>
    </xf>
    <xf numFmtId="0" fontId="89" fillId="0" borderId="4" xfId="0" applyFont="1" applyBorder="1" applyAlignment="1">
      <alignment vertical="center"/>
    </xf>
    <xf numFmtId="0" fontId="72" fillId="0" borderId="5" xfId="0" quotePrefix="1" applyFont="1" applyBorder="1" applyAlignment="1">
      <alignment horizontal="center" vertical="center"/>
    </xf>
    <xf numFmtId="0" fontId="89" fillId="0" borderId="11" xfId="0" applyFont="1" applyBorder="1" applyAlignment="1">
      <alignment vertical="center"/>
    </xf>
    <xf numFmtId="0" fontId="77" fillId="0" borderId="0" xfId="0" quotePrefix="1" applyFont="1" applyAlignment="1">
      <alignment horizontal="center" vertical="center" wrapText="1"/>
    </xf>
    <xf numFmtId="0" fontId="99" fillId="0" borderId="4" xfId="0" applyFont="1" applyBorder="1" applyAlignment="1">
      <alignment vertical="center"/>
    </xf>
    <xf numFmtId="0" fontId="29" fillId="0" borderId="8" xfId="0" applyFont="1" applyBorder="1" applyAlignment="1">
      <alignment vertical="center"/>
    </xf>
    <xf numFmtId="0" fontId="99" fillId="0" borderId="4" xfId="0" applyFont="1" applyBorder="1" applyAlignment="1">
      <alignment horizontal="left" vertical="center"/>
    </xf>
    <xf numFmtId="0" fontId="181" fillId="0" borderId="0" xfId="0" applyFont="1" applyAlignment="1">
      <alignment horizontal="center" vertical="center"/>
    </xf>
    <xf numFmtId="0" fontId="91" fillId="0" borderId="0" xfId="0" applyFont="1" applyAlignment="1">
      <alignment horizontal="center" vertical="center" wrapText="1"/>
    </xf>
    <xf numFmtId="0" fontId="159" fillId="4" borderId="0" xfId="0" applyFont="1" applyFill="1" applyAlignment="1">
      <alignment horizontal="left" vertical="center" wrapText="1"/>
    </xf>
    <xf numFmtId="0" fontId="82" fillId="4" borderId="0" xfId="1" applyFont="1" applyFill="1" applyAlignment="1">
      <alignment vertical="center"/>
    </xf>
    <xf numFmtId="0" fontId="121" fillId="0" borderId="1" xfId="0" applyFont="1" applyBorder="1" applyAlignment="1">
      <alignment horizontal="center" vertical="center"/>
    </xf>
    <xf numFmtId="0" fontId="99" fillId="0" borderId="0" xfId="0" applyFont="1" applyAlignment="1">
      <alignment horizontal="center" vertical="center"/>
    </xf>
    <xf numFmtId="0" fontId="33" fillId="0" borderId="3" xfId="0" applyFont="1" applyBorder="1" applyAlignment="1">
      <alignment horizontal="right" vertical="center" wrapText="1"/>
    </xf>
    <xf numFmtId="0" fontId="29" fillId="0" borderId="4" xfId="0" applyFont="1" applyBorder="1" applyAlignment="1">
      <alignment vertical="center"/>
    </xf>
    <xf numFmtId="0" fontId="68" fillId="0" borderId="5" xfId="0" applyFont="1" applyBorder="1" applyAlignment="1">
      <alignment horizontal="center" vertical="center"/>
    </xf>
    <xf numFmtId="0" fontId="29" fillId="0" borderId="11" xfId="0" applyFont="1" applyBorder="1" applyAlignment="1">
      <alignment vertical="center" wrapText="1"/>
    </xf>
    <xf numFmtId="0" fontId="29" fillId="0" borderId="7" xfId="0" applyFont="1" applyBorder="1" applyAlignment="1">
      <alignment vertical="center" wrapText="1"/>
    </xf>
    <xf numFmtId="0" fontId="72" fillId="0" borderId="8" xfId="0" quotePrefix="1" applyFont="1" applyBorder="1" applyAlignment="1">
      <alignment horizontal="center" vertical="center"/>
    </xf>
    <xf numFmtId="0" fontId="29" fillId="0" borderId="0" xfId="0" applyFont="1" applyAlignment="1">
      <alignment horizontal="right" vertical="center" wrapText="1"/>
    </xf>
    <xf numFmtId="0" fontId="76" fillId="0" borderId="15" xfId="0" applyFont="1" applyBorder="1" applyAlignment="1">
      <alignment vertical="center" wrapText="1"/>
    </xf>
    <xf numFmtId="0" fontId="105" fillId="0" borderId="0" xfId="0" quotePrefix="1" applyFont="1" applyAlignment="1">
      <alignment horizontal="center" vertical="center"/>
    </xf>
    <xf numFmtId="0" fontId="76" fillId="0" borderId="14" xfId="0" applyFont="1" applyBorder="1" applyAlignment="1">
      <alignment vertical="center" wrapText="1"/>
    </xf>
    <xf numFmtId="167" fontId="31" fillId="0" borderId="0" xfId="0" applyNumberFormat="1" applyFont="1" applyAlignment="1">
      <alignment horizontal="right" vertical="center"/>
    </xf>
    <xf numFmtId="0" fontId="81" fillId="0" borderId="0" xfId="0" applyFont="1" applyAlignment="1">
      <alignment horizontal="center" vertical="center"/>
    </xf>
    <xf numFmtId="0" fontId="45" fillId="0" borderId="0" xfId="0" applyFont="1" applyAlignment="1">
      <alignment horizontal="center" vertical="center"/>
    </xf>
    <xf numFmtId="0" fontId="76" fillId="0" borderId="13" xfId="0" applyFont="1" applyBorder="1" applyAlignment="1">
      <alignment horizontal="justify" vertical="center"/>
    </xf>
    <xf numFmtId="0" fontId="76" fillId="0" borderId="14" xfId="0" applyFont="1" applyBorder="1" applyAlignment="1">
      <alignment horizontal="justify" vertical="center"/>
    </xf>
    <xf numFmtId="0" fontId="182" fillId="0" borderId="0" xfId="0" applyFont="1" applyAlignment="1">
      <alignment horizontal="center" vertical="center"/>
    </xf>
    <xf numFmtId="0" fontId="79" fillId="0" borderId="0" xfId="0" applyFont="1" applyAlignment="1">
      <alignment horizontal="center" vertical="center"/>
    </xf>
    <xf numFmtId="0" fontId="183" fillId="0" borderId="0" xfId="0" applyFont="1" applyAlignment="1">
      <alignment horizontal="left" vertical="center"/>
    </xf>
    <xf numFmtId="0" fontId="55" fillId="0" borderId="0" xfId="1" applyFont="1" applyFill="1" applyBorder="1" applyAlignment="1">
      <alignment vertical="center"/>
    </xf>
    <xf numFmtId="0" fontId="115" fillId="0" borderId="0" xfId="0" applyFont="1" applyAlignment="1">
      <alignment vertical="center"/>
    </xf>
    <xf numFmtId="0" fontId="100" fillId="0" borderId="0" xfId="0" applyFont="1" applyAlignment="1">
      <alignment horizontal="center" vertical="center" wrapText="1"/>
    </xf>
    <xf numFmtId="0" fontId="76" fillId="0" borderId="13" xfId="0" applyFont="1" applyBorder="1" applyAlignment="1">
      <alignment horizontal="left" vertical="center"/>
    </xf>
    <xf numFmtId="0" fontId="78" fillId="0" borderId="14" xfId="0" applyFont="1" applyBorder="1" applyAlignment="1">
      <alignment horizontal="left" vertical="center"/>
    </xf>
    <xf numFmtId="0" fontId="54" fillId="0" borderId="0" xfId="1" applyFont="1" applyFill="1" applyBorder="1" applyAlignment="1">
      <alignment vertical="center"/>
    </xf>
    <xf numFmtId="0" fontId="77" fillId="0" borderId="4" xfId="0" applyFont="1" applyBorder="1" applyAlignment="1">
      <alignment horizontal="left" vertical="center"/>
    </xf>
    <xf numFmtId="0" fontId="69" fillId="0" borderId="6" xfId="0" applyFont="1" applyBorder="1" applyAlignment="1">
      <alignment horizontal="center" vertical="center"/>
    </xf>
    <xf numFmtId="0" fontId="69" fillId="0" borderId="12" xfId="0" applyFont="1" applyBorder="1" applyAlignment="1">
      <alignment horizontal="center" vertical="center"/>
    </xf>
    <xf numFmtId="0" fontId="69" fillId="0" borderId="9" xfId="0" applyFont="1" applyBorder="1" applyAlignment="1">
      <alignment horizontal="center" vertical="center"/>
    </xf>
    <xf numFmtId="0" fontId="184" fillId="0" borderId="0" xfId="0" applyFont="1" applyAlignment="1">
      <alignment vertical="center"/>
    </xf>
    <xf numFmtId="0" fontId="185" fillId="0" borderId="0" xfId="0" applyFont="1" applyAlignment="1">
      <alignment horizontal="center" vertical="center" wrapText="1"/>
    </xf>
    <xf numFmtId="0" fontId="186" fillId="0" borderId="0" xfId="0" applyFont="1" applyAlignment="1">
      <alignment vertical="center"/>
    </xf>
    <xf numFmtId="0" fontId="30" fillId="0" borderId="4" xfId="0" applyFont="1" applyBorder="1" applyAlignment="1">
      <alignment vertical="center"/>
    </xf>
    <xf numFmtId="0" fontId="94" fillId="0" borderId="0" xfId="0" applyFont="1" applyAlignment="1">
      <alignment horizontal="center" vertical="center"/>
    </xf>
    <xf numFmtId="0" fontId="72" fillId="4" borderId="0" xfId="0" applyFont="1" applyFill="1" applyAlignment="1">
      <alignment horizontal="center" vertical="center"/>
    </xf>
    <xf numFmtId="0" fontId="77" fillId="4" borderId="0" xfId="0" quotePrefix="1" applyFont="1" applyFill="1" applyAlignment="1">
      <alignment horizontal="center" vertical="center" wrapText="1"/>
    </xf>
    <xf numFmtId="0" fontId="94" fillId="4" borderId="0" xfId="0" applyFont="1" applyFill="1" applyAlignment="1">
      <alignment horizontal="center" vertical="center"/>
    </xf>
    <xf numFmtId="0" fontId="42" fillId="4" borderId="0" xfId="1" applyFont="1" applyFill="1" applyAlignment="1">
      <alignment vertical="center"/>
    </xf>
    <xf numFmtId="0" fontId="42" fillId="4" borderId="0" xfId="1" applyFont="1" applyFill="1" applyBorder="1" applyAlignment="1">
      <alignment vertical="center"/>
    </xf>
    <xf numFmtId="0" fontId="29" fillId="4" borderId="13" xfId="0" applyFont="1" applyFill="1" applyBorder="1" applyAlignment="1">
      <alignment vertical="center"/>
    </xf>
    <xf numFmtId="0" fontId="29" fillId="4" borderId="14" xfId="0" applyFont="1" applyFill="1" applyBorder="1" applyAlignment="1">
      <alignment vertical="center"/>
    </xf>
    <xf numFmtId="0" fontId="187" fillId="0" borderId="0" xfId="0" applyFont="1" applyAlignment="1">
      <alignment horizontal="center" vertical="center"/>
    </xf>
    <xf numFmtId="0" fontId="77" fillId="0" borderId="0" xfId="0" quotePrefix="1" applyFont="1" applyAlignment="1">
      <alignment horizontal="left" vertical="center"/>
    </xf>
    <xf numFmtId="0" fontId="26" fillId="0" borderId="1" xfId="0" applyFont="1" applyBorder="1" applyAlignment="1">
      <alignment horizontal="center" vertical="center"/>
    </xf>
    <xf numFmtId="0" fontId="76" fillId="0" borderId="10" xfId="0" applyFont="1" applyBorder="1" applyAlignment="1">
      <alignment vertical="center" wrapText="1"/>
    </xf>
    <xf numFmtId="0" fontId="26" fillId="0" borderId="1" xfId="0" applyFont="1" applyBorder="1" applyAlignment="1">
      <alignment vertical="center"/>
    </xf>
    <xf numFmtId="0" fontId="189" fillId="0" borderId="1" xfId="0" applyFont="1" applyBorder="1" applyAlignment="1">
      <alignment vertical="center"/>
    </xf>
    <xf numFmtId="0" fontId="77" fillId="0" borderId="2" xfId="0" applyFont="1" applyBorder="1" applyAlignment="1">
      <alignment horizontal="center" vertical="center"/>
    </xf>
    <xf numFmtId="0" fontId="189" fillId="0" borderId="2" xfId="0" applyFont="1" applyBorder="1" applyAlignment="1">
      <alignment horizontal="center" vertical="center" wrapText="1"/>
    </xf>
    <xf numFmtId="0" fontId="26" fillId="0" borderId="4" xfId="0" applyFont="1" applyBorder="1" applyAlignment="1">
      <alignment vertical="center"/>
    </xf>
    <xf numFmtId="0" fontId="77" fillId="0" borderId="13" xfId="0" applyFont="1" applyBorder="1" applyAlignment="1">
      <alignment horizontal="center" vertical="center"/>
    </xf>
    <xf numFmtId="0" fontId="72" fillId="0" borderId="15" xfId="0" applyFont="1" applyBorder="1" applyAlignment="1">
      <alignment horizontal="center" vertical="center"/>
    </xf>
    <xf numFmtId="0" fontId="72" fillId="0" borderId="14" xfId="0" applyFont="1" applyBorder="1" applyAlignment="1">
      <alignment horizontal="center" vertical="center"/>
    </xf>
    <xf numFmtId="0" fontId="27" fillId="0" borderId="5" xfId="0" applyFont="1" applyBorder="1" applyAlignment="1">
      <alignment horizontal="left" vertical="center"/>
    </xf>
    <xf numFmtId="0" fontId="191" fillId="0" borderId="0" xfId="0" applyFont="1" applyAlignment="1">
      <alignment horizontal="center" vertical="center" wrapText="1"/>
    </xf>
    <xf numFmtId="0" fontId="192" fillId="0" borderId="0" xfId="1" applyFont="1" applyFill="1" applyBorder="1" applyAlignment="1">
      <alignment horizontal="left" vertical="center"/>
    </xf>
    <xf numFmtId="0" fontId="75" fillId="0" borderId="0" xfId="0" quotePrefix="1" applyFont="1" applyAlignment="1">
      <alignment horizontal="center" vertical="center" wrapText="1"/>
    </xf>
    <xf numFmtId="0" fontId="157" fillId="0" borderId="0" xfId="0" applyFont="1" applyAlignment="1">
      <alignment vertical="center"/>
    </xf>
    <xf numFmtId="0" fontId="76" fillId="0" borderId="10" xfId="0" applyFont="1" applyBorder="1" applyAlignment="1">
      <alignment horizontal="justify" vertical="center"/>
    </xf>
    <xf numFmtId="0" fontId="82" fillId="0" borderId="0" xfId="1" applyFont="1" applyFill="1" applyBorder="1" applyAlignment="1">
      <alignment horizontal="justify" vertical="center"/>
    </xf>
    <xf numFmtId="0" fontId="194" fillId="0" borderId="0" xfId="0" applyFont="1" applyAlignment="1">
      <alignment horizontal="center" vertical="center"/>
    </xf>
    <xf numFmtId="0" fontId="78" fillId="0" borderId="14" xfId="0" applyFont="1" applyBorder="1" applyAlignment="1">
      <alignment horizontal="justify" vertical="center"/>
    </xf>
    <xf numFmtId="0" fontId="27" fillId="0" borderId="0" xfId="0" applyFont="1" applyAlignment="1">
      <alignment horizontal="justify" vertical="center" wrapText="1"/>
    </xf>
    <xf numFmtId="0" fontId="105" fillId="0" borderId="2" xfId="0" applyFont="1" applyBorder="1" applyAlignment="1">
      <alignment horizontal="center" vertical="center"/>
    </xf>
    <xf numFmtId="0" fontId="77" fillId="0" borderId="13" xfId="0" applyFont="1" applyBorder="1" applyAlignment="1">
      <alignment vertical="center"/>
    </xf>
    <xf numFmtId="0" fontId="77" fillId="0" borderId="13" xfId="0" applyFont="1" applyBorder="1" applyAlignment="1">
      <alignment horizontal="center" vertical="center" wrapText="1"/>
    </xf>
    <xf numFmtId="0" fontId="54" fillId="0" borderId="0" xfId="0" applyFont="1" applyAlignment="1">
      <alignment horizontal="left" vertical="center"/>
    </xf>
    <xf numFmtId="0" fontId="94" fillId="0" borderId="15" xfId="0" applyFont="1" applyBorder="1" applyAlignment="1">
      <alignment horizontal="center" vertical="center"/>
    </xf>
    <xf numFmtId="0" fontId="94" fillId="0" borderId="15" xfId="0" applyFont="1" applyBorder="1" applyAlignment="1">
      <alignment horizontal="center" vertical="center" wrapText="1"/>
    </xf>
    <xf numFmtId="0" fontId="77" fillId="0" borderId="15" xfId="0" applyFont="1" applyBorder="1" applyAlignment="1">
      <alignment horizontal="center" vertical="center" wrapText="1"/>
    </xf>
    <xf numFmtId="0" fontId="94" fillId="0" borderId="14" xfId="0" applyFont="1" applyBorder="1" applyAlignment="1">
      <alignment horizontal="center" vertical="center"/>
    </xf>
    <xf numFmtId="0" fontId="35" fillId="0" borderId="15" xfId="0" applyFont="1" applyBorder="1" applyAlignment="1">
      <alignment horizontal="justify" vertical="center"/>
    </xf>
    <xf numFmtId="0" fontId="35" fillId="0" borderId="14" xfId="0" applyFont="1" applyBorder="1" applyAlignment="1">
      <alignment horizontal="justify" vertical="center"/>
    </xf>
    <xf numFmtId="0" fontId="29" fillId="0" borderId="0" xfId="0" applyFont="1" applyAlignment="1">
      <alignment horizontal="justify" vertical="center"/>
    </xf>
    <xf numFmtId="0" fontId="72" fillId="0" borderId="0" xfId="0" applyFont="1" applyAlignment="1">
      <alignment horizontal="justify" vertical="center"/>
    </xf>
    <xf numFmtId="0" fontId="29" fillId="0" borderId="10" xfId="0" applyFont="1" applyBorder="1" applyAlignment="1">
      <alignment horizontal="justify" vertical="center"/>
    </xf>
    <xf numFmtId="0" fontId="76" fillId="0" borderId="15" xfId="0" applyFont="1" applyBorder="1" applyAlignment="1">
      <alignment horizontal="justify" vertical="center"/>
    </xf>
    <xf numFmtId="0" fontId="40" fillId="0" borderId="0" xfId="0" applyFont="1" applyAlignment="1">
      <alignment horizontal="justify" vertical="center"/>
    </xf>
    <xf numFmtId="0" fontId="33" fillId="0" borderId="0" xfId="0" applyFont="1" applyAlignment="1">
      <alignment horizontal="left" vertical="center"/>
    </xf>
    <xf numFmtId="0" fontId="197" fillId="0" borderId="0" xfId="0" applyFont="1" applyAlignment="1">
      <alignment horizontal="center" vertical="center"/>
    </xf>
    <xf numFmtId="0" fontId="55" fillId="0" borderId="0" xfId="0" applyFont="1" applyAlignment="1">
      <alignment horizontal="left" vertical="center"/>
    </xf>
    <xf numFmtId="0" fontId="198" fillId="0" borderId="13" xfId="0" applyFont="1" applyBorder="1" applyAlignment="1">
      <alignment vertical="center"/>
    </xf>
    <xf numFmtId="0" fontId="198" fillId="0" borderId="14" xfId="0" applyFont="1" applyBorder="1" applyAlignment="1">
      <alignment vertical="center" wrapText="1"/>
    </xf>
    <xf numFmtId="0" fontId="30" fillId="4" borderId="10" xfId="0" applyFont="1" applyFill="1" applyBorder="1" applyAlignment="1">
      <alignment vertical="center"/>
    </xf>
    <xf numFmtId="0" fontId="27" fillId="4" borderId="0" xfId="0" applyFont="1" applyFill="1" applyAlignment="1">
      <alignment vertical="center" wrapText="1"/>
    </xf>
    <xf numFmtId="0" fontId="79" fillId="4" borderId="0" xfId="0" applyFont="1" applyFill="1" applyAlignment="1">
      <alignment vertical="center" wrapText="1"/>
    </xf>
    <xf numFmtId="0" fontId="29" fillId="4" borderId="0" xfId="0" applyFont="1" applyFill="1" applyAlignment="1">
      <alignment horizontal="justify" vertical="center"/>
    </xf>
    <xf numFmtId="0" fontId="102" fillId="4" borderId="0" xfId="0" applyFont="1" applyFill="1" applyAlignment="1">
      <alignment vertical="center"/>
    </xf>
    <xf numFmtId="0" fontId="72" fillId="4" borderId="0" xfId="0" applyFont="1" applyFill="1" applyAlignment="1">
      <alignment horizontal="left" vertical="center"/>
    </xf>
    <xf numFmtId="0" fontId="72" fillId="4" borderId="0" xfId="0" applyFont="1" applyFill="1" applyAlignment="1">
      <alignment horizontal="left" vertical="center" wrapText="1"/>
    </xf>
    <xf numFmtId="0" fontId="30" fillId="0" borderId="2" xfId="0" applyFont="1" applyBorder="1" applyAlignment="1">
      <alignment vertical="center"/>
    </xf>
    <xf numFmtId="0" fontId="30" fillId="0" borderId="3" xfId="0" applyFont="1" applyBorder="1" applyAlignment="1">
      <alignment vertical="center"/>
    </xf>
    <xf numFmtId="0" fontId="199" fillId="0" borderId="4" xfId="1" applyFont="1" applyFill="1" applyBorder="1" applyAlignment="1">
      <alignment horizontal="left" vertical="center"/>
    </xf>
    <xf numFmtId="0" fontId="200" fillId="0" borderId="1" xfId="1" applyFont="1" applyFill="1" applyBorder="1" applyAlignment="1">
      <alignment horizontal="left" vertical="center"/>
    </xf>
    <xf numFmtId="0" fontId="76" fillId="0" borderId="17" xfId="0" applyFont="1" applyBorder="1" applyAlignment="1">
      <alignment vertical="center"/>
    </xf>
    <xf numFmtId="0" fontId="79" fillId="0" borderId="0" xfId="0" applyFont="1" applyAlignment="1">
      <alignment vertical="center" wrapText="1"/>
    </xf>
    <xf numFmtId="0" fontId="29" fillId="0" borderId="1" xfId="0" applyFont="1" applyBorder="1" applyAlignment="1">
      <alignment horizontal="left" vertical="center" wrapText="1"/>
    </xf>
    <xf numFmtId="0" fontId="42" fillId="0" borderId="2" xfId="1" applyFont="1" applyFill="1" applyBorder="1" applyAlignment="1">
      <alignment horizontal="left" vertical="center"/>
    </xf>
    <xf numFmtId="0" fontId="31" fillId="0" borderId="3" xfId="0" applyFont="1" applyBorder="1" applyAlignment="1">
      <alignment horizontal="center" vertical="center" wrapText="1"/>
    </xf>
    <xf numFmtId="165" fontId="201" fillId="0" borderId="5" xfId="0" applyNumberFormat="1" applyFont="1" applyBorder="1" applyAlignment="1">
      <alignment horizontal="center" vertical="center"/>
    </xf>
    <xf numFmtId="167" fontId="72" fillId="0" borderId="11" xfId="0" applyNumberFormat="1" applyFont="1" applyBorder="1" applyAlignment="1">
      <alignment horizontal="left" vertical="center"/>
    </xf>
    <xf numFmtId="165" fontId="201" fillId="0" borderId="0" xfId="0" applyNumberFormat="1" applyFont="1" applyAlignment="1">
      <alignment horizontal="center" vertical="center"/>
    </xf>
    <xf numFmtId="165" fontId="72" fillId="0" borderId="11" xfId="0" applyNumberFormat="1" applyFont="1" applyBorder="1" applyAlignment="1">
      <alignment horizontal="left" vertical="center"/>
    </xf>
    <xf numFmtId="165" fontId="31" fillId="0" borderId="0" xfId="0" applyNumberFormat="1" applyFont="1" applyAlignment="1">
      <alignment horizontal="left" vertical="center"/>
    </xf>
    <xf numFmtId="0" fontId="202" fillId="0" borderId="1" xfId="1" applyFont="1" applyFill="1" applyBorder="1" applyAlignment="1">
      <alignment horizontal="left" vertical="center"/>
    </xf>
    <xf numFmtId="0" fontId="72" fillId="0" borderId="0" xfId="1" applyFont="1" applyFill="1" applyBorder="1" applyAlignment="1">
      <alignment horizontal="center" vertical="center"/>
    </xf>
    <xf numFmtId="0" fontId="77" fillId="0" borderId="0" xfId="1" applyFont="1" applyFill="1" applyBorder="1" applyAlignment="1">
      <alignment horizontal="center" vertical="center" wrapText="1"/>
    </xf>
    <xf numFmtId="0" fontId="203" fillId="0" borderId="0" xfId="0" applyFont="1" applyAlignment="1">
      <alignment vertical="center"/>
    </xf>
    <xf numFmtId="0" fontId="202" fillId="0" borderId="4" xfId="1" applyFont="1" applyBorder="1" applyAlignment="1">
      <alignment horizontal="left" vertical="center"/>
    </xf>
    <xf numFmtId="0" fontId="76" fillId="0" borderId="16" xfId="0" applyFont="1" applyBorder="1" applyAlignment="1">
      <alignment vertical="center"/>
    </xf>
    <xf numFmtId="0" fontId="45" fillId="0" borderId="0" xfId="0" applyFont="1" applyAlignment="1">
      <alignment vertical="center"/>
    </xf>
    <xf numFmtId="0" fontId="82" fillId="0" borderId="0" xfId="1" applyFont="1" applyAlignment="1">
      <alignment vertical="center"/>
    </xf>
    <xf numFmtId="0" fontId="31" fillId="0" borderId="0" xfId="1" applyFont="1" applyFill="1" applyBorder="1" applyAlignment="1">
      <alignment horizontal="center" vertical="center" wrapText="1"/>
    </xf>
    <xf numFmtId="0" fontId="134" fillId="0" borderId="0" xfId="0" applyFont="1" applyAlignment="1">
      <alignment horizontal="center" vertical="center"/>
    </xf>
    <xf numFmtId="0" fontId="206" fillId="0" borderId="0" xfId="0" applyFont="1" applyAlignment="1">
      <alignment horizontal="right" vertical="center"/>
    </xf>
    <xf numFmtId="0" fontId="68" fillId="0" borderId="0" xfId="0" quotePrefix="1" applyFont="1" applyAlignment="1">
      <alignment horizontal="center" vertical="center"/>
    </xf>
    <xf numFmtId="0" fontId="31" fillId="0" borderId="0" xfId="1" applyFont="1" applyFill="1" applyBorder="1" applyAlignment="1">
      <alignment vertical="center"/>
    </xf>
    <xf numFmtId="0" fontId="76" fillId="0" borderId="10" xfId="1" quotePrefix="1" applyFont="1" applyFill="1" applyBorder="1" applyAlignment="1">
      <alignment vertical="center"/>
    </xf>
    <xf numFmtId="0" fontId="207" fillId="0" borderId="0" xfId="0" quotePrefix="1" applyFont="1" applyAlignment="1">
      <alignment horizontal="center" vertical="center"/>
    </xf>
    <xf numFmtId="0" fontId="75" fillId="0" borderId="0" xfId="1" quotePrefix="1" applyFont="1" applyFill="1" applyBorder="1" applyAlignment="1">
      <alignment vertical="center"/>
    </xf>
    <xf numFmtId="0" fontId="124" fillId="0" borderId="0" xfId="0" applyFont="1" applyAlignment="1">
      <alignment vertical="center"/>
    </xf>
    <xf numFmtId="0" fontId="72" fillId="0" borderId="5" xfId="0" applyFont="1" applyBorder="1" applyAlignment="1">
      <alignment horizontal="left" vertical="center"/>
    </xf>
    <xf numFmtId="0" fontId="72" fillId="0" borderId="6" xfId="0" applyFont="1" applyBorder="1" applyAlignment="1">
      <alignment horizontal="left" vertical="center"/>
    </xf>
    <xf numFmtId="0" fontId="42" fillId="0" borderId="11" xfId="1" applyFont="1" applyFill="1" applyBorder="1" applyAlignment="1">
      <alignment horizontal="center" vertical="center" wrapText="1"/>
    </xf>
    <xf numFmtId="0" fontId="72" fillId="0" borderId="12" xfId="0" applyFont="1" applyBorder="1" applyAlignment="1">
      <alignment horizontal="left" vertical="center"/>
    </xf>
    <xf numFmtId="0" fontId="42" fillId="0" borderId="7" xfId="1" applyFont="1" applyFill="1" applyBorder="1" applyAlignment="1">
      <alignment horizontal="center" vertical="center" wrapText="1"/>
    </xf>
    <xf numFmtId="0" fontId="72" fillId="0" borderId="9" xfId="0" applyFont="1" applyBorder="1" applyAlignment="1">
      <alignment horizontal="left" vertical="center"/>
    </xf>
    <xf numFmtId="0" fontId="71" fillId="0" borderId="4" xfId="0" applyFont="1" applyBorder="1" applyAlignment="1">
      <alignment horizontal="left" vertical="center"/>
    </xf>
    <xf numFmtId="0" fontId="71" fillId="0" borderId="5" xfId="0" applyFont="1" applyBorder="1" applyAlignment="1">
      <alignment horizontal="left" vertical="center"/>
    </xf>
    <xf numFmtId="0" fontId="71" fillId="0" borderId="0" xfId="0" applyFont="1" applyAlignment="1">
      <alignment horizontal="left" vertical="center"/>
    </xf>
    <xf numFmtId="0" fontId="29" fillId="0" borderId="0" xfId="1" quotePrefix="1" applyFont="1" applyFill="1" applyBorder="1" applyAlignment="1">
      <alignment vertical="center"/>
    </xf>
    <xf numFmtId="0" fontId="89" fillId="0" borderId="11" xfId="0" applyFont="1" applyBorder="1" applyAlignment="1">
      <alignment horizontal="left" vertical="center"/>
    </xf>
    <xf numFmtId="0" fontId="71" fillId="0" borderId="11" xfId="0" applyFont="1" applyBorder="1" applyAlignment="1">
      <alignment horizontal="left" vertical="center"/>
    </xf>
    <xf numFmtId="0" fontId="72" fillId="0" borderId="11" xfId="1" applyFont="1" applyFill="1" applyBorder="1" applyAlignment="1">
      <alignment horizontal="left" vertical="center"/>
    </xf>
    <xf numFmtId="46" fontId="72" fillId="0" borderId="0" xfId="1" applyNumberFormat="1" applyFont="1" applyFill="1" applyBorder="1" applyAlignment="1">
      <alignment vertical="center"/>
    </xf>
    <xf numFmtId="0" fontId="27" fillId="0" borderId="11" xfId="0" applyFont="1" applyBorder="1" applyAlignment="1">
      <alignment horizontal="left" vertical="center"/>
    </xf>
    <xf numFmtId="0" fontId="71" fillId="0" borderId="8" xfId="0" applyFont="1" applyBorder="1" applyAlignment="1">
      <alignment horizontal="left" vertical="center"/>
    </xf>
    <xf numFmtId="0" fontId="72" fillId="0" borderId="8" xfId="0" applyFont="1" applyBorder="1" applyAlignment="1">
      <alignment horizontal="left" vertical="center"/>
    </xf>
    <xf numFmtId="0" fontId="76" fillId="0" borderId="13" xfId="1" applyFont="1" applyFill="1" applyBorder="1" applyAlignment="1">
      <alignment vertical="center"/>
    </xf>
    <xf numFmtId="0" fontId="76" fillId="0" borderId="14" xfId="1" applyFont="1" applyFill="1" applyBorder="1" applyAlignment="1">
      <alignment vertical="center"/>
    </xf>
    <xf numFmtId="0" fontId="105" fillId="0" borderId="5" xfId="0" applyFont="1" applyBorder="1" applyAlignment="1">
      <alignment horizontal="center" vertical="center"/>
    </xf>
    <xf numFmtId="0" fontId="65" fillId="0" borderId="5" xfId="0" applyFont="1" applyBorder="1" applyAlignment="1">
      <alignment horizontal="center" vertical="center" wrapText="1"/>
    </xf>
    <xf numFmtId="0" fontId="77" fillId="0" borderId="5" xfId="0" applyFont="1" applyBorder="1" applyAlignment="1">
      <alignment horizontal="center" vertical="center" wrapText="1"/>
    </xf>
    <xf numFmtId="0" fontId="33" fillId="0" borderId="4" xfId="0" applyFont="1" applyBorder="1" applyAlignment="1">
      <alignment vertical="center"/>
    </xf>
    <xf numFmtId="0" fontId="77" fillId="0" borderId="5" xfId="0" applyFont="1" applyBorder="1" applyAlignment="1">
      <alignment vertical="center" wrapText="1"/>
    </xf>
    <xf numFmtId="0" fontId="101" fillId="0" borderId="11" xfId="0" applyFont="1" applyBorder="1" applyAlignment="1">
      <alignment vertical="center"/>
    </xf>
    <xf numFmtId="0" fontId="28" fillId="0" borderId="0" xfId="0" applyFont="1" applyAlignment="1">
      <alignment vertical="center"/>
    </xf>
    <xf numFmtId="0" fontId="28" fillId="0" borderId="0" xfId="0" applyFont="1" applyAlignment="1">
      <alignment vertical="center" wrapText="1"/>
    </xf>
    <xf numFmtId="0" fontId="31" fillId="0" borderId="11" xfId="0" applyFont="1" applyBorder="1" applyAlignment="1">
      <alignment vertical="center"/>
    </xf>
    <xf numFmtId="0" fontId="94" fillId="0" borderId="11" xfId="0" applyFont="1" applyBorder="1" applyAlignment="1">
      <alignment horizontal="center" vertical="center" wrapText="1"/>
    </xf>
    <xf numFmtId="0" fontId="77" fillId="0" borderId="11" xfId="0" applyFont="1" applyBorder="1" applyAlignment="1">
      <alignment horizontal="center" vertical="center" wrapText="1"/>
    </xf>
    <xf numFmtId="0" fontId="31" fillId="0" borderId="0" xfId="0" applyFont="1" applyAlignment="1">
      <alignment vertical="center" wrapText="1"/>
    </xf>
    <xf numFmtId="0" fontId="31" fillId="0" borderId="7" xfId="0" applyFont="1" applyBorder="1" applyAlignment="1">
      <alignment vertical="center"/>
    </xf>
    <xf numFmtId="0" fontId="31" fillId="0" borderId="8" xfId="0" applyFont="1" applyBorder="1" applyAlignment="1">
      <alignment vertical="center" wrapText="1"/>
    </xf>
    <xf numFmtId="0" fontId="79" fillId="0" borderId="15" xfId="0" applyFont="1" applyBorder="1" applyAlignment="1">
      <alignment horizontal="center" vertical="center" wrapText="1"/>
    </xf>
    <xf numFmtId="0" fontId="94" fillId="0" borderId="14" xfId="0" applyFont="1" applyBorder="1" applyAlignment="1">
      <alignment horizontal="center" vertical="center" wrapText="1"/>
    </xf>
    <xf numFmtId="0" fontId="30" fillId="0" borderId="0" xfId="0" applyFont="1" applyAlignment="1">
      <alignment horizontal="center" vertical="center" wrapText="1"/>
    </xf>
    <xf numFmtId="0" fontId="91" fillId="0" borderId="0" xfId="0" applyFont="1" applyAlignment="1">
      <alignment horizontal="center" vertical="center"/>
    </xf>
    <xf numFmtId="0" fontId="30" fillId="0" borderId="0" xfId="0" quotePrefix="1" applyFont="1" applyAlignment="1">
      <alignment horizontal="center" vertical="center"/>
    </xf>
    <xf numFmtId="0" fontId="29" fillId="0" borderId="0" xfId="0" quotePrefix="1" applyFont="1" applyAlignment="1">
      <alignment horizontal="center" vertical="center"/>
    </xf>
    <xf numFmtId="0" fontId="209" fillId="0" borderId="0" xfId="0" applyFont="1" applyAlignment="1">
      <alignment horizontal="center" vertical="center"/>
    </xf>
    <xf numFmtId="0" fontId="29" fillId="0" borderId="4" xfId="0" applyFont="1" applyBorder="1" applyAlignment="1">
      <alignment horizontal="left" vertical="center" wrapText="1"/>
    </xf>
    <xf numFmtId="0" fontId="210" fillId="0" borderId="0" xfId="0" applyFont="1" applyAlignment="1">
      <alignment vertical="center"/>
    </xf>
    <xf numFmtId="0" fontId="72" fillId="0" borderId="7" xfId="0" applyFont="1" applyBorder="1" applyAlignment="1">
      <alignment horizontal="left" vertical="center" wrapText="1"/>
    </xf>
    <xf numFmtId="0" fontId="82" fillId="2" borderId="0" xfId="1" applyFont="1" applyFill="1" applyAlignment="1">
      <alignment vertical="center"/>
    </xf>
    <xf numFmtId="0" fontId="30" fillId="2" borderId="0" xfId="0" quotePrefix="1" applyFont="1" applyFill="1" applyAlignment="1">
      <alignment horizontal="center" vertical="center" wrapText="1"/>
    </xf>
    <xf numFmtId="0" fontId="69" fillId="2" borderId="0" xfId="0" applyFont="1" applyFill="1" applyAlignment="1">
      <alignment horizontal="center" vertical="center"/>
    </xf>
    <xf numFmtId="0" fontId="29" fillId="2" borderId="0" xfId="0" applyFont="1" applyFill="1" applyAlignment="1">
      <alignment horizontal="center" vertical="center"/>
    </xf>
    <xf numFmtId="0" fontId="31" fillId="2" borderId="0" xfId="0" applyFont="1" applyFill="1" applyAlignment="1">
      <alignment horizontal="center" vertical="center" wrapText="1"/>
    </xf>
    <xf numFmtId="0" fontId="126" fillId="0" borderId="0" xfId="1" applyFont="1" applyFill="1" applyAlignment="1">
      <alignment vertical="center"/>
    </xf>
    <xf numFmtId="9" fontId="69" fillId="0" borderId="0" xfId="4" applyFont="1" applyFill="1" applyAlignment="1">
      <alignment horizontal="center" vertical="center"/>
    </xf>
    <xf numFmtId="9" fontId="29" fillId="0" borderId="0" xfId="4" applyFont="1" applyFill="1" applyAlignment="1">
      <alignment horizontal="center" vertical="center"/>
    </xf>
    <xf numFmtId="0" fontId="89" fillId="0" borderId="0" xfId="0" applyFont="1" applyAlignment="1">
      <alignment horizontal="right" vertical="center" wrapText="1"/>
    </xf>
    <xf numFmtId="0" fontId="32" fillId="0" borderId="0" xfId="0" applyFont="1" applyAlignment="1">
      <alignment horizontal="center" vertical="center" wrapText="1"/>
    </xf>
    <xf numFmtId="9" fontId="71" fillId="0" borderId="0" xfId="4" applyFont="1" applyFill="1" applyAlignment="1">
      <alignment horizontal="center" vertical="center"/>
    </xf>
    <xf numFmtId="0" fontId="211" fillId="0" borderId="0" xfId="0" applyFont="1" applyAlignment="1">
      <alignment vertical="center"/>
    </xf>
    <xf numFmtId="9" fontId="89" fillId="0" borderId="0" xfId="4" applyFont="1" applyFill="1" applyAlignment="1">
      <alignment vertical="center" wrapText="1"/>
    </xf>
    <xf numFmtId="0" fontId="212" fillId="0" borderId="0" xfId="0" applyFont="1" applyAlignment="1">
      <alignment horizontal="left" vertical="center" wrapText="1"/>
    </xf>
    <xf numFmtId="0" fontId="29" fillId="0" borderId="0" xfId="0" quotePrefix="1" applyFont="1" applyAlignment="1">
      <alignment vertical="center" wrapText="1"/>
    </xf>
    <xf numFmtId="0" fontId="27" fillId="2" borderId="0" xfId="0" applyFont="1" applyFill="1" applyAlignment="1">
      <alignment vertical="center"/>
    </xf>
    <xf numFmtId="0" fontId="30" fillId="2" borderId="0" xfId="0" applyFont="1" applyFill="1" applyAlignment="1">
      <alignment horizontal="center" vertical="center" wrapText="1"/>
    </xf>
    <xf numFmtId="0" fontId="30" fillId="2" borderId="0" xfId="0" applyFont="1" applyFill="1" applyAlignment="1">
      <alignment horizontal="center" vertical="center"/>
    </xf>
    <xf numFmtId="0" fontId="78" fillId="0" borderId="2" xfId="0" applyFont="1" applyBorder="1" applyAlignment="1">
      <alignment vertical="center" wrapText="1"/>
    </xf>
    <xf numFmtId="0" fontId="78" fillId="0" borderId="0" xfId="0" applyFont="1" applyAlignment="1">
      <alignment vertical="center" wrapText="1"/>
    </xf>
    <xf numFmtId="0" fontId="27" fillId="9" borderId="0" xfId="0" applyFont="1" applyFill="1" applyAlignment="1">
      <alignment vertical="center"/>
    </xf>
    <xf numFmtId="0" fontId="30" fillId="9" borderId="0" xfId="0" quotePrefix="1" applyFont="1" applyFill="1" applyAlignment="1">
      <alignment horizontal="center" vertical="center" wrapText="1"/>
    </xf>
    <xf numFmtId="0" fontId="69" fillId="9" borderId="0" xfId="0" applyFont="1" applyFill="1" applyAlignment="1">
      <alignment horizontal="center" vertical="center"/>
    </xf>
    <xf numFmtId="0" fontId="29" fillId="9" borderId="0" xfId="0" applyFont="1" applyFill="1" applyAlignment="1">
      <alignment horizontal="center" vertical="center"/>
    </xf>
    <xf numFmtId="0" fontId="31" fillId="9" borderId="0" xfId="0" applyFont="1" applyFill="1" applyAlignment="1">
      <alignment horizontal="center" vertical="center" wrapText="1"/>
    </xf>
    <xf numFmtId="0" fontId="78" fillId="0" borderId="0" xfId="0" applyFont="1" applyAlignment="1">
      <alignment vertical="center"/>
    </xf>
    <xf numFmtId="0" fontId="30" fillId="9" borderId="0" xfId="0" applyFont="1" applyFill="1" applyAlignment="1">
      <alignment horizontal="center" vertical="center" wrapText="1"/>
    </xf>
    <xf numFmtId="0" fontId="215" fillId="0" borderId="0" xfId="0" applyFont="1" applyAlignment="1">
      <alignment vertical="center"/>
    </xf>
    <xf numFmtId="0" fontId="30" fillId="4" borderId="0" xfId="0" quotePrefix="1" applyFont="1" applyFill="1" applyAlignment="1">
      <alignment horizontal="center" vertical="center" wrapText="1"/>
    </xf>
    <xf numFmtId="49" fontId="31" fillId="4" borderId="0" xfId="0" applyNumberFormat="1" applyFont="1" applyFill="1" applyAlignment="1">
      <alignment horizontal="center" vertical="center" wrapText="1"/>
    </xf>
    <xf numFmtId="49" fontId="31" fillId="0" borderId="0" xfId="0" applyNumberFormat="1" applyFont="1" applyAlignment="1">
      <alignment horizontal="center" vertical="center" wrapText="1"/>
    </xf>
    <xf numFmtId="0" fontId="30" fillId="4" borderId="0" xfId="0" applyFont="1" applyFill="1" applyAlignment="1">
      <alignment horizontal="center" vertical="center" wrapText="1"/>
    </xf>
    <xf numFmtId="0" fontId="91" fillId="0" borderId="0" xfId="0" applyFont="1" applyAlignment="1">
      <alignment horizontal="left" vertical="center"/>
    </xf>
    <xf numFmtId="0" fontId="27" fillId="8" borderId="0" xfId="0" applyFont="1" applyFill="1" applyAlignment="1">
      <alignment vertical="center"/>
    </xf>
    <xf numFmtId="0" fontId="30" fillId="8" borderId="0" xfId="0" applyFont="1" applyFill="1" applyAlignment="1">
      <alignment horizontal="center" vertical="center" wrapText="1"/>
    </xf>
    <xf numFmtId="0" fontId="29" fillId="8" borderId="0" xfId="0" applyFont="1" applyFill="1" applyAlignment="1">
      <alignment horizontal="center" vertical="center"/>
    </xf>
    <xf numFmtId="9" fontId="91" fillId="0" borderId="0" xfId="0" applyNumberFormat="1" applyFont="1" applyAlignment="1">
      <alignment horizontal="center" vertical="center" wrapText="1"/>
    </xf>
    <xf numFmtId="0" fontId="217" fillId="0" borderId="1" xfId="1" applyFont="1" applyFill="1" applyBorder="1" applyAlignment="1">
      <alignment horizontal="left" vertical="center"/>
    </xf>
    <xf numFmtId="0" fontId="218" fillId="0" borderId="0" xfId="1" applyFont="1" applyFill="1" applyBorder="1" applyAlignment="1">
      <alignment horizontal="left" vertical="center"/>
    </xf>
    <xf numFmtId="0" fontId="219" fillId="0" borderId="0" xfId="1" applyFont="1" applyFill="1" applyBorder="1" applyAlignment="1">
      <alignment horizontal="left" vertical="center"/>
    </xf>
    <xf numFmtId="0" fontId="111" fillId="4" borderId="14" xfId="0" applyFont="1" applyFill="1" applyBorder="1" applyAlignment="1">
      <alignment vertical="center"/>
    </xf>
    <xf numFmtId="0" fontId="159" fillId="4" borderId="0" xfId="0" applyFont="1" applyFill="1" applyAlignment="1">
      <alignment horizontal="center" vertical="center" wrapText="1"/>
    </xf>
    <xf numFmtId="0" fontId="82" fillId="4" borderId="0" xfId="1" quotePrefix="1" applyFont="1" applyFill="1" applyAlignment="1">
      <alignment vertical="center"/>
    </xf>
    <xf numFmtId="0" fontId="159" fillId="0" borderId="0" xfId="0" applyFont="1" applyAlignment="1">
      <alignment horizontal="center" vertical="center" wrapText="1"/>
    </xf>
    <xf numFmtId="0" fontId="104" fillId="0" borderId="0" xfId="0" applyFont="1" applyAlignment="1">
      <alignment horizontal="center" vertical="center" wrapText="1"/>
    </xf>
    <xf numFmtId="0" fontId="100" fillId="4" borderId="0" xfId="0" applyFont="1" applyFill="1" applyAlignment="1">
      <alignment horizontal="center" vertical="center"/>
    </xf>
    <xf numFmtId="0" fontId="104" fillId="0" borderId="0" xfId="0" applyFont="1" applyAlignment="1">
      <alignment vertical="center"/>
    </xf>
    <xf numFmtId="0" fontId="40" fillId="4" borderId="0" xfId="0" applyFont="1" applyFill="1" applyAlignment="1">
      <alignment vertical="center"/>
    </xf>
    <xf numFmtId="0" fontId="72" fillId="4" borderId="0" xfId="0" quotePrefix="1" applyFont="1" applyFill="1" applyAlignment="1">
      <alignment vertical="center"/>
    </xf>
    <xf numFmtId="9" fontId="72" fillId="4" borderId="0" xfId="0" applyNumberFormat="1" applyFont="1" applyFill="1" applyAlignment="1">
      <alignment vertical="center"/>
    </xf>
    <xf numFmtId="0" fontId="54" fillId="0" borderId="2" xfId="0" applyFont="1" applyBorder="1" applyAlignment="1">
      <alignment horizontal="center" vertical="center" wrapText="1"/>
    </xf>
    <xf numFmtId="165" fontId="54" fillId="0" borderId="3" xfId="0" applyNumberFormat="1" applyFont="1" applyBorder="1" applyAlignment="1">
      <alignment horizontal="right" vertical="center" wrapText="1"/>
    </xf>
    <xf numFmtId="0" fontId="220" fillId="0" borderId="0" xfId="0" applyFont="1" applyAlignment="1">
      <alignment vertical="center"/>
    </xf>
    <xf numFmtId="0" fontId="221" fillId="0" borderId="0" xfId="0" quotePrefix="1" applyFont="1" applyAlignment="1">
      <alignment horizontal="center" vertical="center"/>
    </xf>
    <xf numFmtId="0" fontId="222" fillId="0" borderId="0" xfId="0" applyFont="1" applyAlignment="1">
      <alignment horizontal="right" vertical="center" wrapText="1"/>
    </xf>
    <xf numFmtId="0" fontId="223" fillId="0" borderId="0" xfId="0" quotePrefix="1" applyFont="1" applyAlignment="1">
      <alignment horizontal="center" vertical="center"/>
    </xf>
    <xf numFmtId="0" fontId="224" fillId="0" borderId="0" xfId="0" quotePrefix="1" applyFont="1" applyAlignment="1">
      <alignment horizontal="center" vertical="center"/>
    </xf>
    <xf numFmtId="0" fontId="225" fillId="0" borderId="0" xfId="0" quotePrefix="1" applyFont="1" applyAlignment="1">
      <alignment horizontal="center" vertical="center"/>
    </xf>
    <xf numFmtId="0" fontId="226" fillId="0" borderId="0" xfId="0" quotePrefix="1" applyFont="1" applyAlignment="1">
      <alignment horizontal="center" vertical="center"/>
    </xf>
    <xf numFmtId="0" fontId="106" fillId="0" borderId="0" xfId="0" applyFont="1" applyAlignment="1">
      <alignment horizontal="center" vertical="center" wrapText="1"/>
    </xf>
    <xf numFmtId="0" fontId="227" fillId="0" borderId="0" xfId="0" quotePrefix="1" applyFont="1" applyAlignment="1">
      <alignment horizontal="center" vertical="center"/>
    </xf>
    <xf numFmtId="0" fontId="24" fillId="0" borderId="2" xfId="0" quotePrefix="1" applyFont="1" applyBorder="1" applyAlignment="1">
      <alignment horizontal="center" vertical="center"/>
    </xf>
    <xf numFmtId="165" fontId="75" fillId="0" borderId="0" xfId="0" applyNumberFormat="1" applyFont="1" applyAlignment="1">
      <alignment horizontal="right" vertical="center"/>
    </xf>
    <xf numFmtId="0" fontId="228" fillId="0" borderId="0" xfId="0" applyFont="1" applyAlignment="1">
      <alignment horizontal="left" vertical="center" wrapText="1"/>
    </xf>
    <xf numFmtId="0" fontId="228" fillId="0" borderId="0" xfId="0" applyFont="1" applyAlignment="1">
      <alignment horizontal="center" vertical="center" wrapText="1"/>
    </xf>
    <xf numFmtId="0" fontId="229" fillId="0" borderId="0" xfId="0" applyFont="1" applyAlignment="1">
      <alignment horizontal="center" vertical="center"/>
    </xf>
    <xf numFmtId="0" fontId="230" fillId="0" borderId="0" xfId="0" applyFont="1" applyAlignment="1">
      <alignment horizontal="center" vertical="center" wrapText="1"/>
    </xf>
    <xf numFmtId="0" fontId="228" fillId="0" borderId="0" xfId="0" applyFont="1" applyAlignment="1">
      <alignment horizontal="center" vertical="center"/>
    </xf>
    <xf numFmtId="0" fontId="228" fillId="4" borderId="0" xfId="0" applyFont="1" applyFill="1" applyAlignment="1">
      <alignment horizontal="left" vertical="center" wrapText="1"/>
    </xf>
    <xf numFmtId="0" fontId="228" fillId="4" borderId="0" xfId="0" applyFont="1" applyFill="1" applyAlignment="1">
      <alignment horizontal="center" vertical="center"/>
    </xf>
    <xf numFmtId="0" fontId="229" fillId="4" borderId="0" xfId="0" applyFont="1" applyFill="1" applyAlignment="1">
      <alignment horizontal="center" vertical="center"/>
    </xf>
    <xf numFmtId="0" fontId="230" fillId="4" borderId="0" xfId="0" applyFont="1" applyFill="1" applyAlignment="1">
      <alignment horizontal="center" vertical="center" wrapText="1"/>
    </xf>
    <xf numFmtId="0" fontId="32" fillId="4" borderId="0" xfId="0" applyFont="1" applyFill="1" applyAlignment="1">
      <alignment horizontal="center" vertical="center"/>
    </xf>
    <xf numFmtId="0" fontId="127" fillId="4" borderId="0" xfId="0" applyFont="1" applyFill="1" applyAlignment="1">
      <alignment horizontal="center" vertical="center"/>
    </xf>
    <xf numFmtId="0" fontId="231" fillId="4" borderId="0" xfId="0" applyFont="1" applyFill="1" applyAlignment="1">
      <alignment horizontal="center" vertical="center"/>
    </xf>
    <xf numFmtId="0" fontId="40" fillId="4" borderId="0" xfId="0" applyFont="1" applyFill="1" applyAlignment="1">
      <alignment horizontal="center" vertical="center"/>
    </xf>
    <xf numFmtId="0" fontId="32" fillId="4" borderId="0" xfId="0" applyFont="1" applyFill="1" applyAlignment="1">
      <alignment horizontal="right" vertical="center"/>
    </xf>
    <xf numFmtId="0" fontId="29" fillId="4" borderId="0" xfId="0" applyFont="1" applyFill="1" applyAlignment="1">
      <alignment vertical="center" wrapText="1"/>
    </xf>
    <xf numFmtId="0" fontId="29" fillId="4" borderId="0" xfId="0" applyFont="1" applyFill="1" applyAlignment="1">
      <alignment horizontal="left" vertical="center"/>
    </xf>
    <xf numFmtId="0" fontId="102" fillId="0" borderId="0" xfId="0" applyFont="1" applyAlignment="1">
      <alignment horizontal="center" vertical="center"/>
    </xf>
    <xf numFmtId="0" fontId="228" fillId="0" borderId="0" xfId="0" applyFont="1" applyAlignment="1">
      <alignment horizontal="left" vertical="center"/>
    </xf>
    <xf numFmtId="0" fontId="228" fillId="0" borderId="0" xfId="0" quotePrefix="1" applyFont="1" applyAlignment="1">
      <alignment horizontal="center" vertical="center" wrapText="1"/>
    </xf>
    <xf numFmtId="0" fontId="140" fillId="0" borderId="0" xfId="0" quotePrefix="1" applyFont="1" applyAlignment="1">
      <alignment horizontal="left" vertical="center"/>
    </xf>
    <xf numFmtId="0" fontId="105" fillId="0" borderId="0" xfId="0" applyFont="1" applyAlignment="1">
      <alignment horizontal="right" vertical="center"/>
    </xf>
    <xf numFmtId="0" fontId="144" fillId="0" borderId="0" xfId="0" applyFont="1" applyAlignment="1">
      <alignment horizontal="right" vertical="center"/>
    </xf>
    <xf numFmtId="0" fontId="232" fillId="0" borderId="0" xfId="0" applyFont="1" applyAlignment="1">
      <alignment horizontal="left" vertical="center"/>
    </xf>
    <xf numFmtId="0" fontId="228" fillId="4" borderId="0" xfId="0" applyFont="1" applyFill="1" applyAlignment="1">
      <alignment horizontal="left" vertical="center"/>
    </xf>
    <xf numFmtId="0" fontId="34" fillId="4" borderId="0" xfId="0" applyFont="1" applyFill="1" applyAlignment="1">
      <alignment horizontal="center" vertical="center"/>
    </xf>
    <xf numFmtId="0" fontId="84" fillId="4" borderId="0" xfId="0" applyFont="1" applyFill="1" applyAlignment="1">
      <alignment vertical="center"/>
    </xf>
    <xf numFmtId="0" fontId="233" fillId="4" borderId="0" xfId="0" applyFont="1" applyFill="1" applyAlignment="1">
      <alignment horizontal="center" vertical="center"/>
    </xf>
    <xf numFmtId="0" fontId="84" fillId="4" borderId="0" xfId="0" applyFont="1" applyFill="1" applyAlignment="1">
      <alignment horizontal="center" vertical="center"/>
    </xf>
    <xf numFmtId="0" fontId="150" fillId="4" borderId="0" xfId="0" applyFont="1" applyFill="1" applyAlignment="1">
      <alignment horizontal="right" vertical="center"/>
    </xf>
    <xf numFmtId="0" fontId="140" fillId="0" borderId="0" xfId="0" quotePrefix="1" applyFont="1" applyAlignment="1">
      <alignment horizontal="center" vertical="center"/>
    </xf>
    <xf numFmtId="0" fontId="54" fillId="0" borderId="4" xfId="0" applyFont="1" applyBorder="1" applyAlignment="1">
      <alignment vertical="center"/>
    </xf>
    <xf numFmtId="0" fontId="54" fillId="0" borderId="5" xfId="0" applyFont="1" applyBorder="1" applyAlignment="1">
      <alignment horizontal="center" vertical="center" wrapText="1"/>
    </xf>
    <xf numFmtId="165" fontId="54" fillId="0" borderId="6" xfId="0" applyNumberFormat="1" applyFont="1" applyBorder="1" applyAlignment="1">
      <alignment horizontal="right" vertical="center" wrapText="1"/>
    </xf>
    <xf numFmtId="0" fontId="54" fillId="0" borderId="7" xfId="0" applyFont="1" applyBorder="1" applyAlignment="1">
      <alignment vertical="center"/>
    </xf>
    <xf numFmtId="0" fontId="54" fillId="0" borderId="8" xfId="0" applyFont="1" applyBorder="1" applyAlignment="1">
      <alignment horizontal="center" vertical="center" wrapText="1"/>
    </xf>
    <xf numFmtId="165" fontId="54" fillId="0" borderId="9" xfId="0" applyNumberFormat="1" applyFont="1" applyBorder="1" applyAlignment="1">
      <alignment horizontal="right" vertical="center" wrapText="1"/>
    </xf>
    <xf numFmtId="0" fontId="234" fillId="0" borderId="0" xfId="0" applyFont="1" applyAlignment="1">
      <alignment vertical="center"/>
    </xf>
    <xf numFmtId="0" fontId="235" fillId="0" borderId="0" xfId="0" applyFont="1" applyAlignment="1">
      <alignment horizontal="center" vertical="center"/>
    </xf>
    <xf numFmtId="0" fontId="234" fillId="0" borderId="0" xfId="0" applyFont="1" applyAlignment="1">
      <alignment horizontal="center" vertical="center" wrapText="1"/>
    </xf>
    <xf numFmtId="0" fontId="140" fillId="0" borderId="0" xfId="0" applyFont="1" applyAlignment="1">
      <alignment vertical="center" wrapText="1"/>
    </xf>
    <xf numFmtId="0" fontId="237" fillId="0" borderId="0" xfId="0" applyFont="1" applyAlignment="1">
      <alignment horizontal="right" vertical="center" wrapText="1"/>
    </xf>
    <xf numFmtId="0" fontId="143" fillId="0" borderId="0" xfId="0" applyFont="1" applyAlignment="1">
      <alignment horizontal="center" vertical="center"/>
    </xf>
    <xf numFmtId="0" fontId="230" fillId="0" borderId="0" xfId="0" applyFont="1" applyAlignment="1">
      <alignment vertical="center" wrapText="1"/>
    </xf>
    <xf numFmtId="0" fontId="232" fillId="0" borderId="0" xfId="0" applyFont="1" applyAlignment="1">
      <alignment horizontal="right" vertical="center" wrapText="1"/>
    </xf>
    <xf numFmtId="0" fontId="238" fillId="0" borderId="0" xfId="0" applyFont="1" applyAlignment="1">
      <alignment horizontal="center" vertical="center"/>
    </xf>
    <xf numFmtId="0" fontId="140" fillId="0" borderId="0" xfId="0" applyFont="1" applyAlignment="1">
      <alignment horizontal="center" vertical="center" wrapText="1"/>
    </xf>
    <xf numFmtId="0" fontId="222" fillId="0" borderId="0" xfId="0" applyFont="1" applyAlignment="1">
      <alignment horizontal="center" vertical="center"/>
    </xf>
    <xf numFmtId="0" fontId="140" fillId="0" borderId="0" xfId="0" applyFont="1" applyAlignment="1">
      <alignment horizontal="center" vertical="center"/>
    </xf>
    <xf numFmtId="0" fontId="56" fillId="0" borderId="0" xfId="0" applyFont="1" applyAlignment="1">
      <alignment horizontal="center" vertical="center"/>
    </xf>
    <xf numFmtId="0" fontId="239" fillId="0" borderId="0" xfId="0" applyFont="1" applyAlignment="1">
      <alignment vertical="center"/>
    </xf>
    <xf numFmtId="0" fontId="140" fillId="0" borderId="0" xfId="0" applyFont="1" applyAlignment="1">
      <alignment horizontal="left" vertical="center"/>
    </xf>
    <xf numFmtId="0" fontId="140" fillId="0" borderId="0" xfId="0" applyFont="1" applyAlignment="1">
      <alignment vertical="center"/>
    </xf>
    <xf numFmtId="0" fontId="54" fillId="0" borderId="0" xfId="0" applyFont="1" applyAlignment="1">
      <alignment horizontal="right" vertical="center" wrapText="1"/>
    </xf>
    <xf numFmtId="0" fontId="102" fillId="0" borderId="0" xfId="0" applyFont="1" applyAlignment="1">
      <alignment horizontal="center" vertical="center" wrapText="1"/>
    </xf>
    <xf numFmtId="0" fontId="234" fillId="0" borderId="0" xfId="0" applyFont="1" applyAlignment="1">
      <alignment horizontal="left" vertical="center"/>
    </xf>
    <xf numFmtId="0" fontId="126" fillId="0" borderId="0" xfId="1" applyFont="1" applyFill="1" applyBorder="1" applyAlignment="1">
      <alignment vertical="center"/>
    </xf>
    <xf numFmtId="0" fontId="149" fillId="0" borderId="0" xfId="1" applyFont="1" applyFill="1" applyBorder="1" applyAlignment="1">
      <alignment vertical="center"/>
    </xf>
    <xf numFmtId="0" fontId="31" fillId="0" borderId="0" xfId="0" applyFont="1" applyAlignment="1">
      <alignment horizontal="left" vertical="center" wrapText="1"/>
    </xf>
    <xf numFmtId="0" fontId="101" fillId="0" borderId="0" xfId="0" applyFont="1" applyAlignment="1">
      <alignment horizontal="left" vertical="center" wrapText="1"/>
    </xf>
    <xf numFmtId="0" fontId="31" fillId="0" borderId="0" xfId="0" quotePrefix="1" applyFont="1" applyAlignment="1">
      <alignment horizontal="left" vertical="center" wrapText="1"/>
    </xf>
    <xf numFmtId="0" fontId="101" fillId="0" borderId="0" xfId="0" applyFont="1" applyAlignment="1">
      <alignment horizontal="left" vertical="center"/>
    </xf>
    <xf numFmtId="0" fontId="27" fillId="0" borderId="0" xfId="0" quotePrefix="1" applyFont="1" applyAlignment="1">
      <alignment vertical="center" wrapText="1"/>
    </xf>
    <xf numFmtId="0" fontId="240" fillId="0" borderId="0" xfId="0" applyFont="1" applyAlignment="1">
      <alignment horizontal="center" vertical="center"/>
    </xf>
    <xf numFmtId="0" fontId="240" fillId="0" borderId="0" xfId="0" applyFont="1" applyAlignment="1">
      <alignment horizontal="center" vertical="center" wrapText="1"/>
    </xf>
    <xf numFmtId="0" fontId="101" fillId="0" borderId="0" xfId="0" applyFont="1" applyAlignment="1">
      <alignment horizontal="center" vertical="center" wrapText="1"/>
    </xf>
    <xf numFmtId="0" fontId="101" fillId="0" borderId="0" xfId="0" applyFont="1" applyAlignment="1">
      <alignment horizontal="center" vertical="center"/>
    </xf>
    <xf numFmtId="0" fontId="106" fillId="0" borderId="0" xfId="0" applyFont="1" applyAlignment="1">
      <alignment horizontal="center" vertical="center"/>
    </xf>
    <xf numFmtId="0" fontId="201" fillId="0" borderId="0" xfId="0" applyFont="1" applyAlignment="1">
      <alignment horizontal="center" vertical="center"/>
    </xf>
    <xf numFmtId="0" fontId="242" fillId="0" borderId="0" xfId="0" applyFont="1" applyAlignment="1">
      <alignment horizontal="center" vertical="center"/>
    </xf>
    <xf numFmtId="0" fontId="243" fillId="0" borderId="0" xfId="0" applyFont="1" applyAlignment="1">
      <alignment horizontal="center" vertical="center"/>
    </xf>
    <xf numFmtId="0" fontId="144" fillId="0" borderId="0" xfId="0" applyFont="1" applyAlignment="1">
      <alignment horizontal="center" vertical="center"/>
    </xf>
    <xf numFmtId="0" fontId="241" fillId="0" borderId="0" xfId="0" applyFont="1" applyAlignment="1">
      <alignment horizontal="center" vertical="center"/>
    </xf>
    <xf numFmtId="0" fontId="141" fillId="0" borderId="1" xfId="0" applyFont="1" applyBorder="1" applyAlignment="1">
      <alignment vertical="center"/>
    </xf>
    <xf numFmtId="0" fontId="245" fillId="0" borderId="2" xfId="0" applyFont="1" applyBorder="1" applyAlignment="1">
      <alignment horizontal="center" vertical="center"/>
    </xf>
    <xf numFmtId="0" fontId="246" fillId="0" borderId="2" xfId="0" applyFont="1" applyBorder="1" applyAlignment="1">
      <alignment horizontal="right" vertical="center"/>
    </xf>
    <xf numFmtId="0" fontId="78" fillId="0" borderId="2" xfId="0" applyFont="1" applyBorder="1" applyAlignment="1">
      <alignment horizontal="center" vertical="center"/>
    </xf>
    <xf numFmtId="0" fontId="129" fillId="0" borderId="2" xfId="0" applyFont="1" applyBorder="1" applyAlignment="1">
      <alignment horizontal="left" vertical="center"/>
    </xf>
    <xf numFmtId="0" fontId="247" fillId="0" borderId="0" xfId="0" applyFont="1" applyAlignment="1">
      <alignment horizontal="left" vertical="center"/>
    </xf>
    <xf numFmtId="0" fontId="167" fillId="0" borderId="0" xfId="0" applyFont="1" applyAlignment="1">
      <alignment horizontal="center" vertical="center"/>
    </xf>
    <xf numFmtId="0" fontId="247" fillId="0" borderId="0" xfId="0" applyFont="1" applyAlignment="1">
      <alignment horizontal="center" vertical="center"/>
    </xf>
    <xf numFmtId="0" fontId="216" fillId="0" borderId="0" xfId="0" applyFont="1" applyAlignment="1">
      <alignment horizontal="left" vertical="center"/>
    </xf>
    <xf numFmtId="0" fontId="248" fillId="0" borderId="0" xfId="0" applyFont="1" applyAlignment="1">
      <alignment horizontal="right" vertical="center" wrapText="1"/>
    </xf>
    <xf numFmtId="0" fontId="230" fillId="0" borderId="0" xfId="0" applyFont="1" applyAlignment="1">
      <alignment vertical="center"/>
    </xf>
    <xf numFmtId="0" fontId="89" fillId="2" borderId="0" xfId="0" applyFont="1" applyFill="1" applyAlignment="1">
      <alignment vertical="center"/>
    </xf>
    <xf numFmtId="0" fontId="31" fillId="2" borderId="0" xfId="0" applyFont="1" applyFill="1" applyAlignment="1">
      <alignment horizontal="center" vertical="center"/>
    </xf>
    <xf numFmtId="165" fontId="31" fillId="2" borderId="0" xfId="0" applyNumberFormat="1" applyFont="1" applyFill="1" applyAlignment="1">
      <alignment horizontal="right" vertical="center" wrapText="1"/>
    </xf>
    <xf numFmtId="0" fontId="77" fillId="0" borderId="0" xfId="1" applyFont="1" applyFill="1" applyAlignment="1">
      <alignment horizontal="right" vertical="center"/>
    </xf>
    <xf numFmtId="0" fontId="48" fillId="2" borderId="0" xfId="0" applyFont="1" applyFill="1" applyAlignment="1">
      <alignment vertical="center"/>
    </xf>
    <xf numFmtId="0" fontId="35" fillId="2" borderId="0" xfId="0" applyFont="1" applyFill="1" applyAlignment="1">
      <alignment horizontal="center" vertical="center"/>
    </xf>
    <xf numFmtId="0" fontId="35" fillId="2" borderId="0" xfId="0" applyFont="1" applyFill="1" applyAlignment="1">
      <alignment horizontal="left" vertical="center"/>
    </xf>
    <xf numFmtId="165" fontId="35" fillId="2" borderId="0" xfId="0" applyNumberFormat="1" applyFont="1" applyFill="1" applyAlignment="1">
      <alignment horizontal="right" vertical="center" wrapText="1"/>
    </xf>
    <xf numFmtId="0" fontId="35" fillId="2" borderId="0" xfId="0" applyFont="1" applyFill="1" applyAlignment="1">
      <alignment vertical="center"/>
    </xf>
    <xf numFmtId="0" fontId="242" fillId="0" borderId="0" xfId="0" applyFont="1" applyAlignment="1">
      <alignment horizontal="left" vertical="center"/>
    </xf>
    <xf numFmtId="0" fontId="249" fillId="0" borderId="0" xfId="0" applyFont="1" applyAlignment="1">
      <alignment horizontal="left" vertical="center"/>
    </xf>
    <xf numFmtId="0" fontId="149" fillId="0" borderId="0" xfId="1" applyFont="1" applyFill="1" applyAlignment="1">
      <alignment horizontal="right" vertical="center"/>
    </xf>
    <xf numFmtId="0" fontId="146" fillId="0" borderId="0" xfId="0" applyFont="1" applyAlignment="1">
      <alignment horizontal="center" vertical="center"/>
    </xf>
    <xf numFmtId="0" fontId="114" fillId="0" borderId="0" xfId="0" applyFont="1" applyAlignment="1">
      <alignment horizontal="center" vertical="center" wrapText="1"/>
    </xf>
    <xf numFmtId="0" fontId="250" fillId="0" borderId="0" xfId="1" applyFont="1" applyFill="1" applyAlignment="1">
      <alignment horizontal="right" vertical="center"/>
    </xf>
    <xf numFmtId="0" fontId="251" fillId="0" borderId="0" xfId="0" applyFont="1" applyAlignment="1">
      <alignment horizontal="left" vertical="center"/>
    </xf>
    <xf numFmtId="165" fontId="42" fillId="0" borderId="0" xfId="1" applyNumberFormat="1" applyFont="1" applyFill="1" applyAlignment="1">
      <alignment horizontal="right" vertical="center"/>
    </xf>
    <xf numFmtId="0" fontId="29" fillId="0" borderId="0" xfId="0" quotePrefix="1" applyFont="1" applyAlignment="1">
      <alignment horizontal="left" vertical="center"/>
    </xf>
    <xf numFmtId="0" fontId="27" fillId="0" borderId="0" xfId="0" quotePrefix="1" applyFont="1" applyAlignment="1">
      <alignment horizontal="left" vertical="center"/>
    </xf>
    <xf numFmtId="167" fontId="42" fillId="0" borderId="0" xfId="1" applyNumberFormat="1" applyFont="1" applyFill="1" applyAlignment="1">
      <alignment horizontal="right" vertical="center"/>
    </xf>
    <xf numFmtId="0" fontId="35" fillId="0" borderId="0" xfId="0" applyFont="1" applyAlignment="1">
      <alignment horizontal="left" vertical="center"/>
    </xf>
    <xf numFmtId="0" fontId="126" fillId="0" borderId="0" xfId="1" applyFont="1" applyFill="1" applyAlignment="1">
      <alignment horizontal="right" vertical="center"/>
    </xf>
    <xf numFmtId="0" fontId="241" fillId="0" borderId="0" xfId="0" applyFont="1" applyAlignment="1">
      <alignment vertical="center"/>
    </xf>
    <xf numFmtId="0" fontId="252" fillId="0" borderId="0" xfId="1" applyFont="1" applyFill="1" applyAlignment="1">
      <alignment horizontal="right" vertical="center"/>
    </xf>
    <xf numFmtId="0" fontId="253" fillId="0" borderId="0" xfId="0" applyFont="1" applyAlignment="1">
      <alignment horizontal="center" vertical="center"/>
    </xf>
    <xf numFmtId="0" fontId="253" fillId="0" borderId="0" xfId="0" applyFont="1" applyAlignment="1">
      <alignment horizontal="right" vertical="center"/>
    </xf>
    <xf numFmtId="0" fontId="253" fillId="0" borderId="0" xfId="0" applyFont="1" applyAlignment="1">
      <alignment horizontal="center" vertical="center" wrapText="1"/>
    </xf>
    <xf numFmtId="0" fontId="106" fillId="0" borderId="0" xfId="0" applyFont="1" applyAlignment="1">
      <alignment vertical="center"/>
    </xf>
    <xf numFmtId="0" fontId="244" fillId="0" borderId="0" xfId="0" applyFont="1" applyAlignment="1">
      <alignment horizontal="left" vertical="center"/>
    </xf>
    <xf numFmtId="0" fontId="33" fillId="0" borderId="2" xfId="0" applyFont="1" applyBorder="1" applyAlignment="1">
      <alignment horizontal="right" vertical="center" wrapText="1"/>
    </xf>
    <xf numFmtId="0" fontId="33" fillId="0" borderId="2" xfId="0" applyFont="1" applyBorder="1" applyAlignment="1">
      <alignment horizontal="right" vertical="center"/>
    </xf>
    <xf numFmtId="0" fontId="240" fillId="0" borderId="0" xfId="0" applyFont="1" applyAlignment="1">
      <alignment horizontal="left" vertical="center"/>
    </xf>
    <xf numFmtId="0" fontId="254" fillId="0" borderId="0" xfId="0" applyFont="1" applyAlignment="1">
      <alignment horizontal="right" vertical="center" wrapText="1"/>
    </xf>
    <xf numFmtId="0" fontId="254" fillId="0" borderId="0" xfId="0" applyFont="1" applyAlignment="1">
      <alignment vertical="center"/>
    </xf>
    <xf numFmtId="0" fontId="211" fillId="0" borderId="0" xfId="0" applyFont="1" applyAlignment="1">
      <alignment horizontal="center" vertical="center"/>
    </xf>
    <xf numFmtId="0" fontId="255" fillId="0" borderId="0" xfId="0" applyFont="1" applyAlignment="1">
      <alignment horizontal="center" vertical="center"/>
    </xf>
    <xf numFmtId="0" fontId="30" fillId="0" borderId="0" xfId="0" applyFont="1" applyAlignment="1">
      <alignment horizontal="left" vertical="center"/>
    </xf>
    <xf numFmtId="0" fontId="155" fillId="0" borderId="0" xfId="0" applyFont="1" applyAlignment="1">
      <alignment horizontal="right" vertical="center" wrapText="1"/>
    </xf>
    <xf numFmtId="0" fontId="256" fillId="0" borderId="0" xfId="0" applyFont="1" applyAlignment="1">
      <alignment horizontal="left" vertical="center"/>
    </xf>
    <xf numFmtId="0" fontId="258" fillId="0" borderId="0" xfId="0" applyFont="1" applyAlignment="1">
      <alignment vertical="center"/>
    </xf>
    <xf numFmtId="0" fontId="247" fillId="0" borderId="0" xfId="0" applyFont="1" applyAlignment="1">
      <alignment horizontal="right" vertical="center"/>
    </xf>
    <xf numFmtId="0" fontId="247" fillId="0" borderId="0" xfId="0" applyFont="1" applyAlignment="1">
      <alignment vertical="center"/>
    </xf>
    <xf numFmtId="0" fontId="24" fillId="0" borderId="2" xfId="0" applyFont="1" applyBorder="1" applyAlignment="1">
      <alignment horizontal="right" vertical="center" wrapText="1"/>
    </xf>
    <xf numFmtId="0" fontId="24" fillId="0" borderId="2" xfId="0" applyFont="1" applyBorder="1" applyAlignment="1">
      <alignment horizontal="right" vertical="center"/>
    </xf>
    <xf numFmtId="0" fontId="102" fillId="0" borderId="0" xfId="0" applyFont="1" applyAlignment="1">
      <alignment horizontal="left" vertical="center"/>
    </xf>
    <xf numFmtId="0" fontId="128" fillId="0" borderId="0" xfId="0" applyFont="1" applyAlignment="1">
      <alignment vertical="center"/>
    </xf>
    <xf numFmtId="0" fontId="259" fillId="0" borderId="0" xfId="0" applyFont="1" applyAlignment="1">
      <alignment vertical="center"/>
    </xf>
    <xf numFmtId="0" fontId="260" fillId="0" borderId="0" xfId="1" applyFont="1" applyFill="1" applyBorder="1" applyAlignment="1">
      <alignment horizontal="center" vertical="center"/>
    </xf>
    <xf numFmtId="0" fontId="141" fillId="0" borderId="0" xfId="0" applyFont="1" applyAlignment="1">
      <alignment horizontal="center" vertical="center" wrapText="1"/>
    </xf>
    <xf numFmtId="0" fontId="141" fillId="0" borderId="0" xfId="0" applyFont="1" applyAlignment="1">
      <alignment horizontal="center" vertical="center"/>
    </xf>
    <xf numFmtId="0" fontId="199" fillId="0" borderId="0" xfId="1" applyFont="1" applyFill="1" applyBorder="1" applyAlignment="1">
      <alignment horizontal="left" vertical="center"/>
    </xf>
    <xf numFmtId="0" fontId="261" fillId="0" borderId="0" xfId="0" applyFont="1" applyAlignment="1">
      <alignment horizontal="center" vertical="center" wrapText="1"/>
    </xf>
    <xf numFmtId="0" fontId="262" fillId="0" borderId="0" xfId="0" applyFont="1" applyAlignment="1">
      <alignment vertical="center"/>
    </xf>
    <xf numFmtId="0" fontId="147" fillId="0" borderId="0" xfId="0" applyFont="1" applyAlignment="1">
      <alignment horizontal="center" vertical="center" wrapText="1"/>
    </xf>
    <xf numFmtId="165" fontId="106" fillId="0" borderId="0" xfId="0" applyNumberFormat="1" applyFont="1" applyAlignment="1">
      <alignment horizontal="right" vertical="center"/>
    </xf>
    <xf numFmtId="0" fontId="43" fillId="0" borderId="0" xfId="1" applyFont="1" applyFill="1" applyBorder="1" applyAlignment="1">
      <alignment horizontal="center" vertical="center"/>
    </xf>
    <xf numFmtId="0" fontId="29" fillId="0" borderId="1" xfId="0" applyFont="1" applyBorder="1" applyAlignment="1">
      <alignment vertical="center"/>
    </xf>
    <xf numFmtId="0" fontId="27" fillId="0" borderId="2" xfId="0" applyFont="1" applyBorder="1" applyAlignment="1">
      <alignment horizontal="right" vertical="center"/>
    </xf>
    <xf numFmtId="0" fontId="27" fillId="0" borderId="2" xfId="0" applyFont="1" applyBorder="1" applyAlignment="1">
      <alignment horizontal="center" vertical="center"/>
    </xf>
    <xf numFmtId="0" fontId="48" fillId="0" borderId="0" xfId="0" applyFont="1" applyAlignment="1">
      <alignment horizontal="left" vertical="center"/>
    </xf>
    <xf numFmtId="0" fontId="94" fillId="0" borderId="0" xfId="0" applyFont="1" applyAlignment="1">
      <alignment horizontal="right" vertical="center"/>
    </xf>
    <xf numFmtId="0" fontId="234" fillId="0" borderId="0" xfId="0" applyFont="1" applyAlignment="1">
      <alignment horizontal="right" vertical="center"/>
    </xf>
    <xf numFmtId="0" fontId="263" fillId="0" borderId="0" xfId="0" applyFont="1" applyAlignment="1">
      <alignment horizontal="left" vertical="center"/>
    </xf>
    <xf numFmtId="0" fontId="264" fillId="0" borderId="0" xfId="0" applyFont="1" applyAlignment="1">
      <alignment vertical="center"/>
    </xf>
    <xf numFmtId="0" fontId="266" fillId="0" borderId="0" xfId="0" applyFont="1" applyAlignment="1">
      <alignment horizontal="center" vertical="center"/>
    </xf>
    <xf numFmtId="0" fontId="267" fillId="0" borderId="0" xfId="0" applyFont="1" applyAlignment="1">
      <alignment horizontal="center" vertical="center"/>
    </xf>
    <xf numFmtId="0" fontId="266" fillId="4" borderId="0" xfId="0" applyFont="1" applyFill="1" applyAlignment="1">
      <alignment horizontal="center" vertical="center"/>
    </xf>
    <xf numFmtId="0" fontId="268" fillId="0" borderId="0" xfId="0" applyFont="1" applyAlignment="1">
      <alignment horizontal="center" vertical="center"/>
    </xf>
    <xf numFmtId="0" fontId="269" fillId="0" borderId="0" xfId="0" applyFont="1" applyAlignment="1">
      <alignment horizontal="center" vertical="center"/>
    </xf>
    <xf numFmtId="0" fontId="270" fillId="0" borderId="0" xfId="0" applyFont="1" applyAlignment="1">
      <alignment horizontal="center" vertical="center"/>
    </xf>
    <xf numFmtId="0" fontId="272" fillId="0" borderId="0" xfId="0" applyFont="1" applyAlignment="1">
      <alignment horizontal="center" vertical="center"/>
    </xf>
    <xf numFmtId="0" fontId="31" fillId="8" borderId="0" xfId="0" applyFont="1" applyFill="1" applyAlignment="1">
      <alignment horizontal="center" vertical="center"/>
    </xf>
    <xf numFmtId="0" fontId="33" fillId="8" borderId="8" xfId="0" applyFont="1" applyFill="1" applyBorder="1" applyAlignment="1">
      <alignment horizontal="center" vertical="center"/>
    </xf>
    <xf numFmtId="0" fontId="145" fillId="5" borderId="0" xfId="0" applyFont="1" applyFill="1" applyAlignment="1">
      <alignment horizontal="center" vertical="center"/>
    </xf>
    <xf numFmtId="0" fontId="31" fillId="5" borderId="0" xfId="0" applyFont="1" applyFill="1" applyAlignment="1">
      <alignment horizontal="center" vertical="center"/>
    </xf>
    <xf numFmtId="0" fontId="145" fillId="6" borderId="0" xfId="0" applyFont="1" applyFill="1" applyAlignment="1">
      <alignment horizontal="center" vertical="center"/>
    </xf>
    <xf numFmtId="0" fontId="31" fillId="6" borderId="0" xfId="0" applyFont="1" applyFill="1" applyAlignment="1">
      <alignment horizontal="center" vertical="center"/>
    </xf>
    <xf numFmtId="0" fontId="31" fillId="0" borderId="2" xfId="0" applyFont="1" applyBorder="1" applyAlignment="1">
      <alignment horizontal="center" vertical="center"/>
    </xf>
    <xf numFmtId="0" fontId="273" fillId="0" borderId="0" xfId="0" applyFont="1" applyAlignment="1">
      <alignment horizontal="left" vertical="center" wrapText="1"/>
    </xf>
    <xf numFmtId="0" fontId="276" fillId="0" borderId="0" xfId="0" applyFont="1"/>
    <xf numFmtId="0" fontId="277" fillId="0" borderId="0" xfId="1" applyAlignment="1">
      <alignment wrapText="1"/>
    </xf>
    <xf numFmtId="0" fontId="277" fillId="0" borderId="0" xfId="1"/>
    <xf numFmtId="0" fontId="76" fillId="0" borderId="15" xfId="1" applyFont="1" applyFill="1" applyBorder="1" applyAlignment="1">
      <alignment vertical="center"/>
    </xf>
    <xf numFmtId="0" fontId="21" fillId="0" borderId="0" xfId="0" applyFont="1" applyAlignment="1">
      <alignment vertical="top"/>
    </xf>
    <xf numFmtId="0" fontId="144" fillId="4" borderId="0" xfId="0" applyFont="1" applyFill="1" applyAlignment="1">
      <alignment horizontal="right" vertical="center"/>
    </xf>
    <xf numFmtId="0" fontId="110" fillId="8" borderId="4" xfId="0" applyFont="1" applyFill="1" applyBorder="1" applyAlignment="1">
      <alignment vertical="center" wrapText="1"/>
    </xf>
    <xf numFmtId="0" fontId="110" fillId="8" borderId="5" xfId="0" applyFont="1" applyFill="1" applyBorder="1" applyAlignment="1">
      <alignment vertical="center" wrapText="1"/>
    </xf>
    <xf numFmtId="0" fontId="110" fillId="8" borderId="6" xfId="0" applyFont="1" applyFill="1" applyBorder="1" applyAlignment="1">
      <alignment vertical="center" wrapText="1"/>
    </xf>
    <xf numFmtId="0" fontId="26" fillId="0" borderId="2" xfId="0" applyFont="1" applyBorder="1" applyAlignment="1">
      <alignment horizontal="center" vertical="center"/>
    </xf>
    <xf numFmtId="0" fontId="273" fillId="0" borderId="0" xfId="0" applyFont="1" applyAlignment="1">
      <alignment horizontal="left" vertical="center"/>
    </xf>
    <xf numFmtId="0" fontId="65" fillId="0" borderId="2" xfId="0" applyFont="1" applyBorder="1" applyAlignment="1">
      <alignment horizontal="center" vertical="center"/>
    </xf>
    <xf numFmtId="0" fontId="73" fillId="0" borderId="0" xfId="0" applyFont="1" applyAlignment="1">
      <alignment horizontal="center" vertical="center"/>
    </xf>
    <xf numFmtId="0" fontId="28" fillId="0" borderId="0" xfId="0" applyFont="1" applyAlignment="1">
      <alignment horizontal="center" vertical="center"/>
    </xf>
    <xf numFmtId="0" fontId="109" fillId="0" borderId="5" xfId="0" applyFont="1" applyBorder="1" applyAlignment="1">
      <alignment vertical="center"/>
    </xf>
    <xf numFmtId="0" fontId="104" fillId="8" borderId="2" xfId="0" applyFont="1" applyFill="1" applyBorder="1" applyAlignment="1">
      <alignment horizontal="center" vertical="center"/>
    </xf>
    <xf numFmtId="0" fontId="110" fillId="8" borderId="5" xfId="0" applyFont="1" applyFill="1" applyBorder="1" applyAlignment="1">
      <alignment vertical="center"/>
    </xf>
    <xf numFmtId="0" fontId="33" fillId="7" borderId="8" xfId="0" applyFont="1" applyFill="1" applyBorder="1" applyAlignment="1">
      <alignment horizontal="center" vertical="center"/>
    </xf>
    <xf numFmtId="0" fontId="104" fillId="0" borderId="5" xfId="0" applyFont="1" applyBorder="1" applyAlignment="1">
      <alignment horizontal="center" vertical="center"/>
    </xf>
    <xf numFmtId="0" fontId="104" fillId="0" borderId="8" xfId="0" applyFont="1" applyBorder="1" applyAlignment="1">
      <alignment horizontal="center" vertical="center"/>
    </xf>
    <xf numFmtId="0" fontId="33" fillId="0" borderId="5" xfId="0" applyFont="1" applyBorder="1" applyAlignment="1">
      <alignment horizontal="center" vertical="center"/>
    </xf>
    <xf numFmtId="0" fontId="31" fillId="3" borderId="0" xfId="0" applyFont="1" applyFill="1" applyAlignment="1">
      <alignment horizontal="center" vertical="center"/>
    </xf>
    <xf numFmtId="0" fontId="26" fillId="3" borderId="0" xfId="0" applyFont="1" applyFill="1" applyAlignment="1">
      <alignment horizontal="center" vertical="center"/>
    </xf>
    <xf numFmtId="0" fontId="104" fillId="4" borderId="0" xfId="0" applyFont="1" applyFill="1" applyAlignment="1">
      <alignment horizontal="center" vertical="center"/>
    </xf>
    <xf numFmtId="0" fontId="33" fillId="0" borderId="6" xfId="0" applyFont="1" applyBorder="1" applyAlignment="1">
      <alignment horizontal="center" vertical="center"/>
    </xf>
    <xf numFmtId="0" fontId="33" fillId="0" borderId="12" xfId="0" applyFont="1" applyBorder="1" applyAlignment="1">
      <alignment horizontal="center" vertical="center"/>
    </xf>
    <xf numFmtId="0" fontId="33" fillId="0" borderId="9" xfId="0" applyFont="1" applyBorder="1" applyAlignment="1">
      <alignment horizontal="center" vertical="center"/>
    </xf>
    <xf numFmtId="0" fontId="137" fillId="0" borderId="2" xfId="0" applyFont="1" applyBorder="1" applyAlignment="1">
      <alignment horizontal="center" vertical="center"/>
    </xf>
    <xf numFmtId="0" fontId="110" fillId="5" borderId="0" xfId="0" applyFont="1" applyFill="1" applyAlignment="1">
      <alignment vertical="center"/>
    </xf>
    <xf numFmtId="0" fontId="31" fillId="0" borderId="20" xfId="0" applyFont="1" applyBorder="1" applyAlignment="1">
      <alignment horizontal="center" vertical="center"/>
    </xf>
    <xf numFmtId="0" fontId="31" fillId="0" borderId="23" xfId="0" applyFont="1" applyBorder="1" applyAlignment="1">
      <alignment horizontal="center" vertical="center"/>
    </xf>
    <xf numFmtId="0" fontId="33" fillId="0" borderId="2" xfId="0" applyFont="1" applyBorder="1" applyAlignment="1">
      <alignment horizontal="center" vertical="center"/>
    </xf>
    <xf numFmtId="0" fontId="33" fillId="0" borderId="8" xfId="0" applyFont="1" applyBorder="1" applyAlignment="1">
      <alignment horizontal="center" vertical="center"/>
    </xf>
    <xf numFmtId="0" fontId="167" fillId="0" borderId="2" xfId="0" applyFont="1" applyBorder="1" applyAlignment="1">
      <alignment horizontal="center" vertical="center"/>
    </xf>
    <xf numFmtId="0" fontId="180" fillId="0" borderId="5" xfId="0" applyFont="1" applyBorder="1" applyAlignment="1">
      <alignment horizontal="center" vertical="center"/>
    </xf>
    <xf numFmtId="0" fontId="180" fillId="0" borderId="0" xfId="0" applyFont="1" applyAlignment="1">
      <alignment horizontal="center" vertical="center"/>
    </xf>
    <xf numFmtId="0" fontId="180" fillId="0" borderId="8" xfId="0" applyFont="1" applyBorder="1" applyAlignment="1">
      <alignment horizontal="center" vertical="center"/>
    </xf>
    <xf numFmtId="0" fontId="189" fillId="0" borderId="2" xfId="0" applyFont="1" applyBorder="1" applyAlignment="1">
      <alignment horizontal="center" vertical="center"/>
    </xf>
    <xf numFmtId="0" fontId="161" fillId="0" borderId="0" xfId="0" applyFont="1" applyAlignment="1">
      <alignment horizontal="center" vertical="center"/>
    </xf>
    <xf numFmtId="0" fontId="65" fillId="0" borderId="5" xfId="0" applyFont="1" applyBorder="1" applyAlignment="1">
      <alignment horizontal="center" vertical="center"/>
    </xf>
    <xf numFmtId="0" fontId="91" fillId="0" borderId="8" xfId="0" applyFont="1" applyBorder="1" applyAlignment="1">
      <alignment vertical="center"/>
    </xf>
    <xf numFmtId="0" fontId="31" fillId="9" borderId="0" xfId="0" applyFont="1" applyFill="1" applyAlignment="1">
      <alignment horizontal="center" vertical="center"/>
    </xf>
    <xf numFmtId="49" fontId="31" fillId="4" borderId="0" xfId="0" applyNumberFormat="1" applyFont="1" applyFill="1" applyAlignment="1">
      <alignment horizontal="center" vertical="center"/>
    </xf>
    <xf numFmtId="49" fontId="31" fillId="0" borderId="0" xfId="0" applyNumberFormat="1" applyFont="1" applyAlignment="1">
      <alignment horizontal="center" vertical="center"/>
    </xf>
    <xf numFmtId="0" fontId="104" fillId="0" borderId="0" xfId="0" applyFont="1" applyAlignment="1">
      <alignment horizontal="center" vertical="center"/>
    </xf>
    <xf numFmtId="0" fontId="54" fillId="0" borderId="2" xfId="0" applyFont="1" applyBorder="1" applyAlignment="1">
      <alignment horizontal="center" vertical="center"/>
    </xf>
    <xf numFmtId="0" fontId="230" fillId="0" borderId="0" xfId="0" applyFont="1" applyAlignment="1">
      <alignment horizontal="center" vertical="center"/>
    </xf>
    <xf numFmtId="0" fontId="230" fillId="4" borderId="0" xfId="0" applyFont="1" applyFill="1" applyAlignment="1">
      <alignment horizontal="center" vertical="center"/>
    </xf>
    <xf numFmtId="0" fontId="54" fillId="0" borderId="5" xfId="0" applyFont="1" applyBorder="1" applyAlignment="1">
      <alignment horizontal="center" vertical="center"/>
    </xf>
    <xf numFmtId="0" fontId="54" fillId="0" borderId="8" xfId="0" applyFont="1" applyBorder="1" applyAlignment="1">
      <alignment horizontal="center" vertical="center"/>
    </xf>
    <xf numFmtId="0" fontId="234" fillId="0" borderId="0" xfId="0" applyFont="1" applyAlignment="1">
      <alignment horizontal="center" vertical="center"/>
    </xf>
    <xf numFmtId="0" fontId="248" fillId="0" borderId="0" xfId="0" applyFont="1" applyAlignment="1">
      <alignment horizontal="right" vertical="center"/>
    </xf>
    <xf numFmtId="165" fontId="31" fillId="2" borderId="0" xfId="0" applyNumberFormat="1" applyFont="1" applyFill="1" applyAlignment="1">
      <alignment horizontal="right" vertical="center"/>
    </xf>
    <xf numFmtId="165" fontId="35" fillId="2" borderId="0" xfId="0" applyNumberFormat="1" applyFont="1" applyFill="1" applyAlignment="1">
      <alignment horizontal="right" vertical="center"/>
    </xf>
    <xf numFmtId="165" fontId="35" fillId="0" borderId="0" xfId="0" applyNumberFormat="1" applyFont="1" applyAlignment="1">
      <alignment horizontal="right" vertical="center"/>
    </xf>
    <xf numFmtId="0" fontId="232" fillId="0" borderId="0" xfId="0" applyFont="1" applyAlignment="1">
      <alignment horizontal="right" vertical="center"/>
    </xf>
    <xf numFmtId="0" fontId="254" fillId="0" borderId="0" xfId="0" applyFont="1" applyAlignment="1">
      <alignment horizontal="right" vertical="center"/>
    </xf>
    <xf numFmtId="0" fontId="155" fillId="0" borderId="0" xfId="0" applyFont="1" applyAlignment="1">
      <alignment horizontal="right" vertical="center"/>
    </xf>
    <xf numFmtId="0" fontId="261" fillId="0" borderId="0" xfId="0" applyFont="1" applyAlignment="1">
      <alignment horizontal="center" vertical="center"/>
    </xf>
    <xf numFmtId="0" fontId="0" fillId="0" borderId="0" xfId="0" applyAlignment="1">
      <alignment horizontal="center"/>
    </xf>
    <xf numFmtId="0" fontId="31" fillId="5" borderId="8" xfId="0" applyFont="1" applyFill="1" applyBorder="1" applyAlignment="1">
      <alignment horizontal="center" vertical="center"/>
    </xf>
    <xf numFmtId="0" fontId="31" fillId="6" borderId="8" xfId="0" applyFont="1" applyFill="1" applyBorder="1" applyAlignment="1">
      <alignment horizontal="center" vertical="center"/>
    </xf>
    <xf numFmtId="0" fontId="0" fillId="0" borderId="0" xfId="0" applyAlignment="1">
      <alignment horizontal="right"/>
    </xf>
    <xf numFmtId="167" fontId="0" fillId="0" borderId="0" xfId="0" applyNumberFormat="1" applyAlignment="1">
      <alignment horizontal="right"/>
    </xf>
    <xf numFmtId="0" fontId="201" fillId="4" borderId="0" xfId="0" applyFont="1" applyFill="1" applyAlignment="1">
      <alignment horizontal="right" vertical="center"/>
    </xf>
    <xf numFmtId="0" fontId="201" fillId="0" borderId="0" xfId="0" applyFont="1" applyAlignment="1">
      <alignment horizontal="right" vertical="center"/>
    </xf>
    <xf numFmtId="0" fontId="279" fillId="0" borderId="0" xfId="0" applyFont="1" applyAlignment="1">
      <alignment vertical="center"/>
    </xf>
    <xf numFmtId="0" fontId="273" fillId="0" borderId="0" xfId="0" applyFont="1" applyAlignment="1">
      <alignment vertical="center" wrapText="1"/>
    </xf>
    <xf numFmtId="0" fontId="275" fillId="0" borderId="0" xfId="0" applyFont="1" applyAlignment="1">
      <alignment vertical="center" wrapText="1"/>
    </xf>
    <xf numFmtId="0" fontId="274" fillId="0" borderId="0" xfId="0" applyFont="1" applyAlignment="1">
      <alignment vertical="center" wrapText="1"/>
    </xf>
    <xf numFmtId="0" fontId="35" fillId="2" borderId="0" xfId="0" applyFont="1" applyFill="1" applyAlignment="1">
      <alignment horizontal="right" vertical="center"/>
    </xf>
    <xf numFmtId="0" fontId="105" fillId="0" borderId="3" xfId="0" applyFont="1" applyBorder="1" applyAlignment="1">
      <alignment horizontal="center" vertical="center" wrapText="1"/>
    </xf>
    <xf numFmtId="0" fontId="31" fillId="0" borderId="6" xfId="0" applyFont="1" applyBorder="1" applyAlignment="1">
      <alignment horizontal="center" vertical="center" wrapText="1"/>
    </xf>
    <xf numFmtId="0" fontId="54" fillId="0" borderId="5" xfId="0" applyFont="1" applyBorder="1" applyAlignment="1">
      <alignment vertical="center"/>
    </xf>
    <xf numFmtId="0" fontId="27" fillId="0" borderId="6" xfId="0" applyFont="1" applyBorder="1" applyAlignment="1">
      <alignment vertical="center"/>
    </xf>
    <xf numFmtId="0" fontId="28" fillId="0" borderId="12" xfId="0" applyFont="1" applyBorder="1" applyAlignment="1">
      <alignment vertical="center" wrapText="1"/>
    </xf>
    <xf numFmtId="0" fontId="27" fillId="0" borderId="12" xfId="0" applyFont="1" applyBorder="1" applyAlignment="1">
      <alignment vertical="center" wrapText="1"/>
    </xf>
    <xf numFmtId="0" fontId="40" fillId="0" borderId="12" xfId="0" applyFont="1" applyBorder="1" applyAlignment="1">
      <alignment vertical="center" wrapText="1"/>
    </xf>
    <xf numFmtId="0" fontId="91" fillId="0" borderId="12" xfId="0" applyFont="1" applyBorder="1" applyAlignment="1">
      <alignment vertical="center" wrapText="1"/>
    </xf>
    <xf numFmtId="0" fontId="91" fillId="0" borderId="9" xfId="0" applyFont="1" applyBorder="1" applyAlignment="1">
      <alignment vertical="center" wrapText="1"/>
    </xf>
    <xf numFmtId="0" fontId="104" fillId="0" borderId="6" xfId="0" applyFont="1" applyBorder="1" applyAlignment="1">
      <alignment horizontal="center" vertical="center" wrapText="1"/>
    </xf>
    <xf numFmtId="0" fontId="104" fillId="0" borderId="9" xfId="0" applyFont="1" applyBorder="1" applyAlignment="1">
      <alignment horizontal="center" vertical="center" wrapText="1"/>
    </xf>
    <xf numFmtId="0" fontId="19" fillId="0" borderId="11" xfId="0" applyFont="1" applyBorder="1" applyAlignment="1">
      <alignment vertical="center"/>
    </xf>
    <xf numFmtId="0" fontId="65" fillId="0" borderId="3" xfId="0" applyFont="1" applyBorder="1" applyAlignment="1">
      <alignment horizontal="center" vertical="center" wrapText="1"/>
    </xf>
    <xf numFmtId="0" fontId="29" fillId="0" borderId="6"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9" xfId="0" applyFont="1" applyBorder="1" applyAlignment="1">
      <alignment horizontal="center" vertical="center" wrapText="1"/>
    </xf>
    <xf numFmtId="0" fontId="33" fillId="0" borderId="6" xfId="0" applyFont="1" applyBorder="1" applyAlignment="1">
      <alignment horizontal="center" vertical="center" wrapText="1"/>
    </xf>
    <xf numFmtId="0" fontId="33" fillId="0" borderId="12" xfId="0" applyFont="1" applyBorder="1" applyAlignment="1">
      <alignment horizontal="center" vertical="center" wrapText="1"/>
    </xf>
    <xf numFmtId="0" fontId="180" fillId="0" borderId="6" xfId="0" applyFont="1" applyBorder="1" applyAlignment="1">
      <alignment horizontal="center" vertical="center" wrapText="1"/>
    </xf>
    <xf numFmtId="0" fontId="180" fillId="0" borderId="12" xfId="0" applyFont="1" applyBorder="1" applyAlignment="1">
      <alignment horizontal="center" vertical="center" wrapText="1"/>
    </xf>
    <xf numFmtId="0" fontId="180" fillId="0" borderId="9" xfId="0" applyFont="1" applyBorder="1" applyAlignment="1">
      <alignment horizontal="center" vertical="center" wrapText="1"/>
    </xf>
    <xf numFmtId="0" fontId="104" fillId="0" borderId="3" xfId="0" applyFont="1" applyBorder="1" applyAlignment="1">
      <alignment horizontal="center" vertical="center"/>
    </xf>
    <xf numFmtId="0" fontId="104" fillId="0" borderId="2" xfId="0" applyFont="1" applyBorder="1" applyAlignment="1">
      <alignment horizontal="right" vertical="center"/>
    </xf>
    <xf numFmtId="0" fontId="33" fillId="0" borderId="9" xfId="0" applyFont="1" applyBorder="1" applyAlignment="1">
      <alignment horizontal="center" vertical="center" wrapText="1"/>
    </xf>
    <xf numFmtId="0" fontId="143" fillId="6" borderId="6" xfId="0" applyFont="1" applyFill="1" applyBorder="1" applyAlignment="1">
      <alignment horizontal="center" vertical="center"/>
    </xf>
    <xf numFmtId="0" fontId="143" fillId="6" borderId="12" xfId="0" applyFont="1" applyFill="1" applyBorder="1" applyAlignment="1">
      <alignment horizontal="center" vertical="center"/>
    </xf>
    <xf numFmtId="0" fontId="31" fillId="6" borderId="12" xfId="0" applyFont="1" applyFill="1" applyBorder="1" applyAlignment="1">
      <alignment horizontal="center" vertical="center" wrapText="1"/>
    </xf>
    <xf numFmtId="0" fontId="31" fillId="0" borderId="25" xfId="0" applyFont="1" applyBorder="1" applyAlignment="1">
      <alignment horizontal="center" vertical="center" wrapText="1"/>
    </xf>
    <xf numFmtId="0" fontId="143" fillId="5" borderId="6" xfId="0" applyFont="1" applyFill="1" applyBorder="1" applyAlignment="1">
      <alignment horizontal="center" vertical="center"/>
    </xf>
    <xf numFmtId="0" fontId="143" fillId="5" borderId="12" xfId="0" applyFont="1" applyFill="1" applyBorder="1" applyAlignment="1">
      <alignment horizontal="center" vertical="center"/>
    </xf>
    <xf numFmtId="0" fontId="104" fillId="8" borderId="3" xfId="0" applyFont="1" applyFill="1" applyBorder="1" applyAlignment="1">
      <alignment horizontal="center" vertical="center" wrapText="1"/>
    </xf>
    <xf numFmtId="0" fontId="26" fillId="0" borderId="3" xfId="0" applyFont="1" applyBorder="1" applyAlignment="1">
      <alignment horizontal="center" vertical="center" wrapText="1"/>
    </xf>
    <xf numFmtId="0" fontId="46" fillId="0" borderId="3" xfId="0" applyFont="1" applyBorder="1" applyAlignment="1">
      <alignment vertical="center"/>
    </xf>
    <xf numFmtId="0" fontId="46" fillId="0" borderId="6" xfId="0" applyFont="1" applyBorder="1" applyAlignment="1">
      <alignment vertical="center"/>
    </xf>
    <xf numFmtId="0" fontId="46" fillId="0" borderId="12" xfId="0" applyFont="1" applyBorder="1" applyAlignment="1">
      <alignment vertical="center"/>
    </xf>
    <xf numFmtId="0" fontId="46" fillId="0" borderId="9" xfId="0" applyFont="1" applyBorder="1" applyAlignment="1">
      <alignment vertical="center"/>
    </xf>
    <xf numFmtId="0" fontId="29" fillId="0" borderId="5" xfId="0" applyFont="1" applyBorder="1" applyAlignment="1">
      <alignment horizontal="right" vertical="center"/>
    </xf>
    <xf numFmtId="0" fontId="31" fillId="8" borderId="12" xfId="0" applyFont="1" applyFill="1" applyBorder="1" applyAlignment="1">
      <alignment horizontal="center" vertical="center" wrapText="1"/>
    </xf>
    <xf numFmtId="0" fontId="31" fillId="8" borderId="9" xfId="0" applyFont="1" applyFill="1" applyBorder="1" applyAlignment="1">
      <alignment horizontal="center" vertical="center" wrapText="1"/>
    </xf>
    <xf numFmtId="0" fontId="35" fillId="7" borderId="6" xfId="0" applyFont="1" applyFill="1" applyBorder="1" applyAlignment="1">
      <alignment horizontal="center" vertical="center" wrapText="1"/>
    </xf>
    <xf numFmtId="0" fontId="35" fillId="7" borderId="12" xfId="0" applyFont="1" applyFill="1" applyBorder="1" applyAlignment="1">
      <alignment horizontal="center" vertical="center" wrapText="1"/>
    </xf>
    <xf numFmtId="0" fontId="33" fillId="7" borderId="9" xfId="0" applyFont="1" applyFill="1" applyBorder="1" applyAlignment="1">
      <alignment horizontal="center" vertical="center" wrapText="1"/>
    </xf>
    <xf numFmtId="0" fontId="35" fillId="7" borderId="9" xfId="0" applyFont="1" applyFill="1" applyBorder="1" applyAlignment="1">
      <alignment horizontal="center" vertical="center" wrapText="1"/>
    </xf>
    <xf numFmtId="0" fontId="31" fillId="5" borderId="12" xfId="0" applyFont="1" applyFill="1" applyBorder="1" applyAlignment="1">
      <alignment horizontal="center" vertical="center" wrapText="1"/>
    </xf>
    <xf numFmtId="0" fontId="31" fillId="0" borderId="24" xfId="0" applyFont="1" applyBorder="1" applyAlignment="1">
      <alignment horizontal="center" vertical="center" wrapText="1"/>
    </xf>
    <xf numFmtId="0" fontId="29" fillId="0" borderId="12" xfId="0" applyFont="1" applyBorder="1" applyAlignment="1">
      <alignment vertical="center"/>
    </xf>
    <xf numFmtId="0" fontId="282" fillId="0" borderId="0" xfId="1" applyFont="1" applyFill="1" applyBorder="1" applyAlignment="1">
      <alignment vertical="center"/>
    </xf>
    <xf numFmtId="0" fontId="282" fillId="0" borderId="0" xfId="1" applyFont="1" applyFill="1" applyAlignment="1">
      <alignment horizontal="left" vertical="center"/>
    </xf>
    <xf numFmtId="0" fontId="282" fillId="0" borderId="0" xfId="1" applyFont="1" applyFill="1" applyAlignment="1">
      <alignment vertical="center"/>
    </xf>
    <xf numFmtId="0" fontId="83" fillId="0" borderId="0" xfId="1" applyFont="1" applyFill="1" applyAlignment="1">
      <alignment horizontal="left" vertical="center"/>
    </xf>
    <xf numFmtId="0" fontId="42" fillId="0" borderId="0" xfId="1" applyFont="1" applyFill="1" applyAlignment="1">
      <alignment horizontal="left" vertical="center"/>
    </xf>
    <xf numFmtId="0" fontId="82" fillId="0" borderId="0" xfId="1" applyFont="1"/>
    <xf numFmtId="0" fontId="110" fillId="6" borderId="11" xfId="0" applyFont="1" applyFill="1" applyBorder="1" applyAlignment="1">
      <alignment vertical="center" wrapText="1"/>
    </xf>
    <xf numFmtId="0" fontId="283" fillId="0" borderId="0" xfId="1" applyFont="1" applyFill="1" applyAlignment="1">
      <alignment vertical="center"/>
    </xf>
    <xf numFmtId="0" fontId="82" fillId="0" borderId="0" xfId="1" applyFont="1" applyAlignment="1">
      <alignment horizontal="justify" vertical="center"/>
    </xf>
    <xf numFmtId="165" fontId="82" fillId="0" borderId="0" xfId="1" applyNumberFormat="1" applyFont="1" applyFill="1" applyAlignment="1">
      <alignment horizontal="left" vertical="center"/>
    </xf>
    <xf numFmtId="0" fontId="198" fillId="0" borderId="10" xfId="0" applyFont="1" applyBorder="1" applyAlignment="1">
      <alignment vertical="center"/>
    </xf>
    <xf numFmtId="0" fontId="94" fillId="0" borderId="12" xfId="0" applyFont="1" applyBorder="1" applyAlignment="1">
      <alignment vertical="center"/>
    </xf>
    <xf numFmtId="0" fontId="46" fillId="0" borderId="0" xfId="0" applyFont="1"/>
    <xf numFmtId="0" fontId="46" fillId="0" borderId="0" xfId="0" applyFont="1" applyAlignment="1">
      <alignment horizontal="right"/>
    </xf>
    <xf numFmtId="0" fontId="26" fillId="0" borderId="2" xfId="0" applyFont="1" applyBorder="1" applyAlignment="1">
      <alignment horizontal="right" vertical="center"/>
    </xf>
    <xf numFmtId="0" fontId="33" fillId="0" borderId="0" xfId="0" applyFont="1" applyAlignment="1">
      <alignment horizontal="right" vertical="center"/>
    </xf>
    <xf numFmtId="0" fontId="31" fillId="0" borderId="8" xfId="0" applyFont="1" applyBorder="1" applyAlignment="1">
      <alignment horizontal="right" vertical="center"/>
    </xf>
    <xf numFmtId="0" fontId="273" fillId="0" borderId="0" xfId="0" applyFont="1" applyAlignment="1">
      <alignment vertical="center"/>
    </xf>
    <xf numFmtId="0" fontId="275" fillId="0" borderId="0" xfId="0" applyFont="1" applyAlignment="1">
      <alignment vertical="center"/>
    </xf>
    <xf numFmtId="0" fontId="274" fillId="0" borderId="0" xfId="0" applyFont="1" applyAlignment="1">
      <alignment vertical="center"/>
    </xf>
    <xf numFmtId="0" fontId="66" fillId="0" borderId="2" xfId="0" applyFont="1" applyBorder="1" applyAlignment="1">
      <alignment horizontal="right" vertical="center"/>
    </xf>
    <xf numFmtId="0" fontId="40" fillId="0" borderId="0" xfId="0" applyFont="1" applyAlignment="1">
      <alignment horizontal="right" vertical="center"/>
    </xf>
    <xf numFmtId="0" fontId="74" fillId="0" borderId="0" xfId="0" applyFont="1" applyAlignment="1">
      <alignment horizontal="center" vertical="center"/>
    </xf>
    <xf numFmtId="0" fontId="84" fillId="0" borderId="0" xfId="0" applyFont="1" applyAlignment="1">
      <alignment horizontal="right" vertical="center"/>
    </xf>
    <xf numFmtId="165" fontId="72" fillId="0" borderId="0" xfId="0" applyNumberFormat="1" applyFont="1" applyAlignment="1">
      <alignment horizontal="right" vertical="center"/>
    </xf>
    <xf numFmtId="165" fontId="27" fillId="0" borderId="0" xfId="0" applyNumberFormat="1" applyFont="1" applyAlignment="1">
      <alignment horizontal="right" vertical="center"/>
    </xf>
    <xf numFmtId="0" fontId="104" fillId="8" borderId="2" xfId="0" applyFont="1" applyFill="1" applyBorder="1" applyAlignment="1">
      <alignment horizontal="right" vertical="center"/>
    </xf>
    <xf numFmtId="165" fontId="31" fillId="8" borderId="0" xfId="0" applyNumberFormat="1" applyFont="1" applyFill="1" applyAlignment="1">
      <alignment horizontal="right" vertical="center"/>
    </xf>
    <xf numFmtId="165" fontId="31" fillId="8" borderId="8" xfId="0" applyNumberFormat="1" applyFont="1" applyFill="1" applyBorder="1" applyAlignment="1">
      <alignment horizontal="right" vertical="center"/>
    </xf>
    <xf numFmtId="0" fontId="35" fillId="7" borderId="5" xfId="0" applyFont="1" applyFill="1" applyBorder="1" applyAlignment="1">
      <alignment horizontal="right" vertical="center"/>
    </xf>
    <xf numFmtId="0" fontId="35" fillId="7" borderId="0" xfId="0" applyFont="1" applyFill="1" applyAlignment="1">
      <alignment horizontal="right" vertical="center"/>
    </xf>
    <xf numFmtId="165" fontId="31" fillId="7" borderId="8" xfId="0" applyNumberFormat="1" applyFont="1" applyFill="1" applyBorder="1" applyAlignment="1">
      <alignment horizontal="right" vertical="center"/>
    </xf>
    <xf numFmtId="0" fontId="104" fillId="0" borderId="5" xfId="0" applyFont="1" applyBorder="1" applyAlignment="1">
      <alignment horizontal="right" vertical="center"/>
    </xf>
    <xf numFmtId="0" fontId="104" fillId="0" borderId="8" xfId="0" applyFont="1" applyBorder="1" applyAlignment="1">
      <alignment horizontal="right" vertical="center"/>
    </xf>
    <xf numFmtId="0" fontId="35" fillId="7" borderId="8" xfId="0" applyFont="1" applyFill="1" applyBorder="1" applyAlignment="1">
      <alignment horizontal="right" vertical="center"/>
    </xf>
    <xf numFmtId="165" fontId="31" fillId="0" borderId="5" xfId="0" applyNumberFormat="1" applyFont="1" applyBorder="1" applyAlignment="1">
      <alignment horizontal="right" vertical="center"/>
    </xf>
    <xf numFmtId="0" fontId="91" fillId="3" borderId="0" xfId="0" applyFont="1" applyFill="1" applyAlignment="1">
      <alignment horizontal="right" vertical="center"/>
    </xf>
    <xf numFmtId="0" fontId="119" fillId="3" borderId="0" xfId="0" applyFont="1" applyFill="1" applyAlignment="1">
      <alignment horizontal="right" vertical="center"/>
    </xf>
    <xf numFmtId="165" fontId="31" fillId="4" borderId="0" xfId="0" applyNumberFormat="1" applyFont="1" applyFill="1" applyAlignment="1">
      <alignment horizontal="right" vertical="center"/>
    </xf>
    <xf numFmtId="165" fontId="33" fillId="4" borderId="0" xfId="0" applyNumberFormat="1" applyFont="1" applyFill="1" applyAlignment="1">
      <alignment horizontal="right" vertical="center"/>
    </xf>
    <xf numFmtId="0" fontId="121" fillId="4" borderId="0" xfId="0" applyFont="1" applyFill="1" applyAlignment="1">
      <alignment horizontal="right" vertical="center"/>
    </xf>
    <xf numFmtId="0" fontId="121" fillId="0" borderId="5" xfId="0" applyFont="1" applyBorder="1" applyAlignment="1">
      <alignment horizontal="right" vertical="center"/>
    </xf>
    <xf numFmtId="0" fontId="121" fillId="0" borderId="8" xfId="0" applyFont="1" applyBorder="1" applyAlignment="1">
      <alignment horizontal="right" vertical="center"/>
    </xf>
    <xf numFmtId="165" fontId="29" fillId="0" borderId="0" xfId="0" applyNumberFormat="1" applyFont="1" applyAlignment="1">
      <alignment horizontal="right" vertical="center"/>
    </xf>
    <xf numFmtId="0" fontId="121" fillId="0" borderId="2" xfId="0" applyFont="1" applyBorder="1" applyAlignment="1">
      <alignment horizontal="right" vertical="center"/>
    </xf>
    <xf numFmtId="0" fontId="138" fillId="0" borderId="2" xfId="0" applyFont="1" applyBorder="1" applyAlignment="1">
      <alignment horizontal="right" vertical="center"/>
    </xf>
    <xf numFmtId="0" fontId="144" fillId="5" borderId="5" xfId="0" applyFont="1" applyFill="1" applyBorder="1" applyAlignment="1">
      <alignment horizontal="right" vertical="center"/>
    </xf>
    <xf numFmtId="0" fontId="105" fillId="5" borderId="0" xfId="0" applyFont="1" applyFill="1" applyAlignment="1">
      <alignment horizontal="right" vertical="center"/>
    </xf>
    <xf numFmtId="167" fontId="31" fillId="5" borderId="0" xfId="0" applyNumberFormat="1" applyFont="1" applyFill="1" applyAlignment="1">
      <alignment horizontal="right" vertical="center"/>
    </xf>
    <xf numFmtId="167" fontId="31" fillId="5" borderId="8" xfId="0" applyNumberFormat="1" applyFont="1" applyFill="1" applyBorder="1" applyAlignment="1">
      <alignment horizontal="right" vertical="center"/>
    </xf>
    <xf numFmtId="0" fontId="40" fillId="0" borderId="0" xfId="0" applyFont="1" applyAlignment="1">
      <alignment horizontal="center" vertical="center"/>
    </xf>
    <xf numFmtId="165" fontId="91" fillId="0" borderId="0" xfId="0" applyNumberFormat="1" applyFont="1" applyAlignment="1">
      <alignment horizontal="right" vertical="center"/>
    </xf>
    <xf numFmtId="167" fontId="91" fillId="0" borderId="0" xfId="0" applyNumberFormat="1" applyFont="1" applyAlignment="1">
      <alignment horizontal="right" vertical="center"/>
    </xf>
    <xf numFmtId="167" fontId="31" fillId="0" borderId="20" xfId="0" applyNumberFormat="1" applyFont="1" applyBorder="1" applyAlignment="1">
      <alignment horizontal="right" vertical="center"/>
    </xf>
    <xf numFmtId="165" fontId="31" fillId="0" borderId="23" xfId="0" applyNumberFormat="1" applyFont="1" applyBorder="1" applyAlignment="1">
      <alignment horizontal="right" vertical="center"/>
    </xf>
    <xf numFmtId="0" fontId="151" fillId="0" borderId="0" xfId="0" applyFont="1" applyAlignment="1">
      <alignment horizontal="right" vertical="center"/>
    </xf>
    <xf numFmtId="0" fontId="144" fillId="6" borderId="5" xfId="0" applyFont="1" applyFill="1" applyBorder="1" applyAlignment="1">
      <alignment horizontal="right" vertical="center"/>
    </xf>
    <xf numFmtId="0" fontId="105" fillId="6" borderId="0" xfId="0" applyFont="1" applyFill="1" applyAlignment="1">
      <alignment horizontal="right" vertical="center"/>
    </xf>
    <xf numFmtId="165" fontId="31" fillId="6" borderId="0" xfId="0" applyNumberFormat="1" applyFont="1" applyFill="1" applyAlignment="1">
      <alignment horizontal="right" vertical="center"/>
    </xf>
    <xf numFmtId="165" fontId="31" fillId="6" borderId="8" xfId="0" applyNumberFormat="1" applyFont="1" applyFill="1" applyBorder="1" applyAlignment="1">
      <alignment horizontal="right" vertical="center"/>
    </xf>
    <xf numFmtId="165" fontId="100" fillId="0" borderId="0" xfId="0" applyNumberFormat="1" applyFont="1" applyAlignment="1">
      <alignment horizontal="right" vertical="center"/>
    </xf>
    <xf numFmtId="165" fontId="151" fillId="0" borderId="0" xfId="0" applyNumberFormat="1" applyFont="1" applyAlignment="1">
      <alignment horizontal="right" vertical="center"/>
    </xf>
    <xf numFmtId="167" fontId="31" fillId="0" borderId="5" xfId="0" applyNumberFormat="1" applyFont="1" applyBorder="1" applyAlignment="1">
      <alignment horizontal="right" vertical="center"/>
    </xf>
    <xf numFmtId="165" fontId="31" fillId="0" borderId="8" xfId="0" applyNumberFormat="1" applyFont="1" applyBorder="1" applyAlignment="1">
      <alignment horizontal="right" vertical="center"/>
    </xf>
    <xf numFmtId="8" fontId="31" fillId="0" borderId="0" xfId="0" applyNumberFormat="1" applyFont="1" applyAlignment="1">
      <alignment horizontal="right" vertical="center"/>
    </xf>
    <xf numFmtId="164" fontId="33" fillId="0" borderId="0" xfId="2" applyNumberFormat="1" applyFont="1" applyFill="1" applyAlignment="1">
      <alignment horizontal="right" vertical="center"/>
    </xf>
    <xf numFmtId="4" fontId="91" fillId="0" borderId="0" xfId="0" applyNumberFormat="1" applyFont="1" applyAlignment="1">
      <alignment horizontal="right" vertical="center"/>
    </xf>
    <xf numFmtId="0" fontId="161" fillId="0" borderId="0" xfId="0" applyFont="1" applyAlignment="1">
      <alignment horizontal="right" vertical="center"/>
    </xf>
    <xf numFmtId="0" fontId="91" fillId="4" borderId="0" xfId="0" applyFont="1" applyFill="1" applyAlignment="1">
      <alignment horizontal="right" vertical="center"/>
    </xf>
    <xf numFmtId="167" fontId="31" fillId="4" borderId="0" xfId="0" applyNumberFormat="1" applyFont="1" applyFill="1" applyAlignment="1">
      <alignment horizontal="right" vertical="center"/>
    </xf>
    <xf numFmtId="0" fontId="91" fillId="0" borderId="8" xfId="0" applyFont="1" applyBorder="1" applyAlignment="1">
      <alignment horizontal="right" vertical="center"/>
    </xf>
    <xf numFmtId="165" fontId="31" fillId="0" borderId="2" xfId="0" applyNumberFormat="1" applyFont="1" applyBorder="1" applyAlignment="1">
      <alignment horizontal="right" vertical="center"/>
    </xf>
    <xf numFmtId="167" fontId="72" fillId="0" borderId="0" xfId="0" applyNumberFormat="1" applyFont="1" applyAlignment="1">
      <alignment horizontal="right" vertical="center"/>
    </xf>
    <xf numFmtId="8" fontId="91" fillId="0" borderId="0" xfId="0" applyNumberFormat="1" applyFont="1" applyAlignment="1">
      <alignment horizontal="right" vertical="center"/>
    </xf>
    <xf numFmtId="0" fontId="32" fillId="0" borderId="0" xfId="0" applyFont="1" applyAlignment="1">
      <alignment horizontal="right" vertical="center"/>
    </xf>
    <xf numFmtId="8" fontId="100" fillId="0" borderId="0" xfId="0" applyNumberFormat="1" applyFont="1" applyAlignment="1">
      <alignment horizontal="right" vertical="center"/>
    </xf>
    <xf numFmtId="165" fontId="33" fillId="0" borderId="0" xfId="0" applyNumberFormat="1" applyFont="1" applyAlignment="1">
      <alignment horizontal="center" vertical="center"/>
    </xf>
    <xf numFmtId="0" fontId="100" fillId="0" borderId="0" xfId="0" applyFont="1" applyAlignment="1">
      <alignment horizontal="right" vertical="center"/>
    </xf>
    <xf numFmtId="165" fontId="33" fillId="0" borderId="5" xfId="0" applyNumberFormat="1" applyFont="1" applyBorder="1" applyAlignment="1">
      <alignment horizontal="right" vertical="center"/>
    </xf>
    <xf numFmtId="0" fontId="29" fillId="4" borderId="0" xfId="0" applyFont="1" applyFill="1" applyAlignment="1">
      <alignment horizontal="right" vertical="center"/>
    </xf>
    <xf numFmtId="0" fontId="179" fillId="0" borderId="5" xfId="0" applyFont="1" applyBorder="1" applyAlignment="1">
      <alignment horizontal="right" vertical="center"/>
    </xf>
    <xf numFmtId="0" fontId="179" fillId="0" borderId="0" xfId="0" applyFont="1" applyAlignment="1">
      <alignment horizontal="right" vertical="center"/>
    </xf>
    <xf numFmtId="0" fontId="179" fillId="0" borderId="8" xfId="0" applyFont="1" applyBorder="1" applyAlignment="1">
      <alignment horizontal="right" vertical="center"/>
    </xf>
    <xf numFmtId="0" fontId="65" fillId="0" borderId="2" xfId="0" applyFont="1" applyBorder="1" applyAlignment="1">
      <alignment horizontal="right" vertical="center"/>
    </xf>
    <xf numFmtId="0" fontId="29" fillId="0" borderId="8" xfId="0" applyFont="1" applyBorder="1" applyAlignment="1">
      <alignment horizontal="right" vertical="center"/>
    </xf>
    <xf numFmtId="165" fontId="27" fillId="4" borderId="0" xfId="0" applyNumberFormat="1" applyFont="1" applyFill="1" applyAlignment="1">
      <alignment horizontal="right" vertical="center"/>
    </xf>
    <xf numFmtId="0" fontId="193" fillId="0" borderId="0" xfId="0" applyFont="1" applyAlignment="1">
      <alignment horizontal="right" vertical="center"/>
    </xf>
    <xf numFmtId="0" fontId="75" fillId="0" borderId="0" xfId="0" applyFont="1" applyAlignment="1">
      <alignment horizontal="right" vertical="center"/>
    </xf>
    <xf numFmtId="0" fontId="28" fillId="0" borderId="0" xfId="0" applyFont="1" applyAlignment="1">
      <alignment horizontal="right" vertical="center"/>
    </xf>
    <xf numFmtId="0" fontId="91" fillId="0" borderId="5" xfId="0" applyFont="1" applyBorder="1" applyAlignment="1">
      <alignment horizontal="right" vertical="center"/>
    </xf>
    <xf numFmtId="167" fontId="31" fillId="2" borderId="0" xfId="0" applyNumberFormat="1" applyFont="1" applyFill="1" applyAlignment="1">
      <alignment horizontal="right" vertical="center"/>
    </xf>
    <xf numFmtId="167" fontId="29" fillId="0" borderId="0" xfId="0" applyNumberFormat="1" applyFont="1" applyAlignment="1">
      <alignment horizontal="right" vertical="center"/>
    </xf>
    <xf numFmtId="0" fontId="31" fillId="2" borderId="0" xfId="0" applyFont="1" applyFill="1" applyAlignment="1">
      <alignment horizontal="right" vertical="center"/>
    </xf>
    <xf numFmtId="167" fontId="31" fillId="9" borderId="0" xfId="0" applyNumberFormat="1" applyFont="1" applyFill="1" applyAlignment="1">
      <alignment horizontal="right" vertical="center"/>
    </xf>
    <xf numFmtId="0" fontId="31" fillId="8" borderId="0" xfId="0" applyFont="1" applyFill="1" applyAlignment="1">
      <alignment horizontal="right" vertical="center"/>
    </xf>
    <xf numFmtId="0" fontId="31" fillId="9" borderId="0" xfId="0" applyFont="1" applyFill="1" applyAlignment="1">
      <alignment horizontal="right" vertical="center"/>
    </xf>
    <xf numFmtId="165" fontId="91" fillId="4" borderId="0" xfId="0" applyNumberFormat="1" applyFont="1" applyFill="1" applyAlignment="1">
      <alignment horizontal="right" vertical="center"/>
    </xf>
    <xf numFmtId="0" fontId="121" fillId="0" borderId="0" xfId="0" applyFont="1" applyAlignment="1">
      <alignment horizontal="right" vertical="center"/>
    </xf>
    <xf numFmtId="0" fontId="33" fillId="4" borderId="0" xfId="0" applyFont="1" applyFill="1" applyAlignment="1">
      <alignment horizontal="right" vertical="center"/>
    </xf>
    <xf numFmtId="167" fontId="27" fillId="0" borderId="0" xfId="0" applyNumberFormat="1" applyFont="1" applyAlignment="1">
      <alignment horizontal="right" vertical="center"/>
    </xf>
    <xf numFmtId="0" fontId="222" fillId="0" borderId="0" xfId="0" applyFont="1" applyAlignment="1">
      <alignment horizontal="right" vertical="center"/>
    </xf>
    <xf numFmtId="0" fontId="77" fillId="0" borderId="0" xfId="0" applyFont="1" applyAlignment="1">
      <alignment horizontal="right" vertical="center"/>
    </xf>
    <xf numFmtId="165" fontId="234" fillId="0" borderId="0" xfId="0" applyNumberFormat="1" applyFont="1" applyAlignment="1">
      <alignment horizontal="right" vertical="center"/>
    </xf>
    <xf numFmtId="0" fontId="237" fillId="0" borderId="0" xfId="0" applyFont="1" applyAlignment="1">
      <alignment horizontal="right" vertical="center"/>
    </xf>
    <xf numFmtId="165" fontId="54" fillId="0" borderId="0" xfId="0" applyNumberFormat="1" applyFont="1" applyAlignment="1">
      <alignment horizontal="right" vertical="center"/>
    </xf>
    <xf numFmtId="0" fontId="222" fillId="0" borderId="2" xfId="0" applyFont="1" applyBorder="1" applyAlignment="1">
      <alignment horizontal="right" vertical="center"/>
    </xf>
    <xf numFmtId="0" fontId="240" fillId="0" borderId="0" xfId="0" applyFont="1" applyAlignment="1">
      <alignment horizontal="right" vertical="center"/>
    </xf>
    <xf numFmtId="0" fontId="144" fillId="0" borderId="2" xfId="0" applyFont="1" applyBorder="1" applyAlignment="1">
      <alignment horizontal="right" vertical="center"/>
    </xf>
    <xf numFmtId="0" fontId="285" fillId="0" borderId="0" xfId="0" applyFont="1" applyAlignment="1">
      <alignment horizontal="center" vertical="center"/>
    </xf>
    <xf numFmtId="0" fontId="286" fillId="0" borderId="0" xfId="0" applyFont="1" applyAlignment="1">
      <alignment horizontal="center" vertical="center" wrapText="1"/>
    </xf>
    <xf numFmtId="0" fontId="287" fillId="0" borderId="0" xfId="0" applyFont="1" applyAlignment="1">
      <alignment horizontal="center" vertical="center"/>
    </xf>
    <xf numFmtId="0" fontId="228" fillId="0" borderId="0" xfId="0" quotePrefix="1" applyFont="1" applyAlignment="1">
      <alignment horizontal="center" vertical="center"/>
    </xf>
    <xf numFmtId="0" fontId="136" fillId="0" borderId="1" xfId="0" applyFont="1" applyBorder="1" applyAlignment="1">
      <alignment horizontal="center" vertical="center"/>
    </xf>
    <xf numFmtId="0" fontId="255" fillId="0" borderId="0" xfId="0" applyFont="1"/>
    <xf numFmtId="0" fontId="55" fillId="0" borderId="2" xfId="0" applyFont="1" applyBorder="1" applyAlignment="1">
      <alignment horizontal="right" vertical="center" wrapText="1"/>
    </xf>
    <xf numFmtId="0" fontId="288" fillId="0" borderId="2" xfId="0" applyFont="1" applyBorder="1" applyAlignment="1">
      <alignment horizontal="center" vertical="center" wrapText="1"/>
    </xf>
    <xf numFmtId="0" fontId="46" fillId="0" borderId="0" xfId="1" applyNumberFormat="1" applyFont="1" applyAlignment="1">
      <alignment horizontal="center"/>
    </xf>
    <xf numFmtId="0" fontId="29" fillId="5" borderId="7" xfId="0" applyFont="1" applyFill="1" applyBorder="1" applyAlignment="1">
      <alignment vertical="center"/>
    </xf>
    <xf numFmtId="0" fontId="30" fillId="0" borderId="11" xfId="0" applyFont="1" applyBorder="1" applyAlignment="1">
      <alignment vertical="center"/>
    </xf>
    <xf numFmtId="0" fontId="289" fillId="0" borderId="0" xfId="0" applyFont="1" applyAlignment="1">
      <alignment vertical="center"/>
    </xf>
    <xf numFmtId="0" fontId="46" fillId="0" borderId="0" xfId="0" quotePrefix="1" applyFont="1"/>
    <xf numFmtId="0" fontId="69" fillId="0" borderId="1" xfId="0" applyFont="1" applyBorder="1" applyAlignment="1">
      <alignment horizontal="center" vertical="center" wrapText="1"/>
    </xf>
    <xf numFmtId="0" fontId="55" fillId="0" borderId="3" xfId="0" applyFont="1" applyBorder="1" applyAlignment="1">
      <alignment horizontal="center" vertical="center" wrapText="1"/>
    </xf>
    <xf numFmtId="0" fontId="27" fillId="8" borderId="0" xfId="0" applyFont="1" applyFill="1" applyAlignment="1">
      <alignment horizontal="center" vertical="center"/>
    </xf>
    <xf numFmtId="0" fontId="187" fillId="8" borderId="0" xfId="0" applyFont="1" applyFill="1" applyAlignment="1">
      <alignment horizontal="center" vertical="center"/>
    </xf>
    <xf numFmtId="0" fontId="253" fillId="8" borderId="12" xfId="0" applyFont="1" applyFill="1" applyBorder="1" applyAlignment="1">
      <alignment horizontal="center" vertical="center"/>
    </xf>
    <xf numFmtId="0" fontId="27" fillId="8" borderId="8" xfId="0" applyFont="1" applyFill="1" applyBorder="1" applyAlignment="1">
      <alignment horizontal="center" vertical="center"/>
    </xf>
    <xf numFmtId="0" fontId="187" fillId="8" borderId="8" xfId="0" applyFont="1" applyFill="1" applyBorder="1" applyAlignment="1">
      <alignment horizontal="center" vertical="center"/>
    </xf>
    <xf numFmtId="0" fontId="31" fillId="8" borderId="8" xfId="0" applyFont="1" applyFill="1" applyBorder="1" applyAlignment="1">
      <alignment horizontal="center" vertical="center"/>
    </xf>
    <xf numFmtId="0" fontId="90" fillId="4" borderId="0" xfId="0" applyFont="1" applyFill="1" applyAlignment="1">
      <alignment horizontal="center" vertical="center"/>
    </xf>
    <xf numFmtId="0" fontId="253" fillId="4" borderId="0" xfId="0" applyFont="1" applyFill="1" applyAlignment="1">
      <alignment horizontal="center" vertical="center"/>
    </xf>
    <xf numFmtId="0" fontId="187" fillId="4" borderId="0" xfId="0" applyFont="1" applyFill="1" applyAlignment="1">
      <alignment horizontal="center" vertical="center"/>
    </xf>
    <xf numFmtId="0" fontId="197" fillId="4" borderId="0" xfId="0" applyFont="1" applyFill="1" applyAlignment="1">
      <alignment horizontal="center" vertical="center"/>
    </xf>
    <xf numFmtId="0" fontId="27" fillId="5" borderId="0" xfId="0" applyFont="1" applyFill="1" applyAlignment="1">
      <alignment horizontal="center" vertical="center" wrapText="1"/>
    </xf>
    <xf numFmtId="0" fontId="187" fillId="5" borderId="0" xfId="0" applyFont="1" applyFill="1" applyAlignment="1">
      <alignment horizontal="center" vertical="center"/>
    </xf>
    <xf numFmtId="0" fontId="253" fillId="5" borderId="12" xfId="0" applyFont="1" applyFill="1" applyBorder="1" applyAlignment="1">
      <alignment horizontal="center" vertical="center"/>
    </xf>
    <xf numFmtId="0" fontId="27" fillId="5" borderId="8" xfId="0" applyFont="1" applyFill="1" applyBorder="1" applyAlignment="1">
      <alignment horizontal="center" vertical="center" wrapText="1"/>
    </xf>
    <xf numFmtId="0" fontId="187" fillId="5" borderId="8" xfId="0" applyFont="1" applyFill="1" applyBorder="1" applyAlignment="1">
      <alignment horizontal="center" vertical="center"/>
    </xf>
    <xf numFmtId="0" fontId="253" fillId="5" borderId="9" xfId="0" applyFont="1" applyFill="1" applyBorder="1" applyAlignment="1">
      <alignment horizontal="center" vertical="center"/>
    </xf>
    <xf numFmtId="0" fontId="253" fillId="0" borderId="12" xfId="0" applyFont="1" applyBorder="1" applyAlignment="1">
      <alignment horizontal="center" vertical="center"/>
    </xf>
    <xf numFmtId="0" fontId="27" fillId="6" borderId="0" xfId="0" applyFont="1" applyFill="1" applyAlignment="1">
      <alignment horizontal="center" vertical="center" wrapText="1"/>
    </xf>
    <xf numFmtId="0" fontId="187" fillId="6" borderId="0" xfId="0" applyFont="1" applyFill="1" applyAlignment="1">
      <alignment horizontal="center" vertical="center"/>
    </xf>
    <xf numFmtId="0" fontId="90" fillId="6" borderId="0" xfId="0" applyFont="1" applyFill="1" applyAlignment="1">
      <alignment horizontal="center" vertical="center"/>
    </xf>
    <xf numFmtId="0" fontId="253" fillId="6" borderId="12" xfId="0" applyFont="1" applyFill="1" applyBorder="1" applyAlignment="1">
      <alignment horizontal="center" vertical="center"/>
    </xf>
    <xf numFmtId="0" fontId="27" fillId="6" borderId="8" xfId="0" applyFont="1" applyFill="1" applyBorder="1" applyAlignment="1">
      <alignment horizontal="center" vertical="center" wrapText="1"/>
    </xf>
    <xf numFmtId="0" fontId="90" fillId="6" borderId="8" xfId="0" applyFont="1" applyFill="1" applyBorder="1" applyAlignment="1">
      <alignment horizontal="center" vertical="center"/>
    </xf>
    <xf numFmtId="0" fontId="253" fillId="6" borderId="9" xfId="0" applyFont="1" applyFill="1" applyBorder="1" applyAlignment="1">
      <alignment horizontal="center" vertical="center"/>
    </xf>
    <xf numFmtId="0" fontId="90" fillId="0" borderId="8" xfId="0" applyFont="1" applyBorder="1" applyAlignment="1">
      <alignment horizontal="center" vertical="center"/>
    </xf>
    <xf numFmtId="0" fontId="253" fillId="0" borderId="9" xfId="0" applyFont="1" applyBorder="1" applyAlignment="1">
      <alignment horizontal="center" vertical="center"/>
    </xf>
    <xf numFmtId="0" fontId="253" fillId="0" borderId="3" xfId="0" applyFont="1" applyBorder="1" applyAlignment="1">
      <alignment horizontal="center" vertical="center"/>
    </xf>
    <xf numFmtId="0" fontId="187" fillId="0" borderId="5" xfId="0" applyFont="1" applyBorder="1" applyAlignment="1">
      <alignment horizontal="center" vertical="center"/>
    </xf>
    <xf numFmtId="0" fontId="253" fillId="0" borderId="12" xfId="0" applyFont="1" applyBorder="1" applyAlignment="1">
      <alignment horizontal="center" vertical="center" wrapText="1"/>
    </xf>
    <xf numFmtId="9" fontId="33" fillId="0" borderId="0" xfId="4" applyFont="1" applyFill="1" applyAlignment="1">
      <alignment horizontal="center" vertical="center"/>
    </xf>
    <xf numFmtId="0" fontId="255" fillId="0" borderId="0" xfId="0" applyFont="1" applyAlignment="1">
      <alignment horizontal="center"/>
    </xf>
    <xf numFmtId="167" fontId="255" fillId="0" borderId="0" xfId="0" applyNumberFormat="1" applyFont="1" applyAlignment="1">
      <alignment horizontal="center"/>
    </xf>
    <xf numFmtId="0" fontId="48" fillId="0" borderId="19" xfId="0" applyFont="1" applyBorder="1" applyAlignment="1">
      <alignment horizontal="left" vertical="center" wrapText="1"/>
    </xf>
    <xf numFmtId="0" fontId="29" fillId="0" borderId="20" xfId="0" applyFont="1" applyBorder="1" applyAlignment="1">
      <alignment vertical="center"/>
    </xf>
    <xf numFmtId="0" fontId="89" fillId="0" borderId="20" xfId="0" applyFont="1" applyBorder="1" applyAlignment="1">
      <alignment vertical="center"/>
    </xf>
    <xf numFmtId="0" fontId="89" fillId="0" borderId="26" xfId="0" applyFont="1" applyBorder="1" applyAlignment="1">
      <alignment vertical="center"/>
    </xf>
    <xf numFmtId="0" fontId="71" fillId="0" borderId="21" xfId="0" applyFont="1" applyBorder="1" applyAlignment="1">
      <alignment vertical="center"/>
    </xf>
    <xf numFmtId="0" fontId="89" fillId="0" borderId="27" xfId="0" applyFont="1" applyBorder="1" applyAlignment="1">
      <alignment vertical="center"/>
    </xf>
    <xf numFmtId="0" fontId="0" fillId="0" borderId="21" xfId="0" applyBorder="1" applyAlignment="1">
      <alignment vertical="center"/>
    </xf>
    <xf numFmtId="0" fontId="31" fillId="0" borderId="27" xfId="0" applyFont="1" applyBorder="1" applyAlignment="1">
      <alignment horizontal="center" vertical="center" wrapText="1"/>
    </xf>
    <xf numFmtId="0" fontId="72" fillId="10" borderId="21" xfId="0" applyFont="1" applyFill="1" applyBorder="1" applyAlignment="1">
      <alignment horizontal="left" vertical="center"/>
    </xf>
    <xf numFmtId="0" fontId="71" fillId="10" borderId="21" xfId="0" applyFont="1" applyFill="1" applyBorder="1" applyAlignment="1">
      <alignment vertical="center"/>
    </xf>
    <xf numFmtId="0" fontId="72" fillId="0" borderId="27" xfId="0" applyFont="1" applyBorder="1" applyAlignment="1">
      <alignment vertical="center"/>
    </xf>
    <xf numFmtId="0" fontId="89" fillId="0" borderId="21" xfId="0" applyFont="1" applyBorder="1" applyAlignment="1">
      <alignment vertical="center"/>
    </xf>
    <xf numFmtId="0" fontId="72" fillId="0" borderId="21" xfId="0" applyFont="1" applyBorder="1" applyAlignment="1">
      <alignment horizontal="left" vertical="center"/>
    </xf>
    <xf numFmtId="0" fontId="31" fillId="0" borderId="28" xfId="0" applyFont="1" applyBorder="1" applyAlignment="1">
      <alignment horizontal="center" vertical="center" wrapText="1"/>
    </xf>
    <xf numFmtId="0" fontId="0" fillId="0" borderId="21" xfId="0" applyBorder="1" applyAlignment="1">
      <alignment horizontal="center" vertical="center"/>
    </xf>
    <xf numFmtId="0" fontId="54" fillId="0" borderId="29" xfId="0" applyFont="1" applyBorder="1" applyAlignment="1">
      <alignment vertical="center"/>
    </xf>
    <xf numFmtId="0" fontId="24" fillId="0" borderId="30" xfId="0" applyFont="1" applyBorder="1" applyAlignment="1">
      <alignment horizontal="center" vertical="center"/>
    </xf>
    <xf numFmtId="0" fontId="69" fillId="0" borderId="30" xfId="0" applyFont="1" applyBorder="1" applyAlignment="1">
      <alignment horizontal="center" vertical="center"/>
    </xf>
    <xf numFmtId="0" fontId="55" fillId="0" borderId="30" xfId="0" applyFont="1" applyBorder="1" applyAlignment="1">
      <alignment horizontal="center" vertical="center"/>
    </xf>
    <xf numFmtId="0" fontId="54" fillId="0" borderId="30" xfId="0" applyFont="1" applyBorder="1" applyAlignment="1">
      <alignment horizontal="center" vertical="center" wrapText="1"/>
    </xf>
    <xf numFmtId="0" fontId="31" fillId="0" borderId="30" xfId="0" applyFont="1" applyBorder="1" applyAlignment="1">
      <alignment horizontal="center" vertical="center"/>
    </xf>
    <xf numFmtId="0" fontId="54" fillId="0" borderId="30" xfId="0" applyFont="1" applyBorder="1" applyAlignment="1">
      <alignment horizontal="center" vertical="center"/>
    </xf>
    <xf numFmtId="165" fontId="54" fillId="0" borderId="31" xfId="0" applyNumberFormat="1" applyFont="1" applyBorder="1" applyAlignment="1">
      <alignment horizontal="right" vertical="center" wrapText="1"/>
    </xf>
    <xf numFmtId="0" fontId="28" fillId="0" borderId="4" xfId="0" applyFont="1" applyBorder="1" applyAlignment="1">
      <alignment vertical="center"/>
    </xf>
    <xf numFmtId="0" fontId="294" fillId="0" borderId="0" xfId="0" applyFont="1" applyAlignment="1">
      <alignment horizontal="left" vertical="center" wrapText="1"/>
    </xf>
    <xf numFmtId="0" fontId="76" fillId="0" borderId="18" xfId="0" applyFont="1" applyBorder="1" applyAlignment="1">
      <alignment vertical="center"/>
    </xf>
    <xf numFmtId="0" fontId="27" fillId="4" borderId="0" xfId="0" applyFont="1" applyFill="1" applyAlignment="1">
      <alignment horizontal="left" vertical="center"/>
    </xf>
    <xf numFmtId="0" fontId="80" fillId="0" borderId="0" xfId="0" applyFont="1" applyAlignment="1">
      <alignment horizontal="center" vertical="center"/>
    </xf>
    <xf numFmtId="0" fontId="234" fillId="0" borderId="0" xfId="0" quotePrefix="1" applyFont="1" applyAlignment="1">
      <alignment vertical="center"/>
    </xf>
    <xf numFmtId="0" fontId="80" fillId="0" borderId="21" xfId="0" applyFont="1" applyBorder="1" applyAlignment="1">
      <alignment horizontal="left" vertical="center"/>
    </xf>
    <xf numFmtId="0" fontId="80" fillId="10" borderId="21" xfId="0" applyFont="1" applyFill="1" applyBorder="1" applyAlignment="1">
      <alignment horizontal="left" vertical="center"/>
    </xf>
    <xf numFmtId="0" fontId="80" fillId="10" borderId="21" xfId="0" applyFont="1" applyFill="1" applyBorder="1"/>
    <xf numFmtId="0" fontId="80" fillId="0" borderId="21" xfId="0" applyFont="1" applyBorder="1"/>
    <xf numFmtId="0" fontId="80" fillId="0" borderId="22" xfId="0" applyFont="1" applyBorder="1"/>
    <xf numFmtId="0" fontId="236" fillId="0" borderId="0" xfId="0" applyFont="1" applyAlignment="1">
      <alignment horizontal="left" vertical="center"/>
    </xf>
    <xf numFmtId="0" fontId="284" fillId="0" borderId="0" xfId="0" applyFont="1" applyAlignment="1">
      <alignment horizontal="left" vertical="center"/>
    </xf>
    <xf numFmtId="0" fontId="222" fillId="0" borderId="0" xfId="0" applyFont="1" applyAlignment="1">
      <alignment horizontal="left" vertical="center"/>
    </xf>
    <xf numFmtId="0" fontId="98" fillId="4" borderId="0" xfId="0" applyFont="1" applyFill="1" applyAlignment="1">
      <alignment horizontal="center" vertical="center" wrapText="1"/>
    </xf>
    <xf numFmtId="0" fontId="80" fillId="0" borderId="0" xfId="0" applyFont="1" applyAlignment="1">
      <alignment horizontal="center" vertical="center" wrapText="1"/>
    </xf>
    <xf numFmtId="0" fontId="81" fillId="0" borderId="0" xfId="0" applyFont="1" applyAlignment="1">
      <alignment horizontal="center"/>
    </xf>
    <xf numFmtId="0" fontId="80" fillId="0" borderId="0" xfId="0" applyFont="1" applyAlignment="1">
      <alignment horizontal="center"/>
    </xf>
    <xf numFmtId="0" fontId="134" fillId="0" borderId="0" xfId="0" applyFont="1"/>
    <xf numFmtId="0" fontId="134" fillId="0" borderId="0" xfId="0" applyFont="1" applyAlignment="1">
      <alignment wrapText="1"/>
    </xf>
    <xf numFmtId="0" fontId="132" fillId="0" borderId="0" xfId="0" applyFont="1" applyAlignment="1">
      <alignment wrapText="1" readingOrder="1"/>
    </xf>
    <xf numFmtId="0" fontId="134" fillId="0" borderId="0" xfId="0" applyFont="1" applyAlignment="1">
      <alignment wrapText="1" readingOrder="1"/>
    </xf>
    <xf numFmtId="0" fontId="280" fillId="0" borderId="0" xfId="0" applyFont="1" applyAlignment="1">
      <alignment vertical="center" wrapText="1"/>
    </xf>
    <xf numFmtId="0" fontId="296" fillId="0" borderId="0" xfId="0" applyFont="1" applyAlignment="1">
      <alignment horizontal="center" vertical="center"/>
    </xf>
    <xf numFmtId="167" fontId="46" fillId="0" borderId="0" xfId="1" applyNumberFormat="1" applyFont="1" applyAlignment="1">
      <alignment horizontal="right"/>
    </xf>
    <xf numFmtId="0" fontId="46" fillId="0" borderId="0" xfId="1" applyFont="1"/>
    <xf numFmtId="0" fontId="76" fillId="0" borderId="32" xfId="0" applyFont="1" applyBorder="1" applyAlignment="1">
      <alignment vertical="center"/>
    </xf>
    <xf numFmtId="0" fontId="277" fillId="0" borderId="0" xfId="1" applyNumberFormat="1"/>
    <xf numFmtId="0" fontId="277" fillId="0" borderId="0" xfId="1" applyNumberFormat="1" applyFill="1"/>
  </cellXfs>
  <cellStyles count="13">
    <cellStyle name="Currency" xfId="2" builtinId="4"/>
    <cellStyle name="Currency 2" xfId="8" xr:uid="{53632C2D-6916-44C9-8CD5-ED1F100C8E41}"/>
    <cellStyle name="Currency 2 2" xfId="11" xr:uid="{DC8C54CE-55B8-4A20-8897-84447C1A4249}"/>
    <cellStyle name="Followed Hyperlink" xfId="12" builtinId="9" customBuiltin="1"/>
    <cellStyle name="Hyperlink" xfId="1" builtinId="8" customBuiltin="1"/>
    <cellStyle name="Hyperlink 2" xfId="7" xr:uid="{00000000-0005-0000-0000-000002000000}"/>
    <cellStyle name="Normal" xfId="0" builtinId="0"/>
    <cellStyle name="Normal 2" xfId="3" xr:uid="{00000000-0005-0000-0000-000004000000}"/>
    <cellStyle name="Normal 2 2" xfId="9" xr:uid="{AEC3D025-EB38-4097-97A2-20E3DC3EFDCD}"/>
    <cellStyle name="Normal 3" xfId="5" xr:uid="{00000000-0005-0000-0000-000005000000}"/>
    <cellStyle name="Normal 4" xfId="6" xr:uid="{00000000-0005-0000-0000-000006000000}"/>
    <cellStyle name="Normal 4 2" xfId="10" xr:uid="{918ABC68-0E69-4ED6-A741-664CF3405D68}"/>
    <cellStyle name="Per cent" xfId="4" builtinId="5"/>
  </cellStyles>
  <dxfs count="38">
    <dxf>
      <fill>
        <patternFill>
          <bgColor theme="8" tint="0.79998168889431442"/>
        </patternFill>
      </fill>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b/>
        <i val="0"/>
      </font>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b val="0"/>
        <i val="0"/>
        <strike val="0"/>
        <condense val="0"/>
        <extend val="0"/>
        <outline val="0"/>
        <shadow val="0"/>
        <u val="none"/>
        <vertAlign val="baseline"/>
        <sz val="10"/>
        <color auto="1"/>
        <name val="Noto Sans"/>
        <family val="2"/>
        <scheme val="none"/>
      </font>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167" formatCode="&quot;£&quot;#,##0.00"/>
      <alignment horizontal="right" vertical="bottom" textRotation="0" wrapText="0" indent="0" justifyLastLine="0" shrinkToFit="0" readingOrder="0"/>
    </dxf>
    <dxf>
      <font>
        <strike val="0"/>
        <outline val="0"/>
        <shadow val="0"/>
        <u val="none"/>
        <vertAlign val="baseline"/>
        <sz val="10"/>
        <color auto="1"/>
        <name val="Noto Sans"/>
        <family val="2"/>
        <scheme val="none"/>
      </font>
      <numFmt numFmtId="0" formatCode="General"/>
      <alignment horizontal="center" vertical="bottom" textRotation="0" wrapText="0" indent="0" justifyLastLine="0" shrinkToFit="0" readingOrder="0"/>
    </dxf>
    <dxf>
      <font>
        <strike val="0"/>
        <outline val="0"/>
        <shadow val="0"/>
        <u val="none"/>
        <vertAlign val="baseline"/>
        <sz val="10"/>
        <color auto="1"/>
        <name val="Noto Sans"/>
        <family val="2"/>
        <scheme val="none"/>
      </font>
      <alignment horizontal="right" vertical="bottom" textRotation="0" wrapText="0" indent="0" justifyLastLine="0" shrinkToFit="0" readingOrder="0"/>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b val="0"/>
        <i val="0"/>
        <strike val="0"/>
        <condense val="0"/>
        <extend val="0"/>
        <outline val="0"/>
        <shadow val="0"/>
        <u/>
        <vertAlign val="baseline"/>
        <sz val="10"/>
        <color theme="10"/>
        <name val="Noto Sans"/>
        <family val="2"/>
        <scheme val="none"/>
      </font>
      <numFmt numFmtId="0" formatCode="General"/>
    </dxf>
    <dxf>
      <font>
        <strike val="0"/>
        <outline val="0"/>
        <shadow val="0"/>
        <u val="none"/>
        <vertAlign val="baseline"/>
        <sz val="10"/>
        <color auto="1"/>
        <name val="Noto Sans"/>
        <family val="2"/>
        <scheme val="none"/>
      </font>
      <numFmt numFmtId="0" formatCode="General"/>
    </dxf>
    <dxf>
      <font>
        <strike val="0"/>
        <outline val="0"/>
        <shadow val="0"/>
        <u val="none"/>
        <vertAlign val="baseline"/>
        <sz val="10"/>
        <color auto="1"/>
        <name val="Noto Sans"/>
        <family val="2"/>
        <scheme val="none"/>
      </font>
    </dxf>
    <dxf>
      <font>
        <b/>
        <strike val="0"/>
        <outline val="0"/>
        <shadow val="0"/>
        <u val="none"/>
        <vertAlign val="baseline"/>
        <sz val="10"/>
        <color auto="1"/>
        <name val="Noto Sans"/>
        <family val="2"/>
        <scheme val="none"/>
      </font>
    </dxf>
  </dxfs>
  <tableStyles count="0" defaultTableStyle="TableStyleMedium2" defaultPivotStyle="PivotStyleLight16"/>
  <colors>
    <mruColors>
      <color rgb="FFFF66FF"/>
      <color rgb="FFFFFFCC"/>
      <color rgb="FFFFCCCC"/>
      <color rgb="FFFD07DA"/>
      <color rgb="FF0000FF"/>
      <color rgb="FFFF7C80"/>
      <color rgb="FFCCFF33"/>
      <color rgb="FFFF0000"/>
      <color rgb="FF4B0108"/>
      <color rgb="FF4B014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23812</xdr:colOff>
      <xdr:row>15811</xdr:row>
      <xdr:rowOff>66674</xdr:rowOff>
    </xdr:from>
    <xdr:to>
      <xdr:col>0</xdr:col>
      <xdr:colOff>319087</xdr:colOff>
      <xdr:row>15812</xdr:row>
      <xdr:rowOff>128587</xdr:rowOff>
    </xdr:to>
    <xdr:pic>
      <xdr:nvPicPr>
        <xdr:cNvPr id="1405" name="Picture 3">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 y="508253999"/>
          <a:ext cx="295275" cy="19526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0</xdr:colOff>
      <xdr:row>15814</xdr:row>
      <xdr:rowOff>66675</xdr:rowOff>
    </xdr:from>
    <xdr:to>
      <xdr:col>0</xdr:col>
      <xdr:colOff>323850</xdr:colOff>
      <xdr:row>15817</xdr:row>
      <xdr:rowOff>19050</xdr:rowOff>
    </xdr:to>
    <xdr:pic>
      <xdr:nvPicPr>
        <xdr:cNvPr id="1406" name="Picture 4">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508787400"/>
          <a:ext cx="323850" cy="2190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13635</xdr:row>
      <xdr:rowOff>0</xdr:rowOff>
    </xdr:from>
    <xdr:to>
      <xdr:col>1</xdr:col>
      <xdr:colOff>304800</xdr:colOff>
      <xdr:row>13636</xdr:row>
      <xdr:rowOff>128976</xdr:rowOff>
    </xdr:to>
    <xdr:sp macro="" textlink="">
      <xdr:nvSpPr>
        <xdr:cNvPr id="1026" name="AutoShape 2" descr="Home | Sake 36">
          <a:extLst>
            <a:ext uri="{FF2B5EF4-FFF2-40B4-BE49-F238E27FC236}">
              <a16:creationId xmlns:a16="http://schemas.microsoft.com/office/drawing/2014/main" id="{00000000-0008-0000-0000-000002040000}"/>
            </a:ext>
          </a:extLst>
        </xdr:cNvPr>
        <xdr:cNvSpPr>
          <a:spLocks noChangeAspect="1" noChangeArrowheads="1"/>
        </xdr:cNvSpPr>
      </xdr:nvSpPr>
      <xdr:spPr bwMode="auto">
        <a:xfrm>
          <a:off x="2000250" y="11717369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547687</xdr:colOff>
      <xdr:row>2</xdr:row>
      <xdr:rowOff>32335</xdr:rowOff>
    </xdr:from>
    <xdr:to>
      <xdr:col>1</xdr:col>
      <xdr:colOff>2511136</xdr:colOff>
      <xdr:row>2</xdr:row>
      <xdr:rowOff>1250741</xdr:rowOff>
    </xdr:to>
    <xdr:pic>
      <xdr:nvPicPr>
        <xdr:cNvPr id="11" name="Picture 10">
          <a:extLst>
            <a:ext uri="{FF2B5EF4-FFF2-40B4-BE49-F238E27FC236}">
              <a16:creationId xmlns:a16="http://schemas.microsoft.com/office/drawing/2014/main" id="{00000000-0008-0000-0000-00000B000000}"/>
            </a:ext>
            <a:ext uri="{147F2762-F138-4A5C-976F-8EAC2B608ADB}">
              <a16:predDERef xmlns:a16="http://schemas.microsoft.com/office/drawing/2014/main" pred="{00000000-0008-0000-0000-00000204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585209" y="545857"/>
          <a:ext cx="1957099" cy="1251713"/>
        </a:xfrm>
        <a:prstGeom prst="rect">
          <a:avLst/>
        </a:prstGeom>
        <a:noFill/>
        <a:ln>
          <a:noFill/>
        </a:ln>
      </xdr:spPr>
    </xdr:pic>
    <xdr:clientData/>
  </xdr:twoCellAnchor>
  <xdr:oneCellAnchor>
    <xdr:from>
      <xdr:col>1</xdr:col>
      <xdr:colOff>157370</xdr:colOff>
      <xdr:row>16003</xdr:row>
      <xdr:rowOff>8282</xdr:rowOff>
    </xdr:from>
    <xdr:ext cx="304800" cy="297872"/>
    <xdr:sp macro="" textlink="">
      <xdr:nvSpPr>
        <xdr:cNvPr id="6" name="AutoShape 2" descr="Home | Sake 36">
          <a:extLst>
            <a:ext uri="{FF2B5EF4-FFF2-40B4-BE49-F238E27FC236}">
              <a16:creationId xmlns:a16="http://schemas.microsoft.com/office/drawing/2014/main" id="{00000000-0008-0000-0000-000006000000}"/>
            </a:ext>
          </a:extLst>
        </xdr:cNvPr>
        <xdr:cNvSpPr>
          <a:spLocks noChangeAspect="1" noChangeArrowheads="1"/>
        </xdr:cNvSpPr>
      </xdr:nvSpPr>
      <xdr:spPr bwMode="auto">
        <a:xfrm>
          <a:off x="2244587" y="1051891"/>
          <a:ext cx="304800" cy="297872"/>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0</xdr:col>
      <xdr:colOff>15875</xdr:colOff>
      <xdr:row>14237</xdr:row>
      <xdr:rowOff>0</xdr:rowOff>
    </xdr:from>
    <xdr:to>
      <xdr:col>8</xdr:col>
      <xdr:colOff>0</xdr:colOff>
      <xdr:row>14237</xdr:row>
      <xdr:rowOff>2482850</xdr:rowOff>
    </xdr:to>
    <xdr:sp macro="" textlink="">
      <xdr:nvSpPr>
        <xdr:cNvPr id="9" name="TextBox 8">
          <a:extLst>
            <a:ext uri="{FF2B5EF4-FFF2-40B4-BE49-F238E27FC236}">
              <a16:creationId xmlns:a16="http://schemas.microsoft.com/office/drawing/2014/main" id="{00000000-0008-0000-0000-000009000000}"/>
            </a:ext>
          </a:extLst>
        </xdr:cNvPr>
        <xdr:cNvSpPr txBox="1"/>
      </xdr:nvSpPr>
      <xdr:spPr>
        <a:xfrm>
          <a:off x="15875" y="1984863950"/>
          <a:ext cx="7165975" cy="24828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90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Carlo Gobetti was unique. In the world of white spirits, he was occasionally equalled, but never surpassed. He defined small batch, total  transparency, total experience, total quality, insane consistency. I met with him most years since 1998 in the Springtime up at the distillery, on a limestone ridge high over Lake Garda. He was one of my teachers, particularly with respect to tasting. Yet if you passed him on the street, you might have thought 'there's a short Gandalf,' but not that you were passing greatness. </a:t>
          </a:r>
        </a:p>
        <a:p>
          <a:r>
            <a:rPr lang="en-GB" sz="90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Who might his peers be? Very few, for many reasons: perhaps Martine Lafitte of Boingneres; the team behind Octomore &amp; Port Charlotte. In wine terms, people who excel in really every product with consistency are also rare. We all have our favourites, but the list is short. </a:t>
          </a:r>
        </a:p>
        <a:p>
          <a:r>
            <a:rPr lang="en-GB" sz="90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Just before Gobetti joined Raeburn, a party of three went to visit with Zubair. They complained all the way up the hill, but then almost never descended. As a result, Raeburn have the proud position of being the 1st importer in the world to ship Gobetti by the pallet. </a:t>
          </a:r>
        </a:p>
        <a:p>
          <a:r>
            <a:rPr lang="en-GB" sz="90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After some years of illness, Carlo passed away in the Summer of 2020, aged 80. He loved sailing, his family and spirits. He liked wine, introduced us to some firm favourites now on our list, like Raval's Bardolino, and Corte Lenguin Valpol'. Our thoughts are with his family. One day someone will write a book about the Gobettis, the 2nd oldest legal distillery in Italy, one of the first to distill whole grapes. And what about the still design, distillation, aging, dilution (or non-dilution), his legal declaration of purity to his clients? More of that, anon… David Harvey, Summer 2021</a:t>
          </a:r>
        </a:p>
      </xdr:txBody>
    </xdr:sp>
    <xdr:clientData/>
  </xdr:twoCellAnchor>
  <xdr:twoCellAnchor>
    <xdr:from>
      <xdr:col>0</xdr:col>
      <xdr:colOff>7938</xdr:colOff>
      <xdr:row>15335</xdr:row>
      <xdr:rowOff>13607</xdr:rowOff>
    </xdr:from>
    <xdr:to>
      <xdr:col>8</xdr:col>
      <xdr:colOff>0</xdr:colOff>
      <xdr:row>15336</xdr:row>
      <xdr:rowOff>0</xdr:rowOff>
    </xdr:to>
    <xdr:sp macro="" textlink="">
      <xdr:nvSpPr>
        <xdr:cNvPr id="10" name="TextBox 9">
          <a:extLst>
            <a:ext uri="{FF2B5EF4-FFF2-40B4-BE49-F238E27FC236}">
              <a16:creationId xmlns:a16="http://schemas.microsoft.com/office/drawing/2014/main" id="{00000000-0008-0000-0000-00000A000000}"/>
            </a:ext>
          </a:extLst>
        </xdr:cNvPr>
        <xdr:cNvSpPr txBox="1"/>
      </xdr:nvSpPr>
      <xdr:spPr>
        <a:xfrm>
          <a:off x="7938" y="1960421893"/>
          <a:ext cx="6528026" cy="12019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As wine people, it's what's in the glass that counts. As sentient people, the means of production, environmental footprint and potential contribution are ever increasingly an integral part of the picture. Some producers go beyond vinous and ethical beauty, with splendid labels by artists and designers. This can</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attract the eye,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awaken</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the brain, and importantly, entices people in from outside the somewhat insular wine world: no bad thing. </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Baron Philippe de Rothschild started the annual artist label program in 1945 at Mouton, inspiring many others over time. My favourites? Unquestionably Le Pergola Torte by Montevertine, who use abstracts of women from paintings by Alberto Manfredi. Now joined by Damien Coulthard's canvasses for Alkina, Barossa. Below are examples from Raeburn's portfolio: as ever, we are liquid led, but these go that little bit further...</a:t>
          </a:r>
        </a:p>
      </xdr:txBody>
    </xdr:sp>
    <xdr:clientData/>
  </xdr:twoCellAnchor>
  <xdr:twoCellAnchor>
    <xdr:from>
      <xdr:col>0</xdr:col>
      <xdr:colOff>1</xdr:colOff>
      <xdr:row>14803</xdr:row>
      <xdr:rowOff>7936</xdr:rowOff>
    </xdr:from>
    <xdr:to>
      <xdr:col>8</xdr:col>
      <xdr:colOff>0</xdr:colOff>
      <xdr:row>14820</xdr:row>
      <xdr:rowOff>450273</xdr:rowOff>
    </xdr:to>
    <xdr:sp macro="" textlink="">
      <xdr:nvSpPr>
        <xdr:cNvPr id="12" name="TextBox 11">
          <a:extLst>
            <a:ext uri="{FF2B5EF4-FFF2-40B4-BE49-F238E27FC236}">
              <a16:creationId xmlns:a16="http://schemas.microsoft.com/office/drawing/2014/main" id="{00000000-0008-0000-0000-00000C000000}"/>
            </a:ext>
          </a:extLst>
        </xdr:cNvPr>
        <xdr:cNvSpPr txBox="1"/>
      </xdr:nvSpPr>
      <xdr:spPr>
        <a:xfrm>
          <a:off x="1" y="2134439209"/>
          <a:ext cx="7195704" cy="29448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What makes great wine? Certainly, great growers, great terroir, great genetic vine material, great vintages, custom equipment, great work, quality cork. Beyond that, there are a few attributes that can make phenomenal differences. </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One is </a:t>
          </a:r>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ungrafted vines</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when compared to grafted vines nearby. Aka non-greffés, pie(de) franco, franc de pied. (Pre-phylloxera is incorrect, unless they pre-date ~1863.) Great examples are Noval Nacional VP, JJ Prum, Bollinger VVF, Cornelissen's ungrafted crus, pre-1945 Romanée Conti. Luigi Veronelli wrote that Lisini's Brunello Prefilossero was like </a:t>
          </a:r>
          <a:r>
            <a:rPr lang="en-GB" sz="850" i="1">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'‘the earth singing to the sky.’'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Many of the world's great growers have planted ungrafted trial blocks - and almost every single one has lost them. </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Another attribute are </a:t>
          </a:r>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tres vieilles vignes</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aka TVV, centenarian vines, vignes centenaires. I first became aware of this on Joseph Roty's 1980s bottlings of his </a:t>
          </a:r>
          <a:r>
            <a:rPr lang="en-GB" sz="850" i="1">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Charmes Chambertin de Tres Vieilles Vignes</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It's not that older is necessarily better, as it's not. However,</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s</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ome of these old parcels, the first planted after phylloxera to old biotypes, produce modest yields of incredible wine. See the lists below for examples. (FYI on the list, we use 'VV' to signify vieilles vignes over 60 years, and 'TVV' for 100 years and over.) </a:t>
          </a:r>
        </a:p>
        <a:p>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Massale vines</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even if extremely young are another such attribute. However,</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t</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hey're too numerous to single out here, (apart from Andy Smith's many successive plantings of post-phylloxera pinot noir selections in RRV.) </a:t>
          </a:r>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Long elevage</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for the wines/styles that merit it, is fantastic for concentration, stability, natural clarity, depth and development. </a:t>
          </a:r>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High altitude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vines are invariably more interesting than lower altitude vines at the same latitude. The vines and grapes are exposed to higher UV, colder days and nights, large diurnal range, longer growing season. This amounts to higher risk, but also lower alcohol levels, higher acidity levels, more intense fruit flavours and precise tannins. Lastly, for now, </a:t>
          </a:r>
          <a:r>
            <a:rPr lang="en-GB" sz="850" b="1">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long</a:t>
          </a:r>
          <a:r>
            <a:rPr lang="en-GB" sz="850" b="1" baseline="0">
              <a:solidFill>
                <a:schemeClr val="tx1">
                  <a:lumMod val="85000"/>
                  <a:lumOff val="15000"/>
                </a:schemeClr>
              </a:solidFill>
              <a:latin typeface="Noto Sans" panose="020B0502040504020204" pitchFamily="34" charset="0"/>
              <a:ea typeface="Noto Sans" panose="020B0502040504020204" pitchFamily="34" charset="0"/>
              <a:cs typeface="Arial" panose="020B0604020202020204" pitchFamily="34" charset="0"/>
            </a:rPr>
            <a:t> in-bottle maturation</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Ongoing reactions in bottle are a source of joy. Not just 'aging' but development, maturation, progression of aromas, combined with changes in structure, perception thereof. In wine, like cigars, a middle level product given extended aging in perfect conditions will often outperform the greatest product approached at the wrong moment, &amp;/or stored poorly.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Collectively, these selections</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are some of our favourite wines on the list…</a:t>
          </a:r>
        </a:p>
      </xdr:txBody>
    </xdr:sp>
    <xdr:clientData/>
  </xdr:twoCellAnchor>
  <xdr:twoCellAnchor>
    <xdr:from>
      <xdr:col>0</xdr:col>
      <xdr:colOff>15875</xdr:colOff>
      <xdr:row>15456</xdr:row>
      <xdr:rowOff>47625</xdr:rowOff>
    </xdr:from>
    <xdr:to>
      <xdr:col>8</xdr:col>
      <xdr:colOff>0</xdr:colOff>
      <xdr:row>15457</xdr:row>
      <xdr:rowOff>0</xdr:rowOff>
    </xdr:to>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15875" y="1973539179"/>
          <a:ext cx="6529161" cy="102393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The wines in this selection are named after grains, flowers, trees, mostly due to plants by the vines or cellar, like the pines at Le Pin or Tirecul. Some are named by flowers that grow in the vines, like the Gueules de Loup / snapdragons at Goisot's parcel. Others are merely romantic. In any case, vines on their</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own, in monoculture, are not sustainable and thus </a:t>
          </a:r>
          <a:r>
            <a:rPr lang="en-GB" sz="850" i="1">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not really</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that interesting. </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So what is interesting? More plants, more life, expansion into polyculture, cover-cropping, rotation, arboriculture, agroforestry. The other plants involved help bring AMFs, worms, insects, and finally vertebrates (birds and animals). This increase in biodiversity helps generate and aerate soil, increase drainage, increase vine's defenses, and decrease risk of pathogens. We should celebrate the other flora</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fauna &amp; funga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that might thrive in vineyards,</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t>
          </a:r>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assisting in greater long term sustainability, starting with wines like these:</a:t>
          </a:r>
        </a:p>
      </xdr:txBody>
    </xdr:sp>
    <xdr:clientData/>
  </xdr:twoCellAnchor>
  <xdr:twoCellAnchor>
    <xdr:from>
      <xdr:col>0</xdr:col>
      <xdr:colOff>7938</xdr:colOff>
      <xdr:row>15750</xdr:row>
      <xdr:rowOff>6350</xdr:rowOff>
    </xdr:from>
    <xdr:to>
      <xdr:col>8</xdr:col>
      <xdr:colOff>0</xdr:colOff>
      <xdr:row>15750</xdr:row>
      <xdr:rowOff>2247900</xdr:rowOff>
    </xdr:to>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7938" y="2205243875"/>
          <a:ext cx="7192962" cy="224155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This ancient astrology system follows a 12 year cycle. We always have good availability of 12 year old wine, and sometimes 24 year old wine to celebrate with, each Chinese Lunar New Year. The sentimental among us can also find great pleasure in exploring other years of our birth signs. For example, a 1959 born Pig may once have relished 1959s annually, but today they are far more likely to find interest, availability and value in waning 1983s, 1995s a point, 2007s, and 2019s with their flush of the fresh fruit of youth. It's a good a reason as any to focus in on certain vintages. </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By the way, the old notion of great vintages to revere, and terrible vintages to avoid, whilst once true, is no longer the case. Massive developments in farming and winemaking mean that top producers make wonderful wine every year. Due to the weather, there is just more or less of it. It is either more forward, or potentially longer lived. (In fact, one might go as far as to suggest that some of the most talked about modern vintages simply risk being too much of a good thing, and are best avoided in some regions…)</a:t>
          </a:r>
        </a:p>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Likewise, the old rule of not touching certain serious red wines for ten years (e.g. top Bordeaux,) due to them being almost unpleasantly structured, no longer stands. As apart from a few unreconstructed traditionalists, most all the top European wines now drink well in youth. That said, a lot start to soften and develop at 8-10 years, and 12 years is as good a moment as any to enjoy most serious red wine. They will still possess a memory of the fruit and energy of youth, plus some of the softening, developmental benefits of time, without risk of 'undue age'.</a:t>
          </a:r>
        </a:p>
      </xdr:txBody>
    </xdr:sp>
    <xdr:clientData/>
  </xdr:twoCellAnchor>
  <xdr:twoCellAnchor>
    <xdr:from>
      <xdr:col>0</xdr:col>
      <xdr:colOff>15875</xdr:colOff>
      <xdr:row>8298</xdr:row>
      <xdr:rowOff>26987</xdr:rowOff>
    </xdr:from>
    <xdr:to>
      <xdr:col>8</xdr:col>
      <xdr:colOff>0</xdr:colOff>
      <xdr:row>8308</xdr:row>
      <xdr:rowOff>104775</xdr:rowOff>
    </xdr:to>
    <xdr:sp macro="" textlink="">
      <xdr:nvSpPr>
        <xdr:cNvPr id="15" name="TextBox 14">
          <a:extLst>
            <a:ext uri="{FF2B5EF4-FFF2-40B4-BE49-F238E27FC236}">
              <a16:creationId xmlns:a16="http://schemas.microsoft.com/office/drawing/2014/main" id="{00000000-0008-0000-0000-00000F000000}"/>
            </a:ext>
          </a:extLst>
        </xdr:cNvPr>
        <xdr:cNvSpPr txBox="1"/>
      </xdr:nvSpPr>
      <xdr:spPr>
        <a:xfrm>
          <a:off x="15875" y="1195938362"/>
          <a:ext cx="7185025" cy="12207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850" b="1">
              <a:solidFill>
                <a:schemeClr val="tx1">
                  <a:lumMod val="50000"/>
                  <a:lumOff val="50000"/>
                </a:schemeClr>
              </a:solidFill>
              <a:latin typeface="Aptos" panose="020B0004020202020204" pitchFamily="34" charset="0"/>
              <a:cs typeface="Arial" panose="020B0604020202020204" pitchFamily="34" charset="0"/>
            </a:rPr>
            <a:t>&lt;&lt;Cantina Spluva di Renato Molino&gt;&gt;</a:t>
          </a:r>
        </a:p>
        <a:p>
          <a:r>
            <a:rPr lang="en-GB" sz="850" b="1">
              <a:solidFill>
                <a:schemeClr val="tx1">
                  <a:lumMod val="50000"/>
                  <a:lumOff val="50000"/>
                </a:schemeClr>
              </a:solidFill>
              <a:latin typeface="Aptos" panose="020B0004020202020204" pitchFamily="34" charset="0"/>
              <a:cs typeface="Arial" panose="020B0604020202020204" pitchFamily="34" charset="0"/>
            </a:rPr>
            <a:t>Intro: </a:t>
          </a:r>
          <a:r>
            <a:rPr lang="en-GB" sz="850">
              <a:solidFill>
                <a:schemeClr val="tx1">
                  <a:lumMod val="50000"/>
                  <a:lumOff val="50000"/>
                </a:schemeClr>
              </a:solidFill>
              <a:latin typeface="Aptos" panose="020B0004020202020204" pitchFamily="34" charset="0"/>
              <a:cs typeface="Arial" panose="020B0604020202020204" pitchFamily="34" charset="0"/>
            </a:rPr>
            <a:t>'This is an extraordinary, and still under the radar, tiny source of traditional Barolo. The vines are mature through to old, well located, sustainably farmed. Elevage is around three years in traditional Slavonian oak casks, coopered by Bruno Arcari of Vicenza. The genre is 'elegant-traditional', with high-drinkability. Renato didn't use his own label for a long time, selling in bulk,</a:t>
          </a:r>
        </a:p>
        <a:p>
          <a:r>
            <a:rPr lang="en-GB" sz="850">
              <a:solidFill>
                <a:schemeClr val="tx1">
                  <a:lumMod val="50000"/>
                  <a:lumOff val="50000"/>
                </a:schemeClr>
              </a:solidFill>
              <a:latin typeface="Aptos" panose="020B0004020202020204" pitchFamily="34" charset="0"/>
              <a:cs typeface="Arial" panose="020B0604020202020204" pitchFamily="34" charset="0"/>
            </a:rPr>
            <a:t> plus his multi-vintage Spluva blend to locals. Even now they bottle just ~7000 a year, off 3.8ha. So from the 2014s/2015s, we are witnessing the most welcome re-birth of an old name, with historic labels. (2017s have just made their way to the USA.) </a:t>
          </a:r>
        </a:p>
        <a:p>
          <a:r>
            <a:rPr lang="en-GB" sz="850">
              <a:solidFill>
                <a:schemeClr val="tx1">
                  <a:lumMod val="50000"/>
                  <a:lumOff val="50000"/>
                </a:schemeClr>
              </a:solidFill>
              <a:latin typeface="Aptos" panose="020B0004020202020204" pitchFamily="34" charset="0"/>
              <a:cs typeface="Arial" panose="020B0604020202020204" pitchFamily="34" charset="0"/>
            </a:rPr>
            <a:t>Having been the UK importer for Accomasso for decades, the Raeburn team are delighted to be reunited with the fabled cru of Rocche dell'Annunziata.</a:t>
          </a:r>
          <a:r>
            <a:rPr lang="en-GB" sz="850" baseline="0">
              <a:solidFill>
                <a:schemeClr val="tx1">
                  <a:lumMod val="50000"/>
                  <a:lumOff val="50000"/>
                </a:schemeClr>
              </a:solidFill>
              <a:latin typeface="Aptos" panose="020B0004020202020204" pitchFamily="34" charset="0"/>
              <a:cs typeface="Arial" panose="020B0604020202020204" pitchFamily="34" charset="0"/>
            </a:rPr>
            <a:t> </a:t>
          </a:r>
          <a:r>
            <a:rPr lang="en-GB" sz="850">
              <a:solidFill>
                <a:schemeClr val="tx1">
                  <a:lumMod val="50000"/>
                  <a:lumOff val="50000"/>
                </a:schemeClr>
              </a:solidFill>
              <a:latin typeface="Aptos" panose="020B0004020202020204" pitchFamily="34" charset="0"/>
              <a:cs typeface="Arial" panose="020B0604020202020204" pitchFamily="34" charset="0"/>
            </a:rPr>
            <a:t>Last but not least, Spluva Rosso is their beautiful multi vintage nebbiolo blend, which receives ~3yrs Barolo-level elevage in botte grande. A bargain.' </a:t>
          </a:r>
        </a:p>
      </xdr:txBody>
    </xdr:sp>
    <xdr:clientData/>
  </xdr:twoCellAnchor>
  <xdr:twoCellAnchor>
    <xdr:from>
      <xdr:col>0</xdr:col>
      <xdr:colOff>15875</xdr:colOff>
      <xdr:row>15431</xdr:row>
      <xdr:rowOff>7939</xdr:rowOff>
    </xdr:from>
    <xdr:to>
      <xdr:col>8</xdr:col>
      <xdr:colOff>0</xdr:colOff>
      <xdr:row>15432</xdr:row>
      <xdr:rowOff>0</xdr:rowOff>
    </xdr:to>
    <xdr:sp macro="" textlink="">
      <xdr:nvSpPr>
        <xdr:cNvPr id="19" name="TextBox 18">
          <a:extLst>
            <a:ext uri="{FF2B5EF4-FFF2-40B4-BE49-F238E27FC236}">
              <a16:creationId xmlns:a16="http://schemas.microsoft.com/office/drawing/2014/main" id="{00000000-0008-0000-0000-000013000000}"/>
            </a:ext>
          </a:extLst>
        </xdr:cNvPr>
        <xdr:cNvSpPr txBox="1"/>
      </xdr:nvSpPr>
      <xdr:spPr>
        <a:xfrm>
          <a:off x="15875" y="2073981439"/>
          <a:ext cx="6527067" cy="519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These wines are formally named after some component of their</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'terroir', in the soil, sub soil, decomposed rock (regolith), or the mother rock below. We have left out wines merely called </a:t>
          </a:r>
          <a:r>
            <a:rPr lang="en-GB" sz="850" i="1"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Cailloux</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&amp; </a:t>
          </a:r>
          <a:r>
            <a:rPr lang="en-GB" sz="850" i="1"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Caillottes</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(stones), </a:t>
          </a:r>
          <a:r>
            <a:rPr lang="en-GB" sz="850" i="1"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Perrieres</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(stony) in Burgundy, </a:t>
          </a:r>
          <a:r>
            <a:rPr lang="en-GB" sz="850" i="1"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Graves &amp; Gravieres </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(for gravels), or Rocche &amp; </a:t>
          </a:r>
          <a:r>
            <a:rPr lang="en-GB" sz="850" i="1"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Roche(s)</a:t>
          </a:r>
          <a:r>
            <a:rPr lang="en-GB" sz="850" baseline="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rPr>
            <a:t> (planted on or by rocks) everywhere, in order to focus on slightly more specific terms.</a:t>
          </a:r>
        </a:p>
        <a:p>
          <a:endParaRPr lang="en-GB" sz="850">
            <a:solidFill>
              <a:schemeClr val="tx1">
                <a:lumMod val="50000"/>
                <a:lumOff val="50000"/>
              </a:schemeClr>
            </a:solidFill>
            <a:latin typeface="Noto Sans" panose="020B0502040504020204" pitchFamily="34" charset="0"/>
            <a:ea typeface="Noto Sans" panose="020B0502040504020204" pitchFamily="34" charset="0"/>
            <a:cs typeface="Arial" panose="020B0604020202020204" pitchFamily="34" charset="0"/>
          </a:endParaRPr>
        </a:p>
      </xdr:txBody>
    </xdr:sp>
    <xdr:clientData/>
  </xdr:twoCellAnchor>
  <xdr:twoCellAnchor>
    <xdr:from>
      <xdr:col>0</xdr:col>
      <xdr:colOff>0</xdr:colOff>
      <xdr:row>572</xdr:row>
      <xdr:rowOff>8284</xdr:rowOff>
    </xdr:from>
    <xdr:to>
      <xdr:col>8</xdr:col>
      <xdr:colOff>0</xdr:colOff>
      <xdr:row>572</xdr:row>
      <xdr:rowOff>3486977</xdr:rowOff>
    </xdr:to>
    <xdr:sp macro="" textlink="">
      <xdr:nvSpPr>
        <xdr:cNvPr id="2" name="TextBox 1">
          <a:extLst>
            <a:ext uri="{FF2B5EF4-FFF2-40B4-BE49-F238E27FC236}">
              <a16:creationId xmlns:a16="http://schemas.microsoft.com/office/drawing/2014/main" id="{AE7AB5EE-C61B-84C3-ED48-D2AD44E48965}"/>
            </a:ext>
          </a:extLst>
        </xdr:cNvPr>
        <xdr:cNvSpPr txBox="1"/>
      </xdr:nvSpPr>
      <xdr:spPr>
        <a:xfrm>
          <a:off x="0" y="87157893"/>
          <a:ext cx="6924261" cy="34786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1">
              <a:latin typeface="Noto Sans" panose="020B0502040504020204" pitchFamily="34" charset="0"/>
              <a:ea typeface="Noto Sans" panose="020B0502040504020204" pitchFamily="34" charset="0"/>
              <a:cs typeface="Noto Sans" panose="020B0502040504020204" pitchFamily="34" charset="0"/>
            </a:rPr>
            <a:t>AVAILABILITY</a:t>
          </a:r>
          <a:r>
            <a:rPr lang="en-GB" sz="850">
              <a:latin typeface="Noto Sans" panose="020B0502040504020204" pitchFamily="34" charset="0"/>
              <a:ea typeface="Noto Sans" panose="020B0502040504020204" pitchFamily="34" charset="0"/>
              <a:cs typeface="Noto Sans" panose="020B0502040504020204" pitchFamily="34" charset="0"/>
            </a:rPr>
            <a:t>:</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NB Wines marked 'ex-cellars' in the price column have been bought by Raeburn Fine Wines en primeur and are mostly lying in Bordeaux. Yes, they can be bought. They will still be shipped into the UK by Raeburn according to our shipping cycles, before delivery. Please ignore such listings for ALL requirements with ANY time- sensitivity, and work with physically available wine instead. We don't split cases on many '1GCC' level wines. Just ask for any clarification - thanks. </a:t>
          </a:r>
        </a:p>
        <a:p>
          <a:r>
            <a:rPr lang="en-GB" sz="850" b="1">
              <a:latin typeface="Noto Sans" panose="020B0502040504020204" pitchFamily="34" charset="0"/>
              <a:ea typeface="Noto Sans" panose="020B0502040504020204" pitchFamily="34" charset="0"/>
              <a:cs typeface="Noto Sans" panose="020B0502040504020204" pitchFamily="34" charset="0"/>
            </a:rPr>
            <a:t>FOREWORD</a:t>
          </a:r>
          <a:r>
            <a:rPr lang="en-GB" sz="850">
              <a:latin typeface="Noto Sans" panose="020B0502040504020204" pitchFamily="34" charset="0"/>
              <a:ea typeface="Noto Sans" panose="020B0502040504020204" pitchFamily="34" charset="0"/>
              <a:cs typeface="Noto Sans" panose="020B0502040504020204" pitchFamily="34" charset="0"/>
            </a:rPr>
            <a:t>:</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Raeburn have always been committed Bordeaux lovers. It's the wine that got most of us into wine in the first place. We are overjoyed by the regional drive to more ethical farming practices, which has the highest take up rate ever seen, combined with a return to balance and good taste (not god taste) in most cellars. </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The world's largest fine wine region (~120K ha), which, along with the Douro, invented the very notion of bottling fine wine  for in-bottle maturation, has got its mojo back. There might be a risk of a generation of Bordeaux bashers being lured back in… </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There are all sorts of businesses, from auteur artisans to corporate structures, via family dynasties old and new. The same can be said of the wines: there are literally endless exciting possibilities open to winegrowers, including new cask &amp; closure developments. Some of the best wines of today have a sense of lightness and completeness that is utterly captivating. Burgundian, dare we say it? This does not mean that we are not highly critical of some Chateaux in preceding decades - no one wants to ever taste 15% abv extracted merlot from cheap new underseasoned high-toast casks, bottled under cheap cork, ever again.</a:t>
          </a:r>
        </a:p>
        <a:p>
          <a:r>
            <a:rPr lang="en-GB" sz="850" b="1">
              <a:latin typeface="Noto Sans" panose="020B0502040504020204" pitchFamily="34" charset="0"/>
              <a:ea typeface="Noto Sans" panose="020B0502040504020204" pitchFamily="34" charset="0"/>
              <a:cs typeface="Noto Sans" panose="020B0502040504020204" pitchFamily="34" charset="0"/>
            </a:rPr>
            <a:t>CLASSIFICATIONS</a:t>
          </a:r>
          <a:r>
            <a:rPr lang="en-GB" sz="850">
              <a:latin typeface="Noto Sans" panose="020B0502040504020204" pitchFamily="34" charset="0"/>
              <a:ea typeface="Noto Sans" panose="020B0502040504020204" pitchFamily="34" charset="0"/>
              <a:cs typeface="Noto Sans" panose="020B0502040504020204" pitchFamily="34" charset="0"/>
            </a:rPr>
            <a:t>:</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Lastly, classifications have been included,</a:t>
          </a:r>
          <a:r>
            <a:rPr lang="en-GB" sz="850" baseline="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 however these are becoming more varied and numerous Chateaux are choosing to opt out of the system</a:t>
          </a:r>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 Reference classifications of today include the newly rebooted Crus Bourgeois du Médoc with mandatory HVE certification, and Pomerol, who have dodged the trap. In all cases, there are better ways to assess the wines. (Quality, price, farming, style, availability, etc.)</a:t>
          </a:r>
        </a:p>
        <a:p>
          <a:r>
            <a:rPr lang="en-GB" sz="850" b="1">
              <a:latin typeface="Noto Sans" panose="020B0502040504020204" pitchFamily="34" charset="0"/>
              <a:ea typeface="Noto Sans" panose="020B0502040504020204" pitchFamily="34" charset="0"/>
              <a:cs typeface="Noto Sans" panose="020B0502040504020204" pitchFamily="34" charset="0"/>
            </a:rPr>
            <a:t>ENCEPAGEMENT</a:t>
          </a:r>
          <a:r>
            <a:rPr lang="en-GB" sz="850">
              <a:latin typeface="Noto Sans" panose="020B0502040504020204" pitchFamily="34" charset="0"/>
              <a:ea typeface="Noto Sans" panose="020B0502040504020204" pitchFamily="34" charset="0"/>
              <a:cs typeface="Noto Sans" panose="020B0502040504020204" pitchFamily="34" charset="0"/>
            </a:rPr>
            <a:t>:</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NB Where mentioned, encapagement is described as a % of hectares of each variety planted, as reported in 2022. It is not usually or necessarily the blend in any wine made. The Bordeaux section was largely updated Summer 2023.</a:t>
          </a:r>
        </a:p>
      </xdr:txBody>
    </xdr:sp>
    <xdr:clientData/>
  </xdr:twoCellAnchor>
  <xdr:twoCellAnchor>
    <xdr:from>
      <xdr:col>0</xdr:col>
      <xdr:colOff>16564</xdr:colOff>
      <xdr:row>574</xdr:row>
      <xdr:rowOff>31461</xdr:rowOff>
    </xdr:from>
    <xdr:to>
      <xdr:col>7</xdr:col>
      <xdr:colOff>303068</xdr:colOff>
      <xdr:row>574</xdr:row>
      <xdr:rowOff>2596584</xdr:rowOff>
    </xdr:to>
    <xdr:sp macro="" textlink="">
      <xdr:nvSpPr>
        <xdr:cNvPr id="3" name="TextBox 2">
          <a:extLst>
            <a:ext uri="{FF2B5EF4-FFF2-40B4-BE49-F238E27FC236}">
              <a16:creationId xmlns:a16="http://schemas.microsoft.com/office/drawing/2014/main" id="{A16BAB35-1842-DED1-D159-ACEB3D4725E0}"/>
            </a:ext>
          </a:extLst>
        </xdr:cNvPr>
        <xdr:cNvSpPr txBox="1"/>
      </xdr:nvSpPr>
      <xdr:spPr>
        <a:xfrm>
          <a:off x="16564" y="91854976"/>
          <a:ext cx="7095464" cy="2565123"/>
        </a:xfrm>
        <a:prstGeom prst="rect">
          <a:avLst/>
        </a:prstGeom>
        <a:solidFill>
          <a:schemeClr val="accent3">
            <a:lumMod val="20000"/>
            <a:lumOff val="80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Bordeaux Blanc Sec is on the rise, qualitatively if not quantitively. At the top Pessac-Léognan estates, white production is smaller than red, and prices higher, which seems curious. Total Bordeaux production is however just 10% white today, versus 50% in the 1960s. Even Pessac Léognan is just 20% white. The base is Sémillon &amp;/or Sauvignon, perhaps with a splash of Muscadelle. New small oak casks have been joined by cement, terracotta, glass, larger casks etc. </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The wines? In recent years, as per the reds, there is a welcome focus on freshness and focus, almost across the board. To generalise, the better wines are fuller than Loire Sauvignon. </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The ancient Graves region, and since its creation in 1987 Pessac-Léognan, used to be responsible for all top Bordeaux Blanc.  Indeed, Graves Blanc was long one of the classic 'restaurant' white wines in the UK, alongside Pouilly Fumé &amp; Sancerre, Alsace Gewurztraminer, German Riesling.</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Then in the late 19th Century, some key Médoc Chateaux launched whites, notably Loudenne (1880) with Chateau Margaux soon after: Talbot followed in the 1930s. In Sauternes, Doisy Daene launched in 1949, Yquem in 1959. The trend has escalated of late to now include many GCCs of the Médoc and Sauternes. Most of these 'new' wines land in the generic Bordeaux Blanc category, (vdfs excepted.) In other words, they sell off of reputation, brand, and ratings, not their AOC. </a:t>
          </a:r>
        </a:p>
        <a:p>
          <a:r>
            <a:rPr lang="en-GB" sz="850">
              <a:solidFill>
                <a:schemeClr val="bg1">
                  <a:lumMod val="50000"/>
                </a:schemeClr>
              </a:solidFill>
              <a:latin typeface="Noto Sans" panose="020B0502040504020204" pitchFamily="34" charset="0"/>
              <a:ea typeface="Noto Sans" panose="020B0502040504020204" pitchFamily="34" charset="0"/>
              <a:cs typeface="Noto Sans" panose="020B0502040504020204" pitchFamily="34" charset="0"/>
            </a:rPr>
            <a:t>NB near the very back of this list lie our other focus selections. They draw together wines from all over by their special attributes, including: ungrafted vines, tvv aka centenarian vines, higher altitude, long elevage, NSA, orange, light reds, rare grapes, art labels, hommages, Burg monopoles, female ownership. Etc.</a:t>
          </a:r>
        </a:p>
      </xdr:txBody>
    </xdr:sp>
    <xdr:clientData/>
  </xdr:twoCellAnchor>
  <xdr:twoCellAnchor>
    <xdr:from>
      <xdr:col>0</xdr:col>
      <xdr:colOff>0</xdr:colOff>
      <xdr:row>2995</xdr:row>
      <xdr:rowOff>31461</xdr:rowOff>
    </xdr:from>
    <xdr:to>
      <xdr:col>7</xdr:col>
      <xdr:colOff>294409</xdr:colOff>
      <xdr:row>2995</xdr:row>
      <xdr:rowOff>2698462</xdr:rowOff>
    </xdr:to>
    <xdr:sp macro="" textlink="">
      <xdr:nvSpPr>
        <xdr:cNvPr id="4" name="TextBox 3">
          <a:extLst>
            <a:ext uri="{FF2B5EF4-FFF2-40B4-BE49-F238E27FC236}">
              <a16:creationId xmlns:a16="http://schemas.microsoft.com/office/drawing/2014/main" id="{8FBC4BC0-9D4D-B753-F42E-5EFB639E7030}"/>
            </a:ext>
          </a:extLst>
        </xdr:cNvPr>
        <xdr:cNvSpPr txBox="1"/>
      </xdr:nvSpPr>
      <xdr:spPr>
        <a:xfrm>
          <a:off x="0" y="452261143"/>
          <a:ext cx="7117773" cy="2667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bg1">
                  <a:lumMod val="50000"/>
                </a:schemeClr>
              </a:solidFill>
              <a:latin typeface="Noto Sans" panose="020B0502040504020204" pitchFamily="34" charset="0"/>
              <a:ea typeface="Noto Sans" panose="020B0502040504020204" pitchFamily="34" charset="0"/>
            </a:rPr>
            <a:t>A new concept for Raeburn: a focus on an undersung Burgundy genre and it's growers. We all know the megastar growers and villages: the critical radar is ever alert for rising stars. However, as the most sought after wines become investment grade, they grace fewer tables. So what should be we be tasting, listing, drinking, sharing instead? </a:t>
          </a:r>
        </a:p>
        <a:p>
          <a:r>
            <a:rPr lang="en-GB" sz="850">
              <a:solidFill>
                <a:schemeClr val="bg1">
                  <a:lumMod val="50000"/>
                </a:schemeClr>
              </a:solidFill>
              <a:latin typeface="Noto Sans" panose="020B0502040504020204" pitchFamily="34" charset="0"/>
              <a:ea typeface="Noto Sans" panose="020B0502040504020204" pitchFamily="34" charset="0"/>
            </a:rPr>
            <a:t>Here is a little collection of whites made in the Côtes de Nuits (CDN). They are made from six white grape varieties, which may come as something of a surprise... Chardonnay, Aligoté, Pinot Beurot (Pinot Gris), Pinot Blanc, Pinot Gouges aka Pinot Noir-Blanc, the 1936 white mutation of Pinot Noir, i.e. a new Pinot Blanc. Sauvignon!</a:t>
          </a:r>
        </a:p>
        <a:p>
          <a:r>
            <a:rPr lang="en-GB" sz="850">
              <a:solidFill>
                <a:schemeClr val="bg1">
                  <a:lumMod val="50000"/>
                </a:schemeClr>
              </a:solidFill>
              <a:latin typeface="Noto Sans" panose="020B0502040504020204" pitchFamily="34" charset="0"/>
              <a:ea typeface="Noto Sans" panose="020B0502040504020204" pitchFamily="34" charset="0"/>
            </a:rPr>
            <a:t>They are made from Nuits up to Marsannay, from flatter terroirs to upper slopes, from monastic sites planted for at least 1000 years, to land first planted 20 years ago.  As well as variety, vintage and terroir, the largest impact on the wines stems from a vigneron's house style. The wines are every bit the level of the Côte de Beaune (CDB), at the same level of grower and terroir. Given recent price escalation in CDB whites, these wines also now offer value as well as rarity. </a:t>
          </a:r>
        </a:p>
        <a:p>
          <a:r>
            <a:rPr lang="en-GB" sz="850">
              <a:solidFill>
                <a:schemeClr val="bg1">
                  <a:lumMod val="50000"/>
                </a:schemeClr>
              </a:solidFill>
              <a:latin typeface="Noto Sans" panose="020B0502040504020204" pitchFamily="34" charset="0"/>
              <a:ea typeface="Noto Sans" panose="020B0502040504020204" pitchFamily="34" charset="0"/>
            </a:rPr>
            <a:t>The area under vine in the CDN is but half the size of the CDB. Reds are the more famous (and expensive) output, accounting for at least 90% of CDN. The tradition is that sites suited to Pinot Noir are planted to it, whites being relegated to 'other' status. That said, there is a long history of white production, even up to GC. Vintages highlighted here have the most bottle age, combined with nice stocks: there are often younger wines on the main list, for those who prefer the first flush of youthful fresh fruit.</a:t>
          </a:r>
        </a:p>
        <a:p>
          <a:r>
            <a:rPr lang="en-GB" sz="850">
              <a:solidFill>
                <a:schemeClr val="bg1">
                  <a:lumMod val="50000"/>
                </a:schemeClr>
              </a:solidFill>
              <a:latin typeface="Noto Sans" panose="020B0502040504020204" pitchFamily="34" charset="0"/>
              <a:ea typeface="Noto Sans" panose="020B0502040504020204" pitchFamily="34" charset="0"/>
            </a:rPr>
            <a:t>NB near the very back of this list lie our other focus selections. They draw together wines from all over by their special attributes, including: ungrafted vines, tvv aka centenarian vines, higher altitude, long elevage, NSA, orange, light reds, rare grapes, art labels, hommages, Burg monopoles, female ownership. Etc. </a:t>
          </a:r>
        </a:p>
      </xdr:txBody>
    </xdr:sp>
    <xdr:clientData/>
  </xdr:twoCellAnchor>
  <xdr:twoCellAnchor>
    <xdr:from>
      <xdr:col>0</xdr:col>
      <xdr:colOff>25978</xdr:colOff>
      <xdr:row>4519</xdr:row>
      <xdr:rowOff>11834</xdr:rowOff>
    </xdr:from>
    <xdr:to>
      <xdr:col>7</xdr:col>
      <xdr:colOff>337704</xdr:colOff>
      <xdr:row>4519</xdr:row>
      <xdr:rowOff>4000500</xdr:rowOff>
    </xdr:to>
    <xdr:sp macro="" textlink="">
      <xdr:nvSpPr>
        <xdr:cNvPr id="5" name="TextBox 4">
          <a:extLst>
            <a:ext uri="{FF2B5EF4-FFF2-40B4-BE49-F238E27FC236}">
              <a16:creationId xmlns:a16="http://schemas.microsoft.com/office/drawing/2014/main" id="{AE5793D0-1320-786F-084E-D2801F9CD6B6}"/>
            </a:ext>
          </a:extLst>
        </xdr:cNvPr>
        <xdr:cNvSpPr txBox="1"/>
      </xdr:nvSpPr>
      <xdr:spPr>
        <a:xfrm>
          <a:off x="25978" y="671203948"/>
          <a:ext cx="7135090" cy="39886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a:solidFill>
                <a:schemeClr val="bg1">
                  <a:lumMod val="50000"/>
                </a:schemeClr>
              </a:solidFill>
              <a:latin typeface="Noto Sans" panose="020B0502040504020204" pitchFamily="34" charset="0"/>
              <a:ea typeface="Noto Sans" panose="020B0502040504020204" pitchFamily="34" charset="0"/>
            </a:rPr>
            <a:t>A new concept for Raeburn: a focus on an undersung Burgundy genre and it's growers. We all know the megastar growers and villages: the critical radar is ever alert for rising stars. However, as the most sought after wines become investment grade, they grace fewer tables. What should be we be tasting, listing, drinking, sharing instead? Vintages highlighted here have the most bottle age, combined with nice stocks: there are often younger wines on the main list for those who prefer the fresh fruit of youth.</a:t>
          </a:r>
        </a:p>
        <a:p>
          <a:r>
            <a:rPr lang="en-GB" sz="850">
              <a:solidFill>
                <a:schemeClr val="bg1">
                  <a:lumMod val="50000"/>
                </a:schemeClr>
              </a:solidFill>
              <a:latin typeface="Noto Sans" panose="020B0502040504020204" pitchFamily="34" charset="0"/>
              <a:ea typeface="Noto Sans" panose="020B0502040504020204" pitchFamily="34" charset="0"/>
            </a:rPr>
            <a:t>Burg critic </a:t>
          </a:r>
          <a:r>
            <a:rPr lang="en-GB" sz="850" b="1">
              <a:solidFill>
                <a:sysClr val="windowText" lastClr="000000"/>
              </a:solidFill>
              <a:latin typeface="Noto Sans" panose="020B0502040504020204" pitchFamily="34" charset="0"/>
              <a:ea typeface="Noto Sans" panose="020B0502040504020204" pitchFamily="34" charset="0"/>
            </a:rPr>
            <a:t>Bill Nanson </a:t>
          </a:r>
          <a:r>
            <a:rPr lang="en-GB" sz="850">
              <a:solidFill>
                <a:schemeClr val="bg1">
                  <a:lumMod val="50000"/>
                </a:schemeClr>
              </a:solidFill>
              <a:latin typeface="Noto Sans" panose="020B0502040504020204" pitchFamily="34" charset="0"/>
              <a:ea typeface="Noto Sans" panose="020B0502040504020204" pitchFamily="34" charset="0"/>
            </a:rPr>
            <a:t>of </a:t>
          </a:r>
          <a:r>
            <a:rPr lang="en-GB" sz="850" b="1">
              <a:solidFill>
                <a:sysClr val="windowText" lastClr="000000"/>
              </a:solidFill>
              <a:latin typeface="Noto Sans" panose="020B0502040504020204" pitchFamily="34" charset="0"/>
              <a:ea typeface="Noto Sans" panose="020B0502040504020204" pitchFamily="34" charset="0"/>
            </a:rPr>
            <a:t>Burgundy Report </a:t>
          </a:r>
          <a:r>
            <a:rPr lang="en-GB" sz="850">
              <a:solidFill>
                <a:schemeClr val="bg1">
                  <a:lumMod val="50000"/>
                </a:schemeClr>
              </a:solidFill>
              <a:latin typeface="Noto Sans" panose="020B0502040504020204" pitchFamily="34" charset="0"/>
              <a:ea typeface="Noto Sans" panose="020B0502040504020204" pitchFamily="34" charset="0"/>
            </a:rPr>
            <a:t>started a village profile of Auxey - pronounced "oh-say" - in 2018. This is an excerpt: ''Auxey is essentially the meeting-point of three other appellations – Meursault, Monthélie and St.Romain – sitting in an east-west valley (the Avant-Dheune) below St.Romain and Monthélie but above Meursault. Given the location, it’s a surprise that only 35% of production is white. (NB Monthelie is only 15% white.)</a:t>
          </a:r>
        </a:p>
        <a:p>
          <a:r>
            <a:rPr lang="en-GB" sz="850">
              <a:solidFill>
                <a:schemeClr val="bg1">
                  <a:lumMod val="50000"/>
                </a:schemeClr>
              </a:solidFill>
              <a:latin typeface="Noto Sans" panose="020B0502040504020204" pitchFamily="34" charset="0"/>
              <a:ea typeface="Noto Sans" panose="020B0502040504020204" pitchFamily="34" charset="0"/>
            </a:rPr>
            <a:t>The style of the reds is more Pommard than Volnay, the difference is more structural – I find Monthélie can be very close to Volnay in style, but Auxey is certainly a wine with a little more tannin and herb. The crunchy tannins need more work but domaines are getting there – the reds are far more refined today than 20 years ago… The (better) whites vary from fine and fresh, indeed vibrant wines that are neither St.Romain nor Meursault – yet somehow redolent of both – no bad thing!</a:t>
          </a:r>
        </a:p>
        <a:p>
          <a:r>
            <a:rPr lang="en-GB" sz="850">
              <a:solidFill>
                <a:schemeClr val="bg1">
                  <a:lumMod val="50000"/>
                </a:schemeClr>
              </a:solidFill>
              <a:latin typeface="Noto Sans" panose="020B0502040504020204" pitchFamily="34" charset="0"/>
              <a:ea typeface="Noto Sans" panose="020B0502040504020204" pitchFamily="34" charset="0"/>
            </a:rPr>
            <a:t>The greatest part of the production of this village is sold in France – it’s not like that for any of the other villages of the Côte d’Or. You won’t find (very) old bottles of Auxey-Duresses because they were labelled as Meursault and Volnay before AOC (1970 for Auxey), and possibly for some time after!''</a:t>
          </a:r>
        </a:p>
        <a:p>
          <a:r>
            <a:rPr lang="en-GB" sz="850">
              <a:solidFill>
                <a:schemeClr val="bg1">
                  <a:lumMod val="50000"/>
                </a:schemeClr>
              </a:solidFill>
              <a:latin typeface="Noto Sans" panose="020B0502040504020204" pitchFamily="34" charset="0"/>
              <a:ea typeface="Noto Sans" panose="020B0502040504020204" pitchFamily="34" charset="0"/>
            </a:rPr>
            <a:t>Auxey has 138ha at village level in 38 lieux-dits, and almost 32ha 1C vines in 11 lieux-dits: all can be white or red. The appellation was created in just 1970. There are two main zones of vines. One is the northern extension of Meursault, on the Cote itself, as it enters the valley which runs through Auxey towards St.Romain. It's North or NE facing, flattish, mostly white and all Village level. It includes JM Vincent's Les Hautés, and the Clos du Moulin aux Moines, which is one of the largest remaining monastical buildings of Burgundy with 2 to 3 meter high walls around it’s 2.8ha Clos Monopole. The second zone is the other side of the village and stream, the western continuation of Monthelie as again the vines turn into the valley. All the 1C vineyards lie here, SE to South facing, above the village, below the 'Montagne'. (42ha of village level lie up the valley, disconnected from the rest of Auxey, abutting the southern vines of St.Romain. Topographically at least, they should join that AOC.)</a:t>
          </a:r>
        </a:p>
        <a:p>
          <a:r>
            <a:rPr lang="en-GB" sz="850">
              <a:solidFill>
                <a:schemeClr val="bg1">
                  <a:lumMod val="50000"/>
                </a:schemeClr>
              </a:solidFill>
              <a:latin typeface="Noto Sans" panose="020B0502040504020204" pitchFamily="34" charset="0"/>
              <a:ea typeface="Noto Sans" panose="020B0502040504020204" pitchFamily="34" charset="0"/>
            </a:rPr>
            <a:t>NB near the very back of this list lie our other focus selections. They draw together wines from all over by their special attributes, including: ungrafted vines, tvv aka centenarian vines, higher altitude, long elevage, NSA, orange, light reds, rare grapes, art labels, hommages, Burg monopoles, female ownership. Etc.</a:t>
          </a:r>
        </a:p>
      </xdr:txBody>
    </xdr:sp>
    <xdr:clientData/>
  </xdr:twoCellAnchor>
  <xdr:twoCellAnchor>
    <xdr:from>
      <xdr:col>0</xdr:col>
      <xdr:colOff>8660</xdr:colOff>
      <xdr:row>34</xdr:row>
      <xdr:rowOff>8659</xdr:rowOff>
    </xdr:from>
    <xdr:to>
      <xdr:col>7</xdr:col>
      <xdr:colOff>363682</xdr:colOff>
      <xdr:row>36</xdr:row>
      <xdr:rowOff>0</xdr:rowOff>
    </xdr:to>
    <xdr:sp macro="" textlink="">
      <xdr:nvSpPr>
        <xdr:cNvPr id="7" name="TextBox 6">
          <a:extLst>
            <a:ext uri="{FF2B5EF4-FFF2-40B4-BE49-F238E27FC236}">
              <a16:creationId xmlns:a16="http://schemas.microsoft.com/office/drawing/2014/main" id="{0D955937-F868-E997-799E-F335BDA61F9F}"/>
            </a:ext>
          </a:extLst>
        </xdr:cNvPr>
        <xdr:cNvSpPr txBox="1"/>
      </xdr:nvSpPr>
      <xdr:spPr>
        <a:xfrm>
          <a:off x="8660" y="6875318"/>
          <a:ext cx="7178386" cy="74468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If you are reading this, you probably work with wine/sake. Our trade clients tend to be interested in it, as well as working with it. Whether students or graduates of WSET/CMS/IMW, or autodidacts, they are wine-aware, wine conscious. Hence the somewhat unapologetic list layout: we know that you can navigate it. (Search. Use search - see below.) Yes, it's a big list. We try to keep the background information brief, accurate and pithy, and occasionally succeed. See the rest of the introduction on the next page.</a:t>
          </a:r>
          <a:r>
            <a:rPr lang="en-GB" sz="850">
              <a:latin typeface="Noto Sans" panose="020B0502040504020204" pitchFamily="34" charset="0"/>
              <a:ea typeface="Noto Sans" panose="020B0502040504020204" pitchFamily="34" charset="0"/>
            </a:rPr>
            <a:t> </a:t>
          </a:r>
        </a:p>
      </xdr:txBody>
    </xdr:sp>
    <xdr:clientData/>
  </xdr:twoCellAnchor>
  <xdr:twoCellAnchor>
    <xdr:from>
      <xdr:col>0</xdr:col>
      <xdr:colOff>0</xdr:colOff>
      <xdr:row>37</xdr:row>
      <xdr:rowOff>29152</xdr:rowOff>
    </xdr:from>
    <xdr:to>
      <xdr:col>7</xdr:col>
      <xdr:colOff>345497</xdr:colOff>
      <xdr:row>39</xdr:row>
      <xdr:rowOff>33131</xdr:rowOff>
    </xdr:to>
    <xdr:sp macro="" textlink="">
      <xdr:nvSpPr>
        <xdr:cNvPr id="8" name="TextBox 7">
          <a:extLst>
            <a:ext uri="{FF2B5EF4-FFF2-40B4-BE49-F238E27FC236}">
              <a16:creationId xmlns:a16="http://schemas.microsoft.com/office/drawing/2014/main" id="{2DC7FB98-38B3-40F3-AA65-F449A896A5EA}"/>
            </a:ext>
          </a:extLst>
        </xdr:cNvPr>
        <xdr:cNvSpPr txBox="1"/>
      </xdr:nvSpPr>
      <xdr:spPr>
        <a:xfrm>
          <a:off x="0" y="7582891"/>
          <a:ext cx="6963301" cy="105587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Raeburn is an Edinburgh based, family owned, trade-facing wine importer/distributor, founded in the 1980s, with a London office since 2010. The buying focus is the classics of France and Italy, for ~85% of the list, from cleaner farming. Traditional stockholders, we have large, well stored stocks. We can therefore pass on some amazing value and drinkability. We only have wine shipped in the Spring and Autumn, avoiding the excesses of summer and winter. (If we must ship by summer, it comes temperature controlled.) The name? It comes from Raeburn Mews over the road, one of many streets developed and named by painter Sir Henry Raeburn (1756-1823) &amp; his wife Ann. NB Raeburn are not on Wine-searcher, nor do web-retail: our trade clients' price is the final price.</a:t>
          </a:r>
          <a:r>
            <a:rPr lang="en-GB" sz="850">
              <a:latin typeface="Noto Sans" panose="020B0502040504020204" pitchFamily="34" charset="0"/>
              <a:ea typeface="Noto Sans" panose="020B0502040504020204" pitchFamily="34" charset="0"/>
            </a:rPr>
            <a:t> </a:t>
          </a:r>
        </a:p>
      </xdr:txBody>
    </xdr:sp>
    <xdr:clientData/>
  </xdr:twoCellAnchor>
  <xdr:twoCellAnchor>
    <xdr:from>
      <xdr:col>0</xdr:col>
      <xdr:colOff>25978</xdr:colOff>
      <xdr:row>40</xdr:row>
      <xdr:rowOff>26842</xdr:rowOff>
    </xdr:from>
    <xdr:to>
      <xdr:col>8</xdr:col>
      <xdr:colOff>2309</xdr:colOff>
      <xdr:row>41</xdr:row>
      <xdr:rowOff>69272</xdr:rowOff>
    </xdr:to>
    <xdr:sp macro="" textlink="">
      <xdr:nvSpPr>
        <xdr:cNvPr id="16" name="TextBox 15">
          <a:extLst>
            <a:ext uri="{FF2B5EF4-FFF2-40B4-BE49-F238E27FC236}">
              <a16:creationId xmlns:a16="http://schemas.microsoft.com/office/drawing/2014/main" id="{F3760E4D-D3AD-4722-BE24-20DFD8BB8BCC}"/>
            </a:ext>
          </a:extLst>
        </xdr:cNvPr>
        <xdr:cNvSpPr txBox="1"/>
      </xdr:nvSpPr>
      <xdr:spPr>
        <a:xfrm>
          <a:off x="25978" y="9162183"/>
          <a:ext cx="7172036" cy="41477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The Main Tariff includes everything in stock. There are also a refreshingly short +/-15 page Quick Tariff, Italy only, natural spectrum, all available in Excel or PDF. The Burg EP offer comes out every Jan/Feb. Just tell us which you want to receive.</a:t>
          </a:r>
        </a:p>
        <a:p>
          <a:endParaRPr lang="en-GB" sz="850">
            <a:latin typeface="Noto Sans" panose="020B0502040504020204" pitchFamily="34" charset="0"/>
            <a:ea typeface="Noto Sans" panose="020B0502040504020204" pitchFamily="34" charset="0"/>
          </a:endParaRPr>
        </a:p>
      </xdr:txBody>
    </xdr:sp>
    <xdr:clientData/>
  </xdr:twoCellAnchor>
  <xdr:twoCellAnchor>
    <xdr:from>
      <xdr:col>0</xdr:col>
      <xdr:colOff>0</xdr:colOff>
      <xdr:row>43</xdr:row>
      <xdr:rowOff>10389</xdr:rowOff>
    </xdr:from>
    <xdr:to>
      <xdr:col>7</xdr:col>
      <xdr:colOff>335972</xdr:colOff>
      <xdr:row>44</xdr:row>
      <xdr:rowOff>0</xdr:rowOff>
    </xdr:to>
    <xdr:sp macro="" textlink="">
      <xdr:nvSpPr>
        <xdr:cNvPr id="17" name="TextBox 16">
          <a:extLst>
            <a:ext uri="{FF2B5EF4-FFF2-40B4-BE49-F238E27FC236}">
              <a16:creationId xmlns:a16="http://schemas.microsoft.com/office/drawing/2014/main" id="{4DA5B78A-0326-422B-B180-98003F2DDDF6}"/>
            </a:ext>
          </a:extLst>
        </xdr:cNvPr>
        <xdr:cNvSpPr txBox="1"/>
      </xdr:nvSpPr>
      <xdr:spPr>
        <a:xfrm>
          <a:off x="0" y="9452563"/>
          <a:ext cx="6953776" cy="693633"/>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Both Excel and PDF versions are fully searchable by most any keyword. E.g., by grower, region, appellation, country, vintage, by size in cls. By grape variety, in wines labelled as varietal. By Organic, Biodynamic, sustainable, Ⓥ Vegan compatible, ambient yeast, SO2 (where low-to-no added). To search Excel: enter search word. Click 'Find All.' You can then continue clicking 'Find Next' until the end. To search PDF: hit 'CTRL+F', click on the magnifying glass icon, or click on tab 'Edit', select option 'Find'.</a:t>
          </a:r>
        </a:p>
        <a:p>
          <a:endParaRPr lang="en-GB" sz="850">
            <a:latin typeface="Noto Sans" panose="020B0502040504020204" pitchFamily="34" charset="0"/>
            <a:ea typeface="Noto Sans" panose="020B0502040504020204" pitchFamily="34" charset="0"/>
          </a:endParaRPr>
        </a:p>
      </xdr:txBody>
    </xdr:sp>
    <xdr:clientData/>
  </xdr:twoCellAnchor>
  <xdr:twoCellAnchor>
    <xdr:from>
      <xdr:col>0</xdr:col>
      <xdr:colOff>0</xdr:colOff>
      <xdr:row>47</xdr:row>
      <xdr:rowOff>9524</xdr:rowOff>
    </xdr:from>
    <xdr:to>
      <xdr:col>8</xdr:col>
      <xdr:colOff>0</xdr:colOff>
      <xdr:row>47</xdr:row>
      <xdr:rowOff>1733020</xdr:rowOff>
    </xdr:to>
    <xdr:sp macro="" textlink="">
      <xdr:nvSpPr>
        <xdr:cNvPr id="18" name="TextBox 17">
          <a:extLst>
            <a:ext uri="{FF2B5EF4-FFF2-40B4-BE49-F238E27FC236}">
              <a16:creationId xmlns:a16="http://schemas.microsoft.com/office/drawing/2014/main" id="{291DBCFE-7E70-465B-8AFF-357566EE6573}"/>
            </a:ext>
          </a:extLst>
        </xdr:cNvPr>
        <xdr:cNvSpPr txBox="1"/>
      </xdr:nvSpPr>
      <xdr:spPr>
        <a:xfrm>
          <a:off x="0" y="10969889"/>
          <a:ext cx="7176823" cy="1723496"/>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Raeburn has become, understandably, synonymous with some 'household' names. Below are listed some that might resonate. </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(Of course, there are other names besides: the new, the young, the 2nd tier. They're for another list...)</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●Greats of France: Leclapart &amp; Benoit Dehu, Famille Thienpont; Raveneau &amp; Goisot; Arlaud &amp; Mugnier, Cathiard &amp; C.Tremblay; Mee Godard &amp; Boillot-Barthod; JL Chave, Gangloff &amp; S Ogier; Bonneau; Tempier &amp; Roc d'Anglade</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●Greats of Italy: G Conterno, G Rinaldi &amp; Brovia; Roagna &amp; Luisin; Gravner, Kanté &amp; Duline; Soldera, Stella di Campalto &amp; Le Chiuse;</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  Contrade di Taurasi &amp; Cornelissen</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●Greats of Austria &amp; Germany: Prager &amp; Pichler-Krutzler; Uwe Schiefer; Loewen, JJ Prum, F Haag, Schaefer &amp; Grunhaus</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●Greats of elsewhere: Niepoort's wine &amp; Port; Alkina &amp; DuMOL; the forthcoming Kahiwi &amp; Oraterra; Gobetti distillati; The Bottlers &amp; Raasay</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●Greats of the past (A-Z): yes, we worked with Henri Bonneau, Thierry Brouin, Henri Jayer, Neil McCallum, Bernard Raveneau, Noel Verset</a:t>
          </a:r>
        </a:p>
      </xdr:txBody>
    </xdr:sp>
    <xdr:clientData/>
  </xdr:twoCellAnchor>
  <xdr:twoCellAnchor>
    <xdr:from>
      <xdr:col>0</xdr:col>
      <xdr:colOff>0</xdr:colOff>
      <xdr:row>49</xdr:row>
      <xdr:rowOff>9522</xdr:rowOff>
    </xdr:from>
    <xdr:to>
      <xdr:col>8</xdr:col>
      <xdr:colOff>0</xdr:colOff>
      <xdr:row>49</xdr:row>
      <xdr:rowOff>1873537</xdr:rowOff>
    </xdr:to>
    <xdr:sp macro="" textlink="">
      <xdr:nvSpPr>
        <xdr:cNvPr id="20" name="TextBox 19">
          <a:extLst>
            <a:ext uri="{FF2B5EF4-FFF2-40B4-BE49-F238E27FC236}">
              <a16:creationId xmlns:a16="http://schemas.microsoft.com/office/drawing/2014/main" id="{730153D6-E5A6-46F1-B165-4E4D116B6D55}"/>
            </a:ext>
          </a:extLst>
        </xdr:cNvPr>
        <xdr:cNvSpPr txBox="1"/>
      </xdr:nvSpPr>
      <xdr:spPr>
        <a:xfrm>
          <a:off x="0" y="12980087"/>
          <a:ext cx="6973957" cy="186401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As of Summer 2025, some 5900 different lines are listed, which can be broken down by criteria such as (A-Z):</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●Certification: &gt;200 wineries are formally certified: 35 in biodynamics, 196 organic, 45 sustainable</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●Classics (A-Z): we regularly ship 130 Bordeaux, 65 Burgundy, 9 Champagne, 19 Langhe, 7 Mosel, 14 Rhône, 14 Tuscan, 4 Wachau estates, etc.</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●Colour: &gt;1200x white wines, &gt;30x rosé, &gt;35x orange,</a:t>
          </a:r>
          <a:r>
            <a:rPr lang="en-GB" sz="850" b="0" i="0" u="none" strike="noStrike" baseline="0">
              <a:solidFill>
                <a:schemeClr val="dk1"/>
              </a:solidFill>
              <a:effectLst/>
              <a:latin typeface="Noto Sans" panose="020B0502040504020204" pitchFamily="34" charset="0"/>
              <a:ea typeface="Noto Sans" panose="020B0502040504020204" pitchFamily="34" charset="0"/>
              <a:cs typeface="+mn-cs"/>
            </a:rPr>
            <a:t> &gt;4000 </a:t>
          </a:r>
          <a:r>
            <a:rPr lang="en-GB" sz="850" b="0" i="0" u="none" strike="noStrike">
              <a:solidFill>
                <a:schemeClr val="dk1"/>
              </a:solidFill>
              <a:effectLst/>
              <a:latin typeface="Noto Sans" panose="020B0502040504020204" pitchFamily="34" charset="0"/>
              <a:ea typeface="Noto Sans" panose="020B0502040504020204" pitchFamily="34" charset="0"/>
              <a:cs typeface="+mn-cs"/>
            </a:rPr>
            <a:t>red</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●Female owned/run: 31 female owned/run wineries, 37 co-owned/co-run wineries </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●Format: &gt;4700x 75cl bottles, &gt;180x halves, &gt;700x magnums, &gt;110x jeroboams aka double mags, plus the odd 5 &amp; 12 litre…</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●Genre: 120x sparkling, &gt;5300x still, &gt;280x sweet, &gt;80x fortified, plus &gt;50x sake, &gt;80x spirits</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●Maturity: 4x wines from the 1960s, 10x 1970s, 9x 1980s, 49x 1990s, &gt;250x 2000s, &gt;3000x 2010s, &gt;2000x 2020s</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●Price bracket: 250x &lt;£15, 1150x £15-£25, 1900x £25-£50, 1150x £50-£100, &gt;500x &gt;£100 per bottle</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●Special attributes: &gt;40x ungrafted vines, 55x tres vieilles vignes (&gt;100yrs), 70x higher altitude, 55x longer elevage (&gt;2.5years), 30x SSA/NSA</a:t>
          </a:r>
        </a:p>
      </xdr:txBody>
    </xdr:sp>
    <xdr:clientData/>
  </xdr:twoCellAnchor>
  <xdr:twoCellAnchor>
    <xdr:from>
      <xdr:col>0</xdr:col>
      <xdr:colOff>28286</xdr:colOff>
      <xdr:row>52</xdr:row>
      <xdr:rowOff>21358</xdr:rowOff>
    </xdr:from>
    <xdr:to>
      <xdr:col>7</xdr:col>
      <xdr:colOff>370608</xdr:colOff>
      <xdr:row>53</xdr:row>
      <xdr:rowOff>60614</xdr:rowOff>
    </xdr:to>
    <xdr:sp macro="" textlink="">
      <xdr:nvSpPr>
        <xdr:cNvPr id="21" name="TextBox 20">
          <a:extLst>
            <a:ext uri="{FF2B5EF4-FFF2-40B4-BE49-F238E27FC236}">
              <a16:creationId xmlns:a16="http://schemas.microsoft.com/office/drawing/2014/main" id="{56CEF68F-1D62-4C05-9291-0AA95F0F20E9}"/>
            </a:ext>
          </a:extLst>
        </xdr:cNvPr>
        <xdr:cNvSpPr txBox="1"/>
      </xdr:nvSpPr>
      <xdr:spPr>
        <a:xfrm>
          <a:off x="28286" y="15096835"/>
          <a:ext cx="7165686" cy="57612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At the back of the list are 'Running Wines' based on price: &lt;£20 (white/red), &lt;£25 (orange/rosé), &lt; £25 (sweet), &lt;£35 (sparkling). These are followed by 'Special Attribute' selections, e.g. ungrafted, tres vieilles vignes, long elevage, high altitude, monopoles, unsulphited, female ownership, art/design-led labels, hommages, etc. It's the most fun section of the list: geeky wine for wine geeks. </a:t>
          </a:r>
          <a:endParaRPr lang="en-GB" sz="850">
            <a:latin typeface="Noto Sans" panose="020B0502040504020204" pitchFamily="34" charset="0"/>
            <a:ea typeface="Noto Sans" panose="020B0502040504020204" pitchFamily="34" charset="0"/>
          </a:endParaRPr>
        </a:p>
      </xdr:txBody>
    </xdr:sp>
    <xdr:clientData/>
  </xdr:twoCellAnchor>
  <xdr:twoCellAnchor>
    <xdr:from>
      <xdr:col>0</xdr:col>
      <xdr:colOff>31461</xdr:colOff>
      <xdr:row>55</xdr:row>
      <xdr:rowOff>21358</xdr:rowOff>
    </xdr:from>
    <xdr:to>
      <xdr:col>7</xdr:col>
      <xdr:colOff>364258</xdr:colOff>
      <xdr:row>56</xdr:row>
      <xdr:rowOff>33131</xdr:rowOff>
    </xdr:to>
    <xdr:sp macro="" textlink="">
      <xdr:nvSpPr>
        <xdr:cNvPr id="22" name="TextBox 21">
          <a:extLst>
            <a:ext uri="{FF2B5EF4-FFF2-40B4-BE49-F238E27FC236}">
              <a16:creationId xmlns:a16="http://schemas.microsoft.com/office/drawing/2014/main" id="{5FA454D0-C422-4D53-B8D1-BD0410315E22}"/>
            </a:ext>
          </a:extLst>
        </xdr:cNvPr>
        <xdr:cNvSpPr txBox="1"/>
      </xdr:nvSpPr>
      <xdr:spPr>
        <a:xfrm>
          <a:off x="31461" y="16039923"/>
          <a:ext cx="7165949" cy="102225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The Raeburn trade tariff outlines most producers' general approach to agriculture. Producers working in various schools of reduced treatments are (still) described as Sustainable agriculture. Some are Sustainable Certified: this is the fastest growing sector in wine today. Producers certified as Organic, or Biodynamic, are described as such. Those who follow conscious farming practices but have no certifications are indicated as such. Please be aware that uncertified wines ought not be described as organic or biodynamic to the public. As always in wine, trust in producers' qualitative and ethical ideas and actions, count for more than scores and awards, classifications and certifications combined. Producers' exact current status can always be checked.</a:t>
          </a:r>
        </a:p>
      </xdr:txBody>
    </xdr:sp>
    <xdr:clientData/>
  </xdr:twoCellAnchor>
  <xdr:twoCellAnchor>
    <xdr:from>
      <xdr:col>0</xdr:col>
      <xdr:colOff>16451</xdr:colOff>
      <xdr:row>58</xdr:row>
      <xdr:rowOff>7214</xdr:rowOff>
    </xdr:from>
    <xdr:to>
      <xdr:col>7</xdr:col>
      <xdr:colOff>355598</xdr:colOff>
      <xdr:row>60</xdr:row>
      <xdr:rowOff>8659</xdr:rowOff>
    </xdr:to>
    <xdr:sp macro="" textlink="">
      <xdr:nvSpPr>
        <xdr:cNvPr id="23" name="TextBox 22">
          <a:extLst>
            <a:ext uri="{FF2B5EF4-FFF2-40B4-BE49-F238E27FC236}">
              <a16:creationId xmlns:a16="http://schemas.microsoft.com/office/drawing/2014/main" id="{813A8405-BEC9-4327-956F-22C8D99C6E91}"/>
            </a:ext>
          </a:extLst>
        </xdr:cNvPr>
        <xdr:cNvSpPr txBox="1"/>
      </xdr:nvSpPr>
      <xdr:spPr>
        <a:xfrm>
          <a:off x="16451" y="17195509"/>
          <a:ext cx="7162511" cy="408423"/>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We updated our known Ⓥ Vegan compatible wineries in 2017, after many requests. Over 55% complied. At present, the question relates to fining agents, used in clarification. It doesn't relate to animal traction, or propolis sprays. NB really all wine is vegetarian.</a:t>
          </a:r>
        </a:p>
      </xdr:txBody>
    </xdr:sp>
    <xdr:clientData/>
  </xdr:twoCellAnchor>
  <xdr:twoCellAnchor>
    <xdr:from>
      <xdr:col>0</xdr:col>
      <xdr:colOff>6926</xdr:colOff>
      <xdr:row>61</xdr:row>
      <xdr:rowOff>12698</xdr:rowOff>
    </xdr:from>
    <xdr:to>
      <xdr:col>7</xdr:col>
      <xdr:colOff>352423</xdr:colOff>
      <xdr:row>62</xdr:row>
      <xdr:rowOff>103909</xdr:rowOff>
    </xdr:to>
    <xdr:sp macro="" textlink="">
      <xdr:nvSpPr>
        <xdr:cNvPr id="24" name="TextBox 23">
          <a:extLst>
            <a:ext uri="{FF2B5EF4-FFF2-40B4-BE49-F238E27FC236}">
              <a16:creationId xmlns:a16="http://schemas.microsoft.com/office/drawing/2014/main" id="{64FB1972-6BF8-467C-9D1A-9ABA2FE24E2E}"/>
            </a:ext>
          </a:extLst>
        </xdr:cNvPr>
        <xdr:cNvSpPr txBox="1"/>
      </xdr:nvSpPr>
      <xdr:spPr>
        <a:xfrm>
          <a:off x="6926" y="17798471"/>
          <a:ext cx="7168861" cy="731983"/>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Our bonded warehouse in London is LCB's London-Tilbury. In Edinburgh, our cellars The Vaults are thought to be the oldest working cellars in Britain, from the 12th Century. Many wines are in both locations.</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NB if an item is ONLY lying in The Vaults, it is usually marked (VAULTS) on the list.</a:t>
          </a:r>
        </a:p>
        <a:p>
          <a:r>
            <a:rPr lang="en-GB" sz="850" b="0" i="0" u="none" strike="noStrike">
              <a:solidFill>
                <a:schemeClr val="dk1"/>
              </a:solidFill>
              <a:effectLst/>
              <a:latin typeface="Noto Sans" panose="020B0502040504020204" pitchFamily="34" charset="0"/>
              <a:ea typeface="Noto Sans" panose="020B0502040504020204" pitchFamily="34" charset="0"/>
              <a:cs typeface="+mn-cs"/>
            </a:rPr>
            <a:t>NB Orders combining wine from both warehouses count as two orders, two deliveries, two invoices. We always try to facilitate.</a:t>
          </a:r>
        </a:p>
      </xdr:txBody>
    </xdr:sp>
    <xdr:clientData/>
  </xdr:twoCellAnchor>
  <xdr:twoCellAnchor>
    <xdr:from>
      <xdr:col>0</xdr:col>
      <xdr:colOff>6926</xdr:colOff>
      <xdr:row>64</xdr:row>
      <xdr:rowOff>7213</xdr:rowOff>
    </xdr:from>
    <xdr:to>
      <xdr:col>7</xdr:col>
      <xdr:colOff>346073</xdr:colOff>
      <xdr:row>65</xdr:row>
      <xdr:rowOff>69158</xdr:rowOff>
    </xdr:to>
    <xdr:sp macro="" textlink="">
      <xdr:nvSpPr>
        <xdr:cNvPr id="25" name="TextBox 24">
          <a:extLst>
            <a:ext uri="{FF2B5EF4-FFF2-40B4-BE49-F238E27FC236}">
              <a16:creationId xmlns:a16="http://schemas.microsoft.com/office/drawing/2014/main" id="{EBEC7E1B-E8B9-4201-8616-A8486D3EC702}"/>
            </a:ext>
          </a:extLst>
        </xdr:cNvPr>
        <xdr:cNvSpPr txBox="1"/>
      </xdr:nvSpPr>
      <xdr:spPr>
        <a:xfrm>
          <a:off x="6926" y="18591965"/>
          <a:ext cx="7148107" cy="149541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The Raeburn logo (above) is a reworking of The Porter Stone, aka Stingmen Stane. The 1678 original, which lies in The Museum of Scotland, was first erected on Tolbooth Wynd, as a sign of the Guild of Porters at the Port of Leith. It depicts the boats that brought wine by the cask from France, the long since retired child-powered crane, the two man carrying crew that deposited casks in The Vaults cellars (now Raeburn's, pictured in the bottom right hand corner), often for auction upstairs in the Vintners' Room. The Vaults are some of the oldest commercial cellars in the UK, dug in the 12th Century. The thick granite walls allow a simply ideal humid 12° Centigrade year round. The new Porter Stone, mounted on the perimeter wall, was completed by sculptor Shawn Williamson in 1990 in Cop Cragg sandstone. In 1985, Shawn started a 20 year spell under Josefina de Vasconcellos, whom as a young woman studied under Antoine Bourdelle at the Académie de la Grande Chaumiére in Paris. Bourdelle was in turn assistant sculptor to Auguste Rodin. The Porter Stone affords us a unique glimpse back to the Port of Leith, a historic centre of the British wine trade.</a:t>
          </a:r>
        </a:p>
      </xdr:txBody>
    </xdr:sp>
    <xdr:clientData/>
  </xdr:twoCellAnchor>
  <xdr:twoCellAnchor>
    <xdr:from>
      <xdr:col>0</xdr:col>
      <xdr:colOff>31460</xdr:colOff>
      <xdr:row>67</xdr:row>
      <xdr:rowOff>7214</xdr:rowOff>
    </xdr:from>
    <xdr:to>
      <xdr:col>7</xdr:col>
      <xdr:colOff>351557</xdr:colOff>
      <xdr:row>67</xdr:row>
      <xdr:rowOff>414129</xdr:rowOff>
    </xdr:to>
    <xdr:sp macro="" textlink="">
      <xdr:nvSpPr>
        <xdr:cNvPr id="26" name="TextBox 25">
          <a:extLst>
            <a:ext uri="{FF2B5EF4-FFF2-40B4-BE49-F238E27FC236}">
              <a16:creationId xmlns:a16="http://schemas.microsoft.com/office/drawing/2014/main" id="{8410B353-76B8-420D-A03F-EEE1018346CF}"/>
            </a:ext>
          </a:extLst>
        </xdr:cNvPr>
        <xdr:cNvSpPr txBox="1"/>
      </xdr:nvSpPr>
      <xdr:spPr>
        <a:xfrm>
          <a:off x="31460" y="20622627"/>
          <a:ext cx="7153249" cy="40691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850" b="0" i="0" u="none" strike="noStrike">
              <a:solidFill>
                <a:schemeClr val="dk1"/>
              </a:solidFill>
              <a:effectLst/>
              <a:latin typeface="Noto Sans" panose="020B0502040504020204" pitchFamily="34" charset="0"/>
              <a:ea typeface="Noto Sans" panose="020B0502040504020204" pitchFamily="34" charset="0"/>
              <a:cs typeface="+mn-cs"/>
            </a:rPr>
            <a:t>Raeburn Fine Wines remain wine-people importing wines we consider to be worth selling, drinking, thinking about, for our clients. It's only possible with Humair, our warehouse team, our logistics partners like LCB patiently running things. For which, thanks.</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6CBACD0-ADFC-4E1F-9D15-3D59BD66DEA2}" name="Raeburn_Main_Tariff" displayName="Raeburn_Main_Tariff" ref="A1:P5841" totalsRowShown="0" headerRowDxfId="37" dataDxfId="36">
  <autoFilter ref="A1:P5841" xr:uid="{A6CBACD0-ADFC-4E1F-9D15-3D59BD66DEA2}"/>
  <tableColumns count="16">
    <tableColumn id="4" xr3:uid="{A65550B4-3D8D-4ED3-B1C7-128394FD64B8}" name="PRODUCER" dataDxfId="35"/>
    <tableColumn id="44" xr3:uid="{BC5B6F80-CC0A-4C77-A1AE-649EB09A01BB}" name="PRODUCER NAME" dataDxfId="34" dataCellStyle="Hyperlink">
      <calculatedColumnFormula>HYPERLINK(IFERROR("#Main_Tariff!A"&amp;MATCH(Raeburn_Main_Tariff[[#This Row],[Product Code]],Main_Tariff!I:I,0),"#Main_Tariff!A"&amp;MATCH("*"&amp;RIGHT(A2,8)&amp;"*",Main_Tariff!A:A,0)),Raeburn_Main_Tariff[[#This Row],[PRODUCER]])</calculatedColumnFormula>
    </tableColumn>
    <tableColumn id="5" xr3:uid="{6047667E-C1AE-45F9-AA34-E34846CF2207}" name="Wine" dataDxfId="33"/>
    <tableColumn id="6" xr3:uid="{B0C54EE4-1BEA-4536-A743-1263A4945FEC}" name="Type" dataDxfId="32"/>
    <tableColumn id="7" xr3:uid="{CAA08C28-3754-4CEF-BB13-047D8848AA4B}" name="Year" dataDxfId="31"/>
    <tableColumn id="43" xr3:uid="{12E8F856-1659-43FE-86FB-B1D74919E194}" name="Vol. (cl)" dataDxfId="30" dataCellStyle="Hyperlink"/>
    <tableColumn id="9" xr3:uid="{D08E6B34-95ED-4109-8717-D8F89824CBEC}" name="Trade £DPD" dataDxfId="29" dataCellStyle="Hyperlink"/>
    <tableColumn id="10" xr3:uid="{71A4D35D-76FD-45E9-B625-45F4EA051BFA}" name="Stock Status" dataDxfId="28"/>
    <tableColumn id="12" xr3:uid="{E76E78C1-EC7A-4636-8BF7-72496A89ADD6}" name="Product Code" dataDxfId="27"/>
    <tableColumn id="1" xr3:uid="{28A0745B-14F6-4387-A04C-40D9792D62B2}" name="COUNTRY" dataDxfId="26"/>
    <tableColumn id="2" xr3:uid="{DF907C15-FABB-4CF4-BA53-AFB530097C18}" name="REGION" dataDxfId="25"/>
    <tableColumn id="3" xr3:uid="{7E3E6CF3-60D2-4D9D-8298-73C90CB07261}" name="SUB-REGION" dataDxfId="24"/>
    <tableColumn id="15" xr3:uid="{AE67A505-591A-473A-98CE-BAC8267324AF}" name="Class." dataDxfId="23" dataCellStyle="Hyperlink"/>
    <tableColumn id="28" xr3:uid="{32D27502-E6FB-431A-89B5-CB8B694136B1}" name="Organic?" dataDxfId="22"/>
    <tableColumn id="29" xr3:uid="{ACD030E6-7EAB-4A40-B2DE-5D08EB8A8E06}" name="Case Size" dataDxfId="21"/>
    <tableColumn id="30" xr3:uid="{98C08211-F7E7-41BC-A24E-EB8557D0C8CD}" name="ABV %" dataDxfId="2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www.facebook.com/kirrenbourg/" TargetMode="External"/><Relationship Id="rId671" Type="http://schemas.openxmlformats.org/officeDocument/2006/relationships/hyperlink" Target="http://www.beausejour-becot.com/" TargetMode="External"/><Relationship Id="rId21" Type="http://schemas.openxmlformats.org/officeDocument/2006/relationships/hyperlink" Target="http://www.joaonoutel.com/" TargetMode="External"/><Relationship Id="rId324" Type="http://schemas.openxmlformats.org/officeDocument/2006/relationships/hyperlink" Target="https://www.instagram.com/domainejmvincent/" TargetMode="External"/><Relationship Id="rId531" Type="http://schemas.openxmlformats.org/officeDocument/2006/relationships/hyperlink" Target="http://www.closberenguer.com/" TargetMode="External"/><Relationship Id="rId629" Type="http://schemas.openxmlformats.org/officeDocument/2006/relationships/hyperlink" Target="https://www.teradahonke.co.jp/en/" TargetMode="External"/><Relationship Id="rId170" Type="http://schemas.openxmlformats.org/officeDocument/2006/relationships/hyperlink" Target="http://www.chateau-belair.com/" TargetMode="External"/><Relationship Id="rId268" Type="http://schemas.openxmlformats.org/officeDocument/2006/relationships/hyperlink" Target="https://www.instagram.com/domaine_francois_legros_/" TargetMode="External"/><Relationship Id="rId475" Type="http://schemas.openxmlformats.org/officeDocument/2006/relationships/hyperlink" Target="https://www.lechiuse.com/index.php/it-it/" TargetMode="External"/><Relationship Id="rId682" Type="http://schemas.openxmlformats.org/officeDocument/2006/relationships/hyperlink" Target="http://www.chateau-lalagune.com/" TargetMode="External"/><Relationship Id="rId32" Type="http://schemas.openxmlformats.org/officeDocument/2006/relationships/hyperlink" Target="http://www.facebook.com/charlespalmerenglishfinewine/" TargetMode="External"/><Relationship Id="rId128" Type="http://schemas.openxmlformats.org/officeDocument/2006/relationships/hyperlink" Target="http://www.moueix.com/" TargetMode="External"/><Relationship Id="rId335" Type="http://schemas.openxmlformats.org/officeDocument/2006/relationships/hyperlink" Target="http://www.cornin.net/" TargetMode="External"/><Relationship Id="rId542" Type="http://schemas.openxmlformats.org/officeDocument/2006/relationships/hyperlink" Target="https://www.facebook.com/Niepoort.Vinhos/" TargetMode="External"/><Relationship Id="rId181" Type="http://schemas.openxmlformats.org/officeDocument/2006/relationships/hyperlink" Target="http://www.cru-robin.com/" TargetMode="External"/><Relationship Id="rId402" Type="http://schemas.openxmlformats.org/officeDocument/2006/relationships/hyperlink" Target="https://www.youtube.com/watch?v=sH2PVI3HCvA" TargetMode="External"/><Relationship Id="rId279" Type="http://schemas.openxmlformats.org/officeDocument/2006/relationships/hyperlink" Target="https://domaine-molin.fr/" TargetMode="External"/><Relationship Id="rId486" Type="http://schemas.openxmlformats.org/officeDocument/2006/relationships/hyperlink" Target="http://www.fivi.it/" TargetMode="External"/><Relationship Id="rId693" Type="http://schemas.openxmlformats.org/officeDocument/2006/relationships/hyperlink" Target="http://chateaudutertre.fr/en/home/" TargetMode="External"/><Relationship Id="rId707" Type="http://schemas.openxmlformats.org/officeDocument/2006/relationships/hyperlink" Target="https://www.chateau-mouton-rothschild.com/" TargetMode="External"/><Relationship Id="rId43" Type="http://schemas.openxmlformats.org/officeDocument/2006/relationships/hyperlink" Target="http://www.renaissance-des-appellations.com/" TargetMode="External"/><Relationship Id="rId139" Type="http://schemas.openxmlformats.org/officeDocument/2006/relationships/hyperlink" Target="https://gaffeliere.com/en" TargetMode="External"/><Relationship Id="rId346" Type="http://schemas.openxmlformats.org/officeDocument/2006/relationships/hyperlink" Target="https://www.facebook.com/domainepignier/" TargetMode="External"/><Relationship Id="rId553" Type="http://schemas.openxmlformats.org/officeDocument/2006/relationships/hyperlink" Target="http://www.renaissance-des-appellations.com/" TargetMode="External"/><Relationship Id="rId192" Type="http://schemas.openxmlformats.org/officeDocument/2006/relationships/hyperlink" Target="https://www.haut-brion.com/" TargetMode="External"/><Relationship Id="rId206" Type="http://schemas.openxmlformats.org/officeDocument/2006/relationships/hyperlink" Target="https://beychevelle.com/" TargetMode="External"/><Relationship Id="rId413" Type="http://schemas.openxmlformats.org/officeDocument/2006/relationships/hyperlink" Target="http://www.instagram.com/cascinaluisin/" TargetMode="External"/><Relationship Id="rId497" Type="http://schemas.openxmlformats.org/officeDocument/2006/relationships/hyperlink" Target="http://www.youtube.com/watch?reload=9&amp;v=nBLQRbUDSsg" TargetMode="External"/><Relationship Id="rId620" Type="http://schemas.openxmlformats.org/officeDocument/2006/relationships/hyperlink" Target="http://senkin.co.jp/" TargetMode="External"/><Relationship Id="rId718" Type="http://schemas.openxmlformats.org/officeDocument/2006/relationships/hyperlink" Target="mailto:rr@raeburnfinewines.com" TargetMode="External"/><Relationship Id="rId357" Type="http://schemas.openxmlformats.org/officeDocument/2006/relationships/hyperlink" Target="https://www.instagram.com/jeanlouischave/" TargetMode="External"/><Relationship Id="rId54" Type="http://schemas.openxmlformats.org/officeDocument/2006/relationships/hyperlink" Target="http://www.bourgogne-wines.com/" TargetMode="External"/><Relationship Id="rId217" Type="http://schemas.openxmlformats.org/officeDocument/2006/relationships/hyperlink" Target="https://www.chateau-lilian-ladouys.com/" TargetMode="External"/><Relationship Id="rId564" Type="http://schemas.openxmlformats.org/officeDocument/2006/relationships/hyperlink" Target="https://weingut-loewen.de/" TargetMode="External"/><Relationship Id="rId424" Type="http://schemas.openxmlformats.org/officeDocument/2006/relationships/hyperlink" Target="https://www.fivi.it/" TargetMode="External"/><Relationship Id="rId631" Type="http://schemas.openxmlformats.org/officeDocument/2006/relationships/hyperlink" Target="http://uehara-awamori.jp/" TargetMode="External"/><Relationship Id="rId729" Type="http://schemas.openxmlformats.org/officeDocument/2006/relationships/drawing" Target="../drawings/drawing1.xml"/><Relationship Id="rId270" Type="http://schemas.openxmlformats.org/officeDocument/2006/relationships/hyperlink" Target="https://hubert-lignier.com/en/home/" TargetMode="External"/><Relationship Id="rId65" Type="http://schemas.openxmlformats.org/officeDocument/2006/relationships/hyperlink" Target="http://www.beerdaybritain.co.uk/" TargetMode="External"/><Relationship Id="rId130" Type="http://schemas.openxmlformats.org/officeDocument/2006/relationships/hyperlink" Target="https://chateaumontviel.com/" TargetMode="External"/><Relationship Id="rId368" Type="http://schemas.openxmlformats.org/officeDocument/2006/relationships/hyperlink" Target="https://www.beaucastel.com/" TargetMode="External"/><Relationship Id="rId575" Type="http://schemas.openxmlformats.org/officeDocument/2006/relationships/hyperlink" Target="https://maximingruenhaus.de/" TargetMode="External"/><Relationship Id="rId228" Type="http://schemas.openxmlformats.org/officeDocument/2006/relationships/hyperlink" Target="http://www.chateaudefargues.com/" TargetMode="External"/><Relationship Id="rId435" Type="http://schemas.openxmlformats.org/officeDocument/2006/relationships/hyperlink" Target="https://www.cortelenguin.it/" TargetMode="External"/><Relationship Id="rId642" Type="http://schemas.openxmlformats.org/officeDocument/2006/relationships/hyperlink" Target="https://www.taylor.pt/" TargetMode="External"/><Relationship Id="rId281" Type="http://schemas.openxmlformats.org/officeDocument/2006/relationships/hyperlink" Target="http://www.mugnier.fr/" TargetMode="External"/><Relationship Id="rId502" Type="http://schemas.openxmlformats.org/officeDocument/2006/relationships/hyperlink" Target="https://grapecollective.com/articles/the-soulful-wines-of-bruno-de-conciliis" TargetMode="External"/><Relationship Id="rId76" Type="http://schemas.openxmlformats.org/officeDocument/2006/relationships/hyperlink" Target="https://www.sauvblancday.com/" TargetMode="External"/><Relationship Id="rId141" Type="http://schemas.openxmlformats.org/officeDocument/2006/relationships/hyperlink" Target="https://gaffeliere.com/en" TargetMode="External"/><Relationship Id="rId379" Type="http://schemas.openxmlformats.org/officeDocument/2006/relationships/hyperlink" Target="https://www.biodyvin.com/" TargetMode="External"/><Relationship Id="rId586" Type="http://schemas.openxmlformats.org/officeDocument/2006/relationships/hyperlink" Target="http://www.chateaumusar.com.lb/" TargetMode="External"/><Relationship Id="rId7" Type="http://schemas.openxmlformats.org/officeDocument/2006/relationships/hyperlink" Target="http://www.jancisrobinson.com/" TargetMode="External"/><Relationship Id="rId239" Type="http://schemas.openxmlformats.org/officeDocument/2006/relationships/hyperlink" Target="https://www.facebook.com/DomaineChantemerle89/" TargetMode="External"/><Relationship Id="rId446" Type="http://schemas.openxmlformats.org/officeDocument/2006/relationships/hyperlink" Target="http://www.vinidiluce.com/" TargetMode="External"/><Relationship Id="rId653" Type="http://schemas.openxmlformats.org/officeDocument/2006/relationships/hyperlink" Target="http://www.ilgustodellacosta.it/" TargetMode="External"/><Relationship Id="rId292" Type="http://schemas.openxmlformats.org/officeDocument/2006/relationships/hyperlink" Target="https://domaine-clerget.com/" TargetMode="External"/><Relationship Id="rId306" Type="http://schemas.openxmlformats.org/officeDocument/2006/relationships/hyperlink" Target="https://aligoteurs.wordpress.com/" TargetMode="External"/><Relationship Id="rId87" Type="http://schemas.openxmlformats.org/officeDocument/2006/relationships/hyperlink" Target="https://www.cbd.int/" TargetMode="External"/><Relationship Id="rId513" Type="http://schemas.openxmlformats.org/officeDocument/2006/relationships/hyperlink" Target="http://www.eredidimaio.it/" TargetMode="External"/><Relationship Id="rId597" Type="http://schemas.openxmlformats.org/officeDocument/2006/relationships/hyperlink" Target="https://ramiiisolvineyards.com/" TargetMode="External"/><Relationship Id="rId720" Type="http://schemas.openxmlformats.org/officeDocument/2006/relationships/hyperlink" Target="mailto:julia@raeburnfinewines.com" TargetMode="External"/><Relationship Id="rId152" Type="http://schemas.openxmlformats.org/officeDocument/2006/relationships/hyperlink" Target="http://www.nicolas-thienpont.com/" TargetMode="External"/><Relationship Id="rId457" Type="http://schemas.openxmlformats.org/officeDocument/2006/relationships/hyperlink" Target="https://www.facebook.com/vignaidaduline/" TargetMode="External"/><Relationship Id="rId664" Type="http://schemas.openxmlformats.org/officeDocument/2006/relationships/hyperlink" Target="https://www.latorrealletolfe.com/" TargetMode="External"/><Relationship Id="rId14" Type="http://schemas.openxmlformats.org/officeDocument/2006/relationships/hyperlink" Target="http://wickhammanor.co.uk/" TargetMode="External"/><Relationship Id="rId317" Type="http://schemas.openxmlformats.org/officeDocument/2006/relationships/hyperlink" Target="https://www.domaine-rollin.com/en/" TargetMode="External"/><Relationship Id="rId524" Type="http://schemas.openxmlformats.org/officeDocument/2006/relationships/hyperlink" Target="https://www.lopezdeheredia.com/" TargetMode="External"/><Relationship Id="rId98" Type="http://schemas.openxmlformats.org/officeDocument/2006/relationships/hyperlink" Target="http://www.champagnebilliot.fr/" TargetMode="External"/><Relationship Id="rId163" Type="http://schemas.openxmlformats.org/officeDocument/2006/relationships/hyperlink" Target="http://www.valandraud.fr/" TargetMode="External"/><Relationship Id="rId370" Type="http://schemas.openxmlformats.org/officeDocument/2006/relationships/hyperlink" Target="https://tardieu-laurent.fr/en/la-maison-2/" TargetMode="External"/><Relationship Id="rId230" Type="http://schemas.openxmlformats.org/officeDocument/2006/relationships/hyperlink" Target="http://www.vigneron-independant.com/" TargetMode="External"/><Relationship Id="rId468" Type="http://schemas.openxmlformats.org/officeDocument/2006/relationships/hyperlink" Target="https://portedivertine.wordpress.com/" TargetMode="External"/><Relationship Id="rId675" Type="http://schemas.openxmlformats.org/officeDocument/2006/relationships/hyperlink" Target="https://gaffeliere.com/en" TargetMode="External"/><Relationship Id="rId25" Type="http://schemas.openxmlformats.org/officeDocument/2006/relationships/hyperlink" Target="http://www.tillaillustration.com/" TargetMode="External"/><Relationship Id="rId328" Type="http://schemas.openxmlformats.org/officeDocument/2006/relationships/hyperlink" Target="http://www.domaine-briday.com/" TargetMode="External"/><Relationship Id="rId535" Type="http://schemas.openxmlformats.org/officeDocument/2006/relationships/hyperlink" Target="http://www.cellersunio.com/" TargetMode="External"/><Relationship Id="rId174" Type="http://schemas.openxmlformats.org/officeDocument/2006/relationships/hyperlink" Target="http://www.nicolas-thienpont.com/" TargetMode="External"/><Relationship Id="rId381" Type="http://schemas.openxmlformats.org/officeDocument/2006/relationships/hyperlink" Target="http://www.le-soula.com/" TargetMode="External"/><Relationship Id="rId602" Type="http://schemas.openxmlformats.org/officeDocument/2006/relationships/hyperlink" Target="http://mahana.nz/" TargetMode="External"/><Relationship Id="rId241" Type="http://schemas.openxmlformats.org/officeDocument/2006/relationships/hyperlink" Target="http://www.chaudeecuelle.com/" TargetMode="External"/><Relationship Id="rId479" Type="http://schemas.openxmlformats.org/officeDocument/2006/relationships/hyperlink" Target="https://www.stelladicampalto.it/" TargetMode="External"/><Relationship Id="rId686" Type="http://schemas.openxmlformats.org/officeDocument/2006/relationships/hyperlink" Target="https://www.gc-lurton-estates.com/chateau-ferriere.html" TargetMode="External"/><Relationship Id="rId36" Type="http://schemas.openxmlformats.org/officeDocument/2006/relationships/hyperlink" Target="http://www.cornershopdesign.com.au/" TargetMode="External"/><Relationship Id="rId339" Type="http://schemas.openxmlformats.org/officeDocument/2006/relationships/hyperlink" Target="http://www.portuliege.com/" TargetMode="External"/><Relationship Id="rId546" Type="http://schemas.openxmlformats.org/officeDocument/2006/relationships/hyperlink" Target="https://en-gb.facebook.com/Niepoort.Vinhos/" TargetMode="External"/><Relationship Id="rId101" Type="http://schemas.openxmlformats.org/officeDocument/2006/relationships/hyperlink" Target="https://www.instagram.com/dehubenoit/" TargetMode="External"/><Relationship Id="rId185" Type="http://schemas.openxmlformats.org/officeDocument/2006/relationships/hyperlink" Target="https://carbonnieux.com/" TargetMode="External"/><Relationship Id="rId406" Type="http://schemas.openxmlformats.org/officeDocument/2006/relationships/hyperlink" Target="http://www.youtube.com/watch?v=1qmhBFFNTus" TargetMode="External"/><Relationship Id="rId392" Type="http://schemas.openxmlformats.org/officeDocument/2006/relationships/hyperlink" Target="https://brovia.net/" TargetMode="External"/><Relationship Id="rId613" Type="http://schemas.openxmlformats.org/officeDocument/2006/relationships/hyperlink" Target="http://www.leeuwenkuilfv.co.za/" TargetMode="External"/><Relationship Id="rId697" Type="http://schemas.openxmlformats.org/officeDocument/2006/relationships/hyperlink" Target="https://www.leoville-barton.com/" TargetMode="External"/><Relationship Id="rId252" Type="http://schemas.openxmlformats.org/officeDocument/2006/relationships/hyperlink" Target="http://www.facebook.com/domaineboigey/" TargetMode="External"/><Relationship Id="rId47" Type="http://schemas.openxmlformats.org/officeDocument/2006/relationships/hyperlink" Target="http://www.bourgogne-wines.com/" TargetMode="External"/><Relationship Id="rId112" Type="http://schemas.openxmlformats.org/officeDocument/2006/relationships/hyperlink" Target="https://www.facebook.com/champagnechevreuxbournazel/" TargetMode="External"/><Relationship Id="rId557" Type="http://schemas.openxmlformats.org/officeDocument/2006/relationships/hyperlink" Target="https://weingutprager.at/" TargetMode="External"/><Relationship Id="rId196" Type="http://schemas.openxmlformats.org/officeDocument/2006/relationships/hyperlink" Target="https://www.malartic-lagraviere.com/" TargetMode="External"/><Relationship Id="rId417" Type="http://schemas.openxmlformats.org/officeDocument/2006/relationships/hyperlink" Target="http://www.viniveri.net/" TargetMode="External"/><Relationship Id="rId624" Type="http://schemas.openxmlformats.org/officeDocument/2006/relationships/hyperlink" Target="http://uehara-awamori.jp/" TargetMode="External"/><Relationship Id="rId263" Type="http://schemas.openxmlformats.org/officeDocument/2006/relationships/hyperlink" Target="https://www.youtube.com/watch?v=fM-UPryWWeA" TargetMode="External"/><Relationship Id="rId470" Type="http://schemas.openxmlformats.org/officeDocument/2006/relationships/hyperlink" Target="http://www.fivi.it/" TargetMode="External"/><Relationship Id="rId58" Type="http://schemas.openxmlformats.org/officeDocument/2006/relationships/hyperlink" Target="https://treecouncil.org.uk/" TargetMode="External"/><Relationship Id="rId123" Type="http://schemas.openxmlformats.org/officeDocument/2006/relationships/hyperlink" Target="https://www.lafite.com/" TargetMode="External"/><Relationship Id="rId330" Type="http://schemas.openxmlformats.org/officeDocument/2006/relationships/hyperlink" Target="https://www.instagram.com/domainebriday/" TargetMode="External"/><Relationship Id="rId568" Type="http://schemas.openxmlformats.org/officeDocument/2006/relationships/hyperlink" Target="https://www.vdp.de/de/" TargetMode="External"/><Relationship Id="rId428" Type="http://schemas.openxmlformats.org/officeDocument/2006/relationships/hyperlink" Target="https://cantinamezzacane.it/" TargetMode="External"/><Relationship Id="rId635" Type="http://schemas.openxmlformats.org/officeDocument/2006/relationships/hyperlink" Target="http://www.heiwashuzou.co.jp/" TargetMode="External"/><Relationship Id="rId274" Type="http://schemas.openxmlformats.org/officeDocument/2006/relationships/hyperlink" Target="http://www.instagram.com/domaines_siblas_maume/" TargetMode="External"/><Relationship Id="rId481" Type="http://schemas.openxmlformats.org/officeDocument/2006/relationships/hyperlink" Target="http://www.amiatavini.it/" TargetMode="External"/><Relationship Id="rId702" Type="http://schemas.openxmlformats.org/officeDocument/2006/relationships/hyperlink" Target="http://www.chateau-grand-puy-lacoste.com/" TargetMode="External"/><Relationship Id="rId69" Type="http://schemas.openxmlformats.org/officeDocument/2006/relationships/hyperlink" Target="http://www.cleanairday.org.uk/" TargetMode="External"/><Relationship Id="rId134" Type="http://schemas.openxmlformats.org/officeDocument/2006/relationships/hyperlink" Target="http://www.beausejourhdl.fr/" TargetMode="External"/><Relationship Id="rId579" Type="http://schemas.openxmlformats.org/officeDocument/2006/relationships/hyperlink" Target="https://www.vdp.de/de/" TargetMode="External"/><Relationship Id="rId341" Type="http://schemas.openxmlformats.org/officeDocument/2006/relationships/hyperlink" Target="https://domaine-paul-janin.fr/" TargetMode="External"/><Relationship Id="rId439" Type="http://schemas.openxmlformats.org/officeDocument/2006/relationships/hyperlink" Target="http://www.fivi.it/" TargetMode="External"/><Relationship Id="rId646" Type="http://schemas.openxmlformats.org/officeDocument/2006/relationships/hyperlink" Target="http://www.fernandodecastilla.es/" TargetMode="External"/><Relationship Id="rId201" Type="http://schemas.openxmlformats.org/officeDocument/2006/relationships/hyperlink" Target="https://www.chateaulecoteau.fr/" TargetMode="External"/><Relationship Id="rId285" Type="http://schemas.openxmlformats.org/officeDocument/2006/relationships/hyperlink" Target="https://www.domaineami.com/" TargetMode="External"/><Relationship Id="rId506" Type="http://schemas.openxmlformats.org/officeDocument/2006/relationships/hyperlink" Target="https://www.primitivoattanasio.com/" TargetMode="External"/><Relationship Id="rId492" Type="http://schemas.openxmlformats.org/officeDocument/2006/relationships/hyperlink" Target="http://www.sanlorenzovini.com/" TargetMode="External"/><Relationship Id="rId713" Type="http://schemas.openxmlformats.org/officeDocument/2006/relationships/hyperlink" Target="https://www.estournel.com/" TargetMode="External"/><Relationship Id="rId145" Type="http://schemas.openxmlformats.org/officeDocument/2006/relationships/hyperlink" Target="https://www.thienpontwine.com/en/" TargetMode="External"/><Relationship Id="rId352" Type="http://schemas.openxmlformats.org/officeDocument/2006/relationships/hyperlink" Target="http://www.renaissance-des-appellations.com/" TargetMode="External"/><Relationship Id="rId212" Type="http://schemas.openxmlformats.org/officeDocument/2006/relationships/hyperlink" Target="https://www.domaines-henri-martin.com/" TargetMode="External"/><Relationship Id="rId657" Type="http://schemas.openxmlformats.org/officeDocument/2006/relationships/hyperlink" Target="https://thesadiefamily.com/" TargetMode="External"/><Relationship Id="rId296" Type="http://schemas.openxmlformats.org/officeDocument/2006/relationships/hyperlink" Target="http://www.domaine-follin-arbelet.com/" TargetMode="External"/><Relationship Id="rId517" Type="http://schemas.openxmlformats.org/officeDocument/2006/relationships/hyperlink" Target="http://www.bodegaspascual.com/" TargetMode="External"/><Relationship Id="rId724" Type="http://schemas.openxmlformats.org/officeDocument/2006/relationships/hyperlink" Target="mailto:lily@raeburnfinewines.com" TargetMode="External"/><Relationship Id="rId60" Type="http://schemas.openxmlformats.org/officeDocument/2006/relationships/hyperlink" Target="https://winesofgreece.org/" TargetMode="External"/><Relationship Id="rId156" Type="http://schemas.openxmlformats.org/officeDocument/2006/relationships/hyperlink" Target="https://www.domaineclarencedillon.com/" TargetMode="External"/><Relationship Id="rId363" Type="http://schemas.openxmlformats.org/officeDocument/2006/relationships/hyperlink" Target="https://www.domaineremizieres.com/" TargetMode="External"/><Relationship Id="rId570" Type="http://schemas.openxmlformats.org/officeDocument/2006/relationships/hyperlink" Target="https://meulenhof.de/" TargetMode="External"/><Relationship Id="rId223" Type="http://schemas.openxmlformats.org/officeDocument/2006/relationships/hyperlink" Target="https://domaines-delon.com/" TargetMode="External"/><Relationship Id="rId430" Type="http://schemas.openxmlformats.org/officeDocument/2006/relationships/hyperlink" Target="https://tenutapizzone.it/" TargetMode="External"/><Relationship Id="rId668" Type="http://schemas.openxmlformats.org/officeDocument/2006/relationships/hyperlink" Target="http://www.lhetre.wine/" TargetMode="External"/><Relationship Id="rId18" Type="http://schemas.openxmlformats.org/officeDocument/2006/relationships/hyperlink" Target="https://en.wikipedia.org/wiki/Karl_Friedrich_Schinkel" TargetMode="External"/><Relationship Id="rId528" Type="http://schemas.openxmlformats.org/officeDocument/2006/relationships/hyperlink" Target="https://vinazorzalwines.com/" TargetMode="External"/><Relationship Id="rId167" Type="http://schemas.openxmlformats.org/officeDocument/2006/relationships/hyperlink" Target="https://moulinpeylabrie.com/" TargetMode="External"/><Relationship Id="rId374" Type="http://schemas.openxmlformats.org/officeDocument/2006/relationships/hyperlink" Target="http://www.kermitlynch.com/our-wines/les-pallieres" TargetMode="External"/><Relationship Id="rId581" Type="http://schemas.openxmlformats.org/officeDocument/2006/relationships/hyperlink" Target="https://www.weingut-zehnthof.de/" TargetMode="External"/><Relationship Id="rId71" Type="http://schemas.openxmlformats.org/officeDocument/2006/relationships/hyperlink" Target="http://www.worldenvironmentday.global/" TargetMode="External"/><Relationship Id="rId234" Type="http://schemas.openxmlformats.org/officeDocument/2006/relationships/hyperlink" Target="https://yquem.fr/" TargetMode="External"/><Relationship Id="rId679" Type="http://schemas.openxmlformats.org/officeDocument/2006/relationships/hyperlink" Target="https://cantemerle.com/" TargetMode="External"/><Relationship Id="rId2" Type="http://schemas.openxmlformats.org/officeDocument/2006/relationships/hyperlink" Target="http://www.bodegastradicion.com/" TargetMode="External"/><Relationship Id="rId29" Type="http://schemas.openxmlformats.org/officeDocument/2006/relationships/hyperlink" Target="http://www.simoneronzio.com/" TargetMode="External"/><Relationship Id="rId441" Type="http://schemas.openxmlformats.org/officeDocument/2006/relationships/hyperlink" Target="http://www.fivi.it/" TargetMode="External"/><Relationship Id="rId539" Type="http://schemas.openxmlformats.org/officeDocument/2006/relationships/hyperlink" Target="http://www.niepoort.pt/" TargetMode="External"/><Relationship Id="rId178" Type="http://schemas.openxmlformats.org/officeDocument/2006/relationships/hyperlink" Target="http://www.lhetre.wine/" TargetMode="External"/><Relationship Id="rId301" Type="http://schemas.openxmlformats.org/officeDocument/2006/relationships/hyperlink" Target="https://www.domaine-alain-gras.com/" TargetMode="External"/><Relationship Id="rId82" Type="http://schemas.openxmlformats.org/officeDocument/2006/relationships/hyperlink" Target="https://www.internationalwomensday.com/" TargetMode="External"/><Relationship Id="rId385" Type="http://schemas.openxmlformats.org/officeDocument/2006/relationships/hyperlink" Target="https://tardieu-laurent.fr/en/la-maison-2/" TargetMode="External"/><Relationship Id="rId592" Type="http://schemas.openxmlformats.org/officeDocument/2006/relationships/hyperlink" Target="https://www.dominusestate.com/" TargetMode="External"/><Relationship Id="rId606" Type="http://schemas.openxmlformats.org/officeDocument/2006/relationships/hyperlink" Target="https://www.alkinawine.com/" TargetMode="External"/><Relationship Id="rId245" Type="http://schemas.openxmlformats.org/officeDocument/2006/relationships/hyperlink" Target="https://www.instagram.com/guilhemgoisot/" TargetMode="External"/><Relationship Id="rId452" Type="http://schemas.openxmlformats.org/officeDocument/2006/relationships/hyperlink" Target="http://www.fivi.it/" TargetMode="External"/><Relationship Id="rId105" Type="http://schemas.openxmlformats.org/officeDocument/2006/relationships/hyperlink" Target="https://www.instagram.com/champagne_gonet_sulcova/" TargetMode="External"/><Relationship Id="rId147" Type="http://schemas.openxmlformats.org/officeDocument/2006/relationships/hyperlink" Target="https://www.chateau-lassegue.com/" TargetMode="External"/><Relationship Id="rId312" Type="http://schemas.openxmlformats.org/officeDocument/2006/relationships/hyperlink" Target="https://moulinauxmoines.com/en/" TargetMode="External"/><Relationship Id="rId354" Type="http://schemas.openxmlformats.org/officeDocument/2006/relationships/hyperlink" Target="http://www.domaine-pichot.com/" TargetMode="External"/><Relationship Id="rId51" Type="http://schemas.openxmlformats.org/officeDocument/2006/relationships/hyperlink" Target="http://www.vignobles-occitanie.fr/" TargetMode="External"/><Relationship Id="rId93" Type="http://schemas.openxmlformats.org/officeDocument/2006/relationships/hyperlink" Target="http://www.terravitis.com/" TargetMode="External"/><Relationship Id="rId189" Type="http://schemas.openxmlformats.org/officeDocument/2006/relationships/hyperlink" Target="http://www.haut-bailly.com/" TargetMode="External"/><Relationship Id="rId396" Type="http://schemas.openxmlformats.org/officeDocument/2006/relationships/hyperlink" Target="https://www.youtube.com/watch?v=hIG-IMyrFAc" TargetMode="External"/><Relationship Id="rId561" Type="http://schemas.openxmlformats.org/officeDocument/2006/relationships/hyperlink" Target="http://www.traditionsweingueter.at/" TargetMode="External"/><Relationship Id="rId617" Type="http://schemas.openxmlformats.org/officeDocument/2006/relationships/hyperlink" Target="http://www.kuramoto-mukai.jp/" TargetMode="External"/><Relationship Id="rId659" Type="http://schemas.openxmlformats.org/officeDocument/2006/relationships/hyperlink" Target="https://www.facebook.com/sijnnwines/" TargetMode="External"/><Relationship Id="rId214" Type="http://schemas.openxmlformats.org/officeDocument/2006/relationships/hyperlink" Target="https://www.chateau-clerc-milon.com/" TargetMode="External"/><Relationship Id="rId256" Type="http://schemas.openxmlformats.org/officeDocument/2006/relationships/hyperlink" Target="https://aligoteurs.wordpress.com/" TargetMode="External"/><Relationship Id="rId298" Type="http://schemas.openxmlformats.org/officeDocument/2006/relationships/hyperlink" Target="https://www.gaunoux.com/en/" TargetMode="External"/><Relationship Id="rId421" Type="http://schemas.openxmlformats.org/officeDocument/2006/relationships/hyperlink" Target="http://www.lacolomberavini.it/" TargetMode="External"/><Relationship Id="rId463" Type="http://schemas.openxmlformats.org/officeDocument/2006/relationships/hyperlink" Target="http://www.radokocjancic.eu/" TargetMode="External"/><Relationship Id="rId519" Type="http://schemas.openxmlformats.org/officeDocument/2006/relationships/hyperlink" Target="http://www.vinosdearganza.com/" TargetMode="External"/><Relationship Id="rId670" Type="http://schemas.openxmlformats.org/officeDocument/2006/relationships/hyperlink" Target="https://m.facebook.com/profile.php?id=130454807036400" TargetMode="External"/><Relationship Id="rId116" Type="http://schemas.openxmlformats.org/officeDocument/2006/relationships/hyperlink" Target="https://jean-yves-schillinger.com/" TargetMode="External"/><Relationship Id="rId158" Type="http://schemas.openxmlformats.org/officeDocument/2006/relationships/hyperlink" Target="http://www.denis-durantou.com/" TargetMode="External"/><Relationship Id="rId323" Type="http://schemas.openxmlformats.org/officeDocument/2006/relationships/hyperlink" Target="https://www.facebook.com/TerresdeVelle/" TargetMode="External"/><Relationship Id="rId530" Type="http://schemas.openxmlformats.org/officeDocument/2006/relationships/hyperlink" Target="https://masdelapansa.com/" TargetMode="External"/><Relationship Id="rId726" Type="http://schemas.openxmlformats.org/officeDocument/2006/relationships/hyperlink" Target="mailto:zubair@raeburnfinewines.com" TargetMode="External"/><Relationship Id="rId20" Type="http://schemas.openxmlformats.org/officeDocument/2006/relationships/hyperlink" Target="http://www.kante.it/" TargetMode="External"/><Relationship Id="rId62" Type="http://schemas.openxmlformats.org/officeDocument/2006/relationships/hyperlink" Target="http://www.fao.org/" TargetMode="External"/><Relationship Id="rId365" Type="http://schemas.openxmlformats.org/officeDocument/2006/relationships/hyperlink" Target="https://www.instagram.com/domaine_charvin/" TargetMode="External"/><Relationship Id="rId572" Type="http://schemas.openxmlformats.org/officeDocument/2006/relationships/hyperlink" Target="https://www.vdp.de/de/" TargetMode="External"/><Relationship Id="rId628" Type="http://schemas.openxmlformats.org/officeDocument/2006/relationships/hyperlink" Target="https://www.teradahonke.co.jp/en/" TargetMode="External"/><Relationship Id="rId225" Type="http://schemas.openxmlformats.org/officeDocument/2006/relationships/hyperlink" Target="https://www.tourhautcaussan.com/" TargetMode="External"/><Relationship Id="rId267" Type="http://schemas.openxmlformats.org/officeDocument/2006/relationships/hyperlink" Target="https://domainefrancoislegros.com/en/welcome" TargetMode="External"/><Relationship Id="rId432" Type="http://schemas.openxmlformats.org/officeDocument/2006/relationships/hyperlink" Target="http://www.kellereikaltern.com/" TargetMode="External"/><Relationship Id="rId474" Type="http://schemas.openxmlformats.org/officeDocument/2006/relationships/hyperlink" Target="http://www.instagram.com/j.g.benda/" TargetMode="External"/><Relationship Id="rId127" Type="http://schemas.openxmlformats.org/officeDocument/2006/relationships/hyperlink" Target="https://www.youtube.com/watch?v=YevhLVnZE0g" TargetMode="External"/><Relationship Id="rId681" Type="http://schemas.openxmlformats.org/officeDocument/2006/relationships/hyperlink" Target="http://www.biodyvin.com/" TargetMode="External"/><Relationship Id="rId31" Type="http://schemas.openxmlformats.org/officeDocument/2006/relationships/hyperlink" Target="http://www.facebook.com/LuisDeBourbonCaligrafia/" TargetMode="External"/><Relationship Id="rId73" Type="http://schemas.openxmlformats.org/officeDocument/2006/relationships/hyperlink" Target="https://www.worldwhiskyday.com/" TargetMode="External"/><Relationship Id="rId169" Type="http://schemas.openxmlformats.org/officeDocument/2006/relationships/hyperlink" Target="http://www.denis-durantou.com/" TargetMode="External"/><Relationship Id="rId334" Type="http://schemas.openxmlformats.org/officeDocument/2006/relationships/hyperlink" Target="http://www.renemichel.com/" TargetMode="External"/><Relationship Id="rId376" Type="http://schemas.openxmlformats.org/officeDocument/2006/relationships/hyperlink" Target="http://www.xaviervignon.com/" TargetMode="External"/><Relationship Id="rId541" Type="http://schemas.openxmlformats.org/officeDocument/2006/relationships/hyperlink" Target="https://www.douroboys.com/" TargetMode="External"/><Relationship Id="rId583" Type="http://schemas.openxmlformats.org/officeDocument/2006/relationships/hyperlink" Target="http://www.doennhoff.com/" TargetMode="External"/><Relationship Id="rId639" Type="http://schemas.openxmlformats.org/officeDocument/2006/relationships/hyperlink" Target="http://www.quinta-do-passadouro.com/" TargetMode="External"/><Relationship Id="rId4" Type="http://schemas.openxmlformats.org/officeDocument/2006/relationships/hyperlink" Target="http://www.larvf.com/" TargetMode="External"/><Relationship Id="rId180" Type="http://schemas.openxmlformats.org/officeDocument/2006/relationships/hyperlink" Target="http://www.denis-durantou.com/" TargetMode="External"/><Relationship Id="rId236" Type="http://schemas.openxmlformats.org/officeDocument/2006/relationships/hyperlink" Target="https://tirecul.canalblog.com/" TargetMode="External"/><Relationship Id="rId278" Type="http://schemas.openxmlformats.org/officeDocument/2006/relationships/hyperlink" Target="https://meo-camuzet.com/fr/" TargetMode="External"/><Relationship Id="rId401" Type="http://schemas.openxmlformats.org/officeDocument/2006/relationships/hyperlink" Target="https://www.facebook.com/cascinagramolere/" TargetMode="External"/><Relationship Id="rId443" Type="http://schemas.openxmlformats.org/officeDocument/2006/relationships/hyperlink" Target="https://www.facebook.com/cortesermana" TargetMode="External"/><Relationship Id="rId650" Type="http://schemas.openxmlformats.org/officeDocument/2006/relationships/hyperlink" Target="https://www.calvados-dupont.com/" TargetMode="External"/><Relationship Id="rId303" Type="http://schemas.openxmlformats.org/officeDocument/2006/relationships/hyperlink" Target="https://www.instagram.com/domaine_alain_gras/" TargetMode="External"/><Relationship Id="rId485" Type="http://schemas.openxmlformats.org/officeDocument/2006/relationships/hyperlink" Target="http://www.lamarcadisanmichele.com/" TargetMode="External"/><Relationship Id="rId692" Type="http://schemas.openxmlformats.org/officeDocument/2006/relationships/hyperlink" Target="http://chateaudutertre.fr/en/home/" TargetMode="External"/><Relationship Id="rId706" Type="http://schemas.openxmlformats.org/officeDocument/2006/relationships/hyperlink" Target="https://www.chateau-mouton-rothschild.com/" TargetMode="External"/><Relationship Id="rId42" Type="http://schemas.openxmlformats.org/officeDocument/2006/relationships/hyperlink" Target="http://www.vins-sains.org/" TargetMode="External"/><Relationship Id="rId84" Type="http://schemas.openxmlformats.org/officeDocument/2006/relationships/hyperlink" Target="http://worldbiodynamicday.org/" TargetMode="External"/><Relationship Id="rId138" Type="http://schemas.openxmlformats.org/officeDocument/2006/relationships/hyperlink" Target="https://www.fonplegade.com/" TargetMode="External"/><Relationship Id="rId345" Type="http://schemas.openxmlformats.org/officeDocument/2006/relationships/hyperlink" Target="https://www.domaine-pignier.com/" TargetMode="External"/><Relationship Id="rId387" Type="http://schemas.openxmlformats.org/officeDocument/2006/relationships/hyperlink" Target="http://www.vievini.it/" TargetMode="External"/><Relationship Id="rId510" Type="http://schemas.openxmlformats.org/officeDocument/2006/relationships/hyperlink" Target="https://www.facebook.com/CantinaGungui/" TargetMode="External"/><Relationship Id="rId552" Type="http://schemas.openxmlformats.org/officeDocument/2006/relationships/hyperlink" Target="http://www.knoll.at/" TargetMode="External"/><Relationship Id="rId594" Type="http://schemas.openxmlformats.org/officeDocument/2006/relationships/hyperlink" Target="https://www.cameronwines.com/" TargetMode="External"/><Relationship Id="rId608" Type="http://schemas.openxmlformats.org/officeDocument/2006/relationships/hyperlink" Target="https://www.facebook.com/NeldnerRoad" TargetMode="External"/><Relationship Id="rId191" Type="http://schemas.openxmlformats.org/officeDocument/2006/relationships/hyperlink" Target="http://www.biodyvin.com/" TargetMode="External"/><Relationship Id="rId205" Type="http://schemas.openxmlformats.org/officeDocument/2006/relationships/hyperlink" Target="http://www.chateaupoujeaux.com/" TargetMode="External"/><Relationship Id="rId247" Type="http://schemas.openxmlformats.org/officeDocument/2006/relationships/hyperlink" Target="https://www.facebook.com/lesaligoteurs/" TargetMode="External"/><Relationship Id="rId412" Type="http://schemas.openxmlformats.org/officeDocument/2006/relationships/hyperlink" Target="https://www.cascinaluisin.it/" TargetMode="External"/><Relationship Id="rId107" Type="http://schemas.openxmlformats.org/officeDocument/2006/relationships/hyperlink" Target="https://www.facebook.com/Champagne-Gy%C3%A9jacquot-Fr%C3%A8res-101308804613257/" TargetMode="External"/><Relationship Id="rId289" Type="http://schemas.openxmlformats.org/officeDocument/2006/relationships/hyperlink" Target="https://www.henri-boillot.com/" TargetMode="External"/><Relationship Id="rId454" Type="http://schemas.openxmlformats.org/officeDocument/2006/relationships/hyperlink" Target="http://www.proseccoilcolle.it/" TargetMode="External"/><Relationship Id="rId496" Type="http://schemas.openxmlformats.org/officeDocument/2006/relationships/hyperlink" Target="https://www.youtube.com/watch?v=wiksUH7oMI4" TargetMode="External"/><Relationship Id="rId661" Type="http://schemas.openxmlformats.org/officeDocument/2006/relationships/hyperlink" Target="https://www.instagram.com/viaceller/" TargetMode="External"/><Relationship Id="rId717" Type="http://schemas.openxmlformats.org/officeDocument/2006/relationships/hyperlink" Target="mailto:david@raeburnfinewines.com" TargetMode="External"/><Relationship Id="rId11" Type="http://schemas.openxmlformats.org/officeDocument/2006/relationships/hyperlink" Target="http://www.acevola.blogspot.com/" TargetMode="External"/><Relationship Id="rId53" Type="http://schemas.openxmlformats.org/officeDocument/2006/relationships/hyperlink" Target="http://www.champagne.fr/" TargetMode="External"/><Relationship Id="rId149" Type="http://schemas.openxmlformats.org/officeDocument/2006/relationships/hyperlink" Target="http://www.biodyvin.com/" TargetMode="External"/><Relationship Id="rId314" Type="http://schemas.openxmlformats.org/officeDocument/2006/relationships/hyperlink" Target="https://www.instagram.com/closdumoulinauxmoines/" TargetMode="External"/><Relationship Id="rId356" Type="http://schemas.openxmlformats.org/officeDocument/2006/relationships/hyperlink" Target="http://www.bonnet-huteau.com/" TargetMode="External"/><Relationship Id="rId398" Type="http://schemas.openxmlformats.org/officeDocument/2006/relationships/hyperlink" Target="https://www.fratellialessandria.it/" TargetMode="External"/><Relationship Id="rId521" Type="http://schemas.openxmlformats.org/officeDocument/2006/relationships/hyperlink" Target="http://www.lopezcristobal.com/" TargetMode="External"/><Relationship Id="rId563" Type="http://schemas.openxmlformats.org/officeDocument/2006/relationships/hyperlink" Target="https://www.facebook.com/weinbauschiefer/" TargetMode="External"/><Relationship Id="rId619" Type="http://schemas.openxmlformats.org/officeDocument/2006/relationships/hyperlink" Target="http://www.heiwashuzou.co.jp/" TargetMode="External"/><Relationship Id="rId95" Type="http://schemas.openxmlformats.org/officeDocument/2006/relationships/hyperlink" Target="http://www.instagram.com/champagnebeerens/" TargetMode="External"/><Relationship Id="rId160" Type="http://schemas.openxmlformats.org/officeDocument/2006/relationships/hyperlink" Target="https://www.troplong-mondot.com/" TargetMode="External"/><Relationship Id="rId216" Type="http://schemas.openxmlformats.org/officeDocument/2006/relationships/hyperlink" Target="http://www.domeyne.fr/" TargetMode="External"/><Relationship Id="rId423" Type="http://schemas.openxmlformats.org/officeDocument/2006/relationships/hyperlink" Target="https://www.lamesma.it/" TargetMode="External"/><Relationship Id="rId258" Type="http://schemas.openxmlformats.org/officeDocument/2006/relationships/hyperlink" Target="https://www.instagram.com/domainejeanfournier/" TargetMode="External"/><Relationship Id="rId465" Type="http://schemas.openxmlformats.org/officeDocument/2006/relationships/hyperlink" Target="http://www.casale-falchini.it/" TargetMode="External"/><Relationship Id="rId630" Type="http://schemas.openxmlformats.org/officeDocument/2006/relationships/hyperlink" Target="https://www.teradahonke.co.jp/en/" TargetMode="External"/><Relationship Id="rId672" Type="http://schemas.openxmlformats.org/officeDocument/2006/relationships/hyperlink" Target="http://www.chateau-cheval-blanc.com/" TargetMode="External"/><Relationship Id="rId728" Type="http://schemas.openxmlformats.org/officeDocument/2006/relationships/printerSettings" Target="../printerSettings/printerSettings2.bin"/><Relationship Id="rId22" Type="http://schemas.openxmlformats.org/officeDocument/2006/relationships/hyperlink" Target="http://www.gallery45.com.au/" TargetMode="External"/><Relationship Id="rId64" Type="http://schemas.openxmlformats.org/officeDocument/2006/relationships/hyperlink" Target="http://internationalbeerday.com/" TargetMode="External"/><Relationship Id="rId118" Type="http://schemas.openxmlformats.org/officeDocument/2006/relationships/hyperlink" Target="https://www.instagram.com/domainekirrenbourg/" TargetMode="External"/><Relationship Id="rId325" Type="http://schemas.openxmlformats.org/officeDocument/2006/relationships/hyperlink" Target="http://www.domainebessongivry.com/" TargetMode="External"/><Relationship Id="rId367" Type="http://schemas.openxmlformats.org/officeDocument/2006/relationships/hyperlink" Target="http://www.familleperrin.com/" TargetMode="External"/><Relationship Id="rId532" Type="http://schemas.openxmlformats.org/officeDocument/2006/relationships/hyperlink" Target="http://www.cellersunio.com/" TargetMode="External"/><Relationship Id="rId574" Type="http://schemas.openxmlformats.org/officeDocument/2006/relationships/hyperlink" Target="https://www.vdp.de/de/" TargetMode="External"/><Relationship Id="rId171" Type="http://schemas.openxmlformats.org/officeDocument/2006/relationships/hyperlink" Target="http://www.chateau-guibeau.com/" TargetMode="External"/><Relationship Id="rId227" Type="http://schemas.openxmlformats.org/officeDocument/2006/relationships/hyperlink" Target="https://www.chateaucoutet.com/" TargetMode="External"/><Relationship Id="rId269" Type="http://schemas.openxmlformats.org/officeDocument/2006/relationships/hyperlink" Target="https://www.youtube.com/watch?v=MWiVlIFj_r0" TargetMode="External"/><Relationship Id="rId434" Type="http://schemas.openxmlformats.org/officeDocument/2006/relationships/hyperlink" Target="https://www.fivi.it/" TargetMode="External"/><Relationship Id="rId476" Type="http://schemas.openxmlformats.org/officeDocument/2006/relationships/hyperlink" Target="http://www.instagram.com/ggorelliwine/" TargetMode="External"/><Relationship Id="rId641" Type="http://schemas.openxmlformats.org/officeDocument/2006/relationships/hyperlink" Target="http://www.fonseca.pt/" TargetMode="External"/><Relationship Id="rId683" Type="http://schemas.openxmlformats.org/officeDocument/2006/relationships/hyperlink" Target="https://terravitis.com/" TargetMode="External"/><Relationship Id="rId33" Type="http://schemas.openxmlformats.org/officeDocument/2006/relationships/hyperlink" Target="https://www.instagram.com/charlespalmervineyards" TargetMode="External"/><Relationship Id="rId129" Type="http://schemas.openxmlformats.org/officeDocument/2006/relationships/hyperlink" Target="http://www.vieuxchateaucertan.com/" TargetMode="External"/><Relationship Id="rId280" Type="http://schemas.openxmlformats.org/officeDocument/2006/relationships/hyperlink" Target="https://www.facebook.com/domaine.molin/" TargetMode="External"/><Relationship Id="rId336" Type="http://schemas.openxmlformats.org/officeDocument/2006/relationships/hyperlink" Target="https://saumaize-michelin.com/index.php/en/presentation-en/" TargetMode="External"/><Relationship Id="rId501" Type="http://schemas.openxmlformats.org/officeDocument/2006/relationships/hyperlink" Target="http://www.youtube.com/watch?reload=9&amp;v=nBLQRbUDSsg" TargetMode="External"/><Relationship Id="rId543" Type="http://schemas.openxmlformats.org/officeDocument/2006/relationships/hyperlink" Target="https://www.bagafriends.com/" TargetMode="External"/><Relationship Id="rId75" Type="http://schemas.openxmlformats.org/officeDocument/2006/relationships/hyperlink" Target="https://wfto.com/" TargetMode="External"/><Relationship Id="rId140" Type="http://schemas.openxmlformats.org/officeDocument/2006/relationships/hyperlink" Target="https://www.domaines-maletroquefort.com/fr" TargetMode="External"/><Relationship Id="rId182" Type="http://schemas.openxmlformats.org/officeDocument/2006/relationships/hyperlink" Target="https://fr-fr.facebook.com/ChateauGrandBireau/" TargetMode="External"/><Relationship Id="rId378" Type="http://schemas.openxmlformats.org/officeDocument/2006/relationships/hyperlink" Target="https://www.domaine-villeneuve.com/" TargetMode="External"/><Relationship Id="rId403" Type="http://schemas.openxmlformats.org/officeDocument/2006/relationships/hyperlink" Target="https://marcarini.it/" TargetMode="External"/><Relationship Id="rId585" Type="http://schemas.openxmlformats.org/officeDocument/2006/relationships/hyperlink" Target="http://www.leitz-wein.de/" TargetMode="External"/><Relationship Id="rId6" Type="http://schemas.openxmlformats.org/officeDocument/2006/relationships/hyperlink" Target="http://illdrinktothatpod.com/" TargetMode="External"/><Relationship Id="rId238" Type="http://schemas.openxmlformats.org/officeDocument/2006/relationships/hyperlink" Target="https://chablis-boudin-vins.fr/" TargetMode="External"/><Relationship Id="rId445" Type="http://schemas.openxmlformats.org/officeDocument/2006/relationships/hyperlink" Target="https://www.ilbardolino.com/" TargetMode="External"/><Relationship Id="rId487" Type="http://schemas.openxmlformats.org/officeDocument/2006/relationships/hyperlink" Target="http://www.dalesiovini.it/" TargetMode="External"/><Relationship Id="rId610" Type="http://schemas.openxmlformats.org/officeDocument/2006/relationships/hyperlink" Target="https://powellandson.com/" TargetMode="External"/><Relationship Id="rId652" Type="http://schemas.openxmlformats.org/officeDocument/2006/relationships/hyperlink" Target="http://www.distillerie-miclo.com/" TargetMode="External"/><Relationship Id="rId694" Type="http://schemas.openxmlformats.org/officeDocument/2006/relationships/hyperlink" Target="http://www.chasse-spleen.com/" TargetMode="External"/><Relationship Id="rId708" Type="http://schemas.openxmlformats.org/officeDocument/2006/relationships/hyperlink" Target="https://www.youtube.com/watch?v=aeCyKctt3kE" TargetMode="External"/><Relationship Id="rId291" Type="http://schemas.openxmlformats.org/officeDocument/2006/relationships/hyperlink" Target="https://www.instagram.com/francoisdenicolay/" TargetMode="External"/><Relationship Id="rId305" Type="http://schemas.openxmlformats.org/officeDocument/2006/relationships/hyperlink" Target="https://renaissance-des-appellations.com/" TargetMode="External"/><Relationship Id="rId347" Type="http://schemas.openxmlformats.org/officeDocument/2006/relationships/hyperlink" Target="https://renaissance-des-appellations.com/" TargetMode="External"/><Relationship Id="rId512" Type="http://schemas.openxmlformats.org/officeDocument/2006/relationships/hyperlink" Target="https://www.calabretta.net/" TargetMode="External"/><Relationship Id="rId44" Type="http://schemas.openxmlformats.org/officeDocument/2006/relationships/hyperlink" Target="http://www.rawfair.com/" TargetMode="External"/><Relationship Id="rId86" Type="http://schemas.openxmlformats.org/officeDocument/2006/relationships/hyperlink" Target="https://www.cbd.int/" TargetMode="External"/><Relationship Id="rId151" Type="http://schemas.openxmlformats.org/officeDocument/2006/relationships/hyperlink" Target="http://www.pavie-macquin.com/" TargetMode="External"/><Relationship Id="rId389" Type="http://schemas.openxmlformats.org/officeDocument/2006/relationships/hyperlink" Target="https://www.bosiofamilyestates.it/it/" TargetMode="External"/><Relationship Id="rId554" Type="http://schemas.openxmlformats.org/officeDocument/2006/relationships/hyperlink" Target="http://www.nikolaihof.at/" TargetMode="External"/><Relationship Id="rId596" Type="http://schemas.openxmlformats.org/officeDocument/2006/relationships/hyperlink" Target="https://www.revinobottles.com/" TargetMode="External"/><Relationship Id="rId193" Type="http://schemas.openxmlformats.org/officeDocument/2006/relationships/hyperlink" Target="https://www.domaineclarencedillon.com/" TargetMode="External"/><Relationship Id="rId207" Type="http://schemas.openxmlformats.org/officeDocument/2006/relationships/hyperlink" Target="https://domaines-delon.com/" TargetMode="External"/><Relationship Id="rId249" Type="http://schemas.openxmlformats.org/officeDocument/2006/relationships/hyperlink" Target="https://www.biodyvin.com/" TargetMode="External"/><Relationship Id="rId414" Type="http://schemas.openxmlformats.org/officeDocument/2006/relationships/hyperlink" Target="http://www.ceciliamonte.it/" TargetMode="External"/><Relationship Id="rId456" Type="http://schemas.openxmlformats.org/officeDocument/2006/relationships/hyperlink" Target="http://www.viniveri.net/" TargetMode="External"/><Relationship Id="rId498" Type="http://schemas.openxmlformats.org/officeDocument/2006/relationships/hyperlink" Target="https://grapecollective.com/articles/the-soulful-wines-of-bruno-de-conciliis" TargetMode="External"/><Relationship Id="rId621" Type="http://schemas.openxmlformats.org/officeDocument/2006/relationships/hyperlink" Target="http://www.heiwashuzou.co.jp/" TargetMode="External"/><Relationship Id="rId663" Type="http://schemas.openxmlformats.org/officeDocument/2006/relationships/hyperlink" Target="https://www.jj-archambaud.fr/" TargetMode="External"/><Relationship Id="rId13" Type="http://schemas.openxmlformats.org/officeDocument/2006/relationships/hyperlink" Target="http://www.charlespalmer-vineyards.co.uk/" TargetMode="External"/><Relationship Id="rId109" Type="http://schemas.openxmlformats.org/officeDocument/2006/relationships/hyperlink" Target="https://www.facebook.com/champagneDavidLeclapart/" TargetMode="External"/><Relationship Id="rId260" Type="http://schemas.openxmlformats.org/officeDocument/2006/relationships/hyperlink" Target="https://www.gouges.com/en/welcome-3/" TargetMode="External"/><Relationship Id="rId316" Type="http://schemas.openxmlformats.org/officeDocument/2006/relationships/hyperlink" Target="http://www.henri-prudhon.fr/" TargetMode="External"/><Relationship Id="rId523" Type="http://schemas.openxmlformats.org/officeDocument/2006/relationships/hyperlink" Target="http://www.dominioberzal.com/" TargetMode="External"/><Relationship Id="rId719" Type="http://schemas.openxmlformats.org/officeDocument/2006/relationships/hyperlink" Target="mailto:liam@raeburnfinewines.com" TargetMode="External"/><Relationship Id="rId55" Type="http://schemas.openxmlformats.org/officeDocument/2006/relationships/hyperlink" Target="http://www.bourgogne-wines.com/" TargetMode="External"/><Relationship Id="rId97" Type="http://schemas.openxmlformats.org/officeDocument/2006/relationships/hyperlink" Target="https://www.instagram.com/champagne_augustin/" TargetMode="External"/><Relationship Id="rId120" Type="http://schemas.openxmlformats.org/officeDocument/2006/relationships/hyperlink" Target="https://www.jbaudy.fr/fr" TargetMode="External"/><Relationship Id="rId358" Type="http://schemas.openxmlformats.org/officeDocument/2006/relationships/hyperlink" Target="https://www.instagram.com/jeanlouischave/" TargetMode="External"/><Relationship Id="rId565" Type="http://schemas.openxmlformats.org/officeDocument/2006/relationships/hyperlink" Target="https://www.instagram.com/carlloewen/" TargetMode="External"/><Relationship Id="rId162" Type="http://schemas.openxmlformats.org/officeDocument/2006/relationships/hyperlink" Target="https://www.trottevieille.com/" TargetMode="External"/><Relationship Id="rId218" Type="http://schemas.openxmlformats.org/officeDocument/2006/relationships/hyperlink" Target="http://www.meyney.fr/" TargetMode="External"/><Relationship Id="rId425" Type="http://schemas.openxmlformats.org/officeDocument/2006/relationships/hyperlink" Target="http://www.youtube.com/watch?v=U8I5A7FmD9E" TargetMode="External"/><Relationship Id="rId467" Type="http://schemas.openxmlformats.org/officeDocument/2006/relationships/hyperlink" Target="http://www.fattoriamontellori.it/" TargetMode="External"/><Relationship Id="rId632" Type="http://schemas.openxmlformats.org/officeDocument/2006/relationships/hyperlink" Target="http://www.kidoizumi.jp/" TargetMode="External"/><Relationship Id="rId271" Type="http://schemas.openxmlformats.org/officeDocument/2006/relationships/hyperlink" Target="https://www.instagram.com/domainehubertlignier/" TargetMode="External"/><Relationship Id="rId674" Type="http://schemas.openxmlformats.org/officeDocument/2006/relationships/hyperlink" Target="https://www.fonplegade.com/" TargetMode="External"/><Relationship Id="rId24" Type="http://schemas.openxmlformats.org/officeDocument/2006/relationships/hyperlink" Target="http://www.tillaillustration.com/" TargetMode="External"/><Relationship Id="rId66" Type="http://schemas.openxmlformats.org/officeDocument/2006/relationships/hyperlink" Target="http://www.un.org/" TargetMode="External"/><Relationship Id="rId131" Type="http://schemas.openxmlformats.org/officeDocument/2006/relationships/hyperlink" Target="https://www.angelus.com/" TargetMode="External"/><Relationship Id="rId327" Type="http://schemas.openxmlformats.org/officeDocument/2006/relationships/hyperlink" Target="https://terravitis.com/" TargetMode="External"/><Relationship Id="rId369" Type="http://schemas.openxmlformats.org/officeDocument/2006/relationships/hyperlink" Target="http://www.familleperrin.com/" TargetMode="External"/><Relationship Id="rId534" Type="http://schemas.openxmlformats.org/officeDocument/2006/relationships/hyperlink" Target="https://www.coopgandesa.com/" TargetMode="External"/><Relationship Id="rId576" Type="http://schemas.openxmlformats.org/officeDocument/2006/relationships/hyperlink" Target="https://www.vdp.de/de/" TargetMode="External"/><Relationship Id="rId173" Type="http://schemas.openxmlformats.org/officeDocument/2006/relationships/hyperlink" Target="http://www.neipperg.com/" TargetMode="External"/><Relationship Id="rId229" Type="http://schemas.openxmlformats.org/officeDocument/2006/relationships/hyperlink" Target="https://www.chateauguiraud.com/fr/" TargetMode="External"/><Relationship Id="rId380" Type="http://schemas.openxmlformats.org/officeDocument/2006/relationships/hyperlink" Target="http://www.clotdelorigine.com/" TargetMode="External"/><Relationship Id="rId436" Type="http://schemas.openxmlformats.org/officeDocument/2006/relationships/hyperlink" Target="https://marionvini.it/" TargetMode="External"/><Relationship Id="rId601" Type="http://schemas.openxmlformats.org/officeDocument/2006/relationships/hyperlink" Target="http://www.kidnappercliffs.com/" TargetMode="External"/><Relationship Id="rId643" Type="http://schemas.openxmlformats.org/officeDocument/2006/relationships/hyperlink" Target="http://www.fladgatepartnership.com/" TargetMode="External"/><Relationship Id="rId240" Type="http://schemas.openxmlformats.org/officeDocument/2006/relationships/hyperlink" Target="https://www.instagram.com/domainedechantemerle/" TargetMode="External"/><Relationship Id="rId478" Type="http://schemas.openxmlformats.org/officeDocument/2006/relationships/hyperlink" Target="https://lisini.com/" TargetMode="External"/><Relationship Id="rId685" Type="http://schemas.openxmlformats.org/officeDocument/2006/relationships/hyperlink" Target="https://www.gc-lurton-estates.com/fr/chateau-durfort-vivens.html" TargetMode="External"/><Relationship Id="rId35" Type="http://schemas.openxmlformats.org/officeDocument/2006/relationships/hyperlink" Target="http://www.gallery45.com.au/" TargetMode="External"/><Relationship Id="rId77" Type="http://schemas.openxmlformats.org/officeDocument/2006/relationships/hyperlink" Target="http://www.facebook.com/WorldBiodynamicDay/" TargetMode="External"/><Relationship Id="rId100" Type="http://schemas.openxmlformats.org/officeDocument/2006/relationships/hyperlink" Target="http://www.champagne-dehu.com/" TargetMode="External"/><Relationship Id="rId282" Type="http://schemas.openxmlformats.org/officeDocument/2006/relationships/hyperlink" Target="http://www.domaine-ceciletremblay.fr/" TargetMode="External"/><Relationship Id="rId338" Type="http://schemas.openxmlformats.org/officeDocument/2006/relationships/hyperlink" Target="https://domainedelagrandcour.fr/" TargetMode="External"/><Relationship Id="rId503" Type="http://schemas.openxmlformats.org/officeDocument/2006/relationships/hyperlink" Target="http://www.fivi.it/" TargetMode="External"/><Relationship Id="rId545" Type="http://schemas.openxmlformats.org/officeDocument/2006/relationships/hyperlink" Target="https://palacehoteldobussaco.com/" TargetMode="External"/><Relationship Id="rId587" Type="http://schemas.openxmlformats.org/officeDocument/2006/relationships/hyperlink" Target="http://www.chateaumusar.com.lb/" TargetMode="External"/><Relationship Id="rId710" Type="http://schemas.openxmlformats.org/officeDocument/2006/relationships/hyperlink" Target="http://www.pontet-canet.com/" TargetMode="External"/><Relationship Id="rId8" Type="http://schemas.openxmlformats.org/officeDocument/2006/relationships/hyperlink" Target="http://www.jamessuckling.com/" TargetMode="External"/><Relationship Id="rId142" Type="http://schemas.openxmlformats.org/officeDocument/2006/relationships/hyperlink" Target="https://www.domaines-maletroquefort.com/fr" TargetMode="External"/><Relationship Id="rId184" Type="http://schemas.openxmlformats.org/officeDocument/2006/relationships/hyperlink" Target="http://www.chateau-bouscaut.com/" TargetMode="External"/><Relationship Id="rId391" Type="http://schemas.openxmlformats.org/officeDocument/2006/relationships/hyperlink" Target="https://www.bosiofamilyestates.it/it/" TargetMode="External"/><Relationship Id="rId405" Type="http://schemas.openxmlformats.org/officeDocument/2006/relationships/hyperlink" Target="https://www.orestestefano.it/" TargetMode="External"/><Relationship Id="rId447" Type="http://schemas.openxmlformats.org/officeDocument/2006/relationships/hyperlink" Target="http://www.meggiolarovini.it/" TargetMode="External"/><Relationship Id="rId612" Type="http://schemas.openxmlformats.org/officeDocument/2006/relationships/hyperlink" Target="http://www.chamonix.co.za/" TargetMode="External"/><Relationship Id="rId251" Type="http://schemas.openxmlformats.org/officeDocument/2006/relationships/hyperlink" Target="http://www.domaineboigey.fr/" TargetMode="External"/><Relationship Id="rId489" Type="http://schemas.openxmlformats.org/officeDocument/2006/relationships/hyperlink" Target="https://www.vinipraesidium.it/" TargetMode="External"/><Relationship Id="rId654" Type="http://schemas.openxmlformats.org/officeDocument/2006/relationships/hyperlink" Target="http://www.distilleriacarlogobetti.it/" TargetMode="External"/><Relationship Id="rId696" Type="http://schemas.openxmlformats.org/officeDocument/2006/relationships/hyperlink" Target="https://chateau-lagrange.com/" TargetMode="External"/><Relationship Id="rId46" Type="http://schemas.openxmlformats.org/officeDocument/2006/relationships/hyperlink" Target="http://www.vinsvaldeloire.fr/" TargetMode="External"/><Relationship Id="rId293" Type="http://schemas.openxmlformats.org/officeDocument/2006/relationships/hyperlink" Target="https://www.facebook.com/domaineclerget/" TargetMode="External"/><Relationship Id="rId307" Type="http://schemas.openxmlformats.org/officeDocument/2006/relationships/hyperlink" Target="https://www.facebook.com/lesaligoteurs/" TargetMode="External"/><Relationship Id="rId349" Type="http://schemas.openxmlformats.org/officeDocument/2006/relationships/hyperlink" Target="http://www.sancerre-bizet.com/" TargetMode="External"/><Relationship Id="rId514" Type="http://schemas.openxmlformats.org/officeDocument/2006/relationships/hyperlink" Target="https://www.frankcornelissen.it/" TargetMode="External"/><Relationship Id="rId556" Type="http://schemas.openxmlformats.org/officeDocument/2006/relationships/hyperlink" Target="https://fx-pichler.at/en/news_/" TargetMode="External"/><Relationship Id="rId721" Type="http://schemas.openxmlformats.org/officeDocument/2006/relationships/hyperlink" Target="mailto:sales@raeburnfinewines.com" TargetMode="External"/><Relationship Id="rId88" Type="http://schemas.openxmlformats.org/officeDocument/2006/relationships/hyperlink" Target="http://www.instagram.com/peterdoig/" TargetMode="External"/><Relationship Id="rId111" Type="http://schemas.openxmlformats.org/officeDocument/2006/relationships/hyperlink" Target="https://www.facebook.com/Champagne-Lilbert-Fils-794609597280948/" TargetMode="External"/><Relationship Id="rId153" Type="http://schemas.openxmlformats.org/officeDocument/2006/relationships/hyperlink" Target="http://www.chateau-peby-faugeres.com/" TargetMode="External"/><Relationship Id="rId195" Type="http://schemas.openxmlformats.org/officeDocument/2006/relationships/hyperlink" Target="https://www.domaineclarencedillon.com/" TargetMode="External"/><Relationship Id="rId209" Type="http://schemas.openxmlformats.org/officeDocument/2006/relationships/hyperlink" Target="https://www.domaines-henri-martin.com/" TargetMode="External"/><Relationship Id="rId360" Type="http://schemas.openxmlformats.org/officeDocument/2006/relationships/hyperlink" Target="http://www.domainemarsanne.com/" TargetMode="External"/><Relationship Id="rId416" Type="http://schemas.openxmlformats.org/officeDocument/2006/relationships/hyperlink" Target="https://www.fivi.it/" TargetMode="External"/><Relationship Id="rId598" Type="http://schemas.openxmlformats.org/officeDocument/2006/relationships/hyperlink" Target="https://www.matura.net/" TargetMode="External"/><Relationship Id="rId220" Type="http://schemas.openxmlformats.org/officeDocument/2006/relationships/hyperlink" Target="https://chateaudepez.com/" TargetMode="External"/><Relationship Id="rId458" Type="http://schemas.openxmlformats.org/officeDocument/2006/relationships/hyperlink" Target="https://www.instagram.com/vignaidaduline/" TargetMode="External"/><Relationship Id="rId623" Type="http://schemas.openxmlformats.org/officeDocument/2006/relationships/hyperlink" Target="https://www.teradahonke.co.jp/en/" TargetMode="External"/><Relationship Id="rId665" Type="http://schemas.openxmlformats.org/officeDocument/2006/relationships/hyperlink" Target="http://www.fivi.it/" TargetMode="External"/><Relationship Id="rId15" Type="http://schemas.openxmlformats.org/officeDocument/2006/relationships/hyperlink" Target="http://www.vinous.com/" TargetMode="External"/><Relationship Id="rId57" Type="http://schemas.openxmlformats.org/officeDocument/2006/relationships/hyperlink" Target="http://www.un.org/" TargetMode="External"/><Relationship Id="rId262" Type="http://schemas.openxmlformats.org/officeDocument/2006/relationships/hyperlink" Target="https://jeanpierreguyon.com/contact/" TargetMode="External"/><Relationship Id="rId318" Type="http://schemas.openxmlformats.org/officeDocument/2006/relationships/hyperlink" Target="https://terravitis.com/" TargetMode="External"/><Relationship Id="rId525" Type="http://schemas.openxmlformats.org/officeDocument/2006/relationships/hyperlink" Target="https://www.bodega-torresanmillan.com/" TargetMode="External"/><Relationship Id="rId567" Type="http://schemas.openxmlformats.org/officeDocument/2006/relationships/hyperlink" Target="http://www.thegreenexperience.it/" TargetMode="External"/><Relationship Id="rId99" Type="http://schemas.openxmlformats.org/officeDocument/2006/relationships/hyperlink" Target="https://www.instagram.com/champagnehbilliot_/" TargetMode="External"/><Relationship Id="rId122" Type="http://schemas.openxmlformats.org/officeDocument/2006/relationships/hyperlink" Target="https://www.denis-durantou.com/" TargetMode="External"/><Relationship Id="rId164" Type="http://schemas.openxmlformats.org/officeDocument/2006/relationships/hyperlink" Target="http://www.roc-de-cambes.com/" TargetMode="External"/><Relationship Id="rId371" Type="http://schemas.openxmlformats.org/officeDocument/2006/relationships/hyperlink" Target="https://www.domaine-mordoree.com/" TargetMode="External"/><Relationship Id="rId427" Type="http://schemas.openxmlformats.org/officeDocument/2006/relationships/hyperlink" Target="http://www.facebook.com/BARBACAN.sa/" TargetMode="External"/><Relationship Id="rId469" Type="http://schemas.openxmlformats.org/officeDocument/2006/relationships/hyperlink" Target="https://www.ilvallonedicecione.it/" TargetMode="External"/><Relationship Id="rId634" Type="http://schemas.openxmlformats.org/officeDocument/2006/relationships/hyperlink" Target="http://www.tsuru-ume.com/" TargetMode="External"/><Relationship Id="rId676" Type="http://schemas.openxmlformats.org/officeDocument/2006/relationships/hyperlink" Target="https://www.jacksonfamilywines.com/" TargetMode="External"/><Relationship Id="rId26" Type="http://schemas.openxmlformats.org/officeDocument/2006/relationships/hyperlink" Target="http://www.tillaillustration.com/" TargetMode="External"/><Relationship Id="rId231" Type="http://schemas.openxmlformats.org/officeDocument/2006/relationships/hyperlink" Target="https://www.raynevigneau.fr/" TargetMode="External"/><Relationship Id="rId273" Type="http://schemas.openxmlformats.org/officeDocument/2006/relationships/hyperlink" Target="https://www.facebook.com/lesaligoteurs/" TargetMode="External"/><Relationship Id="rId329" Type="http://schemas.openxmlformats.org/officeDocument/2006/relationships/hyperlink" Target="https://www.facebook.com/domainemichelbriday/" TargetMode="External"/><Relationship Id="rId480" Type="http://schemas.openxmlformats.org/officeDocument/2006/relationships/hyperlink" Target="https://www.sanguineto.com/en/home-2/" TargetMode="External"/><Relationship Id="rId536" Type="http://schemas.openxmlformats.org/officeDocument/2006/relationships/hyperlink" Target="http://www.bodegashispanosuizas.com/" TargetMode="External"/><Relationship Id="rId701" Type="http://schemas.openxmlformats.org/officeDocument/2006/relationships/hyperlink" Target="https://www.bpdr.com/" TargetMode="External"/><Relationship Id="rId68" Type="http://schemas.openxmlformats.org/officeDocument/2006/relationships/hyperlink" Target="http://www.un.org/" TargetMode="External"/><Relationship Id="rId133" Type="http://schemas.openxmlformats.org/officeDocument/2006/relationships/hyperlink" Target="http://www.beausejour-becot.com/" TargetMode="External"/><Relationship Id="rId175" Type="http://schemas.openxmlformats.org/officeDocument/2006/relationships/hyperlink" Target="http://www.facebook.com/closlouie/" TargetMode="External"/><Relationship Id="rId340" Type="http://schemas.openxmlformats.org/officeDocument/2006/relationships/hyperlink" Target="http://www.lagrangecochard.com/" TargetMode="External"/><Relationship Id="rId578" Type="http://schemas.openxmlformats.org/officeDocument/2006/relationships/hyperlink" Target="https://selbach-oster.de/" TargetMode="External"/><Relationship Id="rId200" Type="http://schemas.openxmlformats.org/officeDocument/2006/relationships/hyperlink" Target="https://giscours.com/" TargetMode="External"/><Relationship Id="rId382" Type="http://schemas.openxmlformats.org/officeDocument/2006/relationships/hyperlink" Target="http://www.instagram.com/masalezon/" TargetMode="External"/><Relationship Id="rId438" Type="http://schemas.openxmlformats.org/officeDocument/2006/relationships/hyperlink" Target="https://marionvini.it/" TargetMode="External"/><Relationship Id="rId603" Type="http://schemas.openxmlformats.org/officeDocument/2006/relationships/hyperlink" Target="http://www.feltonroad.co.nz/" TargetMode="External"/><Relationship Id="rId645" Type="http://schemas.openxmlformats.org/officeDocument/2006/relationships/hyperlink" Target="http://bodegasjuanpinero.com/en/contacto/" TargetMode="External"/><Relationship Id="rId687" Type="http://schemas.openxmlformats.org/officeDocument/2006/relationships/hyperlink" Target="http://www.biodyvin.com/" TargetMode="External"/><Relationship Id="rId242" Type="http://schemas.openxmlformats.org/officeDocument/2006/relationships/hyperlink" Target="https://www.instagram.com/domainedechaudeecuelle/" TargetMode="External"/><Relationship Id="rId284" Type="http://schemas.openxmlformats.org/officeDocument/2006/relationships/hyperlink" Target="https://www.boissetcollection.com/" TargetMode="External"/><Relationship Id="rId491" Type="http://schemas.openxmlformats.org/officeDocument/2006/relationships/hyperlink" Target="https://www.frascati-wine.it/" TargetMode="External"/><Relationship Id="rId505" Type="http://schemas.openxmlformats.org/officeDocument/2006/relationships/hyperlink" Target="http://www.fivi.it/" TargetMode="External"/><Relationship Id="rId712" Type="http://schemas.openxmlformats.org/officeDocument/2006/relationships/hyperlink" Target="http://www.calon-segur.fr/" TargetMode="External"/><Relationship Id="rId37" Type="http://schemas.openxmlformats.org/officeDocument/2006/relationships/hyperlink" Target="http://www.cornershopdesign.com.au/" TargetMode="External"/><Relationship Id="rId79" Type="http://schemas.openxmlformats.org/officeDocument/2006/relationships/hyperlink" Target="http://www.malbecworldday.com/" TargetMode="External"/><Relationship Id="rId102" Type="http://schemas.openxmlformats.org/officeDocument/2006/relationships/hyperlink" Target="https://www.facebook.com/champagne.dehu/" TargetMode="External"/><Relationship Id="rId144" Type="http://schemas.openxmlformats.org/officeDocument/2006/relationships/hyperlink" Target="http://www.jacquesthienpont.com/" TargetMode="External"/><Relationship Id="rId547" Type="http://schemas.openxmlformats.org/officeDocument/2006/relationships/hyperlink" Target="http://www.niepoort.pt/" TargetMode="External"/><Relationship Id="rId589" Type="http://schemas.openxmlformats.org/officeDocument/2006/relationships/hyperlink" Target="https://dumol.com/" TargetMode="External"/><Relationship Id="rId90" Type="http://schemas.openxmlformats.org/officeDocument/2006/relationships/hyperlink" Target="http://www.67pallmall.tv/asset/46c6ac43-fcf6-4ce1-b341-89a6049ecf85_6E8252c" TargetMode="External"/><Relationship Id="rId186" Type="http://schemas.openxmlformats.org/officeDocument/2006/relationships/hyperlink" Target="https://www.les-carmes-haut-brion.com/fr" TargetMode="External"/><Relationship Id="rId351" Type="http://schemas.openxmlformats.org/officeDocument/2006/relationships/hyperlink" Target="http://www.sancerre-noel.com/" TargetMode="External"/><Relationship Id="rId393" Type="http://schemas.openxmlformats.org/officeDocument/2006/relationships/hyperlink" Target="https://www.youtube.com/watch?v=FpMSXmUDlko" TargetMode="External"/><Relationship Id="rId407" Type="http://schemas.openxmlformats.org/officeDocument/2006/relationships/hyperlink" Target="http://www.viniveri.net/" TargetMode="External"/><Relationship Id="rId449" Type="http://schemas.openxmlformats.org/officeDocument/2006/relationships/hyperlink" Target="http://www.fivi.it/" TargetMode="External"/><Relationship Id="rId614" Type="http://schemas.openxmlformats.org/officeDocument/2006/relationships/hyperlink" Target="http://www.warwickwine.com/" TargetMode="External"/><Relationship Id="rId656" Type="http://schemas.openxmlformats.org/officeDocument/2006/relationships/hyperlink" Target="https://www.overbergrenosterveld.org.za/" TargetMode="External"/><Relationship Id="rId211" Type="http://schemas.openxmlformats.org/officeDocument/2006/relationships/hyperlink" Target="https://www.leoville-poyferre.fr/" TargetMode="External"/><Relationship Id="rId253" Type="http://schemas.openxmlformats.org/officeDocument/2006/relationships/hyperlink" Target="https://www.instagram.com/domainelouisboillotetfils/" TargetMode="External"/><Relationship Id="rId295" Type="http://schemas.openxmlformats.org/officeDocument/2006/relationships/hyperlink" Target="http://www.marc-colin.com/" TargetMode="External"/><Relationship Id="rId309" Type="http://schemas.openxmlformats.org/officeDocument/2006/relationships/hyperlink" Target="https://www.instagram.com/marchand_tawse/" TargetMode="External"/><Relationship Id="rId460" Type="http://schemas.openxmlformats.org/officeDocument/2006/relationships/hyperlink" Target="https://vimeo.com/53747416?turnstile=0.un-KTLLaKVKI5sH7c7VxHa-oEMvk93DVuKU2p-xGm01S0499WxRDLBrDoK1FQbymYcR8GXmTH1Ev47nGvUHFLHo2oY1J3Q7a3GJVqKzGCNxznl7eSkUsc5kDiWtKJyGLE68AHa1ONoMJBoGRhWrS-tAtO1S5uheNX1UFcUjmc4avb8QX09v_7hCDE7nkRNsVvqWHFnQrtIHj5QpJ_fX-Rx2j1sxeE0OCWN6_gGbt3tLsEnF0o3X65B7MV_t3Wn60dtfbZoGlduEu7X4e1Mw2zQRN684eWwHSoKGEw8Enl0xX0n9R3or10xGEpXU4ygF_KdPQ6fMy8D1ufxBtinC8-AwjhQO-2tslVwT0-9SGFQZNMt6qe_RpcWckvEp6icC9o5-W5YfBsvBzemPfp7e7w2lSdYfUbc0xLsolG88cjI4GOhYAwjcDRAgOJ2TPY6VbYMmZ8iHVz4oH9EVyq6akh13o1KZzLRPmH5smHUC26vR94v-lIQxzFQ-gajjwxBVFsObuHnUuGkzJ9Qgax6zwbP0qur4r50TXWZSW8YEGriCdJ9XLG8yGkvLwdVwgWAJg4wmQvKQkqzU1kZgZ3BCSWPPeFGMlfaPKARTdDYLCULrbzmElULm_7O6Xs6SdQgbe3-OIJdFYkeDIA54OLyQgb_KK2KWS1sdDh2avX8SmqiSmB1Mnyb5VpIlFB68XePINwb1XiHePWYjYDl2Ismt2tonYdya-kNZ6mJqMqtOb2gK6749ff3YiFUdEwuYsU3rJalFmtYd9RWDfyrcl9bHVyKQ1X8oIeVvBtRhNVbhkMlJN3x_qEXcGeY0ZPRLSiRixCwl92BMyPH2hITJcLbv822sF-pm5rXtjhFLiFq-RNuY.2wMWXpqZuNpNU_HJZIXNHA.2f244137db54b7fa2d675e75c229070e04170e0cbe6b9e60d746a09d22378b68" TargetMode="External"/><Relationship Id="rId516" Type="http://schemas.openxmlformats.org/officeDocument/2006/relationships/hyperlink" Target="http://www.ivigneri.it/" TargetMode="External"/><Relationship Id="rId698" Type="http://schemas.openxmlformats.org/officeDocument/2006/relationships/hyperlink" Target="https://domaines-delon.com/" TargetMode="External"/><Relationship Id="rId48" Type="http://schemas.openxmlformats.org/officeDocument/2006/relationships/hyperlink" Target="http://www.vignobles-occitanie.fr/" TargetMode="External"/><Relationship Id="rId113" Type="http://schemas.openxmlformats.org/officeDocument/2006/relationships/hyperlink" Target="http://www.lanson.com/" TargetMode="External"/><Relationship Id="rId320" Type="http://schemas.openxmlformats.org/officeDocument/2006/relationships/hyperlink" Target="http://www.domaine-serrigny.fr/" TargetMode="External"/><Relationship Id="rId558" Type="http://schemas.openxmlformats.org/officeDocument/2006/relationships/hyperlink" Target="http://www.bruendlmayer.at/" TargetMode="External"/><Relationship Id="rId723" Type="http://schemas.openxmlformats.org/officeDocument/2006/relationships/hyperlink" Target="mailto:murray@raeburnfinewines.com" TargetMode="External"/><Relationship Id="rId155" Type="http://schemas.openxmlformats.org/officeDocument/2006/relationships/hyperlink" Target="https://www.chateau-quintus.com/" TargetMode="External"/><Relationship Id="rId197" Type="http://schemas.openxmlformats.org/officeDocument/2006/relationships/hyperlink" Target="https://terravitis.com/" TargetMode="External"/><Relationship Id="rId362" Type="http://schemas.openxmlformats.org/officeDocument/2006/relationships/hyperlink" Target="https://www.facebook.com/StephaneOgier01/" TargetMode="External"/><Relationship Id="rId418" Type="http://schemas.openxmlformats.org/officeDocument/2006/relationships/hyperlink" Target="https://www.socre.it/en/" TargetMode="External"/><Relationship Id="rId625" Type="http://schemas.openxmlformats.org/officeDocument/2006/relationships/hyperlink" Target="https://www.teradahonke.co.jp/en/" TargetMode="External"/><Relationship Id="rId222" Type="http://schemas.openxmlformats.org/officeDocument/2006/relationships/hyperlink" Target="http://www.clos-manou.com/" TargetMode="External"/><Relationship Id="rId264" Type="http://schemas.openxmlformats.org/officeDocument/2006/relationships/hyperlink" Target="https://www.lambrays.com/" TargetMode="External"/><Relationship Id="rId471" Type="http://schemas.openxmlformats.org/officeDocument/2006/relationships/hyperlink" Target="https://www.baricci.it/" TargetMode="External"/><Relationship Id="rId667" Type="http://schemas.openxmlformats.org/officeDocument/2006/relationships/hyperlink" Target="https://www.kahiwi.com/" TargetMode="External"/><Relationship Id="rId17" Type="http://schemas.openxmlformats.org/officeDocument/2006/relationships/hyperlink" Target="http://www.warnockfinearts.com/" TargetMode="External"/><Relationship Id="rId59" Type="http://schemas.openxmlformats.org/officeDocument/2006/relationships/hyperlink" Target="https://www.beaujolaisnouveauday.com/" TargetMode="External"/><Relationship Id="rId124" Type="http://schemas.openxmlformats.org/officeDocument/2006/relationships/hyperlink" Target="http://www.moueix.com/" TargetMode="External"/><Relationship Id="rId527" Type="http://schemas.openxmlformats.org/officeDocument/2006/relationships/hyperlink" Target="http://www.niepoort.pt/" TargetMode="External"/><Relationship Id="rId569" Type="http://schemas.openxmlformats.org/officeDocument/2006/relationships/hyperlink" Target="https://weingut-fritz-haag.de/" TargetMode="External"/><Relationship Id="rId70" Type="http://schemas.openxmlformats.org/officeDocument/2006/relationships/hyperlink" Target="https://unworldoceansday.org/" TargetMode="External"/><Relationship Id="rId166" Type="http://schemas.openxmlformats.org/officeDocument/2006/relationships/hyperlink" Target="http://www.chateaulafleur.fr/" TargetMode="External"/><Relationship Id="rId331" Type="http://schemas.openxmlformats.org/officeDocument/2006/relationships/hyperlink" Target="http://domainedelechelette.com/" TargetMode="External"/><Relationship Id="rId373" Type="http://schemas.openxmlformats.org/officeDocument/2006/relationships/hyperlink" Target="http://www.vieux-telegraphe.fr/" TargetMode="External"/><Relationship Id="rId429" Type="http://schemas.openxmlformats.org/officeDocument/2006/relationships/hyperlink" Target="https://www.instagram.com/cantinamezzacane/" TargetMode="External"/><Relationship Id="rId580" Type="http://schemas.openxmlformats.org/officeDocument/2006/relationships/hyperlink" Target="https://www.naturland.de/de/" TargetMode="External"/><Relationship Id="rId636" Type="http://schemas.openxmlformats.org/officeDocument/2006/relationships/hyperlink" Target="http://www.tsuru-ume.com/" TargetMode="External"/><Relationship Id="rId1" Type="http://schemas.openxmlformats.org/officeDocument/2006/relationships/hyperlink" Target="http://www.vinnatur.org/" TargetMode="External"/><Relationship Id="rId233" Type="http://schemas.openxmlformats.org/officeDocument/2006/relationships/hyperlink" Target="https://www.suduiraut.com/" TargetMode="External"/><Relationship Id="rId440" Type="http://schemas.openxmlformats.org/officeDocument/2006/relationships/hyperlink" Target="http://www.dalfornoromano.it/" TargetMode="External"/><Relationship Id="rId678" Type="http://schemas.openxmlformats.org/officeDocument/2006/relationships/hyperlink" Target="https://www.smith-haut-lafitte.com/" TargetMode="External"/><Relationship Id="rId28" Type="http://schemas.openxmlformats.org/officeDocument/2006/relationships/hyperlink" Target="http://www.tillaillustration.com/" TargetMode="External"/><Relationship Id="rId275" Type="http://schemas.openxmlformats.org/officeDocument/2006/relationships/hyperlink" Target="https://www.marchand-tawse.com/en" TargetMode="External"/><Relationship Id="rId300" Type="http://schemas.openxmlformats.org/officeDocument/2006/relationships/hyperlink" Target="https://www.instagram.com/domainethierryglantenay/" TargetMode="External"/><Relationship Id="rId482" Type="http://schemas.openxmlformats.org/officeDocument/2006/relationships/hyperlink" Target="http://www.tenutalapiccola.it/" TargetMode="External"/><Relationship Id="rId538" Type="http://schemas.openxmlformats.org/officeDocument/2006/relationships/hyperlink" Target="https://quintadomontinho.pt/" TargetMode="External"/><Relationship Id="rId703" Type="http://schemas.openxmlformats.org/officeDocument/2006/relationships/hyperlink" Target="https://www.gc-lurton-estates.com/en/chateau-haut-bages-liberal.html" TargetMode="External"/><Relationship Id="rId81" Type="http://schemas.openxmlformats.org/officeDocument/2006/relationships/hyperlink" Target="http://www.un.org/" TargetMode="External"/><Relationship Id="rId135" Type="http://schemas.openxmlformats.org/officeDocument/2006/relationships/hyperlink" Target="https://www.belairmonange.com/" TargetMode="External"/><Relationship Id="rId177" Type="http://schemas.openxmlformats.org/officeDocument/2006/relationships/hyperlink" Target="http://www.beausejour-becot.com/" TargetMode="External"/><Relationship Id="rId342" Type="http://schemas.openxmlformats.org/officeDocument/2006/relationships/hyperlink" Target="https://www.instagram.com/domaine.pauljanin.etfils/" TargetMode="External"/><Relationship Id="rId384" Type="http://schemas.openxmlformats.org/officeDocument/2006/relationships/hyperlink" Target="http://ray-jane.fr/" TargetMode="External"/><Relationship Id="rId591" Type="http://schemas.openxmlformats.org/officeDocument/2006/relationships/hyperlink" Target="http://eiselevineyard.com/" TargetMode="External"/><Relationship Id="rId605" Type="http://schemas.openxmlformats.org/officeDocument/2006/relationships/hyperlink" Target="http://www.gapstedwines.com.au/" TargetMode="External"/><Relationship Id="rId202" Type="http://schemas.openxmlformats.org/officeDocument/2006/relationships/hyperlink" Target="http://www.malescot.com/" TargetMode="External"/><Relationship Id="rId244" Type="http://schemas.openxmlformats.org/officeDocument/2006/relationships/hyperlink" Target="https://www.goisot.fr/" TargetMode="External"/><Relationship Id="rId647" Type="http://schemas.openxmlformats.org/officeDocument/2006/relationships/hyperlink" Target="http://www.thebottlers.com/" TargetMode="External"/><Relationship Id="rId689" Type="http://schemas.openxmlformats.org/officeDocument/2006/relationships/hyperlink" Target="https://www.chateaulecoteau.fr/" TargetMode="External"/><Relationship Id="rId39" Type="http://schemas.openxmlformats.org/officeDocument/2006/relationships/hyperlink" Target="http://www.raeburnfinewines.com/" TargetMode="External"/><Relationship Id="rId286" Type="http://schemas.openxmlformats.org/officeDocument/2006/relationships/hyperlink" Target="https://www.instagram.com/ami.wine/" TargetMode="External"/><Relationship Id="rId451" Type="http://schemas.openxmlformats.org/officeDocument/2006/relationships/hyperlink" Target="http://www.vinnatur.it/" TargetMode="External"/><Relationship Id="rId493" Type="http://schemas.openxmlformats.org/officeDocument/2006/relationships/hyperlink" Target="http://www.tabarrini.com/" TargetMode="External"/><Relationship Id="rId507" Type="http://schemas.openxmlformats.org/officeDocument/2006/relationships/hyperlink" Target="http://www.ilgustodellacosta.it/" TargetMode="External"/><Relationship Id="rId549" Type="http://schemas.openxmlformats.org/officeDocument/2006/relationships/hyperlink" Target="https://www.instagram.com/baiaseenseadas/" TargetMode="External"/><Relationship Id="rId714" Type="http://schemas.openxmlformats.org/officeDocument/2006/relationships/hyperlink" Target="https://www.estournel.com/" TargetMode="External"/><Relationship Id="rId50" Type="http://schemas.openxmlformats.org/officeDocument/2006/relationships/hyperlink" Target="http://www.faugeres.com/" TargetMode="External"/><Relationship Id="rId104" Type="http://schemas.openxmlformats.org/officeDocument/2006/relationships/hyperlink" Target="https://www.facebook.com/Famille.Gonet.Sulcova/reels/" TargetMode="External"/><Relationship Id="rId146" Type="http://schemas.openxmlformats.org/officeDocument/2006/relationships/hyperlink" Target="https://www.jacksonfamilywines.com/" TargetMode="External"/><Relationship Id="rId188" Type="http://schemas.openxmlformats.org/officeDocument/2006/relationships/hyperlink" Target="https://www.youtube.com/watch?v=8owJUUOrG6c" TargetMode="External"/><Relationship Id="rId311" Type="http://schemas.openxmlformats.org/officeDocument/2006/relationships/hyperlink" Target="https://www.instagram.com/domainealexmoreau/" TargetMode="External"/><Relationship Id="rId353" Type="http://schemas.openxmlformats.org/officeDocument/2006/relationships/hyperlink" Target="https://www.arnaud-lambert.com/" TargetMode="External"/><Relationship Id="rId395" Type="http://schemas.openxmlformats.org/officeDocument/2006/relationships/hyperlink" Target="http://www.podericolla.it/" TargetMode="External"/><Relationship Id="rId409" Type="http://schemas.openxmlformats.org/officeDocument/2006/relationships/hyperlink" Target="http://www.arnaldorivera.com/" TargetMode="External"/><Relationship Id="rId560" Type="http://schemas.openxmlformats.org/officeDocument/2006/relationships/hyperlink" Target="https://weingut-ehmoser.at/" TargetMode="External"/><Relationship Id="rId92" Type="http://schemas.openxmlformats.org/officeDocument/2006/relationships/hyperlink" Target="https://champagnebeaufort.com/" TargetMode="External"/><Relationship Id="rId213" Type="http://schemas.openxmlformats.org/officeDocument/2006/relationships/hyperlink" Target="http://www.chateau-talbot.com/" TargetMode="External"/><Relationship Id="rId420" Type="http://schemas.openxmlformats.org/officeDocument/2006/relationships/hyperlink" Target="https://www.youtube.com/watch?v=hIG-IMyrFAc" TargetMode="External"/><Relationship Id="rId616" Type="http://schemas.openxmlformats.org/officeDocument/2006/relationships/hyperlink" Target="https://yoigokochi.eu/" TargetMode="External"/><Relationship Id="rId658" Type="http://schemas.openxmlformats.org/officeDocument/2006/relationships/hyperlink" Target="https://www.sijnn.co.za/" TargetMode="External"/><Relationship Id="rId255" Type="http://schemas.openxmlformats.org/officeDocument/2006/relationships/hyperlink" Target="https://domaine-fournier.com/" TargetMode="External"/><Relationship Id="rId297" Type="http://schemas.openxmlformats.org/officeDocument/2006/relationships/hyperlink" Target="https://www.instagram.com/domainefollinarbelet/" TargetMode="External"/><Relationship Id="rId462" Type="http://schemas.openxmlformats.org/officeDocument/2006/relationships/hyperlink" Target="https://www.kante.it/" TargetMode="External"/><Relationship Id="rId518" Type="http://schemas.openxmlformats.org/officeDocument/2006/relationships/hyperlink" Target="http://www.niepoort.pt/" TargetMode="External"/><Relationship Id="rId725" Type="http://schemas.openxmlformats.org/officeDocument/2006/relationships/hyperlink" Target="mailto:humair@raeburnfinewines.com" TargetMode="External"/><Relationship Id="rId115" Type="http://schemas.openxmlformats.org/officeDocument/2006/relationships/hyperlink" Target="https://www.actalsace.fr/" TargetMode="External"/><Relationship Id="rId157" Type="http://schemas.openxmlformats.org/officeDocument/2006/relationships/hyperlink" Target="https://www.chateau-rochebelle.com/" TargetMode="External"/><Relationship Id="rId322" Type="http://schemas.openxmlformats.org/officeDocument/2006/relationships/hyperlink" Target="https://www.instagram.com/terresdevelle/" TargetMode="External"/><Relationship Id="rId364" Type="http://schemas.openxmlformats.org/officeDocument/2006/relationships/hyperlink" Target="http://www.valmont-de-peronny.fr/" TargetMode="External"/><Relationship Id="rId61" Type="http://schemas.openxmlformats.org/officeDocument/2006/relationships/hyperlink" Target="https://www.commonground.org.uk/" TargetMode="External"/><Relationship Id="rId199" Type="http://schemas.openxmlformats.org/officeDocument/2006/relationships/hyperlink" Target="https://www.chateaudauzac.com/" TargetMode="External"/><Relationship Id="rId571" Type="http://schemas.openxmlformats.org/officeDocument/2006/relationships/hyperlink" Target="https://www.fairandgreen.com/" TargetMode="External"/><Relationship Id="rId627" Type="http://schemas.openxmlformats.org/officeDocument/2006/relationships/hyperlink" Target="http://www.kidoizumi.jp/" TargetMode="External"/><Relationship Id="rId669" Type="http://schemas.openxmlformats.org/officeDocument/2006/relationships/hyperlink" Target="https://www.langoa-barton.com/en/wines/1/chateau-langoa-barton/2021" TargetMode="External"/><Relationship Id="rId19" Type="http://schemas.openxmlformats.org/officeDocument/2006/relationships/hyperlink" Target="http://www.marcsadler.it/" TargetMode="External"/><Relationship Id="rId224" Type="http://schemas.openxmlformats.org/officeDocument/2006/relationships/hyperlink" Target="http://sociandomallet.com/" TargetMode="External"/><Relationship Id="rId266" Type="http://schemas.openxmlformats.org/officeDocument/2006/relationships/hyperlink" Target="https://www.facebook.com/CaveauReneLeclerc/" TargetMode="External"/><Relationship Id="rId431" Type="http://schemas.openxmlformats.org/officeDocument/2006/relationships/hyperlink" Target="https://www.fivi.it/" TargetMode="External"/><Relationship Id="rId473" Type="http://schemas.openxmlformats.org/officeDocument/2006/relationships/hyperlink" Target="https://www.soldera.it/en/" TargetMode="External"/><Relationship Id="rId529" Type="http://schemas.openxmlformats.org/officeDocument/2006/relationships/hyperlink" Target="http://www.masdelabasserola.cat/" TargetMode="External"/><Relationship Id="rId680" Type="http://schemas.openxmlformats.org/officeDocument/2006/relationships/hyperlink" Target="http://www.chateau-lalagune.com/" TargetMode="External"/><Relationship Id="rId30" Type="http://schemas.openxmlformats.org/officeDocument/2006/relationships/hyperlink" Target="http://www.facebook.com/LuisDeBourbonCaligrafia/" TargetMode="External"/><Relationship Id="rId126" Type="http://schemas.openxmlformats.org/officeDocument/2006/relationships/hyperlink" Target="http://www.moueix.com/" TargetMode="External"/><Relationship Id="rId168" Type="http://schemas.openxmlformats.org/officeDocument/2006/relationships/hyperlink" Target="http://www.belles-graves.com/" TargetMode="External"/><Relationship Id="rId333" Type="http://schemas.openxmlformats.org/officeDocument/2006/relationships/hyperlink" Target="https://www.facebook.com/GuillaumeChampliaud/" TargetMode="External"/><Relationship Id="rId540" Type="http://schemas.openxmlformats.org/officeDocument/2006/relationships/hyperlink" Target="http://www.niepoort.pt/" TargetMode="External"/><Relationship Id="rId72" Type="http://schemas.openxmlformats.org/officeDocument/2006/relationships/hyperlink" Target="http://www.ukfungusday.co.uk/" TargetMode="External"/><Relationship Id="rId375" Type="http://schemas.openxmlformats.org/officeDocument/2006/relationships/hyperlink" Target="http://www.xaviervignon.com/" TargetMode="External"/><Relationship Id="rId582" Type="http://schemas.openxmlformats.org/officeDocument/2006/relationships/hyperlink" Target="http://www.vdp.de/" TargetMode="External"/><Relationship Id="rId638" Type="http://schemas.openxmlformats.org/officeDocument/2006/relationships/hyperlink" Target="http://www.quintadonoval.com/" TargetMode="External"/><Relationship Id="rId3" Type="http://schemas.openxmlformats.org/officeDocument/2006/relationships/hyperlink" Target="http://www.bettanedesseauve.com/" TargetMode="External"/><Relationship Id="rId235" Type="http://schemas.openxmlformats.org/officeDocument/2006/relationships/hyperlink" Target="http://tirecul-la-graviere.fr/" TargetMode="External"/><Relationship Id="rId277" Type="http://schemas.openxmlformats.org/officeDocument/2006/relationships/hyperlink" Target="https://www.youtube.com/watch?v=whbBHaUWIDI" TargetMode="External"/><Relationship Id="rId400" Type="http://schemas.openxmlformats.org/officeDocument/2006/relationships/hyperlink" Target="https://cascinagramolere.com/" TargetMode="External"/><Relationship Id="rId442" Type="http://schemas.openxmlformats.org/officeDocument/2006/relationships/hyperlink" Target="http://www.cortesermana.it/" TargetMode="External"/><Relationship Id="rId484" Type="http://schemas.openxmlformats.org/officeDocument/2006/relationships/hyperlink" Target="http://www.fivi.it/" TargetMode="External"/><Relationship Id="rId705" Type="http://schemas.openxmlformats.org/officeDocument/2006/relationships/hyperlink" Target="http://www.lynchbages.com/" TargetMode="External"/><Relationship Id="rId137" Type="http://schemas.openxmlformats.org/officeDocument/2006/relationships/hyperlink" Target="http://www.chateau-cheval-blanc.com/" TargetMode="External"/><Relationship Id="rId302" Type="http://schemas.openxmlformats.org/officeDocument/2006/relationships/hyperlink" Target="https://www.facebook.com/domainealaingras/photos/?tab=albums" TargetMode="External"/><Relationship Id="rId344" Type="http://schemas.openxmlformats.org/officeDocument/2006/relationships/hyperlink" Target="https://www.christophepacalet.com/" TargetMode="External"/><Relationship Id="rId691" Type="http://schemas.openxmlformats.org/officeDocument/2006/relationships/hyperlink" Target="https://www.chateaurauzansegla.com/" TargetMode="External"/><Relationship Id="rId41" Type="http://schemas.openxmlformats.org/officeDocument/2006/relationships/hyperlink" Target="http://www.viniveri.net/" TargetMode="External"/><Relationship Id="rId83" Type="http://schemas.openxmlformats.org/officeDocument/2006/relationships/hyperlink" Target="https://www.worldwetlandsday.org/" TargetMode="External"/><Relationship Id="rId179" Type="http://schemas.openxmlformats.org/officeDocument/2006/relationships/hyperlink" Target="http://www.jacquesthienpont.com/" TargetMode="External"/><Relationship Id="rId386" Type="http://schemas.openxmlformats.org/officeDocument/2006/relationships/hyperlink" Target="https://www.domainetempier.com/en/homepage/" TargetMode="External"/><Relationship Id="rId551" Type="http://schemas.openxmlformats.org/officeDocument/2006/relationships/hyperlink" Target="http://www.pichler-krutzler.at/" TargetMode="External"/><Relationship Id="rId593" Type="http://schemas.openxmlformats.org/officeDocument/2006/relationships/hyperlink" Target="https://shafervineyards.com/" TargetMode="External"/><Relationship Id="rId607" Type="http://schemas.openxmlformats.org/officeDocument/2006/relationships/hyperlink" Target="https://www.alkinawine.com/" TargetMode="External"/><Relationship Id="rId649" Type="http://schemas.openxmlformats.org/officeDocument/2006/relationships/hyperlink" Target="https://www.instagram.com/raasaydistillery/" TargetMode="External"/><Relationship Id="rId190" Type="http://schemas.openxmlformats.org/officeDocument/2006/relationships/hyperlink" Target="https://www.haut-bergey.fr/" TargetMode="External"/><Relationship Id="rId204" Type="http://schemas.openxmlformats.org/officeDocument/2006/relationships/hyperlink" Target="http://www.mauvesin-barton.com/" TargetMode="External"/><Relationship Id="rId246" Type="http://schemas.openxmlformats.org/officeDocument/2006/relationships/hyperlink" Target="https://aligoteurs.wordpress.com/" TargetMode="External"/><Relationship Id="rId288" Type="http://schemas.openxmlformats.org/officeDocument/2006/relationships/hyperlink" Target="https://www.chassagne-montrachet.com/en/" TargetMode="External"/><Relationship Id="rId411" Type="http://schemas.openxmlformats.org/officeDocument/2006/relationships/hyperlink" Target="https://sandroneluciano.com/index_age_verified.php" TargetMode="External"/><Relationship Id="rId453" Type="http://schemas.openxmlformats.org/officeDocument/2006/relationships/hyperlink" Target="http://www.ortodivenezia.com/" TargetMode="External"/><Relationship Id="rId509" Type="http://schemas.openxmlformats.org/officeDocument/2006/relationships/hyperlink" Target="https://www.lucagungui.it/en/home-2/" TargetMode="External"/><Relationship Id="rId660" Type="http://schemas.openxmlformats.org/officeDocument/2006/relationships/hyperlink" Target="https://www.viaceller.com/" TargetMode="External"/><Relationship Id="rId106" Type="http://schemas.openxmlformats.org/officeDocument/2006/relationships/hyperlink" Target="https://champagne-gyejacquot.com/" TargetMode="External"/><Relationship Id="rId313" Type="http://schemas.openxmlformats.org/officeDocument/2006/relationships/hyperlink" Target="https://www.facebook.com/ClosduMoulinAuxMoines/" TargetMode="External"/><Relationship Id="rId495" Type="http://schemas.openxmlformats.org/officeDocument/2006/relationships/hyperlink" Target="http://www.fivi.it/" TargetMode="External"/><Relationship Id="rId716" Type="http://schemas.openxmlformats.org/officeDocument/2006/relationships/hyperlink" Target="https://www.chateau-lilian-ladouys.com/" TargetMode="External"/><Relationship Id="rId10" Type="http://schemas.openxmlformats.org/officeDocument/2006/relationships/hyperlink" Target="http://www.champagneguide.net/" TargetMode="External"/><Relationship Id="rId52" Type="http://schemas.openxmlformats.org/officeDocument/2006/relationships/hyperlink" Target="http://www.vinsalsace.com/" TargetMode="External"/><Relationship Id="rId94" Type="http://schemas.openxmlformats.org/officeDocument/2006/relationships/hyperlink" Target="http://www.facebook.com/champagnebeerens/" TargetMode="External"/><Relationship Id="rId148" Type="http://schemas.openxmlformats.org/officeDocument/2006/relationships/hyperlink" Target="http://www.chateaumangot.fr/" TargetMode="External"/><Relationship Id="rId355" Type="http://schemas.openxmlformats.org/officeDocument/2006/relationships/hyperlink" Target="http://www.domainejohannspelty.com/" TargetMode="External"/><Relationship Id="rId397" Type="http://schemas.openxmlformats.org/officeDocument/2006/relationships/hyperlink" Target="http://conterno.it/" TargetMode="External"/><Relationship Id="rId520" Type="http://schemas.openxmlformats.org/officeDocument/2006/relationships/hyperlink" Target="http://www.bodegaspascual.com/" TargetMode="External"/><Relationship Id="rId562" Type="http://schemas.openxmlformats.org/officeDocument/2006/relationships/hyperlink" Target="https://www.weinbau-schiefer.at/" TargetMode="External"/><Relationship Id="rId618" Type="http://schemas.openxmlformats.org/officeDocument/2006/relationships/hyperlink" Target="https://www.teradahonke.co.jp/en/" TargetMode="External"/><Relationship Id="rId215" Type="http://schemas.openxmlformats.org/officeDocument/2006/relationships/hyperlink" Target="https://www.bpdr.com/" TargetMode="External"/><Relationship Id="rId257" Type="http://schemas.openxmlformats.org/officeDocument/2006/relationships/hyperlink" Target="https://www.facebook.com/lesaligoteurs/" TargetMode="External"/><Relationship Id="rId422" Type="http://schemas.openxmlformats.org/officeDocument/2006/relationships/hyperlink" Target="https://www.fivi.it/" TargetMode="External"/><Relationship Id="rId464" Type="http://schemas.openxmlformats.org/officeDocument/2006/relationships/hyperlink" Target="https://www.caberlot.eu/" TargetMode="External"/><Relationship Id="rId299" Type="http://schemas.openxmlformats.org/officeDocument/2006/relationships/hyperlink" Target="https://www.instagram.com/claudinegaunoux/" TargetMode="External"/><Relationship Id="rId727" Type="http://schemas.openxmlformats.org/officeDocument/2006/relationships/hyperlink" Target="mailto:taher@raeburnfinewines.com" TargetMode="External"/><Relationship Id="rId63" Type="http://schemas.openxmlformats.org/officeDocument/2006/relationships/hyperlink" Target="https://www.pinotage.co.za/" TargetMode="External"/><Relationship Id="rId159" Type="http://schemas.openxmlformats.org/officeDocument/2006/relationships/hyperlink" Target="http://www.tertre-roteboeuf.com/" TargetMode="External"/><Relationship Id="rId366" Type="http://schemas.openxmlformats.org/officeDocument/2006/relationships/hyperlink" Target="https://clos-des-papes.fr/" TargetMode="External"/><Relationship Id="rId573" Type="http://schemas.openxmlformats.org/officeDocument/2006/relationships/hyperlink" Target="https://www.jjpruem.com/" TargetMode="External"/><Relationship Id="rId226" Type="http://schemas.openxmlformats.org/officeDocument/2006/relationships/hyperlink" Target="https://chateau-climens.com/" TargetMode="External"/><Relationship Id="rId433" Type="http://schemas.openxmlformats.org/officeDocument/2006/relationships/hyperlink" Target="http://www.dalzocchio.it/" TargetMode="External"/><Relationship Id="rId640" Type="http://schemas.openxmlformats.org/officeDocument/2006/relationships/hyperlink" Target="https://croftport.com/" TargetMode="External"/><Relationship Id="rId74" Type="http://schemas.openxmlformats.org/officeDocument/2006/relationships/hyperlink" Target="https://www.worldbeeday.org/" TargetMode="External"/><Relationship Id="rId377" Type="http://schemas.openxmlformats.org/officeDocument/2006/relationships/hyperlink" Target="https://renaissance-des-appellations.com/" TargetMode="External"/><Relationship Id="rId500" Type="http://schemas.openxmlformats.org/officeDocument/2006/relationships/hyperlink" Target="https://www.viticoltorideconciliis.it/" TargetMode="External"/><Relationship Id="rId584" Type="http://schemas.openxmlformats.org/officeDocument/2006/relationships/hyperlink" Target="http://www.fairandgreen.de/" TargetMode="External"/><Relationship Id="rId5" Type="http://schemas.openxmlformats.org/officeDocument/2006/relationships/hyperlink" Target="http://www.youtube.com/" TargetMode="External"/><Relationship Id="rId237" Type="http://schemas.openxmlformats.org/officeDocument/2006/relationships/hyperlink" Target="http://www.famille-jouffreau.com/" TargetMode="External"/><Relationship Id="rId444" Type="http://schemas.openxmlformats.org/officeDocument/2006/relationships/hyperlink" Target="http://www.agriturismoraval.it/" TargetMode="External"/><Relationship Id="rId651" Type="http://schemas.openxmlformats.org/officeDocument/2006/relationships/hyperlink" Target="http://www.distillerie-miclo.com/" TargetMode="External"/><Relationship Id="rId290" Type="http://schemas.openxmlformats.org/officeDocument/2006/relationships/hyperlink" Target="http://www.chandondebriailles.com/" TargetMode="External"/><Relationship Id="rId304" Type="http://schemas.openxmlformats.org/officeDocument/2006/relationships/hyperlink" Target="http://www.domainelafarge.com/" TargetMode="External"/><Relationship Id="rId388" Type="http://schemas.openxmlformats.org/officeDocument/2006/relationships/hyperlink" Target="http://www.tenutaanfosso.it/" TargetMode="External"/><Relationship Id="rId511" Type="http://schemas.openxmlformats.org/officeDocument/2006/relationships/hyperlink" Target="http://www.nerominiera.it/" TargetMode="External"/><Relationship Id="rId609" Type="http://schemas.openxmlformats.org/officeDocument/2006/relationships/hyperlink" Target="http://www.neldnerroad.com.au/" TargetMode="External"/><Relationship Id="rId85" Type="http://schemas.openxmlformats.org/officeDocument/2006/relationships/hyperlink" Target="https://www.slowfood.com/" TargetMode="External"/><Relationship Id="rId150" Type="http://schemas.openxmlformats.org/officeDocument/2006/relationships/hyperlink" Target="http://www.moulindujura.fr/" TargetMode="External"/><Relationship Id="rId595" Type="http://schemas.openxmlformats.org/officeDocument/2006/relationships/hyperlink" Target="https://www.deeprootscoalition.org/" TargetMode="External"/><Relationship Id="rId248" Type="http://schemas.openxmlformats.org/officeDocument/2006/relationships/hyperlink" Target="https://www.domainearlaud.com/en/" TargetMode="External"/><Relationship Id="rId455" Type="http://schemas.openxmlformats.org/officeDocument/2006/relationships/hyperlink" Target="https://www.cadeizago.it/it" TargetMode="External"/><Relationship Id="rId662" Type="http://schemas.openxmlformats.org/officeDocument/2006/relationships/hyperlink" Target="https://www.roagna.com/" TargetMode="External"/><Relationship Id="rId12" Type="http://schemas.openxmlformats.org/officeDocument/2006/relationships/hyperlink" Target="http://www.vinous.com/" TargetMode="External"/><Relationship Id="rId108" Type="http://schemas.openxmlformats.org/officeDocument/2006/relationships/hyperlink" Target="https://renaissance-des-appellations.com/" TargetMode="External"/><Relationship Id="rId315" Type="http://schemas.openxmlformats.org/officeDocument/2006/relationships/hyperlink" Target="https://www.youtube.com/watch?v=4uR59RF7ATU" TargetMode="External"/><Relationship Id="rId522" Type="http://schemas.openxmlformats.org/officeDocument/2006/relationships/hyperlink" Target="http://www.oxerwines.com/" TargetMode="External"/><Relationship Id="rId96" Type="http://schemas.openxmlformats.org/officeDocument/2006/relationships/hyperlink" Target="https://www.champagne-augustin.com/en/" TargetMode="External"/><Relationship Id="rId161" Type="http://schemas.openxmlformats.org/officeDocument/2006/relationships/hyperlink" Target="http://www.act4nature.com/" TargetMode="External"/><Relationship Id="rId399" Type="http://schemas.openxmlformats.org/officeDocument/2006/relationships/hyperlink" Target="https://fivi.it/" TargetMode="External"/><Relationship Id="rId259" Type="http://schemas.openxmlformats.org/officeDocument/2006/relationships/hyperlink" Target="https://www.facebook.com/domainejeanfournier/" TargetMode="External"/><Relationship Id="rId466" Type="http://schemas.openxmlformats.org/officeDocument/2006/relationships/hyperlink" Target="https://brogionivinsanto.wixsite.com/nettaredeglidei" TargetMode="External"/><Relationship Id="rId673" Type="http://schemas.openxmlformats.org/officeDocument/2006/relationships/hyperlink" Target="https://www.youtube.com/watch?v=a_nWroQwxcM" TargetMode="External"/><Relationship Id="rId23" Type="http://schemas.openxmlformats.org/officeDocument/2006/relationships/hyperlink" Target="https://www.laurent-reynes.com/" TargetMode="External"/><Relationship Id="rId119" Type="http://schemas.openxmlformats.org/officeDocument/2006/relationships/hyperlink" Target="http://www.chateauclinet.com/" TargetMode="External"/><Relationship Id="rId326" Type="http://schemas.openxmlformats.org/officeDocument/2006/relationships/hyperlink" Target="https://www.instagram.com/domaine.g.et.x.besson/" TargetMode="External"/><Relationship Id="rId533" Type="http://schemas.openxmlformats.org/officeDocument/2006/relationships/hyperlink" Target="http://www.cellerstarrone.com/" TargetMode="External"/><Relationship Id="rId172" Type="http://schemas.openxmlformats.org/officeDocument/2006/relationships/hyperlink" Target="http://www.chateau-clos-fontaine.com/" TargetMode="External"/><Relationship Id="rId477" Type="http://schemas.openxmlformats.org/officeDocument/2006/relationships/hyperlink" Target="https://www.facebook.com/GGorelliWine" TargetMode="External"/><Relationship Id="rId600" Type="http://schemas.openxmlformats.org/officeDocument/2006/relationships/hyperlink" Target="https://www.winesfrommartinborough.com/" TargetMode="External"/><Relationship Id="rId684" Type="http://schemas.openxmlformats.org/officeDocument/2006/relationships/hyperlink" Target="https://www.marielaurelurton.com/" TargetMode="External"/><Relationship Id="rId337" Type="http://schemas.openxmlformats.org/officeDocument/2006/relationships/hyperlink" Target="http://www.domainemarcdelienne.fr/" TargetMode="External"/><Relationship Id="rId34" Type="http://schemas.openxmlformats.org/officeDocument/2006/relationships/hyperlink" Target="http://www.etnagrammi.it/" TargetMode="External"/><Relationship Id="rId544" Type="http://schemas.openxmlformats.org/officeDocument/2006/relationships/hyperlink" Target="http://www.niepoort.pt/" TargetMode="External"/><Relationship Id="rId183" Type="http://schemas.openxmlformats.org/officeDocument/2006/relationships/hyperlink" Target="http://www.chateaulagontrie.net/" TargetMode="External"/><Relationship Id="rId390" Type="http://schemas.openxmlformats.org/officeDocument/2006/relationships/hyperlink" Target="https://www.belcolle.it/" TargetMode="External"/><Relationship Id="rId404" Type="http://schemas.openxmlformats.org/officeDocument/2006/relationships/hyperlink" Target="http://www.renatomolino.it/" TargetMode="External"/><Relationship Id="rId611" Type="http://schemas.openxmlformats.org/officeDocument/2006/relationships/hyperlink" Target="https://www.ashtonhills.com.au/" TargetMode="External"/><Relationship Id="rId250" Type="http://schemas.openxmlformats.org/officeDocument/2006/relationships/hyperlink" Target="https://www.instagram.com/domainearlaud/" TargetMode="External"/><Relationship Id="rId488" Type="http://schemas.openxmlformats.org/officeDocument/2006/relationships/hyperlink" Target="https://www.viniveri.net/" TargetMode="External"/><Relationship Id="rId695" Type="http://schemas.openxmlformats.org/officeDocument/2006/relationships/hyperlink" Target="https://domaines-delon.com/" TargetMode="External"/><Relationship Id="rId709" Type="http://schemas.openxmlformats.org/officeDocument/2006/relationships/hyperlink" Target="https://www.pichon-comtesse.com/en" TargetMode="External"/><Relationship Id="rId45" Type="http://schemas.openxmlformats.org/officeDocument/2006/relationships/hyperlink" Target="http://www.vinosnaturales.wordpress.com/" TargetMode="External"/><Relationship Id="rId110" Type="http://schemas.openxmlformats.org/officeDocument/2006/relationships/hyperlink" Target="http://www.champagne-lilbert.com/" TargetMode="External"/><Relationship Id="rId348" Type="http://schemas.openxmlformats.org/officeDocument/2006/relationships/hyperlink" Target="https://www.renardat-fache.com/" TargetMode="External"/><Relationship Id="rId555" Type="http://schemas.openxmlformats.org/officeDocument/2006/relationships/hyperlink" Target="https://www.advineas.at/" TargetMode="External"/><Relationship Id="rId194" Type="http://schemas.openxmlformats.org/officeDocument/2006/relationships/hyperlink" Target="http://www.mission-haut-brion.com/" TargetMode="External"/><Relationship Id="rId208" Type="http://schemas.openxmlformats.org/officeDocument/2006/relationships/hyperlink" Target="https://chateau-ducru-beaucaillou.com/" TargetMode="External"/><Relationship Id="rId415" Type="http://schemas.openxmlformats.org/officeDocument/2006/relationships/hyperlink" Target="http://www.runchet.it/" TargetMode="External"/><Relationship Id="rId622" Type="http://schemas.openxmlformats.org/officeDocument/2006/relationships/hyperlink" Target="http://senkin.co.jp/" TargetMode="External"/><Relationship Id="rId261" Type="http://schemas.openxmlformats.org/officeDocument/2006/relationships/hyperlink" Target="http://www.domainegrivot.fr/" TargetMode="External"/><Relationship Id="rId499" Type="http://schemas.openxmlformats.org/officeDocument/2006/relationships/hyperlink" Target="http://www.fivi.it/" TargetMode="External"/><Relationship Id="rId56" Type="http://schemas.openxmlformats.org/officeDocument/2006/relationships/hyperlink" Target="http://www.bourgogne-wines.com/" TargetMode="External"/><Relationship Id="rId359" Type="http://schemas.openxmlformats.org/officeDocument/2006/relationships/hyperlink" Target="https://tardieu-laurent.fr/en/la-maison-2/" TargetMode="External"/><Relationship Id="rId566" Type="http://schemas.openxmlformats.org/officeDocument/2006/relationships/hyperlink" Target="http://www.boggionebarolo.it/" TargetMode="External"/><Relationship Id="rId121" Type="http://schemas.openxmlformats.org/officeDocument/2006/relationships/hyperlink" Target="https://www.la-conseillante.com/" TargetMode="External"/><Relationship Id="rId219" Type="http://schemas.openxmlformats.org/officeDocument/2006/relationships/hyperlink" Target="http://www.chateau-montrose.com/" TargetMode="External"/><Relationship Id="rId426" Type="http://schemas.openxmlformats.org/officeDocument/2006/relationships/hyperlink" Target="http://barbacan.it/" TargetMode="External"/><Relationship Id="rId633" Type="http://schemas.openxmlformats.org/officeDocument/2006/relationships/hyperlink" Target="https://www.heiwashuzou.co.jp/" TargetMode="External"/><Relationship Id="rId67" Type="http://schemas.openxmlformats.org/officeDocument/2006/relationships/hyperlink" Target="https://lambruscofest.com/" TargetMode="External"/><Relationship Id="rId272" Type="http://schemas.openxmlformats.org/officeDocument/2006/relationships/hyperlink" Target="https://gite-legrandcedre.fr/fr" TargetMode="External"/><Relationship Id="rId577" Type="http://schemas.openxmlformats.org/officeDocument/2006/relationships/hyperlink" Target="https://www.weingut-willi-schaefer.de/" TargetMode="External"/><Relationship Id="rId700" Type="http://schemas.openxmlformats.org/officeDocument/2006/relationships/hyperlink" Target="https://www.chateau-clerc-milon.com/" TargetMode="External"/><Relationship Id="rId132" Type="http://schemas.openxmlformats.org/officeDocument/2006/relationships/hyperlink" Target="https://m.facebook.com/profile.php?id=130454807036400" TargetMode="External"/><Relationship Id="rId437" Type="http://schemas.openxmlformats.org/officeDocument/2006/relationships/hyperlink" Target="http://www.fivi.it/" TargetMode="External"/><Relationship Id="rId644" Type="http://schemas.openxmlformats.org/officeDocument/2006/relationships/hyperlink" Target="http://www.portoprotocol.com/" TargetMode="External"/><Relationship Id="rId283" Type="http://schemas.openxmlformats.org/officeDocument/2006/relationships/hyperlink" Target="https://www.domainedelavougeraie.com/index.php?lang=fr&amp;valid_legal=1" TargetMode="External"/><Relationship Id="rId490" Type="http://schemas.openxmlformats.org/officeDocument/2006/relationships/hyperlink" Target="https://fivi.it/" TargetMode="External"/><Relationship Id="rId504" Type="http://schemas.openxmlformats.org/officeDocument/2006/relationships/hyperlink" Target="http://www.contradeditaurasi.it/" TargetMode="External"/><Relationship Id="rId711" Type="http://schemas.openxmlformats.org/officeDocument/2006/relationships/hyperlink" Target="http://www.biodyvin.com/" TargetMode="External"/><Relationship Id="rId78" Type="http://schemas.openxmlformats.org/officeDocument/2006/relationships/hyperlink" Target="http://www.earthday.org/" TargetMode="External"/><Relationship Id="rId143" Type="http://schemas.openxmlformats.org/officeDocument/2006/relationships/hyperlink" Target="https://www.grand-corbin-despagne.com/" TargetMode="External"/><Relationship Id="rId350" Type="http://schemas.openxmlformats.org/officeDocument/2006/relationships/hyperlink" Target="https://www.domaine-loge.com/" TargetMode="External"/><Relationship Id="rId588" Type="http://schemas.openxmlformats.org/officeDocument/2006/relationships/hyperlink" Target="http://www.lafite.com/" TargetMode="External"/><Relationship Id="rId9" Type="http://schemas.openxmlformats.org/officeDocument/2006/relationships/hyperlink" Target="http://www.vinography.com/" TargetMode="External"/><Relationship Id="rId210" Type="http://schemas.openxmlformats.org/officeDocument/2006/relationships/hyperlink" Target="https://chateau-lagrange.com/" TargetMode="External"/><Relationship Id="rId448" Type="http://schemas.openxmlformats.org/officeDocument/2006/relationships/hyperlink" Target="http://www.vinidiluce.com/" TargetMode="External"/><Relationship Id="rId655" Type="http://schemas.openxmlformats.org/officeDocument/2006/relationships/hyperlink" Target="https://www.stelladicampalto.it/" TargetMode="External"/><Relationship Id="rId294" Type="http://schemas.openxmlformats.org/officeDocument/2006/relationships/hyperlink" Target="https://www.instagram.com/domaine.clerget/" TargetMode="External"/><Relationship Id="rId308" Type="http://schemas.openxmlformats.org/officeDocument/2006/relationships/hyperlink" Target="https://www.marchand-tawse.com/en" TargetMode="External"/><Relationship Id="rId515" Type="http://schemas.openxmlformats.org/officeDocument/2006/relationships/hyperlink" Target="https://www.vinidiluce.com/" TargetMode="External"/><Relationship Id="rId722" Type="http://schemas.openxmlformats.org/officeDocument/2006/relationships/hyperlink" Target="mailto:ben@raeburnfinewines.com" TargetMode="External"/><Relationship Id="rId89" Type="http://schemas.openxmlformats.org/officeDocument/2006/relationships/hyperlink" Target="https://www.instagram.com/joycedelimataartist/" TargetMode="External"/><Relationship Id="rId154" Type="http://schemas.openxmlformats.org/officeDocument/2006/relationships/hyperlink" Target="http://www.domaines-maletroquefort.com/" TargetMode="External"/><Relationship Id="rId361" Type="http://schemas.openxmlformats.org/officeDocument/2006/relationships/hyperlink" Target="http://www.stephaneogier.fr/" TargetMode="External"/><Relationship Id="rId599" Type="http://schemas.openxmlformats.org/officeDocument/2006/relationships/hyperlink" Target="https://dryriver.co.nz/" TargetMode="External"/><Relationship Id="rId459" Type="http://schemas.openxmlformats.org/officeDocument/2006/relationships/hyperlink" Target="https://fivi.it/" TargetMode="External"/><Relationship Id="rId666" Type="http://schemas.openxmlformats.org/officeDocument/2006/relationships/hyperlink" Target="https://www.diversityark.it/" TargetMode="External"/><Relationship Id="rId16" Type="http://schemas.openxmlformats.org/officeDocument/2006/relationships/hyperlink" Target="http://www.glougueule.fr/" TargetMode="External"/><Relationship Id="rId221" Type="http://schemas.openxmlformats.org/officeDocument/2006/relationships/hyperlink" Target="http://www.phelansegur.com/" TargetMode="External"/><Relationship Id="rId319" Type="http://schemas.openxmlformats.org/officeDocument/2006/relationships/hyperlink" Target="https://www.instagram.com/domainerollinpereetfils/" TargetMode="External"/><Relationship Id="rId526" Type="http://schemas.openxmlformats.org/officeDocument/2006/relationships/hyperlink" Target="http://www.tritium.es/" TargetMode="External"/><Relationship Id="rId165" Type="http://schemas.openxmlformats.org/officeDocument/2006/relationships/hyperlink" Target="http://www.chateaulafleur.fr/" TargetMode="External"/><Relationship Id="rId372" Type="http://schemas.openxmlformats.org/officeDocument/2006/relationships/hyperlink" Target="http://www.samerivertwicewines.com/" TargetMode="External"/><Relationship Id="rId677" Type="http://schemas.openxmlformats.org/officeDocument/2006/relationships/hyperlink" Target="http://www.fieuzal.com/" TargetMode="External"/><Relationship Id="rId232" Type="http://schemas.openxmlformats.org/officeDocument/2006/relationships/hyperlink" Target="https://www.lafite.com/" TargetMode="External"/><Relationship Id="rId27" Type="http://schemas.openxmlformats.org/officeDocument/2006/relationships/hyperlink" Target="https://www.peterwillburger.com/" TargetMode="External"/><Relationship Id="rId537" Type="http://schemas.openxmlformats.org/officeDocument/2006/relationships/hyperlink" Target="http://www.niepoort.pt/" TargetMode="External"/><Relationship Id="rId80" Type="http://schemas.openxmlformats.org/officeDocument/2006/relationships/hyperlink" Target="https://www.worldwaterday.org/" TargetMode="External"/><Relationship Id="rId176" Type="http://schemas.openxmlformats.org/officeDocument/2006/relationships/hyperlink" Target="http://www.biodyvin.com/" TargetMode="External"/><Relationship Id="rId383" Type="http://schemas.openxmlformats.org/officeDocument/2006/relationships/hyperlink" Target="https://www.gilbertgaillard.com/en/" TargetMode="External"/><Relationship Id="rId590" Type="http://schemas.openxmlformats.org/officeDocument/2006/relationships/hyperlink" Target="https://www.swanwinery.com/" TargetMode="External"/><Relationship Id="rId604" Type="http://schemas.openxmlformats.org/officeDocument/2006/relationships/hyperlink" Target="http://www.cowa.org.nz/" TargetMode="External"/><Relationship Id="rId243" Type="http://schemas.openxmlformats.org/officeDocument/2006/relationships/hyperlink" Target="https://www.facebook.com/DomaineThierryLaffay/" TargetMode="External"/><Relationship Id="rId450" Type="http://schemas.openxmlformats.org/officeDocument/2006/relationships/hyperlink" Target="http://www.biancaravini.it/" TargetMode="External"/><Relationship Id="rId688" Type="http://schemas.openxmlformats.org/officeDocument/2006/relationships/hyperlink" Target="https://giscours.com/" TargetMode="External"/><Relationship Id="rId38" Type="http://schemas.openxmlformats.org/officeDocument/2006/relationships/hyperlink" Target="http://www.raeburnfinewines.com/" TargetMode="External"/><Relationship Id="rId103" Type="http://schemas.openxmlformats.org/officeDocument/2006/relationships/hyperlink" Target="https://www.champagne-gonet-sulcova.fr/" TargetMode="External"/><Relationship Id="rId310" Type="http://schemas.openxmlformats.org/officeDocument/2006/relationships/hyperlink" Target="http://www.chassagne-montrachet.com/" TargetMode="External"/><Relationship Id="rId548" Type="http://schemas.openxmlformats.org/officeDocument/2006/relationships/hyperlink" Target="https://www.facebook.com/baiaseenseadas/" TargetMode="External"/><Relationship Id="rId91" Type="http://schemas.openxmlformats.org/officeDocument/2006/relationships/hyperlink" Target="http://www.champagnebeerens.com/" TargetMode="External"/><Relationship Id="rId187" Type="http://schemas.openxmlformats.org/officeDocument/2006/relationships/hyperlink" Target="http://www.fieuzal.com/" TargetMode="External"/><Relationship Id="rId394" Type="http://schemas.openxmlformats.org/officeDocument/2006/relationships/hyperlink" Target="https://castellodiperno.it/" TargetMode="External"/><Relationship Id="rId408" Type="http://schemas.openxmlformats.org/officeDocument/2006/relationships/hyperlink" Target="http://www.barolodibarolo.com/" TargetMode="External"/><Relationship Id="rId615" Type="http://schemas.openxmlformats.org/officeDocument/2006/relationships/hyperlink" Target="https://www.capewinelandsbiosphere.co.za/" TargetMode="External"/><Relationship Id="rId254" Type="http://schemas.openxmlformats.org/officeDocument/2006/relationships/hyperlink" Target="https://domaine-faiveley.com/" TargetMode="External"/><Relationship Id="rId699" Type="http://schemas.openxmlformats.org/officeDocument/2006/relationships/hyperlink" Target="https://www.leoville-poyferre.fr/" TargetMode="External"/><Relationship Id="rId49" Type="http://schemas.openxmlformats.org/officeDocument/2006/relationships/hyperlink" Target="http://www.bourgogne-wines.com/" TargetMode="External"/><Relationship Id="rId114" Type="http://schemas.openxmlformats.org/officeDocument/2006/relationships/hyperlink" Target="https://www.domainekirrenbourg.fr/en" TargetMode="External"/><Relationship Id="rId461" Type="http://schemas.openxmlformats.org/officeDocument/2006/relationships/hyperlink" Target="https://www.gravner.it/" TargetMode="External"/><Relationship Id="rId559" Type="http://schemas.openxmlformats.org/officeDocument/2006/relationships/hyperlink" Target="http://www.traditionsweingueter.at/" TargetMode="External"/><Relationship Id="rId198" Type="http://schemas.openxmlformats.org/officeDocument/2006/relationships/hyperlink" Target="https://www.marielaurelurton.com/" TargetMode="External"/><Relationship Id="rId321" Type="http://schemas.openxmlformats.org/officeDocument/2006/relationships/hyperlink" Target="https://www.terresdevelle.fr/" TargetMode="External"/><Relationship Id="rId419" Type="http://schemas.openxmlformats.org/officeDocument/2006/relationships/hyperlink" Target="http://www.nervicantine.it/" TargetMode="External"/><Relationship Id="rId626" Type="http://schemas.openxmlformats.org/officeDocument/2006/relationships/hyperlink" Target="https://kireikireikirei.jimdofree.com/" TargetMode="External"/><Relationship Id="rId265" Type="http://schemas.openxmlformats.org/officeDocument/2006/relationships/hyperlink" Target="https://www.domaine-reneleclerc.com/" TargetMode="External"/><Relationship Id="rId472" Type="http://schemas.openxmlformats.org/officeDocument/2006/relationships/hyperlink" Target="http://www.youtube.com/watch?v=hfHyxtGMuwE" TargetMode="External"/><Relationship Id="rId125" Type="http://schemas.openxmlformats.org/officeDocument/2006/relationships/hyperlink" Target="http://www.chateaulafleur.fr/" TargetMode="External"/><Relationship Id="rId332" Type="http://schemas.openxmlformats.org/officeDocument/2006/relationships/hyperlink" Target="http://www.terravitis.com/" TargetMode="External"/><Relationship Id="rId637" Type="http://schemas.openxmlformats.org/officeDocument/2006/relationships/hyperlink" Target="https://www.niepoort.pt/" TargetMode="External"/><Relationship Id="rId276" Type="http://schemas.openxmlformats.org/officeDocument/2006/relationships/hyperlink" Target="https://www.instagram.com/marchand_tawse/" TargetMode="External"/><Relationship Id="rId483" Type="http://schemas.openxmlformats.org/officeDocument/2006/relationships/hyperlink" Target="https://terredimacerato.it/en/" TargetMode="External"/><Relationship Id="rId690" Type="http://schemas.openxmlformats.org/officeDocument/2006/relationships/hyperlink" Target="https://domaines-delon.com/" TargetMode="External"/><Relationship Id="rId704" Type="http://schemas.openxmlformats.org/officeDocument/2006/relationships/hyperlink" Target="https://www.youtube.com/watch?v=KF4GgLSVwnc" TargetMode="External"/><Relationship Id="rId40" Type="http://schemas.openxmlformats.org/officeDocument/2006/relationships/hyperlink" Target="http://www.rawwine.com/" TargetMode="External"/><Relationship Id="rId136" Type="http://schemas.openxmlformats.org/officeDocument/2006/relationships/hyperlink" Target="http://www.chateau-berliquet.com/" TargetMode="External"/><Relationship Id="rId343" Type="http://schemas.openxmlformats.org/officeDocument/2006/relationships/hyperlink" Target="https://www.youtube.com/watch?v=sMrTUk0HsYk" TargetMode="External"/><Relationship Id="rId550" Type="http://schemas.openxmlformats.org/officeDocument/2006/relationships/hyperlink" Target="http://www.adegaviuvagomes.com/" TargetMode="External"/><Relationship Id="rId203" Type="http://schemas.openxmlformats.org/officeDocument/2006/relationships/hyperlink" Target="http://www.chasse-spleen.com/" TargetMode="External"/><Relationship Id="rId648" Type="http://schemas.openxmlformats.org/officeDocument/2006/relationships/hyperlink" Target="http://www.raasaydistillery.com/" TargetMode="External"/><Relationship Id="rId287" Type="http://schemas.openxmlformats.org/officeDocument/2006/relationships/hyperlink" Target="http://domainebachelet.com/" TargetMode="External"/><Relationship Id="rId410" Type="http://schemas.openxmlformats.org/officeDocument/2006/relationships/hyperlink" Target="https://www.roagna.com/" TargetMode="External"/><Relationship Id="rId494" Type="http://schemas.openxmlformats.org/officeDocument/2006/relationships/hyperlink" Target="http://www.consorziomontefalco.it/" TargetMode="External"/><Relationship Id="rId508" Type="http://schemas.openxmlformats.org/officeDocument/2006/relationships/hyperlink" Target="http://www.tenutalachiusa.it/" TargetMode="External"/><Relationship Id="rId715" Type="http://schemas.openxmlformats.org/officeDocument/2006/relationships/hyperlink" Target="http://www.domeyne.fr/"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59ACA-AF50-4425-9CAD-A86B3D4EA71E}">
  <dimension ref="A1:F568"/>
  <sheetViews>
    <sheetView zoomScale="83" zoomScaleNormal="85" workbookViewId="0">
      <pane ySplit="1" topLeftCell="A512" activePane="bottomLeft" state="frozen"/>
      <selection pane="bottomLeft" activeCell="E240" sqref="E240"/>
    </sheetView>
  </sheetViews>
  <sheetFormatPr defaultRowHeight="13"/>
  <cols>
    <col min="1" max="1" width="14.1796875" style="15" bestFit="1" customWidth="1"/>
    <col min="2" max="2" width="25.453125" style="15" customWidth="1"/>
    <col min="3" max="3" width="22.54296875" style="15" customWidth="1"/>
    <col min="4" max="4" width="35.54296875" style="15" bestFit="1" customWidth="1"/>
    <col min="5" max="5" width="17.1796875" customWidth="1"/>
  </cols>
  <sheetData>
    <row r="1" spans="1:6" s="14" customFormat="1" ht="14.5">
      <c r="A1" s="1279" t="s">
        <v>0</v>
      </c>
      <c r="B1" s="1279" t="s">
        <v>1</v>
      </c>
      <c r="C1" s="1279" t="s">
        <v>2</v>
      </c>
      <c r="D1" s="1279" t="s">
        <v>3</v>
      </c>
      <c r="E1" s="1279"/>
    </row>
    <row r="2" spans="1:6" ht="14.5">
      <c r="A2" s="1178" t="s">
        <v>4</v>
      </c>
      <c r="B2" s="1178"/>
      <c r="C2" s="1178"/>
      <c r="D2" s="1178" t="s">
        <v>5</v>
      </c>
      <c r="E2" s="1050" t="str">
        <f>HYPERLINK((("#Main_Tariff!A"&amp;MATCH("*"&amp;LEFT(D2,15)&amp;"*",Main_Tariff!A:A,0))),"Jump to Producer")</f>
        <v>Jump to Producer</v>
      </c>
    </row>
    <row r="3" spans="1:6" ht="14.5">
      <c r="A3" s="1178" t="s">
        <v>6</v>
      </c>
      <c r="B3" s="1178" t="s">
        <v>7</v>
      </c>
      <c r="C3" s="1178"/>
      <c r="D3" s="1178" t="s">
        <v>8</v>
      </c>
      <c r="E3" s="1050" t="str">
        <f>HYPERLINK("#Main_Tariff!A"&amp;MATCH("*"&amp;LEFT(D3,15)&amp;"*",Main_Tariff!A:A,0),"Jump to Producer")</f>
        <v>Jump to Producer</v>
      </c>
    </row>
    <row r="4" spans="1:6" ht="14.5">
      <c r="A4" s="1178" t="s">
        <v>6</v>
      </c>
      <c r="B4" s="1178" t="s">
        <v>7</v>
      </c>
      <c r="C4" s="1178"/>
      <c r="D4" s="1178" t="s">
        <v>9</v>
      </c>
      <c r="E4" s="1050" t="str">
        <f>HYPERLINK("#Main_Tariff!A"&amp;MATCH("*"&amp;LEFT(D4,15)&amp;"*",Main_Tariff!A:A,0),"Jump to Producer")</f>
        <v>Jump to Producer</v>
      </c>
    </row>
    <row r="5" spans="1:6" ht="14.5">
      <c r="A5" s="1178" t="s">
        <v>6</v>
      </c>
      <c r="B5" s="1178" t="s">
        <v>7</v>
      </c>
      <c r="C5" s="1178"/>
      <c r="D5" s="1178" t="s">
        <v>10</v>
      </c>
      <c r="E5" s="1050" t="str">
        <f>HYPERLINK("#Main_Tariff!A"&amp;MATCH("*"&amp;LEFT(D5,15)&amp;"*",Main_Tariff!A:A,0),"Jump to Producer")</f>
        <v>Jump to Producer</v>
      </c>
    </row>
    <row r="6" spans="1:6" ht="14.5">
      <c r="A6" s="1178" t="s">
        <v>6</v>
      </c>
      <c r="B6" s="1178" t="s">
        <v>7</v>
      </c>
      <c r="C6" s="1178"/>
      <c r="D6" s="1178" t="s">
        <v>11</v>
      </c>
      <c r="E6" s="1050" t="str">
        <f>HYPERLINK("#Main_Tariff!A"&amp;MATCH("*"&amp;LEFT(D6,10)&amp;"*",Main_Tariff!A:A,0),"Jump to Producer")</f>
        <v>Jump to Producer</v>
      </c>
    </row>
    <row r="7" spans="1:6" ht="14.5">
      <c r="A7" s="1178" t="s">
        <v>6</v>
      </c>
      <c r="B7" s="1178" t="s">
        <v>7</v>
      </c>
      <c r="C7" s="1178"/>
      <c r="D7" s="1178" t="s">
        <v>12</v>
      </c>
      <c r="E7" s="1051" t="str">
        <f>HYPERLINK((("#Main_Tariff!A"&amp;MATCH("Dehu, Benoit",Main_Tariff!A:A,0))),"Jump to Producer")</f>
        <v>Jump to Producer</v>
      </c>
    </row>
    <row r="8" spans="1:6" ht="14.5">
      <c r="A8" s="1178" t="s">
        <v>6</v>
      </c>
      <c r="B8" s="1178" t="s">
        <v>7</v>
      </c>
      <c r="C8" s="1178"/>
      <c r="D8" s="1178" t="s">
        <v>13</v>
      </c>
      <c r="E8" s="1050" t="str">
        <f>HYPERLINK("#Main_Tariff!A"&amp;MATCH("*"&amp;LEFT(D8,15)&amp;"*",Main_Tariff!A:A,0),"Jump to Producer")</f>
        <v>Jump to Producer</v>
      </c>
    </row>
    <row r="9" spans="1:6" ht="14.5">
      <c r="A9" s="1178" t="s">
        <v>6</v>
      </c>
      <c r="B9" s="1178" t="s">
        <v>7</v>
      </c>
      <c r="C9" s="1178"/>
      <c r="D9" s="1178" t="s">
        <v>14</v>
      </c>
      <c r="E9" s="1050" t="str">
        <f>HYPERLINK("#Main_Tariff!A"&amp;MATCH("*"&amp;LEFT(D9,15)&amp;"*",Main_Tariff!A:A,0),"Jump to Producer")</f>
        <v>Jump to Producer</v>
      </c>
    </row>
    <row r="10" spans="1:6" ht="14.5">
      <c r="A10" s="1178" t="s">
        <v>6</v>
      </c>
      <c r="B10" s="1178" t="s">
        <v>7</v>
      </c>
      <c r="C10" s="1178"/>
      <c r="D10" s="1178" t="s">
        <v>15</v>
      </c>
      <c r="E10" s="1050" t="str">
        <f>HYPERLINK("#Main_Tariff!A"&amp;MATCH("*"&amp;LEFT(D10,15)&amp;"*",Main_Tariff!A:A,0),"Jump to Producer")</f>
        <v>Jump to Producer</v>
      </c>
    </row>
    <row r="11" spans="1:6" ht="14.5">
      <c r="A11" s="1178" t="s">
        <v>6</v>
      </c>
      <c r="B11" s="1178" t="s">
        <v>7</v>
      </c>
      <c r="C11" s="1178"/>
      <c r="D11" s="1178" t="s">
        <v>16</v>
      </c>
      <c r="E11" s="1050" t="str">
        <f>HYPERLINK("#Main_Tariff!A"&amp;MATCH("*"&amp;LEFT(D11,15)&amp;"*",Main_Tariff!A:A,0),"Jump to Producer")</f>
        <v>Jump to Producer</v>
      </c>
    </row>
    <row r="12" spans="1:6" ht="14.5">
      <c r="A12" s="1178" t="s">
        <v>6</v>
      </c>
      <c r="B12" s="1178" t="s">
        <v>7</v>
      </c>
      <c r="C12" s="1178"/>
      <c r="D12" s="1178" t="s">
        <v>17</v>
      </c>
      <c r="E12" s="1050" t="str">
        <f>HYPERLINK("#Main_Tariff!A"&amp;MATCH("*"&amp;LEFT(D12,15)&amp;"*",Main_Tariff!A:A,0),"Jump to Producer")</f>
        <v>Jump to Producer</v>
      </c>
    </row>
    <row r="13" spans="1:6" ht="14.5">
      <c r="A13" s="1178" t="s">
        <v>6</v>
      </c>
      <c r="B13" s="1178" t="s">
        <v>7</v>
      </c>
      <c r="C13" s="1178"/>
      <c r="D13" s="1178" t="s">
        <v>18</v>
      </c>
      <c r="E13" s="1050" t="str">
        <f>HYPERLINK("#Main_Tariff!A"&amp;MATCH("*"&amp;LEFT(D13,10)&amp;"*",Main_Tariff!A:A,0),"Jump to Producer")</f>
        <v>Jump to Producer</v>
      </c>
    </row>
    <row r="14" spans="1:6" ht="14.5">
      <c r="A14" s="1178" t="s">
        <v>6</v>
      </c>
      <c r="B14" s="1178" t="s">
        <v>7</v>
      </c>
      <c r="C14" s="1178"/>
      <c r="D14" s="1178" t="s">
        <v>19</v>
      </c>
      <c r="E14" s="1050" t="str">
        <f>HYPERLINK("#Main_Tariff!A"&amp;MATCH("*"&amp;LEFT(D14,15)&amp;"*",Main_Tariff!A:A,0),"Jump to Producer")</f>
        <v>Jump to Producer</v>
      </c>
    </row>
    <row r="15" spans="1:6" ht="14.5">
      <c r="A15" s="1178" t="s">
        <v>6</v>
      </c>
      <c r="B15" s="1178" t="s">
        <v>20</v>
      </c>
      <c r="C15" s="1178"/>
      <c r="D15" s="1178" t="s">
        <v>21</v>
      </c>
      <c r="E15" s="1050" t="str">
        <f>HYPERLINK("#Main_Tariff!A"&amp;MATCH("*"&amp;LEFT(D15,10)&amp;"*",Main_Tariff!A:A,0),"Jump to Producer")</f>
        <v>Jump to Producer</v>
      </c>
    </row>
    <row r="16" spans="1:6" ht="14.5">
      <c r="A16" s="1178" t="s">
        <v>6</v>
      </c>
      <c r="B16" s="1178" t="s">
        <v>22</v>
      </c>
      <c r="C16" s="1178"/>
      <c r="D16" s="1178" t="s">
        <v>23</v>
      </c>
      <c r="E16" s="1051" t="str">
        <f t="array" ref="E16">HYPERLINK((("#Main_Tariff!B"&amp;MATCH("*"&amp;"Bordeaux Blanc Sec with volume"&amp;"*",Main_Tariff!B:B,0))),"Jump to Section")</f>
        <v>Jump to Section</v>
      </c>
      <c r="F16" s="15"/>
    </row>
    <row r="17" spans="1:6" ht="14.5">
      <c r="A17" s="1178" t="s">
        <v>6</v>
      </c>
      <c r="B17" s="1178" t="s">
        <v>22</v>
      </c>
      <c r="C17" s="1178" t="s">
        <v>24</v>
      </c>
      <c r="D17" s="1178" t="s">
        <v>25</v>
      </c>
      <c r="E17" s="1050" t="str">
        <f>HYPERLINK("#Main_Tariff!A"&amp;MATCH("*"&amp;LEFT(D17,15)&amp;"*",Main_Tariff!A:A,0),"Jump to Producer")</f>
        <v>Jump to Producer</v>
      </c>
      <c r="F17" s="15"/>
    </row>
    <row r="18" spans="1:6" ht="14.5">
      <c r="A18" s="1178" t="s">
        <v>6</v>
      </c>
      <c r="B18" s="1178" t="s">
        <v>22</v>
      </c>
      <c r="C18" s="1178" t="s">
        <v>24</v>
      </c>
      <c r="D18" s="1178" t="s">
        <v>26</v>
      </c>
      <c r="E18" s="1050" t="str">
        <f>HYPERLINK("#Main_Tariff!A"&amp;MATCH("*"&amp;LEFT(D18,15)&amp;"*",Main_Tariff!A:A,0),"Jump to Producer")</f>
        <v>Jump to Producer</v>
      </c>
    </row>
    <row r="19" spans="1:6" ht="14.5">
      <c r="A19" s="1178" t="s">
        <v>6</v>
      </c>
      <c r="B19" s="1178" t="s">
        <v>22</v>
      </c>
      <c r="C19" s="1178" t="s">
        <v>24</v>
      </c>
      <c r="D19" s="1178" t="s">
        <v>27</v>
      </c>
      <c r="E19" s="1050" t="str">
        <f>HYPERLINK("#Main_Tariff!A"&amp;MATCH("*"&amp;LEFT(D19,15)&amp;"*",Main_Tariff!A:A,0),"Jump to Producer")</f>
        <v>Jump to Producer</v>
      </c>
    </row>
    <row r="20" spans="1:6" ht="14.5">
      <c r="A20" s="1178" t="s">
        <v>6</v>
      </c>
      <c r="B20" s="1178" t="s">
        <v>22</v>
      </c>
      <c r="C20" s="1178" t="s">
        <v>24</v>
      </c>
      <c r="D20" s="1178" t="s">
        <v>28</v>
      </c>
      <c r="E20" s="1050" t="str">
        <f>HYPERLINK("#Main_Tariff!A"&amp;MATCH("*"&amp;LEFT(D20,15)&amp;"*",Main_Tariff!A:A,0),"Jump to Producer")</f>
        <v>Jump to Producer</v>
      </c>
    </row>
    <row r="21" spans="1:6" ht="14.5">
      <c r="A21" s="1178" t="s">
        <v>6</v>
      </c>
      <c r="B21" s="1178" t="s">
        <v>22</v>
      </c>
      <c r="C21" s="1178" t="s">
        <v>24</v>
      </c>
      <c r="D21" s="1178" t="s">
        <v>29</v>
      </c>
      <c r="E21" s="1051" t="str">
        <f t="array" ref="E21">HYPERLINK((("#Main_Tariff!A"&amp;MATCH("*"&amp;MID(D21,3,9)&amp;"*",Main_Tariff!A:A,0))),"Jump to Producer")</f>
        <v>Jump to Producer</v>
      </c>
    </row>
    <row r="22" spans="1:6" ht="14.5">
      <c r="A22" s="1178" t="s">
        <v>6</v>
      </c>
      <c r="B22" s="1178" t="s">
        <v>22</v>
      </c>
      <c r="C22" s="1178" t="s">
        <v>24</v>
      </c>
      <c r="D22" s="1178" t="s">
        <v>30</v>
      </c>
      <c r="E22" s="1050" t="str">
        <f>HYPERLINK("#Main_Tariff!A"&amp;MATCH("*"&amp;LEFT(D22,15)&amp;"*",Main_Tariff!A:A,0),"Jump to Producer")</f>
        <v>Jump to Producer</v>
      </c>
    </row>
    <row r="23" spans="1:6" ht="14.5">
      <c r="A23" s="1178" t="s">
        <v>6</v>
      </c>
      <c r="B23" s="1178" t="s">
        <v>22</v>
      </c>
      <c r="C23" s="1178" t="s">
        <v>24</v>
      </c>
      <c r="D23" s="1178" t="s">
        <v>31</v>
      </c>
      <c r="E23" s="1050" t="str">
        <f>HYPERLINK("#Main_Tariff!A"&amp;MATCH("*"&amp;LEFT(D23,15)&amp;"*",Main_Tariff!A:A,0),"Jump to Producer")</f>
        <v>Jump to Producer</v>
      </c>
    </row>
    <row r="24" spans="1:6" ht="14.5">
      <c r="A24" s="1178" t="s">
        <v>6</v>
      </c>
      <c r="B24" s="1178" t="s">
        <v>22</v>
      </c>
      <c r="C24" s="1178" t="s">
        <v>24</v>
      </c>
      <c r="D24" s="1178" t="s">
        <v>32</v>
      </c>
      <c r="E24" s="1051" t="str">
        <f t="array" ref="E24">HYPERLINK((("#Main_Tariff!A"&amp;MATCH("*"&amp;MID(D24,4,9)&amp;"*",Main_Tariff!A:A,0))),"Jump to Producer")</f>
        <v>Jump to Producer</v>
      </c>
    </row>
    <row r="25" spans="1:6" ht="14.5">
      <c r="A25" s="1178" t="s">
        <v>6</v>
      </c>
      <c r="B25" s="1178" t="s">
        <v>22</v>
      </c>
      <c r="C25" s="1178" t="s">
        <v>24</v>
      </c>
      <c r="D25" s="1178" t="s">
        <v>33</v>
      </c>
      <c r="E25" s="1050" t="str">
        <f>HYPERLINK("#Main_Tariff!A"&amp;MATCH("*"&amp;LEFT(D25,15)&amp;"*",Main_Tariff!A:A,0),"Jump to Producer")</f>
        <v>Jump to Producer</v>
      </c>
    </row>
    <row r="26" spans="1:6" ht="14.5">
      <c r="A26" s="1178" t="s">
        <v>6</v>
      </c>
      <c r="B26" s="1178" t="s">
        <v>22</v>
      </c>
      <c r="C26" s="1178" t="s">
        <v>24</v>
      </c>
      <c r="D26" s="1178" t="s">
        <v>34</v>
      </c>
      <c r="E26" s="1050" t="str">
        <f>HYPERLINK("#Main_Tariff!A"&amp;MATCH("*"&amp;LEFT(D26,15)&amp;"*",Main_Tariff!A:A,0),"Jump to Producer")</f>
        <v>Jump to Producer</v>
      </c>
    </row>
    <row r="27" spans="1:6" ht="14.5">
      <c r="A27" s="1178" t="s">
        <v>6</v>
      </c>
      <c r="B27" s="1178" t="s">
        <v>22</v>
      </c>
      <c r="C27" s="1178" t="s">
        <v>24</v>
      </c>
      <c r="D27" s="1178" t="s">
        <v>35</v>
      </c>
      <c r="E27" s="1050" t="str">
        <f>HYPERLINK("#Main_Tariff!A"&amp;MATCH("*"&amp;LEFT(D27,15)&amp;",*",Main_Tariff!A:A,0),"Jump to Producer")</f>
        <v>Jump to Producer</v>
      </c>
    </row>
    <row r="28" spans="1:6" ht="14.5">
      <c r="A28" s="1178" t="s">
        <v>6</v>
      </c>
      <c r="B28" s="1178" t="s">
        <v>22</v>
      </c>
      <c r="C28" s="1178" t="s">
        <v>24</v>
      </c>
      <c r="D28" s="1178" t="s">
        <v>36</v>
      </c>
      <c r="E28" s="1050" t="str">
        <f>HYPERLINK("#Main_Tariff!A"&amp;MATCH("*"&amp;LEFT(D28,15)&amp;"*",Main_Tariff!A:A,0),"Jump to Producer")</f>
        <v>Jump to Producer</v>
      </c>
    </row>
    <row r="29" spans="1:6" ht="14.5">
      <c r="A29" s="1178" t="s">
        <v>6</v>
      </c>
      <c r="B29" s="1178" t="s">
        <v>22</v>
      </c>
      <c r="C29" s="1178" t="s">
        <v>24</v>
      </c>
      <c r="D29" s="1178" t="s">
        <v>37</v>
      </c>
      <c r="E29" s="1050" t="str">
        <f>HYPERLINK("#Main_Tariff!A"&amp;MATCH("*"&amp;LEFT(D29,15)&amp;",*",Main_Tariff!A:A,0),"Jump to Producer")</f>
        <v>Jump to Producer</v>
      </c>
    </row>
    <row r="30" spans="1:6" ht="14.5">
      <c r="A30" s="1178" t="s">
        <v>6</v>
      </c>
      <c r="B30" s="1178" t="s">
        <v>22</v>
      </c>
      <c r="C30" s="1178" t="s">
        <v>24</v>
      </c>
      <c r="D30" s="1178" t="s">
        <v>38</v>
      </c>
      <c r="E30" s="1051" t="str">
        <f t="array" ref="E30">HYPERLINK((("#Main_Tariff!A"&amp;MATCH(LEFT(D30,10)&amp;"*",Main_Tariff!A:A,0))),"Jump to Producer")</f>
        <v>Jump to Producer</v>
      </c>
    </row>
    <row r="31" spans="1:6" ht="14.5">
      <c r="A31" s="1178" t="s">
        <v>6</v>
      </c>
      <c r="B31" s="1178" t="s">
        <v>22</v>
      </c>
      <c r="C31" s="1178" t="s">
        <v>24</v>
      </c>
      <c r="D31" s="1178" t="s">
        <v>39</v>
      </c>
      <c r="E31" s="1050" t="str">
        <f>HYPERLINK("#Main_Tariff!A"&amp;MATCH("*"&amp;LEFT(D31,15)&amp;"*",Main_Tariff!A:A,0),"Jump to Producer")</f>
        <v>Jump to Producer</v>
      </c>
    </row>
    <row r="32" spans="1:6" ht="14.5">
      <c r="A32" s="1178" t="s">
        <v>6</v>
      </c>
      <c r="B32" s="1178" t="s">
        <v>22</v>
      </c>
      <c r="C32" s="1178" t="s">
        <v>24</v>
      </c>
      <c r="D32" s="1178" t="s">
        <v>40</v>
      </c>
      <c r="E32" s="1050" t="str">
        <f>HYPERLINK("#Main_Tariff!A"&amp;MATCH("*"&amp;LEFT(D32,15)&amp;"*",Main_Tariff!A:A,0),"Jump to Producer")</f>
        <v>Jump to Producer</v>
      </c>
    </row>
    <row r="33" spans="1:5" ht="14.5">
      <c r="A33" s="1178" t="s">
        <v>6</v>
      </c>
      <c r="B33" s="1178" t="s">
        <v>22</v>
      </c>
      <c r="C33" s="1178" t="s">
        <v>24</v>
      </c>
      <c r="D33" s="1178" t="s">
        <v>41</v>
      </c>
      <c r="E33" s="1050" t="str">
        <f>HYPERLINK("#Main_Tariff!A"&amp;MATCH("*"&amp;LEFT(D33,15)&amp;"*",Main_Tariff!A:A,0),"Jump to Producer")</f>
        <v>Jump to Producer</v>
      </c>
    </row>
    <row r="34" spans="1:5" ht="14.5">
      <c r="A34" s="1178" t="s">
        <v>6</v>
      </c>
      <c r="B34" s="1178" t="s">
        <v>22</v>
      </c>
      <c r="C34" s="1178" t="s">
        <v>42</v>
      </c>
      <c r="D34" s="1178" t="s">
        <v>43</v>
      </c>
      <c r="E34" s="1050" t="str">
        <f>HYPERLINK("#Main_Tariff!A"&amp;MATCH("*"&amp;LEFT(D34,15)&amp;"*",Main_Tariff!A:A,0),"Jump to Producer")</f>
        <v>Jump to Producer</v>
      </c>
    </row>
    <row r="35" spans="1:5" ht="14.5">
      <c r="A35" s="1178" t="s">
        <v>6</v>
      </c>
      <c r="B35" s="1178" t="s">
        <v>22</v>
      </c>
      <c r="C35" s="1178" t="s">
        <v>42</v>
      </c>
      <c r="D35" s="1178" t="s">
        <v>44</v>
      </c>
      <c r="E35" s="1050" t="str">
        <f>HYPERLINK("#Main_Tariff!A"&amp;MATCH("*"&amp;LEFT(D35,15)&amp;"*",Main_Tariff!A:A,0),"Jump to Producer")</f>
        <v>Jump to Producer</v>
      </c>
    </row>
    <row r="36" spans="1:5" ht="14.5">
      <c r="A36" s="1178" t="s">
        <v>6</v>
      </c>
      <c r="B36" s="1178" t="s">
        <v>22</v>
      </c>
      <c r="C36" s="1178" t="s">
        <v>42</v>
      </c>
      <c r="D36" s="1178" t="s">
        <v>45</v>
      </c>
      <c r="E36" s="1050" t="str">
        <f>HYPERLINK("#Main_Tariff!A"&amp;MATCH("*"&amp;LEFT(D36,15)&amp;"*",Main_Tariff!A:A,0),"Jump to Producer")</f>
        <v>Jump to Producer</v>
      </c>
    </row>
    <row r="37" spans="1:5" ht="14.5">
      <c r="A37" s="1178" t="s">
        <v>6</v>
      </c>
      <c r="B37" s="1178" t="s">
        <v>22</v>
      </c>
      <c r="C37" s="1178" t="s">
        <v>42</v>
      </c>
      <c r="D37" s="1178" t="s">
        <v>46</v>
      </c>
      <c r="E37" s="1051" t="str">
        <f t="array" ref="E37">HYPERLINK((("#Main_Tariff!A"&amp;MATCH("*"&amp;MID(D37,13,10)&amp;"*",Main_Tariff!A:A,0))),"Jump to Producer")</f>
        <v>Jump to Producer</v>
      </c>
    </row>
    <row r="38" spans="1:5" ht="14.5">
      <c r="A38" s="1178" t="s">
        <v>6</v>
      </c>
      <c r="B38" s="1178" t="s">
        <v>22</v>
      </c>
      <c r="C38" s="1178" t="s">
        <v>42</v>
      </c>
      <c r="D38" s="1178" t="s">
        <v>47</v>
      </c>
      <c r="E38" s="1050" t="str">
        <f>HYPERLINK("#Main_Tariff!A"&amp;MATCH("*"&amp;LEFT(D38,15)&amp;"*",Main_Tariff!A:A,0),"Jump to Producer")</f>
        <v>Jump to Producer</v>
      </c>
    </row>
    <row r="39" spans="1:5" ht="14.5">
      <c r="A39" s="1178" t="s">
        <v>6</v>
      </c>
      <c r="B39" s="1178" t="s">
        <v>22</v>
      </c>
      <c r="C39" s="1178" t="s">
        <v>42</v>
      </c>
      <c r="D39" s="1178" t="s">
        <v>48</v>
      </c>
      <c r="E39" s="1050" t="str">
        <f>HYPERLINK("#Main_Tariff!A"&amp;MATCH("*"&amp;LEFT(D39,15)&amp;"*",Main_Tariff!A:A,0),"Jump to Producer")</f>
        <v>Jump to Producer</v>
      </c>
    </row>
    <row r="40" spans="1:5" ht="14.5">
      <c r="A40" s="1178" t="s">
        <v>6</v>
      </c>
      <c r="B40" s="1178" t="s">
        <v>22</v>
      </c>
      <c r="C40" s="1178" t="s">
        <v>42</v>
      </c>
      <c r="D40" s="1178" t="s">
        <v>49</v>
      </c>
      <c r="E40" s="1050" t="str">
        <f>HYPERLINK("#Main_Tariff!A"&amp;MATCH("*"&amp;LEFT(D40,15)&amp;"*",Main_Tariff!A:A,0),"Jump to Producer")</f>
        <v>Jump to Producer</v>
      </c>
    </row>
    <row r="41" spans="1:5" ht="14.5">
      <c r="A41" s="1178" t="s">
        <v>6</v>
      </c>
      <c r="B41" s="1178" t="s">
        <v>22</v>
      </c>
      <c r="C41" s="1178" t="s">
        <v>42</v>
      </c>
      <c r="D41" s="1178" t="s">
        <v>50</v>
      </c>
      <c r="E41" s="1051" t="str">
        <f>HYPERLINK((("#Main_Tariff!A"&amp;MATCH("*"&amp;MID(D41,4,9)&amp;"*",Main_Tariff!A:A,0))),"Jump to Producer")</f>
        <v>Jump to Producer</v>
      </c>
    </row>
    <row r="42" spans="1:5" ht="14.5">
      <c r="A42" s="1178" t="s">
        <v>6</v>
      </c>
      <c r="B42" s="1178" t="s">
        <v>22</v>
      </c>
      <c r="C42" s="1178" t="s">
        <v>42</v>
      </c>
      <c r="D42" s="1178" t="s">
        <v>51</v>
      </c>
      <c r="E42" s="1050" t="str">
        <f>HYPERLINK("#Main_Tariff!A"&amp;MATCH("*"&amp;LEFT(D42,15)&amp;"*",Main_Tariff!A:A,0),"Jump to Producer")</f>
        <v>Jump to Producer</v>
      </c>
    </row>
    <row r="43" spans="1:5" ht="14.5">
      <c r="A43" s="1178" t="s">
        <v>6</v>
      </c>
      <c r="B43" s="1178" t="s">
        <v>22</v>
      </c>
      <c r="C43" s="1178" t="s">
        <v>42</v>
      </c>
      <c r="D43" s="1178" t="s">
        <v>52</v>
      </c>
      <c r="E43" s="1050" t="str">
        <f>HYPERLINK("#Main_Tariff!A"&amp;MATCH("*"&amp;LEFT(D43,15)&amp;"*",Main_Tariff!A:A,0),"Jump to Producer")</f>
        <v>Jump to Producer</v>
      </c>
    </row>
    <row r="44" spans="1:5" ht="14.5">
      <c r="A44" s="1178" t="s">
        <v>6</v>
      </c>
      <c r="B44" s="1178" t="s">
        <v>22</v>
      </c>
      <c r="C44" s="1178" t="s">
        <v>42</v>
      </c>
      <c r="D44" s="1178" t="s">
        <v>53</v>
      </c>
      <c r="E44" s="1050" t="str">
        <f>HYPERLINK("#Main_Tariff!A"&amp;MATCH("*"&amp;LEFT(D44,15)&amp;"*",Main_Tariff!A:A,0),"Jump to Producer")</f>
        <v>Jump to Producer</v>
      </c>
    </row>
    <row r="45" spans="1:5" ht="14.5">
      <c r="A45" s="1178" t="s">
        <v>6</v>
      </c>
      <c r="B45" s="1178" t="s">
        <v>22</v>
      </c>
      <c r="C45" s="1178" t="s">
        <v>42</v>
      </c>
      <c r="D45" s="1178" t="s">
        <v>54</v>
      </c>
      <c r="E45" s="1051" t="str">
        <f t="array" ref="E45">HYPERLINK((("#Main_Tariff!A"&amp;MATCH(LEFT(D45,10)&amp;"*",Main_Tariff!A:A,0))),"Jump to Producer")</f>
        <v>Jump to Producer</v>
      </c>
    </row>
    <row r="46" spans="1:5" ht="14.5">
      <c r="A46" s="1178" t="s">
        <v>6</v>
      </c>
      <c r="B46" s="1178" t="s">
        <v>22</v>
      </c>
      <c r="C46" s="1178" t="s">
        <v>42</v>
      </c>
      <c r="D46" s="1178" t="s">
        <v>55</v>
      </c>
      <c r="E46" s="1050" t="str">
        <f>HYPERLINK("#Main_Tariff!A"&amp;MATCH("*"&amp;LEFT(D46,15)&amp;"*",Main_Tariff!A:A,0),"Jump to Producer")</f>
        <v>Jump to Producer</v>
      </c>
    </row>
    <row r="47" spans="1:5" ht="14.5">
      <c r="A47" s="1178" t="s">
        <v>6</v>
      </c>
      <c r="B47" s="1178" t="s">
        <v>22</v>
      </c>
      <c r="C47" s="1178" t="s">
        <v>42</v>
      </c>
      <c r="D47" s="1178" t="s">
        <v>56</v>
      </c>
      <c r="E47" s="1050" t="str">
        <f>HYPERLINK("#Main_Tariff!A"&amp;MATCH("*"&amp;LEFT(D47,15)&amp;"*",Main_Tariff!A:A,0),"Jump to Producer")</f>
        <v>Jump to Producer</v>
      </c>
    </row>
    <row r="48" spans="1:5" ht="14.5">
      <c r="A48" s="1178" t="s">
        <v>6</v>
      </c>
      <c r="B48" s="1178" t="s">
        <v>22</v>
      </c>
      <c r="C48" s="1178" t="s">
        <v>42</v>
      </c>
      <c r="D48" s="1178" t="s">
        <v>57</v>
      </c>
      <c r="E48" s="1051" t="str">
        <f t="array" ref="E48">HYPERLINK((("#Main_Tariff!A"&amp;MATCH(LEFT(D48,10)&amp;"*",Main_Tariff!A:A,0))),"Jump to Producer")</f>
        <v>Jump to Producer</v>
      </c>
    </row>
    <row r="49" spans="1:5" ht="14.5">
      <c r="A49" s="1178" t="s">
        <v>6</v>
      </c>
      <c r="B49" s="1178" t="s">
        <v>22</v>
      </c>
      <c r="C49" s="1178" t="s">
        <v>42</v>
      </c>
      <c r="D49" s="1178" t="s">
        <v>58</v>
      </c>
      <c r="E49" s="1051" t="str">
        <f t="array" ref="E49">HYPERLINK((("#Main_Tariff!A"&amp;MATCH("*"&amp;MID(D49,5,9)&amp;"*",Main_Tariff!A:A,0))),"Jump to Producer")</f>
        <v>Jump to Producer</v>
      </c>
    </row>
    <row r="50" spans="1:5" ht="14.5">
      <c r="A50" s="1178" t="s">
        <v>6</v>
      </c>
      <c r="B50" s="1178" t="s">
        <v>22</v>
      </c>
      <c r="C50" s="1178" t="s">
        <v>42</v>
      </c>
      <c r="D50" s="1178" t="s">
        <v>59</v>
      </c>
      <c r="E50" s="1051" t="str">
        <f t="array" ref="E50">HYPERLINK((("#Main_Tariff!A"&amp;MATCH(LEFT(D50,10)&amp;"*",Main_Tariff!A:A,0))),"Jump to Producer")</f>
        <v>Jump to Producer</v>
      </c>
    </row>
    <row r="51" spans="1:5" ht="14.5">
      <c r="A51" s="1178" t="s">
        <v>6</v>
      </c>
      <c r="B51" s="1178" t="s">
        <v>22</v>
      </c>
      <c r="C51" s="1178" t="s">
        <v>42</v>
      </c>
      <c r="D51" s="1178" t="s">
        <v>60</v>
      </c>
      <c r="E51" s="1051" t="str">
        <f t="array" ref="E51">HYPERLINK((("#Main_Tariff!A"&amp;MATCH(LEFT(D51,10)&amp;"*",Main_Tariff!A:A,0))),"Jump to Producer")</f>
        <v>Jump to Producer</v>
      </c>
    </row>
    <row r="52" spans="1:5" ht="14.5">
      <c r="A52" s="1178" t="s">
        <v>6</v>
      </c>
      <c r="B52" s="1178" t="s">
        <v>22</v>
      </c>
      <c r="C52" s="1178" t="s">
        <v>42</v>
      </c>
      <c r="D52" s="1178" t="s">
        <v>61</v>
      </c>
      <c r="E52" s="1051" t="str">
        <f t="array" ref="E52">HYPERLINK((("#Main_Tariff!A"&amp;MATCH(D52,Main_Tariff!A:A,0))),"Jump to Producer")</f>
        <v>Jump to Producer</v>
      </c>
    </row>
    <row r="53" spans="1:5" ht="14.5">
      <c r="A53" s="1178" t="s">
        <v>6</v>
      </c>
      <c r="B53" s="1178" t="s">
        <v>22</v>
      </c>
      <c r="C53" s="1178" t="s">
        <v>42</v>
      </c>
      <c r="D53" s="1178" t="s">
        <v>62</v>
      </c>
      <c r="E53" s="1050" t="str">
        <f>HYPERLINK("#Main_Tariff!A"&amp;MATCH("*"&amp;LEFT(D53,15)&amp;"*",Main_Tariff!A:A,0),"Jump to Producer")</f>
        <v>Jump to Producer</v>
      </c>
    </row>
    <row r="54" spans="1:5" ht="14.5">
      <c r="A54" s="1178" t="s">
        <v>6</v>
      </c>
      <c r="B54" s="1178" t="s">
        <v>22</v>
      </c>
      <c r="C54" s="1178" t="s">
        <v>42</v>
      </c>
      <c r="D54" s="1178" t="s">
        <v>63</v>
      </c>
      <c r="E54" s="1050" t="str">
        <f>HYPERLINK("#Main_Tariff!A"&amp;MATCH("*"&amp;LEFT(D54,15)&amp;"*",Main_Tariff!A:A,0),"Jump to Producer")</f>
        <v>Jump to Producer</v>
      </c>
    </row>
    <row r="55" spans="1:5" ht="14.5">
      <c r="A55" s="1178" t="s">
        <v>6</v>
      </c>
      <c r="B55" s="1178" t="s">
        <v>22</v>
      </c>
      <c r="C55" s="1178" t="s">
        <v>42</v>
      </c>
      <c r="D55" s="1178" t="s">
        <v>64</v>
      </c>
      <c r="E55" s="1050" t="str">
        <f>HYPERLINK("#Main_Tariff!A"&amp;MATCH("*"&amp;LEFT(D55,15)&amp;"*",Main_Tariff!A:A,0),"Jump to Producer")</f>
        <v>Jump to Producer</v>
      </c>
    </row>
    <row r="56" spans="1:5" ht="14.5">
      <c r="A56" s="1178" t="s">
        <v>6</v>
      </c>
      <c r="B56" s="1178" t="s">
        <v>22</v>
      </c>
      <c r="C56" s="1178" t="s">
        <v>42</v>
      </c>
      <c r="D56" s="1178" t="s">
        <v>65</v>
      </c>
      <c r="E56" s="1050" t="str">
        <f>HYPERLINK("#Main_Tariff!A"&amp;MATCH("*"&amp;LEFT(D56,15)&amp;"*",Main_Tariff!A:A,0),"Jump to Producer")</f>
        <v>Jump to Producer</v>
      </c>
    </row>
    <row r="57" spans="1:5" ht="14.5">
      <c r="A57" s="1178" t="s">
        <v>6</v>
      </c>
      <c r="B57" s="1178" t="s">
        <v>22</v>
      </c>
      <c r="C57" s="1178" t="s">
        <v>42</v>
      </c>
      <c r="D57" s="1178" t="s">
        <v>66</v>
      </c>
      <c r="E57" s="1050" t="str">
        <f>HYPERLINK("#Main_Tariff!A"&amp;MATCH("*"&amp;LEFT(D57,15)&amp;"*",Main_Tariff!A:A,0),"Jump to Producer")</f>
        <v>Jump to Producer</v>
      </c>
    </row>
    <row r="58" spans="1:5" ht="14.5">
      <c r="A58" s="1178" t="s">
        <v>6</v>
      </c>
      <c r="B58" s="1178" t="s">
        <v>22</v>
      </c>
      <c r="C58" s="1178" t="s">
        <v>42</v>
      </c>
      <c r="D58" s="1178" t="s">
        <v>67</v>
      </c>
      <c r="E58" s="1050" t="str">
        <f>HYPERLINK("#Main_Tariff!A"&amp;MATCH("*"&amp;LEFT(D58,15)&amp;"*",Main_Tariff!A:A,0),"Jump to Producer")</f>
        <v>Jump to Producer</v>
      </c>
    </row>
    <row r="59" spans="1:5" ht="14.5">
      <c r="A59" s="1178" t="s">
        <v>6</v>
      </c>
      <c r="B59" s="1178" t="s">
        <v>22</v>
      </c>
      <c r="C59" s="1178" t="s">
        <v>42</v>
      </c>
      <c r="D59" s="1178" t="s">
        <v>68</v>
      </c>
      <c r="E59" s="1050" t="str">
        <f>HYPERLINK("#Main_Tariff!A"&amp;MATCH("*"&amp;LEFT(D59,15)&amp;"*",Main_Tariff!A:A,0),"Jump to Producer")</f>
        <v>Jump to Producer</v>
      </c>
    </row>
    <row r="60" spans="1:5" ht="14.5">
      <c r="A60" s="1178" t="s">
        <v>6</v>
      </c>
      <c r="B60" s="1178" t="s">
        <v>22</v>
      </c>
      <c r="C60" s="1178" t="s">
        <v>42</v>
      </c>
      <c r="D60" s="1178" t="s">
        <v>69</v>
      </c>
      <c r="E60" s="1050" t="str">
        <f>HYPERLINK("#Main_Tariff!A"&amp;MATCH("*"&amp;LEFT(D60,15)&amp;"*",Main_Tariff!A:A,0),"Jump to Producer")</f>
        <v>Jump to Producer</v>
      </c>
    </row>
    <row r="61" spans="1:5" ht="14.5">
      <c r="A61" s="1178" t="s">
        <v>6</v>
      </c>
      <c r="B61" s="1178" t="s">
        <v>22</v>
      </c>
      <c r="C61" s="1178" t="s">
        <v>42</v>
      </c>
      <c r="D61" s="1178" t="s">
        <v>70</v>
      </c>
      <c r="E61" s="1051" t="str">
        <f t="array" ref="E61">HYPERLINK((("#Main_Tariff!A"&amp;MATCH(LEFT(D61,10)&amp;"*",Main_Tariff!A:A,0))),"Jump to Producer")</f>
        <v>Jump to Producer</v>
      </c>
    </row>
    <row r="62" spans="1:5" ht="14.5">
      <c r="A62" s="1178" t="s">
        <v>6</v>
      </c>
      <c r="B62" s="1178" t="s">
        <v>22</v>
      </c>
      <c r="C62" s="1178" t="s">
        <v>42</v>
      </c>
      <c r="D62" s="1178" t="s">
        <v>71</v>
      </c>
      <c r="E62" s="1050" t="str">
        <f>HYPERLINK("#Main_Tariff!A"&amp;MATCH("*"&amp;LEFT(D62,15)&amp;"*",Main_Tariff!A:A,0),"Jump to Producer")</f>
        <v>Jump to Producer</v>
      </c>
    </row>
    <row r="63" spans="1:5" ht="14.5">
      <c r="A63" s="1178" t="s">
        <v>6</v>
      </c>
      <c r="B63" s="1178" t="s">
        <v>22</v>
      </c>
      <c r="C63" s="1178" t="s">
        <v>42</v>
      </c>
      <c r="D63" s="1178" t="s">
        <v>72</v>
      </c>
      <c r="E63" s="1050" t="str">
        <f>HYPERLINK("#Main_Tariff!A"&amp;MATCH("*"&amp;LEFT(D63,15)&amp;"*",Main_Tariff!A:A,0),"Jump to Producer")</f>
        <v>Jump to Producer</v>
      </c>
    </row>
    <row r="64" spans="1:5" ht="14.5">
      <c r="A64" s="1178" t="s">
        <v>6</v>
      </c>
      <c r="B64" s="1178" t="s">
        <v>22</v>
      </c>
      <c r="C64" s="1178" t="s">
        <v>42</v>
      </c>
      <c r="D64" s="1178" t="s">
        <v>73</v>
      </c>
      <c r="E64" s="1051" t="str">
        <f t="array" ref="E64">HYPERLINK((("#Main_Tariff!A"&amp;MATCH(LEFT(D64,7)&amp;"*",Main_Tariff!A:A,0))),"Jump to Producer")</f>
        <v>Jump to Producer</v>
      </c>
    </row>
    <row r="65" spans="1:5" ht="14.5">
      <c r="A65" s="1178" t="s">
        <v>6</v>
      </c>
      <c r="B65" s="1178" t="s">
        <v>22</v>
      </c>
      <c r="C65" s="1178" t="s">
        <v>42</v>
      </c>
      <c r="D65" s="1178" t="s">
        <v>74</v>
      </c>
      <c r="E65" s="1050" t="str">
        <f>HYPERLINK("#Main_Tariff!A"&amp;MATCH("*"&amp;LEFT(D65,15)&amp;"*",Main_Tariff!A:A,0),"Jump to Producer")</f>
        <v>Jump to Producer</v>
      </c>
    </row>
    <row r="66" spans="1:5" ht="14.5">
      <c r="A66" s="1178" t="s">
        <v>6</v>
      </c>
      <c r="B66" s="1178" t="s">
        <v>22</v>
      </c>
      <c r="C66" s="1178" t="s">
        <v>42</v>
      </c>
      <c r="D66" s="1178" t="s">
        <v>75</v>
      </c>
      <c r="E66" s="1051" t="str">
        <f t="array" ref="E66">HYPERLINK((("#Main_Tariff!A"&amp;MATCH(LEFT(D66,10)&amp;"*",Main_Tariff!A:A,0))),"Jump to Producer")</f>
        <v>Jump to Producer</v>
      </c>
    </row>
    <row r="67" spans="1:5" ht="14.5">
      <c r="A67" s="1178" t="s">
        <v>6</v>
      </c>
      <c r="B67" s="1178" t="s">
        <v>22</v>
      </c>
      <c r="C67" s="1178" t="s">
        <v>42</v>
      </c>
      <c r="D67" s="1178" t="s">
        <v>76</v>
      </c>
      <c r="E67" s="1050" t="str">
        <f>HYPERLINK("#Main_Tariff!A"&amp;MATCH("*"&amp;LEFT(D67,15)&amp;"*",Main_Tariff!A:A,0),"Jump to Producer")</f>
        <v>Jump to Producer</v>
      </c>
    </row>
    <row r="68" spans="1:5" ht="14.5">
      <c r="A68" s="1178" t="s">
        <v>6</v>
      </c>
      <c r="B68" s="1178" t="s">
        <v>22</v>
      </c>
      <c r="C68" s="1178" t="s">
        <v>42</v>
      </c>
      <c r="D68" s="1178" t="s">
        <v>77</v>
      </c>
      <c r="E68" s="1050" t="str">
        <f>HYPERLINK("#Main_Tariff!A"&amp;MATCH("*"&amp;LEFT(D68,15)&amp;"*",Main_Tariff!A:A,0),"Jump to Producer")</f>
        <v>Jump to Producer</v>
      </c>
    </row>
    <row r="69" spans="1:5" ht="14.5">
      <c r="A69" s="1178" t="s">
        <v>6</v>
      </c>
      <c r="B69" s="1178" t="s">
        <v>22</v>
      </c>
      <c r="C69" s="1178" t="s">
        <v>78</v>
      </c>
      <c r="D69" s="1178" t="s">
        <v>79</v>
      </c>
      <c r="E69" s="1051" t="str">
        <f t="array" ref="E69">HYPERLINK((("#Main_Tariff!A"&amp;MATCH(LEFT(D69,10)&amp;"*",Main_Tariff!A:A,0))),"Jump to Producer")</f>
        <v>Jump to Producer</v>
      </c>
    </row>
    <row r="70" spans="1:5" ht="14.5">
      <c r="A70" s="1178" t="s">
        <v>6</v>
      </c>
      <c r="B70" s="1178" t="s">
        <v>22</v>
      </c>
      <c r="C70" s="1178" t="s">
        <v>80</v>
      </c>
      <c r="D70" s="1178" t="s">
        <v>81</v>
      </c>
      <c r="E70" s="1051" t="str">
        <f t="array" ref="E70">HYPERLINK((("#Main_Tariff!A"&amp;MATCH(LEFT(D70,10)&amp;"*",Main_Tariff!A:A,0))),"Jump to Producer")</f>
        <v>Jump to Producer</v>
      </c>
    </row>
    <row r="71" spans="1:5" ht="14.5">
      <c r="A71" s="1178" t="s">
        <v>6</v>
      </c>
      <c r="B71" s="1178" t="s">
        <v>22</v>
      </c>
      <c r="C71" s="1178" t="s">
        <v>80</v>
      </c>
      <c r="D71" s="1178" t="s">
        <v>82</v>
      </c>
      <c r="E71" s="1051" t="str">
        <f t="array" ref="E71">HYPERLINK((("#Main_Tariff!A"&amp;MATCH(LEFT(D71,10)&amp;"*",Main_Tariff!A:A,0))),"Jump to Producer")</f>
        <v>Jump to Producer</v>
      </c>
    </row>
    <row r="72" spans="1:5" ht="14.5">
      <c r="A72" s="1178" t="s">
        <v>6</v>
      </c>
      <c r="B72" s="1178" t="s">
        <v>22</v>
      </c>
      <c r="C72" s="1178" t="s">
        <v>83</v>
      </c>
      <c r="D72" s="1178" t="s">
        <v>84</v>
      </c>
      <c r="E72" s="1050" t="str">
        <f>HYPERLINK("#Main_Tariff!A"&amp;MATCH("*"&amp;LEFT(D72,15)&amp;"*",Main_Tariff!A:A,0),"Jump to Producer")</f>
        <v>Jump to Producer</v>
      </c>
    </row>
    <row r="73" spans="1:5" ht="14.5">
      <c r="A73" s="1178" t="s">
        <v>6</v>
      </c>
      <c r="B73" s="1178" t="s">
        <v>22</v>
      </c>
      <c r="C73" s="1178" t="s">
        <v>85</v>
      </c>
      <c r="D73" s="1178" t="s">
        <v>86</v>
      </c>
      <c r="E73" s="1050" t="str">
        <f>HYPERLINK("#Main_Tariff!A"&amp;MATCH("*"&amp;LEFT(D73,15)&amp;"*",Main_Tariff!A:A,0),"Jump to Producer")</f>
        <v>Jump to Producer</v>
      </c>
    </row>
    <row r="74" spans="1:5" ht="14.5">
      <c r="A74" s="1178" t="s">
        <v>6</v>
      </c>
      <c r="B74" s="1178" t="s">
        <v>22</v>
      </c>
      <c r="C74" s="1178" t="s">
        <v>85</v>
      </c>
      <c r="D74" s="1178" t="s">
        <v>87</v>
      </c>
      <c r="E74" s="1050" t="str">
        <f>HYPERLINK("#Main_Tariff!A"&amp;MATCH("*"&amp;LEFT(D74,15)&amp;"*",Main_Tariff!A:A,0),"Jump to Producer")</f>
        <v>Jump to Producer</v>
      </c>
    </row>
    <row r="75" spans="1:5" ht="14.5">
      <c r="A75" s="1178" t="s">
        <v>6</v>
      </c>
      <c r="B75" s="1178" t="s">
        <v>22</v>
      </c>
      <c r="C75" s="1178" t="s">
        <v>88</v>
      </c>
      <c r="D75" s="1178" t="s">
        <v>89</v>
      </c>
      <c r="E75" s="1050" t="str">
        <f>HYPERLINK("#Main_Tariff!A"&amp;MATCH("*"&amp;LEFT(D75,15)&amp;"*",Main_Tariff!A:A,0),"Jump to Producer")</f>
        <v>Jump to Producer</v>
      </c>
    </row>
    <row r="76" spans="1:5" ht="14.5">
      <c r="A76" s="1178" t="s">
        <v>6</v>
      </c>
      <c r="B76" s="1178" t="s">
        <v>22</v>
      </c>
      <c r="C76" s="1178" t="s">
        <v>90</v>
      </c>
      <c r="D76" s="1178" t="s">
        <v>91</v>
      </c>
      <c r="E76" s="1050" t="str">
        <f>HYPERLINK("#Main_Tariff!A"&amp;MATCH("*"&amp;LEFT(D76,15)&amp;"*",Main_Tariff!A:A,0),"Jump to Producer")</f>
        <v>Jump to Producer</v>
      </c>
    </row>
    <row r="77" spans="1:5" ht="14.5">
      <c r="A77" s="1178" t="s">
        <v>6</v>
      </c>
      <c r="B77" s="1178" t="s">
        <v>22</v>
      </c>
      <c r="C77" s="1178" t="s">
        <v>92</v>
      </c>
      <c r="D77" s="1178" t="s">
        <v>93</v>
      </c>
      <c r="E77" s="1050" t="str">
        <f>HYPERLINK("#Main_Tariff!A"&amp;MATCH("*"&amp;LEFT(D77,15)&amp;"*",Main_Tariff!A:A,0),"Jump to Producer")</f>
        <v>Jump to Producer</v>
      </c>
    </row>
    <row r="78" spans="1:5" ht="14.5">
      <c r="A78" s="1178" t="s">
        <v>6</v>
      </c>
      <c r="B78" s="1178" t="s">
        <v>22</v>
      </c>
      <c r="C78" s="1178" t="s">
        <v>94</v>
      </c>
      <c r="D78" s="1178" t="s">
        <v>95</v>
      </c>
      <c r="E78" s="1050" t="str">
        <f>HYPERLINK("#Main_Tariff!A"&amp;MATCH("*"&amp;LEFT(D78,15)&amp;"*",Main_Tariff!A:A,0),"Jump to Producer")</f>
        <v>Jump to Producer</v>
      </c>
    </row>
    <row r="79" spans="1:5" ht="14.5">
      <c r="A79" s="1178" t="s">
        <v>6</v>
      </c>
      <c r="B79" s="1178" t="s">
        <v>22</v>
      </c>
      <c r="C79" s="1178" t="s">
        <v>94</v>
      </c>
      <c r="D79" s="1178" t="s">
        <v>96</v>
      </c>
      <c r="E79" s="1050" t="str">
        <f>HYPERLINK("#Main_Tariff!A"&amp;MATCH("*"&amp;LEFT(D79,15)&amp;"*",Main_Tariff!A:A,0),"Jump to Producer")</f>
        <v>Jump to Producer</v>
      </c>
    </row>
    <row r="80" spans="1:5" ht="14.5">
      <c r="A80" s="1178" t="s">
        <v>6</v>
      </c>
      <c r="B80" s="1178" t="s">
        <v>22</v>
      </c>
      <c r="C80" s="1178" t="s">
        <v>94</v>
      </c>
      <c r="D80" s="1178" t="s">
        <v>97</v>
      </c>
      <c r="E80" s="1050" t="str">
        <f>HYPERLINK("#Main_Tariff!A"&amp;MATCH("*"&amp;LEFT(D80,15)&amp;"*",Main_Tariff!A:A,0),"Jump to Producer")</f>
        <v>Jump to Producer</v>
      </c>
    </row>
    <row r="81" spans="1:5" ht="14.5">
      <c r="A81" s="1178" t="s">
        <v>6</v>
      </c>
      <c r="B81" s="1178" t="s">
        <v>22</v>
      </c>
      <c r="C81" s="1178" t="s">
        <v>94</v>
      </c>
      <c r="D81" s="1178" t="s">
        <v>98</v>
      </c>
      <c r="E81" s="1051" t="str">
        <f t="array" ref="E81">HYPERLINK((("#Main_Tariff!A"&amp;MATCH(LEFT(D81,10)&amp;"*",Main_Tariff!A:A,0))),"Jump to Producer")</f>
        <v>Jump to Producer</v>
      </c>
    </row>
    <row r="82" spans="1:5" ht="14.5">
      <c r="A82" s="1178" t="s">
        <v>6</v>
      </c>
      <c r="B82" s="1178" t="s">
        <v>22</v>
      </c>
      <c r="C82" s="1178" t="s">
        <v>94</v>
      </c>
      <c r="D82" s="1178" t="s">
        <v>99</v>
      </c>
      <c r="E82" s="1050" t="str">
        <f>HYPERLINK("#Main_Tariff!A"&amp;MATCH("*"&amp;LEFT(D82,15)&amp;"*:",Main_Tariff!A:A,0),"Jump to Producer")</f>
        <v>Jump to Producer</v>
      </c>
    </row>
    <row r="83" spans="1:5" ht="14.5">
      <c r="A83" s="1178" t="s">
        <v>6</v>
      </c>
      <c r="B83" s="1178" t="s">
        <v>22</v>
      </c>
      <c r="C83" s="1178" t="s">
        <v>94</v>
      </c>
      <c r="D83" s="1178" t="s">
        <v>100</v>
      </c>
      <c r="E83" s="1051" t="str">
        <f t="array" ref="E83">HYPERLINK((("#Main_Tariff!A"&amp;MATCH(LEFT(D83,10)&amp;",*",Main_Tariff!A:A,0))),"Jump to Producer")</f>
        <v>Jump to Producer</v>
      </c>
    </row>
    <row r="84" spans="1:5" ht="14.5">
      <c r="A84" s="1178" t="s">
        <v>6</v>
      </c>
      <c r="B84" s="1178" t="s">
        <v>22</v>
      </c>
      <c r="C84" s="1178" t="s">
        <v>94</v>
      </c>
      <c r="D84" s="1178" t="s">
        <v>101</v>
      </c>
      <c r="E84" s="1051" t="str">
        <f t="array" ref="E84">HYPERLINK((("#Main_Tariff!A"&amp;MATCH(LEFT(D84,10)&amp;"*",Main_Tariff!A:A,0))),"Jump to Producer")</f>
        <v>Jump to Producer</v>
      </c>
    </row>
    <row r="85" spans="1:5" ht="14.5">
      <c r="A85" s="1178" t="s">
        <v>6</v>
      </c>
      <c r="B85" s="1178" t="s">
        <v>22</v>
      </c>
      <c r="C85" s="1178" t="s">
        <v>94</v>
      </c>
      <c r="D85" s="1178" t="s">
        <v>102</v>
      </c>
      <c r="E85" s="1051" t="str">
        <f t="array" ref="E85">HYPERLINK((("#Main_Tariff!A"&amp;MATCH(LEFT(D85,10)&amp;"*",Main_Tariff!A:A,0))),"Jump to Producer")</f>
        <v>Jump to Producer</v>
      </c>
    </row>
    <row r="86" spans="1:5" ht="14.5">
      <c r="A86" s="1178" t="s">
        <v>6</v>
      </c>
      <c r="B86" s="1178" t="s">
        <v>22</v>
      </c>
      <c r="C86" s="1178" t="s">
        <v>103</v>
      </c>
      <c r="D86" s="1178" t="s">
        <v>104</v>
      </c>
      <c r="E86" s="1050" t="str">
        <f>HYPERLINK("#Main_Tariff!A"&amp;MATCH("*"&amp;LEFT(D86,7)&amp;"*",Main_Tariff!A:A,0),"Jump to Producer")</f>
        <v>Jump to Producer</v>
      </c>
    </row>
    <row r="87" spans="1:5" ht="14.5">
      <c r="A87" s="1178" t="s">
        <v>6</v>
      </c>
      <c r="B87" s="1178" t="s">
        <v>22</v>
      </c>
      <c r="C87" s="1178" t="s">
        <v>105</v>
      </c>
      <c r="D87" s="1178" t="s">
        <v>106</v>
      </c>
      <c r="E87" s="1051" t="str">
        <f t="array" ref="E87">HYPERLINK((("#Main_Tariff!A"&amp;MATCH(LEFT(D87,10)&amp;"*",Main_Tariff!A:A,0))),"Jump to Producer")</f>
        <v>Jump to Producer</v>
      </c>
    </row>
    <row r="88" spans="1:5" ht="14.5">
      <c r="A88" s="1178" t="s">
        <v>6</v>
      </c>
      <c r="B88" s="1178" t="s">
        <v>107</v>
      </c>
      <c r="C88" s="1178" t="s">
        <v>108</v>
      </c>
      <c r="D88" s="1178" t="s">
        <v>109</v>
      </c>
      <c r="E88" s="1050" t="str">
        <f>HYPERLINK("#Main_Tariff!A"&amp;MATCH("*"&amp;LEFT(D88,15)&amp;"*",Main_Tariff!A:A,0),"Jump to Producer")</f>
        <v>Jump to Producer</v>
      </c>
    </row>
    <row r="89" spans="1:5" ht="14.5">
      <c r="A89" s="1178" t="s">
        <v>6</v>
      </c>
      <c r="B89" s="1178" t="s">
        <v>107</v>
      </c>
      <c r="C89" s="1178" t="s">
        <v>110</v>
      </c>
      <c r="D89" s="1178" t="s">
        <v>111</v>
      </c>
      <c r="E89" s="1051" t="str">
        <f t="array" ref="E89">HYPERLINK((("#Main_Tariff!A"&amp;MATCH(LEFT(D89,10)&amp;"*",Main_Tariff!A:A,0))),"Jump to Producer")</f>
        <v>Jump to Producer</v>
      </c>
    </row>
    <row r="90" spans="1:5" ht="14.5">
      <c r="A90" s="1178" t="s">
        <v>6</v>
      </c>
      <c r="B90" s="1178" t="s">
        <v>107</v>
      </c>
      <c r="C90" s="1178" t="s">
        <v>110</v>
      </c>
      <c r="D90" s="1178" t="s">
        <v>112</v>
      </c>
      <c r="E90" s="1051" t="str">
        <f t="array" ref="E90">HYPERLINK((("#Main_Tariff!A"&amp;MATCH(LEFT(D90,10)&amp;"*",Main_Tariff!A:A,0))),"Jump to Producer")</f>
        <v>Jump to Producer</v>
      </c>
    </row>
    <row r="91" spans="1:5" ht="14.5">
      <c r="A91" s="1178" t="s">
        <v>6</v>
      </c>
      <c r="B91" s="1178" t="s">
        <v>107</v>
      </c>
      <c r="C91" s="1178" t="s">
        <v>110</v>
      </c>
      <c r="D91" s="1178" t="s">
        <v>113</v>
      </c>
      <c r="E91" s="1050" t="str">
        <f>HYPERLINK("#Main_Tariff!A"&amp;MATCH("*"&amp;LEFT(D91,15)&amp;"*",Main_Tariff!A:A,0),"Jump to Producer")</f>
        <v>Jump to Producer</v>
      </c>
    </row>
    <row r="92" spans="1:5" ht="14.5">
      <c r="A92" s="1178" t="s">
        <v>6</v>
      </c>
      <c r="B92" s="1178" t="s">
        <v>107</v>
      </c>
      <c r="C92" s="1178" t="s">
        <v>110</v>
      </c>
      <c r="D92" s="1178" t="s">
        <v>114</v>
      </c>
      <c r="E92" s="1051" t="str">
        <f t="array" ref="E92">HYPERLINK((("#Main_Tariff!A"&amp;MATCH("by famille bernard",Main_Tariff!A:A,0))),"Jump to Producer")</f>
        <v>Jump to Producer</v>
      </c>
    </row>
    <row r="93" spans="1:5" ht="14.5">
      <c r="A93" s="1178" t="s">
        <v>6</v>
      </c>
      <c r="B93" s="1178" t="s">
        <v>107</v>
      </c>
      <c r="C93" s="1178" t="s">
        <v>110</v>
      </c>
      <c r="D93" s="1178" t="s">
        <v>115</v>
      </c>
      <c r="E93" s="1051" t="str">
        <f t="array" ref="E93">HYPERLINK((("#Main_Tariff!A"&amp;MATCH("*"&amp;MID(D93,5,9)&amp;"*",Main_Tariff!A:A,0))),"Jump to Producer")</f>
        <v>Jump to Producer</v>
      </c>
    </row>
    <row r="94" spans="1:5" ht="14.5">
      <c r="A94" s="1178" t="s">
        <v>6</v>
      </c>
      <c r="B94" s="1178" t="s">
        <v>107</v>
      </c>
      <c r="C94" s="1178" t="s">
        <v>110</v>
      </c>
      <c r="D94" s="1178" t="s">
        <v>116</v>
      </c>
      <c r="E94" s="1050" t="str">
        <f>HYPERLINK("#Main_Tariff!A"&amp;MATCH("*"&amp;LEFT(D94,15)&amp;"*",Main_Tariff!A:A,0),"Jump to Producer")</f>
        <v>Jump to Producer</v>
      </c>
    </row>
    <row r="95" spans="1:5" ht="14.5">
      <c r="A95" s="1178" t="s">
        <v>6</v>
      </c>
      <c r="B95" s="1178" t="s">
        <v>107</v>
      </c>
      <c r="C95" s="1178" t="s">
        <v>110</v>
      </c>
      <c r="D95" s="1178" t="s">
        <v>117</v>
      </c>
      <c r="E95" s="1050" t="str">
        <f>HYPERLINK("#Main_Tariff!A"&amp;MATCH("*"&amp;LEFT(D95,15)&amp;"*",Main_Tariff!A:A,0),"Jump to Producer")</f>
        <v>Jump to Producer</v>
      </c>
    </row>
    <row r="96" spans="1:5" ht="14.5">
      <c r="A96" s="1178" t="s">
        <v>6</v>
      </c>
      <c r="B96" s="1178" t="s">
        <v>107</v>
      </c>
      <c r="C96" s="1178" t="s">
        <v>110</v>
      </c>
      <c r="D96" s="1178" t="s">
        <v>118</v>
      </c>
      <c r="E96" s="1051" t="str">
        <f t="array" ref="E96">HYPERLINK((("#Main_Tariff!A"&amp;MATCH(LEFT(D96,10)&amp;"*",Main_Tariff!A:A,0))),"Jump to Producer")</f>
        <v>Jump to Producer</v>
      </c>
    </row>
    <row r="97" spans="1:5" ht="14.5">
      <c r="A97" s="1178" t="s">
        <v>6</v>
      </c>
      <c r="B97" s="1178" t="s">
        <v>107</v>
      </c>
      <c r="C97" s="1178" t="s">
        <v>110</v>
      </c>
      <c r="D97" s="1178" t="s">
        <v>119</v>
      </c>
      <c r="E97" s="1051" t="str">
        <f t="array" ref="E97">HYPERLINK((("#Main_Tariff!A"&amp;MATCH(LEFT(D97,10)&amp;"*",Main_Tariff!A:A,0))),"Jump to Producer")</f>
        <v>Jump to Producer</v>
      </c>
    </row>
    <row r="98" spans="1:5" ht="14.5">
      <c r="A98" s="1178" t="s">
        <v>6</v>
      </c>
      <c r="B98" s="1178" t="s">
        <v>107</v>
      </c>
      <c r="C98" s="1178" t="s">
        <v>110</v>
      </c>
      <c r="D98" s="1178" t="s">
        <v>120</v>
      </c>
      <c r="E98" s="1050" t="str">
        <f>HYPERLINK("#Main_Tariff!A"&amp;MATCH("*"&amp;LEFT(D98,15)&amp;"*",Main_Tariff!A:A,0),"Jump to Producer")</f>
        <v>Jump to Producer</v>
      </c>
    </row>
    <row r="99" spans="1:5" ht="14.5">
      <c r="A99" s="1178" t="s">
        <v>6</v>
      </c>
      <c r="B99" s="1178" t="s">
        <v>107</v>
      </c>
      <c r="C99" s="1178" t="s">
        <v>110</v>
      </c>
      <c r="D99" s="1178" t="s">
        <v>121</v>
      </c>
      <c r="E99" s="1050" t="str">
        <f>HYPERLINK("#Main_Tariff!A"&amp;MATCH("*"&amp;LEFT(D99,15)&amp;"*",Main_Tariff!A:A,0),"Jump to Producer")</f>
        <v>Jump to Producer</v>
      </c>
    </row>
    <row r="100" spans="1:5" ht="14.5">
      <c r="A100" s="1178" t="s">
        <v>6</v>
      </c>
      <c r="B100" s="1178" t="s">
        <v>107</v>
      </c>
      <c r="C100" s="1178" t="s">
        <v>110</v>
      </c>
      <c r="D100" s="1178" t="s">
        <v>122</v>
      </c>
      <c r="E100" s="1050" t="str">
        <f>HYPERLINK("#Main_Tariff!A"&amp;MATCH("*"&amp;LEFT(D100,15)&amp;"*",Main_Tariff!A:A,0),"Jump to Producer")</f>
        <v>Jump to Producer</v>
      </c>
    </row>
    <row r="101" spans="1:5" ht="14.5">
      <c r="A101" s="1178" t="s">
        <v>6</v>
      </c>
      <c r="B101" s="1178" t="s">
        <v>123</v>
      </c>
      <c r="C101" s="1178" t="s">
        <v>124</v>
      </c>
      <c r="D101" s="1178" t="s">
        <v>125</v>
      </c>
      <c r="E101" s="1050" t="str">
        <f>HYPERLINK("#Main_Tariff!A"&amp;MATCH("*"&amp;LEFT(D101,15)&amp;"*",Main_Tariff!A:A,0),"Jump to Producer")</f>
        <v>Jump to Producer</v>
      </c>
    </row>
    <row r="102" spans="1:5" ht="14.5">
      <c r="A102" s="1178" t="s">
        <v>6</v>
      </c>
      <c r="B102" s="1178" t="s">
        <v>123</v>
      </c>
      <c r="C102" s="1178" t="s">
        <v>124</v>
      </c>
      <c r="D102" s="1178" t="s">
        <v>126</v>
      </c>
      <c r="E102" s="1050" t="str">
        <f>HYPERLINK("#Main_Tariff!A"&amp;MATCH("*"&amp;LEFT(D102,15)&amp;"*",Main_Tariff!A:A,0),"Jump to Producer")</f>
        <v>Jump to Producer</v>
      </c>
    </row>
    <row r="103" spans="1:5" ht="14.5">
      <c r="A103" s="1178" t="s">
        <v>6</v>
      </c>
      <c r="B103" s="1178" t="s">
        <v>123</v>
      </c>
      <c r="C103" s="1178" t="s">
        <v>124</v>
      </c>
      <c r="D103" s="1178" t="s">
        <v>127</v>
      </c>
      <c r="E103" s="1050" t="str">
        <f>HYPERLINK("#Main_Tariff!A"&amp;MATCH("*"&amp;LEFT(D103,15)&amp;"*",Main_Tariff!A:A,0),"Jump to Producer")</f>
        <v>Jump to Producer</v>
      </c>
    </row>
    <row r="104" spans="1:5" ht="14.5">
      <c r="A104" s="1178" t="s">
        <v>6</v>
      </c>
      <c r="B104" s="1178" t="s">
        <v>123</v>
      </c>
      <c r="C104" s="1178" t="s">
        <v>128</v>
      </c>
      <c r="D104" s="1178" t="s">
        <v>129</v>
      </c>
      <c r="E104" s="1050" t="str">
        <f>HYPERLINK("#Main_Tariff!A"&amp;MATCH("*"&amp;LEFT(D104,15)&amp;"*",Main_Tariff!A:A,0),"Jump to Producer")</f>
        <v>Jump to Producer</v>
      </c>
    </row>
    <row r="105" spans="1:5" ht="14.5">
      <c r="A105" s="1178" t="s">
        <v>6</v>
      </c>
      <c r="B105" s="1178" t="s">
        <v>123</v>
      </c>
      <c r="C105" s="1178" t="s">
        <v>128</v>
      </c>
      <c r="D105" s="1178" t="s">
        <v>130</v>
      </c>
      <c r="E105" s="1050" t="str">
        <f>HYPERLINK("#Main_Tariff!A"&amp;MATCH("*"&amp;LEFT(D105,15)&amp;"*",Main_Tariff!A:A,0),"Jump to Producer")</f>
        <v>Jump to Producer</v>
      </c>
    </row>
    <row r="106" spans="1:5" ht="14.5">
      <c r="A106" s="1178" t="s">
        <v>6</v>
      </c>
      <c r="B106" s="1178" t="s">
        <v>123</v>
      </c>
      <c r="C106" s="1178" t="s">
        <v>128</v>
      </c>
      <c r="D106" s="1178" t="s">
        <v>131</v>
      </c>
      <c r="E106" s="1050" t="str">
        <f>HYPERLINK("#Main_Tariff!A"&amp;MATCH("*"&amp;LEFT(D106,15)&amp;"*",Main_Tariff!A:A,0),"Jump to Producer")</f>
        <v>Jump to Producer</v>
      </c>
    </row>
    <row r="107" spans="1:5" ht="14.5">
      <c r="A107" s="1178" t="s">
        <v>6</v>
      </c>
      <c r="B107" s="1178" t="s">
        <v>123</v>
      </c>
      <c r="C107" s="1178" t="s">
        <v>128</v>
      </c>
      <c r="D107" s="1178" t="s">
        <v>132</v>
      </c>
      <c r="E107" s="1050" t="str">
        <f>HYPERLINK("#Main_Tariff!A"&amp;MATCH("*"&amp;LEFT(D107,15)&amp;"*",Main_Tariff!A:A,0),"Jump to Producer")</f>
        <v>Jump to Producer</v>
      </c>
    </row>
    <row r="108" spans="1:5" ht="14.5">
      <c r="A108" s="1178" t="s">
        <v>6</v>
      </c>
      <c r="B108" s="1178" t="s">
        <v>123</v>
      </c>
      <c r="C108" s="1178" t="s">
        <v>128</v>
      </c>
      <c r="D108" s="1178" t="s">
        <v>133</v>
      </c>
      <c r="E108" s="1050" t="str">
        <f>HYPERLINK("#Main_Tariff!A"&amp;MATCH("*"&amp;LEFT(D108,15)&amp;"*",Main_Tariff!A:A,0),"Jump to Producer")</f>
        <v>Jump to Producer</v>
      </c>
    </row>
    <row r="109" spans="1:5" ht="14.5">
      <c r="A109" s="1178" t="s">
        <v>6</v>
      </c>
      <c r="B109" s="1178" t="s">
        <v>123</v>
      </c>
      <c r="C109" s="1178" t="s">
        <v>128</v>
      </c>
      <c r="D109" s="1178" t="s">
        <v>134</v>
      </c>
      <c r="E109" s="1051" t="str">
        <f t="array" ref="E109">HYPERLINK((("#Main_Tariff!A"&amp;MATCH(LEFT(D109,10)&amp;"*",Main_Tariff!A:A,0))),"Jump to Producer")</f>
        <v>Jump to Producer</v>
      </c>
    </row>
    <row r="110" spans="1:5" ht="14.5">
      <c r="A110" s="1178" t="s">
        <v>6</v>
      </c>
      <c r="B110" s="1178" t="s">
        <v>123</v>
      </c>
      <c r="C110" s="1178" t="s">
        <v>128</v>
      </c>
      <c r="D110" s="1178" t="s">
        <v>135</v>
      </c>
      <c r="E110" s="1050" t="str">
        <f>HYPERLINK("#Main_Tariff!A"&amp;MATCH("*"&amp;LEFT(D110,15)&amp;"*",Main_Tariff!A:A,0),"Jump to Producer")</f>
        <v>Jump to Producer</v>
      </c>
    </row>
    <row r="111" spans="1:5" ht="14.5">
      <c r="A111" s="1178" t="s">
        <v>6</v>
      </c>
      <c r="B111" s="1178" t="s">
        <v>123</v>
      </c>
      <c r="C111" s="1178" t="s">
        <v>128</v>
      </c>
      <c r="D111" s="1178" t="s">
        <v>62</v>
      </c>
      <c r="E111" s="1051" t="str">
        <f t="array" ref="E111">HYPERLINK((("#Main_Tariff!A"&amp;MATCH("*Éric Léglise*",Main_Tariff!A:A,0))),"Jump to Producer")</f>
        <v>Jump to Producer</v>
      </c>
    </row>
    <row r="112" spans="1:5" ht="14.5">
      <c r="A112" s="1178" t="s">
        <v>6</v>
      </c>
      <c r="B112" s="1178" t="s">
        <v>123</v>
      </c>
      <c r="C112" s="1178" t="s">
        <v>128</v>
      </c>
      <c r="D112" s="1178" t="s">
        <v>136</v>
      </c>
      <c r="E112" s="1050" t="str">
        <f>HYPERLINK("#Main_Tariff!A"&amp;MATCH("*"&amp;LEFT(D112,15)&amp;"*",Main_Tariff!A:A,0),"Jump to Producer")</f>
        <v>Jump to Producer</v>
      </c>
    </row>
    <row r="113" spans="1:5" ht="14.5">
      <c r="A113" s="1178" t="s">
        <v>6</v>
      </c>
      <c r="B113" s="1178" t="s">
        <v>123</v>
      </c>
      <c r="C113" s="1178" t="s">
        <v>128</v>
      </c>
      <c r="D113" s="1178" t="s">
        <v>128</v>
      </c>
      <c r="E113" s="1051" t="str">
        <f t="array" ref="E113">HYPERLINK((("#Main_Tariff!A"&amp;MATCH(LEFT(D113,10)&amp;",*",Main_Tariff!A:A,0))),"Jump to Producer")</f>
        <v>Jump to Producer</v>
      </c>
    </row>
    <row r="114" spans="1:5" ht="14.5">
      <c r="A114" s="1178" t="s">
        <v>6</v>
      </c>
      <c r="B114" s="1178" t="s">
        <v>123</v>
      </c>
      <c r="C114" s="1178" t="s">
        <v>128</v>
      </c>
      <c r="D114" s="1178" t="s">
        <v>137</v>
      </c>
      <c r="E114" s="1051" t="str">
        <f t="array" ref="E114">HYPERLINK((("#Main_Tariff!A"&amp;MATCH(LEFT(D114,10)&amp;",*",Main_Tariff!A:A,0))),"Jump to Producer")</f>
        <v>Jump to Producer</v>
      </c>
    </row>
    <row r="115" spans="1:5" ht="14.5">
      <c r="A115" s="1178" t="s">
        <v>6</v>
      </c>
      <c r="B115" s="1178" t="s">
        <v>123</v>
      </c>
      <c r="C115" s="1178" t="s">
        <v>128</v>
      </c>
      <c r="D115" s="1178" t="s">
        <v>138</v>
      </c>
      <c r="E115" s="1050" t="str">
        <f>HYPERLINK("#Main_Tariff!A"&amp;MATCH("*"&amp;LEFT(D115,15)&amp;"*",Main_Tariff!A:A,0),"Jump to Producer")</f>
        <v>Jump to Producer</v>
      </c>
    </row>
    <row r="116" spans="1:5" ht="14.5">
      <c r="A116" s="1178" t="s">
        <v>6</v>
      </c>
      <c r="B116" s="1178" t="s">
        <v>123</v>
      </c>
      <c r="C116" s="1178" t="s">
        <v>128</v>
      </c>
      <c r="D116" s="1178" t="s">
        <v>139</v>
      </c>
      <c r="E116" s="1051" t="str">
        <f t="array" ref="E116">HYPERLINK((("#Main_Tariff!A"&amp;MATCH(RIGHT(D116,6)&amp;",*",Main_Tariff!A:A,0))),"Jump to Producer")</f>
        <v>Jump to Producer</v>
      </c>
    </row>
    <row r="117" spans="1:5" ht="14.5">
      <c r="A117" s="1178" t="s">
        <v>6</v>
      </c>
      <c r="B117" s="1178" t="s">
        <v>123</v>
      </c>
      <c r="C117" s="1178" t="s">
        <v>140</v>
      </c>
      <c r="D117" s="1178" t="s">
        <v>141</v>
      </c>
      <c r="E117" s="1050" t="str">
        <f>HYPERLINK("#Main_Tariff!A"&amp;MATCH("*"&amp;LEFT(D117,15)&amp;"*",Main_Tariff!A:A,0),"Jump to Producer")</f>
        <v>Jump to Producer</v>
      </c>
    </row>
    <row r="118" spans="1:5" ht="14.5">
      <c r="A118" s="1178" t="s">
        <v>6</v>
      </c>
      <c r="B118" s="1178" t="s">
        <v>123</v>
      </c>
      <c r="C118" s="1178" t="s">
        <v>140</v>
      </c>
      <c r="D118" s="1178" t="s">
        <v>142</v>
      </c>
      <c r="E118" s="1050" t="str">
        <f>HYPERLINK("#Main_Tariff!A"&amp;MATCH("*"&amp;LEFT(D118,15)&amp;"*",Main_Tariff!A:A,0),"Jump to Producer")</f>
        <v>Jump to Producer</v>
      </c>
    </row>
    <row r="119" spans="1:5" ht="14.5">
      <c r="A119" s="1178" t="s">
        <v>6</v>
      </c>
      <c r="B119" s="1178" t="s">
        <v>123</v>
      </c>
      <c r="C119" s="1178" t="s">
        <v>140</v>
      </c>
      <c r="D119" s="1178" t="s">
        <v>143</v>
      </c>
      <c r="E119" s="1050" t="str">
        <f>HYPERLINK("#Main_Tariff!A"&amp;MATCH("*"&amp;LEFT(D119,15)&amp;"*",Main_Tariff!A:A,0),"Jump to Producer")</f>
        <v>Jump to Producer</v>
      </c>
    </row>
    <row r="120" spans="1:5" ht="14.5">
      <c r="A120" s="1178" t="s">
        <v>6</v>
      </c>
      <c r="B120" s="1178" t="s">
        <v>123</v>
      </c>
      <c r="C120" s="1178" t="s">
        <v>140</v>
      </c>
      <c r="D120" s="1178" t="s">
        <v>144</v>
      </c>
      <c r="E120" s="1051" t="str">
        <f t="array" ref="E120">HYPERLINK((("#Main_Tariff!A"&amp;MATCH(LEFT(D120,10)&amp;"*",Main_Tariff!A:A,0))),"Jump to Producer")</f>
        <v>Jump to Producer</v>
      </c>
    </row>
    <row r="121" spans="1:5" ht="14.5">
      <c r="A121" s="1178" t="s">
        <v>6</v>
      </c>
      <c r="B121" s="1178" t="s">
        <v>123</v>
      </c>
      <c r="C121" s="1178" t="s">
        <v>145</v>
      </c>
      <c r="D121" s="1178" t="s">
        <v>146</v>
      </c>
      <c r="E121" s="1050" t="str">
        <f>HYPERLINK("#Main_Tariff!A"&amp;MATCH("*"&amp;LEFT(D121,15)&amp;"*",Main_Tariff!A:A,0),"Jump to Producer")</f>
        <v>Jump to Producer</v>
      </c>
    </row>
    <row r="122" spans="1:5" ht="14.5">
      <c r="A122" s="1178" t="s">
        <v>6</v>
      </c>
      <c r="B122" s="1178" t="s">
        <v>123</v>
      </c>
      <c r="C122" s="1178" t="s">
        <v>145</v>
      </c>
      <c r="D122" s="1178" t="s">
        <v>147</v>
      </c>
      <c r="E122" s="1050" t="str">
        <f>HYPERLINK("#Main_Tariff!A"&amp;MATCH("*"&amp;LEFT(D122,15)&amp;"*",Main_Tariff!A:A,0),"Jump to Producer")</f>
        <v>Jump to Producer</v>
      </c>
    </row>
    <row r="123" spans="1:5" ht="14.5">
      <c r="A123" s="1178" t="s">
        <v>6</v>
      </c>
      <c r="B123" s="1178" t="s">
        <v>123</v>
      </c>
      <c r="C123" s="1178" t="s">
        <v>145</v>
      </c>
      <c r="D123" s="1178" t="s">
        <v>148</v>
      </c>
      <c r="E123" s="1050" t="str">
        <f>HYPERLINK("#Main_Tariff!A"&amp;MATCH("*"&amp;LEFT(D123,15)&amp;"*",Main_Tariff!A:A,0),"Jump to Producer")</f>
        <v>Jump to Producer</v>
      </c>
    </row>
    <row r="124" spans="1:5" ht="14.5">
      <c r="A124" s="1178" t="s">
        <v>6</v>
      </c>
      <c r="B124" s="1178" t="s">
        <v>123</v>
      </c>
      <c r="C124" s="1178" t="s">
        <v>145</v>
      </c>
      <c r="D124" s="1178" t="s">
        <v>149</v>
      </c>
      <c r="E124" s="1050" t="str">
        <f>HYPERLINK("#Main_Tariff!A"&amp;MATCH("*"&amp;LEFT(D124,15)&amp;"*",Main_Tariff!A:A,0),"Jump to Producer")</f>
        <v>Jump to Producer</v>
      </c>
    </row>
    <row r="125" spans="1:5" ht="14.5">
      <c r="A125" s="1178" t="s">
        <v>6</v>
      </c>
      <c r="B125" s="1178" t="s">
        <v>123</v>
      </c>
      <c r="C125" s="1178" t="s">
        <v>145</v>
      </c>
      <c r="D125" s="1178" t="s">
        <v>150</v>
      </c>
      <c r="E125" s="1050" t="str">
        <f>HYPERLINK("#Main_Tariff!A"&amp;MATCH("*"&amp;LEFT(D125,15)&amp;"*",Main_Tariff!A:A,0),"Jump to Producer")</f>
        <v>Jump to Producer</v>
      </c>
    </row>
    <row r="126" spans="1:5" ht="14.5">
      <c r="A126" s="1178" t="s">
        <v>6</v>
      </c>
      <c r="B126" s="1178" t="s">
        <v>123</v>
      </c>
      <c r="C126" s="1178" t="s">
        <v>145</v>
      </c>
      <c r="D126" s="1178" t="s">
        <v>151</v>
      </c>
      <c r="E126" s="1051" t="str">
        <f t="array" ref="E126">HYPERLINK((("#Main_Tariff!A"&amp;MATCH(LEFT(D126,10)&amp;"*",Main_Tariff!A:A,0))),"Jump to Producer")</f>
        <v>Jump to Producer</v>
      </c>
    </row>
    <row r="127" spans="1:5" ht="14.5">
      <c r="A127" s="1178" t="s">
        <v>6</v>
      </c>
      <c r="B127" s="1178" t="s">
        <v>123</v>
      </c>
      <c r="C127" s="1178" t="s">
        <v>145</v>
      </c>
      <c r="D127" s="1178" t="s">
        <v>152</v>
      </c>
      <c r="E127" s="1050" t="str">
        <f>HYPERLINK("#Main_Tariff!A"&amp;MATCH("*"&amp;LEFT(D127,15)&amp;"*",Main_Tariff!A:A,0),"Jump to Producer")</f>
        <v>Jump to Producer</v>
      </c>
    </row>
    <row r="128" spans="1:5" ht="14.5">
      <c r="A128" s="1178" t="s">
        <v>6</v>
      </c>
      <c r="B128" s="1178" t="s">
        <v>123</v>
      </c>
      <c r="C128" s="1178" t="s">
        <v>145</v>
      </c>
      <c r="D128" s="1178" t="s">
        <v>153</v>
      </c>
      <c r="E128" s="1051" t="str">
        <f t="array" ref="E128">HYPERLINK((("#Main_Tariff!A"&amp;MATCH(LEFT(D128,10)&amp;"*",Main_Tariff!A:A,0))),"Jump to Producer")</f>
        <v>Jump to Producer</v>
      </c>
    </row>
    <row r="129" spans="1:5" ht="14.5">
      <c r="A129" s="1178" t="s">
        <v>6</v>
      </c>
      <c r="B129" s="1178" t="s">
        <v>123</v>
      </c>
      <c r="C129" s="1178" t="s">
        <v>145</v>
      </c>
      <c r="D129" s="1178" t="s">
        <v>154</v>
      </c>
      <c r="E129" s="1051" t="str">
        <f t="array" ref="E129">HYPERLINK((("#Main_Tariff!A"&amp;MATCH(LEFT(D129,10)&amp;"*",Main_Tariff!A:A,0))),"Jump to Producer")</f>
        <v>Jump to Producer</v>
      </c>
    </row>
    <row r="130" spans="1:5" ht="14.5">
      <c r="A130" s="1178" t="s">
        <v>6</v>
      </c>
      <c r="B130" s="1178" t="s">
        <v>123</v>
      </c>
      <c r="C130" s="1178" t="s">
        <v>145</v>
      </c>
      <c r="D130" s="1178" t="s">
        <v>155</v>
      </c>
      <c r="E130" s="1051" t="str">
        <f t="array" ref="E130">HYPERLINK((("#Main_Tariff!A"&amp;MATCH(LEFT(D130,10)&amp;"*",Main_Tariff!A:A,0))),"Jump to Producer")</f>
        <v>Jump to Producer</v>
      </c>
    </row>
    <row r="131" spans="1:5" ht="14.5">
      <c r="A131" s="1178" t="s">
        <v>6</v>
      </c>
      <c r="B131" s="1178" t="s">
        <v>123</v>
      </c>
      <c r="C131" s="1178" t="s">
        <v>145</v>
      </c>
      <c r="D131" s="1178" t="s">
        <v>156</v>
      </c>
      <c r="E131" s="1051" t="str">
        <f t="array" ref="E131">HYPERLINK((("#Main_Tariff!A"&amp;MATCH(LEFT(D131,10)&amp;"*",Main_Tariff!A:A,0))),"Jump to Producer")</f>
        <v>Jump to Producer</v>
      </c>
    </row>
    <row r="132" spans="1:5" ht="14.5">
      <c r="A132" s="1178" t="s">
        <v>6</v>
      </c>
      <c r="B132" s="1178" t="s">
        <v>123</v>
      </c>
      <c r="C132" s="1178" t="s">
        <v>145</v>
      </c>
      <c r="D132" s="1178" t="s">
        <v>157</v>
      </c>
      <c r="E132" s="1051" t="str">
        <f t="array" ref="E132">HYPERLINK((("#Main_Tariff!A"&amp;MATCH("*"&amp;LEFT(D132,10)&amp;"*",Main_Tariff!A:A,0))),"Jump to Producer")</f>
        <v>Jump to Producer</v>
      </c>
    </row>
    <row r="133" spans="1:5" ht="14.5">
      <c r="A133" s="1178" t="s">
        <v>6</v>
      </c>
      <c r="B133" s="1178" t="s">
        <v>123</v>
      </c>
      <c r="C133" s="1178" t="s">
        <v>145</v>
      </c>
      <c r="D133" s="1178" t="s">
        <v>158</v>
      </c>
      <c r="E133" s="1051" t="str">
        <f t="array" ref="E133">HYPERLINK((("#Main_Tariff!A"&amp;MATCH("*"&amp;LEFT(D133,10)&amp;"*",Main_Tariff!A:A,0))),"Jump to Producer")</f>
        <v>Jump to Producer</v>
      </c>
    </row>
    <row r="134" spans="1:5" ht="14.5">
      <c r="A134" s="1178" t="s">
        <v>6</v>
      </c>
      <c r="B134" s="1178" t="s">
        <v>123</v>
      </c>
      <c r="C134" s="1178" t="s">
        <v>159</v>
      </c>
      <c r="D134" s="1178" t="s">
        <v>160</v>
      </c>
      <c r="E134" s="1051" t="str">
        <f t="array" ref="E134">HYPERLINK((("#Main_Tariff!A"&amp;MATCH("*"&amp;LEFT(D134,10)&amp;"*",Main_Tariff!A:A,0))),"Jump to Producer")</f>
        <v>Jump to Producer</v>
      </c>
    </row>
    <row r="135" spans="1:5" ht="14.5">
      <c r="A135" s="1178" t="s">
        <v>6</v>
      </c>
      <c r="B135" s="1178" t="s">
        <v>123</v>
      </c>
      <c r="C135" s="1178" t="s">
        <v>159</v>
      </c>
      <c r="D135" s="1178" t="s">
        <v>161</v>
      </c>
      <c r="E135" s="1051" t="str">
        <f t="array" ref="E135">HYPERLINK((("#Main_Tariff!A"&amp;MATCH("*"&amp;LEFT(D135,10)&amp;"*",Main_Tariff!A:A,0))),"Jump to Producer")</f>
        <v>Jump to Producer</v>
      </c>
    </row>
    <row r="136" spans="1:5" ht="14.5">
      <c r="A136" s="1178" t="s">
        <v>6</v>
      </c>
      <c r="B136" s="1178" t="s">
        <v>123</v>
      </c>
      <c r="C136" s="1178" t="s">
        <v>159</v>
      </c>
      <c r="D136" s="1178" t="s">
        <v>162</v>
      </c>
      <c r="E136" s="1051" t="str">
        <f t="array" ref="E136">HYPERLINK((("#Main_Tariff!A"&amp;MATCH("*"&amp;LEFT(D136,10)&amp;"*",Main_Tariff!A:A,0))),"Jump to Producer")</f>
        <v>Jump to Producer</v>
      </c>
    </row>
    <row r="137" spans="1:5" ht="14.5">
      <c r="A137" s="1178" t="s">
        <v>6</v>
      </c>
      <c r="B137" s="1178" t="s">
        <v>123</v>
      </c>
      <c r="C137" s="1178" t="s">
        <v>159</v>
      </c>
      <c r="D137" s="1178" t="s">
        <v>163</v>
      </c>
      <c r="E137" s="1051" t="str">
        <f t="array" ref="E137">HYPERLINK((("#Main_Tariff!A"&amp;MATCH("*"&amp;LEFT(D137,10)&amp;"*",Main_Tariff!A:A,0))),"Jump to Producer")</f>
        <v>Jump to Producer</v>
      </c>
    </row>
    <row r="138" spans="1:5" ht="14.5">
      <c r="A138" s="1178" t="s">
        <v>6</v>
      </c>
      <c r="B138" s="1178" t="s">
        <v>123</v>
      </c>
      <c r="C138" s="1178" t="s">
        <v>159</v>
      </c>
      <c r="D138" s="1178" t="s">
        <v>164</v>
      </c>
      <c r="E138" s="1051" t="str">
        <f t="array" ref="E138">HYPERLINK((("#Main_Tariff!A"&amp;MATCH("*"&amp;LEFT(D138,10)&amp;"*",Main_Tariff!A:A,0))),"Jump to Producer")</f>
        <v>Jump to Producer</v>
      </c>
    </row>
    <row r="139" spans="1:5" ht="14.5">
      <c r="A139" s="1178" t="s">
        <v>6</v>
      </c>
      <c r="B139" s="1178" t="s">
        <v>123</v>
      </c>
      <c r="C139" s="1178" t="s">
        <v>159</v>
      </c>
      <c r="D139" s="1178" t="s">
        <v>165</v>
      </c>
      <c r="E139" s="1051" t="str">
        <f t="array" ref="E139">HYPERLINK((("#Main_Tariff!A"&amp;MATCH("*"&amp;LEFT(D139,10)&amp;"*",Main_Tariff!A:A,0))),"Jump to Producer")</f>
        <v>Jump to Producer</v>
      </c>
    </row>
    <row r="140" spans="1:5" ht="14.5">
      <c r="A140" s="1178" t="s">
        <v>6</v>
      </c>
      <c r="B140" s="1178" t="s">
        <v>123</v>
      </c>
      <c r="C140" s="1178" t="s">
        <v>159</v>
      </c>
      <c r="D140" s="1178" t="s">
        <v>166</v>
      </c>
      <c r="E140" s="1051" t="str">
        <f t="array" ref="E140">HYPERLINK((("#Main_Tariff!A"&amp;MATCH("*"&amp;LEFT(D140,10)&amp;"*",Main_Tariff!A:A,0))),"Jump to Producer")</f>
        <v>Jump to Producer</v>
      </c>
    </row>
    <row r="141" spans="1:5" ht="14.5">
      <c r="A141" s="1178" t="s">
        <v>6</v>
      </c>
      <c r="B141" s="1178" t="s">
        <v>123</v>
      </c>
      <c r="C141" s="1178" t="s">
        <v>159</v>
      </c>
      <c r="D141" s="1178" t="s">
        <v>167</v>
      </c>
      <c r="E141" s="1051" t="str">
        <f t="array" ref="E141">HYPERLINK((("#Main_Tariff!A"&amp;MATCH("*"&amp;LEFT(D141,10)&amp;"*",Main_Tariff!A:A,0))),"Jump to Producer")</f>
        <v>Jump to Producer</v>
      </c>
    </row>
    <row r="142" spans="1:5" ht="14.5">
      <c r="A142" s="1178" t="s">
        <v>6</v>
      </c>
      <c r="B142" s="1178" t="s">
        <v>123</v>
      </c>
      <c r="C142" s="1178" t="s">
        <v>159</v>
      </c>
      <c r="D142" s="1178" t="s">
        <v>168</v>
      </c>
      <c r="E142" s="1051" t="str">
        <f t="array" ref="E142">HYPERLINK((("#Main_Tariff!A"&amp;MATCH("*"&amp;LEFT(D142,10)&amp;"*",Main_Tariff!A:A,0))),"Jump to Producer")</f>
        <v>Jump to Producer</v>
      </c>
    </row>
    <row r="143" spans="1:5" ht="14.5">
      <c r="A143" s="1178" t="s">
        <v>6</v>
      </c>
      <c r="B143" s="1178" t="s">
        <v>123</v>
      </c>
      <c r="C143" s="1178" t="s">
        <v>159</v>
      </c>
      <c r="D143" s="1178" t="s">
        <v>169</v>
      </c>
      <c r="E143" s="1051" t="str">
        <f t="array" ref="E143">HYPERLINK((("#Main_Tariff!A"&amp;MATCH("*"&amp;LEFT(D143,10)&amp;"*",Main_Tariff!A:A,0))),"Jump to Producer")</f>
        <v>Jump to Producer</v>
      </c>
    </row>
    <row r="144" spans="1:5" ht="14.5">
      <c r="A144" s="1178" t="s">
        <v>6</v>
      </c>
      <c r="B144" s="1178" t="s">
        <v>123</v>
      </c>
      <c r="C144" s="1178" t="s">
        <v>170</v>
      </c>
      <c r="D144" s="1178" t="s">
        <v>171</v>
      </c>
      <c r="E144" s="1051" t="str">
        <f t="array" ref="E144">HYPERLINK((("#Main_Tariff!A"&amp;MATCH("*"&amp;LEFT(D144,10)&amp;"*",Main_Tariff!A:A,0))),"Jump to Producer")</f>
        <v>Jump to Producer</v>
      </c>
    </row>
    <row r="145" spans="1:5" ht="14.5">
      <c r="A145" s="1178" t="s">
        <v>6</v>
      </c>
      <c r="B145" s="1178" t="s">
        <v>123</v>
      </c>
      <c r="C145" s="1178" t="s">
        <v>170</v>
      </c>
      <c r="D145" s="1178" t="s">
        <v>172</v>
      </c>
      <c r="E145" s="1051" t="str">
        <f t="array" ref="E145">HYPERLINK((("#Main_Tariff!A"&amp;MATCH("*"&amp;LEFT(D145,7)&amp;"*",Main_Tariff!A:A,0))),"Jump to Producer")</f>
        <v>Jump to Producer</v>
      </c>
    </row>
    <row r="146" spans="1:5" ht="14.5">
      <c r="A146" s="1178" t="s">
        <v>6</v>
      </c>
      <c r="B146" s="1178" t="s">
        <v>123</v>
      </c>
      <c r="C146" s="1178" t="s">
        <v>170</v>
      </c>
      <c r="D146" s="1178" t="s">
        <v>173</v>
      </c>
      <c r="E146" s="1051" t="str">
        <f t="array" ref="E146">HYPERLINK((("#Main_Tariff!A"&amp;MATCH("*"&amp;LEFT(D146,10)&amp;"*",Main_Tariff!A:A,0))),"Jump to Producer")</f>
        <v>Jump to Producer</v>
      </c>
    </row>
    <row r="147" spans="1:5" ht="14.5">
      <c r="A147" s="1178" t="s">
        <v>6</v>
      </c>
      <c r="B147" s="1178" t="s">
        <v>123</v>
      </c>
      <c r="C147" s="1178" t="s">
        <v>170</v>
      </c>
      <c r="D147" s="1178" t="s">
        <v>174</v>
      </c>
      <c r="E147" s="1051" t="str">
        <f t="array" ref="E147">HYPERLINK((("#Main_Tariff!A"&amp;MATCH(LEFT(D147,10)&amp;"*",Main_Tariff!A:A,0))),"Jump to Producer")</f>
        <v>Jump to Producer</v>
      </c>
    </row>
    <row r="148" spans="1:5" ht="14.5">
      <c r="A148" s="1178" t="s">
        <v>6</v>
      </c>
      <c r="B148" s="1178" t="s">
        <v>123</v>
      </c>
      <c r="C148" s="1178" t="s">
        <v>170</v>
      </c>
      <c r="D148" s="1178" t="s">
        <v>175</v>
      </c>
      <c r="E148" s="1051" t="str">
        <f t="array" ref="E148">HYPERLINK((("#Main_Tariff!A"&amp;MATCH("*"&amp;LEFT(D148,10)&amp;"*",Main_Tariff!A:A,0))),"Jump to Producer")</f>
        <v>Jump to Producer</v>
      </c>
    </row>
    <row r="149" spans="1:5" ht="14.5">
      <c r="A149" s="1178" t="s">
        <v>6</v>
      </c>
      <c r="B149" s="1178" t="s">
        <v>123</v>
      </c>
      <c r="C149" s="1178" t="s">
        <v>170</v>
      </c>
      <c r="D149" s="1178" t="s">
        <v>176</v>
      </c>
      <c r="E149" s="1051" t="str">
        <f t="array" ref="E149">HYPERLINK((("#Main_Tariff!A"&amp;MATCH("*"&amp;LEFT(D149,10)&amp;"*",Main_Tariff!A:A,0))),"Jump to Producer")</f>
        <v>Jump to Producer</v>
      </c>
    </row>
    <row r="150" spans="1:5" ht="14.5">
      <c r="A150" s="1178" t="s">
        <v>6</v>
      </c>
      <c r="B150" s="1178" t="s">
        <v>123</v>
      </c>
      <c r="C150" s="1178" t="s">
        <v>170</v>
      </c>
      <c r="D150" s="1178" t="s">
        <v>177</v>
      </c>
      <c r="E150" s="1051" t="str">
        <f t="array" ref="E150">HYPERLINK((("#Main_Tariff!A"&amp;MATCH(LEFT(D150,10)&amp;"*",Main_Tariff!A:A,0))),"Jump to Producer")</f>
        <v>Jump to Producer</v>
      </c>
    </row>
    <row r="151" spans="1:5" ht="14.5">
      <c r="A151" s="1178" t="s">
        <v>6</v>
      </c>
      <c r="B151" s="1178" t="s">
        <v>123</v>
      </c>
      <c r="C151" s="1178" t="s">
        <v>170</v>
      </c>
      <c r="D151" s="1178" t="s">
        <v>178</v>
      </c>
      <c r="E151" s="1051" t="str">
        <f t="array" ref="E151">HYPERLINK((("#Main_Tariff!A"&amp;MATCH("*"&amp;LEFT(D151,10)&amp;"*",Main_Tariff!A:A,0))),"Jump to Producer")</f>
        <v>Jump to Producer</v>
      </c>
    </row>
    <row r="152" spans="1:5" ht="14.5">
      <c r="A152" s="1178" t="s">
        <v>6</v>
      </c>
      <c r="B152" s="1178" t="s">
        <v>123</v>
      </c>
      <c r="C152" s="1178" t="s">
        <v>170</v>
      </c>
      <c r="D152" s="1178" t="s">
        <v>179</v>
      </c>
      <c r="E152" s="1051" t="str">
        <f t="array" ref="E152">HYPERLINK((("#Main_Tariff!A"&amp;MATCH("*"&amp;MID(D152,4,3)&amp;"*",Main_Tariff!A:A,0))),"Jump to Producer")</f>
        <v>Jump to Producer</v>
      </c>
    </row>
    <row r="153" spans="1:5" ht="14.5">
      <c r="A153" s="1178" t="s">
        <v>6</v>
      </c>
      <c r="B153" s="1178" t="s">
        <v>123</v>
      </c>
      <c r="C153" s="1178" t="s">
        <v>170</v>
      </c>
      <c r="D153" s="1178" t="s">
        <v>180</v>
      </c>
      <c r="E153" s="1051" t="str">
        <f t="array" ref="E153">HYPERLINK((("#Main_Tariff!A"&amp;MATCH("*"&amp;LEFT(D153,10)&amp;"*",Main_Tariff!A:A,0))),"Jump to Producer")</f>
        <v>Jump to Producer</v>
      </c>
    </row>
    <row r="154" spans="1:5" ht="14.5">
      <c r="A154" s="1178" t="s">
        <v>6</v>
      </c>
      <c r="B154" s="1178" t="s">
        <v>123</v>
      </c>
      <c r="C154" s="1178" t="s">
        <v>181</v>
      </c>
      <c r="D154" s="1178" t="s">
        <v>182</v>
      </c>
      <c r="E154" s="1051" t="str">
        <f t="array" ref="E154">HYPERLINK((("#Main_Tariff!A"&amp;MATCH("*"&amp;LEFT(D154,10)&amp;"*",Main_Tariff!A:A,0))),"Jump to Producer")</f>
        <v>Jump to Producer</v>
      </c>
    </row>
    <row r="155" spans="1:5" ht="14.5">
      <c r="A155" s="1178" t="s">
        <v>6</v>
      </c>
      <c r="B155" s="1178" t="s">
        <v>123</v>
      </c>
      <c r="C155" s="1178" t="s">
        <v>181</v>
      </c>
      <c r="D155" s="1178" t="s">
        <v>183</v>
      </c>
      <c r="E155" s="1051" t="str">
        <f t="array" ref="E155">HYPERLINK((("#Main_Tariff!A"&amp;MATCH(LEFT(D155,10)&amp;"*",Main_Tariff!A:A,0))),"Jump to Producer")</f>
        <v>Jump to Producer</v>
      </c>
    </row>
    <row r="156" spans="1:5" ht="14.5">
      <c r="A156" s="1178" t="s">
        <v>6</v>
      </c>
      <c r="B156" s="1178" t="s">
        <v>123</v>
      </c>
      <c r="C156" s="1178" t="s">
        <v>181</v>
      </c>
      <c r="D156" s="1178" t="s">
        <v>184</v>
      </c>
      <c r="E156" s="1051" t="str">
        <f t="array" ref="E156">HYPERLINK((("#Main_Tariff!A"&amp;MATCH("*"&amp;LEFT(D156,10)&amp;"*",Main_Tariff!A:A,0))),"Jump to Producer")</f>
        <v>Jump to Producer</v>
      </c>
    </row>
    <row r="157" spans="1:5" ht="14.5">
      <c r="A157" s="1178" t="s">
        <v>6</v>
      </c>
      <c r="B157" s="1178" t="s">
        <v>123</v>
      </c>
      <c r="C157" s="1178" t="s">
        <v>181</v>
      </c>
      <c r="D157" s="1178" t="s">
        <v>185</v>
      </c>
      <c r="E157" s="1051" t="str">
        <f t="array" ref="E157">HYPERLINK((("#Main_Tariff!A"&amp;MATCH("*"&amp;LEFT(D157,10)&amp;"*",Main_Tariff!A:A,0))),"Jump to Producer")</f>
        <v>Jump to Producer</v>
      </c>
    </row>
    <row r="158" spans="1:5" ht="14.5">
      <c r="A158" s="1178" t="s">
        <v>6</v>
      </c>
      <c r="B158" s="1178" t="s">
        <v>186</v>
      </c>
      <c r="C158" s="1178"/>
      <c r="D158" s="1178" t="s">
        <v>187</v>
      </c>
      <c r="E158" s="1051" t="str">
        <f t="array" ref="E158">HYPERLINK((("#Main_Tariff!A"&amp;MATCH("*"&amp;LEFT(D158,15)&amp;"*",Main_Tariff!A:A,0))),"Jump to Producer")</f>
        <v>Jump to Producer</v>
      </c>
    </row>
    <row r="159" spans="1:5" ht="14.5">
      <c r="A159" s="1178" t="s">
        <v>6</v>
      </c>
      <c r="B159" s="1178" t="s">
        <v>186</v>
      </c>
      <c r="C159" s="1178" t="s">
        <v>188</v>
      </c>
      <c r="D159" s="1178" t="s">
        <v>189</v>
      </c>
      <c r="E159" s="1051" t="str">
        <f t="array" ref="E159">HYPERLINK((("#Main_Tariff!A"&amp;MATCH(LEFT(D159,10)&amp;"*",Main_Tariff!A:A,0))),"Jump to Producer")</f>
        <v>Jump to Producer</v>
      </c>
    </row>
    <row r="160" spans="1:5" ht="14.5">
      <c r="A160" s="1178" t="s">
        <v>6</v>
      </c>
      <c r="B160" s="1178" t="s">
        <v>186</v>
      </c>
      <c r="C160" s="1178" t="s">
        <v>188</v>
      </c>
      <c r="D160" s="1178" t="s">
        <v>190</v>
      </c>
      <c r="E160" s="1051" t="str">
        <f t="array" ref="E160">HYPERLINK((("#Main_Tariff!A"&amp;MATCH(LEFT(D160,10)&amp;"*",Main_Tariff!A:A,0))),"Jump to Producer")</f>
        <v>Jump to Producer</v>
      </c>
    </row>
    <row r="161" spans="1:5" ht="14.5">
      <c r="A161" s="1178" t="s">
        <v>6</v>
      </c>
      <c r="B161" s="1178" t="s">
        <v>186</v>
      </c>
      <c r="C161" s="1178"/>
      <c r="D161" s="1178" t="s">
        <v>191</v>
      </c>
      <c r="E161" s="1051" t="str">
        <f t="array" ref="E161">HYPERLINK((("#Main_Tariff!A"&amp;MATCH(MID(D161,4,6)&amp;"*",Main_Tariff!A:A,0))),"Jump to Producer")</f>
        <v>Jump to Producer</v>
      </c>
    </row>
    <row r="162" spans="1:5" ht="14.5">
      <c r="A162" s="1178" t="s">
        <v>6</v>
      </c>
      <c r="B162" s="1178" t="s">
        <v>186</v>
      </c>
      <c r="C162" s="1178"/>
      <c r="D162" s="1178" t="s">
        <v>192</v>
      </c>
      <c r="E162" s="1051" t="str">
        <f t="array" ref="E162">HYPERLINK((("#Main_Tariff!A"&amp;MATCH("*"&amp;LEFT(D162,10)&amp;"*",Main_Tariff!A:A,0))),"Jump to Producer")</f>
        <v>Jump to Producer</v>
      </c>
    </row>
    <row r="163" spans="1:5" ht="14.5">
      <c r="A163" s="1178" t="s">
        <v>6</v>
      </c>
      <c r="B163" s="1178" t="s">
        <v>186</v>
      </c>
      <c r="C163" s="1178" t="s">
        <v>188</v>
      </c>
      <c r="D163" s="1178" t="s">
        <v>109</v>
      </c>
      <c r="E163" s="1051" t="str">
        <f t="array" ref="E163">HYPERLINK((("#Main_Tariff!A"&amp;MATCH("NB SEE GRAVES*",Main_Tariff!A:A,0))),"Jump to Producer")</f>
        <v>Jump to Producer</v>
      </c>
    </row>
    <row r="164" spans="1:5" ht="14.5">
      <c r="A164" s="1178" t="s">
        <v>6</v>
      </c>
      <c r="B164" s="1178" t="s">
        <v>186</v>
      </c>
      <c r="C164" s="1178" t="s">
        <v>188</v>
      </c>
      <c r="D164" s="1178" t="s">
        <v>193</v>
      </c>
      <c r="E164" s="1051" t="str">
        <f t="array" ref="E164">HYPERLINK((("#Main_Tariff!A"&amp;MATCH("*"&amp;LEFT(D164,10)&amp;"*",Main_Tariff!A:A,0))),"Jump to Producer")</f>
        <v>Jump to Producer</v>
      </c>
    </row>
    <row r="165" spans="1:5" ht="14.5">
      <c r="A165" s="1178" t="s">
        <v>6</v>
      </c>
      <c r="B165" s="1178" t="s">
        <v>186</v>
      </c>
      <c r="C165" s="1178" t="s">
        <v>188</v>
      </c>
      <c r="D165" s="1178" t="s">
        <v>194</v>
      </c>
      <c r="E165" s="1051" t="str">
        <f t="array" ref="E165">HYPERLINK((("#Main_Tariff!A"&amp;MATCH("*"&amp;LEFT(D165,10)&amp;"*",Main_Tariff!A:A,0))),"Jump to Producer")</f>
        <v>Jump to Producer</v>
      </c>
    </row>
    <row r="166" spans="1:5" ht="14.5">
      <c r="A166" s="1178" t="s">
        <v>6</v>
      </c>
      <c r="B166" s="1178" t="s">
        <v>186</v>
      </c>
      <c r="C166" s="1178" t="s">
        <v>188</v>
      </c>
      <c r="D166" s="1178" t="s">
        <v>195</v>
      </c>
      <c r="E166" s="1051" t="str">
        <f t="array" ref="E166">HYPERLINK((("#Main_Tariff!A"&amp;MATCH("*"&amp;LEFT(D166,10)&amp;"*",Main_Tariff!A:A,0))),"Jump to Producer")</f>
        <v>Jump to Producer</v>
      </c>
    </row>
    <row r="167" spans="1:5" ht="14.5">
      <c r="A167" s="1178" t="s">
        <v>6</v>
      </c>
      <c r="B167" s="1178" t="s">
        <v>186</v>
      </c>
      <c r="C167" s="1178"/>
      <c r="D167" s="1178" t="s">
        <v>196</v>
      </c>
      <c r="E167" s="1051" t="str">
        <f t="array" ref="E167">HYPERLINK((("#Main_Tariff!A"&amp;MATCH("*"&amp;LEFT(D167,10)&amp;"*",Main_Tariff!A:A,0))),"Jump to Producer")</f>
        <v>Jump to Producer</v>
      </c>
    </row>
    <row r="168" spans="1:5" ht="14.5">
      <c r="A168" s="1178" t="s">
        <v>6</v>
      </c>
      <c r="B168" s="1178" t="s">
        <v>186</v>
      </c>
      <c r="C168" s="1178"/>
      <c r="D168" s="1178" t="s">
        <v>197</v>
      </c>
      <c r="E168" s="1051" t="str">
        <f t="array" ref="E168">HYPERLINK((("#Main_Tariff!A"&amp;MATCH("*"&amp;LEFT(D168,10)&amp;"*",Main_Tariff!A:A,0))),"Jump to Producer")</f>
        <v>Jump to Producer</v>
      </c>
    </row>
    <row r="169" spans="1:5" ht="14.5">
      <c r="A169" s="1178" t="s">
        <v>6</v>
      </c>
      <c r="B169" s="1178" t="s">
        <v>198</v>
      </c>
      <c r="C169" s="1178" t="s">
        <v>199</v>
      </c>
      <c r="D169" s="1178" t="s">
        <v>200</v>
      </c>
      <c r="E169" s="1051" t="str">
        <f t="array" ref="E169">HYPERLINK((("#Main_Tariff!A"&amp;MATCH("*Famille Bilancini*",Main_Tariff!A:A,0))),"Jump to Producer")</f>
        <v>Jump to Producer</v>
      </c>
    </row>
    <row r="170" spans="1:5" ht="14.5">
      <c r="A170" s="1178" t="s">
        <v>6</v>
      </c>
      <c r="B170" s="1178" t="s">
        <v>198</v>
      </c>
      <c r="C170" s="1178" t="s">
        <v>201</v>
      </c>
      <c r="D170" s="1178" t="s">
        <v>202</v>
      </c>
      <c r="E170" s="1051" t="str">
        <f t="array" ref="E170">HYPERLINK((("#Main_Tariff!A"&amp;MATCH("*"&amp;LEFT(D170,10)&amp;"*",Main_Tariff!A:A,0))),"Jump to Producer")</f>
        <v>Jump to Producer</v>
      </c>
    </row>
    <row r="171" spans="1:5" ht="14.5">
      <c r="A171" s="1178" t="s">
        <v>6</v>
      </c>
      <c r="B171" s="1178" t="s">
        <v>203</v>
      </c>
      <c r="C171" s="1178" t="s">
        <v>204</v>
      </c>
      <c r="D171" s="1178" t="s">
        <v>205</v>
      </c>
      <c r="E171" s="1051" t="str">
        <f t="array" ref="E171">HYPERLINK((("#Main_Tariff!A"&amp;MATCH("*"&amp;MID(D171,4,7)&amp;"*",Main_Tariff!A:A,0))),"Jump to Producer")</f>
        <v>Jump to Producer</v>
      </c>
    </row>
    <row r="172" spans="1:5" ht="14.5">
      <c r="A172" s="1178" t="s">
        <v>6</v>
      </c>
      <c r="B172" s="1178" t="s">
        <v>203</v>
      </c>
      <c r="C172" s="1178" t="s">
        <v>204</v>
      </c>
      <c r="D172" s="1178" t="s">
        <v>206</v>
      </c>
      <c r="E172" s="1051" t="str">
        <f t="array" ref="E172">HYPERLINK((("#Main_Tariff!A"&amp;MATCH("*"&amp;LEFT(D172,10)&amp;"*",Main_Tariff!A:A,0))),"Jump to Producer")</f>
        <v>Jump to Producer</v>
      </c>
    </row>
    <row r="173" spans="1:5" ht="14.5">
      <c r="A173" s="1178" t="s">
        <v>6</v>
      </c>
      <c r="B173" s="1178" t="s">
        <v>203</v>
      </c>
      <c r="C173" s="1178" t="s">
        <v>204</v>
      </c>
      <c r="D173" s="1178" t="s">
        <v>207</v>
      </c>
      <c r="E173" s="1051" t="str">
        <f t="array" ref="E173">HYPERLINK((("#Main_Tariff!A"&amp;MATCH("*"&amp;LEFT(D173,10)&amp;"*",Main_Tariff!A:A,0))),"Jump to Producer")</f>
        <v>Jump to Producer</v>
      </c>
    </row>
    <row r="174" spans="1:5" ht="14.5">
      <c r="A174" s="1178" t="s">
        <v>6</v>
      </c>
      <c r="B174" s="1178" t="s">
        <v>203</v>
      </c>
      <c r="C174" s="1178" t="s">
        <v>208</v>
      </c>
      <c r="D174" s="1178" t="s">
        <v>209</v>
      </c>
      <c r="E174" s="1051" t="str">
        <f t="array" ref="E174">HYPERLINK((("#Main_Tariff!A"&amp;MATCH(LEFT(D174,6)&amp;"*",Main_Tariff!A:A,0))),"Jump to Producer")</f>
        <v>Jump to Producer</v>
      </c>
    </row>
    <row r="175" spans="1:5" ht="14.5">
      <c r="A175" s="1178" t="s">
        <v>6</v>
      </c>
      <c r="B175" s="1178" t="s">
        <v>210</v>
      </c>
      <c r="C175" s="1178" t="s">
        <v>211</v>
      </c>
      <c r="D175" s="1178" t="s">
        <v>212</v>
      </c>
      <c r="E175" s="1051" t="str">
        <f t="array" ref="E175">HYPERLINK((("#Main_Tariff!B"&amp;MATCH("*"&amp;"Whites of the Côte de"&amp;"*",Main_Tariff!B:B,0))),"Jump to Section")</f>
        <v>Jump to Section</v>
      </c>
    </row>
    <row r="176" spans="1:5" ht="14.5">
      <c r="A176" s="1178" t="s">
        <v>6</v>
      </c>
      <c r="B176" s="1178" t="s">
        <v>210</v>
      </c>
      <c r="C176" s="1178" t="s">
        <v>211</v>
      </c>
      <c r="D176" s="1178" t="s">
        <v>213</v>
      </c>
      <c r="E176" s="1051" t="str">
        <f t="array" ref="E176">HYPERLINK((("#Main_Tariff!A"&amp;MATCH(LEFT(D176,10)&amp;",*",Main_Tariff!A:A,0))),"Jump to Producer")</f>
        <v>Jump to Producer</v>
      </c>
    </row>
    <row r="177" spans="1:5" ht="14.5">
      <c r="A177" s="1178" t="s">
        <v>6</v>
      </c>
      <c r="B177" s="1178" t="s">
        <v>210</v>
      </c>
      <c r="C177" s="1178" t="s">
        <v>211</v>
      </c>
      <c r="D177" s="1178" t="s">
        <v>214</v>
      </c>
      <c r="E177" s="1051" t="str">
        <f t="array" ref="E177">HYPERLINK((("#Main_Tariff!A"&amp;MATCH(LEFT(D177,10)&amp;",*",Main_Tariff!A:A,0))),"Jump to Producer")</f>
        <v>Jump to Producer</v>
      </c>
    </row>
    <row r="178" spans="1:5" ht="14.5">
      <c r="A178" s="1178" t="s">
        <v>6</v>
      </c>
      <c r="B178" s="1178" t="s">
        <v>210</v>
      </c>
      <c r="C178" s="1178" t="s">
        <v>211</v>
      </c>
      <c r="D178" s="1178" t="s">
        <v>215</v>
      </c>
      <c r="E178" s="1051" t="str">
        <f t="array" ref="E178">HYPERLINK((("#Main_Tariff!A"&amp;MATCH("*"&amp;LEFT(D178,10)&amp;"*",Main_Tariff!A:A,0))),"Jump to Producer")</f>
        <v>Jump to Producer</v>
      </c>
    </row>
    <row r="179" spans="1:5" ht="14.5">
      <c r="A179" s="1178" t="s">
        <v>6</v>
      </c>
      <c r="B179" s="1178" t="s">
        <v>210</v>
      </c>
      <c r="C179" s="1178" t="s">
        <v>211</v>
      </c>
      <c r="D179" s="1178" t="s">
        <v>216</v>
      </c>
      <c r="E179" s="1051" t="str">
        <f t="array" ref="E179">HYPERLINK((("#Main_Tariff!A"&amp;MATCH("*"&amp;LEFT(D179,10)&amp;"*",Main_Tariff!A:A,0))),"Jump to Producer")</f>
        <v>Jump to Producer</v>
      </c>
    </row>
    <row r="180" spans="1:5" ht="14.5">
      <c r="A180" s="1178" t="s">
        <v>6</v>
      </c>
      <c r="B180" s="1178" t="s">
        <v>210</v>
      </c>
      <c r="C180" s="1178" t="s">
        <v>211</v>
      </c>
      <c r="D180" s="1178" t="s">
        <v>217</v>
      </c>
      <c r="E180" s="1051" t="str">
        <f t="array" ref="E180">HYPERLINK((("#Main_Tariff!A"&amp;MATCH(LEFT(D180,18)&amp;" by*",Main_Tariff!A:A,0))),"Jump to Producer")</f>
        <v>Jump to Producer</v>
      </c>
    </row>
    <row r="181" spans="1:5" ht="14.5">
      <c r="A181" s="1178" t="s">
        <v>6</v>
      </c>
      <c r="B181" s="1178" t="s">
        <v>210</v>
      </c>
      <c r="C181" s="1178" t="s">
        <v>211</v>
      </c>
      <c r="D181" s="1178" t="s">
        <v>218</v>
      </c>
      <c r="E181" s="1051" t="str">
        <f t="array" ref="E181">HYPERLINK((("#Main_Tariff!A"&amp;MATCH(LEFT(D181,18)&amp;",*",Main_Tariff!A:A,0))),"Jump to Producer")</f>
        <v>Jump to Producer</v>
      </c>
    </row>
    <row r="182" spans="1:5" ht="14.5">
      <c r="A182" s="1178" t="s">
        <v>6</v>
      </c>
      <c r="B182" s="1178" t="s">
        <v>210</v>
      </c>
      <c r="C182" s="1178" t="s">
        <v>211</v>
      </c>
      <c r="D182" s="1178" t="s">
        <v>219</v>
      </c>
      <c r="E182" s="1051" t="str">
        <f t="array" ref="E182">HYPERLINK((("#Main_Tariff!A"&amp;MATCH("*"&amp;LEFT(D182,10)&amp;"*",Main_Tariff!A:A,0))),"Jump to Producer")</f>
        <v>Jump to Producer</v>
      </c>
    </row>
    <row r="183" spans="1:5" ht="14.5">
      <c r="A183" s="1178" t="s">
        <v>6</v>
      </c>
      <c r="B183" s="1178" t="s">
        <v>210</v>
      </c>
      <c r="C183" s="1178" t="s">
        <v>211</v>
      </c>
      <c r="D183" s="1178" t="s">
        <v>220</v>
      </c>
      <c r="E183" s="1051" t="str">
        <f t="array" ref="E183">HYPERLINK((("#Main_Tariff!A"&amp;MATCH("*"&amp;LEFT(D183,10)&amp;"*",Main_Tariff!A:A,0))),"Jump to Producer")</f>
        <v>Jump to Producer</v>
      </c>
    </row>
    <row r="184" spans="1:5" ht="14.5">
      <c r="A184" s="1178" t="s">
        <v>6</v>
      </c>
      <c r="B184" s="1178" t="s">
        <v>210</v>
      </c>
      <c r="C184" s="1178" t="s">
        <v>211</v>
      </c>
      <c r="D184" s="1178" t="s">
        <v>221</v>
      </c>
      <c r="E184" s="1051" t="str">
        <f t="array" ref="E184">HYPERLINK((("#Main_Tariff!A"&amp;MATCH("*"&amp;LEFT(D184,10)&amp;"*",Main_Tariff!A:A,0))),"Jump to Producer")</f>
        <v>Jump to Producer</v>
      </c>
    </row>
    <row r="185" spans="1:5" ht="14.5">
      <c r="A185" s="1178" t="s">
        <v>6</v>
      </c>
      <c r="B185" s="1178" t="s">
        <v>210</v>
      </c>
      <c r="C185" s="1178" t="s">
        <v>211</v>
      </c>
      <c r="D185" s="1178" t="s">
        <v>222</v>
      </c>
      <c r="E185" s="1051" t="str">
        <f t="array" ref="E185">HYPERLINK((("#Main_Tariff!A"&amp;MATCH(LEFT(D185,18)&amp;",*",Main_Tariff!A:A,0))),"Jump to Producer")</f>
        <v>Jump to Producer</v>
      </c>
    </row>
    <row r="186" spans="1:5" ht="14.5">
      <c r="A186" s="1178" t="s">
        <v>6</v>
      </c>
      <c r="B186" s="1178" t="s">
        <v>210</v>
      </c>
      <c r="C186" s="1178" t="s">
        <v>211</v>
      </c>
      <c r="D186" s="1178" t="s">
        <v>223</v>
      </c>
      <c r="E186" s="1051" t="str">
        <f t="array" ref="E186">HYPERLINK((("#Main_Tariff!A"&amp;MATCH("*"&amp;LEFT(D186,10)&amp;"*",Main_Tariff!A:A,0))),"Jump to Producer")</f>
        <v>Jump to Producer</v>
      </c>
    </row>
    <row r="187" spans="1:5" ht="14.5">
      <c r="A187" s="1178" t="s">
        <v>6</v>
      </c>
      <c r="B187" s="1178" t="s">
        <v>210</v>
      </c>
      <c r="C187" s="1178" t="s">
        <v>211</v>
      </c>
      <c r="D187" s="1178" t="s">
        <v>224</v>
      </c>
      <c r="E187" s="1051" t="str">
        <f t="array" ref="E187">HYPERLINK((("#Main_Tariff!A"&amp;MATCH("*"&amp;LEFT(D187,10)&amp;"*",Main_Tariff!A:A,0))),"Jump to Producer")</f>
        <v>Jump to Producer</v>
      </c>
    </row>
    <row r="188" spans="1:5" ht="14.5">
      <c r="A188" s="1178" t="s">
        <v>6</v>
      </c>
      <c r="B188" s="1178" t="s">
        <v>210</v>
      </c>
      <c r="C188" s="1178" t="s">
        <v>211</v>
      </c>
      <c r="D188" s="1178" t="s">
        <v>225</v>
      </c>
      <c r="E188" s="1051" t="str">
        <f t="array" ref="E188">HYPERLINK((("#Main_Tariff!A"&amp;MATCH("*"&amp;LEFT(D188,10)&amp;"*",Main_Tariff!A:A,0))),"Jump to Producer")</f>
        <v>Jump to Producer</v>
      </c>
    </row>
    <row r="189" spans="1:5" ht="14.5">
      <c r="A189" s="1178" t="s">
        <v>6</v>
      </c>
      <c r="B189" s="1178" t="s">
        <v>210</v>
      </c>
      <c r="C189" s="1178" t="s">
        <v>211</v>
      </c>
      <c r="D189" s="1178" t="s">
        <v>226</v>
      </c>
      <c r="E189" s="1051" t="str">
        <f t="array" ref="E189">HYPERLINK((("#Main_Tariff!A"&amp;MATCH(LEFT(D189,15)&amp;",*",Main_Tariff!A:A,0))),"Jump to Producer")</f>
        <v>Jump to Producer</v>
      </c>
    </row>
    <row r="190" spans="1:5" ht="14.5">
      <c r="A190" s="1178" t="s">
        <v>6</v>
      </c>
      <c r="B190" s="1178" t="s">
        <v>210</v>
      </c>
      <c r="C190" s="1178" t="s">
        <v>211</v>
      </c>
      <c r="D190" s="1178" t="s">
        <v>227</v>
      </c>
      <c r="E190" s="1051" t="str">
        <f t="array" ref="E190">HYPERLINK((("#Main_Tariff!A"&amp;MATCH("*"&amp;LEFT(D190,10)&amp;"*",Main_Tariff!A:A,0))),"Jump to Producer")</f>
        <v>Jump to Producer</v>
      </c>
    </row>
    <row r="191" spans="1:5" ht="14.5">
      <c r="A191" s="1178" t="s">
        <v>6</v>
      </c>
      <c r="B191" s="1178" t="s">
        <v>210</v>
      </c>
      <c r="C191" s="1178" t="s">
        <v>211</v>
      </c>
      <c r="D191" s="1178" t="s">
        <v>228</v>
      </c>
      <c r="E191" s="1051" t="str">
        <f t="array" ref="E191">HYPERLINK((("#Main_Tariff!A"&amp;MATCH("*"&amp;LEFT(D191,10)&amp;"*",Main_Tariff!A:A,0))),"Jump to Producer")</f>
        <v>Jump to Producer</v>
      </c>
    </row>
    <row r="192" spans="1:5" ht="14.5">
      <c r="A192" s="1178" t="s">
        <v>6</v>
      </c>
      <c r="B192" s="1178" t="s">
        <v>210</v>
      </c>
      <c r="C192" s="1178" t="s">
        <v>211</v>
      </c>
      <c r="D192" s="1178" t="s">
        <v>229</v>
      </c>
      <c r="E192" s="1051" t="str">
        <f t="array" ref="E192">HYPERLINK((("#Main_Tariff!A"&amp;MATCH("*"&amp;LEFT(D192,10)&amp;"*",Main_Tariff!A:A,0))),"Jump to Producer")</f>
        <v>Jump to Producer</v>
      </c>
    </row>
    <row r="193" spans="1:5" ht="14.5">
      <c r="A193" s="1178" t="s">
        <v>6</v>
      </c>
      <c r="B193" s="1178" t="s">
        <v>210</v>
      </c>
      <c r="C193" s="1178" t="s">
        <v>211</v>
      </c>
      <c r="D193" s="1178" t="s">
        <v>230</v>
      </c>
      <c r="E193" s="1051" t="str">
        <f t="array" ref="E193">HYPERLINK((("#Main_Tariff!A"&amp;MATCH("*"&amp;LEFT(D193,10)&amp;"*",Main_Tariff!A:A,0))),"Jump to Producer")</f>
        <v>Jump to Producer</v>
      </c>
    </row>
    <row r="194" spans="1:5" ht="14.5">
      <c r="A194" s="1178" t="s">
        <v>6</v>
      </c>
      <c r="B194" s="1178" t="s">
        <v>210</v>
      </c>
      <c r="C194" s="1178" t="s">
        <v>211</v>
      </c>
      <c r="D194" s="1178" t="s">
        <v>231</v>
      </c>
      <c r="E194" s="1051" t="str">
        <f t="array" ref="E194">HYPERLINK((("#Main_Tariff!A"&amp;MATCH("*"&amp;LEFT(D194,12)&amp;"*",Main_Tariff!A:A,0))),"Jump to Producer")</f>
        <v>Jump to Producer</v>
      </c>
    </row>
    <row r="195" spans="1:5" ht="14.5">
      <c r="A195" s="1178" t="s">
        <v>6</v>
      </c>
      <c r="B195" s="1178" t="s">
        <v>210</v>
      </c>
      <c r="C195" s="1178" t="s">
        <v>211</v>
      </c>
      <c r="D195" s="1178" t="s">
        <v>232</v>
      </c>
      <c r="E195" s="1051" t="str">
        <f t="array" ref="E195">HYPERLINK((("#Main_Tariff!A"&amp;MATCH(LEFT(D195,18)&amp;",*",Main_Tariff!A:A,0))),"Jump to Producer")</f>
        <v>Jump to Producer</v>
      </c>
    </row>
    <row r="196" spans="1:5" ht="14.5">
      <c r="A196" s="1178" t="s">
        <v>6</v>
      </c>
      <c r="B196" s="1178" t="s">
        <v>210</v>
      </c>
      <c r="C196" s="1178" t="s">
        <v>211</v>
      </c>
      <c r="D196" s="1178" t="s">
        <v>233</v>
      </c>
      <c r="E196" s="1051" t="str">
        <f t="array" ref="E196">HYPERLINK((("#Main_Tariff!A"&amp;MATCH("*"&amp;LEFT(D196,10)&amp;"*",Main_Tariff!A:A,0))),"Jump to Producer")</f>
        <v>Jump to Producer</v>
      </c>
    </row>
    <row r="197" spans="1:5" ht="14.5">
      <c r="A197" s="1178" t="s">
        <v>6</v>
      </c>
      <c r="B197" s="1178" t="s">
        <v>210</v>
      </c>
      <c r="C197" s="1178" t="s">
        <v>211</v>
      </c>
      <c r="D197" s="1178" t="s">
        <v>234</v>
      </c>
      <c r="E197" s="1051" t="str">
        <f t="array" ref="E197">HYPERLINK((("#Main_Tariff!A"&amp;MATCH("*"&amp;LEFT(D197,10)&amp;"*",Main_Tariff!A:A,0))),"Jump to Producer")</f>
        <v>Jump to Producer</v>
      </c>
    </row>
    <row r="198" spans="1:5" ht="14.5">
      <c r="A198" s="1178" t="s">
        <v>6</v>
      </c>
      <c r="B198" s="1178" t="s">
        <v>210</v>
      </c>
      <c r="C198" s="1178" t="s">
        <v>211</v>
      </c>
      <c r="D198" s="1178" t="s">
        <v>235</v>
      </c>
      <c r="E198" s="1051" t="str">
        <f t="array" ref="E198">HYPERLINK((("#Main_Tariff!A"&amp;MATCH(LEFT(D198,15)&amp;",*",Main_Tariff!A:A,0))),"Jump to Producer")</f>
        <v>Jump to Producer</v>
      </c>
    </row>
    <row r="199" spans="1:5" ht="14.5">
      <c r="A199" s="1178" t="s">
        <v>6</v>
      </c>
      <c r="B199" s="1178" t="s">
        <v>210</v>
      </c>
      <c r="C199" s="1178" t="s">
        <v>211</v>
      </c>
      <c r="D199" s="1178" t="s">
        <v>236</v>
      </c>
      <c r="E199" s="1051" t="str">
        <f t="array" ref="E199">HYPERLINK((("#Main_Tariff!A"&amp;MATCH("*"&amp;LEFT(D199,10)&amp;"*",Main_Tariff!A:A,0))),"Jump to Producer")</f>
        <v>Jump to Producer</v>
      </c>
    </row>
    <row r="200" spans="1:5" ht="14.5">
      <c r="A200" s="1178" t="s">
        <v>6</v>
      </c>
      <c r="B200" s="1178" t="s">
        <v>210</v>
      </c>
      <c r="C200" s="1178" t="s">
        <v>211</v>
      </c>
      <c r="D200" s="1178" t="s">
        <v>237</v>
      </c>
      <c r="E200" s="1051" t="str">
        <f t="array" ref="E200">HYPERLINK((("#Main_Tariff!A"&amp;MATCH("*"&amp;LEFT(D200,10)&amp;"*",Main_Tariff!A:A,0))),"Jump to Producer")</f>
        <v>Jump to Producer</v>
      </c>
    </row>
    <row r="201" spans="1:5" ht="14.5">
      <c r="A201" s="1178" t="s">
        <v>6</v>
      </c>
      <c r="B201" s="1178" t="s">
        <v>210</v>
      </c>
      <c r="C201" s="1178" t="s">
        <v>211</v>
      </c>
      <c r="D201" s="1178" t="s">
        <v>238</v>
      </c>
      <c r="E201" s="1051" t="str">
        <f t="array" ref="E201">HYPERLINK((("#Main_Tariff!A"&amp;MATCH("*"&amp;LEFT(D201,10)&amp;"*",Main_Tariff!A:A,0))),"Jump to Producer")</f>
        <v>Jump to Producer</v>
      </c>
    </row>
    <row r="202" spans="1:5" ht="14.5">
      <c r="A202" s="1178" t="s">
        <v>6</v>
      </c>
      <c r="B202" s="1178" t="s">
        <v>210</v>
      </c>
      <c r="C202" s="1178" t="s">
        <v>211</v>
      </c>
      <c r="D202" s="1178" t="s">
        <v>239</v>
      </c>
      <c r="E202" s="1051" t="str">
        <f t="array" ref="E202">HYPERLINK((("#Main_Tariff!A"&amp;MATCH("Domaine-CecileTremblay.fr",Main_Tariff!A:A,0))),"Jump to Producer")</f>
        <v>Jump to Producer</v>
      </c>
    </row>
    <row r="203" spans="1:5" ht="14.5">
      <c r="A203" s="1178" t="s">
        <v>6</v>
      </c>
      <c r="B203" s="1178" t="s">
        <v>210</v>
      </c>
      <c r="C203" s="1178" t="s">
        <v>211</v>
      </c>
      <c r="D203" s="1178" t="s">
        <v>240</v>
      </c>
      <c r="E203" s="1051" t="str">
        <f t="array" ref="E203">HYPERLINK((("#Main_Tariff!A"&amp;MATCH("*"&amp;LEFT(D203,10)&amp;"*",Main_Tariff!A:A,0))),"Jump to Producer")</f>
        <v>Jump to Producer</v>
      </c>
    </row>
    <row r="204" spans="1:5" ht="14.5">
      <c r="A204" s="1178" t="s">
        <v>6</v>
      </c>
      <c r="B204" s="1178" t="s">
        <v>210</v>
      </c>
      <c r="C204" s="1178" t="s">
        <v>211</v>
      </c>
      <c r="D204" s="1178" t="s">
        <v>241</v>
      </c>
      <c r="E204" s="1051" t="str">
        <f t="array" ref="E204">HYPERLINK((("#Main_Tariff!A"&amp;MATCH("*"&amp;LEFT(D204,10)&amp;"*",Main_Tariff!A:A,0))),"Jump to Producer")</f>
        <v>Jump to Producer</v>
      </c>
    </row>
    <row r="205" spans="1:5" ht="14.5">
      <c r="A205" s="1178" t="s">
        <v>6</v>
      </c>
      <c r="B205" s="1178" t="s">
        <v>210</v>
      </c>
      <c r="C205" s="1178" t="s">
        <v>242</v>
      </c>
      <c r="D205" s="1178" t="s">
        <v>243</v>
      </c>
      <c r="E205" s="1051" t="str">
        <f t="array" ref="E205">HYPERLINK((("#Main_Tariff!B"&amp;MATCH("*"&amp;"* Auxey-Duresses *"&amp;"*",Main_Tariff!B:B,0))),"Jump to Section")</f>
        <v>Jump to Section</v>
      </c>
    </row>
    <row r="206" spans="1:5" ht="14.5">
      <c r="A206" s="1178" t="s">
        <v>6</v>
      </c>
      <c r="B206" s="1178" t="s">
        <v>210</v>
      </c>
      <c r="C206" s="1178" t="s">
        <v>242</v>
      </c>
      <c r="D206" s="1178" t="s">
        <v>244</v>
      </c>
      <c r="E206" s="1051" t="str">
        <f t="array" ref="E206">HYPERLINK((("#Main_Tariff!A"&amp;MATCH("AMI. By paul*",Main_Tariff!A:A,0))),"Jump to Producer")</f>
        <v>Jump to Producer</v>
      </c>
    </row>
    <row r="207" spans="1:5" ht="14.5">
      <c r="A207" s="1178" t="s">
        <v>6</v>
      </c>
      <c r="B207" s="1178" t="s">
        <v>210</v>
      </c>
      <c r="C207" s="1178" t="s">
        <v>242</v>
      </c>
      <c r="D207" s="1178" t="s">
        <v>245</v>
      </c>
      <c r="E207" s="1051" t="str">
        <f t="array" ref="E207">HYPERLINK((("#Main_Tariff!A"&amp;MATCH("*"&amp;LEFT(D207,15)&amp;"*",Main_Tariff!A:A,0))),"Jump to Producer")</f>
        <v>Jump to Producer</v>
      </c>
    </row>
    <row r="208" spans="1:5" ht="14.5">
      <c r="A208" s="1178" t="s">
        <v>6</v>
      </c>
      <c r="B208" s="1178" t="s">
        <v>210</v>
      </c>
      <c r="C208" s="1178" t="s">
        <v>242</v>
      </c>
      <c r="D208" s="1178" t="s">
        <v>246</v>
      </c>
      <c r="E208" s="1051" t="str">
        <f t="array" ref="E208">HYPERLINK((("#Main_Tariff!A"&amp;MATCH("*"&amp;LEFT(D208,10)&amp;"*",Main_Tariff!A:A,0))),"Jump to Producer")</f>
        <v>Jump to Producer</v>
      </c>
    </row>
    <row r="209" spans="1:5" ht="14.5">
      <c r="A209" s="1178" t="s">
        <v>6</v>
      </c>
      <c r="B209" s="1178" t="s">
        <v>210</v>
      </c>
      <c r="C209" s="1178" t="s">
        <v>242</v>
      </c>
      <c r="D209" s="1178" t="s">
        <v>247</v>
      </c>
      <c r="E209" s="1051" t="str">
        <f t="array" ref="E209">HYPERLINK((("#Main_Tariff!A"&amp;MATCH("*"&amp;LEFT(D209,10)&amp;"*",Main_Tariff!A:A,0))),"Jump to Producer")</f>
        <v>Jump to Producer</v>
      </c>
    </row>
    <row r="210" spans="1:5" ht="14.5">
      <c r="A210" s="1178" t="s">
        <v>6</v>
      </c>
      <c r="B210" s="1178" t="s">
        <v>210</v>
      </c>
      <c r="C210" s="1178" t="s">
        <v>242</v>
      </c>
      <c r="D210" s="1178" t="s">
        <v>248</v>
      </c>
      <c r="E210" s="1051" t="str">
        <f t="array" ref="E210">HYPERLINK((("#Main_Tariff!A"&amp;MATCH("*"&amp;LEFT(D210,10)&amp;"*",Main_Tariff!A:A,0))),"Jump to Producer")</f>
        <v>Jump to Producer</v>
      </c>
    </row>
    <row r="211" spans="1:5" ht="14.5">
      <c r="A211" s="1178" t="s">
        <v>6</v>
      </c>
      <c r="B211" s="1178" t="s">
        <v>210</v>
      </c>
      <c r="C211" s="1178" t="s">
        <v>242</v>
      </c>
      <c r="D211" s="1178" t="s">
        <v>249</v>
      </c>
      <c r="E211" s="1051" t="str">
        <f t="array" ref="E211">HYPERLINK((("#Main_Tariff!A"&amp;MATCH("*"&amp;MID(D211,8,15)&amp;"*",Main_Tariff!A:A,0))),"Jump to Producer")</f>
        <v>Jump to Producer</v>
      </c>
    </row>
    <row r="212" spans="1:5" ht="14.5">
      <c r="A212" s="1178" t="s">
        <v>6</v>
      </c>
      <c r="B212" s="1178" t="s">
        <v>210</v>
      </c>
      <c r="C212" s="1178" t="s">
        <v>242</v>
      </c>
      <c r="D212" s="1178" t="s">
        <v>250</v>
      </c>
      <c r="E212" s="1051" t="str">
        <f t="array" ref="E212">HYPERLINK((("#Main_Tariff!A"&amp;MATCH("*"&amp;LEFT(D212,10)&amp;"*",Main_Tariff!A:A,0))),"Jump to Producer")</f>
        <v>Jump to Producer</v>
      </c>
    </row>
    <row r="213" spans="1:5" ht="14.5">
      <c r="A213" s="1178" t="s">
        <v>6</v>
      </c>
      <c r="B213" s="1178" t="s">
        <v>210</v>
      </c>
      <c r="C213" s="1178" t="s">
        <v>242</v>
      </c>
      <c r="D213" s="1178" t="s">
        <v>251</v>
      </c>
      <c r="E213" s="1051" t="str">
        <f t="array" ref="E213">HYPERLINK((("#Main_Tariff!A"&amp;MATCH("*"&amp;LEFT(D213,10)&amp;"*",Main_Tariff!A:A,0))),"Jump to Producer")</f>
        <v>Jump to Producer</v>
      </c>
    </row>
    <row r="214" spans="1:5" ht="14.5">
      <c r="A214" s="1178" t="s">
        <v>6</v>
      </c>
      <c r="B214" s="1178" t="s">
        <v>210</v>
      </c>
      <c r="C214" s="1178" t="s">
        <v>242</v>
      </c>
      <c r="D214" s="1178" t="s">
        <v>252</v>
      </c>
      <c r="E214" s="1051" t="str">
        <f t="array" ref="E214">HYPERLINK((("#Main_Tariff!A"&amp;MATCH("*"&amp;LEFT(D214,10)&amp;"*",Main_Tariff!A:A,0))),"Jump to Producer")</f>
        <v>Jump to Producer</v>
      </c>
    </row>
    <row r="215" spans="1:5" ht="14.5">
      <c r="A215" s="1178" t="s">
        <v>6</v>
      </c>
      <c r="B215" s="1178" t="s">
        <v>210</v>
      </c>
      <c r="C215" s="1178" t="s">
        <v>242</v>
      </c>
      <c r="D215" s="1178" t="s">
        <v>253</v>
      </c>
      <c r="E215" s="1051" t="str">
        <f t="array" ref="E215">HYPERLINK((("#Main_Tariff!A"&amp;MATCH("*"&amp;LEFT(D215,15)&amp;"*",Main_Tariff!A:A,0))),"Jump to Producer")</f>
        <v>Jump to Producer</v>
      </c>
    </row>
    <row r="216" spans="1:5" ht="14.5">
      <c r="A216" s="1178" t="s">
        <v>6</v>
      </c>
      <c r="B216" s="1178" t="s">
        <v>210</v>
      </c>
      <c r="C216" s="1178" t="s">
        <v>242</v>
      </c>
      <c r="D216" s="1178" t="s">
        <v>254</v>
      </c>
      <c r="E216" s="1051" t="str">
        <f t="array" ref="E216">HYPERLINK((("#Main_Tariff!A"&amp;MATCH("*"&amp;LEFT(D216,10)&amp;"*",Main_Tariff!A:A,0))),"Jump to Producer")</f>
        <v>Jump to Producer</v>
      </c>
    </row>
    <row r="217" spans="1:5" ht="14.5">
      <c r="A217" s="1178" t="s">
        <v>6</v>
      </c>
      <c r="B217" s="1178" t="s">
        <v>210</v>
      </c>
      <c r="C217" s="1178" t="s">
        <v>242</v>
      </c>
      <c r="D217" s="1178" t="s">
        <v>255</v>
      </c>
      <c r="E217" s="1051" t="str">
        <f t="array" ref="E217">HYPERLINK((("#Main_Tariff!A"&amp;MATCH("*"&amp;LEFT(D217,10)&amp;"*",Main_Tariff!A:A,0))),"Jump to Producer")</f>
        <v>Jump to Producer</v>
      </c>
    </row>
    <row r="218" spans="1:5" ht="14.5">
      <c r="A218" s="1178" t="s">
        <v>6</v>
      </c>
      <c r="B218" s="1178" t="s">
        <v>210</v>
      </c>
      <c r="C218" s="1178" t="s">
        <v>242</v>
      </c>
      <c r="D218" s="1178" t="s">
        <v>256</v>
      </c>
      <c r="E218" s="1051" t="str">
        <f t="array" ref="E218">HYPERLINK((("#Main_Tariff!A"&amp;MATCH(LEFT(D218,10)&amp;",*",Main_Tariff!A:A,0))),"Jump to Producer")</f>
        <v>Jump to Producer</v>
      </c>
    </row>
    <row r="219" spans="1:5" ht="14.5">
      <c r="A219" s="1178" t="s">
        <v>6</v>
      </c>
      <c r="B219" s="1178" t="s">
        <v>210</v>
      </c>
      <c r="C219" s="1178" t="s">
        <v>242</v>
      </c>
      <c r="D219" s="1178" t="s">
        <v>257</v>
      </c>
      <c r="E219" s="1051" t="str">
        <f t="array" ref="E219">HYPERLINK((("#Main_Tariff!A"&amp;MATCH("*"&amp;LEFT(D219,10)&amp;"*",Main_Tariff!A:A,0))),"Jump to Producer")</f>
        <v>Jump to Producer</v>
      </c>
    </row>
    <row r="220" spans="1:5" ht="14.5">
      <c r="A220" s="1178" t="s">
        <v>6</v>
      </c>
      <c r="B220" s="1178" t="s">
        <v>210</v>
      </c>
      <c r="C220" s="1178" t="s">
        <v>242</v>
      </c>
      <c r="D220" s="1178" t="s">
        <v>258</v>
      </c>
      <c r="E220" s="1051" t="str">
        <f t="array" ref="E220">HYPERLINK((("#Main_Tariff!A"&amp;MATCH("*"&amp;"Côte de Beaune &amp; the"&amp;"*",Main_Tariff!A:A,0))),"Jump to Producer")</f>
        <v>Jump to Producer</v>
      </c>
    </row>
    <row r="221" spans="1:5" ht="14.5">
      <c r="A221" s="1178" t="s">
        <v>6</v>
      </c>
      <c r="B221" s="1178" t="s">
        <v>210</v>
      </c>
      <c r="C221" s="1178" t="s">
        <v>242</v>
      </c>
      <c r="D221" s="1178" t="s">
        <v>259</v>
      </c>
      <c r="E221" s="1051" t="str">
        <f t="array" ref="E221">HYPERLINK((("#Main_Tariff!A"&amp;MATCH("Moreau Bernard*",Main_Tariff!A:A,0))),"Jump to Producer")</f>
        <v>Jump to Producer</v>
      </c>
    </row>
    <row r="222" spans="1:5" ht="14.5">
      <c r="A222" s="1178" t="s">
        <v>6</v>
      </c>
      <c r="B222" s="1178" t="s">
        <v>210</v>
      </c>
      <c r="C222" s="1178" t="s">
        <v>242</v>
      </c>
      <c r="D222" s="1178" t="s">
        <v>260</v>
      </c>
      <c r="E222" s="1051" t="str">
        <f t="array" ref="E222">HYPERLINK((("#Main_Tariff!A"&amp;MATCH(LEFT(D222,10)&amp;"*",Main_Tariff!A:A,0))),"Jump to Producer")</f>
        <v>Jump to Producer</v>
      </c>
    </row>
    <row r="223" spans="1:5" ht="14.5">
      <c r="A223" s="1178" t="s">
        <v>6</v>
      </c>
      <c r="B223" s="1178" t="s">
        <v>210</v>
      </c>
      <c r="C223" s="1178" t="s">
        <v>242</v>
      </c>
      <c r="D223" s="1178" t="s">
        <v>261</v>
      </c>
      <c r="E223" s="1051" t="str">
        <f t="array" ref="E223">HYPERLINK((("#Main_Tariff!A"&amp;MATCH(LEFT(D223,15)&amp;",*",Main_Tariff!A:A,0))),"Jump to Producer")</f>
        <v>Jump to Producer</v>
      </c>
    </row>
    <row r="224" spans="1:5" ht="14.5">
      <c r="A224" s="1178" t="s">
        <v>6</v>
      </c>
      <c r="B224" s="1178" t="s">
        <v>210</v>
      </c>
      <c r="C224" s="1178" t="s">
        <v>242</v>
      </c>
      <c r="D224" s="1178" t="s">
        <v>262</v>
      </c>
      <c r="E224" s="1051" t="str">
        <f t="array" ref="E224">HYPERLINK((("#Main_Tariff!A"&amp;MATCH("*"&amp;LEFT(D224,10)&amp;"*",Main_Tariff!A:A,0))),"Jump to Producer")</f>
        <v>Jump to Producer</v>
      </c>
    </row>
    <row r="225" spans="1:5" ht="14.5">
      <c r="A225" s="1178" t="s">
        <v>6</v>
      </c>
      <c r="B225" s="1178" t="s">
        <v>210</v>
      </c>
      <c r="C225" s="1178" t="s">
        <v>242</v>
      </c>
      <c r="D225" s="1178" t="s">
        <v>263</v>
      </c>
      <c r="E225" s="1051" t="str">
        <f t="array" ref="E225">HYPERLINK((("#Main_Tariff!A"&amp;MATCH("*"&amp;LEFT(D225,10)&amp;"*",Main_Tariff!A:A,0))),"Jump to Producer")</f>
        <v>Jump to Producer</v>
      </c>
    </row>
    <row r="226" spans="1:5" ht="14.5">
      <c r="A226" s="1178" t="s">
        <v>6</v>
      </c>
      <c r="B226" s="1178" t="s">
        <v>210</v>
      </c>
      <c r="C226" s="1178" t="s">
        <v>242</v>
      </c>
      <c r="D226" s="1178" t="s">
        <v>264</v>
      </c>
      <c r="E226" s="1051" t="str">
        <f t="array" ref="E226">HYPERLINK((("#Main_Tariff!A"&amp;MATCH(LEFT(D226,10)&amp;",*",Main_Tariff!A:A,0))),"Jump to Producer")</f>
        <v>Jump to Producer</v>
      </c>
    </row>
    <row r="227" spans="1:5" ht="14.5">
      <c r="A227" s="1178" t="s">
        <v>6</v>
      </c>
      <c r="B227" s="1178" t="s">
        <v>210</v>
      </c>
      <c r="C227" s="1178" t="s">
        <v>242</v>
      </c>
      <c r="D227" s="1178" t="s">
        <v>265</v>
      </c>
      <c r="E227" s="1051" t="str">
        <f t="array" ref="E227">HYPERLINK((("#Main_Tariff!A"&amp;MATCH("*"&amp;LEFT(D227,10)&amp;"*",Main_Tariff!A:A,0))),"Jump to Producer")</f>
        <v>Jump to Producer</v>
      </c>
    </row>
    <row r="228" spans="1:5" ht="14.5">
      <c r="A228" s="1178" t="s">
        <v>6</v>
      </c>
      <c r="B228" s="1178" t="s">
        <v>210</v>
      </c>
      <c r="C228" s="1178" t="s">
        <v>242</v>
      </c>
      <c r="D228" s="1178" t="s">
        <v>266</v>
      </c>
      <c r="E228" s="1051" t="str">
        <f t="array" ref="E228">HYPERLINK((("#Main_Tariff!A"&amp;MATCH("*"&amp;LEFT(D228,10)&amp;"*",Main_Tariff!A:A,0))),"Jump to Producer")</f>
        <v>Jump to Producer</v>
      </c>
    </row>
    <row r="229" spans="1:5" ht="14.5">
      <c r="A229" s="1178" t="s">
        <v>6</v>
      </c>
      <c r="B229" s="1178" t="s">
        <v>267</v>
      </c>
      <c r="C229" s="1178" t="s">
        <v>268</v>
      </c>
      <c r="D229" s="1178" t="s">
        <v>269</v>
      </c>
      <c r="E229" s="1051" t="str">
        <f t="array" ref="E229">HYPERLINK((("#Main_Tariff!A"&amp;MATCH("*"&amp;LEFT(D229,10)&amp;"*",Main_Tariff!A:A,0))),"Jump to Producer")</f>
        <v>Jump to Producer</v>
      </c>
    </row>
    <row r="230" spans="1:5" ht="14.5">
      <c r="A230" s="1178" t="s">
        <v>6</v>
      </c>
      <c r="B230" s="1178" t="s">
        <v>267</v>
      </c>
      <c r="C230" s="1178" t="s">
        <v>268</v>
      </c>
      <c r="D230" s="1178" t="s">
        <v>270</v>
      </c>
      <c r="E230" s="1051" t="str">
        <f t="array" ref="E230">HYPERLINK((("#Main_Tariff!A"&amp;MATCH("*"&amp;LEFT(D230,10)&amp;"*",Main_Tariff!A:A,0))),"Jump to Producer")</f>
        <v>Jump to Producer</v>
      </c>
    </row>
    <row r="231" spans="1:5" ht="14.5">
      <c r="A231" s="1178" t="s">
        <v>6</v>
      </c>
      <c r="B231" s="1178" t="s">
        <v>267</v>
      </c>
      <c r="C231" s="1178" t="s">
        <v>268</v>
      </c>
      <c r="D231" s="1178" t="s">
        <v>271</v>
      </c>
      <c r="E231" s="1051" t="str">
        <f t="array" ref="E231">HYPERLINK((("#Main_Tariff!A"&amp;MATCH("*"&amp;LEFT(D231,10)&amp;"*",Main_Tariff!A:A,0))),"Jump to Producer")</f>
        <v>Jump to Producer</v>
      </c>
    </row>
    <row r="232" spans="1:5" ht="14.5">
      <c r="A232" s="1178" t="s">
        <v>6</v>
      </c>
      <c r="B232" s="1178" t="s">
        <v>267</v>
      </c>
      <c r="C232" s="1178" t="s">
        <v>272</v>
      </c>
      <c r="D232" s="1178" t="s">
        <v>273</v>
      </c>
      <c r="E232" s="1051" t="str">
        <f t="array" ref="E232">HYPERLINK((("#Main_Tariff!A"&amp;MATCH("*"&amp;MID(D232,4,6)&amp;"*",Main_Tariff!A:A,0))),"Jump to Producer")</f>
        <v>Jump to Producer</v>
      </c>
    </row>
    <row r="233" spans="1:5" ht="14.5">
      <c r="A233" s="1178" t="s">
        <v>6</v>
      </c>
      <c r="B233" s="1178" t="s">
        <v>267</v>
      </c>
      <c r="C233" s="1178" t="s">
        <v>272</v>
      </c>
      <c r="D233" s="1178" t="s">
        <v>274</v>
      </c>
      <c r="E233" s="1051" t="str">
        <f t="array" ref="E233">HYPERLINK((("#Main_Tariff!A"&amp;MATCH("*"&amp;LEFT(D233,10)&amp;"*",Main_Tariff!A:A,0))),"Jump to Producer")</f>
        <v>Jump to Producer</v>
      </c>
    </row>
    <row r="234" spans="1:5" ht="14.5">
      <c r="A234" s="1178" t="s">
        <v>6</v>
      </c>
      <c r="B234" s="1178" t="s">
        <v>267</v>
      </c>
      <c r="C234" s="1178" t="s">
        <v>272</v>
      </c>
      <c r="D234" s="1178" t="s">
        <v>275</v>
      </c>
      <c r="E234" s="1051" t="str">
        <f t="array" ref="E234">HYPERLINK((("#Main_Tariff!A"&amp;MATCH("*"&amp;LEFT(D234,10)&amp;"*",Main_Tariff!A:A,0))),"Jump to Producer")</f>
        <v>Jump to Producer</v>
      </c>
    </row>
    <row r="235" spans="1:5" ht="14.5">
      <c r="A235" s="1178" t="s">
        <v>6</v>
      </c>
      <c r="B235" s="1178" t="s">
        <v>267</v>
      </c>
      <c r="C235" s="1178" t="s">
        <v>272</v>
      </c>
      <c r="D235" s="1178" t="s">
        <v>276</v>
      </c>
      <c r="E235" s="1051" t="str">
        <f t="array" ref="E235">HYPERLINK((("#Main_Tariff!A"&amp;MATCH(LEFT(D235,10)&amp;"*",Main_Tariff!A:A,0))),"Jump to Producer")</f>
        <v>Jump to Producer</v>
      </c>
    </row>
    <row r="236" spans="1:5" ht="14.5">
      <c r="A236" s="1178" t="s">
        <v>6</v>
      </c>
      <c r="B236" s="1178" t="s">
        <v>267</v>
      </c>
      <c r="C236" s="1178" t="s">
        <v>277</v>
      </c>
      <c r="D236" s="1178" t="s">
        <v>278</v>
      </c>
      <c r="E236" s="1051" t="str">
        <f t="array" ref="E236">HYPERLINK((("#Main_Tariff!A"&amp;MATCH("*"&amp;LEFT(D236,18)&amp;" by*",Main_Tariff!A:A,0))),"Jump to Producer")</f>
        <v>Jump to Producer</v>
      </c>
    </row>
    <row r="237" spans="1:5" ht="14.5">
      <c r="A237" s="1178" t="s">
        <v>6</v>
      </c>
      <c r="B237" s="1178" t="s">
        <v>267</v>
      </c>
      <c r="C237" s="1178" t="s">
        <v>277</v>
      </c>
      <c r="D237" s="1178" t="s">
        <v>279</v>
      </c>
      <c r="E237" s="1051" t="str">
        <f t="array" ref="E237">HYPERLINK((("#Main_Tariff!A"&amp;MATCH("*"&amp;LEFT(D237,10)&amp;"*",Main_Tariff!A:A,0))),"Jump to Producer")</f>
        <v>Jump to Producer</v>
      </c>
    </row>
    <row r="238" spans="1:5" ht="14.5">
      <c r="A238" s="1178" t="s">
        <v>6</v>
      </c>
      <c r="B238" s="1178" t="s">
        <v>267</v>
      </c>
      <c r="C238" s="1178" t="s">
        <v>277</v>
      </c>
      <c r="D238" s="1178" t="s">
        <v>280</v>
      </c>
      <c r="E238" s="1051" t="str">
        <f t="array" ref="E238">HYPERLINK((("#Main_Tariff!A"&amp;MATCH("*"&amp;LEFT(D238,10)&amp;"*",Main_Tariff!A:A,0))),"Jump to Producer")</f>
        <v>Jump to Producer</v>
      </c>
    </row>
    <row r="239" spans="1:5" ht="14.5">
      <c r="A239" s="1178" t="s">
        <v>6</v>
      </c>
      <c r="B239" s="1178" t="s">
        <v>267</v>
      </c>
      <c r="C239" s="1178" t="s">
        <v>277</v>
      </c>
      <c r="D239" s="1178" t="s">
        <v>281</v>
      </c>
      <c r="E239" s="1051" t="str">
        <f t="array" ref="E239">HYPERLINK((("#Main_Tariff!A"&amp;MATCH("*"&amp;LEFT(D239,15)&amp;"*",Main_Tariff!A:A,0))),"Jump to Producer")</f>
        <v>Jump to Producer</v>
      </c>
    </row>
    <row r="240" spans="1:5" ht="14.5">
      <c r="A240" s="1178" t="s">
        <v>6</v>
      </c>
      <c r="B240" s="1178" t="s">
        <v>267</v>
      </c>
      <c r="C240" s="1178" t="s">
        <v>277</v>
      </c>
      <c r="D240" s="1178" t="s">
        <v>23380</v>
      </c>
      <c r="E240" s="1051" t="str">
        <f t="array" ref="E240">HYPERLINK((("#Main_Tariff!A"&amp;MATCH(LEFT(D240,10)&amp;"*",Main_Tariff!A:A,0))),"Jump to Producer")</f>
        <v>Jump to Producer</v>
      </c>
    </row>
    <row r="241" spans="1:5" ht="14.5">
      <c r="A241" s="1178" t="s">
        <v>6</v>
      </c>
      <c r="B241" s="1178" t="s">
        <v>267</v>
      </c>
      <c r="C241" s="1178" t="s">
        <v>277</v>
      </c>
      <c r="D241" s="1178" t="s">
        <v>282</v>
      </c>
      <c r="E241" s="1051" t="str">
        <f t="array" ref="E241">HYPERLINK((("#Main_Tariff!A"&amp;MATCH("*"&amp;MID(D241,4,10)&amp;"*",Main_Tariff!A:A,0))),"Jump to Producer")</f>
        <v>Jump to Producer</v>
      </c>
    </row>
    <row r="242" spans="1:5" ht="14.5">
      <c r="A242" s="1178" t="s">
        <v>6</v>
      </c>
      <c r="B242" s="1178" t="s">
        <v>267</v>
      </c>
      <c r="C242" s="1178" t="s">
        <v>277</v>
      </c>
      <c r="D242" s="1178" t="s">
        <v>283</v>
      </c>
      <c r="E242" s="1051" t="str">
        <f t="array" ref="E242">HYPERLINK((("#Main_Tariff!A"&amp;MATCH("*"&amp;LEFT(D242,10)&amp;"*",Main_Tariff!A:A,0))),"Jump to Producer")</f>
        <v>Jump to Producer</v>
      </c>
    </row>
    <row r="243" spans="1:5" ht="14.5">
      <c r="A243" s="1178" t="s">
        <v>6</v>
      </c>
      <c r="B243" s="1178" t="s">
        <v>267</v>
      </c>
      <c r="C243" s="1178" t="s">
        <v>277</v>
      </c>
      <c r="D243" s="1178" t="s">
        <v>284</v>
      </c>
      <c r="E243" s="1051" t="str">
        <f t="array" ref="E243">HYPERLINK((("#Main_Tariff!A"&amp;MATCH("*"&amp;LEFT(D243,15)&amp;"*",Main_Tariff!A:A,0))),"Jump to Producer")</f>
        <v>Jump to Producer</v>
      </c>
    </row>
    <row r="244" spans="1:5" ht="14.5">
      <c r="A244" s="1178" t="s">
        <v>6</v>
      </c>
      <c r="B244" s="1178" t="s">
        <v>285</v>
      </c>
      <c r="C244" s="1178"/>
      <c r="D244" s="1178" t="s">
        <v>286</v>
      </c>
      <c r="E244" s="1051" t="str">
        <f t="array" ref="E244">HYPERLINK((("#Main_Tariff!A"&amp;MATCH("*"&amp;LEFT(D244,10)&amp;"*",Main_Tariff!A:A,0))),"Jump to Producer")</f>
        <v>Jump to Producer</v>
      </c>
    </row>
    <row r="245" spans="1:5" ht="14.5">
      <c r="A245" s="1178" t="s">
        <v>6</v>
      </c>
      <c r="B245" s="1178" t="s">
        <v>285</v>
      </c>
      <c r="C245" s="1178"/>
      <c r="D245" s="1178" t="s">
        <v>287</v>
      </c>
      <c r="E245" s="1051" t="str">
        <f t="array" ref="E245">HYPERLINK((("#Main_Tariff!A"&amp;MATCH("*"&amp;LEFT(D245,10)&amp;"*",Main_Tariff!A:A,0))),"Jump to Producer")</f>
        <v>Jump to Producer</v>
      </c>
    </row>
    <row r="246" spans="1:5" ht="14.5">
      <c r="A246" s="1178" t="s">
        <v>6</v>
      </c>
      <c r="B246" s="1178" t="s">
        <v>285</v>
      </c>
      <c r="C246" s="1178"/>
      <c r="D246" s="1178" t="s">
        <v>288</v>
      </c>
      <c r="E246" s="1051" t="str">
        <f t="array" ref="E246">HYPERLINK((("#Main_Tariff!A"&amp;MATCH("*"&amp;LEFT(D246,10)&amp;"*",Main_Tariff!A:A,0))),"Jump to Producer")</f>
        <v>Jump to Producer</v>
      </c>
    </row>
    <row r="247" spans="1:5" ht="14.5">
      <c r="A247" s="1178" t="s">
        <v>6</v>
      </c>
      <c r="B247" s="1178" t="s">
        <v>289</v>
      </c>
      <c r="C247" s="1178"/>
      <c r="D247" s="1178" t="s">
        <v>290</v>
      </c>
      <c r="E247" s="1051" t="str">
        <f t="array" ref="E247">HYPERLINK((("#Main_Tariff!A"&amp;MATCH("*"&amp;LEFT(D247,10)&amp;"*",Main_Tariff!A:A,0))),"Jump to Producer")</f>
        <v>Jump to Producer</v>
      </c>
    </row>
    <row r="248" spans="1:5" ht="14.5">
      <c r="A248" s="1178" t="s">
        <v>6</v>
      </c>
      <c r="B248" s="1178" t="s">
        <v>291</v>
      </c>
      <c r="C248" s="1178" t="s">
        <v>292</v>
      </c>
      <c r="D248" s="1178" t="s">
        <v>293</v>
      </c>
      <c r="E248" s="1051" t="str">
        <f>HYPERLINK((("#Main_Tariff!A"&amp;MATCH(LEFT(D248,10)&amp;"*",Main_Tariff!A:A,0))),"Jump to Producer")</f>
        <v>Jump to Producer</v>
      </c>
    </row>
    <row r="249" spans="1:5" ht="14.5">
      <c r="A249" s="1178" t="s">
        <v>6</v>
      </c>
      <c r="B249" s="1178" t="s">
        <v>291</v>
      </c>
      <c r="C249" s="1178" t="s">
        <v>292</v>
      </c>
      <c r="D249" s="1178" t="s">
        <v>294</v>
      </c>
      <c r="E249" s="1051" t="str">
        <f t="array" ref="E249">HYPERLINK((("#Main_Tariff!A"&amp;MATCH("*"&amp;LEFT(D249,10)&amp;"*",Main_Tariff!A:A,0))),"Jump to Producer")</f>
        <v>Jump to Producer</v>
      </c>
    </row>
    <row r="250" spans="1:5" ht="14.5">
      <c r="A250" s="1178" t="s">
        <v>6</v>
      </c>
      <c r="B250" s="1178" t="s">
        <v>291</v>
      </c>
      <c r="C250" s="1178" t="s">
        <v>295</v>
      </c>
      <c r="D250" s="1178" t="s">
        <v>296</v>
      </c>
      <c r="E250" s="1051" t="str">
        <f t="array" ref="E250">HYPERLINK((("#Main_Tariff!A"&amp;MATCH("*"&amp;LEFT(D250,10)&amp;"*",Main_Tariff!A:A,0))),"Jump to Producer")</f>
        <v>Jump to Producer</v>
      </c>
    </row>
    <row r="251" spans="1:5" ht="14.5">
      <c r="A251" s="1178" t="s">
        <v>6</v>
      </c>
      <c r="B251" s="1178" t="s">
        <v>291</v>
      </c>
      <c r="C251" s="1178" t="s">
        <v>292</v>
      </c>
      <c r="D251" s="1178" t="s">
        <v>297</v>
      </c>
      <c r="E251" s="1051" t="str">
        <f t="array" ref="E251">HYPERLINK((("#Main_Tariff!A"&amp;MATCH("*"&amp;LEFT(D251,10)&amp;"*",Main_Tariff!A:A,0))),"Jump to Producer")</f>
        <v>Jump to Producer</v>
      </c>
    </row>
    <row r="252" spans="1:5" ht="14.5">
      <c r="A252" s="1178" t="s">
        <v>6</v>
      </c>
      <c r="B252" s="1178" t="s">
        <v>291</v>
      </c>
      <c r="C252" s="1178" t="s">
        <v>298</v>
      </c>
      <c r="D252" s="1178" t="s">
        <v>299</v>
      </c>
      <c r="E252" s="1051" t="str">
        <f t="array" ref="E252">HYPERLINK((("#Main_Tariff!A"&amp;MATCH("*"&amp;LEFT(D252,10)&amp;"*",Main_Tariff!A:A,0))),"Jump to Producer")</f>
        <v>Jump to Producer</v>
      </c>
    </row>
    <row r="253" spans="1:5" ht="14.5">
      <c r="A253" s="1178" t="s">
        <v>6</v>
      </c>
      <c r="B253" s="1178" t="s">
        <v>291</v>
      </c>
      <c r="C253" s="1178" t="s">
        <v>298</v>
      </c>
      <c r="D253" s="1178" t="s">
        <v>300</v>
      </c>
      <c r="E253" s="1051" t="str">
        <f t="array" ref="E253">HYPERLINK((("#Main_Tariff!A"&amp;MATCH("*"&amp;LEFT(D253,10)&amp;"*",Main_Tariff!A:A,0))),"Jump to Producer")</f>
        <v>Jump to Producer</v>
      </c>
    </row>
    <row r="254" spans="1:5" ht="14.5">
      <c r="A254" s="1178" t="s">
        <v>6</v>
      </c>
      <c r="B254" s="1178" t="s">
        <v>291</v>
      </c>
      <c r="C254" s="1178" t="s">
        <v>301</v>
      </c>
      <c r="D254" s="1178" t="s">
        <v>302</v>
      </c>
      <c r="E254" s="1051" t="str">
        <f t="array" ref="E254">HYPERLINK((("#Main_Tariff!A"&amp;MATCH("*"&amp;LEFT(D254,10)&amp;"*",Main_Tariff!A:A,0))),"Jump to Producer")</f>
        <v>Jump to Producer</v>
      </c>
    </row>
    <row r="255" spans="1:5" ht="14.5">
      <c r="A255" s="1178" t="s">
        <v>6</v>
      </c>
      <c r="B255" s="1178" t="s">
        <v>291</v>
      </c>
      <c r="C255" s="1178" t="s">
        <v>303</v>
      </c>
      <c r="D255" s="1178" t="s">
        <v>304</v>
      </c>
      <c r="E255" s="1051" t="str">
        <f t="array" ref="E255">HYPERLINK((("#Main_Tariff!A"&amp;MATCH("*"&amp;LEFT(D255,10)&amp;"*",Main_Tariff!A:A,0))),"Jump to Producer")</f>
        <v>Jump to Producer</v>
      </c>
    </row>
    <row r="256" spans="1:5" ht="14.5">
      <c r="A256" s="1178" t="s">
        <v>6</v>
      </c>
      <c r="B256" s="1178" t="s">
        <v>291</v>
      </c>
      <c r="C256" s="1178" t="s">
        <v>305</v>
      </c>
      <c r="D256" s="1178" t="s">
        <v>306</v>
      </c>
      <c r="E256" s="1051" t="str">
        <f t="array" ref="E256">HYPERLINK((("#Main_Tariff!A"&amp;MATCH("*"&amp;LEFT(D256,10)&amp;"*",Main_Tariff!A:A,0))),"Jump to Producer")</f>
        <v>Jump to Producer</v>
      </c>
    </row>
    <row r="257" spans="1:5" ht="14.5">
      <c r="A257" s="1178" t="s">
        <v>6</v>
      </c>
      <c r="B257" s="1178" t="s">
        <v>307</v>
      </c>
      <c r="C257" s="1178"/>
      <c r="D257" s="1178" t="s">
        <v>308</v>
      </c>
      <c r="E257" s="1051" t="str">
        <f t="array" ref="E257">HYPERLINK((("#Main_Tariff!A"&amp;MATCH("*founded 1982; first bottled*",Main_Tariff!A:A,0))),"Jump to Producer")</f>
        <v>Jump to Producer</v>
      </c>
    </row>
    <row r="258" spans="1:5" ht="14.5">
      <c r="A258" s="1178" t="s">
        <v>6</v>
      </c>
      <c r="B258" s="1178" t="s">
        <v>307</v>
      </c>
      <c r="C258" s="1178"/>
      <c r="D258" s="1178" t="s">
        <v>309</v>
      </c>
      <c r="E258" s="1051" t="str">
        <f t="array" ref="E258">HYPERLINK((("#Main_Tariff!A"&amp;MATCH(LEFT(D258,10)&amp;"*",Main_Tariff!A:A,0))),"Jump to Producer")</f>
        <v>Jump to Producer</v>
      </c>
    </row>
    <row r="259" spans="1:5" ht="14.5">
      <c r="A259" s="1178" t="s">
        <v>6</v>
      </c>
      <c r="B259" s="1178" t="s">
        <v>307</v>
      </c>
      <c r="C259" s="1178"/>
      <c r="D259" s="1178" t="s">
        <v>310</v>
      </c>
      <c r="E259" s="1051" t="str">
        <f t="array" ref="E259">HYPERLINK((("#Main_Tariff!A"&amp;MATCH("*Mauves. 'de Pere en*",Main_Tariff!A:A,0))),"Jump to Producer")</f>
        <v>Jump to Producer</v>
      </c>
    </row>
    <row r="260" spans="1:5" ht="14.5">
      <c r="A260" s="1178" t="s">
        <v>6</v>
      </c>
      <c r="B260" s="1178" t="s">
        <v>307</v>
      </c>
      <c r="C260" s="1178"/>
      <c r="D260" s="1178" t="s">
        <v>311</v>
      </c>
      <c r="E260" s="1051" t="str">
        <f t="array" ref="E260">HYPERLINK((("#Main_Tariff!A"&amp;MATCH("*"&amp;LEFT(D260,10)&amp;"*",Main_Tariff!A:A,0))),"Jump to Producer")</f>
        <v>Jump to Producer</v>
      </c>
    </row>
    <row r="261" spans="1:5" ht="14.5">
      <c r="A261" s="1178" t="s">
        <v>6</v>
      </c>
      <c r="B261" s="1178" t="s">
        <v>307</v>
      </c>
      <c r="C261" s="1178"/>
      <c r="D261" s="1178" t="s">
        <v>312</v>
      </c>
      <c r="E261" s="1051" t="str">
        <f t="array" ref="E261">HYPERLINK((("#Main_Tariff!A"&amp;MATCH("*"&amp;LEFT(D261,15)&amp;"*",Main_Tariff!A:A,0))),"Jump to Producer")</f>
        <v>Jump to Producer</v>
      </c>
    </row>
    <row r="262" spans="1:5" ht="14.5">
      <c r="A262" s="1178" t="s">
        <v>6</v>
      </c>
      <c r="B262" s="1178" t="s">
        <v>307</v>
      </c>
      <c r="C262" s="1178"/>
      <c r="D262" s="1178" t="s">
        <v>313</v>
      </c>
      <c r="E262" s="1051" t="str">
        <f t="array" ref="E262">HYPERLINK((("#Main_Tariff!A"&amp;MATCH("Yves recently joined*",Main_Tariff!A:A,0))),"Jump to Producer")</f>
        <v>Jump to Producer</v>
      </c>
    </row>
    <row r="263" spans="1:5" ht="14.5">
      <c r="A263" s="1178" t="s">
        <v>6</v>
      </c>
      <c r="B263" s="1178" t="s">
        <v>307</v>
      </c>
      <c r="C263" s="1178"/>
      <c r="D263" s="1178" t="s">
        <v>314</v>
      </c>
      <c r="E263" s="1051" t="str">
        <f t="array" ref="E263">HYPERLINK((("#Main_Tariff!A"&amp;MATCH("Marsanne, Jean-Claude",Main_Tariff!A:A,0))),"Jump to Producer")</f>
        <v>Jump to Producer</v>
      </c>
    </row>
    <row r="264" spans="1:5" ht="14.5">
      <c r="A264" s="1178" t="s">
        <v>6</v>
      </c>
      <c r="B264" s="1178" t="s">
        <v>307</v>
      </c>
      <c r="C264" s="1178"/>
      <c r="D264" s="1178" t="s">
        <v>315</v>
      </c>
      <c r="E264" s="1051" t="str">
        <f t="array" ref="E264">HYPERLINK((("#Main_Tariff!A"&amp;MATCH("*"&amp;LEFT(D264,10)&amp;"*",Main_Tariff!A:A,0))),"Jump to Producer")</f>
        <v>Jump to Producer</v>
      </c>
    </row>
    <row r="265" spans="1:5" ht="14.5">
      <c r="A265" s="1178" t="s">
        <v>6</v>
      </c>
      <c r="B265" s="1178" t="s">
        <v>307</v>
      </c>
      <c r="C265" s="1178"/>
      <c r="D265" s="1178" t="s">
        <v>316</v>
      </c>
      <c r="E265" s="1051" t="str">
        <f t="array" ref="E265">HYPERLINK((("#Main_Tariff!A"&amp;MATCH("*"&amp;LEFT(D265,10)&amp;"*",Main_Tariff!A:A,0))),"Jump to Producer")</f>
        <v>Jump to Producer</v>
      </c>
    </row>
    <row r="266" spans="1:5" ht="14.5">
      <c r="A266" s="1178" t="s">
        <v>6</v>
      </c>
      <c r="B266" s="1178" t="s">
        <v>317</v>
      </c>
      <c r="C266" s="1178"/>
      <c r="D266" s="1178" t="s">
        <v>318</v>
      </c>
      <c r="E266" s="1051" t="str">
        <f t="array" ref="E266">HYPERLINK((("#Main_Tariff!A"&amp;MATCH("*"&amp;LEFT(D266,10)&amp;"*",Main_Tariff!A:A,0))),"Jump to Producer")</f>
        <v>Jump to Producer</v>
      </c>
    </row>
    <row r="267" spans="1:5" ht="14.5">
      <c r="A267" s="1178" t="s">
        <v>6</v>
      </c>
      <c r="B267" s="1178" t="s">
        <v>317</v>
      </c>
      <c r="C267" s="1178"/>
      <c r="D267" s="1178" t="s">
        <v>319</v>
      </c>
      <c r="E267" s="1051" t="str">
        <f t="array" ref="E267">HYPERLINK((("#Main_Tariff!A"&amp;MATCH("Bonneau, Henri",Main_Tariff!A:A,0))),"Jump to Producer")</f>
        <v>Jump to Producer</v>
      </c>
    </row>
    <row r="268" spans="1:5" ht="14.5">
      <c r="A268" s="1178" t="s">
        <v>6</v>
      </c>
      <c r="B268" s="1178" t="s">
        <v>317</v>
      </c>
      <c r="C268" s="1178"/>
      <c r="D268" s="1178" t="s">
        <v>320</v>
      </c>
      <c r="E268" s="1051" t="str">
        <f t="array" ref="E268">HYPERLINK((("#Main_Tariff!A"&amp;MATCH("*"&amp;LEFT(D268,10)&amp;"*",Main_Tariff!A:A,0))),"Jump to Producer")</f>
        <v>Jump to Producer</v>
      </c>
    </row>
    <row r="269" spans="1:5" ht="14.5">
      <c r="A269" s="1178" t="s">
        <v>6</v>
      </c>
      <c r="B269" s="1178" t="s">
        <v>317</v>
      </c>
      <c r="C269" s="1178"/>
      <c r="D269" s="1178" t="s">
        <v>321</v>
      </c>
      <c r="E269" s="1051" t="str">
        <f t="array" ref="E269">HYPERLINK((("#Main_Tariff!A"&amp;MATCH("*"&amp;LEFT(D269,18)&amp;"*",Main_Tariff!A:A,0))),"Jump to Producer")</f>
        <v>Jump to Producer</v>
      </c>
    </row>
    <row r="270" spans="1:5" ht="14.5">
      <c r="A270" s="1178" t="s">
        <v>6</v>
      </c>
      <c r="B270" s="1178" t="s">
        <v>317</v>
      </c>
      <c r="C270" s="1178"/>
      <c r="D270" s="1178" t="s">
        <v>322</v>
      </c>
      <c r="E270" s="1051" t="str">
        <f t="array" ref="E270">HYPERLINK((("#Main_Tariff!A"&amp;MATCH("*"&amp;LEFT(D270,10)&amp;"*",Main_Tariff!A:A,0))),"Jump to Producer")</f>
        <v>Jump to Producer</v>
      </c>
    </row>
    <row r="271" spans="1:5" ht="14.5">
      <c r="A271" s="1178" t="s">
        <v>6</v>
      </c>
      <c r="B271" s="1178" t="s">
        <v>317</v>
      </c>
      <c r="C271" s="1178"/>
      <c r="D271" s="1178" t="s">
        <v>323</v>
      </c>
      <c r="E271" s="1051" t="str">
        <f t="array" ref="E271">HYPERLINK((("#Main_Tariff!A"&amp;MATCH("*"&amp;LEFT(D271,10)&amp;"*",Main_Tariff!A:A,0))),"Jump to Producer")</f>
        <v>Jump to Producer</v>
      </c>
    </row>
    <row r="272" spans="1:5" ht="14.5">
      <c r="A272" s="1178" t="s">
        <v>6</v>
      </c>
      <c r="B272" s="1178" t="s">
        <v>317</v>
      </c>
      <c r="C272" s="1178"/>
      <c r="D272" s="1178" t="s">
        <v>324</v>
      </c>
      <c r="E272" s="1051" t="str">
        <f t="array" ref="E272">HYPERLINK((("#Main_Tariff!A"&amp;MATCH("South Rhône range",Main_Tariff!A:A,0))),"Jump to Producer")</f>
        <v>Jump to Producer</v>
      </c>
    </row>
    <row r="273" spans="1:5" ht="14.5">
      <c r="A273" s="1178" t="s">
        <v>6</v>
      </c>
      <c r="B273" s="1178" t="s">
        <v>317</v>
      </c>
      <c r="C273" s="1178"/>
      <c r="D273" s="1178" t="s">
        <v>325</v>
      </c>
      <c r="E273" s="1051" t="str">
        <f t="array" ref="E273">HYPERLINK((("#Main_Tariff!A"&amp;MATCH(RIGHT(D273,8)&amp;"*",Main_Tariff!A:A,0))),"Jump to Producer")</f>
        <v>Jump to Producer</v>
      </c>
    </row>
    <row r="274" spans="1:5" ht="14.5">
      <c r="A274" s="1178" t="s">
        <v>6</v>
      </c>
      <c r="B274" s="1178" t="s">
        <v>317</v>
      </c>
      <c r="C274" s="1178"/>
      <c r="D274" s="1178" t="s">
        <v>326</v>
      </c>
      <c r="E274" s="1051" t="str">
        <f t="array" ref="E274">HYPERLINK((("#Main_Tariff!A"&amp;MATCH("*"&amp;LEFT(D274,10)&amp;"*",Main_Tariff!A:A,0))),"Jump to Producer")</f>
        <v>Jump to Producer</v>
      </c>
    </row>
    <row r="275" spans="1:5" ht="14.5">
      <c r="A275" s="1178" t="s">
        <v>6</v>
      </c>
      <c r="B275" s="1178" t="s">
        <v>317</v>
      </c>
      <c r="C275" s="1178"/>
      <c r="D275" s="1178" t="s">
        <v>327</v>
      </c>
      <c r="E275" s="1051" t="str">
        <f t="array" ref="E275">HYPERLINK((("#Main_Tariff!A"&amp;MATCH("*"&amp;LEFT(D275,10)&amp;"*",Main_Tariff!A:A,0))),"Jump to Producer")</f>
        <v>Jump to Producer</v>
      </c>
    </row>
    <row r="276" spans="1:5" ht="14.5">
      <c r="A276" s="1178" t="s">
        <v>6</v>
      </c>
      <c r="B276" s="1178" t="s">
        <v>317</v>
      </c>
      <c r="C276" s="1178"/>
      <c r="D276" s="1178" t="s">
        <v>328</v>
      </c>
      <c r="E276" s="1051" t="str">
        <f t="array" ref="E276">HYPERLINK((("#Main_Tariff!A"&amp;MATCH("*"&amp;LEFT(D276,10)&amp;"*",Main_Tariff!A:A,0))),"Jump to Producer")</f>
        <v>Jump to Producer</v>
      </c>
    </row>
    <row r="277" spans="1:5" ht="14.5">
      <c r="A277" s="1178" t="s">
        <v>6</v>
      </c>
      <c r="B277" s="1178" t="s">
        <v>317</v>
      </c>
      <c r="C277" s="1178"/>
      <c r="D277" s="1178" t="s">
        <v>329</v>
      </c>
      <c r="E277" s="1051" t="str">
        <f t="array" ref="E277">HYPERLINK((("#Main_Tariff!A"&amp;MATCH("*"&amp;LEFT(D277,10)&amp;"*",Main_Tariff!A:A,0))),"Jump to Producer")</f>
        <v>Jump to Producer</v>
      </c>
    </row>
    <row r="278" spans="1:5" ht="14.5">
      <c r="A278" s="1178" t="s">
        <v>6</v>
      </c>
      <c r="B278" s="1178" t="s">
        <v>317</v>
      </c>
      <c r="C278" s="1178"/>
      <c r="D278" s="1178" t="s">
        <v>330</v>
      </c>
      <c r="E278" s="1051" t="str">
        <f t="array" ref="E278">HYPERLINK((("#Main_Tariff!A"&amp;MATCH("*"&amp;LEFT(D278,10)&amp;"*",Main_Tariff!A:A,0))),"Jump to Producer")</f>
        <v>Jump to Producer</v>
      </c>
    </row>
    <row r="279" spans="1:5" ht="14.5">
      <c r="A279" s="1178" t="s">
        <v>6</v>
      </c>
      <c r="B279" s="1178" t="s">
        <v>331</v>
      </c>
      <c r="C279" s="1178" t="s">
        <v>332</v>
      </c>
      <c r="D279" s="1178" t="s">
        <v>333</v>
      </c>
      <c r="E279" s="1051" t="str">
        <f t="array" ref="E279">HYPERLINK((("#Main_Tariff!A"&amp;MATCH("*"&amp;LEFT(D279,10)&amp;"*",Main_Tariff!A:A,0))),"Jump to Producer")</f>
        <v>Jump to Producer</v>
      </c>
    </row>
    <row r="280" spans="1:5" ht="14.5">
      <c r="A280" s="1178" t="s">
        <v>6</v>
      </c>
      <c r="B280" s="1178" t="s">
        <v>331</v>
      </c>
      <c r="C280" s="1178" t="s">
        <v>332</v>
      </c>
      <c r="D280" s="1178" t="s">
        <v>334</v>
      </c>
      <c r="E280" s="1051" t="str">
        <f t="array" ref="E280">HYPERLINK((("#Main_Tariff!A"&amp;MATCH(LEFT(D280,18)&amp;",*",Main_Tariff!A:A,0))),"Jump to Producer")</f>
        <v>Jump to Producer</v>
      </c>
    </row>
    <row r="281" spans="1:5" ht="14.5">
      <c r="A281" s="1178" t="s">
        <v>6</v>
      </c>
      <c r="B281" s="1178" t="s">
        <v>331</v>
      </c>
      <c r="C281" s="1178" t="s">
        <v>332</v>
      </c>
      <c r="D281" s="1178" t="s">
        <v>335</v>
      </c>
      <c r="E281" s="1051" t="str">
        <f t="array" ref="E281">HYPERLINK((("#Main_Tariff!A"&amp;MATCH("*"&amp;LEFT(D281,10)&amp;"*",Main_Tariff!A:A,0))),"Jump to Producer")</f>
        <v>Jump to Producer</v>
      </c>
    </row>
    <row r="282" spans="1:5" ht="14.5">
      <c r="A282" s="1178" t="s">
        <v>6</v>
      </c>
      <c r="B282" s="1178" t="s">
        <v>331</v>
      </c>
      <c r="C282" s="1178" t="s">
        <v>336</v>
      </c>
      <c r="D282" s="1178" t="s">
        <v>337</v>
      </c>
      <c r="E282" s="1051" t="str">
        <f t="array" ref="E282">HYPERLINK((("#Main_Tariff!A"&amp;MATCH("*"&amp;LEFT(D282,10)&amp;"*",Main_Tariff!A:A,0))),"Jump to Producer")</f>
        <v>Jump to Producer</v>
      </c>
    </row>
    <row r="283" spans="1:5" ht="14.5">
      <c r="A283" s="1178" t="s">
        <v>6</v>
      </c>
      <c r="B283" s="1178" t="s">
        <v>331</v>
      </c>
      <c r="C283" s="1178" t="s">
        <v>336</v>
      </c>
      <c r="D283" s="1178" t="s">
        <v>338</v>
      </c>
      <c r="E283" s="1051" t="str">
        <f t="array" ref="E283">HYPERLINK((("#Main_Tariff!A"&amp;MATCH("*"&amp;LEFT(D283,10)&amp;"*",Main_Tariff!A:A,0))),"Jump to Producer")</f>
        <v>Jump to Producer</v>
      </c>
    </row>
    <row r="284" spans="1:5" ht="14.5">
      <c r="A284" s="1178" t="s">
        <v>6</v>
      </c>
      <c r="B284" s="1178" t="s">
        <v>331</v>
      </c>
      <c r="C284" s="1178" t="s">
        <v>336</v>
      </c>
      <c r="D284" s="1178" t="s">
        <v>339</v>
      </c>
      <c r="E284" s="1051" t="str">
        <f t="array" ref="E284">HYPERLINK((("#Main_Tariff!A"&amp;MATCH("*"&amp;LEFT(D284,10)&amp;"*",Main_Tariff!A:A,0))),"Jump to Producer")</f>
        <v>Jump to Producer</v>
      </c>
    </row>
    <row r="285" spans="1:5" ht="14.5">
      <c r="A285" s="1178" t="s">
        <v>6</v>
      </c>
      <c r="B285" s="1178" t="s">
        <v>331</v>
      </c>
      <c r="C285" s="1178" t="s">
        <v>336</v>
      </c>
      <c r="D285" s="1178" t="s">
        <v>340</v>
      </c>
      <c r="E285" s="1051" t="str">
        <f t="array" ref="E285">HYPERLINK((("#Main_Tariff!A"&amp;MATCH(LEFT(D285,10)&amp;"*",Main_Tariff!A:A,0))),"Jump to Producer")</f>
        <v>Jump to Producer</v>
      </c>
    </row>
    <row r="286" spans="1:5" ht="14.5">
      <c r="A286" s="1178" t="s">
        <v>6</v>
      </c>
      <c r="B286" s="1178" t="s">
        <v>331</v>
      </c>
      <c r="C286" s="1178" t="s">
        <v>341</v>
      </c>
      <c r="D286" s="1178" t="s">
        <v>342</v>
      </c>
      <c r="E286" s="1051" t="str">
        <f t="array" ref="E286">HYPERLINK((("#Main_Tariff!A"&amp;MATCH("*"&amp;LEFT(D286,10)&amp;"*",Main_Tariff!A:A,0))),"Jump to Producer")</f>
        <v>Jump to Producer</v>
      </c>
    </row>
    <row r="287" spans="1:5" ht="14.5">
      <c r="A287" s="1178" t="s">
        <v>6</v>
      </c>
      <c r="B287" s="1178" t="s">
        <v>331</v>
      </c>
      <c r="C287" s="1178" t="s">
        <v>341</v>
      </c>
      <c r="D287" s="1178" t="s">
        <v>343</v>
      </c>
      <c r="E287" s="1051" t="str">
        <f t="array" ref="E287">HYPERLINK((("#Main_Tariff!A"&amp;MATCH("*Limestone-clay at Le Caste*",Main_Tariff!A:A,0))),"Jump to Producer")</f>
        <v>Jump to Producer</v>
      </c>
    </row>
    <row r="288" spans="1:5" ht="14.5">
      <c r="A288" s="1178" t="s">
        <v>6</v>
      </c>
      <c r="B288" s="1178" t="s">
        <v>331</v>
      </c>
      <c r="C288" s="1178" t="s">
        <v>341</v>
      </c>
      <c r="D288" s="1178" t="s">
        <v>344</v>
      </c>
      <c r="E288" s="1051" t="str">
        <f t="array" ref="E288">HYPERLINK((("#Main_Tariff!A"&amp;MATCH(LEFT(D288,10)&amp;"*",Main_Tariff!A:A,0))),"Jump to Producer")</f>
        <v>Jump to Producer</v>
      </c>
    </row>
    <row r="289" spans="1:5" ht="14.5">
      <c r="A289" s="1178" t="s">
        <v>345</v>
      </c>
      <c r="B289" s="1178" t="s">
        <v>346</v>
      </c>
      <c r="C289" s="1178"/>
      <c r="D289" s="1178" t="s">
        <v>347</v>
      </c>
      <c r="E289" s="1051" t="str">
        <f t="array" ref="E289">HYPERLINK((("#Main_Tariff!A"&amp;MATCH("*"&amp;LEFT(D289,10)&amp;"*",Main_Tariff!A:A,0))),"Jump to Producer")</f>
        <v>Jump to Producer</v>
      </c>
    </row>
    <row r="290" spans="1:5" ht="14.5">
      <c r="A290" s="1178" t="s">
        <v>345</v>
      </c>
      <c r="B290" s="1178" t="s">
        <v>348</v>
      </c>
      <c r="C290" s="1178"/>
      <c r="D290" s="1178" t="s">
        <v>349</v>
      </c>
      <c r="E290" s="1051" t="str">
        <f t="array" ref="E290">HYPERLINK((("#Main_Tariff!A"&amp;MATCH("*"&amp;LEFT(D290,10)&amp;"*",Main_Tariff!A:A,0))),"Jump to Producer")</f>
        <v>Jump to Producer</v>
      </c>
    </row>
    <row r="291" spans="1:5" ht="14.5">
      <c r="A291" s="1178" t="s">
        <v>345</v>
      </c>
      <c r="B291" s="1178" t="s">
        <v>350</v>
      </c>
      <c r="C291" s="1178" t="s">
        <v>351</v>
      </c>
      <c r="D291" s="1178" t="s">
        <v>352</v>
      </c>
      <c r="E291" s="1051" t="str">
        <f t="array" ref="E291">HYPERLINK((("#Main_Tariff!A"&amp;MATCH("*"&amp;LEFT(D291,10)&amp;"*",Main_Tariff!A:A,0))),"Jump to Producer")</f>
        <v>Jump to Producer</v>
      </c>
    </row>
    <row r="292" spans="1:5" ht="14.5">
      <c r="A292" s="1178" t="s">
        <v>345</v>
      </c>
      <c r="B292" s="1178" t="s">
        <v>350</v>
      </c>
      <c r="C292" s="1178" t="s">
        <v>351</v>
      </c>
      <c r="D292" s="1178" t="s">
        <v>353</v>
      </c>
      <c r="E292" s="1051" t="str">
        <f t="array" ref="E292">HYPERLINK((("#Main_Tariff!A"&amp;MATCH("*"&amp;RIGHT(D292,8)&amp;"*",Main_Tariff!A:A,0))),"Jump to Producer")</f>
        <v>Jump to Producer</v>
      </c>
    </row>
    <row r="293" spans="1:5" ht="14.5">
      <c r="A293" s="1178" t="s">
        <v>345</v>
      </c>
      <c r="B293" s="1178" t="s">
        <v>350</v>
      </c>
      <c r="C293" s="1178" t="s">
        <v>351</v>
      </c>
      <c r="D293" s="1178" t="s">
        <v>354</v>
      </c>
      <c r="E293" s="1051" t="str">
        <f t="array" ref="E293">HYPERLINK((("#Main_Tariff!A"&amp;MATCH("by Elena &amp; Alex*",Main_Tariff!A:A,0))),"Jump to Producer")</f>
        <v>Jump to Producer</v>
      </c>
    </row>
    <row r="294" spans="1:5" ht="14.5">
      <c r="A294" s="1178" t="s">
        <v>345</v>
      </c>
      <c r="B294" s="1178" t="s">
        <v>350</v>
      </c>
      <c r="C294" s="1178" t="s">
        <v>351</v>
      </c>
      <c r="D294" s="1178" t="s">
        <v>355</v>
      </c>
      <c r="E294" s="1051" t="str">
        <f t="array" ref="E294">HYPERLINK((("#Main_Tariff!A"&amp;MATCH("Canonica,*",Main_Tariff!A:A,0))),"Jump to Producer")</f>
        <v>Jump to Producer</v>
      </c>
    </row>
    <row r="295" spans="1:5" ht="14.5">
      <c r="A295" s="1178" t="s">
        <v>345</v>
      </c>
      <c r="B295" s="1178" t="s">
        <v>350</v>
      </c>
      <c r="C295" s="1178" t="s">
        <v>351</v>
      </c>
      <c r="D295" s="1178" t="s">
        <v>356</v>
      </c>
      <c r="E295" s="1051" t="str">
        <f t="array" ref="E295">HYPERLINK((("#Main_Tariff!A"&amp;MATCH("*"&amp;LEFT(D295,10)&amp;"*",Main_Tariff!A:A,0))),"Jump to Producer")</f>
        <v>Jump to Producer</v>
      </c>
    </row>
    <row r="296" spans="1:5" ht="14.5">
      <c r="A296" s="1178" t="s">
        <v>345</v>
      </c>
      <c r="B296" s="1178" t="s">
        <v>350</v>
      </c>
      <c r="C296" s="1178" t="s">
        <v>351</v>
      </c>
      <c r="D296" s="1178" t="s">
        <v>357</v>
      </c>
      <c r="E296" s="1051" t="str">
        <f t="array" ref="E296">HYPERLINK((("#Main_Tariff!A"&amp;MATCH("*"&amp;LEFT(D296,10)&amp;"*",Main_Tariff!A:A,0))),"Jump to Producer")</f>
        <v>Jump to Producer</v>
      </c>
    </row>
    <row r="297" spans="1:5" ht="14.5">
      <c r="A297" s="1178" t="s">
        <v>345</v>
      </c>
      <c r="B297" s="1178" t="s">
        <v>350</v>
      </c>
      <c r="C297" s="1178" t="s">
        <v>351</v>
      </c>
      <c r="D297" s="1178" t="s">
        <v>358</v>
      </c>
      <c r="E297" s="1051" t="str">
        <f t="array" ref="E297">HYPERLINK((("#Main_Tariff!A"&amp;MATCH("*"&amp;LEFT(D297,10)&amp;"*",Main_Tariff!A:A,0))),"Jump to Producer")</f>
        <v>Jump to Producer</v>
      </c>
    </row>
    <row r="298" spans="1:5" ht="14.5">
      <c r="A298" s="1178" t="s">
        <v>345</v>
      </c>
      <c r="B298" s="1178" t="s">
        <v>350</v>
      </c>
      <c r="C298" s="1178" t="s">
        <v>351</v>
      </c>
      <c r="D298" s="1178" t="s">
        <v>359</v>
      </c>
      <c r="E298" s="1051" t="str">
        <f t="array" ref="E298">HYPERLINK((("#Main_Tariff!A"&amp;MATCH("*"&amp;LEFT(D298,10)&amp;"*",Main_Tariff!A:A,0))),"Jump to Producer")</f>
        <v>Jump to Producer</v>
      </c>
    </row>
    <row r="299" spans="1:5" ht="14.5">
      <c r="A299" s="1178" t="s">
        <v>345</v>
      </c>
      <c r="B299" s="1178" t="s">
        <v>350</v>
      </c>
      <c r="C299" s="1178" t="s">
        <v>351</v>
      </c>
      <c r="D299" s="1178" t="s">
        <v>360</v>
      </c>
      <c r="E299" s="1051" t="str">
        <f t="array" ref="E299">HYPERLINK((("#Main_Tariff!A"&amp;MATCH("*"&amp;LEFT(D299,10)&amp;"*",Main_Tariff!A:A,0))),"Jump to Producer")</f>
        <v>Jump to Producer</v>
      </c>
    </row>
    <row r="300" spans="1:5" ht="14.5">
      <c r="A300" s="1178" t="s">
        <v>345</v>
      </c>
      <c r="B300" s="1178" t="s">
        <v>350</v>
      </c>
      <c r="C300" s="1178" t="s">
        <v>351</v>
      </c>
      <c r="D300" s="1178" t="s">
        <v>361</v>
      </c>
      <c r="E300" s="1051" t="str">
        <f t="array" ref="E300">HYPERLINK((("#Main_Tariff!A"&amp;MATCH("*"&amp;LEFT(D300,10)&amp;"*",Main_Tariff!A:A,0))),"Jump to Producer")</f>
        <v>Jump to Producer</v>
      </c>
    </row>
    <row r="301" spans="1:5" ht="14.5">
      <c r="A301" s="1178" t="s">
        <v>345</v>
      </c>
      <c r="B301" s="1178" t="s">
        <v>350</v>
      </c>
      <c r="C301" s="1178" t="s">
        <v>351</v>
      </c>
      <c r="D301" s="1178" t="s">
        <v>362</v>
      </c>
      <c r="E301" s="1051" t="str">
        <f t="array" ref="E301">HYPERLINK((("#Main_Tariff!A"&amp;MATCH("*"&amp;LEFT(D301,10)&amp;"*",Main_Tariff!A:A,0))),"Jump to Producer")</f>
        <v>Jump to Producer</v>
      </c>
    </row>
    <row r="302" spans="1:5" ht="14.5">
      <c r="A302" s="1178" t="s">
        <v>345</v>
      </c>
      <c r="B302" s="1178" t="s">
        <v>350</v>
      </c>
      <c r="C302" s="1178" t="s">
        <v>351</v>
      </c>
      <c r="D302" s="1178" t="s">
        <v>363</v>
      </c>
      <c r="E302" s="1051" t="str">
        <f t="array" ref="E302">HYPERLINK((("#Main_Tariff!A"&amp;MATCH("*"&amp;LEFT(D302,10)&amp;"*",Main_Tariff!A:A,0))),"Jump to Producer")</f>
        <v>Jump to Producer</v>
      </c>
    </row>
    <row r="303" spans="1:5" ht="14.5">
      <c r="A303" s="1178" t="s">
        <v>345</v>
      </c>
      <c r="B303" s="1178" t="s">
        <v>350</v>
      </c>
      <c r="C303" s="1178" t="s">
        <v>351</v>
      </c>
      <c r="D303" s="1178" t="s">
        <v>364</v>
      </c>
      <c r="E303" s="1051" t="str">
        <f t="array" ref="E303">HYPERLINK((("#Main_Tariff!A"&amp;MATCH("*"&amp;LEFT(D303,10)&amp;"*",Main_Tariff!A:A,0))),"Jump to Producer")</f>
        <v>Jump to Producer</v>
      </c>
    </row>
    <row r="304" spans="1:5" ht="14.5">
      <c r="A304" s="1178" t="s">
        <v>345</v>
      </c>
      <c r="B304" s="1178" t="s">
        <v>350</v>
      </c>
      <c r="C304" s="1178" t="s">
        <v>351</v>
      </c>
      <c r="D304" s="1178" t="s">
        <v>365</v>
      </c>
      <c r="E304" s="1051" t="str">
        <f t="array" ref="E304">HYPERLINK((("#Main_Tariff!A"&amp;MATCH("*"&amp;LEFT(D304,10)&amp;"*",Main_Tariff!A:A,0))),"Jump to Producer")</f>
        <v>Jump to Producer</v>
      </c>
    </row>
    <row r="305" spans="1:5" ht="14.5">
      <c r="A305" s="1178" t="s">
        <v>345</v>
      </c>
      <c r="B305" s="1178" t="s">
        <v>350</v>
      </c>
      <c r="C305" s="1178" t="s">
        <v>351</v>
      </c>
      <c r="D305" s="1178" t="s">
        <v>366</v>
      </c>
      <c r="E305" s="1051" t="str">
        <f t="array" ref="E305">HYPERLINK((("#Main_Tariff!A"&amp;MATCH("*"&amp;LEFT(D305,10)&amp;"*",Main_Tariff!A:A,0))),"Jump to Producer")</f>
        <v>Jump to Producer</v>
      </c>
    </row>
    <row r="306" spans="1:5" ht="14.5">
      <c r="A306" s="1178" t="s">
        <v>345</v>
      </c>
      <c r="B306" s="1178" t="s">
        <v>350</v>
      </c>
      <c r="C306" s="1178" t="s">
        <v>351</v>
      </c>
      <c r="D306" s="1178" t="s">
        <v>367</v>
      </c>
      <c r="E306" s="1051" t="str">
        <f t="array" ref="E306">HYPERLINK((("#Main_Tariff!A"&amp;MATCH("*"&amp;LEFT(D306,10)&amp;"*",Main_Tariff!A:A,0))),"Jump to Producer")</f>
        <v>Jump to Producer</v>
      </c>
    </row>
    <row r="307" spans="1:5" ht="14.5">
      <c r="A307" s="1178" t="s">
        <v>345</v>
      </c>
      <c r="B307" s="1178" t="s">
        <v>350</v>
      </c>
      <c r="C307" s="1178" t="s">
        <v>351</v>
      </c>
      <c r="D307" s="1178" t="s">
        <v>368</v>
      </c>
      <c r="E307" s="1051" t="str">
        <f t="array" ref="E307">HYPERLINK((("#Main_Tariff!A"&amp;MATCH("*Luca &amp; Alfredo Roagna*",Main_Tariff!A:A,0))),"Jump to Producer")</f>
        <v>Jump to Producer</v>
      </c>
    </row>
    <row r="308" spans="1:5" ht="14.5">
      <c r="A308" s="1178" t="s">
        <v>345</v>
      </c>
      <c r="B308" s="1178" t="s">
        <v>350</v>
      </c>
      <c r="C308" s="1178" t="s">
        <v>351</v>
      </c>
      <c r="D308" s="1178" t="s">
        <v>369</v>
      </c>
      <c r="E308" s="1051" t="str">
        <f t="array" ref="E308">HYPERLINK((("#Main_Tariff!A"&amp;MATCH("*"&amp;LEFT(D308,10)&amp;"*",Main_Tariff!A:A,0))),"Jump to Producer")</f>
        <v>Jump to Producer</v>
      </c>
    </row>
    <row r="309" spans="1:5" ht="14.5">
      <c r="A309" s="1178" t="s">
        <v>345</v>
      </c>
      <c r="B309" s="1178" t="s">
        <v>350</v>
      </c>
      <c r="C309" s="1178" t="s">
        <v>370</v>
      </c>
      <c r="D309" s="1178" t="s">
        <v>371</v>
      </c>
      <c r="E309" s="1051" t="str">
        <f t="array" ref="E309">HYPERLINK((("#Main_Tariff!A"&amp;MATCH("*"&amp;LEFT(D309,10)&amp;"*",Main_Tariff!A:A,0))),"Jump to Producer")</f>
        <v>Jump to Producer</v>
      </c>
    </row>
    <row r="310" spans="1:5" ht="14.5">
      <c r="A310" s="1178" t="s">
        <v>345</v>
      </c>
      <c r="B310" s="1178" t="s">
        <v>350</v>
      </c>
      <c r="C310" s="1178" t="s">
        <v>370</v>
      </c>
      <c r="D310" s="1178" t="s">
        <v>372</v>
      </c>
      <c r="E310" s="1051" t="str">
        <f t="array" ref="E310">HYPERLINK((("#Main_Tariff!A"&amp;MATCH("*"&amp;LEFT(D310,10)&amp;"*",Main_Tariff!A:A,0))),"Jump to Producer")</f>
        <v>Jump to Producer</v>
      </c>
    </row>
    <row r="311" spans="1:5" ht="14.5">
      <c r="A311" s="1178" t="s">
        <v>345</v>
      </c>
      <c r="B311" s="1178" t="s">
        <v>350</v>
      </c>
      <c r="C311" s="1178" t="s">
        <v>370</v>
      </c>
      <c r="D311" s="1178" t="s">
        <v>373</v>
      </c>
      <c r="E311" s="1051" t="str">
        <f t="array" ref="E311">HYPERLINK((("#Main_Tariff!A"&amp;MATCH("*"&amp;LEFT(D311,10)&amp;"*",Main_Tariff!A:A,0))),"Jump to Producer")</f>
        <v>Jump to Producer</v>
      </c>
    </row>
    <row r="312" spans="1:5" ht="14.5">
      <c r="A312" s="1178" t="s">
        <v>345</v>
      </c>
      <c r="B312" s="1178" t="s">
        <v>350</v>
      </c>
      <c r="C312" s="1178" t="s">
        <v>370</v>
      </c>
      <c r="D312" s="1178" t="s">
        <v>374</v>
      </c>
      <c r="E312" s="1051" t="str">
        <f t="array" ref="E312">HYPERLINK((("#Main_Tariff!A"&amp;MATCH("*"&amp;LEFT(D312,10)&amp;"*",Main_Tariff!A:A,0))),"Jump to Producer")</f>
        <v>Jump to Producer</v>
      </c>
    </row>
    <row r="313" spans="1:5" ht="14.5">
      <c r="A313" s="1178" t="s">
        <v>345</v>
      </c>
      <c r="B313" s="1178" t="s">
        <v>350</v>
      </c>
      <c r="C313" s="1178" t="s">
        <v>370</v>
      </c>
      <c r="D313" s="1178" t="s">
        <v>375</v>
      </c>
      <c r="E313" s="1051" t="str">
        <f t="array" ref="E313">HYPERLINK((("#Main_Tariff!A"&amp;MATCH("*"&amp;LEFT(D313,10)&amp;"*",Main_Tariff!A:A,0))),"Jump to Producer")</f>
        <v>Jump to Producer</v>
      </c>
    </row>
    <row r="314" spans="1:5" ht="14.5">
      <c r="A314" s="1178" t="s">
        <v>345</v>
      </c>
      <c r="B314" s="1178" t="s">
        <v>350</v>
      </c>
      <c r="C314" s="1178" t="s">
        <v>376</v>
      </c>
      <c r="D314" s="1178" t="s">
        <v>377</v>
      </c>
      <c r="E314" s="1051" t="str">
        <f t="array" ref="E314">HYPERLINK((("#Main_Tariff!A"&amp;MATCH(LEFT(D314,10)&amp;"*",Main_Tariff!A:A,0))),"Jump to Producer")</f>
        <v>Jump to Producer</v>
      </c>
    </row>
    <row r="315" spans="1:5" ht="14.5">
      <c r="A315" s="1178" t="s">
        <v>345</v>
      </c>
      <c r="B315" s="1178" t="s">
        <v>350</v>
      </c>
      <c r="C315" s="1178" t="s">
        <v>376</v>
      </c>
      <c r="D315" s="1178" t="s">
        <v>378</v>
      </c>
      <c r="E315" s="1051" t="str">
        <f t="array" ref="E315">HYPERLINK((("#Main_Tariff!A"&amp;MATCH("*"&amp;RIGHT(D315,8)&amp;"*",Main_Tariff!A:A,0))),"Jump to Producer")</f>
        <v>Jump to Producer</v>
      </c>
    </row>
    <row r="316" spans="1:5" ht="14.5">
      <c r="A316" s="1178" t="s">
        <v>345</v>
      </c>
      <c r="B316" s="1178" t="s">
        <v>350</v>
      </c>
      <c r="C316" s="1178" t="s">
        <v>379</v>
      </c>
      <c r="D316" s="1178" t="s">
        <v>380</v>
      </c>
      <c r="E316" s="1051" t="str">
        <f t="array" ref="E316">HYPERLINK((("#Main_Tariff!A"&amp;MATCH("*"&amp;LEFT(D316,10)&amp;"*",Main_Tariff!A:A,0))),"Jump to Producer")</f>
        <v>Jump to Producer</v>
      </c>
    </row>
    <row r="317" spans="1:5" ht="14.5">
      <c r="A317" s="1178" t="s">
        <v>345</v>
      </c>
      <c r="B317" s="1178" t="s">
        <v>350</v>
      </c>
      <c r="C317" s="1178" t="s">
        <v>381</v>
      </c>
      <c r="D317" s="1178" t="s">
        <v>382</v>
      </c>
      <c r="E317" s="1051" t="str">
        <f t="array" ref="E317">HYPERLINK((("#Main_Tariff!A"&amp;MATCH("*"&amp;LEFT(D317,10)&amp;"*",Main_Tariff!A:A,0))),"Jump to Producer")</f>
        <v>Jump to Producer</v>
      </c>
    </row>
    <row r="318" spans="1:5" ht="14.5">
      <c r="A318" s="1178" t="s">
        <v>345</v>
      </c>
      <c r="B318" s="1178" t="s">
        <v>350</v>
      </c>
      <c r="C318" s="1178" t="s">
        <v>383</v>
      </c>
      <c r="D318" s="1178" t="s">
        <v>384</v>
      </c>
      <c r="E318" s="1051" t="str">
        <f t="array" ref="E318">HYPERLINK((("#Main_Tariff!A"&amp;MATCH("*"&amp;LEFT(D318,10)&amp;"*",Main_Tariff!A:A,0))),"Jump to Producer")</f>
        <v>Jump to Producer</v>
      </c>
    </row>
    <row r="319" spans="1:5" ht="14.5">
      <c r="A319" s="1178" t="s">
        <v>345</v>
      </c>
      <c r="B319" s="1178" t="s">
        <v>350</v>
      </c>
      <c r="C319" s="1178" t="s">
        <v>383</v>
      </c>
      <c r="D319" s="1178" t="s">
        <v>385</v>
      </c>
      <c r="E319" s="1051" t="str">
        <f t="array" ref="E319">HYPERLINK((("#Main_Tariff!A"&amp;MATCH("*"&amp;LEFT(D319,10)&amp;"*",Main_Tariff!A:A,0))),"Jump to Producer")</f>
        <v>Jump to Producer</v>
      </c>
    </row>
    <row r="320" spans="1:5" ht="14.5">
      <c r="A320" s="1178" t="s">
        <v>345</v>
      </c>
      <c r="B320" s="1178" t="s">
        <v>350</v>
      </c>
      <c r="C320" s="1178"/>
      <c r="D320" s="1178" t="s">
        <v>386</v>
      </c>
      <c r="E320" s="1051" t="str">
        <f t="array" ref="E320">HYPERLINK((("#Main_Tariff!A"&amp;MATCH("Coutandin, Daniele*",Main_Tariff!A:A,0))),"Jump to Producer")</f>
        <v>Jump to Producer</v>
      </c>
    </row>
    <row r="321" spans="1:5" ht="14.5">
      <c r="A321" s="1178" t="s">
        <v>345</v>
      </c>
      <c r="B321" s="1178" t="s">
        <v>387</v>
      </c>
      <c r="C321" s="1178"/>
      <c r="D321" s="1178" t="s">
        <v>388</v>
      </c>
      <c r="E321" s="1051" t="str">
        <f t="array" ref="E321">HYPERLINK((("#Main_Tariff!A"&amp;MATCH("*"&amp;LEFT(D321,10)&amp;"*",Main_Tariff!A:A,0))),"Jump to Producer")</f>
        <v>Jump to Producer</v>
      </c>
    </row>
    <row r="322" spans="1:5" ht="14.5">
      <c r="A322" s="1178" t="s">
        <v>345</v>
      </c>
      <c r="B322" s="1178" t="s">
        <v>387</v>
      </c>
      <c r="C322" s="1178"/>
      <c r="D322" s="1178" t="s">
        <v>389</v>
      </c>
      <c r="E322" s="1051" t="str">
        <f t="array" ref="E322">HYPERLINK((("#Main_Tariff!A"&amp;MATCH("*"&amp;LEFT(D322,10)&amp;"*",Main_Tariff!A:A,0))),"Jump to Producer")</f>
        <v>Jump to Producer</v>
      </c>
    </row>
    <row r="323" spans="1:5" ht="14.5">
      <c r="A323" s="1178" t="s">
        <v>345</v>
      </c>
      <c r="B323" s="1178" t="s">
        <v>387</v>
      </c>
      <c r="C323" s="1178"/>
      <c r="D323" s="1178" t="s">
        <v>390</v>
      </c>
      <c r="E323" s="1051" t="str">
        <f t="array" ref="E323">HYPERLINK((("#Main_Tariff!A"&amp;MATCH(LEFT(D323,10)&amp;"*",Main_Tariff!A:A,0))),"Jump to Producer")</f>
        <v>Jump to Producer</v>
      </c>
    </row>
    <row r="324" spans="1:5" ht="14.5">
      <c r="A324" s="1178" t="s">
        <v>345</v>
      </c>
      <c r="B324" s="1178" t="s">
        <v>391</v>
      </c>
      <c r="C324" s="1178"/>
      <c r="D324" s="1178" t="s">
        <v>392</v>
      </c>
      <c r="E324" s="1051" t="str">
        <f t="array" ref="E324">HYPERLINK((("#Main_Tariff!A"&amp;MATCH("*"&amp;LEFT(D324,10)&amp;"*",Main_Tariff!A:A,0))),"Jump to Producer")</f>
        <v>Jump to Producer</v>
      </c>
    </row>
    <row r="325" spans="1:5" ht="14.5">
      <c r="A325" s="1178" t="s">
        <v>345</v>
      </c>
      <c r="B325" s="1178" t="s">
        <v>391</v>
      </c>
      <c r="C325" s="1178"/>
      <c r="D325" s="1178" t="s">
        <v>393</v>
      </c>
      <c r="E325" s="1051" t="str">
        <f t="array" ref="E325">HYPERLINK((("#Main_Tariff!A"&amp;MATCH("*"&amp;LEFT(D325,10)&amp;"*",Main_Tariff!A:A,0))),"Jump to Producer")</f>
        <v>Jump to Producer</v>
      </c>
    </row>
    <row r="326" spans="1:5" ht="14.5">
      <c r="A326" s="1178" t="s">
        <v>345</v>
      </c>
      <c r="B326" s="1178" t="s">
        <v>394</v>
      </c>
      <c r="C326" s="1178"/>
      <c r="D326" s="1178" t="s">
        <v>395</v>
      </c>
      <c r="E326" s="1051" t="str">
        <f t="array" ref="E326">HYPERLINK((("#Main_Tariff!A"&amp;MATCH("*"&amp;LEFT(D326,10)&amp;"*",Main_Tariff!A:A,0))),"Jump to Producer")</f>
        <v>Jump to Producer</v>
      </c>
    </row>
    <row r="327" spans="1:5" ht="14.5">
      <c r="A327" s="1178" t="s">
        <v>345</v>
      </c>
      <c r="B327" s="1178" t="s">
        <v>396</v>
      </c>
      <c r="C327" s="1178" t="s">
        <v>397</v>
      </c>
      <c r="D327" s="1178" t="s">
        <v>398</v>
      </c>
      <c r="E327" s="1051" t="str">
        <f t="array" ref="E327">HYPERLINK((("#Main_Tariff!A"&amp;MATCH("*"&amp;LEFT(D327,10)&amp;"*",Main_Tariff!A:A,0))),"Jump to Producer")</f>
        <v>Jump to Producer</v>
      </c>
    </row>
    <row r="328" spans="1:5" ht="14.5">
      <c r="A328" s="1178" t="s">
        <v>345</v>
      </c>
      <c r="B328" s="1178" t="s">
        <v>396</v>
      </c>
      <c r="C328" s="1178" t="s">
        <v>397</v>
      </c>
      <c r="D328" s="1178" t="s">
        <v>399</v>
      </c>
      <c r="E328" s="1051" t="str">
        <f t="array" ref="E328">HYPERLINK((("#Main_Tariff!A"&amp;MATCH("*"&amp;LEFT(D328,10)&amp;"*",Main_Tariff!A:A,0))),"Jump to Producer")</f>
        <v>Jump to Producer</v>
      </c>
    </row>
    <row r="329" spans="1:5" ht="14.5">
      <c r="A329" s="1178" t="s">
        <v>345</v>
      </c>
      <c r="B329" s="1178" t="s">
        <v>396</v>
      </c>
      <c r="C329" s="1178" t="s">
        <v>397</v>
      </c>
      <c r="D329" s="1178" t="s">
        <v>400</v>
      </c>
      <c r="E329" s="1051" t="str">
        <f t="array" ref="E329">HYPERLINK((("#Main_Tariff!A"&amp;MATCH(D329,Main_Tariff!A:A,0))),"Jump to Producer")</f>
        <v>Jump to Producer</v>
      </c>
    </row>
    <row r="330" spans="1:5" ht="14.5">
      <c r="A330" s="1178" t="s">
        <v>345</v>
      </c>
      <c r="B330" s="1178" t="s">
        <v>396</v>
      </c>
      <c r="C330" s="1178" t="s">
        <v>397</v>
      </c>
      <c r="D330" s="1178" t="s">
        <v>401</v>
      </c>
      <c r="E330" s="1051" t="str">
        <f t="array" ref="E330">HYPERLINK((("#Main_Tariff!A"&amp;MATCH(LEFT(D330,10)&amp;"*",Main_Tariff!A:A,0))),"Jump to Producer")</f>
        <v>Jump to Producer</v>
      </c>
    </row>
    <row r="331" spans="1:5" ht="14.5">
      <c r="A331" s="1178" t="s">
        <v>345</v>
      </c>
      <c r="B331" s="1178" t="s">
        <v>396</v>
      </c>
      <c r="C331" s="1178" t="s">
        <v>402</v>
      </c>
      <c r="D331" s="1178" t="s">
        <v>403</v>
      </c>
      <c r="E331" s="1051" t="str">
        <f t="array" ref="E331">HYPERLINK((("#Main_Tariff!A"&amp;MATCH("*"&amp;LEFT(D331,10)&amp;"*",Main_Tariff!A:A,0))),"Jump to Producer")</f>
        <v>Jump to Producer</v>
      </c>
    </row>
    <row r="332" spans="1:5" ht="14.5">
      <c r="A332" s="1178" t="s">
        <v>345</v>
      </c>
      <c r="B332" s="1178" t="s">
        <v>396</v>
      </c>
      <c r="C332" s="1178" t="s">
        <v>404</v>
      </c>
      <c r="D332" s="1178" t="s">
        <v>405</v>
      </c>
      <c r="E332" s="1051" t="str">
        <f t="array" ref="E332">HYPERLINK((("#Main_Tariff!A"&amp;MATCH("*"&amp;LEFT(D332,10)&amp;"*",Main_Tariff!A:A,0))),"Jump to Producer")</f>
        <v>Jump to Producer</v>
      </c>
    </row>
    <row r="333" spans="1:5" ht="14.5">
      <c r="A333" s="1178" t="s">
        <v>345</v>
      </c>
      <c r="B333" s="1178" t="s">
        <v>396</v>
      </c>
      <c r="C333" s="1178" t="s">
        <v>406</v>
      </c>
      <c r="D333" s="1178" t="s">
        <v>407</v>
      </c>
      <c r="E333" s="1051" t="str">
        <f t="array" ref="E333">HYPERLINK((("#Main_Tariff!A"&amp;MATCH("*Soave, at Castelcerino*",Main_Tariff!A:A,0))),"Jump to Producer")</f>
        <v>Jump to Producer</v>
      </c>
    </row>
    <row r="334" spans="1:5" ht="14.5">
      <c r="A334" s="1178" t="s">
        <v>345</v>
      </c>
      <c r="B334" s="1178" t="s">
        <v>396</v>
      </c>
      <c r="C334" s="1178" t="s">
        <v>408</v>
      </c>
      <c r="D334" s="1178" t="s">
        <v>409</v>
      </c>
      <c r="E334" s="1051" t="str">
        <f t="array" ref="E334">HYPERLINK((("#Main_Tariff!A"&amp;MATCH(LEFT(D334,10)&amp;"*",Main_Tariff!A:A,0))),"Jump to Producer")</f>
        <v>Jump to Producer</v>
      </c>
    </row>
    <row r="335" spans="1:5" ht="14.5">
      <c r="A335" s="1178" t="s">
        <v>345</v>
      </c>
      <c r="B335" s="1178" t="s">
        <v>396</v>
      </c>
      <c r="C335" s="1178" t="s">
        <v>408</v>
      </c>
      <c r="D335" s="1178" t="s">
        <v>410</v>
      </c>
      <c r="E335" s="1051" t="str">
        <f t="array" ref="E335">HYPERLINK((("#Main_Tariff!A"&amp;MATCH("*"&amp;RIGHT(D335,8)&amp;"*",Main_Tariff!A:A,0))),"Jump to Producer")</f>
        <v>Jump to Producer</v>
      </c>
    </row>
    <row r="336" spans="1:5" ht="14.5">
      <c r="A336" s="1178" t="s">
        <v>345</v>
      </c>
      <c r="B336" s="1178" t="s">
        <v>396</v>
      </c>
      <c r="C336" s="1178" t="s">
        <v>411</v>
      </c>
      <c r="D336" s="1178" t="s">
        <v>412</v>
      </c>
      <c r="E336" s="1051" t="str">
        <f t="array" ref="E336">HYPERLINK((("#Main_Tariff!A"&amp;MATCH(D336,Main_Tariff!A:A,0))),"Jump to Producer")</f>
        <v>Jump to Producer</v>
      </c>
    </row>
    <row r="337" spans="1:5" ht="14.5">
      <c r="A337" s="1178" t="s">
        <v>345</v>
      </c>
      <c r="B337" s="1178" t="s">
        <v>396</v>
      </c>
      <c r="C337" s="1178" t="s">
        <v>413</v>
      </c>
      <c r="D337" s="1178" t="s">
        <v>414</v>
      </c>
      <c r="E337" s="1051" t="str">
        <f t="array" ref="E337">HYPERLINK((("#Main_Tariff!A"&amp;MATCH("*"&amp;LEFT(D337,10)&amp;"*",Main_Tariff!A:A,0))),"Jump to Producer")</f>
        <v>Jump to Producer</v>
      </c>
    </row>
    <row r="338" spans="1:5" ht="14.5">
      <c r="A338" s="1178" t="s">
        <v>345</v>
      </c>
      <c r="B338" s="1178" t="s">
        <v>396</v>
      </c>
      <c r="C338" s="1178" t="s">
        <v>413</v>
      </c>
      <c r="D338" s="1178" t="s">
        <v>415</v>
      </c>
      <c r="E338" s="1051" t="str">
        <f t="array" ref="E338">HYPERLINK((("#Main_Tariff!A"&amp;MATCH("*"&amp;LEFT(D338,10)&amp;"*",Main_Tariff!A:A,0))),"Jump to Producer")</f>
        <v>Jump to Producer</v>
      </c>
    </row>
    <row r="339" spans="1:5" ht="14.5">
      <c r="A339" s="1178" t="s">
        <v>345</v>
      </c>
      <c r="B339" s="1178" t="s">
        <v>396</v>
      </c>
      <c r="C339" s="1178" t="s">
        <v>413</v>
      </c>
      <c r="D339" s="1178" t="s">
        <v>416</v>
      </c>
      <c r="E339" s="1051" t="str">
        <f t="array" ref="E339">HYPERLINK((("#Main_Tariff!A"&amp;MATCH("*"&amp;LEFT(D339,10)&amp;"*",Main_Tariff!A:A,0))),"Jump to Producer")</f>
        <v>Jump to Producer</v>
      </c>
    </row>
    <row r="340" spans="1:5" ht="14.5">
      <c r="A340" s="1178" t="s">
        <v>345</v>
      </c>
      <c r="B340" s="1178" t="s">
        <v>417</v>
      </c>
      <c r="C340" s="1178" t="s">
        <v>418</v>
      </c>
      <c r="D340" s="1178" t="s">
        <v>419</v>
      </c>
      <c r="E340" s="1051" t="str">
        <f t="array" ref="E340">HYPERLINK((("#Main_Tariff!A"&amp;MATCH("*"&amp;LEFT(D340,10)&amp;"*",Main_Tariff!A:A,0))),"Jump to Producer")</f>
        <v>Jump to Producer</v>
      </c>
    </row>
    <row r="341" spans="1:5" ht="14.5">
      <c r="A341" s="1178" t="s">
        <v>345</v>
      </c>
      <c r="B341" s="1178" t="s">
        <v>417</v>
      </c>
      <c r="C341" s="1178" t="s">
        <v>418</v>
      </c>
      <c r="D341" s="1178" t="s">
        <v>420</v>
      </c>
      <c r="E341" s="1051" t="str">
        <f t="array" ref="E341">HYPERLINK((("#Main_Tariff!A"&amp;MATCH(LEFT(D341,10)&amp;"*",Main_Tariff!A:A,0))),"Jump to Producer")</f>
        <v>Jump to Producer</v>
      </c>
    </row>
    <row r="342" spans="1:5" ht="14.5">
      <c r="A342" s="1178" t="s">
        <v>345</v>
      </c>
      <c r="B342" s="1178" t="s">
        <v>417</v>
      </c>
      <c r="C342" s="1178" t="s">
        <v>421</v>
      </c>
      <c r="D342" s="1178" t="s">
        <v>422</v>
      </c>
      <c r="E342" s="1051" t="str">
        <f t="array" ref="E342">HYPERLINK((("#Main_Tariff!A"&amp;MATCH("Kante, Edi",Main_Tariff!A:A,0))),"Jump to Producer")</f>
        <v>Jump to Producer</v>
      </c>
    </row>
    <row r="343" spans="1:5" ht="14.5">
      <c r="A343" s="1178" t="s">
        <v>345</v>
      </c>
      <c r="B343" s="1178" t="s">
        <v>417</v>
      </c>
      <c r="C343" s="1178" t="s">
        <v>421</v>
      </c>
      <c r="D343" s="1178" t="s">
        <v>423</v>
      </c>
      <c r="E343" s="1051" t="str">
        <f t="array" ref="E343">HYPERLINK((("#Main_Tariff!A"&amp;MATCH(LEFT(D343,10)&amp;"*",Main_Tariff!A:A,0))),"Jump to Producer")</f>
        <v>Jump to Producer</v>
      </c>
    </row>
    <row r="344" spans="1:5" ht="14.5">
      <c r="A344" s="1178" t="s">
        <v>345</v>
      </c>
      <c r="B344" s="1178" t="s">
        <v>417</v>
      </c>
      <c r="C344" s="1178" t="s">
        <v>418</v>
      </c>
      <c r="D344" s="1178" t="s">
        <v>424</v>
      </c>
      <c r="E344" s="1051" t="str">
        <f t="array" ref="E344">HYPERLINK((("#Main_Tariff!A"&amp;MATCH("*"&amp;LEFT(D344,10)&amp;"*",Main_Tariff!A:A,0))),"Jump to Producer")</f>
        <v>Jump to Producer</v>
      </c>
    </row>
    <row r="345" spans="1:5" ht="14.5">
      <c r="A345" s="1178" t="s">
        <v>345</v>
      </c>
      <c r="B345" s="1178" t="s">
        <v>425</v>
      </c>
      <c r="C345" s="1178" t="s">
        <v>426</v>
      </c>
      <c r="D345" s="1178" t="s">
        <v>427</v>
      </c>
      <c r="E345" s="1051" t="str">
        <f t="array" ref="E345">HYPERLINK((("#Main_Tariff!A"&amp;MATCH("*"&amp;LEFT(D345,10)&amp;"*",Main_Tariff!A:A,0))),"Jump to Producer")</f>
        <v>Jump to Producer</v>
      </c>
    </row>
    <row r="346" spans="1:5" ht="14.5">
      <c r="A346" s="1178" t="s">
        <v>345</v>
      </c>
      <c r="B346" s="1178" t="s">
        <v>425</v>
      </c>
      <c r="C346" s="1178" t="s">
        <v>428</v>
      </c>
      <c r="D346" s="1178" t="s">
        <v>429</v>
      </c>
      <c r="E346" s="1051" t="str">
        <f t="array" ref="E346">HYPERLINK((("#Main_Tariff!A"&amp;MATCH("*"&amp;RIGHT(D346,8)&amp;"*",Main_Tariff!A:A,0))),"Jump to Producer")</f>
        <v>Jump to Producer</v>
      </c>
    </row>
    <row r="347" spans="1:5" ht="14.5">
      <c r="A347" s="1178" t="s">
        <v>345</v>
      </c>
      <c r="B347" s="1178" t="s">
        <v>425</v>
      </c>
      <c r="C347" s="1178" t="s">
        <v>428</v>
      </c>
      <c r="D347" s="1178" t="s">
        <v>430</v>
      </c>
      <c r="E347" s="1051" t="str">
        <f t="array" ref="E347">HYPERLINK((("#Main_Tariff!A"&amp;MATCH("*"&amp;LEFT(D347,10)&amp;"*",Main_Tariff!A:A,0))),"Jump to Producer")</f>
        <v>Jump to Producer</v>
      </c>
    </row>
    <row r="348" spans="1:5" ht="14.5">
      <c r="A348" s="1178" t="s">
        <v>345</v>
      </c>
      <c r="B348" s="1178" t="s">
        <v>425</v>
      </c>
      <c r="C348" s="1178" t="s">
        <v>431</v>
      </c>
      <c r="D348" s="1178" t="s">
        <v>432</v>
      </c>
      <c r="E348" s="1051" t="str">
        <f t="array" ref="E348">HYPERLINK((("#Main_Tariff!A"&amp;MATCH("*"&amp;LEFT(D348,10)&amp;"*",Main_Tariff!A:A,0))),"Jump to Producer")</f>
        <v>Jump to Producer</v>
      </c>
    </row>
    <row r="349" spans="1:5" ht="14.5">
      <c r="A349" s="1178" t="s">
        <v>345</v>
      </c>
      <c r="B349" s="1178" t="s">
        <v>425</v>
      </c>
      <c r="C349" s="1178" t="s">
        <v>431</v>
      </c>
      <c r="D349" s="1178" t="s">
        <v>433</v>
      </c>
      <c r="E349" s="1051" t="str">
        <f t="array" ref="E349">HYPERLINK((("#Main_Tariff!A"&amp;MATCH("*"&amp;LEFT(D349,10)&amp;"*",Main_Tariff!A:A,0))),"Jump to Producer")</f>
        <v>Jump to Producer</v>
      </c>
    </row>
    <row r="350" spans="1:5" ht="14.5">
      <c r="A350" s="1178" t="s">
        <v>345</v>
      </c>
      <c r="B350" s="1178" t="s">
        <v>425</v>
      </c>
      <c r="C350" s="1178" t="s">
        <v>431</v>
      </c>
      <c r="D350" s="1178" t="s">
        <v>434</v>
      </c>
      <c r="E350" s="1051" t="str">
        <f t="array" ref="E350">HYPERLINK((("#Main_Tariff!A"&amp;MATCH("*"&amp;LEFT(D350,10)&amp;"*",Main_Tariff!A:A,0))),"Jump to Producer")</f>
        <v>Jump to Producer</v>
      </c>
    </row>
    <row r="351" spans="1:5" ht="14.5">
      <c r="A351" s="1178" t="s">
        <v>345</v>
      </c>
      <c r="B351" s="1178" t="s">
        <v>425</v>
      </c>
      <c r="C351" s="1178" t="s">
        <v>431</v>
      </c>
      <c r="D351" s="1178" t="s">
        <v>435</v>
      </c>
      <c r="E351" s="1051" t="str">
        <f t="array" ref="E351">HYPERLINK((("#Main_Tariff!A"&amp;MATCH("*"&amp;LEFT(D351,10)&amp;"*",Main_Tariff!A:A,0))),"Jump to Producer")</f>
        <v>Jump to Producer</v>
      </c>
    </row>
    <row r="352" spans="1:5" ht="14.5">
      <c r="A352" s="1178" t="s">
        <v>345</v>
      </c>
      <c r="B352" s="1178" t="s">
        <v>425</v>
      </c>
      <c r="C352" s="1178" t="s">
        <v>431</v>
      </c>
      <c r="D352" s="1178" t="s">
        <v>436</v>
      </c>
      <c r="E352" s="1051" t="str">
        <f t="array" ref="E352">HYPERLINK((("#Main_Tariff!A"&amp;MATCH(LEFT(D352,10)&amp;"*",Main_Tariff!A:A,0))),"Jump to Producer")</f>
        <v>Jump to Producer</v>
      </c>
    </row>
    <row r="353" spans="1:5" ht="14.5">
      <c r="A353" s="1178" t="s">
        <v>345</v>
      </c>
      <c r="B353" s="1178" t="s">
        <v>425</v>
      </c>
      <c r="C353" s="1178" t="s">
        <v>431</v>
      </c>
      <c r="D353" s="1178" t="s">
        <v>437</v>
      </c>
      <c r="E353" s="1051" t="str">
        <f t="array" ref="E353">HYPERLINK((("#Main_Tariff!A"&amp;MATCH("*"&amp;LEFT(D353,10)&amp;"*",Main_Tariff!A:A,0))),"Jump to Producer")</f>
        <v>Jump to Producer</v>
      </c>
    </row>
    <row r="354" spans="1:5" ht="14.5">
      <c r="A354" s="1178" t="s">
        <v>345</v>
      </c>
      <c r="B354" s="1178" t="s">
        <v>425</v>
      </c>
      <c r="C354" s="1178" t="s">
        <v>438</v>
      </c>
      <c r="D354" s="1178" t="s">
        <v>439</v>
      </c>
      <c r="E354" s="1051" t="str">
        <f t="array" ref="E354">HYPERLINK((("#Main_Tariff!A"&amp;MATCH("*"&amp;LEFT(D354,10)&amp;"*",Main_Tariff!A:A,0))),"Jump to Producer")</f>
        <v>Jump to Producer</v>
      </c>
    </row>
    <row r="355" spans="1:5" ht="14.5">
      <c r="A355" s="1178" t="s">
        <v>345</v>
      </c>
      <c r="B355" s="1178" t="s">
        <v>425</v>
      </c>
      <c r="C355" s="1178" t="s">
        <v>438</v>
      </c>
      <c r="D355" s="1178" t="s">
        <v>440</v>
      </c>
      <c r="E355" s="1051" t="str">
        <f t="array" ref="E355">HYPERLINK((("#Main_Tariff!A"&amp;MATCH(LEFT(D355,10)&amp;" by*",Main_Tariff!A:A,0))),"Jump to Producer")</f>
        <v>Jump to Producer</v>
      </c>
    </row>
    <row r="356" spans="1:5" ht="14.5">
      <c r="A356" s="1178" t="s">
        <v>345</v>
      </c>
      <c r="B356" s="1178" t="s">
        <v>425</v>
      </c>
      <c r="C356" s="1178" t="s">
        <v>438</v>
      </c>
      <c r="D356" s="1178" t="s">
        <v>441</v>
      </c>
      <c r="E356" s="1051" t="str">
        <f t="array" ref="E356">HYPERLINK((("#Main_Tariff!A"&amp;MATCH("*"&amp;RIGHT(D356,8)&amp;"*",Main_Tariff!A:A,0))),"Jump to Producer")</f>
        <v>Jump to Producer</v>
      </c>
    </row>
    <row r="357" spans="1:5" ht="14.5">
      <c r="A357" s="1178" t="s">
        <v>345</v>
      </c>
      <c r="B357" s="1178" t="s">
        <v>425</v>
      </c>
      <c r="C357" s="1178" t="s">
        <v>438</v>
      </c>
      <c r="D357" s="1178" t="s">
        <v>442</v>
      </c>
      <c r="E357" s="1051" t="str">
        <f t="array" ref="E357">HYPERLINK((("#Main_Tariff!A"&amp;MATCH(LEFT(D357,10)&amp;"*",Main_Tariff!A:A,0))),"Jump to Producer")</f>
        <v>Jump to Producer</v>
      </c>
    </row>
    <row r="358" spans="1:5" ht="14.5">
      <c r="A358" s="1178" t="s">
        <v>345</v>
      </c>
      <c r="B358" s="1178" t="s">
        <v>425</v>
      </c>
      <c r="C358" s="1178" t="s">
        <v>438</v>
      </c>
      <c r="D358" s="1178" t="s">
        <v>443</v>
      </c>
      <c r="E358" s="1051" t="str">
        <f t="array" ref="E358">HYPERLINK((("#Main_Tariff!A"&amp;MATCH("*"&amp;LEFT(D358,10)&amp;"*",Main_Tariff!A:A,0))),"Jump to Producer")</f>
        <v>Jump to Producer</v>
      </c>
    </row>
    <row r="359" spans="1:5" ht="14.5">
      <c r="A359" s="1178" t="s">
        <v>345</v>
      </c>
      <c r="B359" s="1178" t="s">
        <v>425</v>
      </c>
      <c r="C359" s="1178" t="s">
        <v>438</v>
      </c>
      <c r="D359" s="1178" t="s">
        <v>444</v>
      </c>
      <c r="E359" s="1051" t="str">
        <f t="array" ref="E359">HYPERLINK((("#Main_Tariff!A"&amp;MATCH("*"&amp;LEFT(D359,10)&amp;"*",Main_Tariff!A:A,0))),"Jump to Producer")</f>
        <v>Jump to Producer</v>
      </c>
    </row>
    <row r="360" spans="1:5" ht="14.5">
      <c r="A360" s="1178" t="s">
        <v>345</v>
      </c>
      <c r="B360" s="1178" t="s">
        <v>425</v>
      </c>
      <c r="C360" s="1178" t="s">
        <v>438</v>
      </c>
      <c r="D360" s="1178" t="s">
        <v>445</v>
      </c>
      <c r="E360" s="1051" t="str">
        <f t="array" ref="E360">HYPERLINK((("#Main_Tariff!A"&amp;MATCH(LEFT(D360,20)&amp;" &amp;*",Main_Tariff!A:A,0))),"Jump to Producer")</f>
        <v>Jump to Producer</v>
      </c>
    </row>
    <row r="361" spans="1:5" ht="14.5">
      <c r="A361" s="1178" t="s">
        <v>345</v>
      </c>
      <c r="B361" s="1178" t="s">
        <v>425</v>
      </c>
      <c r="C361" s="1178" t="s">
        <v>446</v>
      </c>
      <c r="D361" s="1178" t="s">
        <v>447</v>
      </c>
      <c r="E361" s="1051" t="str">
        <f t="array" ref="E361">HYPERLINK((("#Main_Tariff!A"&amp;MATCH("*"&amp;LEFT(D361,10)&amp;"*",Main_Tariff!A:A,0))),"Jump to Producer")</f>
        <v>Jump to Producer</v>
      </c>
    </row>
    <row r="362" spans="1:5" ht="14.5">
      <c r="A362" s="1178" t="s">
        <v>345</v>
      </c>
      <c r="B362" s="1178" t="s">
        <v>425</v>
      </c>
      <c r="C362" s="1178" t="s">
        <v>448</v>
      </c>
      <c r="D362" s="1178" t="s">
        <v>449</v>
      </c>
      <c r="E362" s="1051" t="str">
        <f t="array" ref="E362">HYPERLINK((("#Main_Tariff!A"&amp;MATCH("*"&amp;LEFT(D362,10)&amp;"*",Main_Tariff!A:A,0))),"Jump to Producer")</f>
        <v>Jump to Producer</v>
      </c>
    </row>
    <row r="363" spans="1:5" ht="14.5">
      <c r="A363" s="1178" t="s">
        <v>345</v>
      </c>
      <c r="B363" s="1178" t="s">
        <v>450</v>
      </c>
      <c r="C363" s="1178"/>
      <c r="D363" s="1178" t="s">
        <v>451</v>
      </c>
      <c r="E363" s="1051" t="str">
        <f t="array" ref="E363">HYPERLINK((("#Main_Tariff!A"&amp;MATCH("*"&amp;LEFT(D363,10)&amp;"*",Main_Tariff!A:A,0))),"Jump to Producer")</f>
        <v>Jump to Producer</v>
      </c>
    </row>
    <row r="364" spans="1:5" ht="14.5">
      <c r="A364" s="1178" t="s">
        <v>345</v>
      </c>
      <c r="B364" s="1178" t="s">
        <v>450</v>
      </c>
      <c r="C364" s="1178"/>
      <c r="D364" s="1178" t="s">
        <v>452</v>
      </c>
      <c r="E364" s="1051" t="str">
        <f t="array" ref="E364">HYPERLINK((("#Main_Tariff!A"&amp;MATCH("*"&amp;LEFT(D364,10)&amp;"*",Main_Tariff!A:A,0))),"Jump to Producer")</f>
        <v>Jump to Producer</v>
      </c>
    </row>
    <row r="365" spans="1:5" ht="14.5">
      <c r="A365" s="1178" t="s">
        <v>345</v>
      </c>
      <c r="B365" s="1178" t="s">
        <v>453</v>
      </c>
      <c r="C365" s="1178"/>
      <c r="D365" s="1178" t="s">
        <v>454</v>
      </c>
      <c r="E365" s="1051" t="str">
        <f t="array" ref="E365">HYPERLINK((("#Main_Tariff!A"&amp;MATCH("*"&amp;LEFT(D365,10)&amp;"*",Main_Tariff!A:A,0))),"Jump to Producer")</f>
        <v>Jump to Producer</v>
      </c>
    </row>
    <row r="366" spans="1:5" ht="14.5">
      <c r="A366" s="1178" t="s">
        <v>345</v>
      </c>
      <c r="B366" s="1178" t="s">
        <v>455</v>
      </c>
      <c r="C366" s="1178"/>
      <c r="D366" s="1178" t="s">
        <v>456</v>
      </c>
      <c r="E366" s="1051" t="str">
        <f t="array" ref="E366">HYPERLINK((("#Main_Tariff!A"&amp;MATCH("*"&amp;LEFT(D366,10)&amp;"*",Main_Tariff!A:A,0))),"Jump to Producer")</f>
        <v>Jump to Producer</v>
      </c>
    </row>
    <row r="367" spans="1:5" ht="14.5">
      <c r="A367" s="1178" t="s">
        <v>345</v>
      </c>
      <c r="B367" s="1178" t="s">
        <v>457</v>
      </c>
      <c r="C367" s="1178"/>
      <c r="D367" s="1178" t="s">
        <v>458</v>
      </c>
      <c r="E367" s="1051" t="str">
        <f t="array" ref="E367">HYPERLINK((("#Main_Tariff!A"&amp;MATCH("*"&amp;RIGHT(D367,8)&amp;"*",Main_Tariff!A:A,0))),"Jump to Producer")</f>
        <v>Jump to Producer</v>
      </c>
    </row>
    <row r="368" spans="1:5" ht="14.5">
      <c r="A368" s="1178" t="s">
        <v>345</v>
      </c>
      <c r="B368" s="1178" t="s">
        <v>457</v>
      </c>
      <c r="C368" s="1178"/>
      <c r="D368" s="1178" t="s">
        <v>459</v>
      </c>
      <c r="E368" s="1051" t="str">
        <f t="array" ref="E368">HYPERLINK((("#Main_Tariff!A"&amp;MATCH("*"&amp;LEFT(D368,10)&amp;"*",Main_Tariff!A:A,0))),"Jump to Producer")</f>
        <v>Jump to Producer</v>
      </c>
    </row>
    <row r="369" spans="1:5" ht="14.5">
      <c r="A369" s="1178" t="s">
        <v>345</v>
      </c>
      <c r="B369" s="1178" t="s">
        <v>453</v>
      </c>
      <c r="C369" s="1178"/>
      <c r="D369" s="1178" t="s">
        <v>460</v>
      </c>
      <c r="E369" s="1051" t="str">
        <f t="array" ref="E369">HYPERLINK((("#Main_Tariff!A"&amp;MATCH("*"&amp;LEFT(D369,10)&amp;"*",Main_Tariff!A:A,0))),"Jump to Producer")</f>
        <v>Jump to Producer</v>
      </c>
    </row>
    <row r="370" spans="1:5" ht="14.5">
      <c r="A370" s="1178" t="s">
        <v>345</v>
      </c>
      <c r="B370" s="1178" t="s">
        <v>457</v>
      </c>
      <c r="C370" s="1178"/>
      <c r="D370" s="1178" t="s">
        <v>461</v>
      </c>
      <c r="E370" s="1051" t="str">
        <f t="array" ref="E370">HYPERLINK((("#Main_Tariff!A"&amp;MATCH(LEFT(D370,10)&amp;"*",Main_Tariff!A:A,0))),"Jump to Producer")</f>
        <v>Jump to Producer</v>
      </c>
    </row>
    <row r="371" spans="1:5" ht="14.5">
      <c r="A371" s="1178" t="s">
        <v>345</v>
      </c>
      <c r="B371" s="1178" t="s">
        <v>462</v>
      </c>
      <c r="C371" s="1178"/>
      <c r="D371" s="1178" t="s">
        <v>463</v>
      </c>
      <c r="E371" s="1051" t="str">
        <f t="array" ref="E371">HYPERLINK((("#Main_Tariff!A"&amp;MATCH("*"&amp;LEFT(D371,10)&amp;"*",Main_Tariff!A:A,0))),"Jump to Producer")</f>
        <v>Jump to Producer</v>
      </c>
    </row>
    <row r="372" spans="1:5" ht="14.5">
      <c r="A372" s="1178" t="s">
        <v>345</v>
      </c>
      <c r="B372" s="1178" t="s">
        <v>464</v>
      </c>
      <c r="C372" s="1178"/>
      <c r="D372" s="1178" t="s">
        <v>465</v>
      </c>
      <c r="E372" s="1051" t="str">
        <f t="array" ref="E372">HYPERLINK((("#Main_Tariff!A"&amp;MATCH("*"&amp;LEFT(D372,10)&amp;"*",Main_Tariff!A:A,0))),"Jump to Producer")</f>
        <v>Jump to Producer</v>
      </c>
    </row>
    <row r="373" spans="1:5" ht="14.5">
      <c r="A373" s="1178" t="s">
        <v>345</v>
      </c>
      <c r="B373" s="1178" t="s">
        <v>464</v>
      </c>
      <c r="C373" s="1178"/>
      <c r="D373" s="1178" t="s">
        <v>466</v>
      </c>
      <c r="E373" s="1051" t="str">
        <f t="array" ref="E373">HYPERLINK((("#Main_Tariff!A"&amp;MATCH("*"&amp;LEFT(D373,10)&amp;"*",Main_Tariff!A:A,0))),"Jump to Producer")</f>
        <v>Jump to Producer</v>
      </c>
    </row>
    <row r="374" spans="1:5" ht="14.5">
      <c r="A374" s="1178" t="s">
        <v>345</v>
      </c>
      <c r="B374" s="1178" t="s">
        <v>464</v>
      </c>
      <c r="C374" s="1178"/>
      <c r="D374" s="1178" t="s">
        <v>467</v>
      </c>
      <c r="E374" s="1051" t="str">
        <f t="array" ref="E374">HYPERLINK((("#Main_Tariff!A"&amp;MATCH("*"&amp;LEFT(D374,10)&amp;"*",Main_Tariff!A:A,0))),"Jump to Producer")</f>
        <v>Jump to Producer</v>
      </c>
    </row>
    <row r="375" spans="1:5" ht="14.5">
      <c r="A375" s="1178" t="s">
        <v>345</v>
      </c>
      <c r="B375" s="1178" t="s">
        <v>468</v>
      </c>
      <c r="C375" s="1178"/>
      <c r="D375" s="1178" t="s">
        <v>469</v>
      </c>
      <c r="E375" s="1051" t="str">
        <f t="array" ref="E375">HYPERLINK((("#Main_Tariff!A"&amp;MATCH("*"&amp;LEFT(D375,10)&amp;"*",Main_Tariff!A:A,0))),"Jump to Producer")</f>
        <v>Jump to Producer</v>
      </c>
    </row>
    <row r="376" spans="1:5" ht="14.5">
      <c r="A376" s="1178" t="s">
        <v>345</v>
      </c>
      <c r="B376" s="1178" t="s">
        <v>464</v>
      </c>
      <c r="C376" s="1178"/>
      <c r="D376" s="1178" t="s">
        <v>470</v>
      </c>
      <c r="E376" s="1051" t="str">
        <f t="array" ref="E376">HYPERLINK((("#Main_Tariff!A"&amp;MATCH("*"&amp;LEFT(D376,10)&amp;"*",Main_Tariff!A:A,0))),"Jump to Producer")</f>
        <v>Jump to Producer</v>
      </c>
    </row>
    <row r="377" spans="1:5" ht="14.5">
      <c r="A377" s="1178" t="s">
        <v>345</v>
      </c>
      <c r="B377" s="1178" t="s">
        <v>471</v>
      </c>
      <c r="C377" s="1178"/>
      <c r="D377" s="1178" t="s">
        <v>472</v>
      </c>
      <c r="E377" s="1051" t="str">
        <f t="array" ref="E377">HYPERLINK((("#Main_Tariff!A"&amp;MATCH("*"&amp;LEFT(D377,15)&amp;"*",Main_Tariff!A:A,0))),"Jump to Producer")</f>
        <v>Jump to Producer</v>
      </c>
    </row>
    <row r="378" spans="1:5" ht="14.5">
      <c r="A378" s="1178" t="s">
        <v>345</v>
      </c>
      <c r="B378" s="1178" t="s">
        <v>473</v>
      </c>
      <c r="C378" s="1178"/>
      <c r="D378" s="1178" t="s">
        <v>474</v>
      </c>
      <c r="E378" s="1051" t="str">
        <f t="array" ref="E378">HYPERLINK((("#Main_Tariff!A"&amp;MATCH("*"&amp;LEFT(D378,10)&amp;"*",Main_Tariff!A:A,0))),"Jump to Producer")</f>
        <v>Jump to Producer</v>
      </c>
    </row>
    <row r="379" spans="1:5" ht="14.5">
      <c r="A379" s="1178" t="s">
        <v>345</v>
      </c>
      <c r="B379" s="1178" t="s">
        <v>473</v>
      </c>
      <c r="C379" s="1178"/>
      <c r="D379" s="1178" t="s">
        <v>475</v>
      </c>
      <c r="E379" s="1051" t="str">
        <f t="array" ref="E379">HYPERLINK((("#Main_Tariff!A"&amp;MATCH("*"&amp;LEFT(D379,10)&amp;"*",Main_Tariff!A:A,0))),"Jump to Producer")</f>
        <v>Jump to Producer</v>
      </c>
    </row>
    <row r="380" spans="1:5" ht="14.5">
      <c r="A380" s="1178" t="s">
        <v>345</v>
      </c>
      <c r="B380" s="1178" t="s">
        <v>476</v>
      </c>
      <c r="C380" s="1178" t="s">
        <v>477</v>
      </c>
      <c r="D380" s="1178" t="s">
        <v>478</v>
      </c>
      <c r="E380" s="1051" t="str">
        <f t="array" ref="E380">HYPERLINK((("#Main_Tariff!A"&amp;MATCH("*"&amp;LEFT(D380,10)&amp;"*",Main_Tariff!A:A,0))),"Jump to Producer")</f>
        <v>Jump to Producer</v>
      </c>
    </row>
    <row r="381" spans="1:5" ht="14.5">
      <c r="A381" s="1178" t="s">
        <v>345</v>
      </c>
      <c r="B381" s="1178" t="s">
        <v>476</v>
      </c>
      <c r="C381" s="1178" t="s">
        <v>477</v>
      </c>
      <c r="D381" s="1178" t="s">
        <v>479</v>
      </c>
      <c r="E381" s="1051" t="str">
        <f t="array" ref="E381">HYPERLINK((("#Main_Tariff!A"&amp;MATCH("*"&amp;LEFT(D381,10)&amp;"*",Main_Tariff!A:A,0))),"Jump to Producer")</f>
        <v>Jump to Producer</v>
      </c>
    </row>
    <row r="382" spans="1:5" ht="14.5">
      <c r="A382" s="1178" t="s">
        <v>345</v>
      </c>
      <c r="B382" s="1178" t="s">
        <v>476</v>
      </c>
      <c r="C382" s="1178" t="s">
        <v>477</v>
      </c>
      <c r="D382" s="1178" t="s">
        <v>480</v>
      </c>
      <c r="E382" s="1051" t="str">
        <f t="array" ref="E382">HYPERLINK((("#Main_Tariff!A"&amp;MATCH("*"&amp;LEFT(D382,10)&amp;"*",Main_Tariff!A:A,0))),"Jump to Producer")</f>
        <v>Jump to Producer</v>
      </c>
    </row>
    <row r="383" spans="1:5" ht="14.5">
      <c r="A383" s="1178" t="s">
        <v>345</v>
      </c>
      <c r="B383" s="1178" t="s">
        <v>476</v>
      </c>
      <c r="C383" s="1178"/>
      <c r="D383" s="1178" t="s">
        <v>481</v>
      </c>
      <c r="E383" s="1051" t="str">
        <f t="array" ref="E383">HYPERLINK((("#Main_Tariff!A"&amp;MATCH("*Erice, West*",Main_Tariff!A:A,0))),"Jump to Producer")</f>
        <v>Jump to Producer</v>
      </c>
    </row>
    <row r="384" spans="1:5" ht="14.5">
      <c r="A384" s="1178" t="s">
        <v>345</v>
      </c>
      <c r="B384" s="1178" t="s">
        <v>482</v>
      </c>
      <c r="C384" s="1178"/>
      <c r="D384" s="1178" t="s">
        <v>483</v>
      </c>
      <c r="E384" s="1051" t="str">
        <f t="array" ref="E384">HYPERLINK((("#Main_Tariff!A"&amp;MATCH("*"&amp;LEFT(D384,10)&amp;"*",Main_Tariff!A:A,0))),"Jump to Producer")</f>
        <v>Jump to Producer</v>
      </c>
    </row>
    <row r="385" spans="1:5" ht="14.5">
      <c r="A385" s="1178" t="s">
        <v>345</v>
      </c>
      <c r="B385" s="1178" t="s">
        <v>476</v>
      </c>
      <c r="C385" s="1178"/>
      <c r="D385" s="1178" t="s">
        <v>484</v>
      </c>
      <c r="E385" s="1051" t="str">
        <f t="array" ref="E385">HYPERLINK((("#Main_Tariff!A"&amp;MATCH("*"&amp;LEFT(D385,10)&amp;"*",Main_Tariff!A:A,0))),"Jump to Producer")</f>
        <v>Jump to Producer</v>
      </c>
    </row>
    <row r="386" spans="1:5" ht="14.5">
      <c r="A386" s="1178" t="s">
        <v>345</v>
      </c>
      <c r="B386" s="1178" t="s">
        <v>476</v>
      </c>
      <c r="C386" s="1178"/>
      <c r="D386" s="1178" t="s">
        <v>485</v>
      </c>
      <c r="E386" s="1051" t="str">
        <f t="array" ref="E386">HYPERLINK((("#Main_Tariff!A"&amp;MATCH("*"&amp;LEFT(D386,10)&amp;"*",Main_Tariff!A:A,0))),"Jump to Producer")</f>
        <v>Jump to Producer</v>
      </c>
    </row>
    <row r="387" spans="1:5" ht="14.5">
      <c r="A387" s="1178" t="s">
        <v>486</v>
      </c>
      <c r="B387" s="1178" t="s">
        <v>487</v>
      </c>
      <c r="C387" s="1178" t="s">
        <v>488</v>
      </c>
      <c r="D387" s="1178" t="s">
        <v>489</v>
      </c>
      <c r="E387" s="1051" t="str">
        <f t="array" ref="E387">HYPERLINK((("#Main_Tariff!A"&amp;MATCH("*"&amp;LEFT(D387,10)&amp;"*",Main_Tariff!A:A,0))),"Jump to Producer")</f>
        <v>Jump to Producer</v>
      </c>
    </row>
    <row r="388" spans="1:5" ht="14.5">
      <c r="A388" s="1178" t="s">
        <v>486</v>
      </c>
      <c r="B388" s="1178" t="s">
        <v>487</v>
      </c>
      <c r="C388" s="1178" t="s">
        <v>490</v>
      </c>
      <c r="D388" s="1178" t="s">
        <v>491</v>
      </c>
      <c r="E388" s="1051" t="str">
        <f t="array" ref="E388">HYPERLINK((("#Main_Tariff!A"&amp;MATCH("*"&amp;LEFT(D388,10)&amp;"*",Main_Tariff!A:A,0))),"Jump to Producer")</f>
        <v>Jump to Producer</v>
      </c>
    </row>
    <row r="389" spans="1:5" ht="14.5">
      <c r="A389" s="1178" t="s">
        <v>486</v>
      </c>
      <c r="B389" s="1178" t="s">
        <v>487</v>
      </c>
      <c r="C389" s="1178" t="s">
        <v>492</v>
      </c>
      <c r="D389" s="1178" t="s">
        <v>493</v>
      </c>
      <c r="E389" s="1051" t="str">
        <f t="array" ref="E389">HYPERLINK((("#Main_Tariff!A"&amp;MATCH("*"&amp;LEFT(D389,10)&amp;"*",Main_Tariff!A:A,0))),"Jump to Producer")</f>
        <v>Jump to Producer</v>
      </c>
    </row>
    <row r="390" spans="1:5" ht="14.5">
      <c r="A390" s="1178" t="s">
        <v>486</v>
      </c>
      <c r="B390" s="1178" t="s">
        <v>487</v>
      </c>
      <c r="C390" s="1178" t="s">
        <v>494</v>
      </c>
      <c r="D390" s="1178" t="s">
        <v>495</v>
      </c>
      <c r="E390" s="1051" t="str">
        <f t="array" ref="E390">HYPERLINK((("#Main_Tariff!A"&amp;MATCH("*Rueda. Verdejo grape*",Main_Tariff!A:A,0))),"Jump to Producer")</f>
        <v>Jump to Producer</v>
      </c>
    </row>
    <row r="391" spans="1:5" ht="14.5">
      <c r="A391" s="1178" t="s">
        <v>486</v>
      </c>
      <c r="B391" s="1178" t="s">
        <v>496</v>
      </c>
      <c r="C391" s="1178" t="s">
        <v>497</v>
      </c>
      <c r="D391" s="1178" t="s">
        <v>498</v>
      </c>
      <c r="E391" s="1051" t="str">
        <f t="array" ref="E391">HYPERLINK((("#Main_Tariff!A"&amp;MATCH("*"&amp;LEFT(D391,10)&amp;"*",Main_Tariff!A:A,0))),"Jump to Producer")</f>
        <v>Jump to Producer</v>
      </c>
    </row>
    <row r="392" spans="1:5" ht="14.5">
      <c r="A392" s="1178" t="s">
        <v>486</v>
      </c>
      <c r="B392" s="1178" t="s">
        <v>496</v>
      </c>
      <c r="C392" s="1178" t="s">
        <v>499</v>
      </c>
      <c r="D392" s="1178" t="s">
        <v>500</v>
      </c>
      <c r="E392" s="1051" t="str">
        <f t="array" ref="E392">HYPERLINK((("#Main_Tariff!A"&amp;MATCH("*"&amp;LEFT(D392,10)&amp;"*",Main_Tariff!A:A,0))),"Jump to Producer")</f>
        <v>Jump to Producer</v>
      </c>
    </row>
    <row r="393" spans="1:5" ht="14.5">
      <c r="A393" s="1178" t="s">
        <v>486</v>
      </c>
      <c r="B393" s="1178" t="s">
        <v>496</v>
      </c>
      <c r="C393" s="1178" t="s">
        <v>499</v>
      </c>
      <c r="D393" s="1178" t="s">
        <v>501</v>
      </c>
      <c r="E393" s="1051" t="str">
        <f t="array" ref="E393">HYPERLINK((("#Main_Tariff!A"&amp;MATCH("*"&amp;LEFT(D393,10)&amp;"*",Main_Tariff!A:A,0))),"Jump to Producer")</f>
        <v>Jump to Producer</v>
      </c>
    </row>
    <row r="394" spans="1:5" ht="14.5">
      <c r="A394" s="1178" t="s">
        <v>486</v>
      </c>
      <c r="B394" s="1178" t="s">
        <v>496</v>
      </c>
      <c r="C394" s="1178" t="s">
        <v>499</v>
      </c>
      <c r="D394" s="1178" t="s">
        <v>502</v>
      </c>
      <c r="E394" s="1051" t="str">
        <f t="array" ref="E394">HYPERLINK((("#Main_Tariff!A"&amp;MATCH("*"&amp;LEFT(D394,10)&amp;"*",Main_Tariff!A:A,0))),"Jump to Producer")</f>
        <v>Jump to Producer</v>
      </c>
    </row>
    <row r="395" spans="1:5" ht="14.5">
      <c r="A395" s="1178" t="s">
        <v>486</v>
      </c>
      <c r="B395" s="1178" t="s">
        <v>496</v>
      </c>
      <c r="C395" s="1178" t="s">
        <v>499</v>
      </c>
      <c r="D395" s="1178" t="s">
        <v>503</v>
      </c>
      <c r="E395" s="1051" t="str">
        <f t="array" ref="E395">HYPERLINK((("#Main_Tariff!A"&amp;MATCH("*"&amp;LEFT(D395,10)&amp;"*",Main_Tariff!A:A,0))),"Jump to Producer")</f>
        <v>Jump to Producer</v>
      </c>
    </row>
    <row r="396" spans="1:5" ht="14.5">
      <c r="A396" s="1178" t="s">
        <v>486</v>
      </c>
      <c r="B396" s="1178" t="s">
        <v>496</v>
      </c>
      <c r="C396" s="1178" t="s">
        <v>499</v>
      </c>
      <c r="D396" s="1178" t="s">
        <v>504</v>
      </c>
      <c r="E396" s="1051" t="str">
        <f t="array" ref="E396">HYPERLINK((("#Main_Tariff!A"&amp;MATCH("*"&amp;LEFT(D396,10)&amp;"*",Main_Tariff!A:A,0))),"Jump to Producer")</f>
        <v>Jump to Producer</v>
      </c>
    </row>
    <row r="397" spans="1:5" ht="14.5">
      <c r="A397" s="1178" t="s">
        <v>486</v>
      </c>
      <c r="B397" s="1178" t="s">
        <v>496</v>
      </c>
      <c r="C397" s="1178" t="s">
        <v>505</v>
      </c>
      <c r="D397" s="1178" t="s">
        <v>506</v>
      </c>
      <c r="E397" s="1051" t="str">
        <f t="array" ref="E397">HYPERLINK((("#Main_Tariff!A"&amp;MATCH("*"&amp;LEFT(D397,10)&amp;"*",Main_Tariff!A:A,0))),"Jump to Producer")</f>
        <v>Jump to Producer</v>
      </c>
    </row>
    <row r="398" spans="1:5" ht="14.5">
      <c r="A398" s="1178" t="s">
        <v>486</v>
      </c>
      <c r="B398" s="1178" t="s">
        <v>507</v>
      </c>
      <c r="C398" s="1178" t="s">
        <v>508</v>
      </c>
      <c r="D398" s="1178" t="s">
        <v>22297</v>
      </c>
      <c r="E398" s="1051" t="str">
        <f t="array" ref="E398">HYPERLINK((("#Main_Tariff!A"&amp;MATCH("*"&amp;LEFT(D398,10)&amp;"*",Main_Tariff!A:A,0))),"Jump to Producer")</f>
        <v>Jump to Producer</v>
      </c>
    </row>
    <row r="399" spans="1:5" ht="14.5">
      <c r="A399" s="1178" t="s">
        <v>486</v>
      </c>
      <c r="B399" s="1178" t="s">
        <v>507</v>
      </c>
      <c r="C399" s="1178" t="s">
        <v>508</v>
      </c>
      <c r="D399" s="1178" t="s">
        <v>509</v>
      </c>
      <c r="E399" s="1051" t="str">
        <f t="array" ref="E399">HYPERLINK((("#Main_Tariff!A"&amp;MATCH("*"&amp;LEFT(D399,10)&amp;"*",Main_Tariff!A:A,0))),"Jump to Producer")</f>
        <v>Jump to Producer</v>
      </c>
    </row>
    <row r="400" spans="1:5" ht="14.5">
      <c r="A400" s="1178" t="s">
        <v>486</v>
      </c>
      <c r="B400" s="1178" t="s">
        <v>507</v>
      </c>
      <c r="C400" s="1178" t="s">
        <v>510</v>
      </c>
      <c r="D400" s="1178" t="s">
        <v>511</v>
      </c>
      <c r="E400" s="1051" t="str">
        <f t="array" ref="E400">HYPERLINK((("#Main_Tariff!A"&amp;MATCH("*"&amp;LEFT(D400,18)&amp;"*",Main_Tariff!A:A,0))),"Jump to Producer")</f>
        <v>Jump to Producer</v>
      </c>
    </row>
    <row r="401" spans="1:5" ht="14.5">
      <c r="A401" s="1178" t="s">
        <v>486</v>
      </c>
      <c r="B401" s="1178" t="s">
        <v>507</v>
      </c>
      <c r="C401" s="1178" t="s">
        <v>512</v>
      </c>
      <c r="D401" s="1178" t="s">
        <v>513</v>
      </c>
      <c r="E401" s="1051" t="str">
        <f t="array" ref="E401">HYPERLINK((("#Main_Tariff!A"&amp;MATCH("*"&amp;LEFT(D401,18)&amp;"*",Main_Tariff!A:A,0))),"Jump to Producer")</f>
        <v>Jump to Producer</v>
      </c>
    </row>
    <row r="402" spans="1:5" ht="14.5">
      <c r="A402" s="1178" t="s">
        <v>486</v>
      </c>
      <c r="B402" s="1178" t="s">
        <v>507</v>
      </c>
      <c r="C402" s="1178" t="s">
        <v>514</v>
      </c>
      <c r="D402" s="1178" t="s">
        <v>515</v>
      </c>
      <c r="E402" s="1051" t="str">
        <f t="array" ref="E402">HYPERLINK((("#Main_Tariff!A"&amp;MATCH("*"&amp;LEFT(D402,10)&amp;"*",Main_Tariff!A:A,0))),"Jump to Producer")</f>
        <v>Jump to Producer</v>
      </c>
    </row>
    <row r="403" spans="1:5" ht="14.5">
      <c r="A403" s="1178" t="s">
        <v>486</v>
      </c>
      <c r="B403" s="1178" t="s">
        <v>507</v>
      </c>
      <c r="C403" s="1178" t="s">
        <v>514</v>
      </c>
      <c r="D403" s="1178" t="s">
        <v>516</v>
      </c>
      <c r="E403" s="1051" t="str">
        <f t="array" ref="E403">HYPERLINK((("#Main_Tariff!A"&amp;MATCH("*"&amp;LEFT(D403,10)&amp;"*",Main_Tariff!A:A,0))),"Jump to Producer")</f>
        <v>Jump to Producer</v>
      </c>
    </row>
    <row r="404" spans="1:5" ht="14.5">
      <c r="A404" s="1178" t="s">
        <v>486</v>
      </c>
      <c r="B404" s="1178" t="s">
        <v>507</v>
      </c>
      <c r="C404" s="1178" t="s">
        <v>514</v>
      </c>
      <c r="D404" s="1178" t="s">
        <v>517</v>
      </c>
      <c r="E404" s="1051" t="str">
        <f t="array" ref="E404">HYPERLINK((("#Main_Tariff!A"&amp;MATCH("*"&amp;LEFT(D404,10)&amp;"*",Main_Tariff!A:A,0))),"Jump to Producer")</f>
        <v>Jump to Producer</v>
      </c>
    </row>
    <row r="405" spans="1:5" ht="14.5">
      <c r="A405" s="1178" t="s">
        <v>486</v>
      </c>
      <c r="B405" s="1178" t="s">
        <v>507</v>
      </c>
      <c r="C405" s="1178" t="s">
        <v>518</v>
      </c>
      <c r="D405" s="1178" t="s">
        <v>519</v>
      </c>
      <c r="E405" s="1051" t="str">
        <f t="array" ref="E405">HYPERLINK((("#Main_Tariff!A"&amp;MATCH("*"&amp;LEFT(D405,10)&amp;"*",Main_Tariff!A:A,0))),"Jump to Producer")</f>
        <v>Jump to Producer</v>
      </c>
    </row>
    <row r="406" spans="1:5" ht="14.5">
      <c r="A406" s="1178" t="s">
        <v>486</v>
      </c>
      <c r="B406" s="1178" t="s">
        <v>520</v>
      </c>
      <c r="C406" s="1178" t="s">
        <v>521</v>
      </c>
      <c r="D406" s="1178" t="s">
        <v>522</v>
      </c>
      <c r="E406" s="1051" t="str">
        <f t="array" ref="E406">HYPERLINK((("#Main_Tariff!A"&amp;MATCH("*"&amp;LEFT(D406,10)&amp;"*",Main_Tariff!A:A,0))),"Jump to Producer")</f>
        <v>Jump to Producer</v>
      </c>
    </row>
    <row r="407" spans="1:5" ht="14.5">
      <c r="A407" s="1178" t="s">
        <v>486</v>
      </c>
      <c r="B407" s="1178" t="s">
        <v>331</v>
      </c>
      <c r="C407" s="1178" t="s">
        <v>523</v>
      </c>
      <c r="D407" s="1178" t="s">
        <v>524</v>
      </c>
      <c r="E407" s="1051" t="str">
        <f t="array" ref="E407">HYPERLINK((("#Main_Tariff!A"&amp;MATCH("*"&amp;LEFT(D407,10)&amp;"*",Main_Tariff!A:A,0))),"Jump to Producer")</f>
        <v>Jump to Producer</v>
      </c>
    </row>
    <row r="408" spans="1:5" ht="14.5">
      <c r="A408" s="1178" t="s">
        <v>525</v>
      </c>
      <c r="B408" s="1178" t="s">
        <v>526</v>
      </c>
      <c r="C408" s="1178"/>
      <c r="D408" s="1178" t="s">
        <v>527</v>
      </c>
      <c r="E408" s="1051" t="str">
        <f t="array" ref="E408">HYPERLINK((("#Main_Tariff!A"&amp;MATCH("*Verdelho, Arinto dos Açores*",Main_Tariff!A:A,0))),"Jump to Producer")</f>
        <v>Jump to Producer</v>
      </c>
    </row>
    <row r="409" spans="1:5" ht="14.5">
      <c r="A409" s="1178" t="s">
        <v>525</v>
      </c>
      <c r="B409" s="1178" t="s">
        <v>528</v>
      </c>
      <c r="C409" s="1178"/>
      <c r="D409" s="1178" t="s">
        <v>529</v>
      </c>
      <c r="E409" s="1051" t="str">
        <f t="array" ref="E409">HYPERLINK((("#Main_Tariff!A"&amp;MATCH("*"&amp;LEFT(D409,10)&amp;"*",Main_Tariff!A:A,0))),"Jump to Producer")</f>
        <v>Jump to Producer</v>
      </c>
    </row>
    <row r="410" spans="1:5" ht="14.5">
      <c r="A410" s="1178" t="s">
        <v>525</v>
      </c>
      <c r="B410" s="1178" t="s">
        <v>528</v>
      </c>
      <c r="C410" s="1178"/>
      <c r="D410" s="1178" t="s">
        <v>530</v>
      </c>
      <c r="E410" s="1051" t="str">
        <f t="array" ref="E410">HYPERLINK((("#Main_Tariff!A"&amp;MATCH("*soils, loureiro gr*",Main_Tariff!A:A,0))),"Jump to Producer")</f>
        <v>Jump to Producer</v>
      </c>
    </row>
    <row r="411" spans="1:5" ht="14.5">
      <c r="A411" s="1178" t="s">
        <v>525</v>
      </c>
      <c r="B411" s="1178" t="s">
        <v>531</v>
      </c>
      <c r="C411" s="1178"/>
      <c r="D411" s="1178" t="s">
        <v>532</v>
      </c>
      <c r="E411" s="1051" t="str">
        <f t="array" ref="E411">HYPERLINK((("#Main_Tariff!A"&amp;MATCH("*"&amp;LEFT(D411,10)&amp;"*",Main_Tariff!A:A,0))),"Jump to Producer")</f>
        <v>Jump to Producer</v>
      </c>
    </row>
    <row r="412" spans="1:5" ht="14.5">
      <c r="A412" s="1178" t="s">
        <v>525</v>
      </c>
      <c r="B412" s="1178" t="s">
        <v>533</v>
      </c>
      <c r="C412" s="1178"/>
      <c r="D412" s="1178" t="s">
        <v>534</v>
      </c>
      <c r="E412" s="1051" t="str">
        <f t="array" ref="E412">HYPERLINK((("#Main_Tariff!A"&amp;MATCH(LEFT(D412,15)&amp;"*",Main_Tariff!A:A,0))),"Jump to Producer")</f>
        <v>Jump to Producer</v>
      </c>
    </row>
    <row r="413" spans="1:5" ht="14.5">
      <c r="A413" s="1178" t="s">
        <v>525</v>
      </c>
      <c r="B413" s="1178" t="s">
        <v>533</v>
      </c>
      <c r="C413" s="1178"/>
      <c r="D413" s="1178" t="s">
        <v>535</v>
      </c>
      <c r="E413" s="1051" t="str">
        <f t="array" ref="E413">HYPERLINK((("#Main_Tariff!A"&amp;MATCH("*"&amp;LEFT(D413,10)&amp;"*",Main_Tariff!A:A,0))),"Jump to Producer")</f>
        <v>Jump to Producer</v>
      </c>
    </row>
    <row r="414" spans="1:5" ht="14.5">
      <c r="A414" s="1178" t="s">
        <v>525</v>
      </c>
      <c r="B414" s="1178" t="s">
        <v>533</v>
      </c>
      <c r="C414" s="1178"/>
      <c r="D414" s="1178" t="s">
        <v>536</v>
      </c>
      <c r="E414" s="1051" t="str">
        <f t="array" ref="E414">HYPERLINK((("#Main_Tariff!A"&amp;MATCH("*"&amp;LEFT(D414,10)&amp;"*",Main_Tariff!A:A,0))),"Jump to Producer")</f>
        <v>Jump to Producer</v>
      </c>
    </row>
    <row r="415" spans="1:5" ht="14.5">
      <c r="A415" s="1178" t="s">
        <v>525</v>
      </c>
      <c r="B415" s="1178" t="s">
        <v>537</v>
      </c>
      <c r="C415" s="1178"/>
      <c r="D415" s="1178" t="s">
        <v>538</v>
      </c>
      <c r="E415" s="1051" t="str">
        <f t="array" ref="E415">HYPERLINK((("#Main_Tariff!A"&amp;MATCH(LEFT(D415,10)&amp;"*",Main_Tariff!A:A,0))),"Jump to Producer")</f>
        <v>Jump to Producer</v>
      </c>
    </row>
    <row r="416" spans="1:5" ht="14.5">
      <c r="A416" s="1178" t="s">
        <v>525</v>
      </c>
      <c r="B416" s="1178" t="s">
        <v>539</v>
      </c>
      <c r="C416" s="1178"/>
      <c r="D416" s="1178" t="s">
        <v>540</v>
      </c>
      <c r="E416" s="1051" t="str">
        <f t="array" ref="E416">HYPERLINK((("#Main_Tariff!A"&amp;MATCH("*"&amp;LEFT(D416,10)&amp;"*",Main_Tariff!A:A,0))),"Jump to Producer")</f>
        <v>Jump to Producer</v>
      </c>
    </row>
    <row r="417" spans="1:5" ht="14.5">
      <c r="A417" s="1178" t="s">
        <v>525</v>
      </c>
      <c r="B417" s="1178" t="s">
        <v>539</v>
      </c>
      <c r="C417" s="1178"/>
      <c r="D417" s="1178" t="s">
        <v>541</v>
      </c>
      <c r="E417" s="1051" t="str">
        <f t="array" ref="E417">HYPERLINK((("#Main_Tariff!A"&amp;MATCH("*"&amp;LEFT(D417,10)&amp;"*",Main_Tariff!A:A,0))),"Jump to Producer")</f>
        <v>Jump to Producer</v>
      </c>
    </row>
    <row r="418" spans="1:5" ht="14.5">
      <c r="A418" s="1178" t="s">
        <v>525</v>
      </c>
      <c r="B418" s="1178" t="s">
        <v>542</v>
      </c>
      <c r="C418" s="1178"/>
      <c r="D418" s="1178" t="s">
        <v>543</v>
      </c>
      <c r="E418" s="1051" t="str">
        <f t="array" ref="E418">HYPERLINK((("#Main_Tariff!A"&amp;MATCH("*"&amp;LEFT(D418,10)&amp;"*",Main_Tariff!A:A,0))),"Jump to Producer")</f>
        <v>Jump to Producer</v>
      </c>
    </row>
    <row r="419" spans="1:5" ht="14.5">
      <c r="A419" s="1178" t="s">
        <v>525</v>
      </c>
      <c r="B419" s="1178" t="s">
        <v>542</v>
      </c>
      <c r="C419" s="1178"/>
      <c r="D419" s="1178" t="s">
        <v>544</v>
      </c>
      <c r="E419" s="1051" t="str">
        <f t="array" ref="E419">HYPERLINK((("#Main_Tariff!A"&amp;MATCH("*"&amp;LEFT(D419,6)&amp;"*",Main_Tariff!A:A,0))),"Jump to Producer")</f>
        <v>Jump to Producer</v>
      </c>
    </row>
    <row r="420" spans="1:5" ht="14.5">
      <c r="A420" s="1178" t="s">
        <v>545</v>
      </c>
      <c r="B420" s="1178" t="s">
        <v>546</v>
      </c>
      <c r="C420" s="1178"/>
      <c r="D420" s="1178" t="s">
        <v>547</v>
      </c>
      <c r="E420" s="1051" t="str">
        <f t="array" ref="E420">HYPERLINK((("#Main_Tariff!A"&amp;MATCH(LEFT(D420,10)&amp;"*",Main_Tariff!A:A,0))),"Jump to Producer")</f>
        <v>Jump to Producer</v>
      </c>
    </row>
    <row r="421" spans="1:5" ht="14.5">
      <c r="A421" s="1178" t="s">
        <v>545</v>
      </c>
      <c r="B421" s="1178" t="s">
        <v>546</v>
      </c>
      <c r="C421" s="1178"/>
      <c r="D421" s="1178" t="s">
        <v>548</v>
      </c>
      <c r="E421" s="1051" t="str">
        <f t="array" ref="E421">HYPERLINK((("#Main_Tariff!A"&amp;MATCH("*"&amp;LEFT(D421,10)&amp;"*",Main_Tariff!A:A,0))),"Jump to Producer")</f>
        <v>Jump to Producer</v>
      </c>
    </row>
    <row r="422" spans="1:5" ht="14.5">
      <c r="A422" s="1178" t="s">
        <v>545</v>
      </c>
      <c r="B422" s="1178" t="s">
        <v>546</v>
      </c>
      <c r="C422" s="1178"/>
      <c r="D422" s="1178" t="s">
        <v>549</v>
      </c>
      <c r="E422" s="1051" t="str">
        <f t="array" ref="E422">HYPERLINK((("#Main_Tariff!A"&amp;MATCH("*"&amp;LEFT(D422,10)&amp;"*",Main_Tariff!A:A,0))),"Jump to Producer")</f>
        <v>Jump to Producer</v>
      </c>
    </row>
    <row r="423" spans="1:5" ht="14.5">
      <c r="A423" s="1178" t="s">
        <v>545</v>
      </c>
      <c r="B423" s="1178" t="s">
        <v>546</v>
      </c>
      <c r="C423" s="1178"/>
      <c r="D423" s="1178" t="s">
        <v>550</v>
      </c>
      <c r="E423" s="1051" t="str">
        <f t="array" ref="E423">HYPERLINK((("#Main_Tariff!A"&amp;MATCH("*"&amp;LEFT(D423,10)&amp;"*",Main_Tariff!A:A,0))),"Jump to Producer")</f>
        <v>Jump to Producer</v>
      </c>
    </row>
    <row r="424" spans="1:5" ht="14.5">
      <c r="A424" s="1178" t="s">
        <v>545</v>
      </c>
      <c r="B424" s="1178" t="s">
        <v>546</v>
      </c>
      <c r="C424" s="1178"/>
      <c r="D424" s="1178" t="s">
        <v>551</v>
      </c>
      <c r="E424" s="1051" t="str">
        <f t="array" ref="E424">HYPERLINK((("#Main_Tariff!A"&amp;MATCH(LEFT(D424,10)&amp;"*",Main_Tariff!A:A,0))),"Jump to Producer")</f>
        <v>Jump to Producer</v>
      </c>
    </row>
    <row r="425" spans="1:5" ht="14.5">
      <c r="A425" s="1178" t="s">
        <v>545</v>
      </c>
      <c r="B425" s="1178" t="s">
        <v>552</v>
      </c>
      <c r="C425" s="1178"/>
      <c r="D425" s="1178" t="s">
        <v>553</v>
      </c>
      <c r="E425" s="1051" t="str">
        <f t="array" ref="E425">HYPERLINK((("#Main_Tariff!A"&amp;MATCH("*"&amp;LEFT(D425,10)&amp;"*",Main_Tariff!A:A,0))),"Jump to Producer")</f>
        <v>Jump to Producer</v>
      </c>
    </row>
    <row r="426" spans="1:5" ht="14.5">
      <c r="A426" s="1178" t="s">
        <v>545</v>
      </c>
      <c r="B426" s="1178" t="s">
        <v>554</v>
      </c>
      <c r="C426" s="1178"/>
      <c r="D426" s="1178" t="s">
        <v>555</v>
      </c>
      <c r="E426" s="1051" t="str">
        <f t="array" ref="E426">HYPERLINK((("#Main_Tariff!A"&amp;MATCH("*"&amp;LEFT(D426,10)&amp;"*",Main_Tariff!A:A,0))),"Jump to Producer")</f>
        <v>Jump to Producer</v>
      </c>
    </row>
    <row r="427" spans="1:5" ht="14.5">
      <c r="A427" s="1178" t="s">
        <v>545</v>
      </c>
      <c r="B427" s="1178" t="s">
        <v>556</v>
      </c>
      <c r="C427" s="1178"/>
      <c r="D427" s="1178" t="s">
        <v>557</v>
      </c>
      <c r="E427" s="1051" t="str">
        <f t="array" ref="E427">HYPERLINK((("#Main_Tariff!A"&amp;MATCH(LEFT(D427,10)&amp;"*",Main_Tariff!A:A,0))),"Jump to Producer")</f>
        <v>Jump to Producer</v>
      </c>
    </row>
    <row r="428" spans="1:5" ht="14.5">
      <c r="A428" s="1178" t="s">
        <v>558</v>
      </c>
      <c r="B428" s="1178" t="s">
        <v>559</v>
      </c>
      <c r="C428" s="1178"/>
      <c r="D428" s="1178" t="s">
        <v>560</v>
      </c>
      <c r="E428" s="1051" t="str">
        <f t="array" ref="E428">HYPERLINK((("#Main_Tariff!A"&amp;MATCH("*"&amp;LEFT(D428,10)&amp;"*",Main_Tariff!A:A,0))),"Jump to Producer")</f>
        <v>Jump to Producer</v>
      </c>
    </row>
    <row r="429" spans="1:5" ht="14.5">
      <c r="A429" s="1178" t="s">
        <v>558</v>
      </c>
      <c r="B429" s="1178" t="s">
        <v>559</v>
      </c>
      <c r="C429" s="1178"/>
      <c r="D429" s="1178" t="s">
        <v>561</v>
      </c>
      <c r="E429" s="1051" t="str">
        <f t="array" ref="E429">HYPERLINK((("#Main_Tariff!A"&amp;MATCH("*"&amp;LEFT(D429,10)&amp;"*",Main_Tariff!A:A,0))),"Jump to Producer")</f>
        <v>Jump to Producer</v>
      </c>
    </row>
    <row r="430" spans="1:5" ht="14.5">
      <c r="A430" s="1178" t="s">
        <v>558</v>
      </c>
      <c r="B430" s="1178" t="s">
        <v>559</v>
      </c>
      <c r="C430" s="1178"/>
      <c r="D430" s="1178" t="s">
        <v>562</v>
      </c>
      <c r="E430" s="1051" t="str">
        <f t="array" ref="E430">HYPERLINK((("#Main_Tariff!A"&amp;MATCH("*"&amp;LEFT(D430,10)&amp;"*",Main_Tariff!A:A,0))),"Jump to Producer")</f>
        <v>Jump to Producer</v>
      </c>
    </row>
    <row r="431" spans="1:5" ht="14.5">
      <c r="A431" s="1178" t="s">
        <v>558</v>
      </c>
      <c r="B431" s="1178" t="s">
        <v>559</v>
      </c>
      <c r="C431" s="1178"/>
      <c r="D431" s="1178" t="s">
        <v>563</v>
      </c>
      <c r="E431" s="1051" t="str">
        <f t="array" ref="E431">HYPERLINK((("#Main_Tariff!A"&amp;MATCH("*"&amp;LEFT(D431,10)&amp;"*",Main_Tariff!A:A,0))),"Jump to Producer")</f>
        <v>Jump to Producer</v>
      </c>
    </row>
    <row r="432" spans="1:5" ht="14.5">
      <c r="A432" s="1178" t="s">
        <v>558</v>
      </c>
      <c r="B432" s="1178" t="s">
        <v>559</v>
      </c>
      <c r="C432" s="1178"/>
      <c r="D432" s="1178" t="s">
        <v>564</v>
      </c>
      <c r="E432" s="1051" t="str">
        <f t="array" ref="E432">HYPERLINK((("#Main_Tariff!A"&amp;MATCH("*"&amp;LEFT(D432,10)&amp;"*",Main_Tariff!A:A,0))),"Jump to Producer")</f>
        <v>Jump to Producer</v>
      </c>
    </row>
    <row r="433" spans="1:5" ht="14.5">
      <c r="A433" s="1178" t="s">
        <v>558</v>
      </c>
      <c r="B433" s="1178" t="s">
        <v>559</v>
      </c>
      <c r="C433" s="1178"/>
      <c r="D433" s="1178" t="s">
        <v>565</v>
      </c>
      <c r="E433" s="1051" t="str">
        <f t="array" ref="E433">HYPERLINK((("#Main_Tariff!A"&amp;MATCH("*"&amp;LEFT(D433,10)&amp;"*",Main_Tariff!A:A,0))),"Jump to Producer")</f>
        <v>Jump to Producer</v>
      </c>
    </row>
    <row r="434" spans="1:5" ht="14.5">
      <c r="A434" s="1178" t="s">
        <v>558</v>
      </c>
      <c r="B434" s="1178" t="s">
        <v>559</v>
      </c>
      <c r="C434" s="1178"/>
      <c r="D434" s="1178" t="s">
        <v>566</v>
      </c>
      <c r="E434" s="1051" t="str">
        <f t="array" ref="E434">HYPERLINK((("#Main_Tariff!A"&amp;MATCH("*"&amp;LEFT(D434,10)&amp;"*",Main_Tariff!A:A,0))),"Jump to Producer")</f>
        <v>Jump to Producer</v>
      </c>
    </row>
    <row r="435" spans="1:5" ht="14.5">
      <c r="A435" s="1178" t="s">
        <v>558</v>
      </c>
      <c r="B435" s="1178" t="s">
        <v>559</v>
      </c>
      <c r="C435" s="1178"/>
      <c r="D435" s="1178" t="s">
        <v>567</v>
      </c>
      <c r="E435" s="1051" t="str">
        <f t="array" ref="E435">HYPERLINK((("#Main_Tariff!A"&amp;MATCH("*"&amp;LEFT(D435,10)&amp;"*",Main_Tariff!A:A,0))),"Jump to Producer")</f>
        <v>Jump to Producer</v>
      </c>
    </row>
    <row r="436" spans="1:5" ht="14.5">
      <c r="A436" s="1178" t="s">
        <v>558</v>
      </c>
      <c r="B436" s="1178" t="s">
        <v>568</v>
      </c>
      <c r="C436" s="1178"/>
      <c r="D436" s="1178" t="s">
        <v>569</v>
      </c>
      <c r="E436" s="1051" t="str">
        <f t="array" ref="E436">HYPERLINK((("#Main_Tariff!A"&amp;MATCH("*"&amp;LEFT(D436,7)&amp;"*",Main_Tariff!A:A,0))),"Jump to Producer")</f>
        <v>Jump to Producer</v>
      </c>
    </row>
    <row r="437" spans="1:5" ht="14.5">
      <c r="A437" s="1178" t="s">
        <v>558</v>
      </c>
      <c r="B437" s="1178" t="s">
        <v>570</v>
      </c>
      <c r="C437" s="1178"/>
      <c r="D437" s="1178" t="s">
        <v>571</v>
      </c>
      <c r="E437" s="1051" t="str">
        <f t="array" ref="E437">HYPERLINK((("#Main_Tariff!A"&amp;MATCH("*"&amp;LEFT(D437,10)&amp;"*",Main_Tariff!A:A,0))),"Jump to Producer")</f>
        <v>Jump to Producer</v>
      </c>
    </row>
    <row r="438" spans="1:5" ht="14.5">
      <c r="A438" s="1178" t="s">
        <v>558</v>
      </c>
      <c r="B438" s="1178" t="s">
        <v>572</v>
      </c>
      <c r="C438" s="1178"/>
      <c r="D438" s="1178" t="s">
        <v>573</v>
      </c>
      <c r="E438" s="1051" t="str">
        <f t="array" ref="E438">HYPERLINK((("#Main_Tariff!A"&amp;MATCH("*"&amp;LEFT(D438,10)&amp;"*",Main_Tariff!A:A,0))),"Jump to Producer")</f>
        <v>Jump to Producer</v>
      </c>
    </row>
    <row r="439" spans="1:5" ht="14.5">
      <c r="A439" s="1178" t="s">
        <v>574</v>
      </c>
      <c r="B439" s="1178" t="s">
        <v>575</v>
      </c>
      <c r="C439" s="1178"/>
      <c r="D439" s="1178" t="s">
        <v>576</v>
      </c>
      <c r="E439" s="1051" t="str">
        <f t="array" ref="E439">HYPERLINK((("#Main_Tariff!A"&amp;MATCH("*"&amp;LEFT(D439,10)&amp;"*",Main_Tariff!A:A,0))),"Jump to Producer")</f>
        <v>Jump to Producer</v>
      </c>
    </row>
    <row r="440" spans="1:5" ht="14.5">
      <c r="A440" s="1178" t="s">
        <v>574</v>
      </c>
      <c r="B440" s="1178" t="s">
        <v>575</v>
      </c>
      <c r="C440" s="1178"/>
      <c r="D440" s="1178" t="s">
        <v>577</v>
      </c>
      <c r="E440" s="1051" t="str">
        <f t="array" ref="E440">HYPERLINK((("#Main_Tariff!A"&amp;MATCH("*"&amp;LEFT(D440,10)&amp;"*",Main_Tariff!A:A,0))),"Jump to Producer")</f>
        <v>Jump to Producer</v>
      </c>
    </row>
    <row r="441" spans="1:5" ht="14.5">
      <c r="A441" s="1178" t="s">
        <v>578</v>
      </c>
      <c r="B441" s="1178" t="s">
        <v>579</v>
      </c>
      <c r="C441" s="1178"/>
      <c r="D441" s="1178" t="s">
        <v>580</v>
      </c>
      <c r="E441" s="1051" t="str">
        <f t="array" ref="E441">HYPERLINK((("#Main_Tariff!A"&amp;MATCH("*"&amp;LEFT(D441,10)&amp;"*",Main_Tariff!A:A,0))),"Jump to Producer")</f>
        <v>Jump to Producer</v>
      </c>
    </row>
    <row r="442" spans="1:5" ht="14.5">
      <c r="A442" s="1178" t="s">
        <v>581</v>
      </c>
      <c r="B442" s="1178" t="s">
        <v>582</v>
      </c>
      <c r="C442" s="1178"/>
      <c r="D442" s="1178" t="s">
        <v>583</v>
      </c>
      <c r="E442" s="1051" t="str">
        <f t="array" ref="E442">HYPERLINK((("#Main_Tariff!A"&amp;MATCH("*"&amp;LEFT(D442,10)&amp;"*",Main_Tariff!A:A,0))),"Jump to Producer")</f>
        <v>Jump to Producer</v>
      </c>
    </row>
    <row r="443" spans="1:5" ht="14.5">
      <c r="A443" s="1178" t="s">
        <v>584</v>
      </c>
      <c r="B443" s="1178" t="s">
        <v>585</v>
      </c>
      <c r="C443" s="1178" t="s">
        <v>586</v>
      </c>
      <c r="D443" s="1178" t="s">
        <v>587</v>
      </c>
      <c r="E443" s="1051" t="str">
        <f t="array" ref="E443">HYPERLINK((("#Main_Tariff!A"&amp;MATCH(LEFT(D443,10)&amp;"*",Main_Tariff!A:A,0))),"Jump to Producer")</f>
        <v>Jump to Producer</v>
      </c>
    </row>
    <row r="444" spans="1:5" ht="14.5">
      <c r="A444" s="1178" t="s">
        <v>584</v>
      </c>
      <c r="B444" s="1178" t="s">
        <v>585</v>
      </c>
      <c r="C444" s="1178" t="s">
        <v>586</v>
      </c>
      <c r="D444" s="1178" t="s">
        <v>588</v>
      </c>
      <c r="E444" s="1051" t="str">
        <f t="array" ref="E444">HYPERLINK((("#Main_Tariff!A"&amp;MATCH("*"&amp;LEFT(D444,10)&amp;"*",Main_Tariff!A:A,0))),"Jump to Producer")</f>
        <v>Jump to Producer</v>
      </c>
    </row>
    <row r="445" spans="1:5" ht="14.5">
      <c r="A445" s="1178" t="s">
        <v>584</v>
      </c>
      <c r="B445" s="1178" t="s">
        <v>585</v>
      </c>
      <c r="C445" s="1178" t="s">
        <v>589</v>
      </c>
      <c r="D445" s="1178" t="s">
        <v>590</v>
      </c>
      <c r="E445" s="1051" t="str">
        <f t="array" ref="E445">HYPERLINK((("#Main_Tariff!A"&amp;MATCH("*"&amp;LEFT(D445,10)&amp;"*",Main_Tariff!A:A,0))),"Jump to Producer")</f>
        <v>Jump to Producer</v>
      </c>
    </row>
    <row r="446" spans="1:5" ht="14.5">
      <c r="A446" s="1178" t="s">
        <v>584</v>
      </c>
      <c r="B446" s="1178" t="s">
        <v>585</v>
      </c>
      <c r="C446" s="1178" t="s">
        <v>589</v>
      </c>
      <c r="D446" s="1178" t="s">
        <v>591</v>
      </c>
      <c r="E446" s="1051" t="str">
        <f t="array" ref="E446">HYPERLINK((("#Main_Tariff!A"&amp;MATCH("*"&amp;LEFT(D446,10)&amp;"*",Main_Tariff!A:A,0))),"Jump to Producer")</f>
        <v>Jump to Producer</v>
      </c>
    </row>
    <row r="447" spans="1:5" ht="14.5">
      <c r="A447" s="1178" t="s">
        <v>584</v>
      </c>
      <c r="B447" s="1178" t="s">
        <v>585</v>
      </c>
      <c r="C447" s="1178" t="s">
        <v>589</v>
      </c>
      <c r="D447" s="1178" t="s">
        <v>592</v>
      </c>
      <c r="E447" s="1051" t="str">
        <f t="array" ref="E447">HYPERLINK((("#Main_Tariff!A"&amp;MATCH("*"&amp;LEFT(D447,10)&amp;"*",Main_Tariff!A:A,0))),"Jump to Producer")</f>
        <v>Jump to Producer</v>
      </c>
    </row>
    <row r="448" spans="1:5" ht="14.5">
      <c r="A448" s="1178" t="s">
        <v>584</v>
      </c>
      <c r="B448" s="1178" t="s">
        <v>593</v>
      </c>
      <c r="C448" s="1178" t="s">
        <v>594</v>
      </c>
      <c r="D448" s="1178" t="s">
        <v>595</v>
      </c>
      <c r="E448" s="1051" t="str">
        <f t="array" ref="E448">HYPERLINK((("#Main_Tariff!A"&amp;MATCH("*"&amp;LEFT(D448,10)&amp;"*",Main_Tariff!A:A,0))),"Jump to Producer")</f>
        <v>Jump to Producer</v>
      </c>
    </row>
    <row r="449" spans="1:5" ht="14.5">
      <c r="A449" s="1178" t="s">
        <v>584</v>
      </c>
      <c r="B449" s="1178" t="s">
        <v>596</v>
      </c>
      <c r="C449" s="1178"/>
      <c r="D449" s="1178" t="s">
        <v>597</v>
      </c>
      <c r="E449" s="1051" t="str">
        <f t="array" ref="E449">HYPERLINK((("#Main_Tariff!A"&amp;MATCH("*"&amp;LEFT(D449,10)&amp;"*",Main_Tariff!A:A,0))),"Jump to Producer")</f>
        <v>Jump to Producer</v>
      </c>
    </row>
    <row r="450" spans="1:5" ht="14.5">
      <c r="A450" s="1178" t="s">
        <v>598</v>
      </c>
      <c r="B450" s="1178" t="s">
        <v>599</v>
      </c>
      <c r="C450" s="1178" t="s">
        <v>600</v>
      </c>
      <c r="D450" s="1178" t="s">
        <v>601</v>
      </c>
      <c r="E450" s="1051" t="str">
        <f t="array" ref="E450">HYPERLINK((("#Main_Tariff!A"&amp;MATCH("*"&amp;LEFT(D450,10)&amp;"*",Main_Tariff!A:A,0))),"Jump to Producer")</f>
        <v>Jump to Producer</v>
      </c>
    </row>
    <row r="451" spans="1:5" ht="14.5">
      <c r="A451" s="1178" t="s">
        <v>598</v>
      </c>
      <c r="B451" s="1178" t="s">
        <v>599</v>
      </c>
      <c r="C451" s="1178" t="s">
        <v>600</v>
      </c>
      <c r="D451" s="1178" t="s">
        <v>602</v>
      </c>
      <c r="E451" s="1051" t="str">
        <f t="array" ref="E451">HYPERLINK((("#Main_Tariff!A"&amp;MATCH(LEFT(D451,10)&amp;"*",Main_Tariff!A:A,0))),"Jump to Producer")</f>
        <v>Jump to Producer</v>
      </c>
    </row>
    <row r="452" spans="1:5" ht="14.5">
      <c r="A452" s="1178" t="s">
        <v>598</v>
      </c>
      <c r="B452" s="1178" t="s">
        <v>603</v>
      </c>
      <c r="C452" s="1178" t="s">
        <v>604</v>
      </c>
      <c r="D452" s="1178" t="s">
        <v>605</v>
      </c>
      <c r="E452" s="1051" t="str">
        <f t="array" ref="E452">HYPERLINK((("#Main_Tariff!A"&amp;MATCH("*"&amp;LEFT(D452,10)&amp;"*",Main_Tariff!A:A,0))),"Jump to Producer")</f>
        <v>Jump to Producer</v>
      </c>
    </row>
    <row r="453" spans="1:5" ht="14.5">
      <c r="A453" s="1178" t="s">
        <v>598</v>
      </c>
      <c r="B453" s="1178" t="s">
        <v>603</v>
      </c>
      <c r="C453" s="1178" t="s">
        <v>606</v>
      </c>
      <c r="D453" s="1178" t="s">
        <v>607</v>
      </c>
      <c r="E453" s="1051" t="str">
        <f t="array" ref="E453">HYPERLINK((("#Main_Tariff!A"&amp;MATCH("*"&amp;LEFT(D453,10)&amp;"*",Main_Tariff!A:A,0))),"Jump to Producer")</f>
        <v>Jump to Producer</v>
      </c>
    </row>
    <row r="454" spans="1:5" ht="14.5">
      <c r="A454" s="1178" t="s">
        <v>598</v>
      </c>
      <c r="B454" s="1178" t="s">
        <v>603</v>
      </c>
      <c r="C454" s="1178" t="s">
        <v>606</v>
      </c>
      <c r="D454" s="1178" t="s">
        <v>608</v>
      </c>
      <c r="E454" s="1051" t="str">
        <f t="array" ref="E454">HYPERLINK((("#Main_Tariff!A"&amp;MATCH("*"&amp;LEFT(D454,10)&amp;"*",Main_Tariff!A:A,0))),"Jump to Producer")</f>
        <v>Jump to Producer</v>
      </c>
    </row>
    <row r="455" spans="1:5" ht="14.5">
      <c r="A455" s="1178" t="s">
        <v>609</v>
      </c>
      <c r="B455" s="1178" t="s">
        <v>610</v>
      </c>
      <c r="C455" s="1178" t="s">
        <v>611</v>
      </c>
      <c r="D455" s="1178" t="s">
        <v>612</v>
      </c>
      <c r="E455" s="1051" t="str">
        <f t="array" ref="E455">HYPERLINK((("#Main_Tariff!A"&amp;MATCH("*"&amp;LEFT(D455,10)&amp;"*",Main_Tariff!A:A,0))),"Jump to Producer")</f>
        <v>Jump to Producer</v>
      </c>
    </row>
    <row r="456" spans="1:5" ht="14.5">
      <c r="A456" s="1178" t="s">
        <v>609</v>
      </c>
      <c r="B456" s="1178" t="s">
        <v>613</v>
      </c>
      <c r="C456" s="1178" t="s">
        <v>614</v>
      </c>
      <c r="D456" s="1286" t="s">
        <v>615</v>
      </c>
      <c r="E456" s="1051" t="str">
        <f t="array" ref="E456">HYPERLINK((("#Main_Tariff!A"&amp;MATCH("*"&amp;LEFT(D456,10)&amp;"*",Main_Tariff!A:A,0))),"Jump to Producer")</f>
        <v>Jump to Producer</v>
      </c>
    </row>
    <row r="457" spans="1:5" ht="14.5">
      <c r="A457" s="1178" t="s">
        <v>609</v>
      </c>
      <c r="B457" s="1178" t="s">
        <v>613</v>
      </c>
      <c r="C457" s="1178" t="s">
        <v>614</v>
      </c>
      <c r="D457" s="1178" t="s">
        <v>616</v>
      </c>
      <c r="E457" s="1051" t="str">
        <f t="array" ref="E457">HYPERLINK((("#Main_Tariff!A"&amp;MATCH(D457,Main_Tariff!A:A,0))),"Jump to Producer")</f>
        <v>Jump to Producer</v>
      </c>
    </row>
    <row r="458" spans="1:5" ht="14.5">
      <c r="A458" s="1178" t="s">
        <v>609</v>
      </c>
      <c r="B458" s="1178" t="s">
        <v>613</v>
      </c>
      <c r="C458" s="1178" t="s">
        <v>614</v>
      </c>
      <c r="D458" s="1178" t="s">
        <v>617</v>
      </c>
      <c r="E458" s="1051" t="str">
        <f t="array" ref="E458">HYPERLINK((("#Main_Tariff!A"&amp;MATCH("*"&amp;LEFT(D458,10)&amp;"*",Main_Tariff!A:A,0))),"Jump to Producer")</f>
        <v>Jump to Producer</v>
      </c>
    </row>
    <row r="459" spans="1:5" ht="14.5">
      <c r="A459" s="1178" t="s">
        <v>609</v>
      </c>
      <c r="B459" s="1178" t="s">
        <v>613</v>
      </c>
      <c r="C459" s="1178" t="s">
        <v>618</v>
      </c>
      <c r="D459" s="1178" t="s">
        <v>619</v>
      </c>
      <c r="E459" s="1051" t="str">
        <f t="array" ref="E459">HYPERLINK((("#Main_Tariff!A"&amp;MATCH("*"&amp;LEFT(D459,10)&amp;"*",Main_Tariff!A:A,0))),"Jump to Producer")</f>
        <v>Jump to Producer</v>
      </c>
    </row>
    <row r="460" spans="1:5" ht="14.5">
      <c r="A460" s="1178" t="s">
        <v>620</v>
      </c>
      <c r="B460" s="1178" t="s">
        <v>621</v>
      </c>
      <c r="C460" s="1178"/>
      <c r="D460" s="1178" t="s">
        <v>622</v>
      </c>
      <c r="E460" s="1051" t="str">
        <f t="array" ref="E460">HYPERLINK((("#Main_Tariff!A"&amp;MATCH("*"&amp;LEFT(D460,10)&amp;"*",Main_Tariff!A:A,0))),"Jump to Producer")</f>
        <v>Jump to Producer</v>
      </c>
    </row>
    <row r="461" spans="1:5" ht="14.5">
      <c r="A461" s="1178" t="s">
        <v>620</v>
      </c>
      <c r="B461" s="1178" t="s">
        <v>623</v>
      </c>
      <c r="C461" s="1178"/>
      <c r="D461" s="1178" t="s">
        <v>624</v>
      </c>
      <c r="E461" s="1051" t="str">
        <f t="array" ref="E461">HYPERLINK((("#Main_Tariff!A"&amp;MATCH("*"&amp;LEFT(D461,10)&amp;"*",Main_Tariff!A:A,0))),"Jump to Producer")</f>
        <v>Jump to Producer</v>
      </c>
    </row>
    <row r="462" spans="1:5" ht="14.5">
      <c r="A462" s="1178" t="s">
        <v>620</v>
      </c>
      <c r="B462" s="1178" t="s">
        <v>623</v>
      </c>
      <c r="C462" s="1178"/>
      <c r="D462" s="1178" t="s">
        <v>625</v>
      </c>
      <c r="E462" s="1051" t="str">
        <f t="array" ref="E462">HYPERLINK((("#Main_Tariff!A"&amp;MATCH("*"&amp;LEFT(D462,10)&amp;"*",Main_Tariff!A:A,0))),"Jump to Producer")</f>
        <v>Jump to Producer</v>
      </c>
    </row>
    <row r="463" spans="1:5" ht="14.5">
      <c r="A463" s="1178" t="s">
        <v>620</v>
      </c>
      <c r="B463" s="1178" t="s">
        <v>623</v>
      </c>
      <c r="C463" s="1178"/>
      <c r="D463" s="1178" t="s">
        <v>626</v>
      </c>
      <c r="E463" s="1051" t="str">
        <f t="array" ref="E463">HYPERLINK((("#Main_Tariff!A"&amp;MATCH("*"&amp;LEFT(D463,10)&amp;"*",Main_Tariff!A:A,0))),"Jump to Producer")</f>
        <v>Jump to Producer</v>
      </c>
    </row>
    <row r="464" spans="1:5" ht="14.5">
      <c r="A464" s="1178" t="s">
        <v>620</v>
      </c>
      <c r="B464" s="1178" t="s">
        <v>627</v>
      </c>
      <c r="C464" s="1178"/>
      <c r="D464" s="1178" t="s">
        <v>628</v>
      </c>
      <c r="E464" s="1051" t="str">
        <f t="array" ref="E464">HYPERLINK((("#Main_Tariff!A"&amp;MATCH("*"&amp;LEFT(D464,10)&amp;"*",Main_Tariff!A:A,0))),"Jump to Producer")</f>
        <v>Jump to Producer</v>
      </c>
    </row>
    <row r="465" spans="1:5" ht="14.5">
      <c r="A465" s="1178" t="s">
        <v>620</v>
      </c>
      <c r="B465" s="1178" t="s">
        <v>629</v>
      </c>
      <c r="C465" s="1178"/>
      <c r="D465" s="1178" t="s">
        <v>630</v>
      </c>
      <c r="E465" s="1051" t="str">
        <f t="array" ref="E465">HYPERLINK((("#Main_Tariff!A"&amp;MATCH("*"&amp;LEFT(D465,10)&amp;"*",Main_Tariff!A:A,0))),"Jump to Producer")</f>
        <v>Jump to Producer</v>
      </c>
    </row>
    <row r="466" spans="1:5" ht="14.5">
      <c r="A466" s="1178" t="s">
        <v>631</v>
      </c>
      <c r="B466" s="1178" t="s">
        <v>632</v>
      </c>
      <c r="C466" s="1178" t="s">
        <v>633</v>
      </c>
      <c r="D466" s="1178"/>
      <c r="E466" s="1051" t="str">
        <f t="array" ref="E466">HYPERLINK((("#Main_Tariff!B"&amp;MATCH("*"&amp;"sake glossary"&amp;"*",Main_Tariff!B:B,0))),"Jump to Section")</f>
        <v>Jump to Section</v>
      </c>
    </row>
    <row r="467" spans="1:5" ht="14.5">
      <c r="A467" s="1178" t="s">
        <v>631</v>
      </c>
      <c r="B467" s="1178" t="s">
        <v>632</v>
      </c>
      <c r="C467" s="1178" t="s">
        <v>634</v>
      </c>
      <c r="D467" s="1178"/>
      <c r="E467" s="1051" t="str">
        <f>HYPERLINK((("#Main_Tariff!B"&amp;MATCH("*"&amp;C467&amp;"*",Main_Tariff!B:B,0))),"Jump to Section")</f>
        <v>Jump to Section</v>
      </c>
    </row>
    <row r="468" spans="1:5" ht="14.5">
      <c r="A468" s="1178" t="s">
        <v>631</v>
      </c>
      <c r="B468" s="1178" t="s">
        <v>632</v>
      </c>
      <c r="C468" s="1178" t="s">
        <v>635</v>
      </c>
      <c r="D468" s="1178"/>
      <c r="E468" s="1051" t="str">
        <f>HYPERLINK((("#Main_Tariff!B"&amp;MATCH("*fruity*",Main_Tariff!B:B,0))),"Jump to Section")</f>
        <v>Jump to Section</v>
      </c>
    </row>
    <row r="469" spans="1:5" ht="14.5">
      <c r="A469" s="1178" t="s">
        <v>631</v>
      </c>
      <c r="B469" s="1178" t="s">
        <v>632</v>
      </c>
      <c r="C469" s="1178" t="s">
        <v>636</v>
      </c>
      <c r="D469" s="1178"/>
      <c r="E469" s="1051" t="str">
        <f>HYPERLINK((("#Main_Tariff!B"&amp;MATCH("*"&amp;C469&amp;"*",Main_Tariff!B:B,0))),"Jump to Section")</f>
        <v>Jump to Section</v>
      </c>
    </row>
    <row r="470" spans="1:5" ht="14.5">
      <c r="A470" s="1178" t="s">
        <v>631</v>
      </c>
      <c r="B470" s="1178" t="s">
        <v>632</v>
      </c>
      <c r="C470" s="1178" t="s">
        <v>637</v>
      </c>
      <c r="D470" s="1178"/>
      <c r="E470" s="1051" t="str">
        <f>HYPERLINK((("#Main_Tariff!B"&amp;MATCH("*"&amp;C470&amp;" styles*",Main_Tariff!B:B,0))),"Jump to Section")</f>
        <v>Jump to Section</v>
      </c>
    </row>
    <row r="471" spans="1:5" ht="14.5">
      <c r="A471" s="1178" t="s">
        <v>631</v>
      </c>
      <c r="B471" s="1178" t="s">
        <v>632</v>
      </c>
      <c r="C471" s="1178" t="s">
        <v>638</v>
      </c>
      <c r="D471" s="1178"/>
      <c r="E471" s="1051" t="str">
        <f>HYPERLINK((("#Main_Tariff!B"&amp;MATCH("*'"&amp;C471&amp;"' style*",Main_Tariff!B:B,0))),"Jump to Section")</f>
        <v>Jump to Section</v>
      </c>
    </row>
    <row r="472" spans="1:5" ht="14.5">
      <c r="A472" s="1178" t="s">
        <v>631</v>
      </c>
      <c r="B472" s="1178" t="s">
        <v>632</v>
      </c>
      <c r="C472" s="1178" t="s">
        <v>639</v>
      </c>
      <c r="D472" s="1178"/>
      <c r="E472" s="1051" t="str">
        <f>HYPERLINK((("#Main_Tariff!B"&amp;MATCH("*"&amp;C472&amp;"*",Main_Tariff!B:B,0))),"Jump to Section")</f>
        <v>Jump to Section</v>
      </c>
    </row>
    <row r="473" spans="1:5" ht="14.5">
      <c r="A473" s="1178" t="s">
        <v>631</v>
      </c>
      <c r="B473" s="1178" t="s">
        <v>632</v>
      </c>
      <c r="C473" s="1178" t="s">
        <v>640</v>
      </c>
      <c r="D473" s="1178"/>
      <c r="E473" s="1051" t="str">
        <f>HYPERLINK((("#Main_Tariff!B"&amp;MATCH("*"&amp;C473&amp;"*",Main_Tariff!B:B,0))),"Jump to Section")</f>
        <v>Jump to Section</v>
      </c>
    </row>
    <row r="474" spans="1:5" ht="14.5">
      <c r="A474" s="1178" t="s">
        <v>631</v>
      </c>
      <c r="B474" s="1178" t="s">
        <v>632</v>
      </c>
      <c r="C474" s="1178" t="s">
        <v>641</v>
      </c>
      <c r="D474" s="1178"/>
      <c r="E474" s="1051" t="str">
        <f>HYPERLINK((("#Main_Tariff!B"&amp;MATCH("*"&amp;C474&amp;"*",Main_Tariff!B:B,0))),"Jump to Section")</f>
        <v>Jump to Section</v>
      </c>
    </row>
    <row r="475" spans="1:5" ht="14.5">
      <c r="A475" s="1178" t="s">
        <v>631</v>
      </c>
      <c r="B475" s="1178" t="s">
        <v>632</v>
      </c>
      <c r="C475" s="1178" t="s">
        <v>642</v>
      </c>
      <c r="D475" s="1178"/>
      <c r="E475" s="1051" t="str">
        <f>HYPERLINK((("#Main_Tariff!B"&amp;MATCH("*"&amp;C475&amp;"-aged*",Main_Tariff!B:B,0))),"Jump to Section")</f>
        <v>Jump to Section</v>
      </c>
    </row>
    <row r="476" spans="1:5" ht="14.5">
      <c r="A476" s="1178" t="s">
        <v>631</v>
      </c>
      <c r="B476" s="1178" t="s">
        <v>632</v>
      </c>
      <c r="C476" s="1178" t="s">
        <v>643</v>
      </c>
      <c r="D476" s="1178"/>
      <c r="E476" s="1051" t="str">
        <f>HYPERLINK((("#Main_Tariff!B"&amp;MATCH("*"&amp;C476&amp;"*",Main_Tariff!B:B,0))),"Jump to Section")</f>
        <v>Jump to Section</v>
      </c>
    </row>
    <row r="477" spans="1:5" ht="14.5">
      <c r="A477" s="1178" t="s">
        <v>631</v>
      </c>
      <c r="B477" s="1178" t="s">
        <v>632</v>
      </c>
      <c r="C477" s="1178" t="s">
        <v>644</v>
      </c>
      <c r="D477" s="1178"/>
      <c r="E477" s="1051" t="str">
        <f>HYPERLINK((("#Main_Tariff!B"&amp;MATCH("*"&amp;C477&amp;"*",Main_Tariff!B:B,0))),"Jump to Section")</f>
        <v>Jump to Section</v>
      </c>
    </row>
    <row r="478" spans="1:5" ht="14.5">
      <c r="A478" s="1178" t="s">
        <v>631</v>
      </c>
      <c r="B478" s="1178" t="s">
        <v>632</v>
      </c>
      <c r="C478" s="1178" t="s">
        <v>645</v>
      </c>
      <c r="D478" s="1178"/>
      <c r="E478" s="1051" t="str">
        <f>HYPERLINK((("#Main_Tariff!B"&amp;MATCH("*"&amp;C478&amp;"*",Main_Tariff!B:B,0))),"Jump to Section")</f>
        <v>Jump to Section</v>
      </c>
    </row>
    <row r="479" spans="1:5" ht="14.5">
      <c r="A479" s="1178" t="s">
        <v>631</v>
      </c>
      <c r="B479" s="1178" t="s">
        <v>632</v>
      </c>
      <c r="C479" s="1178" t="s">
        <v>646</v>
      </c>
      <c r="D479" s="1178"/>
      <c r="E479" s="1051" t="str">
        <f>HYPERLINK((("#Main_Tariff!B"&amp;MATCH("*"&amp;C479&amp;"*",Main_Tariff!B:B,0))),"Jump to Section")</f>
        <v>Jump to Section</v>
      </c>
    </row>
    <row r="480" spans="1:5" ht="14.5">
      <c r="A480" s="1178" t="s">
        <v>631</v>
      </c>
      <c r="B480" s="1178" t="s">
        <v>632</v>
      </c>
      <c r="C480" s="1178" t="s">
        <v>647</v>
      </c>
      <c r="D480" s="1178"/>
      <c r="E480" s="1051" t="str">
        <f>HYPERLINK((("#Main_Tariff!B"&amp;MATCH("*"&amp;C480&amp;"*",Main_Tariff!B:B,0))),"Jump to Section")</f>
        <v>Jump to Section</v>
      </c>
    </row>
    <row r="481" spans="1:5" ht="14.5">
      <c r="A481" s="1178" t="s">
        <v>648</v>
      </c>
      <c r="B481" s="1178" t="s">
        <v>649</v>
      </c>
      <c r="C481" s="1178"/>
      <c r="D481" s="1178" t="s">
        <v>650</v>
      </c>
      <c r="E481" s="1051" t="str">
        <f t="array" ref="E481">HYPERLINK((("#Main_Tariff!A"&amp;MATCH(D481&amp;", Ports",Main_Tariff!A:A,0))),"Jump to Producer")</f>
        <v>Jump to Producer</v>
      </c>
    </row>
    <row r="482" spans="1:5" ht="14.5">
      <c r="A482" s="1178" t="s">
        <v>648</v>
      </c>
      <c r="B482" s="1178" t="s">
        <v>649</v>
      </c>
      <c r="C482" s="1178"/>
      <c r="D482" s="1178" t="s">
        <v>651</v>
      </c>
      <c r="E482" s="1051" t="str">
        <f t="array" ref="E482">HYPERLINK((("#Main_Tariff!A"&amp;MATCH("*"&amp;LEFT(D482,18)&amp;"*",Main_Tariff!A:A,0))),"Jump to Producer")</f>
        <v>Jump to Producer</v>
      </c>
    </row>
    <row r="483" spans="1:5" ht="14.5">
      <c r="A483" s="1178" t="s">
        <v>648</v>
      </c>
      <c r="B483" s="1178" t="s">
        <v>649</v>
      </c>
      <c r="C483" s="1178"/>
      <c r="D483" s="1178" t="s">
        <v>652</v>
      </c>
      <c r="E483" s="1051" t="str">
        <f t="array" ref="E483">HYPERLINK((("#Main_Tariff!A"&amp;MATCH("*"&amp;LEFT(D483,18)&amp;"*",Main_Tariff!A:A,0))),"Jump to Producer")</f>
        <v>Jump to Producer</v>
      </c>
    </row>
    <row r="484" spans="1:5" ht="14.5">
      <c r="A484" s="1178" t="s">
        <v>648</v>
      </c>
      <c r="B484" s="1178" t="s">
        <v>649</v>
      </c>
      <c r="C484" s="1178"/>
      <c r="D484" s="1178" t="s">
        <v>653</v>
      </c>
      <c r="E484" s="1051" t="str">
        <f t="array" ref="E484">HYPERLINK((("#Main_Tariff!A"&amp;MATCH("*"&amp;LEFT(D484,10)&amp;"*",Main_Tariff!A:A,0))),"Jump to Producer")</f>
        <v>Jump to Producer</v>
      </c>
    </row>
    <row r="485" spans="1:5" ht="14.5">
      <c r="A485" s="1178" t="s">
        <v>648</v>
      </c>
      <c r="B485" s="1178" t="s">
        <v>654</v>
      </c>
      <c r="C485" s="1178"/>
      <c r="D485" s="1178" t="s">
        <v>655</v>
      </c>
      <c r="E485" s="1051" t="str">
        <f t="array" ref="E485">HYPERLINK((("#Main_Tariff!A"&amp;MATCH("*"&amp;LEFT(D485,10)&amp;"*",Main_Tariff!A:A,0))),"Jump to Producer")</f>
        <v>Jump to Producer</v>
      </c>
    </row>
    <row r="486" spans="1:5" ht="14.5">
      <c r="A486" s="1178" t="s">
        <v>648</v>
      </c>
      <c r="B486" s="1178" t="s">
        <v>654</v>
      </c>
      <c r="C486" s="1178"/>
      <c r="D486" s="1178" t="s">
        <v>656</v>
      </c>
      <c r="E486" s="1051" t="str">
        <f t="array" ref="E486">HYPERLINK((("#Main_Tariff!A"&amp;MATCH("*"&amp;LEFT(D486,15)&amp;"*",Main_Tariff!A:A,0))),"Jump to Producer")</f>
        <v>Jump to Producer</v>
      </c>
    </row>
    <row r="487" spans="1:5" ht="14.5">
      <c r="A487" s="1178" t="s">
        <v>648</v>
      </c>
      <c r="B487" s="1178" t="s">
        <v>654</v>
      </c>
      <c r="C487" s="1178"/>
      <c r="D487" s="1178" t="s">
        <v>657</v>
      </c>
      <c r="E487" s="1051" t="str">
        <f t="array" ref="E487">HYPERLINK((("#Main_Tariff!A"&amp;MATCH("*"&amp;LEFT(D487,10)&amp;"*",Main_Tariff!A:A,0))),"Jump to Producer")</f>
        <v>Jump to Producer</v>
      </c>
    </row>
    <row r="488" spans="1:5" ht="14.5">
      <c r="A488" s="1178" t="s">
        <v>658</v>
      </c>
      <c r="B488" s="1178" t="s">
        <v>659</v>
      </c>
      <c r="C488" s="1178"/>
      <c r="D488" s="1178" t="s">
        <v>660</v>
      </c>
      <c r="E488" s="1051" t="str">
        <f t="array" ref="E488">HYPERLINK((("#Main_Tariff!A"&amp;MATCH(LEFT(D488,10)&amp;"*",Main_Tariff!A:A,0))),"Jump to Producer")</f>
        <v>Jump to Producer</v>
      </c>
    </row>
    <row r="489" spans="1:5" ht="14.5">
      <c r="A489" s="1178" t="s">
        <v>658</v>
      </c>
      <c r="B489" s="1178" t="s">
        <v>659</v>
      </c>
      <c r="C489" s="1178"/>
      <c r="D489" s="1178" t="s">
        <v>661</v>
      </c>
      <c r="E489" s="1051" t="str">
        <f t="array" ref="E489">HYPERLINK((("#Main_Tariff!A"&amp;MATCH("*"&amp;LEFT(D489,10)&amp;"*",Main_Tariff!A:A,0))),"Jump to Producer")</f>
        <v>Jump to Producer</v>
      </c>
    </row>
    <row r="490" spans="1:5" ht="14.5">
      <c r="A490" s="1178" t="s">
        <v>658</v>
      </c>
      <c r="B490" s="1178" t="s">
        <v>662</v>
      </c>
      <c r="C490" s="1178" t="s">
        <v>285</v>
      </c>
      <c r="D490" s="1178" t="s">
        <v>286</v>
      </c>
      <c r="E490" s="1051" t="str">
        <f t="array" ref="E490">HYPERLINK((("#Main_Tariff!B"&amp;MATCH("*"&amp;"Spirits, France"&amp;"*",Main_Tariff!B:B,0))),"Jump to Producer")</f>
        <v>Jump to Producer</v>
      </c>
    </row>
    <row r="491" spans="1:5" ht="14.5">
      <c r="A491" s="1178" t="s">
        <v>658</v>
      </c>
      <c r="B491" s="1178" t="s">
        <v>662</v>
      </c>
      <c r="C491" s="1178" t="s">
        <v>663</v>
      </c>
      <c r="D491" s="1178" t="s">
        <v>664</v>
      </c>
      <c r="E491" s="1051" t="str">
        <f t="array" ref="E491">HYPERLINK((("#Main_Tariff!A"&amp;MATCH("*"&amp;LEFT(D491,10)&amp;"*",Main_Tariff!A:A,0))),"Jump to Producer")</f>
        <v>Jump to Producer</v>
      </c>
    </row>
    <row r="492" spans="1:5" ht="14.5">
      <c r="A492" s="1178" t="s">
        <v>658</v>
      </c>
      <c r="B492" s="1178" t="s">
        <v>662</v>
      </c>
      <c r="C492" s="1178" t="s">
        <v>267</v>
      </c>
      <c r="D492" s="1178" t="s">
        <v>253</v>
      </c>
      <c r="E492" s="1051" t="str">
        <f>HYPERLINK((("#Main_Tariff!A"&amp;MATCH("*Gaunoux*",Main_Tariff!A:A,0))),"Jump to Producer")</f>
        <v>Jump to Producer</v>
      </c>
    </row>
    <row r="493" spans="1:5" ht="14.5">
      <c r="A493" s="1178" t="s">
        <v>658</v>
      </c>
      <c r="B493" s="1178" t="s">
        <v>662</v>
      </c>
      <c r="C493" s="1178" t="s">
        <v>20</v>
      </c>
      <c r="D493" s="1178" t="s">
        <v>665</v>
      </c>
      <c r="E493" s="1051" t="str">
        <f t="array" ref="E493">HYPERLINK((("#Main_Tariff!A"&amp;MATCH("*"&amp;LEFT(D493,10)&amp;"*",Main_Tariff!A:A,0))),"Jump to Producer")</f>
        <v>Jump to Producer</v>
      </c>
    </row>
    <row r="494" spans="1:5" ht="14.5">
      <c r="A494" s="1178" t="s">
        <v>658</v>
      </c>
      <c r="B494" s="1178" t="s">
        <v>662</v>
      </c>
      <c r="C494" s="1178" t="s">
        <v>666</v>
      </c>
      <c r="D494" s="1178" t="s">
        <v>667</v>
      </c>
      <c r="E494" s="1051" t="str">
        <f t="array" ref="E494">HYPERLINK((("#Main_Tariff!A"&amp;MATCH("*"&amp;LEFT(D494,10)&amp;"*",Main_Tariff!A:A,0))),"Jump to Producer")</f>
        <v>Jump to Producer</v>
      </c>
    </row>
    <row r="495" spans="1:5" ht="14.5">
      <c r="A495" s="1178" t="s">
        <v>658</v>
      </c>
      <c r="B495" s="1178" t="s">
        <v>668</v>
      </c>
      <c r="C495" s="1178" t="s">
        <v>350</v>
      </c>
      <c r="D495" s="1178" t="s">
        <v>368</v>
      </c>
      <c r="E495" s="1051" t="str">
        <f t="array" ref="E495">HYPERLINK((("#Main_Tariff!B"&amp;MATCH("*a liqueur, Italy*",Main_Tariff!B:B,0))),"Jump to Producer")</f>
        <v>Jump to Producer</v>
      </c>
    </row>
    <row r="496" spans="1:5" ht="14.5">
      <c r="A496" s="1178" t="s">
        <v>658</v>
      </c>
      <c r="B496" s="1178" t="s">
        <v>668</v>
      </c>
      <c r="C496" s="1178" t="s">
        <v>464</v>
      </c>
      <c r="D496" s="1178" t="s">
        <v>470</v>
      </c>
      <c r="E496" s="1051" t="str">
        <f t="array" ref="E496">HYPERLINK((("#Main_Tariff!B"&amp;MATCH("*a liqueur, Italy*",Main_Tariff!B:B,0))),"Jump to Producer")</f>
        <v>Jump to Producer</v>
      </c>
    </row>
    <row r="497" spans="1:5" ht="14.5">
      <c r="A497" s="1178" t="s">
        <v>658</v>
      </c>
      <c r="B497" s="1178" t="s">
        <v>668</v>
      </c>
      <c r="C497" s="1178" t="s">
        <v>396</v>
      </c>
      <c r="D497" s="1178" t="s">
        <v>669</v>
      </c>
      <c r="E497" s="1051" t="str">
        <f t="array" ref="E497">HYPERLINK((("#Main_Tariff!A"&amp;MATCH("*"&amp;LEFT(D497,10)&amp;"*",Main_Tariff!A:A,0))),"Jump to Producer")</f>
        <v>Jump to Producer</v>
      </c>
    </row>
    <row r="498" spans="1:5" ht="14.5">
      <c r="A498" s="1178" t="s">
        <v>658</v>
      </c>
      <c r="B498" s="1178" t="s">
        <v>668</v>
      </c>
      <c r="C498" s="1178" t="s">
        <v>425</v>
      </c>
      <c r="D498" s="1178" t="s">
        <v>445</v>
      </c>
      <c r="E498" s="1051" t="str">
        <f t="array" ref="E498">HYPERLINK((("#Main_Tariff!B"&amp;MATCH("*"&amp;"grappa di Brunello di Montalcino (riserva)"&amp;"*",Main_Tariff!B:B,0))),"Jump to Producer")</f>
        <v>Jump to Producer</v>
      </c>
    </row>
    <row r="499" spans="1:5" ht="14.5">
      <c r="A499" s="1178" t="s">
        <v>658</v>
      </c>
      <c r="B499" s="1178" t="s">
        <v>670</v>
      </c>
      <c r="C499" s="1178" t="s">
        <v>671</v>
      </c>
      <c r="D499" s="1178" t="s">
        <v>672</v>
      </c>
      <c r="E499" s="1051" t="str">
        <f t="array" ref="E499">HYPERLINK((("#Main_Tariff!B"&amp;MATCH("*Spirits, Japan*",Main_Tariff!B:B,0))),"Jump to Producer")</f>
        <v>Jump to Producer</v>
      </c>
    </row>
    <row r="500" spans="1:5" ht="14.5">
      <c r="A500" s="1178" t="s">
        <v>673</v>
      </c>
      <c r="B500" s="1178" t="s">
        <v>674</v>
      </c>
      <c r="C500" s="1178"/>
      <c r="D500" s="1178"/>
      <c r="E500" s="1051" t="str">
        <f>HYPERLINK((("#Main_Tariff!B"&amp;MATCH("*"&amp;B500&amp;" for rae*",Main_Tariff!B:B,0))),"Jump to Section")</f>
        <v>Jump to Section</v>
      </c>
    </row>
    <row r="501" spans="1:5" ht="14.5">
      <c r="A501" s="1178" t="s">
        <v>673</v>
      </c>
      <c r="B501" s="1178" t="s">
        <v>675</v>
      </c>
      <c r="C501" s="1178"/>
      <c r="D501" s="1178"/>
      <c r="E501" s="1051" t="str">
        <f>HYPERLINK((("#Main_Tariff!B"&amp;MATCH("*"&amp;B501&amp;":*",Main_Tariff!B:B,0))),"Jump to Section")</f>
        <v>Jump to Section</v>
      </c>
    </row>
    <row r="502" spans="1:5" ht="14.5">
      <c r="A502" s="1178" t="s">
        <v>673</v>
      </c>
      <c r="B502" s="1178" t="s">
        <v>676</v>
      </c>
      <c r="C502" s="1178" t="s">
        <v>677</v>
      </c>
      <c r="D502" s="1178"/>
      <c r="E502" s="1051" t="str" cm="1">
        <f t="array" ref="E502">HYPERLINK((("#Main_Tariff!B"&amp;MATCH("*"&amp;B502&amp;"*"&amp;C502&amp;"*",Main_Tariff!A:A&amp;Main_Tariff!B:B,0))),"Jump to Section")</f>
        <v>Jump to Section</v>
      </c>
    </row>
    <row r="503" spans="1:5" ht="14.5">
      <c r="A503" s="1178" t="s">
        <v>673</v>
      </c>
      <c r="B503" s="1178" t="s">
        <v>676</v>
      </c>
      <c r="C503" s="1178" t="s">
        <v>678</v>
      </c>
      <c r="D503" s="1178"/>
      <c r="E503" s="1051" t="str" cm="1">
        <f t="array" ref="E503">HYPERLINK((("#Main_Tariff!B"&amp;MATCH("*"&amp;B503&amp;"*"&amp;C503&amp;"s*",Main_Tariff!A:A&amp;Main_Tariff!B:B,0))),"Jump to Section")</f>
        <v>Jump to Section</v>
      </c>
    </row>
    <row r="504" spans="1:5" ht="14.5">
      <c r="A504" s="1178" t="s">
        <v>673</v>
      </c>
      <c r="B504" s="1178" t="s">
        <v>676</v>
      </c>
      <c r="C504" s="1178" t="s">
        <v>679</v>
      </c>
      <c r="D504" s="1178"/>
      <c r="E504" s="1051" t="str" cm="1">
        <f t="array" ref="E504">HYPERLINK((("#Main_Tariff!B"&amp;MATCH("*"&amp;B504&amp;"*"&amp;C504&amp;":",Main_Tariff!A:A&amp;Main_Tariff!B:B,0))),"Jump to Section")</f>
        <v>Jump to Section</v>
      </c>
    </row>
    <row r="505" spans="1:5" ht="14.5">
      <c r="A505" s="1178" t="s">
        <v>673</v>
      </c>
      <c r="B505" s="1178" t="s">
        <v>676</v>
      </c>
      <c r="C505" s="1178" t="s">
        <v>680</v>
      </c>
      <c r="D505" s="1178"/>
      <c r="E505" s="1051" t="str" cm="1">
        <f t="array" ref="E505">HYPERLINK((("#Main_Tariff!B"&amp;MATCH("*"&amp;B505&amp;"*"&amp;C505&amp;"s*",Main_Tariff!A:A&amp;Main_Tariff!B:B,0))),"Jump to Section")</f>
        <v>Jump to Section</v>
      </c>
    </row>
    <row r="506" spans="1:5" ht="14.5">
      <c r="A506" s="1178" t="s">
        <v>673</v>
      </c>
      <c r="B506" s="1178" t="s">
        <v>681</v>
      </c>
      <c r="C506" s="1178" t="s">
        <v>677</v>
      </c>
      <c r="D506" s="1178"/>
      <c r="E506" s="1051" t="str">
        <f>HYPERLINK((("#Main_Tariff!B"&amp;MATCH("*Sparkling 'Runner*",Main_Tariff!B:B,0))),"Jump to Section")</f>
        <v>Jump to Section</v>
      </c>
    </row>
    <row r="507" spans="1:5" ht="14.5">
      <c r="A507" s="1178" t="s">
        <v>673</v>
      </c>
      <c r="B507" s="1178" t="s">
        <v>681</v>
      </c>
      <c r="C507" s="1178" t="s">
        <v>678</v>
      </c>
      <c r="D507" s="1178" t="s">
        <v>682</v>
      </c>
      <c r="E507" s="1051" t="str" cm="1">
        <f t="array" ref="E507">HYPERLINK((("#Main_Tariff!B"&amp;MATCH("*"&amp;B507&amp;"*"&amp;D507&amp;"*"&amp;C507&amp;"*",Main_Tariff!A:A&amp;Main_Tariff!B:B,0))),"Jump to Section")</f>
        <v>Jump to Section</v>
      </c>
    </row>
    <row r="508" spans="1:5" ht="14.5">
      <c r="A508" s="1178" t="s">
        <v>673</v>
      </c>
      <c r="B508" s="1178" t="s">
        <v>681</v>
      </c>
      <c r="C508" s="1178" t="str">
        <f t="shared" ref="C508:C514" si="0">C507</f>
        <v>White</v>
      </c>
      <c r="D508" s="1178" t="s">
        <v>683</v>
      </c>
      <c r="E508" s="1051" t="str" cm="1">
        <f t="array" ref="E508">HYPERLINK((("#Main_Tariff!B"&amp;MATCH("*"&amp;B508&amp;"*"&amp;D508&amp;"*"&amp;C508&amp;"*",Main_Tariff!A:A&amp;Main_Tariff!B:B,0))),"Jump to Section")</f>
        <v>Jump to Section</v>
      </c>
    </row>
    <row r="509" spans="1:5" ht="14.5">
      <c r="A509" s="1178" t="s">
        <v>673</v>
      </c>
      <c r="B509" s="1178" t="s">
        <v>681</v>
      </c>
      <c r="C509" s="1178" t="str">
        <f t="shared" si="0"/>
        <v>White</v>
      </c>
      <c r="D509" s="1178" t="s">
        <v>684</v>
      </c>
      <c r="E509" s="1051" t="str" cm="1">
        <f t="array" ref="E509">HYPERLINK((("#Main_Tariff!B"&amp;MATCH("*"&amp;B509&amp;"*"&amp;D509&amp;"*"&amp;C509&amp;"*",Main_Tariff!A:A&amp;Main_Tariff!B:B,0))),"Jump to Section")</f>
        <v>Jump to Section</v>
      </c>
    </row>
    <row r="510" spans="1:5" ht="14.5">
      <c r="A510" s="1178" t="s">
        <v>673</v>
      </c>
      <c r="B510" s="1178" t="s">
        <v>681</v>
      </c>
      <c r="C510" s="1178" t="str">
        <f t="shared" si="0"/>
        <v>White</v>
      </c>
      <c r="D510" s="1178" t="s">
        <v>685</v>
      </c>
      <c r="E510" s="1051" t="str" cm="1">
        <f t="array" ref="E510">HYPERLINK((("#Main_Tariff!B"&amp;MATCH("*"&amp;B510&amp;"*"&amp;D510&amp;"*"&amp;C510&amp;"*",Main_Tariff!A:A&amp;Main_Tariff!B:B,0))),"Jump to Section")</f>
        <v>Jump to Section</v>
      </c>
    </row>
    <row r="511" spans="1:5" ht="14.5">
      <c r="A511" s="1178" t="s">
        <v>673</v>
      </c>
      <c r="B511" s="1178" t="s">
        <v>681</v>
      </c>
      <c r="C511" s="1178" t="str">
        <f t="shared" si="0"/>
        <v>White</v>
      </c>
      <c r="D511" s="1178" t="s">
        <v>686</v>
      </c>
      <c r="E511" s="1051" t="str" cm="1">
        <f t="array" ref="E511">HYPERLINK((("#Main_Tariff!B"&amp;MATCH("*"&amp;B511&amp;"*"&amp;D511&amp;"*",Main_Tariff!A:A&amp;Main_Tariff!B:B,0))),"Jump to Section")</f>
        <v>Jump to Section</v>
      </c>
    </row>
    <row r="512" spans="1:5" ht="14.5">
      <c r="A512" s="1178" t="s">
        <v>673</v>
      </c>
      <c r="B512" s="1178" t="s">
        <v>681</v>
      </c>
      <c r="C512" s="1178" t="str">
        <f t="shared" si="0"/>
        <v>White</v>
      </c>
      <c r="D512" s="1178" t="s">
        <v>687</v>
      </c>
      <c r="E512" s="1051" t="str" cm="1">
        <f t="array" ref="E512">HYPERLINK((("#Main_Tariff!B"&amp;MATCH("*"&amp;B512&amp;"*"&amp;D512&amp;"*"&amp;C512&amp;"*",Main_Tariff!A:A&amp;Main_Tariff!B:B,0))),"Jump to Section")</f>
        <v>Jump to Section</v>
      </c>
    </row>
    <row r="513" spans="1:5" ht="14.5">
      <c r="A513" s="1178" t="s">
        <v>673</v>
      </c>
      <c r="B513" s="1178" t="s">
        <v>681</v>
      </c>
      <c r="C513" s="1178" t="str">
        <f t="shared" si="0"/>
        <v>White</v>
      </c>
      <c r="D513" s="1178" t="s">
        <v>688</v>
      </c>
      <c r="E513" s="1051" t="str" cm="1">
        <f t="array" ref="E513">HYPERLINK((("#Main_Tariff!B"&amp;MATCH("*"&amp;B513&amp;"*"&amp;D513&amp;"*",Main_Tariff!A:A&amp;Main_Tariff!B:B,0))),"Jump to Section")</f>
        <v>Jump to Section</v>
      </c>
    </row>
    <row r="514" spans="1:5" ht="14.5">
      <c r="A514" s="1178" t="s">
        <v>673</v>
      </c>
      <c r="B514" s="1178" t="s">
        <v>681</v>
      </c>
      <c r="C514" s="1178" t="str">
        <f t="shared" si="0"/>
        <v>White</v>
      </c>
      <c r="D514" s="1178" t="s">
        <v>689</v>
      </c>
      <c r="E514" s="1051" t="str">
        <f>HYPERLINK((("#Main_Tariff!B"&amp;MATCH("*Vaults Only White*",Main_Tariff!B:B,0))),"Jump to Section")</f>
        <v>Jump to Section</v>
      </c>
    </row>
    <row r="515" spans="1:5" ht="14.5">
      <c r="A515" s="1178" t="s">
        <v>673</v>
      </c>
      <c r="B515" s="1178" t="s">
        <v>681</v>
      </c>
      <c r="C515" s="1178" t="s">
        <v>690</v>
      </c>
      <c r="D515" s="1178"/>
      <c r="E515" s="1051" t="str" cm="1">
        <f t="array" ref="E515">HYPERLINK((("#Main_Tariff!B"&amp;MATCH("*"&amp;B515&amp;"*"&amp;C515&amp;"*",Main_Tariff!A:A&amp;Main_Tariff!B:B,0))),"Jump to Section")</f>
        <v>Jump to Section</v>
      </c>
    </row>
    <row r="516" spans="1:5" ht="14.5">
      <c r="A516" s="1178" t="s">
        <v>673</v>
      </c>
      <c r="B516" s="1178" t="s">
        <v>681</v>
      </c>
      <c r="C516" s="1178" t="s">
        <v>679</v>
      </c>
      <c r="D516" s="1178"/>
      <c r="E516" s="1051" t="str" cm="1">
        <f t="array" ref="E516">HYPERLINK((("#Main_Tariff!B"&amp;MATCH("*"&amp;B516&amp;"*"&amp;C516&amp;":",Main_Tariff!A:A&amp;Main_Tariff!B:B,0))),"Jump to Section")</f>
        <v>Jump to Section</v>
      </c>
    </row>
    <row r="517" spans="1:5" ht="14.5">
      <c r="A517" s="1178" t="s">
        <v>673</v>
      </c>
      <c r="B517" s="1178" t="s">
        <v>681</v>
      </c>
      <c r="C517" s="1178" t="s">
        <v>680</v>
      </c>
      <c r="D517" s="1178" t="s">
        <v>682</v>
      </c>
      <c r="E517" s="1051" t="str" cm="1">
        <f t="array" ref="E517">HYPERLINK((("#Main_Tariff!B"&amp;MATCH("*"&amp;B517&amp;"*"&amp;D517&amp;"*"&amp;C517&amp;"*",Main_Tariff!A:A&amp;Main_Tariff!B:B,0))),"Jump to Section")</f>
        <v>Jump to Section</v>
      </c>
    </row>
    <row r="518" spans="1:5" ht="14.5">
      <c r="A518" s="1178" t="s">
        <v>673</v>
      </c>
      <c r="B518" s="1178" t="s">
        <v>681</v>
      </c>
      <c r="C518" s="1178" t="str">
        <f t="shared" ref="C518:C524" si="1">C517</f>
        <v>Red</v>
      </c>
      <c r="D518" s="1178" t="s">
        <v>683</v>
      </c>
      <c r="E518" s="1051" t="str" cm="1">
        <f t="array" ref="E518">HYPERLINK((("#Main_Tariff!B"&amp;MATCH("*"&amp;B518&amp;"*"&amp;D518&amp;"*"&amp;C518&amp;"*",Main_Tariff!A:A&amp;Main_Tariff!B:B,0))),"Jump to Section")</f>
        <v>Jump to Section</v>
      </c>
    </row>
    <row r="519" spans="1:5" ht="14.5">
      <c r="A519" s="1178" t="s">
        <v>673</v>
      </c>
      <c r="B519" s="1178" t="s">
        <v>681</v>
      </c>
      <c r="C519" s="1178" t="str">
        <f t="shared" si="1"/>
        <v>Red</v>
      </c>
      <c r="D519" s="1178" t="s">
        <v>691</v>
      </c>
      <c r="E519" s="1051" t="str" cm="1">
        <f t="array" ref="E519">HYPERLINK((("#Main_Tariff!B"&amp;MATCH("*"&amp;B519&amp;"*"&amp;D519&amp;"*"&amp;C519&amp;"*",Main_Tariff!A:A&amp;Main_Tariff!B:B,0))),"Jump to Section")</f>
        <v>Jump to Section</v>
      </c>
    </row>
    <row r="520" spans="1:5" ht="14.5">
      <c r="A520" s="1178" t="s">
        <v>673</v>
      </c>
      <c r="B520" s="1178" t="s">
        <v>681</v>
      </c>
      <c r="C520" s="1178" t="str">
        <f t="shared" si="1"/>
        <v>Red</v>
      </c>
      <c r="D520" s="1178" t="s">
        <v>692</v>
      </c>
      <c r="E520" s="1051" t="str" cm="1">
        <f t="array" ref="E520">HYPERLINK((("#Main_Tariff!B"&amp;MATCH("*"&amp;B520&amp;"*"&amp;D520&amp;"*"&amp;C520&amp;"*",Main_Tariff!A:A&amp;Main_Tariff!B:B,0))),"Jump to Section")</f>
        <v>Jump to Section</v>
      </c>
    </row>
    <row r="521" spans="1:5" ht="14.5">
      <c r="A521" s="1178" t="s">
        <v>673</v>
      </c>
      <c r="B521" s="1178" t="s">
        <v>681</v>
      </c>
      <c r="C521" s="1178" t="str">
        <f t="shared" si="1"/>
        <v>Red</v>
      </c>
      <c r="D521" s="1178" t="s">
        <v>687</v>
      </c>
      <c r="E521" s="1051" t="str" cm="1">
        <f t="array" ref="E521">HYPERLINK((("#Main_Tariff!B"&amp;MATCH("*"&amp;B521&amp;"*"&amp;D521&amp;"*"&amp;C521&amp;"*",Main_Tariff!A:A&amp;Main_Tariff!B:B,0))),"Jump to Section")</f>
        <v>Jump to Section</v>
      </c>
    </row>
    <row r="522" spans="1:5" ht="14.5">
      <c r="A522" s="1178" t="s">
        <v>673</v>
      </c>
      <c r="B522" s="1178" t="s">
        <v>681</v>
      </c>
      <c r="C522" s="1178" t="str">
        <f t="shared" si="1"/>
        <v>Red</v>
      </c>
      <c r="D522" s="1178" t="s">
        <v>693</v>
      </c>
      <c r="E522" s="1051" t="str" cm="1">
        <f t="array" ref="E522">HYPERLINK((("#Main_Tariff!B"&amp;MATCH("*"&amp;B522&amp;"*"&amp;D522&amp;"*",Main_Tariff!A:A&amp;Main_Tariff!B:B,0))),"Jump to Section")</f>
        <v>Jump to Section</v>
      </c>
    </row>
    <row r="523" spans="1:5" ht="14.5">
      <c r="A523" s="1178" t="s">
        <v>673</v>
      </c>
      <c r="B523" s="1178" t="s">
        <v>681</v>
      </c>
      <c r="C523" s="1178" t="str">
        <f t="shared" si="1"/>
        <v>Red</v>
      </c>
      <c r="D523" s="1178" t="s">
        <v>694</v>
      </c>
      <c r="E523" s="1051" t="str" cm="1">
        <f t="array" ref="E523">HYPERLINK((("#Main_Tariff!B"&amp;MATCH("*"&amp;B523&amp;"*"&amp;D523&amp;"*",Main_Tariff!A:A&amp;Main_Tariff!B:B,0))),"Jump to Section")</f>
        <v>Jump to Section</v>
      </c>
    </row>
    <row r="524" spans="1:5" ht="14.5">
      <c r="A524" s="1178" t="s">
        <v>673</v>
      </c>
      <c r="B524" s="1178" t="s">
        <v>681</v>
      </c>
      <c r="C524" s="1178" t="str">
        <f t="shared" si="1"/>
        <v>Red</v>
      </c>
      <c r="D524" s="1178" t="s">
        <v>689</v>
      </c>
      <c r="E524" s="1051" t="str">
        <f>HYPERLINK((("#Main_Tariff!B"&amp;MATCH("*Vaults Only Red*",Main_Tariff!B:B,0))),"Jump to Section")</f>
        <v>Jump to Section</v>
      </c>
    </row>
    <row r="525" spans="1:5" ht="14.5">
      <c r="A525" s="1178" t="s">
        <v>673</v>
      </c>
      <c r="B525" s="1178" t="s">
        <v>681</v>
      </c>
      <c r="C525" s="1178" t="s">
        <v>695</v>
      </c>
      <c r="D525" s="1178"/>
      <c r="E525" s="1051" t="str">
        <f>HYPERLINK((("#Main_Tariff!B"&amp;MATCH("*"&amp;C525&amp;" 'runn*",Main_Tariff!B:B,0))),"Jump to Section")</f>
        <v>Jump to Section</v>
      </c>
    </row>
    <row r="526" spans="1:5" ht="14.5">
      <c r="A526" s="1178" t="s">
        <v>673</v>
      </c>
      <c r="B526" s="1178" t="s">
        <v>696</v>
      </c>
      <c r="C526" s="1178" t="s">
        <v>697</v>
      </c>
      <c r="D526" s="1178" t="s">
        <v>698</v>
      </c>
      <c r="E526" s="1051" t="str" cm="1">
        <f t="array" ref="E526">HYPERLINK((("#Main_Tariff!B"&amp;MATCH("*"&amp;C526&amp;"*"&amp;D526&amp;"*",Main_Tariff!A:A&amp;Main_Tariff!B:B,0))),"Jump to Section")</f>
        <v>Jump to Section</v>
      </c>
    </row>
    <row r="527" spans="1:5" ht="14.5">
      <c r="A527" s="1178" t="s">
        <v>673</v>
      </c>
      <c r="B527" s="1178" t="s">
        <v>696</v>
      </c>
      <c r="C527" s="1178" t="s">
        <v>697</v>
      </c>
      <c r="D527" s="1178" t="s">
        <v>699</v>
      </c>
      <c r="E527" s="1051" t="str" cm="1">
        <f t="array" ref="E527">HYPERLINK((("#Main_Tariff!B"&amp;MATCH("*"&amp;C527&amp;"*"&amp;D527&amp;"*",Main_Tariff!A:A&amp;Main_Tariff!B:B,0))),"Jump to Section")</f>
        <v>Jump to Section</v>
      </c>
    </row>
    <row r="528" spans="1:5" ht="14.5">
      <c r="A528" s="1178" t="s">
        <v>673</v>
      </c>
      <c r="B528" s="1178" t="s">
        <v>696</v>
      </c>
      <c r="C528" s="1178" t="s">
        <v>697</v>
      </c>
      <c r="D528" s="1178" t="s">
        <v>700</v>
      </c>
      <c r="E528" s="1051" t="str" cm="1">
        <f t="array" ref="E528">HYPERLINK((("#Main_Tariff!B"&amp;MATCH("*"&amp;C528&amp;"*"&amp;D528&amp;"*",Main_Tariff!A:A&amp;Main_Tariff!B:B,0))),"Jump to Section")</f>
        <v>Jump to Section</v>
      </c>
    </row>
    <row r="529" spans="1:5" ht="14.5">
      <c r="A529" s="1178" t="s">
        <v>673</v>
      </c>
      <c r="B529" s="1178" t="s">
        <v>696</v>
      </c>
      <c r="C529" s="1178" t="s">
        <v>697</v>
      </c>
      <c r="D529" s="1178" t="s">
        <v>701</v>
      </c>
      <c r="E529" s="1051" t="str" cm="1">
        <f t="array" ref="E529">HYPERLINK((("#Main_Tariff!B"&amp;MATCH("*"&amp;C529&amp;"*"&amp;D529&amp;"*",Main_Tariff!A:A&amp;Main_Tariff!B:B,0))),"Jump to Section")</f>
        <v>Jump to Section</v>
      </c>
    </row>
    <row r="530" spans="1:5" ht="14.5">
      <c r="A530" s="1178" t="s">
        <v>673</v>
      </c>
      <c r="B530" s="1178" t="s">
        <v>696</v>
      </c>
      <c r="C530" s="1178" t="s">
        <v>697</v>
      </c>
      <c r="D530" s="1178" t="s">
        <v>702</v>
      </c>
      <c r="E530" s="1051" t="str" cm="1">
        <f t="array" ref="E530">HYPERLINK((("#Main_Tariff!B"&amp;MATCH("*"&amp;C530&amp;"*"&amp;D530&amp;"*",Main_Tariff!A:A&amp;Main_Tariff!B:B,0))),"Jump to Section")</f>
        <v>Jump to Section</v>
      </c>
    </row>
    <row r="531" spans="1:5" ht="14.5">
      <c r="A531" s="1178" t="s">
        <v>673</v>
      </c>
      <c r="B531" s="1178" t="s">
        <v>696</v>
      </c>
      <c r="C531" s="1178" t="s">
        <v>697</v>
      </c>
      <c r="D531" s="1178" t="s">
        <v>703</v>
      </c>
      <c r="E531" s="1051" t="str" cm="1">
        <f t="array" ref="E531">HYPERLINK((("#Main_Tariff!B"&amp;MATCH("*"&amp;C531&amp;"*"&amp;D531&amp;"*",Main_Tariff!A:A&amp;Main_Tariff!B:B,0))),"Jump to Section")</f>
        <v>Jump to Section</v>
      </c>
    </row>
    <row r="532" spans="1:5" ht="14.5">
      <c r="A532" s="1178" t="s">
        <v>673</v>
      </c>
      <c r="B532" s="1178" t="s">
        <v>696</v>
      </c>
      <c r="C532" s="1178" t="s">
        <v>697</v>
      </c>
      <c r="D532" s="1178" t="s">
        <v>704</v>
      </c>
      <c r="E532" s="1051" t="str" cm="1">
        <f t="array" ref="E532">HYPERLINK((("#Main_Tariff!B"&amp;MATCH("*"&amp;C532&amp;"*souffre*",Main_Tariff!A:A&amp;Main_Tariff!B:B,0))),"Jump to Section")</f>
        <v>Jump to Section</v>
      </c>
    </row>
    <row r="533" spans="1:5" ht="14.5">
      <c r="A533" s="1178" t="s">
        <v>673</v>
      </c>
      <c r="B533" s="1178" t="s">
        <v>696</v>
      </c>
      <c r="C533" s="1178" t="s">
        <v>705</v>
      </c>
      <c r="D533" s="1178"/>
      <c r="E533" s="1051" t="str" cm="1">
        <f t="array" ref="E533">HYPERLINK((("#Main_Tariff!B"&amp;MATCH("*"&amp;C533&amp;"*"&amp;D533&amp;"*",Main_Tariff!A:A&amp;Main_Tariff!B:B,0))),"Jump to Section")</f>
        <v>Jump to Section</v>
      </c>
    </row>
    <row r="534" spans="1:5" ht="14.5">
      <c r="A534" s="1178" t="s">
        <v>673</v>
      </c>
      <c r="B534" s="1178" t="s">
        <v>696</v>
      </c>
      <c r="C534" s="1178" t="s">
        <v>706</v>
      </c>
      <c r="D534" s="1178" t="s">
        <v>707</v>
      </c>
      <c r="E534" s="1051" t="str" cm="1">
        <f t="array" ref="E534">HYPERLINK((("#Main_Tariff!B"&amp;MATCH("*"&amp;C534&amp;"*"&amp;D534&amp;"*",Main_Tariff!A:A&amp;Main_Tariff!B:B,0))),"Jump to Section")</f>
        <v>Jump to Section</v>
      </c>
    </row>
    <row r="535" spans="1:5" ht="14.5">
      <c r="A535" s="1178" t="s">
        <v>673</v>
      </c>
      <c r="B535" s="1178" t="s">
        <v>696</v>
      </c>
      <c r="C535" s="1178" t="s">
        <v>706</v>
      </c>
      <c r="D535" s="1178" t="s">
        <v>698</v>
      </c>
      <c r="E535" s="1051" t="str" cm="1">
        <f t="array" ref="E535">HYPERLINK((("#Main_Tariff!B"&amp;MATCH("*"&amp;C535&amp;"*"&amp;D535&amp;"*",Main_Tariff!A:A&amp;Main_Tariff!B:B,0))),"Jump to Section")</f>
        <v>Jump to Section</v>
      </c>
    </row>
    <row r="536" spans="1:5" ht="14.5">
      <c r="A536" s="1178" t="s">
        <v>673</v>
      </c>
      <c r="B536" s="1178" t="s">
        <v>696</v>
      </c>
      <c r="C536" s="1178" t="s">
        <v>706</v>
      </c>
      <c r="D536" s="1178" t="s">
        <v>699</v>
      </c>
      <c r="E536" s="1051" t="str" cm="1">
        <f t="array" ref="E536">HYPERLINK((("#Main_Tariff!B"&amp;MATCH("*"&amp;C536&amp;"*"&amp;D536&amp;"*",Main_Tariff!A:A&amp;Main_Tariff!B:B,0))),"Jump to Section")</f>
        <v>Jump to Section</v>
      </c>
    </row>
    <row r="537" spans="1:5" ht="14.5">
      <c r="A537" s="1178" t="s">
        <v>673</v>
      </c>
      <c r="B537" s="1178" t="s">
        <v>696</v>
      </c>
      <c r="C537" s="1178" t="s">
        <v>706</v>
      </c>
      <c r="D537" s="1178" t="s">
        <v>700</v>
      </c>
      <c r="E537" s="1051" t="str" cm="1">
        <f t="array" ref="E537">HYPERLINK((("#Main_Tariff!B"&amp;MATCH("*"&amp;C537&amp;"*"&amp;D537&amp;"*",Main_Tariff!A:A&amp;Main_Tariff!B:B,0))),"Jump to Section")</f>
        <v>Jump to Section</v>
      </c>
    </row>
    <row r="538" spans="1:5" ht="14.5">
      <c r="A538" s="1178" t="s">
        <v>673</v>
      </c>
      <c r="B538" s="1178" t="s">
        <v>696</v>
      </c>
      <c r="C538" s="1178" t="s">
        <v>706</v>
      </c>
      <c r="D538" s="1178" t="s">
        <v>701</v>
      </c>
      <c r="E538" s="1051" t="str" cm="1">
        <f t="array" ref="E538">HYPERLINK((("#Main_Tariff!B"&amp;MATCH("*"&amp;C538&amp;"*"&amp;D538&amp;"*",Main_Tariff!A:A&amp;Main_Tariff!B:B,0))),"Jump to Section")</f>
        <v>Jump to Section</v>
      </c>
    </row>
    <row r="539" spans="1:5" ht="14.5">
      <c r="A539" s="1178" t="s">
        <v>673</v>
      </c>
      <c r="B539" s="1178" t="s">
        <v>696</v>
      </c>
      <c r="C539" s="1178" t="s">
        <v>706</v>
      </c>
      <c r="D539" s="1178" t="s">
        <v>702</v>
      </c>
      <c r="E539" s="1051" t="str" cm="1">
        <f t="array" ref="E539">HYPERLINK((("#Main_Tariff!B"&amp;MATCH("*"&amp;C539&amp;"*"&amp;D539&amp;"*",Main_Tariff!A:A&amp;Main_Tariff!B:B,0))),"Jump to Section")</f>
        <v>Jump to Section</v>
      </c>
    </row>
    <row r="540" spans="1:5" ht="14.5">
      <c r="A540" s="1178" t="s">
        <v>673</v>
      </c>
      <c r="B540" s="1178" t="s">
        <v>696</v>
      </c>
      <c r="C540" s="1178" t="s">
        <v>706</v>
      </c>
      <c r="D540" s="1178" t="s">
        <v>703</v>
      </c>
      <c r="E540" s="1051" t="str" cm="1">
        <f t="array" ref="E540">HYPERLINK((("#Main_Tariff!B"&amp;MATCH("*"&amp;C540&amp;"*"&amp;D540&amp;"*",Main_Tariff!A:A&amp;Main_Tariff!B:B,0))),"Jump to Section")</f>
        <v>Jump to Section</v>
      </c>
    </row>
    <row r="541" spans="1:5" ht="14.5">
      <c r="A541" s="1178" t="s">
        <v>673</v>
      </c>
      <c r="B541" s="1178" t="s">
        <v>696</v>
      </c>
      <c r="C541" s="1178" t="s">
        <v>706</v>
      </c>
      <c r="D541" s="1178" t="s">
        <v>704</v>
      </c>
      <c r="E541" s="1051" t="str" cm="1">
        <f t="array" ref="E541">HYPERLINK((("#Main_Tariff!B"&amp;MATCH("*"&amp;C541&amp;"*souffre*",Main_Tariff!A:A&amp;Main_Tariff!B:B,0))),"Jump to Section")</f>
        <v>Jump to Section</v>
      </c>
    </row>
    <row r="542" spans="1:5" ht="14.5">
      <c r="A542" s="1178" t="s">
        <v>673</v>
      </c>
      <c r="B542" s="1178" t="s">
        <v>696</v>
      </c>
      <c r="C542" s="1178" t="s">
        <v>706</v>
      </c>
      <c r="D542" s="1178" t="s">
        <v>708</v>
      </c>
      <c r="E542" s="1051" t="str">
        <f>HYPERLINK((("#Main_Tariff!B"&amp;MATCH("*"&amp;D542&amp;"*",Main_Tariff!B:B,0))),"Jump to Section")</f>
        <v>Jump to Section</v>
      </c>
    </row>
    <row r="543" spans="1:5" ht="14.5">
      <c r="A543" s="1178" t="s">
        <v>673</v>
      </c>
      <c r="B543" s="1178" t="s">
        <v>709</v>
      </c>
      <c r="C543" s="1178"/>
      <c r="D543" s="1178"/>
      <c r="E543" s="1051" t="str">
        <f>HYPERLINK((("#Main_Tariff!B"&amp;MATCH("*"&amp;B543&amp;" etc*",Main_Tariff!B:B,0))),"Jump to Section")</f>
        <v>Jump to Section</v>
      </c>
    </row>
    <row r="544" spans="1:5" ht="14.5">
      <c r="A544" s="1178" t="s">
        <v>673</v>
      </c>
      <c r="B544" s="1178" t="s">
        <v>710</v>
      </c>
      <c r="C544" s="1178"/>
      <c r="D544" s="1178"/>
      <c r="E544" s="1051" t="str">
        <f>HYPERLINK((("#Main_Tariff!B"&amp;MATCH("*art label se*",Main_Tariff!B:B,0))),"Jump to Section")</f>
        <v>Jump to Section</v>
      </c>
    </row>
    <row r="545" spans="1:5" ht="14.5">
      <c r="A545" s="1178" t="s">
        <v>673</v>
      </c>
      <c r="B545" s="1178" t="s">
        <v>711</v>
      </c>
      <c r="C545" s="1178"/>
      <c r="D545" s="1178"/>
      <c r="E545" s="1051" t="str">
        <f>HYPERLINK((("#Main_Tariff!B"&amp;MATCH("*"&amp;B545&amp;"*",Main_Tariff!B:B,0))),"Jump to Section")</f>
        <v>Jump to Section</v>
      </c>
    </row>
    <row r="546" spans="1:5" ht="14.5">
      <c r="A546" s="1178" t="s">
        <v>673</v>
      </c>
      <c r="B546" s="1178" t="s">
        <v>712</v>
      </c>
      <c r="C546" s="1178"/>
      <c r="D546" s="1178"/>
      <c r="E546" s="1051" t="str">
        <f>HYPERLINK((("#Main_Tariff!B"&amp;MATCH("*"&amp;B546&amp;" focus*",Main_Tariff!B:B,0))),"Jump to Section")</f>
        <v>Jump to Section</v>
      </c>
    </row>
    <row r="547" spans="1:5" ht="14.5">
      <c r="A547" s="1178" t="s">
        <v>673</v>
      </c>
      <c r="B547" s="1178" t="s">
        <v>713</v>
      </c>
      <c r="C547" s="1178"/>
      <c r="D547" s="1178"/>
      <c r="E547" s="1051" t="str">
        <f>HYPERLINK((("#Main_Tariff!B"&amp;MATCH("*"&amp;B547&amp;"*",Main_Tariff!B:B,0))),"Jump to Section")</f>
        <v>Jump to Section</v>
      </c>
    </row>
    <row r="548" spans="1:5" ht="14.5">
      <c r="A548" s="1178" t="s">
        <v>673</v>
      </c>
      <c r="B548" s="1178" t="s">
        <v>714</v>
      </c>
      <c r="C548" s="1178" t="s">
        <v>715</v>
      </c>
      <c r="D548" s="1178"/>
      <c r="E548" s="1051" t="str">
        <f>HYPERLINK((("#Main_Tariff!B"&amp;MATCH("*"&amp;C548&amp;"*",Main_Tariff!B:B,0))),"Jump to Section")</f>
        <v>Jump to Section</v>
      </c>
    </row>
    <row r="549" spans="1:5" ht="14.5">
      <c r="A549" s="1178" t="s">
        <v>673</v>
      </c>
      <c r="B549" s="1178" t="s">
        <v>714</v>
      </c>
      <c r="C549" s="1178" t="s">
        <v>716</v>
      </c>
      <c r="D549" s="1178"/>
      <c r="E549" s="1051" t="str">
        <f>HYPERLINK((("#Main_Tariff!B"&amp;MATCH("*"&amp;C549&amp;"*",Main_Tariff!B:B,0))),"Jump to Section")</f>
        <v>Jump to Section</v>
      </c>
    </row>
    <row r="550" spans="1:5" ht="14.5">
      <c r="A550" s="1178" t="s">
        <v>673</v>
      </c>
      <c r="B550" s="1178" t="s">
        <v>714</v>
      </c>
      <c r="C550" s="1178" t="s">
        <v>717</v>
      </c>
      <c r="D550" s="1178"/>
      <c r="E550" s="1051" t="str">
        <f>HYPERLINK((("#Main_Tariff!B"&amp;MATCH("*"&amp;C550&amp;"*",Main_Tariff!B:B,0))),"Jump to Section")</f>
        <v>Jump to Section</v>
      </c>
    </row>
    <row r="551" spans="1:5" ht="14.5">
      <c r="A551" s="1178" t="s">
        <v>673</v>
      </c>
      <c r="B551" s="1178" t="s">
        <v>718</v>
      </c>
      <c r="C551" s="1178"/>
      <c r="D551" s="1178"/>
      <c r="E551" s="1051" t="str">
        <f>HYPERLINK((("#Main_Tariff!B"&amp;MATCH("*"&amp;B551&amp;":*",Main_Tariff!B:B,0))),"Jump to Section")</f>
        <v>Jump to Section</v>
      </c>
    </row>
    <row r="552" spans="1:5" ht="14.5">
      <c r="A552" s="1178" t="s">
        <v>673</v>
      </c>
      <c r="B552" s="1178" t="s">
        <v>719</v>
      </c>
      <c r="C552" s="1178"/>
      <c r="D552" s="1178"/>
      <c r="E552" s="1051" t="str">
        <f>HYPERLINK((("#Main_Tariff!B"&amp;MATCH("*"&amp;B552&amp;":*",Main_Tariff!B:B,0))),"Jump to Section")</f>
        <v>Jump to Section</v>
      </c>
    </row>
    <row r="553" spans="1:5" ht="14.5">
      <c r="A553" s="1178" t="s">
        <v>673</v>
      </c>
      <c r="B553" s="1178" t="s">
        <v>720</v>
      </c>
      <c r="C553" s="1178"/>
      <c r="D553" s="1178"/>
      <c r="E553" s="1051" t="str">
        <f>HYPERLINK((("#Main_Tariff!B"&amp;MATCH("*"&amp;B553&amp;"*",Main_Tariff!B:B,0))),"Jump to Section")</f>
        <v>Jump to Section</v>
      </c>
    </row>
    <row r="554" spans="1:5" ht="14.5">
      <c r="A554" s="1178" t="s">
        <v>673</v>
      </c>
      <c r="B554" s="1178" t="s">
        <v>721</v>
      </c>
      <c r="C554" s="1178"/>
      <c r="D554" s="1178"/>
      <c r="E554" s="1051" t="str">
        <f>HYPERLINK((("#Main_Tariff!B"&amp;MATCH("*"&amp;B554&amp;"*",Main_Tariff!B:B,0))),"Jump to Section")</f>
        <v>Jump to Section</v>
      </c>
    </row>
    <row r="555" spans="1:5" ht="14.5">
      <c r="A555" s="1178" t="s">
        <v>673</v>
      </c>
      <c r="B555" s="1178" t="s">
        <v>722</v>
      </c>
      <c r="C555" s="1178"/>
      <c r="D555" s="1178"/>
      <c r="E555" s="1051" t="str">
        <f>HYPERLINK((("#Main_Tariff!B"&amp;MATCH("*"&amp;B555&amp;"*",Main_Tariff!B:B,0))),"Jump to Section")</f>
        <v>Jump to Section</v>
      </c>
    </row>
    <row r="556" spans="1:5" ht="14.5">
      <c r="A556" s="1178" t="s">
        <v>673</v>
      </c>
      <c r="B556" s="1178" t="s">
        <v>723</v>
      </c>
      <c r="C556" s="1178"/>
      <c r="D556" s="1178"/>
      <c r="E556" s="1051" t="str">
        <f>HYPERLINK((("#Main_Tariff!B"&amp;MATCH("*Levi Dalton*",Main_Tariff!B:B,0))),"Jump to Section")</f>
        <v>Jump to Section</v>
      </c>
    </row>
    <row r="557" spans="1:5" ht="14.5">
      <c r="A557" s="1178" t="s">
        <v>724</v>
      </c>
      <c r="B557" s="1178"/>
      <c r="C557" s="1178"/>
      <c r="D557" s="1178"/>
      <c r="E557" s="1051" t="str">
        <f>HYPERLINK((("#Main_Tariff!B"&amp;MATCH("*"&amp;A557&amp;":*",Main_Tariff!B:B,0))),"Jump to Section")</f>
        <v>Jump to Section</v>
      </c>
    </row>
    <row r="558" spans="1:5" ht="14.5">
      <c r="A558" s="1178"/>
      <c r="B558" s="1178"/>
      <c r="C558" s="1178"/>
      <c r="D558" s="1178"/>
      <c r="E558" s="1051"/>
    </row>
    <row r="559" spans="1:5" ht="14.5">
      <c r="A559" s="1178"/>
      <c r="B559" s="1178"/>
      <c r="C559" s="1178"/>
      <c r="D559" s="1178"/>
      <c r="E559" s="1051"/>
    </row>
    <row r="560" spans="1:5" ht="14.5">
      <c r="A560" s="1178"/>
      <c r="B560" s="1178"/>
      <c r="C560" s="1178"/>
      <c r="D560" s="1178"/>
      <c r="E560" s="1051"/>
    </row>
    <row r="561" spans="1:5" ht="14.5">
      <c r="A561" s="1178"/>
      <c r="B561" s="1178"/>
      <c r="C561" s="1178"/>
      <c r="D561" s="1178"/>
      <c r="E561" s="1051"/>
    </row>
    <row r="562" spans="1:5" ht="14.5">
      <c r="A562" s="1178"/>
      <c r="B562" s="1178"/>
      <c r="C562" s="1178"/>
      <c r="D562" s="1178"/>
      <c r="E562" s="1051"/>
    </row>
    <row r="563" spans="1:5" ht="14.5">
      <c r="A563" s="1178"/>
      <c r="B563" s="1178"/>
      <c r="C563" s="1178"/>
      <c r="D563" s="1178"/>
      <c r="E563" s="1051"/>
    </row>
    <row r="564" spans="1:5" ht="14.5">
      <c r="A564" s="1178"/>
      <c r="B564" s="1178"/>
      <c r="C564" s="1178"/>
      <c r="D564" s="1178"/>
      <c r="E564" s="1051"/>
    </row>
    <row r="565" spans="1:5" ht="14.5">
      <c r="A565" s="1178"/>
      <c r="B565" s="1178"/>
      <c r="C565" s="1178"/>
      <c r="D565" s="1178"/>
      <c r="E565" s="1051"/>
    </row>
    <row r="566" spans="1:5" ht="14.5">
      <c r="A566" s="1178"/>
      <c r="B566" s="1178"/>
      <c r="C566" s="1178"/>
      <c r="D566" s="1178"/>
      <c r="E566" s="1051"/>
    </row>
    <row r="567" spans="1:5" ht="14.5">
      <c r="A567" s="1178"/>
      <c r="B567" s="1178"/>
      <c r="C567" s="1178"/>
      <c r="D567" s="1178"/>
      <c r="E567" s="1051"/>
    </row>
    <row r="568" spans="1:5" ht="14.5">
      <c r="A568" s="1178"/>
      <c r="B568" s="1178"/>
      <c r="C568" s="1178"/>
      <c r="D568" s="1178"/>
      <c r="E568" s="1051"/>
    </row>
  </sheetData>
  <autoFilter ref="A1:E557" xr:uid="{2ED59ACA-AF50-4425-9CAD-A86B3D4EA71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003"/>
  <sheetViews>
    <sheetView tabSelected="1" zoomScale="106" zoomScaleNormal="90" zoomScaleSheetLayoutView="100" workbookViewId="0">
      <pane ySplit="2" topLeftCell="A3" activePane="bottomLeft" state="frozen"/>
      <selection pane="bottomLeft" activeCell="B3" sqref="B3"/>
    </sheetView>
  </sheetViews>
  <sheetFormatPr defaultColWidth="11.453125" defaultRowHeight="14.5"/>
  <cols>
    <col min="1" max="1" width="31.453125" style="67" customWidth="1"/>
    <col min="2" max="2" width="43.1796875" style="17" customWidth="1"/>
    <col min="3" max="3" width="3.54296875" style="20" customWidth="1"/>
    <col min="4" max="4" width="4.1796875" style="20" customWidth="1"/>
    <col min="5" max="5" width="4.7265625" style="1" customWidth="1"/>
    <col min="6" max="6" width="4.453125" style="1" customWidth="1"/>
    <col min="7" max="7" width="6" style="4" customWidth="1"/>
    <col min="8" max="8" width="5.26953125" style="1" customWidth="1"/>
    <col min="9" max="9" width="10.81640625" style="16" customWidth="1"/>
    <col min="10" max="10" width="6.26953125" style="1115" customWidth="1"/>
    <col min="11" max="12" width="6.1796875" style="5" customWidth="1"/>
    <col min="13" max="26" width="11.453125" style="96"/>
    <col min="27" max="16384" width="11.453125" style="5"/>
  </cols>
  <sheetData>
    <row r="1" spans="1:12" ht="21.75" customHeight="1">
      <c r="A1" s="75"/>
      <c r="B1" s="7" t="s">
        <v>725</v>
      </c>
      <c r="C1" s="6"/>
      <c r="D1" s="6"/>
      <c r="E1" s="75"/>
      <c r="F1" s="59" t="s">
        <v>23392</v>
      </c>
      <c r="G1" s="3"/>
      <c r="H1" s="2"/>
      <c r="I1" s="11"/>
    </row>
    <row r="2" spans="1:12" ht="18">
      <c r="A2" s="185"/>
      <c r="B2" s="8" t="s">
        <v>23736</v>
      </c>
      <c r="C2" s="6"/>
      <c r="D2" s="6"/>
      <c r="E2" s="5"/>
      <c r="F2" s="5"/>
      <c r="G2" s="5"/>
      <c r="H2" s="5"/>
      <c r="I2" s="1053" t="s">
        <v>726</v>
      </c>
      <c r="J2" s="1053"/>
      <c r="K2" s="1053"/>
      <c r="L2" s="1053"/>
    </row>
    <row r="3" spans="1:12" ht="106" customHeight="1" thickBot="1">
      <c r="A3" s="185"/>
      <c r="B3" s="9"/>
      <c r="C3" s="6"/>
      <c r="D3" s="6"/>
      <c r="E3" s="6"/>
      <c r="F3" s="6"/>
      <c r="G3" s="6"/>
      <c r="H3" s="6"/>
      <c r="I3" s="11"/>
    </row>
    <row r="4" spans="1:12" ht="27.65" customHeight="1" thickBot="1">
      <c r="A4" s="22" t="s">
        <v>727</v>
      </c>
      <c r="B4" s="23" t="s">
        <v>728</v>
      </c>
      <c r="C4" s="24"/>
      <c r="D4" s="25" t="s">
        <v>729</v>
      </c>
      <c r="E4" s="26"/>
      <c r="F4" s="1058"/>
      <c r="G4" s="1180"/>
      <c r="H4" s="1151"/>
      <c r="I4" s="12"/>
    </row>
    <row r="5" spans="1:12" ht="12" customHeight="1">
      <c r="A5" s="28" t="s">
        <v>730</v>
      </c>
      <c r="B5" s="1344" t="s">
        <v>731</v>
      </c>
      <c r="C5" s="33" t="s">
        <v>732</v>
      </c>
      <c r="D5" s="29"/>
      <c r="E5" s="30"/>
      <c r="F5" s="563"/>
      <c r="G5" s="56"/>
      <c r="H5" s="1121"/>
      <c r="I5" s="11"/>
    </row>
    <row r="6" spans="1:12" ht="12" customHeight="1">
      <c r="A6" s="32" t="s">
        <v>733</v>
      </c>
      <c r="B6" s="41" t="s">
        <v>734</v>
      </c>
      <c r="C6" s="33" t="s">
        <v>735</v>
      </c>
      <c r="D6" s="29"/>
      <c r="E6" s="29"/>
      <c r="F6" s="183"/>
      <c r="G6" s="1181"/>
      <c r="H6" s="1137"/>
      <c r="I6" s="11"/>
    </row>
    <row r="7" spans="1:12" ht="12" customHeight="1">
      <c r="A7" s="32" t="s">
        <v>736</v>
      </c>
      <c r="B7" s="41" t="s">
        <v>737</v>
      </c>
      <c r="C7" s="33" t="s">
        <v>738</v>
      </c>
      <c r="D7" s="29"/>
      <c r="E7" s="35"/>
      <c r="F7" s="178"/>
      <c r="G7" s="60"/>
      <c r="H7" s="628"/>
      <c r="I7" s="11"/>
    </row>
    <row r="8" spans="1:12" ht="12" customHeight="1">
      <c r="A8" s="37"/>
      <c r="B8" s="41" t="s">
        <v>739</v>
      </c>
      <c r="C8" s="39" t="s">
        <v>740</v>
      </c>
      <c r="D8" s="29"/>
      <c r="E8" s="29"/>
      <c r="F8" s="178"/>
      <c r="G8" s="60"/>
      <c r="H8" s="628"/>
      <c r="I8" s="11"/>
    </row>
    <row r="9" spans="1:12" ht="12" customHeight="1">
      <c r="A9" s="38" t="s">
        <v>741</v>
      </c>
      <c r="B9" s="41" t="s">
        <v>742</v>
      </c>
      <c r="C9" s="42" t="s">
        <v>743</v>
      </c>
      <c r="D9" s="29"/>
      <c r="E9" s="29"/>
      <c r="F9" s="178"/>
      <c r="G9" s="60"/>
      <c r="H9" s="628"/>
      <c r="I9" s="11"/>
    </row>
    <row r="10" spans="1:12" ht="12" customHeight="1">
      <c r="A10" s="40" t="s">
        <v>744</v>
      </c>
      <c r="B10" s="41" t="s">
        <v>745</v>
      </c>
      <c r="C10" s="44" t="s">
        <v>746</v>
      </c>
      <c r="D10" s="29"/>
      <c r="E10" s="43"/>
      <c r="F10" s="178"/>
      <c r="G10" s="60"/>
      <c r="H10" s="628"/>
      <c r="I10" s="11"/>
    </row>
    <row r="11" spans="1:12" ht="12" customHeight="1">
      <c r="A11" s="40" t="s">
        <v>747</v>
      </c>
      <c r="B11" s="41" t="s">
        <v>748</v>
      </c>
      <c r="C11" s="45" t="s">
        <v>749</v>
      </c>
      <c r="D11" s="29"/>
      <c r="E11" s="29"/>
      <c r="F11" s="178"/>
      <c r="G11" s="60"/>
      <c r="H11" s="628"/>
      <c r="I11" s="11"/>
    </row>
    <row r="12" spans="1:12" ht="12" customHeight="1">
      <c r="A12" s="38" t="s">
        <v>750</v>
      </c>
      <c r="B12" s="41" t="s">
        <v>751</v>
      </c>
      <c r="C12" s="46" t="s">
        <v>752</v>
      </c>
      <c r="D12" s="29"/>
      <c r="E12" s="29"/>
      <c r="F12" s="178"/>
      <c r="G12" s="60"/>
      <c r="H12" s="628"/>
      <c r="I12" s="11"/>
    </row>
    <row r="13" spans="1:12" ht="12" customHeight="1">
      <c r="A13" s="40" t="s">
        <v>753</v>
      </c>
      <c r="B13" s="41" t="s">
        <v>754</v>
      </c>
      <c r="C13" s="33" t="s">
        <v>755</v>
      </c>
      <c r="D13" s="29"/>
      <c r="E13" s="29"/>
      <c r="F13" s="178"/>
      <c r="G13" s="60"/>
      <c r="H13" s="628"/>
      <c r="I13" s="11"/>
    </row>
    <row r="14" spans="1:12" ht="12" customHeight="1">
      <c r="A14" s="40" t="s">
        <v>756</v>
      </c>
      <c r="B14" s="41" t="s">
        <v>757</v>
      </c>
      <c r="C14" s="33" t="s">
        <v>758</v>
      </c>
      <c r="D14" s="29"/>
      <c r="E14" s="29"/>
      <c r="F14" s="178"/>
      <c r="G14" s="60"/>
      <c r="H14" s="628"/>
      <c r="I14" s="11"/>
    </row>
    <row r="15" spans="1:12" ht="12" customHeight="1">
      <c r="A15" s="40" t="s">
        <v>759</v>
      </c>
      <c r="B15" s="41" t="s">
        <v>760</v>
      </c>
      <c r="C15" s="33" t="s">
        <v>761</v>
      </c>
      <c r="D15" s="29"/>
      <c r="E15" s="29"/>
      <c r="F15" s="178"/>
      <c r="G15" s="60"/>
      <c r="H15" s="628"/>
      <c r="I15" s="11"/>
    </row>
    <row r="16" spans="1:12" ht="12" customHeight="1">
      <c r="A16" s="40" t="s">
        <v>762</v>
      </c>
      <c r="B16" s="41" t="s">
        <v>763</v>
      </c>
      <c r="C16" s="33" t="s">
        <v>764</v>
      </c>
      <c r="D16" s="29"/>
      <c r="E16" s="29"/>
      <c r="F16" s="178"/>
      <c r="G16" s="60"/>
      <c r="H16" s="628"/>
      <c r="I16" s="11"/>
    </row>
    <row r="17" spans="1:9" ht="12" customHeight="1" thickBot="1">
      <c r="A17" s="40"/>
      <c r="B17" s="41" t="s">
        <v>765</v>
      </c>
      <c r="C17" s="47"/>
      <c r="D17" s="29"/>
      <c r="E17" s="48"/>
      <c r="F17" s="178"/>
      <c r="G17" s="1182"/>
      <c r="H17" s="628"/>
      <c r="I17" s="11"/>
    </row>
    <row r="18" spans="1:9" ht="22.5" customHeight="1" thickBot="1">
      <c r="A18" s="49"/>
      <c r="B18" s="50" t="s">
        <v>766</v>
      </c>
      <c r="C18" s="51"/>
      <c r="D18" s="52"/>
      <c r="E18" s="27"/>
      <c r="F18" s="1058"/>
      <c r="G18" s="1180"/>
      <c r="H18" s="1151"/>
      <c r="I18" s="12"/>
    </row>
    <row r="19" spans="1:9" ht="12" customHeight="1">
      <c r="A19" s="692" t="s">
        <v>767</v>
      </c>
      <c r="B19" s="54" t="s">
        <v>768</v>
      </c>
      <c r="C19" s="53" t="s">
        <v>769</v>
      </c>
      <c r="D19" s="55"/>
      <c r="E19" s="55"/>
      <c r="F19" s="56"/>
      <c r="G19" s="29"/>
      <c r="H19" s="554"/>
      <c r="I19" s="11"/>
    </row>
    <row r="20" spans="1:9" ht="11.15" customHeight="1">
      <c r="A20" s="41" t="s">
        <v>770</v>
      </c>
      <c r="B20" s="57" t="s">
        <v>23381</v>
      </c>
      <c r="C20" s="58" t="s">
        <v>771</v>
      </c>
      <c r="D20" s="59"/>
      <c r="E20" s="29"/>
      <c r="F20" s="60"/>
      <c r="G20" s="29"/>
      <c r="H20" s="554"/>
      <c r="I20" s="11"/>
    </row>
    <row r="21" spans="1:9" ht="11.15" customHeight="1">
      <c r="A21" s="41" t="s">
        <v>772</v>
      </c>
      <c r="B21" s="57" t="s">
        <v>23382</v>
      </c>
      <c r="C21" s="58" t="s">
        <v>773</v>
      </c>
      <c r="D21" s="59"/>
      <c r="E21" s="59"/>
      <c r="F21" s="60"/>
      <c r="G21" s="29"/>
      <c r="H21" s="554"/>
      <c r="I21" s="11"/>
    </row>
    <row r="22" spans="1:9" ht="11.15" customHeight="1">
      <c r="A22" s="41" t="s">
        <v>774</v>
      </c>
      <c r="B22" s="57" t="s">
        <v>23383</v>
      </c>
      <c r="C22" s="58" t="s">
        <v>773</v>
      </c>
      <c r="D22" s="59"/>
      <c r="E22" s="29"/>
      <c r="F22" s="60"/>
      <c r="G22" s="29"/>
      <c r="H22" s="554"/>
      <c r="I22" s="11"/>
    </row>
    <row r="23" spans="1:9" ht="11.15" customHeight="1">
      <c r="A23" s="41" t="s">
        <v>775</v>
      </c>
      <c r="B23" s="57" t="s">
        <v>23384</v>
      </c>
      <c r="C23" s="58" t="s">
        <v>776</v>
      </c>
      <c r="D23" s="59"/>
      <c r="E23" s="29"/>
      <c r="F23" s="60"/>
      <c r="G23" s="29"/>
      <c r="H23" s="554"/>
      <c r="I23" s="11"/>
    </row>
    <row r="24" spans="1:9" ht="6" customHeight="1">
      <c r="A24" s="41"/>
      <c r="B24" s="57"/>
      <c r="C24" s="58"/>
      <c r="D24" s="59"/>
      <c r="E24" s="59"/>
      <c r="F24" s="60"/>
      <c r="G24" s="29"/>
      <c r="H24" s="554"/>
      <c r="I24" s="1131"/>
    </row>
    <row r="25" spans="1:9" ht="12" customHeight="1">
      <c r="A25" s="1284" t="s">
        <v>777</v>
      </c>
      <c r="B25" s="57" t="s">
        <v>768</v>
      </c>
      <c r="C25" s="29"/>
      <c r="D25" s="59"/>
      <c r="E25" s="59"/>
      <c r="F25" s="60"/>
      <c r="G25" s="29"/>
      <c r="H25" s="554"/>
      <c r="I25" s="11"/>
    </row>
    <row r="26" spans="1:9" ht="11.15" customHeight="1">
      <c r="A26" s="41" t="s">
        <v>778</v>
      </c>
      <c r="B26" s="57" t="s">
        <v>23385</v>
      </c>
      <c r="C26" s="63" t="s">
        <v>779</v>
      </c>
      <c r="D26" s="59"/>
      <c r="E26" s="59"/>
      <c r="F26" s="60"/>
      <c r="G26" s="29"/>
      <c r="H26" s="554"/>
      <c r="I26" s="11"/>
    </row>
    <row r="27" spans="1:9" ht="11.15" customHeight="1">
      <c r="A27" s="41" t="s">
        <v>780</v>
      </c>
      <c r="B27" s="57" t="s">
        <v>23386</v>
      </c>
      <c r="C27" s="58" t="s">
        <v>781</v>
      </c>
      <c r="D27" s="59"/>
      <c r="E27" s="59"/>
      <c r="F27" s="60"/>
      <c r="G27" s="29"/>
      <c r="H27" s="554"/>
      <c r="I27" s="11"/>
    </row>
    <row r="28" spans="1:9" ht="11.15" customHeight="1">
      <c r="A28" s="41" t="s">
        <v>782</v>
      </c>
      <c r="B28" s="57" t="s">
        <v>23387</v>
      </c>
      <c r="C28" s="58" t="s">
        <v>781</v>
      </c>
      <c r="D28" s="59"/>
      <c r="E28" s="59"/>
      <c r="F28" s="60"/>
      <c r="G28" s="29"/>
      <c r="H28" s="554"/>
      <c r="I28" s="11"/>
    </row>
    <row r="29" spans="1:9" ht="11.15" customHeight="1">
      <c r="A29" s="41" t="s">
        <v>783</v>
      </c>
      <c r="B29" s="57" t="s">
        <v>23388</v>
      </c>
      <c r="C29" s="58" t="s">
        <v>784</v>
      </c>
      <c r="D29" s="59"/>
      <c r="E29" s="59"/>
      <c r="F29" s="60"/>
      <c r="G29" s="29"/>
      <c r="H29" s="554"/>
      <c r="I29" s="11"/>
    </row>
    <row r="30" spans="1:9" ht="11.15" customHeight="1">
      <c r="A30" s="41" t="s">
        <v>785</v>
      </c>
      <c r="B30" s="57" t="s">
        <v>23389</v>
      </c>
      <c r="C30" s="58" t="s">
        <v>786</v>
      </c>
      <c r="D30" s="59"/>
      <c r="E30" s="59"/>
      <c r="F30" s="60"/>
      <c r="G30" s="29"/>
      <c r="H30" s="554"/>
      <c r="I30" s="11"/>
    </row>
    <row r="31" spans="1:9" ht="11.15" customHeight="1">
      <c r="A31" s="41" t="s">
        <v>787</v>
      </c>
      <c r="B31" s="57" t="s">
        <v>23390</v>
      </c>
      <c r="C31" s="58" t="s">
        <v>788</v>
      </c>
      <c r="D31" s="59"/>
      <c r="E31" s="59"/>
      <c r="F31" s="60"/>
      <c r="G31" s="29"/>
      <c r="H31" s="554"/>
      <c r="I31" s="11"/>
    </row>
    <row r="32" spans="1:9" ht="11.15" customHeight="1" thickBot="1">
      <c r="A32" s="636" t="s">
        <v>789</v>
      </c>
      <c r="B32" s="57" t="s">
        <v>23391</v>
      </c>
      <c r="C32" s="58" t="s">
        <v>790</v>
      </c>
      <c r="D32" s="59"/>
      <c r="E32" s="59"/>
      <c r="F32" s="60"/>
      <c r="G32" s="29"/>
      <c r="H32" s="554"/>
      <c r="I32" s="11"/>
    </row>
    <row r="33" spans="1:9" ht="24" customHeight="1" thickBot="1">
      <c r="A33" s="49"/>
      <c r="B33" s="64" t="s">
        <v>791</v>
      </c>
      <c r="C33" s="51"/>
      <c r="D33" s="52"/>
      <c r="E33" s="27"/>
      <c r="F33" s="1058"/>
      <c r="G33" s="1180"/>
      <c r="H33" s="1151"/>
      <c r="I33" s="12"/>
    </row>
    <row r="34" spans="1:9" ht="15" customHeight="1">
      <c r="A34" s="65" t="s">
        <v>792</v>
      </c>
      <c r="B34" s="59"/>
      <c r="C34" s="66"/>
      <c r="D34" s="66"/>
      <c r="E34" s="66"/>
      <c r="F34" s="67"/>
      <c r="G34" s="68"/>
      <c r="H34" s="67"/>
      <c r="I34" s="11"/>
    </row>
    <row r="35" spans="1:9" ht="54" customHeight="1">
      <c r="A35" s="1116"/>
      <c r="B35" s="1116"/>
      <c r="C35" s="1116"/>
      <c r="D35" s="1116"/>
      <c r="E35" s="1116"/>
      <c r="F35" s="1116"/>
      <c r="G35" s="1183"/>
      <c r="H35" s="1116"/>
      <c r="I35" s="12"/>
    </row>
    <row r="36" spans="1:9" ht="5.15" customHeight="1">
      <c r="A36" s="1048"/>
      <c r="B36" s="1048"/>
      <c r="C36" s="1048"/>
      <c r="D36" s="1048"/>
      <c r="E36" s="1048"/>
      <c r="F36" s="1059"/>
      <c r="G36" s="1059"/>
      <c r="H36" s="1048"/>
      <c r="I36" s="12"/>
    </row>
    <row r="37" spans="1:9" ht="15" customHeight="1">
      <c r="A37" s="65" t="s">
        <v>793</v>
      </c>
      <c r="B37" s="59"/>
      <c r="C37" s="85"/>
      <c r="D37" s="85"/>
      <c r="E37" s="85"/>
      <c r="F37" s="67"/>
      <c r="G37" s="74"/>
      <c r="H37" s="67"/>
      <c r="I37" s="11"/>
    </row>
    <row r="38" spans="1:9" ht="77.25" customHeight="1">
      <c r="A38" s="1117"/>
      <c r="B38" s="1117"/>
      <c r="C38" s="1117"/>
      <c r="D38" s="1117"/>
      <c r="E38" s="1117"/>
      <c r="F38" s="1117"/>
      <c r="G38" s="1184"/>
      <c r="H38" s="1117"/>
      <c r="I38" s="11"/>
    </row>
    <row r="39" spans="1:9" ht="9.75" customHeight="1">
      <c r="A39" s="86"/>
      <c r="B39" s="87"/>
      <c r="C39" s="88"/>
      <c r="D39" s="89"/>
      <c r="E39" s="90"/>
      <c r="F39" s="59"/>
      <c r="G39" s="74"/>
      <c r="H39" s="90"/>
      <c r="I39" s="12"/>
    </row>
    <row r="40" spans="1:9" ht="15" customHeight="1">
      <c r="A40" s="65" t="s">
        <v>794</v>
      </c>
      <c r="B40" s="59"/>
      <c r="C40" s="66"/>
      <c r="D40" s="66"/>
      <c r="E40" s="66"/>
      <c r="F40" s="67"/>
      <c r="G40" s="68"/>
      <c r="H40" s="67"/>
      <c r="I40" s="11"/>
    </row>
    <row r="41" spans="1:9" ht="29.25" customHeight="1">
      <c r="A41" s="1117"/>
      <c r="B41" s="1117"/>
      <c r="C41" s="1117"/>
      <c r="D41" s="1117"/>
      <c r="E41" s="1117"/>
      <c r="F41" s="1117"/>
      <c r="G41" s="1184"/>
      <c r="H41" s="1117"/>
      <c r="I41" s="11"/>
    </row>
    <row r="42" spans="1:9" ht="6.75" customHeight="1">
      <c r="A42" s="93"/>
      <c r="B42" s="69"/>
      <c r="C42" s="73"/>
      <c r="D42" s="73"/>
      <c r="E42" s="91"/>
      <c r="F42" s="71"/>
      <c r="G42" s="92"/>
      <c r="H42" s="71"/>
      <c r="I42" s="11"/>
    </row>
    <row r="43" spans="1:9" ht="15" customHeight="1">
      <c r="A43" s="65" t="s">
        <v>795</v>
      </c>
      <c r="B43" s="75"/>
      <c r="C43" s="76"/>
      <c r="D43" s="76"/>
      <c r="E43" s="76"/>
      <c r="F43" s="77"/>
      <c r="G43" s="78"/>
      <c r="H43" s="77"/>
      <c r="I43" s="11"/>
    </row>
    <row r="44" spans="1:9" ht="55.5" customHeight="1">
      <c r="A44" s="1117"/>
      <c r="B44" s="1117"/>
      <c r="C44" s="1117"/>
      <c r="D44" s="1117"/>
      <c r="E44" s="1117"/>
      <c r="F44" s="1117"/>
      <c r="G44" s="1184"/>
      <c r="H44" s="1117"/>
      <c r="I44" s="11"/>
    </row>
    <row r="45" spans="1:9" ht="0.65" customHeight="1" thickBot="1">
      <c r="A45" s="94"/>
      <c r="B45" s="69"/>
      <c r="C45" s="70"/>
      <c r="D45" s="70"/>
      <c r="E45" s="70"/>
      <c r="F45" s="71"/>
      <c r="G45" s="72"/>
      <c r="H45" s="71"/>
      <c r="I45" s="11"/>
    </row>
    <row r="46" spans="1:9" ht="24" customHeight="1" thickBot="1">
      <c r="A46" s="80"/>
      <c r="B46" s="81" t="s">
        <v>796</v>
      </c>
      <c r="C46" s="82"/>
      <c r="D46" s="82"/>
      <c r="E46" s="83"/>
      <c r="F46" s="84"/>
      <c r="G46" s="103"/>
      <c r="H46" s="1152"/>
      <c r="I46" s="11"/>
    </row>
    <row r="47" spans="1:9" ht="15" customHeight="1">
      <c r="A47" s="65" t="s">
        <v>797</v>
      </c>
      <c r="B47" s="59"/>
      <c r="C47" s="66"/>
      <c r="D47" s="66"/>
      <c r="E47" s="66"/>
      <c r="F47" s="67"/>
      <c r="G47" s="68"/>
      <c r="H47" s="67"/>
      <c r="I47" s="11"/>
    </row>
    <row r="48" spans="1:9" ht="140.5" customHeight="1">
      <c r="A48" s="1118"/>
      <c r="B48" s="1118"/>
      <c r="C48" s="1118"/>
      <c r="D48" s="1118"/>
      <c r="E48" s="1118"/>
      <c r="F48" s="1118"/>
      <c r="G48" s="1185"/>
      <c r="H48" s="1118"/>
      <c r="I48" s="11"/>
    </row>
    <row r="49" spans="1:9" ht="15" customHeight="1">
      <c r="A49" s="65" t="s">
        <v>798</v>
      </c>
      <c r="B49" s="75"/>
      <c r="C49" s="76"/>
      <c r="D49" s="76"/>
      <c r="E49" s="76"/>
      <c r="F49" s="77"/>
      <c r="G49" s="78"/>
      <c r="H49" s="77"/>
      <c r="I49" s="11"/>
    </row>
    <row r="50" spans="1:9" ht="148" customHeight="1">
      <c r="A50" s="1117"/>
      <c r="B50" s="1117"/>
      <c r="C50" s="1117"/>
      <c r="D50" s="1117"/>
      <c r="E50" s="1117"/>
      <c r="F50" s="1117"/>
      <c r="G50" s="1184"/>
      <c r="H50" s="1117"/>
      <c r="I50" s="11"/>
    </row>
    <row r="51" spans="1:9" ht="3.65" customHeight="1">
      <c r="A51" s="95"/>
      <c r="B51" s="59"/>
      <c r="C51" s="85"/>
      <c r="D51" s="85"/>
      <c r="E51" s="85"/>
      <c r="F51" s="96"/>
      <c r="G51" s="74"/>
      <c r="H51" s="96"/>
      <c r="I51" s="11"/>
    </row>
    <row r="52" spans="1:9" ht="15" customHeight="1">
      <c r="A52" s="97" t="s">
        <v>799</v>
      </c>
      <c r="B52" s="59"/>
      <c r="C52" s="98"/>
      <c r="D52" s="98"/>
      <c r="E52" s="66"/>
      <c r="F52" s="67"/>
      <c r="G52" s="68"/>
      <c r="H52" s="67"/>
      <c r="I52" s="11"/>
    </row>
    <row r="53" spans="1:9" ht="42" customHeight="1">
      <c r="A53" s="1117"/>
      <c r="B53" s="1117"/>
      <c r="C53" s="1117"/>
      <c r="D53" s="1117"/>
      <c r="E53" s="1117"/>
      <c r="F53" s="1117"/>
      <c r="G53" s="1184"/>
      <c r="H53" s="1117"/>
      <c r="I53" s="11"/>
    </row>
    <row r="54" spans="1:9" ht="6.75" customHeight="1">
      <c r="A54" s="95"/>
      <c r="B54" s="59"/>
      <c r="C54" s="100"/>
      <c r="D54" s="100"/>
      <c r="E54" s="85"/>
      <c r="F54" s="96"/>
      <c r="G54" s="74"/>
      <c r="H54" s="96"/>
      <c r="I54" s="11"/>
    </row>
    <row r="55" spans="1:9" ht="15" customHeight="1">
      <c r="A55" s="65" t="s">
        <v>800</v>
      </c>
      <c r="B55" s="59"/>
      <c r="C55" s="66"/>
      <c r="D55" s="66"/>
      <c r="E55" s="66"/>
      <c r="F55" s="67"/>
      <c r="G55" s="68"/>
      <c r="H55" s="67"/>
      <c r="I55" s="11"/>
    </row>
    <row r="56" spans="1:9" ht="79.5" customHeight="1">
      <c r="A56" s="1117"/>
      <c r="B56" s="1117"/>
      <c r="C56" s="1117"/>
      <c r="D56" s="1117"/>
      <c r="E56" s="1117"/>
      <c r="F56" s="1117"/>
      <c r="G56" s="1184"/>
      <c r="H56" s="1117"/>
      <c r="I56" s="11"/>
    </row>
    <row r="57" spans="1:9" ht="5.15" customHeight="1">
      <c r="A57" s="95"/>
      <c r="B57" s="59"/>
      <c r="C57" s="85"/>
      <c r="D57" s="85"/>
      <c r="E57" s="85"/>
      <c r="F57" s="96"/>
      <c r="G57" s="74"/>
      <c r="H57" s="96"/>
      <c r="I57" s="11"/>
    </row>
    <row r="58" spans="1:9" ht="16" customHeight="1">
      <c r="A58" s="101" t="s">
        <v>801</v>
      </c>
      <c r="B58" s="59"/>
      <c r="C58" s="66"/>
      <c r="D58" s="66"/>
      <c r="E58" s="66"/>
      <c r="F58" s="67"/>
      <c r="G58" s="68"/>
      <c r="H58" s="67"/>
      <c r="I58" s="11"/>
    </row>
    <row r="59" spans="1:9" ht="25.5" customHeight="1">
      <c r="A59" s="1117"/>
      <c r="B59" s="1117"/>
      <c r="C59" s="1117"/>
      <c r="D59" s="1117"/>
      <c r="E59" s="1117"/>
      <c r="F59" s="1117"/>
      <c r="G59" s="1184"/>
      <c r="H59" s="1117"/>
      <c r="I59" s="11"/>
    </row>
    <row r="60" spans="1:9" ht="6.75" customHeight="1">
      <c r="A60" s="102"/>
      <c r="B60" s="59"/>
      <c r="C60" s="66"/>
      <c r="D60" s="66"/>
      <c r="E60" s="66"/>
      <c r="F60" s="96"/>
      <c r="G60" s="68"/>
      <c r="H60" s="96"/>
      <c r="I60" s="11"/>
    </row>
    <row r="61" spans="1:9" ht="15" customHeight="1">
      <c r="A61" s="65" t="s">
        <v>802</v>
      </c>
      <c r="B61" s="59"/>
      <c r="C61" s="66"/>
      <c r="D61" s="66"/>
      <c r="E61" s="66"/>
      <c r="F61" s="67"/>
      <c r="G61" s="68"/>
      <c r="H61" s="67"/>
      <c r="I61" s="11"/>
    </row>
    <row r="62" spans="1:9" ht="50.25" customHeight="1">
      <c r="A62" s="1117"/>
      <c r="B62" s="1117"/>
      <c r="C62" s="1117"/>
      <c r="D62" s="1117"/>
      <c r="E62" s="1117"/>
      <c r="F62" s="1117"/>
      <c r="G62" s="1184"/>
      <c r="H62" s="1117"/>
      <c r="I62" s="11"/>
    </row>
    <row r="63" spans="1:9" ht="8.15" customHeight="1">
      <c r="A63" s="95"/>
      <c r="B63" s="59"/>
      <c r="C63" s="85"/>
      <c r="D63" s="85"/>
      <c r="E63" s="85"/>
      <c r="F63" s="96"/>
      <c r="G63" s="74"/>
      <c r="H63" s="96"/>
      <c r="I63" s="11"/>
    </row>
    <row r="64" spans="1:9" ht="15" customHeight="1">
      <c r="A64" s="65" t="s">
        <v>803</v>
      </c>
      <c r="B64" s="59"/>
      <c r="C64" s="66"/>
      <c r="D64" s="66"/>
      <c r="E64" s="66"/>
      <c r="F64" s="67"/>
      <c r="G64" s="68"/>
      <c r="H64" s="67"/>
      <c r="I64" s="11"/>
    </row>
    <row r="65" spans="1:9" ht="113.15" customHeight="1">
      <c r="A65" s="1118"/>
      <c r="B65" s="1118"/>
      <c r="C65" s="1118"/>
      <c r="D65" s="1118"/>
      <c r="E65" s="1118"/>
      <c r="F65" s="1118"/>
      <c r="G65" s="1185"/>
      <c r="H65" s="1118"/>
      <c r="I65" s="11"/>
    </row>
    <row r="66" spans="1:9" ht="6.75" customHeight="1">
      <c r="A66" s="86"/>
      <c r="B66" s="87"/>
      <c r="C66" s="88"/>
      <c r="D66" s="89"/>
      <c r="E66" s="90"/>
      <c r="F66" s="59"/>
      <c r="G66" s="74"/>
      <c r="H66" s="90"/>
      <c r="I66" s="12"/>
    </row>
    <row r="67" spans="1:9" ht="15" customHeight="1">
      <c r="A67" s="65" t="s">
        <v>804</v>
      </c>
      <c r="B67" s="59"/>
      <c r="C67" s="66"/>
      <c r="D67" s="66"/>
      <c r="E67" s="66"/>
      <c r="F67" s="67"/>
      <c r="G67" s="68"/>
      <c r="H67" s="67"/>
      <c r="I67" s="11"/>
    </row>
    <row r="68" spans="1:9" ht="33.65" customHeight="1">
      <c r="A68" s="1117"/>
      <c r="B68" s="1117"/>
      <c r="C68" s="1117"/>
      <c r="D68" s="1117"/>
      <c r="E68" s="1117"/>
      <c r="F68" s="1117"/>
      <c r="G68" s="1184"/>
      <c r="H68" s="1117"/>
      <c r="I68" s="11"/>
    </row>
    <row r="69" spans="1:9" ht="2.5" customHeight="1" thickBot="1">
      <c r="A69" s="73"/>
      <c r="B69" s="69"/>
      <c r="C69" s="91"/>
      <c r="D69" s="91"/>
      <c r="E69" s="91"/>
      <c r="F69" s="71"/>
      <c r="G69" s="92"/>
      <c r="H69" s="71"/>
      <c r="I69" s="11"/>
    </row>
    <row r="70" spans="1:9" ht="24" customHeight="1" thickBot="1">
      <c r="A70" s="80"/>
      <c r="B70" s="81" t="s">
        <v>805</v>
      </c>
      <c r="C70" s="103"/>
      <c r="D70" s="103"/>
      <c r="E70" s="103"/>
      <c r="F70" s="84"/>
      <c r="G70" s="103"/>
      <c r="H70" s="1152"/>
      <c r="I70" s="11"/>
    </row>
    <row r="71" spans="1:9" ht="9" customHeight="1" thickBot="1">
      <c r="A71" s="104"/>
      <c r="B71" s="105"/>
      <c r="C71" s="29"/>
      <c r="D71" s="29"/>
      <c r="E71" s="106"/>
      <c r="F71" s="67"/>
      <c r="G71" s="107"/>
      <c r="H71" s="67"/>
      <c r="I71" s="11"/>
    </row>
    <row r="72" spans="1:9" ht="15" customHeight="1">
      <c r="A72" s="108"/>
      <c r="B72" s="109" t="s">
        <v>806</v>
      </c>
      <c r="C72" s="110"/>
      <c r="D72" s="110"/>
      <c r="E72" s="111"/>
      <c r="F72" s="112"/>
      <c r="G72" s="1156"/>
      <c r="H72" s="1153"/>
      <c r="I72" s="11"/>
    </row>
    <row r="73" spans="1:9" ht="9" customHeight="1">
      <c r="A73" s="113"/>
      <c r="B73" s="59" t="s">
        <v>807</v>
      </c>
      <c r="C73" s="29"/>
      <c r="D73" s="29"/>
      <c r="E73" s="114"/>
      <c r="F73" s="67"/>
      <c r="G73" s="29"/>
      <c r="H73" s="1154"/>
      <c r="I73" s="11"/>
    </row>
    <row r="74" spans="1:9" ht="9" customHeight="1" thickBot="1">
      <c r="A74" s="116"/>
      <c r="B74" s="117" t="s">
        <v>808</v>
      </c>
      <c r="C74" s="48"/>
      <c r="D74" s="48"/>
      <c r="E74" s="118"/>
      <c r="F74" s="119"/>
      <c r="G74" s="48"/>
      <c r="H74" s="1155"/>
      <c r="I74" s="11"/>
    </row>
    <row r="75" spans="1:9" ht="9" customHeight="1" thickBot="1">
      <c r="A75" s="120"/>
      <c r="B75" s="59"/>
      <c r="C75" s="66"/>
      <c r="D75" s="66"/>
      <c r="E75" s="66"/>
      <c r="F75" s="67"/>
      <c r="G75" s="68"/>
      <c r="H75" s="67"/>
      <c r="I75" s="11"/>
    </row>
    <row r="76" spans="1:9" ht="15" customHeight="1">
      <c r="A76" s="108"/>
      <c r="B76" s="109" t="s">
        <v>809</v>
      </c>
      <c r="C76" s="110"/>
      <c r="D76" s="110"/>
      <c r="E76" s="111"/>
      <c r="F76" s="112"/>
      <c r="G76" s="1156"/>
      <c r="H76" s="1153"/>
      <c r="I76" s="11"/>
    </row>
    <row r="77" spans="1:9" ht="10.5" customHeight="1">
      <c r="A77" s="121" t="s">
        <v>4</v>
      </c>
      <c r="B77" s="59"/>
      <c r="C77" s="29"/>
      <c r="D77" s="29"/>
      <c r="E77" s="122"/>
      <c r="F77" s="67"/>
      <c r="G77" s="29"/>
      <c r="H77" s="1154"/>
      <c r="I77" s="11"/>
    </row>
    <row r="78" spans="1:9" ht="10.5" customHeight="1">
      <c r="A78" s="121" t="s">
        <v>6</v>
      </c>
      <c r="B78" s="59" t="s">
        <v>7</v>
      </c>
      <c r="C78" s="29"/>
      <c r="D78" s="29"/>
      <c r="E78" s="122"/>
      <c r="F78" s="67"/>
      <c r="G78" s="29"/>
      <c r="H78" s="1154"/>
      <c r="I78" s="11"/>
    </row>
    <row r="79" spans="1:9" ht="9" customHeight="1" thickBot="1">
      <c r="A79" s="121"/>
      <c r="B79" s="59" t="s">
        <v>20</v>
      </c>
      <c r="C79" s="29"/>
      <c r="D79" s="29"/>
      <c r="E79" s="122"/>
      <c r="F79" s="67"/>
      <c r="G79" s="29"/>
      <c r="H79" s="1154"/>
      <c r="I79" s="11"/>
    </row>
    <row r="80" spans="1:9" ht="9" customHeight="1">
      <c r="A80" s="121"/>
      <c r="B80" s="123" t="s">
        <v>810</v>
      </c>
      <c r="C80" s="29"/>
      <c r="D80" s="29"/>
      <c r="E80" s="122"/>
      <c r="F80" s="67"/>
      <c r="G80" s="29"/>
      <c r="H80" s="1154"/>
      <c r="I80" s="11"/>
    </row>
    <row r="81" spans="1:9" ht="9" customHeight="1">
      <c r="A81" s="121"/>
      <c r="B81" s="124" t="s">
        <v>811</v>
      </c>
      <c r="C81" s="29"/>
      <c r="D81" s="29"/>
      <c r="E81" s="122"/>
      <c r="F81" s="67"/>
      <c r="G81" s="29"/>
      <c r="H81" s="1154"/>
      <c r="I81" s="11"/>
    </row>
    <row r="82" spans="1:9" ht="9" customHeight="1">
      <c r="A82" s="121"/>
      <c r="B82" s="124" t="s">
        <v>123</v>
      </c>
      <c r="C82" s="29"/>
      <c r="D82" s="29"/>
      <c r="E82" s="122"/>
      <c r="F82" s="67"/>
      <c r="G82" s="29"/>
      <c r="H82" s="1154"/>
      <c r="I82" s="11"/>
    </row>
    <row r="83" spans="1:9" ht="9" customHeight="1" thickBot="1">
      <c r="A83" s="121"/>
      <c r="B83" s="125" t="s">
        <v>186</v>
      </c>
      <c r="C83" s="29"/>
      <c r="D83" s="29"/>
      <c r="E83" s="122"/>
      <c r="F83" s="67"/>
      <c r="G83" s="29"/>
      <c r="H83" s="1154"/>
      <c r="I83" s="11"/>
    </row>
    <row r="84" spans="1:9" ht="9" customHeight="1" thickBot="1">
      <c r="A84" s="121"/>
      <c r="B84" s="59" t="s">
        <v>198</v>
      </c>
      <c r="C84" s="29"/>
      <c r="D84" s="29"/>
      <c r="E84" s="122"/>
      <c r="F84" s="67"/>
      <c r="G84" s="29"/>
      <c r="H84" s="1154"/>
      <c r="I84" s="11"/>
    </row>
    <row r="85" spans="1:9" ht="9" customHeight="1">
      <c r="A85" s="121"/>
      <c r="B85" s="123" t="s">
        <v>203</v>
      </c>
      <c r="C85" s="29"/>
      <c r="D85" s="29"/>
      <c r="E85" s="122"/>
      <c r="F85" s="67"/>
      <c r="G85" s="29"/>
      <c r="H85" s="1154"/>
      <c r="I85" s="11"/>
    </row>
    <row r="86" spans="1:9" ht="9" customHeight="1">
      <c r="A86" s="121"/>
      <c r="B86" s="124" t="s">
        <v>812</v>
      </c>
      <c r="C86" s="29"/>
      <c r="D86" s="29"/>
      <c r="E86" s="122"/>
      <c r="F86" s="67"/>
      <c r="G86" s="29"/>
      <c r="H86" s="1154"/>
      <c r="I86" s="11"/>
    </row>
    <row r="87" spans="1:9" ht="9" customHeight="1">
      <c r="A87" s="121"/>
      <c r="B87" s="124" t="s">
        <v>813</v>
      </c>
      <c r="C87" s="29"/>
      <c r="D87" s="29"/>
      <c r="E87" s="122"/>
      <c r="F87" s="67"/>
      <c r="G87" s="29"/>
      <c r="H87" s="1154"/>
      <c r="I87" s="11"/>
    </row>
    <row r="88" spans="1:9" ht="9" customHeight="1">
      <c r="A88" s="121"/>
      <c r="B88" s="124" t="s">
        <v>814</v>
      </c>
      <c r="C88" s="29"/>
      <c r="D88" s="29"/>
      <c r="E88" s="122"/>
      <c r="F88" s="67"/>
      <c r="G88" s="29"/>
      <c r="H88" s="1154"/>
      <c r="I88" s="11"/>
    </row>
    <row r="89" spans="1:9" ht="9" customHeight="1" thickBot="1">
      <c r="A89" s="121"/>
      <c r="B89" s="125" t="s">
        <v>815</v>
      </c>
      <c r="C89" s="29"/>
      <c r="D89" s="29"/>
      <c r="E89" s="122"/>
      <c r="F89" s="67"/>
      <c r="G89" s="29"/>
      <c r="H89" s="1154"/>
      <c r="I89" s="11"/>
    </row>
    <row r="90" spans="1:9" ht="9" customHeight="1">
      <c r="A90" s="121"/>
      <c r="B90" s="59" t="s">
        <v>285</v>
      </c>
      <c r="C90" s="29"/>
      <c r="D90" s="29"/>
      <c r="E90" s="122"/>
      <c r="F90" s="67"/>
      <c r="G90" s="29"/>
      <c r="H90" s="1154"/>
      <c r="I90" s="11"/>
    </row>
    <row r="91" spans="1:9" ht="9" customHeight="1">
      <c r="A91" s="121"/>
      <c r="B91" s="59" t="s">
        <v>816</v>
      </c>
      <c r="C91" s="29"/>
      <c r="D91" s="29"/>
      <c r="E91" s="122"/>
      <c r="F91" s="67"/>
      <c r="G91" s="29"/>
      <c r="H91" s="1154"/>
      <c r="I91" s="11"/>
    </row>
    <row r="92" spans="1:9" ht="9" customHeight="1" thickBot="1">
      <c r="A92" s="121"/>
      <c r="B92" s="59" t="s">
        <v>291</v>
      </c>
      <c r="C92" s="29"/>
      <c r="D92" s="29"/>
      <c r="E92" s="122"/>
      <c r="F92" s="67"/>
      <c r="G92" s="29"/>
      <c r="H92" s="1154"/>
      <c r="I92" s="11"/>
    </row>
    <row r="93" spans="1:9" ht="9" customHeight="1">
      <c r="A93" s="121"/>
      <c r="B93" s="123" t="s">
        <v>307</v>
      </c>
      <c r="C93" s="29"/>
      <c r="D93" s="29"/>
      <c r="E93" s="122"/>
      <c r="F93" s="67"/>
      <c r="G93" s="29"/>
      <c r="H93" s="1154"/>
      <c r="I93" s="11"/>
    </row>
    <row r="94" spans="1:9" ht="9" customHeight="1" thickBot="1">
      <c r="A94" s="121"/>
      <c r="B94" s="125" t="s">
        <v>317</v>
      </c>
      <c r="C94" s="29"/>
      <c r="D94" s="29"/>
      <c r="E94" s="122"/>
      <c r="F94" s="67"/>
      <c r="G94" s="29"/>
      <c r="H94" s="1154"/>
      <c r="I94" s="11"/>
    </row>
    <row r="95" spans="1:9" ht="9" customHeight="1">
      <c r="A95" s="121"/>
      <c r="B95" s="59" t="s">
        <v>817</v>
      </c>
      <c r="C95" s="29"/>
      <c r="D95" s="29"/>
      <c r="E95" s="122"/>
      <c r="F95" s="67"/>
      <c r="G95" s="29"/>
      <c r="H95" s="1154"/>
      <c r="I95" s="11"/>
    </row>
    <row r="96" spans="1:9" ht="10.5" customHeight="1" thickBot="1">
      <c r="A96" s="121" t="s">
        <v>345</v>
      </c>
      <c r="B96" s="59" t="s">
        <v>818</v>
      </c>
      <c r="C96" s="29"/>
      <c r="D96" s="29"/>
      <c r="E96" s="122"/>
      <c r="F96" s="67"/>
      <c r="G96" s="29"/>
      <c r="H96" s="1154"/>
      <c r="I96" s="11"/>
    </row>
    <row r="97" spans="1:9" ht="9" customHeight="1">
      <c r="A97" s="121"/>
      <c r="B97" s="123" t="s">
        <v>819</v>
      </c>
      <c r="C97" s="29"/>
      <c r="D97" s="29"/>
      <c r="E97" s="122"/>
      <c r="F97" s="67"/>
      <c r="G97" s="29"/>
      <c r="H97" s="1154"/>
      <c r="I97" s="11"/>
    </row>
    <row r="98" spans="1:9" ht="9" customHeight="1">
      <c r="A98" s="121"/>
      <c r="B98" s="124" t="s">
        <v>820</v>
      </c>
      <c r="C98" s="29"/>
      <c r="D98" s="29"/>
      <c r="E98" s="122"/>
      <c r="F98" s="67"/>
      <c r="G98" s="29"/>
      <c r="H98" s="1154"/>
      <c r="I98" s="11"/>
    </row>
    <row r="99" spans="1:9" ht="9" customHeight="1">
      <c r="A99" s="121"/>
      <c r="B99" s="124" t="s">
        <v>821</v>
      </c>
      <c r="C99" s="29"/>
      <c r="D99" s="29"/>
      <c r="E99" s="122"/>
      <c r="F99" s="67"/>
      <c r="G99" s="29"/>
      <c r="H99" s="1154"/>
      <c r="I99" s="11"/>
    </row>
    <row r="100" spans="1:9" ht="9" customHeight="1" thickBot="1">
      <c r="A100" s="121"/>
      <c r="B100" s="125" t="s">
        <v>822</v>
      </c>
      <c r="C100" s="29"/>
      <c r="D100" s="29"/>
      <c r="E100" s="122"/>
      <c r="F100" s="67"/>
      <c r="G100" s="29"/>
      <c r="H100" s="1154"/>
      <c r="I100" s="11"/>
    </row>
    <row r="101" spans="1:9" ht="9" customHeight="1">
      <c r="A101" s="121"/>
      <c r="B101" s="59" t="s">
        <v>387</v>
      </c>
      <c r="C101" s="29"/>
      <c r="D101" s="29"/>
      <c r="E101" s="122"/>
      <c r="F101" s="67"/>
      <c r="G101" s="29"/>
      <c r="H101" s="1154"/>
      <c r="I101" s="11"/>
    </row>
    <row r="102" spans="1:9" ht="9" customHeight="1">
      <c r="A102" s="121"/>
      <c r="B102" s="59" t="s">
        <v>823</v>
      </c>
      <c r="C102" s="29"/>
      <c r="D102" s="29"/>
      <c r="E102" s="122"/>
      <c r="F102" s="67"/>
      <c r="G102" s="29"/>
      <c r="H102" s="1154"/>
      <c r="I102" s="11"/>
    </row>
    <row r="103" spans="1:9" ht="9" customHeight="1">
      <c r="A103" s="121"/>
      <c r="B103" s="59" t="s">
        <v>396</v>
      </c>
      <c r="C103" s="29"/>
      <c r="D103" s="29"/>
      <c r="E103" s="122"/>
      <c r="F103" s="67"/>
      <c r="G103" s="29"/>
      <c r="H103" s="1154"/>
      <c r="I103" s="11"/>
    </row>
    <row r="104" spans="1:9" ht="9" customHeight="1" thickBot="1">
      <c r="A104" s="121"/>
      <c r="B104" s="59" t="s">
        <v>824</v>
      </c>
      <c r="C104" s="29"/>
      <c r="D104" s="29"/>
      <c r="E104" s="122"/>
      <c r="F104" s="67"/>
      <c r="G104" s="29"/>
      <c r="H104" s="1154"/>
      <c r="I104" s="11"/>
    </row>
    <row r="105" spans="1:9" ht="9" customHeight="1">
      <c r="A105" s="121"/>
      <c r="B105" s="123" t="s">
        <v>825</v>
      </c>
      <c r="C105" s="29"/>
      <c r="D105" s="29"/>
      <c r="E105" s="122"/>
      <c r="F105" s="67"/>
      <c r="G105" s="29"/>
      <c r="H105" s="1154"/>
      <c r="I105" s="11"/>
    </row>
    <row r="106" spans="1:9" ht="9" customHeight="1" thickBot="1">
      <c r="A106" s="121"/>
      <c r="B106" s="125" t="s">
        <v>826</v>
      </c>
      <c r="C106" s="29"/>
      <c r="D106" s="29"/>
      <c r="E106" s="122"/>
      <c r="F106" s="67"/>
      <c r="G106" s="29"/>
      <c r="H106" s="1154"/>
      <c r="I106" s="11"/>
    </row>
    <row r="107" spans="1:9" ht="9" customHeight="1">
      <c r="A107" s="121"/>
      <c r="B107" s="126" t="s">
        <v>827</v>
      </c>
      <c r="C107" s="29"/>
      <c r="D107" s="29"/>
      <c r="E107" s="122"/>
      <c r="F107" s="67"/>
      <c r="G107" s="29"/>
      <c r="H107" s="1154"/>
      <c r="I107" s="11"/>
    </row>
    <row r="108" spans="1:9" ht="9" customHeight="1">
      <c r="A108" s="121"/>
      <c r="B108" s="126" t="s">
        <v>828</v>
      </c>
      <c r="C108" s="29"/>
      <c r="D108" s="29"/>
      <c r="E108" s="122"/>
      <c r="F108" s="67"/>
      <c r="G108" s="29"/>
      <c r="H108" s="1154"/>
      <c r="I108" s="11"/>
    </row>
    <row r="109" spans="1:9" ht="9" customHeight="1" thickBot="1">
      <c r="A109" s="121"/>
      <c r="B109" s="126" t="s">
        <v>829</v>
      </c>
      <c r="C109" s="29"/>
      <c r="D109" s="29"/>
      <c r="E109" s="122"/>
      <c r="F109" s="67"/>
      <c r="G109" s="29"/>
      <c r="H109" s="1154"/>
      <c r="I109" s="11"/>
    </row>
    <row r="110" spans="1:9" ht="9" customHeight="1">
      <c r="A110" s="121"/>
      <c r="B110" s="123" t="s">
        <v>830</v>
      </c>
      <c r="C110" s="29"/>
      <c r="D110" s="29"/>
      <c r="E110" s="122"/>
      <c r="F110" s="67"/>
      <c r="G110" s="29"/>
      <c r="H110" s="1154"/>
      <c r="I110" s="11"/>
    </row>
    <row r="111" spans="1:9" ht="9" customHeight="1" thickBot="1">
      <c r="A111" s="121"/>
      <c r="B111" s="125" t="s">
        <v>831</v>
      </c>
      <c r="C111" s="29"/>
      <c r="D111" s="29"/>
      <c r="E111" s="122"/>
      <c r="F111" s="67"/>
      <c r="G111" s="29"/>
      <c r="H111" s="1154"/>
      <c r="I111" s="11"/>
    </row>
    <row r="112" spans="1:9" ht="10.5" customHeight="1">
      <c r="A112" s="121" t="s">
        <v>486</v>
      </c>
      <c r="B112" s="59" t="s">
        <v>832</v>
      </c>
      <c r="C112" s="29"/>
      <c r="D112" s="29"/>
      <c r="E112" s="122"/>
      <c r="F112" s="67"/>
      <c r="G112" s="29"/>
      <c r="H112" s="1154"/>
      <c r="I112" s="11"/>
    </row>
    <row r="113" spans="1:9" ht="9" customHeight="1">
      <c r="A113" s="121"/>
      <c r="B113" s="59" t="s">
        <v>833</v>
      </c>
      <c r="C113" s="29"/>
      <c r="D113" s="29"/>
      <c r="E113" s="122"/>
      <c r="F113" s="67"/>
      <c r="G113" s="29"/>
      <c r="H113" s="1154"/>
      <c r="I113" s="11"/>
    </row>
    <row r="114" spans="1:9" ht="9" customHeight="1">
      <c r="A114" s="121"/>
      <c r="B114" s="59" t="s">
        <v>834</v>
      </c>
      <c r="C114" s="29"/>
      <c r="D114" s="29"/>
      <c r="E114" s="122"/>
      <c r="F114" s="67"/>
      <c r="G114" s="29"/>
      <c r="H114" s="1154"/>
      <c r="I114" s="11"/>
    </row>
    <row r="115" spans="1:9" ht="9" customHeight="1">
      <c r="A115" s="121"/>
      <c r="B115" s="59" t="s">
        <v>835</v>
      </c>
      <c r="C115" s="29"/>
      <c r="D115" s="29"/>
      <c r="E115" s="122"/>
      <c r="F115" s="67"/>
      <c r="G115" s="29"/>
      <c r="H115" s="1154"/>
      <c r="I115" s="11"/>
    </row>
    <row r="116" spans="1:9" ht="10.5" customHeight="1" thickBot="1">
      <c r="A116" s="121" t="s">
        <v>525</v>
      </c>
      <c r="B116" s="59" t="s">
        <v>836</v>
      </c>
      <c r="C116" s="29"/>
      <c r="D116" s="29"/>
      <c r="E116" s="122"/>
      <c r="F116" s="67"/>
      <c r="G116" s="29"/>
      <c r="H116" s="1154"/>
      <c r="I116" s="11"/>
    </row>
    <row r="117" spans="1:9" ht="10.5" customHeight="1">
      <c r="A117" s="121" t="s">
        <v>545</v>
      </c>
      <c r="B117" s="123" t="s">
        <v>837</v>
      </c>
      <c r="C117" s="29"/>
      <c r="D117" s="29"/>
      <c r="E117" s="122"/>
      <c r="F117" s="67"/>
      <c r="G117" s="29"/>
      <c r="H117" s="1154"/>
      <c r="I117" s="11"/>
    </row>
    <row r="118" spans="1:9" ht="9" customHeight="1" thickBot="1">
      <c r="A118" s="121"/>
      <c r="B118" s="125" t="s">
        <v>556</v>
      </c>
      <c r="C118" s="29"/>
      <c r="D118" s="29"/>
      <c r="E118" s="122"/>
      <c r="F118" s="67"/>
      <c r="G118" s="29"/>
      <c r="H118" s="1154"/>
      <c r="I118" s="11"/>
    </row>
    <row r="119" spans="1:9" ht="10.5" customHeight="1">
      <c r="A119" s="121" t="s">
        <v>558</v>
      </c>
      <c r="B119" s="123" t="s">
        <v>838</v>
      </c>
      <c r="C119" s="29"/>
      <c r="D119" s="29"/>
      <c r="E119" s="122"/>
      <c r="F119" s="67"/>
      <c r="G119" s="29"/>
      <c r="H119" s="1154"/>
      <c r="I119" s="11"/>
    </row>
    <row r="120" spans="1:9" ht="10.5" customHeight="1" thickBot="1">
      <c r="A120" s="121"/>
      <c r="B120" s="125" t="s">
        <v>839</v>
      </c>
      <c r="C120" s="29"/>
      <c r="D120" s="29"/>
      <c r="E120" s="122"/>
      <c r="F120" s="67"/>
      <c r="G120" s="29"/>
      <c r="H120" s="1154"/>
      <c r="I120" s="11"/>
    </row>
    <row r="121" spans="1:9" ht="10.5" customHeight="1">
      <c r="A121" s="121" t="s">
        <v>574</v>
      </c>
      <c r="B121" s="59" t="s">
        <v>575</v>
      </c>
      <c r="C121" s="29"/>
      <c r="D121" s="29"/>
      <c r="E121" s="122"/>
      <c r="F121" s="67"/>
      <c r="G121" s="29"/>
      <c r="H121" s="1154"/>
      <c r="I121" s="11"/>
    </row>
    <row r="122" spans="1:9" ht="10.5" customHeight="1">
      <c r="A122" s="121" t="s">
        <v>578</v>
      </c>
      <c r="B122" s="29"/>
      <c r="C122" s="29"/>
      <c r="D122" s="29"/>
      <c r="E122" s="122"/>
      <c r="F122" s="67"/>
      <c r="G122" s="29"/>
      <c r="H122" s="1154"/>
      <c r="I122" s="11"/>
    </row>
    <row r="123" spans="1:9" ht="10.5" customHeight="1">
      <c r="A123" s="121" t="s">
        <v>581</v>
      </c>
      <c r="B123" s="59"/>
      <c r="C123" s="29"/>
      <c r="D123" s="29"/>
      <c r="E123" s="122"/>
      <c r="F123" s="67"/>
      <c r="G123" s="29"/>
      <c r="H123" s="1154"/>
      <c r="I123" s="11"/>
    </row>
    <row r="124" spans="1:9" ht="10.5" customHeight="1">
      <c r="A124" s="121" t="s">
        <v>584</v>
      </c>
      <c r="B124" s="59" t="s">
        <v>840</v>
      </c>
      <c r="C124" s="29"/>
      <c r="D124" s="29"/>
      <c r="E124" s="122"/>
      <c r="F124" s="67"/>
      <c r="G124" s="29"/>
      <c r="H124" s="1154"/>
      <c r="I124" s="11"/>
    </row>
    <row r="125" spans="1:9" ht="10.5" customHeight="1">
      <c r="A125" s="121"/>
      <c r="B125" s="59" t="s">
        <v>841</v>
      </c>
      <c r="C125" s="29"/>
      <c r="D125" s="29"/>
      <c r="E125" s="122"/>
      <c r="F125" s="67"/>
      <c r="G125" s="29"/>
      <c r="H125" s="1154"/>
      <c r="I125" s="11"/>
    </row>
    <row r="126" spans="1:9" ht="10.5" customHeight="1">
      <c r="A126" s="121" t="s">
        <v>598</v>
      </c>
      <c r="B126" s="59" t="s">
        <v>842</v>
      </c>
      <c r="C126" s="29"/>
      <c r="D126" s="29"/>
      <c r="E126" s="122"/>
      <c r="F126" s="67"/>
      <c r="G126" s="29"/>
      <c r="H126" s="1154"/>
      <c r="I126" s="11"/>
    </row>
    <row r="127" spans="1:9" ht="10.5" customHeight="1">
      <c r="A127" s="121"/>
      <c r="B127" s="59" t="s">
        <v>843</v>
      </c>
      <c r="C127" s="29"/>
      <c r="D127" s="29"/>
      <c r="E127" s="122"/>
      <c r="F127" s="67"/>
      <c r="G127" s="29"/>
      <c r="H127" s="1154"/>
      <c r="I127" s="11"/>
    </row>
    <row r="128" spans="1:9" ht="9" customHeight="1">
      <c r="A128" s="121" t="s">
        <v>609</v>
      </c>
      <c r="B128" s="59" t="s">
        <v>844</v>
      </c>
      <c r="C128" s="29"/>
      <c r="D128" s="29"/>
      <c r="E128" s="122"/>
      <c r="F128" s="67"/>
      <c r="G128" s="29"/>
      <c r="H128" s="1154"/>
      <c r="I128" s="11"/>
    </row>
    <row r="129" spans="1:9" ht="10.5" customHeight="1" thickBot="1">
      <c r="A129" s="127" t="s">
        <v>620</v>
      </c>
      <c r="B129" s="117"/>
      <c r="C129" s="118"/>
      <c r="D129" s="118"/>
      <c r="E129" s="118"/>
      <c r="F129" s="119"/>
      <c r="G129" s="119"/>
      <c r="H129" s="1155"/>
      <c r="I129" s="11"/>
    </row>
    <row r="130" spans="1:9" ht="10.5" customHeight="1" thickBot="1">
      <c r="A130" s="128"/>
      <c r="B130" s="59"/>
      <c r="C130" s="129"/>
      <c r="D130" s="129"/>
      <c r="E130" s="66"/>
      <c r="F130" s="67"/>
      <c r="G130" s="68"/>
      <c r="H130" s="67"/>
      <c r="I130" s="11"/>
    </row>
    <row r="131" spans="1:9" ht="9" customHeight="1">
      <c r="A131" s="130"/>
      <c r="B131" s="109" t="s">
        <v>845</v>
      </c>
      <c r="C131" s="110"/>
      <c r="D131" s="110"/>
      <c r="E131" s="111"/>
      <c r="F131" s="112"/>
      <c r="G131" s="1156"/>
      <c r="H131" s="1153"/>
      <c r="I131" s="11"/>
    </row>
    <row r="132" spans="1:9" ht="15" customHeight="1">
      <c r="A132" s="121" t="s">
        <v>631</v>
      </c>
      <c r="B132" s="59" t="s">
        <v>846</v>
      </c>
      <c r="C132" s="29"/>
      <c r="D132" s="29"/>
      <c r="E132" s="122"/>
      <c r="F132" s="67"/>
      <c r="G132" s="122"/>
      <c r="H132" s="1154"/>
      <c r="I132" s="11"/>
    </row>
    <row r="133" spans="1:9" ht="10.5" customHeight="1">
      <c r="A133" s="121" t="s">
        <v>648</v>
      </c>
      <c r="B133" s="59" t="s">
        <v>847</v>
      </c>
      <c r="C133" s="29"/>
      <c r="D133" s="29"/>
      <c r="E133" s="122"/>
      <c r="F133" s="67"/>
      <c r="G133" s="122"/>
      <c r="H133" s="1154"/>
      <c r="I133" s="11"/>
    </row>
    <row r="134" spans="1:9" ht="10.5" customHeight="1" thickBot="1">
      <c r="A134" s="127" t="s">
        <v>658</v>
      </c>
      <c r="B134" s="117" t="s">
        <v>848</v>
      </c>
      <c r="C134" s="118"/>
      <c r="D134" s="118"/>
      <c r="E134" s="118"/>
      <c r="F134" s="119"/>
      <c r="G134" s="118"/>
      <c r="H134" s="1155"/>
      <c r="I134" s="11"/>
    </row>
    <row r="135" spans="1:9" ht="10.5" customHeight="1" thickBot="1">
      <c r="A135" s="131"/>
      <c r="B135" s="59"/>
      <c r="C135" s="129"/>
      <c r="D135" s="129"/>
      <c r="E135" s="66"/>
      <c r="F135" s="67"/>
      <c r="G135" s="68"/>
      <c r="H135" s="67"/>
      <c r="I135" s="11"/>
    </row>
    <row r="136" spans="1:9" ht="9" customHeight="1">
      <c r="A136" s="108"/>
      <c r="B136" s="109" t="s">
        <v>849</v>
      </c>
      <c r="C136" s="110"/>
      <c r="D136" s="110"/>
      <c r="E136" s="132"/>
      <c r="F136" s="112"/>
      <c r="G136" s="1156"/>
      <c r="H136" s="1153"/>
      <c r="I136" s="11"/>
    </row>
    <row r="137" spans="1:9" ht="15" customHeight="1">
      <c r="A137" s="133" t="s">
        <v>850</v>
      </c>
      <c r="B137" s="59" t="s">
        <v>851</v>
      </c>
      <c r="C137" s="29"/>
      <c r="D137" s="29"/>
      <c r="E137" s="122"/>
      <c r="F137" s="67"/>
      <c r="G137" s="122"/>
      <c r="H137" s="1154"/>
      <c r="I137" s="11"/>
    </row>
    <row r="138" spans="1:9" ht="10.5" customHeight="1">
      <c r="A138" s="133"/>
      <c r="B138" s="126" t="s">
        <v>852</v>
      </c>
      <c r="C138" s="29"/>
      <c r="D138" s="29"/>
      <c r="E138" s="122"/>
      <c r="F138" s="67"/>
      <c r="G138" s="122"/>
      <c r="H138" s="1154"/>
      <c r="I138" s="11"/>
    </row>
    <row r="139" spans="1:9" ht="9" customHeight="1">
      <c r="A139" s="133"/>
      <c r="B139" s="59" t="s">
        <v>853</v>
      </c>
      <c r="C139" s="29"/>
      <c r="D139" s="29"/>
      <c r="E139" s="122"/>
      <c r="F139" s="67"/>
      <c r="G139" s="122"/>
      <c r="H139" s="1154"/>
      <c r="I139" s="11"/>
    </row>
    <row r="140" spans="1:9" ht="9" customHeight="1">
      <c r="A140" s="133"/>
      <c r="B140" s="126" t="s">
        <v>854</v>
      </c>
      <c r="C140" s="29"/>
      <c r="D140" s="29"/>
      <c r="E140" s="122"/>
      <c r="F140" s="67"/>
      <c r="G140" s="122"/>
      <c r="H140" s="1154"/>
      <c r="I140" s="11"/>
    </row>
    <row r="141" spans="1:9" ht="9" customHeight="1">
      <c r="A141" s="133"/>
      <c r="B141" s="126"/>
      <c r="C141" s="29"/>
      <c r="D141" s="29"/>
      <c r="E141" s="122"/>
      <c r="F141" s="67"/>
      <c r="G141" s="122"/>
      <c r="H141" s="1154"/>
      <c r="I141" s="11"/>
    </row>
    <row r="142" spans="1:9" ht="9" customHeight="1">
      <c r="A142" s="133" t="s">
        <v>855</v>
      </c>
      <c r="B142" s="58" t="s">
        <v>856</v>
      </c>
      <c r="C142" s="29"/>
      <c r="D142" s="29"/>
      <c r="E142" s="122"/>
      <c r="F142" s="67"/>
      <c r="G142" s="122"/>
      <c r="H142" s="1154"/>
      <c r="I142" s="11"/>
    </row>
    <row r="143" spans="1:9" ht="10.5" customHeight="1">
      <c r="A143" s="133"/>
      <c r="B143" s="58" t="s">
        <v>857</v>
      </c>
      <c r="C143" s="29"/>
      <c r="D143" s="29"/>
      <c r="E143" s="122"/>
      <c r="F143" s="67"/>
      <c r="G143" s="122"/>
      <c r="H143" s="1154"/>
      <c r="I143" s="11"/>
    </row>
    <row r="144" spans="1:9" ht="9" customHeight="1">
      <c r="A144" s="133"/>
      <c r="B144" s="58" t="s">
        <v>858</v>
      </c>
      <c r="C144" s="29"/>
      <c r="D144" s="29"/>
      <c r="E144" s="122"/>
      <c r="F144" s="67"/>
      <c r="G144" s="122"/>
      <c r="H144" s="1154"/>
      <c r="I144" s="11"/>
    </row>
    <row r="145" spans="1:9" ht="9" customHeight="1">
      <c r="A145" s="133"/>
      <c r="B145" s="58" t="s">
        <v>859</v>
      </c>
      <c r="C145" s="29"/>
      <c r="D145" s="29"/>
      <c r="E145" s="122"/>
      <c r="F145" s="67"/>
      <c r="G145" s="122"/>
      <c r="H145" s="1154"/>
      <c r="I145" s="11"/>
    </row>
    <row r="146" spans="1:9" ht="9" customHeight="1">
      <c r="A146" s="133"/>
      <c r="B146" s="59"/>
      <c r="C146" s="29"/>
      <c r="D146" s="29"/>
      <c r="E146" s="122"/>
      <c r="F146" s="67"/>
      <c r="G146" s="122"/>
      <c r="H146" s="1154"/>
      <c r="I146" s="11"/>
    </row>
    <row r="147" spans="1:9" ht="9" customHeight="1">
      <c r="A147" s="134" t="s">
        <v>860</v>
      </c>
      <c r="B147" s="59"/>
      <c r="C147" s="29"/>
      <c r="D147" s="29"/>
      <c r="E147" s="122"/>
      <c r="F147" s="67"/>
      <c r="G147" s="122"/>
      <c r="H147" s="1154"/>
      <c r="I147" s="11"/>
    </row>
    <row r="148" spans="1:9" ht="10.5" customHeight="1">
      <c r="A148" s="134" t="s">
        <v>861</v>
      </c>
      <c r="B148" s="59"/>
      <c r="C148" s="29"/>
      <c r="D148" s="29"/>
      <c r="E148" s="122"/>
      <c r="F148" s="67"/>
      <c r="G148" s="122"/>
      <c r="H148" s="1154"/>
      <c r="I148" s="11"/>
    </row>
    <row r="149" spans="1:9" ht="10.5" customHeight="1" thickBot="1">
      <c r="A149" s="135" t="s">
        <v>862</v>
      </c>
      <c r="B149" s="136"/>
      <c r="C149" s="118"/>
      <c r="D149" s="118"/>
      <c r="E149" s="118"/>
      <c r="F149" s="119"/>
      <c r="G149" s="119"/>
      <c r="H149" s="1155"/>
      <c r="I149" s="11"/>
    </row>
    <row r="150" spans="1:9" ht="9" customHeight="1">
      <c r="A150" s="137"/>
      <c r="B150" s="69"/>
      <c r="C150" s="129"/>
      <c r="D150" s="129"/>
      <c r="E150" s="66"/>
      <c r="F150" s="67"/>
      <c r="G150" s="122"/>
      <c r="H150" s="67"/>
      <c r="I150" s="11"/>
    </row>
    <row r="151" spans="1:9" ht="9" customHeight="1">
      <c r="A151" s="137"/>
      <c r="B151" s="69"/>
      <c r="C151" s="129"/>
      <c r="D151" s="129"/>
      <c r="E151" s="66"/>
      <c r="F151" s="67"/>
      <c r="G151" s="122"/>
      <c r="H151" s="67"/>
      <c r="I151" s="11"/>
    </row>
    <row r="152" spans="1:9" ht="9" customHeight="1" thickBot="1">
      <c r="A152" s="137"/>
      <c r="B152" s="69"/>
      <c r="C152" s="129"/>
      <c r="D152" s="129"/>
      <c r="E152" s="66"/>
      <c r="F152" s="67"/>
      <c r="G152" s="122"/>
      <c r="H152" s="67"/>
      <c r="I152" s="11"/>
    </row>
    <row r="153" spans="1:9" ht="24" customHeight="1" thickBot="1">
      <c r="A153" s="138" t="s">
        <v>863</v>
      </c>
      <c r="B153" s="22" t="s">
        <v>864</v>
      </c>
      <c r="C153" s="1287" t="s">
        <v>865</v>
      </c>
      <c r="D153" s="139" t="s">
        <v>866</v>
      </c>
      <c r="E153" s="139" t="s">
        <v>867</v>
      </c>
      <c r="F153" s="1281" t="s">
        <v>868</v>
      </c>
      <c r="G153" s="1280"/>
      <c r="H153" s="1288" t="s">
        <v>870</v>
      </c>
      <c r="I153" s="12"/>
    </row>
    <row r="154" spans="1:9" ht="11.15" customHeight="1" thickBot="1">
      <c r="A154" s="141"/>
      <c r="B154" s="139"/>
      <c r="C154" s="139"/>
      <c r="D154" s="139"/>
      <c r="E154" s="139"/>
      <c r="F154" s="139"/>
      <c r="G154" s="103"/>
      <c r="H154" s="140"/>
      <c r="I154" s="12"/>
    </row>
    <row r="155" spans="1:9" ht="24" customHeight="1" thickBot="1">
      <c r="A155" s="142"/>
      <c r="B155" s="64" t="s">
        <v>871</v>
      </c>
      <c r="C155" s="143"/>
      <c r="D155" s="143"/>
      <c r="E155" s="144"/>
      <c r="F155" s="1060"/>
      <c r="G155" s="1186"/>
      <c r="H155" s="1132"/>
      <c r="I155" s="11"/>
    </row>
    <row r="156" spans="1:9" ht="9" customHeight="1">
      <c r="A156" s="145"/>
      <c r="B156" s="146" t="s">
        <v>872</v>
      </c>
      <c r="C156" s="147"/>
      <c r="D156" s="29"/>
      <c r="E156" s="90"/>
      <c r="F156" s="59"/>
      <c r="G156" s="1187"/>
      <c r="H156" s="90"/>
      <c r="I156" s="11"/>
    </row>
    <row r="157" spans="1:9" ht="9" customHeight="1">
      <c r="A157" s="148"/>
      <c r="B157" s="149" t="s">
        <v>873</v>
      </c>
      <c r="C157" s="147"/>
      <c r="D157" s="150"/>
      <c r="E157" s="151"/>
      <c r="F157" s="1061"/>
      <c r="G157" s="1188"/>
      <c r="H157" s="151"/>
      <c r="I157" s="13"/>
    </row>
    <row r="158" spans="1:9" ht="9" customHeight="1">
      <c r="A158" s="148"/>
      <c r="B158" s="152" t="s">
        <v>874</v>
      </c>
      <c r="C158" s="147"/>
      <c r="D158" s="150"/>
      <c r="E158" s="151"/>
      <c r="F158" s="1061"/>
      <c r="G158" s="1188"/>
      <c r="H158" s="151"/>
      <c r="I158" s="13"/>
    </row>
    <row r="159" spans="1:9" ht="9" customHeight="1" thickBot="1">
      <c r="A159" s="148"/>
      <c r="B159" s="152" t="s">
        <v>875</v>
      </c>
      <c r="C159" s="147"/>
      <c r="D159" s="150"/>
      <c r="E159" s="151"/>
      <c r="F159" s="1061"/>
      <c r="G159" s="1188"/>
      <c r="H159" s="151"/>
      <c r="I159" s="13"/>
    </row>
    <row r="160" spans="1:9" ht="11.15" customHeight="1">
      <c r="A160" s="153" t="s">
        <v>876</v>
      </c>
      <c r="B160" s="154" t="s">
        <v>877</v>
      </c>
      <c r="C160" s="147"/>
      <c r="D160" s="29"/>
      <c r="E160" s="29"/>
      <c r="F160" s="29"/>
      <c r="G160" s="29"/>
      <c r="H160" s="29"/>
      <c r="I160" s="11"/>
    </row>
    <row r="161" spans="1:12" ht="11.15" customHeight="1" thickBot="1">
      <c r="A161" s="230" t="s">
        <v>878</v>
      </c>
      <c r="B161" s="59" t="s">
        <v>20219</v>
      </c>
      <c r="C161" s="147" t="s">
        <v>20221</v>
      </c>
      <c r="D161" s="1034" t="s">
        <v>879</v>
      </c>
      <c r="E161" s="178">
        <v>2017</v>
      </c>
      <c r="F161" s="178" t="s">
        <v>4520</v>
      </c>
      <c r="G161" s="496"/>
      <c r="H161" s="994" t="s">
        <v>20221</v>
      </c>
      <c r="I161" s="11" t="s">
        <v>880</v>
      </c>
      <c r="J161" s="1285"/>
      <c r="K161" s="1285"/>
      <c r="L161" s="1285"/>
    </row>
    <row r="162" spans="1:12" ht="11.15" customHeight="1">
      <c r="A162" s="58" t="s">
        <v>881</v>
      </c>
      <c r="B162" s="154" t="s">
        <v>882</v>
      </c>
      <c r="C162" s="147"/>
      <c r="D162" s="29"/>
      <c r="E162" s="29"/>
      <c r="F162" s="29"/>
      <c r="G162" s="29"/>
      <c r="H162" s="36"/>
      <c r="I162" s="11"/>
    </row>
    <row r="163" spans="1:12" ht="11.15" customHeight="1">
      <c r="A163" s="58" t="s">
        <v>883</v>
      </c>
      <c r="B163" s="59" t="s">
        <v>20223</v>
      </c>
      <c r="C163" s="147" t="s">
        <v>20221</v>
      </c>
      <c r="D163" s="701" t="s">
        <v>884</v>
      </c>
      <c r="E163" s="178">
        <v>2017</v>
      </c>
      <c r="F163" s="178" t="s">
        <v>4520</v>
      </c>
      <c r="G163" s="496"/>
      <c r="H163" s="994" t="s">
        <v>20221</v>
      </c>
      <c r="I163" s="11" t="s">
        <v>885</v>
      </c>
      <c r="J163" s="1285"/>
      <c r="K163" s="1285"/>
      <c r="L163" s="1285"/>
    </row>
    <row r="164" spans="1:12" ht="11.15" customHeight="1">
      <c r="A164" s="58" t="s">
        <v>886</v>
      </c>
      <c r="B164" s="59" t="s">
        <v>20223</v>
      </c>
      <c r="C164" s="147" t="s">
        <v>20221</v>
      </c>
      <c r="D164" s="701" t="s">
        <v>884</v>
      </c>
      <c r="E164" s="178">
        <v>2016</v>
      </c>
      <c r="F164" s="178" t="s">
        <v>4520</v>
      </c>
      <c r="G164" s="496"/>
      <c r="H164" s="994" t="s">
        <v>20277</v>
      </c>
      <c r="I164" s="11" t="s">
        <v>887</v>
      </c>
      <c r="J164" s="1285"/>
      <c r="K164" s="1285"/>
      <c r="L164" s="1285"/>
    </row>
    <row r="165" spans="1:12" ht="11.15" customHeight="1">
      <c r="A165" s="58" t="s">
        <v>888</v>
      </c>
      <c r="B165" s="59" t="s">
        <v>20225</v>
      </c>
      <c r="C165" s="147" t="s">
        <v>20221</v>
      </c>
      <c r="D165" s="701" t="s">
        <v>884</v>
      </c>
      <c r="E165" s="178">
        <v>2016</v>
      </c>
      <c r="F165" s="178" t="s">
        <v>4520</v>
      </c>
      <c r="G165" s="496"/>
      <c r="H165" s="994" t="s">
        <v>20221</v>
      </c>
      <c r="I165" s="11" t="s">
        <v>889</v>
      </c>
      <c r="J165" s="1285"/>
      <c r="K165" s="1285"/>
      <c r="L165" s="1285"/>
    </row>
    <row r="166" spans="1:12" ht="11.15" customHeight="1">
      <c r="A166" s="160" t="s">
        <v>890</v>
      </c>
      <c r="B166" s="59" t="s">
        <v>20226</v>
      </c>
      <c r="C166" s="147" t="s">
        <v>20221</v>
      </c>
      <c r="D166" s="701" t="s">
        <v>884</v>
      </c>
      <c r="E166" s="178">
        <v>2017</v>
      </c>
      <c r="F166" s="178" t="s">
        <v>4520</v>
      </c>
      <c r="G166" s="496"/>
      <c r="H166" s="994" t="s">
        <v>20221</v>
      </c>
      <c r="I166" s="11" t="s">
        <v>891</v>
      </c>
      <c r="J166" s="1285"/>
      <c r="K166" s="1285"/>
      <c r="L166" s="1285"/>
    </row>
    <row r="167" spans="1:12" ht="11.15" customHeight="1">
      <c r="A167" s="58" t="s">
        <v>892</v>
      </c>
      <c r="B167" s="59" t="s">
        <v>20226</v>
      </c>
      <c r="C167" s="147" t="s">
        <v>20221</v>
      </c>
      <c r="D167" s="701" t="s">
        <v>884</v>
      </c>
      <c r="E167" s="178">
        <v>2013</v>
      </c>
      <c r="F167" s="178" t="s">
        <v>4520</v>
      </c>
      <c r="G167" s="496"/>
      <c r="H167" s="994" t="s">
        <v>20221</v>
      </c>
      <c r="I167" s="11" t="s">
        <v>893</v>
      </c>
      <c r="J167" s="1285"/>
      <c r="K167" s="1285"/>
      <c r="L167" s="1285"/>
    </row>
    <row r="168" spans="1:12" ht="11.15" customHeight="1">
      <c r="A168" s="58" t="s">
        <v>894</v>
      </c>
      <c r="B168" s="154" t="s">
        <v>895</v>
      </c>
      <c r="C168" s="147"/>
      <c r="D168" s="29"/>
      <c r="E168" s="29"/>
      <c r="F168" s="29"/>
      <c r="G168" s="29"/>
      <c r="H168" s="36"/>
      <c r="I168" s="11"/>
    </row>
    <row r="169" spans="1:12" ht="11.15" customHeight="1">
      <c r="A169" s="129" t="s">
        <v>896</v>
      </c>
      <c r="B169" s="59" t="s">
        <v>20227</v>
      </c>
      <c r="C169" s="147" t="s">
        <v>20221</v>
      </c>
      <c r="D169" s="284" t="s">
        <v>897</v>
      </c>
      <c r="E169" s="178">
        <v>2020</v>
      </c>
      <c r="F169" s="178" t="s">
        <v>4520</v>
      </c>
      <c r="G169" s="496"/>
      <c r="H169" s="994" t="s">
        <v>20221</v>
      </c>
      <c r="I169" s="11" t="s">
        <v>898</v>
      </c>
      <c r="J169" s="1285"/>
      <c r="K169" s="1285"/>
      <c r="L169" s="1285"/>
    </row>
    <row r="170" spans="1:12" ht="11.15" customHeight="1">
      <c r="A170" s="162" t="s">
        <v>899</v>
      </c>
      <c r="B170" s="29"/>
      <c r="C170" s="147"/>
      <c r="D170" s="29"/>
      <c r="E170" s="29"/>
      <c r="F170" s="29"/>
      <c r="G170" s="29"/>
      <c r="H170" s="36" t="s">
        <v>20221</v>
      </c>
      <c r="I170" s="11"/>
    </row>
    <row r="171" spans="1:12" ht="11.15" customHeight="1">
      <c r="A171" s="162" t="s">
        <v>900</v>
      </c>
      <c r="B171" s="163"/>
      <c r="C171" s="147"/>
      <c r="D171" s="29"/>
      <c r="E171" s="29"/>
      <c r="F171" s="29"/>
      <c r="G171" s="29"/>
      <c r="H171" s="36" t="s">
        <v>20221</v>
      </c>
      <c r="I171" s="11"/>
    </row>
    <row r="172" spans="1:12" ht="11.15" customHeight="1">
      <c r="A172" s="162" t="s">
        <v>901</v>
      </c>
      <c r="B172" s="29"/>
      <c r="C172" s="147"/>
      <c r="D172" s="29"/>
      <c r="E172" s="29"/>
      <c r="F172" s="29"/>
      <c r="G172" s="29"/>
      <c r="H172" s="36" t="s">
        <v>20221</v>
      </c>
      <c r="I172" s="11"/>
    </row>
    <row r="173" spans="1:12" ht="11.15" customHeight="1">
      <c r="A173" s="164" t="s">
        <v>902</v>
      </c>
      <c r="B173" s="29"/>
      <c r="C173" s="147"/>
      <c r="D173" s="29"/>
      <c r="E173" s="29"/>
      <c r="F173" s="29"/>
      <c r="G173" s="29"/>
      <c r="H173" s="36" t="s">
        <v>20221</v>
      </c>
      <c r="I173" s="11"/>
    </row>
    <row r="174" spans="1:12" ht="11.15" customHeight="1">
      <c r="A174" s="129" t="s">
        <v>903</v>
      </c>
      <c r="B174" s="29"/>
      <c r="C174" s="147"/>
      <c r="D174" s="29"/>
      <c r="E174" s="157"/>
      <c r="F174" s="178"/>
      <c r="G174" s="497"/>
      <c r="H174" s="36" t="s">
        <v>20221</v>
      </c>
      <c r="I174" s="11"/>
    </row>
    <row r="175" spans="1:12" ht="11.15" customHeight="1">
      <c r="A175" s="162" t="s">
        <v>904</v>
      </c>
      <c r="B175" s="90"/>
      <c r="C175" s="147"/>
      <c r="D175" s="29"/>
      <c r="E175" s="29"/>
      <c r="F175" s="29"/>
      <c r="G175" s="29"/>
      <c r="H175" s="36" t="s">
        <v>20221</v>
      </c>
      <c r="I175" s="11"/>
    </row>
    <row r="176" spans="1:12" ht="11.15" customHeight="1">
      <c r="A176" s="162" t="s">
        <v>905</v>
      </c>
      <c r="B176" s="90"/>
      <c r="C176" s="147"/>
      <c r="D176" s="29"/>
      <c r="E176" s="29"/>
      <c r="F176" s="29"/>
      <c r="G176" s="29"/>
      <c r="H176" s="36" t="s">
        <v>20221</v>
      </c>
      <c r="I176" s="11"/>
    </row>
    <row r="177" spans="1:9" ht="11.15" customHeight="1">
      <c r="A177" s="162" t="s">
        <v>906</v>
      </c>
      <c r="B177" s="90"/>
      <c r="C177" s="147"/>
      <c r="D177" s="29"/>
      <c r="E177" s="29"/>
      <c r="F177" s="29"/>
      <c r="G177" s="29"/>
      <c r="H177" s="36" t="s">
        <v>20221</v>
      </c>
      <c r="I177" s="11"/>
    </row>
    <row r="178" spans="1:9" ht="11.15" customHeight="1">
      <c r="A178" s="162" t="s">
        <v>907</v>
      </c>
      <c r="B178" s="90"/>
      <c r="C178" s="147"/>
      <c r="D178" s="29"/>
      <c r="E178" s="29"/>
      <c r="F178" s="29"/>
      <c r="G178" s="29"/>
      <c r="H178" s="36" t="s">
        <v>20221</v>
      </c>
      <c r="I178" s="11"/>
    </row>
    <row r="179" spans="1:9" ht="11.15" customHeight="1">
      <c r="A179" s="162" t="s">
        <v>908</v>
      </c>
      <c r="B179" s="90"/>
      <c r="C179" s="147"/>
      <c r="D179" s="29"/>
      <c r="E179" s="29"/>
      <c r="F179" s="29"/>
      <c r="G179" s="29"/>
      <c r="H179" s="36" t="s">
        <v>20221</v>
      </c>
      <c r="I179" s="11"/>
    </row>
    <row r="180" spans="1:9" ht="11.15" customHeight="1">
      <c r="A180" s="162" t="s">
        <v>909</v>
      </c>
      <c r="B180" s="90"/>
      <c r="C180" s="147"/>
      <c r="D180" s="29"/>
      <c r="E180" s="29"/>
      <c r="F180" s="29"/>
      <c r="G180" s="29"/>
      <c r="H180" s="36" t="s">
        <v>20221</v>
      </c>
      <c r="I180" s="11"/>
    </row>
    <row r="181" spans="1:9" ht="11.15" customHeight="1">
      <c r="A181" s="162" t="s">
        <v>910</v>
      </c>
      <c r="B181" s="29"/>
      <c r="C181" s="147"/>
      <c r="D181" s="29"/>
      <c r="E181" s="29"/>
      <c r="F181" s="29"/>
      <c r="G181" s="29"/>
      <c r="H181" s="36" t="s">
        <v>20221</v>
      </c>
      <c r="I181" s="11"/>
    </row>
    <row r="182" spans="1:9" ht="11.15" customHeight="1">
      <c r="A182" s="162" t="s">
        <v>911</v>
      </c>
      <c r="B182" s="90"/>
      <c r="C182" s="147"/>
      <c r="D182" s="29"/>
      <c r="E182" s="29"/>
      <c r="F182" s="29"/>
      <c r="G182" s="29"/>
      <c r="H182" s="36" t="s">
        <v>20221</v>
      </c>
      <c r="I182" s="11"/>
    </row>
    <row r="183" spans="1:9" ht="11.15" customHeight="1">
      <c r="A183" s="166" t="s">
        <v>912</v>
      </c>
      <c r="B183" s="90"/>
      <c r="C183" s="147"/>
      <c r="D183" s="29"/>
      <c r="E183" s="29"/>
      <c r="F183" s="29"/>
      <c r="G183" s="29"/>
      <c r="H183" s="36" t="s">
        <v>20221</v>
      </c>
      <c r="I183" s="11"/>
    </row>
    <row r="184" spans="1:9" ht="11.15" customHeight="1">
      <c r="A184" s="167" t="s">
        <v>913</v>
      </c>
      <c r="B184" s="90"/>
      <c r="C184" s="147"/>
      <c r="D184" s="29"/>
      <c r="E184" s="29"/>
      <c r="F184" s="29"/>
      <c r="G184" s="29"/>
      <c r="H184" s="36" t="s">
        <v>20221</v>
      </c>
      <c r="I184" s="11"/>
    </row>
    <row r="185" spans="1:9" ht="11.15" customHeight="1">
      <c r="A185" s="168" t="s">
        <v>914</v>
      </c>
      <c r="B185" s="90"/>
      <c r="C185" s="147"/>
      <c r="D185" s="29"/>
      <c r="E185" s="29"/>
      <c r="F185" s="29"/>
      <c r="G185" s="29"/>
      <c r="H185" s="36" t="s">
        <v>20221</v>
      </c>
      <c r="I185" s="11"/>
    </row>
    <row r="186" spans="1:9" ht="11.15" customHeight="1">
      <c r="A186" s="169" t="s">
        <v>915</v>
      </c>
      <c r="B186" s="90"/>
      <c r="C186" s="147"/>
      <c r="D186" s="29"/>
      <c r="E186" s="29"/>
      <c r="F186" s="29"/>
      <c r="G186" s="29"/>
      <c r="H186" s="36" t="s">
        <v>20221</v>
      </c>
      <c r="I186" s="11"/>
    </row>
    <row r="187" spans="1:9" ht="11.15" customHeight="1">
      <c r="A187" s="129" t="s">
        <v>916</v>
      </c>
      <c r="B187" s="90"/>
      <c r="C187" s="147"/>
      <c r="D187" s="29"/>
      <c r="E187" s="29"/>
      <c r="F187" s="29"/>
      <c r="G187" s="29"/>
      <c r="H187" s="36" t="s">
        <v>20221</v>
      </c>
      <c r="I187" s="11"/>
    </row>
    <row r="188" spans="1:9" ht="11.15" customHeight="1">
      <c r="A188" s="129" t="s">
        <v>917</v>
      </c>
      <c r="B188" s="90"/>
      <c r="C188" s="147"/>
      <c r="D188" s="29"/>
      <c r="E188" s="29"/>
      <c r="F188" s="29"/>
      <c r="G188" s="29"/>
      <c r="H188" s="36" t="s">
        <v>20221</v>
      </c>
      <c r="I188" s="11"/>
    </row>
    <row r="189" spans="1:9" ht="11.15" customHeight="1" thickBot="1">
      <c r="A189" s="29"/>
      <c r="B189" s="90"/>
      <c r="C189" s="147"/>
      <c r="D189" s="29"/>
      <c r="E189" s="29"/>
      <c r="F189" s="29"/>
      <c r="G189" s="29"/>
      <c r="H189" s="36" t="s">
        <v>20221</v>
      </c>
      <c r="I189" s="11"/>
    </row>
    <row r="190" spans="1:9" ht="24" customHeight="1" thickBot="1">
      <c r="A190" s="142"/>
      <c r="B190" s="64" t="s">
        <v>918</v>
      </c>
      <c r="C190" s="170"/>
      <c r="D190" s="143"/>
      <c r="E190" s="144"/>
      <c r="F190" s="1060"/>
      <c r="G190" s="1186"/>
      <c r="H190" s="144"/>
      <c r="I190" s="1131"/>
    </row>
    <row r="191" spans="1:9" ht="11.15" customHeight="1">
      <c r="A191" s="171"/>
      <c r="B191" s="146" t="s">
        <v>919</v>
      </c>
      <c r="C191" s="147"/>
      <c r="D191" s="29"/>
      <c r="E191" s="172"/>
      <c r="F191" s="1062"/>
      <c r="G191" s="1189"/>
      <c r="H191" s="172"/>
      <c r="I191" s="11"/>
    </row>
    <row r="192" spans="1:9" ht="9" customHeight="1">
      <c r="A192" s="171"/>
      <c r="B192" s="150" t="s">
        <v>920</v>
      </c>
      <c r="C192" s="147"/>
      <c r="D192" s="29"/>
      <c r="E192" s="172"/>
      <c r="F192" s="1062"/>
      <c r="G192" s="1189"/>
      <c r="H192" s="172"/>
      <c r="I192" s="11"/>
    </row>
    <row r="193" spans="1:12" ht="9" customHeight="1">
      <c r="A193" s="171"/>
      <c r="B193" s="150" t="s">
        <v>921</v>
      </c>
      <c r="C193" s="147"/>
      <c r="D193" s="29"/>
      <c r="E193" s="172"/>
      <c r="F193" s="1062"/>
      <c r="G193" s="1189"/>
      <c r="H193" s="172"/>
      <c r="I193" s="11"/>
    </row>
    <row r="194" spans="1:12" ht="9" customHeight="1">
      <c r="A194" s="171"/>
      <c r="B194" s="150" t="s">
        <v>922</v>
      </c>
      <c r="C194" s="147"/>
      <c r="D194" s="29"/>
      <c r="E194" s="172"/>
      <c r="F194" s="1062"/>
      <c r="G194" s="1189"/>
      <c r="H194" s="172"/>
      <c r="I194" s="11"/>
    </row>
    <row r="195" spans="1:12" ht="9" customHeight="1">
      <c r="A195" s="171"/>
      <c r="B195" s="150" t="s">
        <v>923</v>
      </c>
      <c r="C195" s="147"/>
      <c r="D195" s="29"/>
      <c r="E195" s="172"/>
      <c r="F195" s="1062"/>
      <c r="G195" s="1189"/>
      <c r="H195" s="172"/>
      <c r="I195" s="11"/>
    </row>
    <row r="196" spans="1:12" ht="9" customHeight="1">
      <c r="A196" s="29"/>
      <c r="B196" s="150" t="s">
        <v>924</v>
      </c>
      <c r="C196" s="147"/>
      <c r="D196" s="29"/>
      <c r="E196" s="172"/>
      <c r="F196" s="1062"/>
      <c r="G196" s="1189"/>
      <c r="H196" s="172"/>
      <c r="I196" s="11"/>
    </row>
    <row r="197" spans="1:12" ht="9" customHeight="1" thickBot="1">
      <c r="A197" s="29"/>
      <c r="B197" s="150" t="s">
        <v>925</v>
      </c>
      <c r="C197" s="147"/>
      <c r="D197" s="29"/>
      <c r="E197" s="172"/>
      <c r="F197" s="1062"/>
      <c r="G197" s="1189"/>
      <c r="H197" s="172"/>
      <c r="I197" s="11"/>
    </row>
    <row r="198" spans="1:12" ht="11.15" customHeight="1">
      <c r="A198" s="173" t="s">
        <v>926</v>
      </c>
      <c r="B198" s="177" t="s">
        <v>927</v>
      </c>
      <c r="C198" s="147"/>
      <c r="D198" s="156"/>
      <c r="E198" s="176"/>
      <c r="F198" s="178"/>
      <c r="G198" s="496"/>
      <c r="H198" s="36"/>
      <c r="I198" s="11"/>
    </row>
    <row r="199" spans="1:12" ht="11.15" customHeight="1" thickBot="1">
      <c r="A199" s="175" t="s">
        <v>928</v>
      </c>
      <c r="B199" s="59" t="s">
        <v>20233</v>
      </c>
      <c r="C199" s="147" t="s">
        <v>20221</v>
      </c>
      <c r="D199" s="701" t="s">
        <v>884</v>
      </c>
      <c r="E199" s="178">
        <v>2005</v>
      </c>
      <c r="F199" s="178" t="s">
        <v>4520</v>
      </c>
      <c r="G199" s="496"/>
      <c r="H199" s="994" t="s">
        <v>20224</v>
      </c>
      <c r="I199" s="11" t="s">
        <v>930</v>
      </c>
      <c r="J199" s="1285"/>
      <c r="K199" s="1285"/>
      <c r="L199" s="1285"/>
    </row>
    <row r="200" spans="1:12" ht="11.15" customHeight="1">
      <c r="A200" s="129" t="s">
        <v>929</v>
      </c>
      <c r="B200" s="59" t="s">
        <v>20228</v>
      </c>
      <c r="C200" s="147" t="s">
        <v>20221</v>
      </c>
      <c r="D200" s="701" t="s">
        <v>884</v>
      </c>
      <c r="E200" s="178">
        <v>2000</v>
      </c>
      <c r="F200" s="178" t="s">
        <v>4520</v>
      </c>
      <c r="G200" s="496"/>
      <c r="H200" s="994" t="s">
        <v>20224</v>
      </c>
      <c r="I200" s="11" t="s">
        <v>932</v>
      </c>
      <c r="J200" s="1285"/>
      <c r="K200" s="1285"/>
      <c r="L200" s="1285"/>
    </row>
    <row r="201" spans="1:12" ht="11.15" customHeight="1">
      <c r="A201" s="29" t="s">
        <v>931</v>
      </c>
      <c r="B201" s="59" t="s">
        <v>20228</v>
      </c>
      <c r="C201" s="147" t="s">
        <v>20221</v>
      </c>
      <c r="D201" s="701" t="s">
        <v>884</v>
      </c>
      <c r="E201" s="178">
        <v>1999</v>
      </c>
      <c r="F201" s="178" t="s">
        <v>4520</v>
      </c>
      <c r="G201" s="496"/>
      <c r="H201" s="994" t="s">
        <v>20224</v>
      </c>
      <c r="I201" s="11" t="s">
        <v>934</v>
      </c>
      <c r="J201" s="1285"/>
      <c r="K201" s="1285"/>
      <c r="L201" s="1285"/>
    </row>
    <row r="202" spans="1:12" ht="11.15" customHeight="1">
      <c r="A202" s="29" t="s">
        <v>933</v>
      </c>
      <c r="B202" s="174" t="s">
        <v>936</v>
      </c>
      <c r="C202" s="147"/>
      <c r="D202" s="122"/>
      <c r="E202" s="178"/>
      <c r="F202" s="183"/>
      <c r="G202" s="496"/>
      <c r="H202" s="34"/>
      <c r="I202" s="11"/>
    </row>
    <row r="203" spans="1:12" ht="11.15" customHeight="1">
      <c r="A203" s="29" t="s">
        <v>935</v>
      </c>
      <c r="B203" s="59" t="s">
        <v>20230</v>
      </c>
      <c r="C203" s="147" t="s">
        <v>20221</v>
      </c>
      <c r="D203" s="701" t="s">
        <v>884</v>
      </c>
      <c r="E203" s="178">
        <v>2011</v>
      </c>
      <c r="F203" s="178" t="s">
        <v>4520</v>
      </c>
      <c r="G203" s="496"/>
      <c r="H203" s="994" t="s">
        <v>20221</v>
      </c>
      <c r="I203" s="11" t="s">
        <v>938</v>
      </c>
      <c r="J203" s="1285"/>
      <c r="K203" s="1285"/>
      <c r="L203" s="1285"/>
    </row>
    <row r="204" spans="1:12" ht="11.15" customHeight="1">
      <c r="A204" s="29" t="s">
        <v>937</v>
      </c>
      <c r="B204" s="59" t="s">
        <v>20232</v>
      </c>
      <c r="C204" s="147" t="s">
        <v>20221</v>
      </c>
      <c r="D204" s="701" t="s">
        <v>884</v>
      </c>
      <c r="E204" s="178">
        <v>2010</v>
      </c>
      <c r="F204" s="178" t="s">
        <v>4520</v>
      </c>
      <c r="G204" s="496"/>
      <c r="H204" s="994" t="s">
        <v>20224</v>
      </c>
      <c r="I204" s="11" t="s">
        <v>940</v>
      </c>
      <c r="J204" s="1285"/>
      <c r="K204" s="1285"/>
      <c r="L204" s="1285"/>
    </row>
    <row r="205" spans="1:12" ht="11.15" customHeight="1">
      <c r="A205" s="29" t="s">
        <v>939</v>
      </c>
      <c r="B205" s="59" t="s">
        <v>20233</v>
      </c>
      <c r="C205" s="147" t="s">
        <v>20221</v>
      </c>
      <c r="D205" s="701" t="s">
        <v>884</v>
      </c>
      <c r="E205" s="178">
        <v>2010</v>
      </c>
      <c r="F205" s="178" t="s">
        <v>4520</v>
      </c>
      <c r="G205" s="496"/>
      <c r="H205" s="994" t="s">
        <v>20221</v>
      </c>
      <c r="I205" s="11" t="s">
        <v>942</v>
      </c>
      <c r="J205" s="1285"/>
      <c r="K205" s="1285"/>
      <c r="L205" s="1285"/>
    </row>
    <row r="206" spans="1:12" ht="11.15" customHeight="1">
      <c r="A206" s="29" t="s">
        <v>941</v>
      </c>
      <c r="B206" s="29"/>
      <c r="C206" s="29"/>
      <c r="D206" s="29"/>
      <c r="E206" s="29"/>
      <c r="F206" s="29"/>
      <c r="G206" s="29"/>
      <c r="H206" s="29"/>
      <c r="I206" s="11"/>
    </row>
    <row r="207" spans="1:12" ht="11.15" customHeight="1">
      <c r="A207" s="29" t="s">
        <v>943</v>
      </c>
      <c r="B207" s="29"/>
      <c r="C207" s="29"/>
      <c r="D207" s="29"/>
      <c r="E207" s="29"/>
      <c r="F207" s="29"/>
      <c r="G207" s="29"/>
      <c r="H207" s="29"/>
      <c r="I207" s="11"/>
    </row>
    <row r="208" spans="1:12" ht="11.15" customHeight="1">
      <c r="A208" s="29" t="s">
        <v>944</v>
      </c>
      <c r="B208" s="29"/>
      <c r="C208" s="29"/>
      <c r="D208" s="29"/>
      <c r="E208" s="29"/>
      <c r="F208" s="29"/>
      <c r="G208" s="29"/>
      <c r="H208" s="29"/>
      <c r="I208" s="11"/>
    </row>
    <row r="209" spans="1:9" ht="11.15" customHeight="1">
      <c r="A209" s="29" t="s">
        <v>945</v>
      </c>
      <c r="B209" s="174"/>
      <c r="C209" s="147"/>
      <c r="D209" s="159"/>
      <c r="E209" s="36"/>
      <c r="F209" s="178"/>
      <c r="G209" s="496"/>
      <c r="H209" s="36"/>
      <c r="I209" s="11"/>
    </row>
    <row r="210" spans="1:9" ht="11.15" customHeight="1">
      <c r="A210" s="29" t="s">
        <v>946</v>
      </c>
      <c r="B210" s="174"/>
      <c r="C210" s="147"/>
      <c r="D210" s="159"/>
      <c r="E210" s="36"/>
      <c r="F210" s="178"/>
      <c r="G210" s="496"/>
      <c r="H210" s="36"/>
      <c r="I210" s="11"/>
    </row>
    <row r="211" spans="1:9" ht="11.15" customHeight="1">
      <c r="A211" s="179" t="s">
        <v>947</v>
      </c>
      <c r="B211" s="90"/>
      <c r="C211" s="147"/>
      <c r="D211" s="182"/>
      <c r="E211" s="36"/>
      <c r="F211" s="183"/>
      <c r="G211" s="497"/>
      <c r="H211" s="183"/>
      <c r="I211" s="11"/>
    </row>
    <row r="212" spans="1:9" ht="11.15" customHeight="1">
      <c r="A212" s="180" t="s">
        <v>948</v>
      </c>
      <c r="B212" s="90"/>
      <c r="C212" s="147"/>
      <c r="D212" s="182"/>
      <c r="E212" s="36"/>
      <c r="F212" s="183"/>
      <c r="G212" s="497"/>
      <c r="H212" s="183"/>
      <c r="I212" s="11"/>
    </row>
    <row r="213" spans="1:9" ht="11.15" customHeight="1">
      <c r="A213" s="181" t="s">
        <v>949</v>
      </c>
      <c r="B213" s="174"/>
      <c r="C213" s="147"/>
      <c r="D213" s="159"/>
      <c r="E213" s="36"/>
      <c r="F213" s="178"/>
      <c r="G213" s="496"/>
      <c r="H213" s="36"/>
      <c r="I213" s="11"/>
    </row>
    <row r="214" spans="1:9" ht="11.15" customHeight="1">
      <c r="A214" s="181" t="s">
        <v>950</v>
      </c>
      <c r="B214" s="90"/>
      <c r="C214" s="147"/>
      <c r="D214" s="182"/>
      <c r="E214" s="36"/>
      <c r="F214" s="183"/>
      <c r="G214" s="497"/>
      <c r="H214" s="183"/>
      <c r="I214" s="11"/>
    </row>
    <row r="215" spans="1:9" ht="11.15" customHeight="1">
      <c r="A215" s="129" t="s">
        <v>951</v>
      </c>
      <c r="B215" s="90"/>
      <c r="C215" s="147"/>
      <c r="D215" s="182"/>
      <c r="E215" s="36"/>
      <c r="F215" s="183"/>
      <c r="G215" s="497"/>
      <c r="H215" s="183"/>
      <c r="I215" s="11"/>
    </row>
    <row r="216" spans="1:9" ht="11.15" customHeight="1">
      <c r="A216" s="162" t="s">
        <v>952</v>
      </c>
      <c r="B216" s="90"/>
      <c r="C216" s="147"/>
      <c r="D216" s="182"/>
      <c r="E216" s="36"/>
      <c r="F216" s="183"/>
      <c r="G216" s="497"/>
      <c r="H216" s="183"/>
      <c r="I216" s="11"/>
    </row>
    <row r="217" spans="1:9" ht="11.15" customHeight="1">
      <c r="A217" s="162" t="s">
        <v>953</v>
      </c>
      <c r="B217" s="29"/>
      <c r="C217" s="147"/>
      <c r="D217" s="29"/>
      <c r="E217" s="29"/>
      <c r="F217" s="29"/>
      <c r="G217" s="29"/>
      <c r="H217" s="29"/>
      <c r="I217" s="11"/>
    </row>
    <row r="218" spans="1:9" ht="11.15" customHeight="1">
      <c r="A218" s="162" t="s">
        <v>954</v>
      </c>
      <c r="B218" s="29"/>
      <c r="C218" s="147"/>
      <c r="D218" s="29"/>
      <c r="E218" s="29"/>
      <c r="F218" s="29"/>
      <c r="G218" s="29"/>
      <c r="H218" s="29"/>
      <c r="I218" s="11"/>
    </row>
    <row r="219" spans="1:9" ht="11.15" customHeight="1">
      <c r="A219" s="162" t="s">
        <v>955</v>
      </c>
      <c r="B219" s="29"/>
      <c r="C219" s="147"/>
      <c r="D219" s="29"/>
      <c r="E219" s="29"/>
      <c r="F219" s="29"/>
      <c r="G219" s="29"/>
      <c r="H219" s="29"/>
      <c r="I219" s="11"/>
    </row>
    <row r="220" spans="1:9" ht="11.15" customHeight="1">
      <c r="A220" s="162" t="s">
        <v>956</v>
      </c>
      <c r="B220" s="90"/>
      <c r="C220" s="147"/>
      <c r="D220" s="29"/>
      <c r="E220" s="29"/>
      <c r="F220" s="29"/>
      <c r="G220" s="29"/>
      <c r="H220" s="29"/>
      <c r="I220" s="11"/>
    </row>
    <row r="221" spans="1:9" ht="11.15" customHeight="1">
      <c r="A221" s="162" t="s">
        <v>957</v>
      </c>
      <c r="B221" s="90"/>
      <c r="C221" s="147"/>
      <c r="D221" s="182"/>
      <c r="E221" s="36"/>
      <c r="F221" s="178"/>
      <c r="G221" s="496"/>
      <c r="H221" s="36"/>
      <c r="I221" s="11"/>
    </row>
    <row r="222" spans="1:9" ht="11.15" customHeight="1">
      <c r="A222" s="166" t="s">
        <v>958</v>
      </c>
      <c r="B222" s="90"/>
      <c r="C222" s="147"/>
      <c r="D222" s="182"/>
      <c r="E222" s="36"/>
      <c r="F222" s="178"/>
      <c r="G222" s="496"/>
      <c r="H222" s="36"/>
      <c r="I222" s="11"/>
    </row>
    <row r="223" spans="1:9" ht="11.15" customHeight="1">
      <c r="A223" s="129" t="s">
        <v>959</v>
      </c>
      <c r="B223" s="90"/>
      <c r="C223" s="147"/>
      <c r="D223" s="182"/>
      <c r="E223" s="36"/>
      <c r="F223" s="178"/>
      <c r="G223" s="496"/>
      <c r="H223" s="36"/>
      <c r="I223" s="11"/>
    </row>
    <row r="224" spans="1:9" ht="11.15" customHeight="1" thickBot="1">
      <c r="A224" s="29"/>
      <c r="B224" s="29"/>
      <c r="C224" s="147"/>
      <c r="D224" s="29"/>
      <c r="E224" s="29"/>
      <c r="F224" s="29"/>
      <c r="G224" s="29"/>
      <c r="H224" s="29"/>
      <c r="I224" s="11"/>
    </row>
    <row r="225" spans="1:12" ht="11.15" customHeight="1" thickBot="1">
      <c r="A225" s="184" t="s">
        <v>960</v>
      </c>
      <c r="B225" s="59" t="s">
        <v>20234</v>
      </c>
      <c r="C225" s="147" t="s">
        <v>20221</v>
      </c>
      <c r="D225" s="1034" t="s">
        <v>879</v>
      </c>
      <c r="E225" s="178" t="s">
        <v>19060</v>
      </c>
      <c r="F225" s="178" t="s">
        <v>4520</v>
      </c>
      <c r="G225" s="496"/>
      <c r="H225" s="994" t="s">
        <v>20221</v>
      </c>
      <c r="I225" s="11" t="s">
        <v>961</v>
      </c>
      <c r="J225" s="1285"/>
      <c r="K225" s="1285"/>
      <c r="L225" s="1285"/>
    </row>
    <row r="226" spans="1:12" ht="11.15" customHeight="1">
      <c r="A226" s="29" t="s">
        <v>962</v>
      </c>
      <c r="B226" s="59" t="s">
        <v>20235</v>
      </c>
      <c r="C226" s="147" t="s">
        <v>20221</v>
      </c>
      <c r="D226" s="701" t="s">
        <v>884</v>
      </c>
      <c r="E226" s="178" t="s">
        <v>19060</v>
      </c>
      <c r="F226" s="178" t="s">
        <v>4520</v>
      </c>
      <c r="G226" s="496"/>
      <c r="H226" s="994" t="s">
        <v>20221</v>
      </c>
      <c r="I226" s="11" t="s">
        <v>963</v>
      </c>
      <c r="J226" s="1285"/>
      <c r="K226" s="1285"/>
      <c r="L226" s="1285"/>
    </row>
    <row r="227" spans="1:12" ht="11.15" customHeight="1">
      <c r="A227" s="29" t="s">
        <v>964</v>
      </c>
      <c r="B227" s="59" t="s">
        <v>20236</v>
      </c>
      <c r="C227" s="147" t="s">
        <v>20221</v>
      </c>
      <c r="D227" s="701" t="s">
        <v>884</v>
      </c>
      <c r="E227" s="178" t="s">
        <v>19060</v>
      </c>
      <c r="F227" s="178" t="s">
        <v>4520</v>
      </c>
      <c r="G227" s="496"/>
      <c r="H227" s="994" t="s">
        <v>20221</v>
      </c>
      <c r="I227" s="12" t="s">
        <v>965</v>
      </c>
      <c r="J227" s="1285"/>
      <c r="K227" s="1285"/>
      <c r="L227" s="1285"/>
    </row>
    <row r="228" spans="1:12" ht="11.15" customHeight="1">
      <c r="A228" s="29" t="s">
        <v>966</v>
      </c>
      <c r="B228" s="59" t="s">
        <v>20237</v>
      </c>
      <c r="C228" s="147" t="s">
        <v>20221</v>
      </c>
      <c r="D228" s="701" t="s">
        <v>884</v>
      </c>
      <c r="E228" s="178" t="s">
        <v>19060</v>
      </c>
      <c r="F228" s="178" t="s">
        <v>4520</v>
      </c>
      <c r="G228" s="496"/>
      <c r="H228" s="994" t="s">
        <v>20221</v>
      </c>
      <c r="I228" s="11" t="s">
        <v>967</v>
      </c>
      <c r="J228" s="1285"/>
      <c r="K228" s="1285"/>
      <c r="L228" s="1285"/>
    </row>
    <row r="229" spans="1:12" ht="11.15" customHeight="1">
      <c r="A229" s="29" t="s">
        <v>968</v>
      </c>
      <c r="B229" s="59" t="s">
        <v>20238</v>
      </c>
      <c r="C229" s="147" t="s">
        <v>20221</v>
      </c>
      <c r="D229" s="701" t="s">
        <v>884</v>
      </c>
      <c r="E229" s="178">
        <v>2013</v>
      </c>
      <c r="F229" s="178" t="s">
        <v>4520</v>
      </c>
      <c r="G229" s="496"/>
      <c r="H229" s="994" t="s">
        <v>20221</v>
      </c>
      <c r="I229" s="11" t="s">
        <v>969</v>
      </c>
      <c r="J229" s="1285"/>
      <c r="K229" s="1285"/>
      <c r="L229" s="1285"/>
    </row>
    <row r="230" spans="1:12" ht="11.15" customHeight="1">
      <c r="A230" s="29" t="s">
        <v>970</v>
      </c>
      <c r="B230" s="59" t="s">
        <v>20239</v>
      </c>
      <c r="C230" s="147" t="s">
        <v>20221</v>
      </c>
      <c r="D230" s="701" t="s">
        <v>884</v>
      </c>
      <c r="E230" s="178" t="s">
        <v>19060</v>
      </c>
      <c r="F230" s="178" t="s">
        <v>5257</v>
      </c>
      <c r="G230" s="496"/>
      <c r="H230" s="994" t="s">
        <v>20224</v>
      </c>
      <c r="I230" s="11" t="s">
        <v>971</v>
      </c>
      <c r="J230" s="1285"/>
      <c r="K230" s="1285"/>
      <c r="L230" s="1285"/>
    </row>
    <row r="231" spans="1:12" ht="11.15" customHeight="1">
      <c r="A231" s="181" t="s">
        <v>972</v>
      </c>
      <c r="B231" s="90"/>
      <c r="C231" s="147"/>
      <c r="D231" s="159"/>
      <c r="E231" s="36"/>
      <c r="F231" s="183"/>
      <c r="G231" s="496"/>
      <c r="H231" s="34"/>
      <c r="I231" s="11"/>
    </row>
    <row r="232" spans="1:12" ht="11.15" customHeight="1">
      <c r="A232" s="181" t="s">
        <v>973</v>
      </c>
      <c r="B232" s="90"/>
      <c r="C232" s="147"/>
      <c r="D232" s="122"/>
      <c r="E232" s="36"/>
      <c r="F232" s="178"/>
      <c r="G232" s="496"/>
      <c r="H232" s="36"/>
      <c r="I232" s="11"/>
    </row>
    <row r="233" spans="1:12" ht="11.15" customHeight="1">
      <c r="A233" s="166" t="s">
        <v>974</v>
      </c>
      <c r="B233" s="185"/>
      <c r="C233" s="147"/>
      <c r="D233" s="129"/>
      <c r="E233" s="185"/>
      <c r="F233" s="185"/>
      <c r="G233" s="185"/>
      <c r="H233" s="185"/>
      <c r="I233" s="11"/>
    </row>
    <row r="234" spans="1:12" ht="11.15" customHeight="1">
      <c r="A234" s="166" t="s">
        <v>975</v>
      </c>
      <c r="B234" s="90"/>
      <c r="C234" s="147"/>
      <c r="D234" s="122"/>
      <c r="E234" s="36"/>
      <c r="F234" s="178"/>
      <c r="G234" s="496"/>
      <c r="H234" s="36"/>
      <c r="I234" s="11"/>
    </row>
    <row r="235" spans="1:12" ht="11.15" customHeight="1">
      <c r="A235" s="169" t="s">
        <v>976</v>
      </c>
      <c r="B235" s="90"/>
      <c r="C235" s="147"/>
      <c r="D235" s="122"/>
      <c r="E235" s="36"/>
      <c r="F235" s="178"/>
      <c r="G235" s="496"/>
      <c r="H235" s="36"/>
      <c r="I235" s="11"/>
    </row>
    <row r="236" spans="1:12" ht="11.15" customHeight="1">
      <c r="A236" s="166" t="s">
        <v>977</v>
      </c>
      <c r="B236" s="90"/>
      <c r="C236" s="147"/>
      <c r="D236" s="29"/>
      <c r="E236" s="29"/>
      <c r="F236" s="29"/>
      <c r="G236" s="29"/>
      <c r="H236" s="29"/>
      <c r="I236" s="11"/>
    </row>
    <row r="237" spans="1:12" ht="11.15" customHeight="1">
      <c r="A237" s="129" t="s">
        <v>978</v>
      </c>
      <c r="B237" s="90"/>
      <c r="C237" s="147"/>
      <c r="D237" s="122"/>
      <c r="E237" s="36"/>
      <c r="F237" s="178"/>
      <c r="G237" s="496"/>
      <c r="H237" s="36"/>
      <c r="I237" s="11"/>
    </row>
    <row r="238" spans="1:12" ht="11.15" customHeight="1">
      <c r="A238" s="29"/>
      <c r="B238" s="146" t="s">
        <v>979</v>
      </c>
      <c r="C238" s="147"/>
      <c r="D238" s="122"/>
      <c r="E238" s="36"/>
      <c r="F238" s="178"/>
      <c r="G238" s="496"/>
      <c r="H238" s="36"/>
      <c r="I238" s="11"/>
    </row>
    <row r="239" spans="1:12" ht="9" customHeight="1">
      <c r="A239" s="186"/>
      <c r="B239" s="150" t="s">
        <v>980</v>
      </c>
      <c r="C239" s="147"/>
      <c r="D239" s="161"/>
      <c r="E239" s="36"/>
      <c r="F239" s="178"/>
      <c r="G239" s="453"/>
      <c r="H239" s="36"/>
      <c r="I239" s="11"/>
    </row>
    <row r="240" spans="1:12" ht="9" customHeight="1">
      <c r="A240" s="186"/>
      <c r="B240" s="150" t="s">
        <v>981</v>
      </c>
      <c r="C240" s="147"/>
      <c r="D240" s="161"/>
      <c r="E240" s="36"/>
      <c r="F240" s="178"/>
      <c r="G240" s="453"/>
      <c r="H240" s="36"/>
      <c r="I240" s="11"/>
    </row>
    <row r="241" spans="1:12" ht="9" customHeight="1">
      <c r="A241" s="186"/>
      <c r="B241" s="150" t="s">
        <v>982</v>
      </c>
      <c r="C241" s="147"/>
      <c r="D241" s="161"/>
      <c r="E241" s="36"/>
      <c r="F241" s="178"/>
      <c r="G241" s="453"/>
      <c r="H241" s="36"/>
      <c r="I241" s="11"/>
    </row>
    <row r="242" spans="1:12" ht="9" customHeight="1">
      <c r="A242" s="186"/>
      <c r="B242" s="150" t="s">
        <v>983</v>
      </c>
      <c r="C242" s="147"/>
      <c r="D242" s="161"/>
      <c r="E242" s="36"/>
      <c r="F242" s="178"/>
      <c r="G242" s="453"/>
      <c r="H242" s="36"/>
      <c r="I242" s="11"/>
    </row>
    <row r="243" spans="1:12" ht="9" customHeight="1">
      <c r="A243" s="186"/>
      <c r="B243" s="150" t="s">
        <v>984</v>
      </c>
      <c r="C243" s="147"/>
      <c r="D243" s="161"/>
      <c r="E243" s="36"/>
      <c r="F243" s="178"/>
      <c r="G243" s="453"/>
      <c r="H243" s="36"/>
      <c r="I243" s="11"/>
    </row>
    <row r="244" spans="1:12" ht="9" customHeight="1">
      <c r="A244" s="186"/>
      <c r="B244" s="150" t="s">
        <v>985</v>
      </c>
      <c r="C244" s="147"/>
      <c r="D244" s="161"/>
      <c r="E244" s="36"/>
      <c r="F244" s="178"/>
      <c r="G244" s="453"/>
      <c r="H244" s="36"/>
      <c r="I244" s="11"/>
    </row>
    <row r="245" spans="1:12" ht="9" customHeight="1">
      <c r="A245" s="186"/>
      <c r="B245" s="150" t="s">
        <v>986</v>
      </c>
      <c r="C245" s="147"/>
      <c r="D245" s="161"/>
      <c r="E245" s="36"/>
      <c r="F245" s="178"/>
      <c r="G245" s="453"/>
      <c r="H245" s="36"/>
      <c r="I245" s="11"/>
    </row>
    <row r="246" spans="1:12" ht="9" customHeight="1">
      <c r="A246" s="186"/>
      <c r="B246" s="150" t="s">
        <v>987</v>
      </c>
      <c r="C246" s="147"/>
      <c r="D246" s="161"/>
      <c r="E246" s="36"/>
      <c r="F246" s="178"/>
      <c r="G246" s="453"/>
      <c r="H246" s="36"/>
      <c r="I246" s="11"/>
    </row>
    <row r="247" spans="1:12" ht="9" customHeight="1">
      <c r="A247" s="186"/>
      <c r="B247" s="150" t="s">
        <v>988</v>
      </c>
      <c r="C247" s="147"/>
      <c r="D247" s="161"/>
      <c r="E247" s="36"/>
      <c r="F247" s="178"/>
      <c r="G247" s="453"/>
      <c r="H247" s="36"/>
      <c r="I247" s="11"/>
    </row>
    <row r="248" spans="1:12" ht="9" customHeight="1">
      <c r="A248" s="186"/>
      <c r="B248" s="150" t="s">
        <v>989</v>
      </c>
      <c r="C248" s="147"/>
      <c r="D248" s="161"/>
      <c r="E248" s="36"/>
      <c r="F248" s="178"/>
      <c r="G248" s="453"/>
      <c r="H248" s="36"/>
      <c r="I248" s="11"/>
    </row>
    <row r="249" spans="1:12" ht="9" customHeight="1">
      <c r="A249" s="186"/>
      <c r="B249" s="150" t="s">
        <v>990</v>
      </c>
      <c r="C249" s="147"/>
      <c r="D249" s="161"/>
      <c r="E249" s="36"/>
      <c r="F249" s="178"/>
      <c r="G249" s="453"/>
      <c r="H249" s="36"/>
      <c r="I249" s="11"/>
    </row>
    <row r="250" spans="1:12" ht="9" customHeight="1">
      <c r="A250" s="186"/>
      <c r="B250" s="150" t="s">
        <v>991</v>
      </c>
      <c r="C250" s="147"/>
      <c r="D250" s="161"/>
      <c r="E250" s="36"/>
      <c r="F250" s="178"/>
      <c r="G250" s="453"/>
      <c r="H250" s="36"/>
      <c r="I250" s="11"/>
    </row>
    <row r="251" spans="1:12" ht="9" customHeight="1" thickBot="1">
      <c r="A251" s="186"/>
      <c r="B251" s="150" t="s">
        <v>992</v>
      </c>
      <c r="C251" s="147"/>
      <c r="D251" s="161"/>
      <c r="E251" s="36"/>
      <c r="F251" s="178"/>
      <c r="G251" s="453"/>
      <c r="H251" s="36"/>
      <c r="I251" s="11"/>
    </row>
    <row r="252" spans="1:12" ht="11.15" customHeight="1">
      <c r="A252" s="153" t="s">
        <v>993</v>
      </c>
      <c r="B252" s="177" t="s">
        <v>994</v>
      </c>
      <c r="C252" s="147"/>
      <c r="D252" s="159"/>
      <c r="E252" s="157"/>
      <c r="F252" s="178"/>
      <c r="G252" s="496"/>
      <c r="H252" s="36"/>
      <c r="I252" s="11"/>
    </row>
    <row r="253" spans="1:12" ht="11.15" customHeight="1" thickBot="1">
      <c r="A253" s="187" t="s">
        <v>995</v>
      </c>
      <c r="B253" s="59" t="s">
        <v>20242</v>
      </c>
      <c r="C253" s="147" t="s">
        <v>23393</v>
      </c>
      <c r="D253" s="701" t="s">
        <v>884</v>
      </c>
      <c r="E253" s="178" t="s">
        <v>20243</v>
      </c>
      <c r="F253" s="178" t="s">
        <v>4520</v>
      </c>
      <c r="G253" s="496"/>
      <c r="H253" s="994" t="s">
        <v>20221</v>
      </c>
      <c r="I253" s="11" t="s">
        <v>996</v>
      </c>
      <c r="J253" s="1285"/>
      <c r="K253" s="1285"/>
      <c r="L253" s="1285"/>
    </row>
    <row r="254" spans="1:12" ht="11.15" customHeight="1">
      <c r="A254" s="58" t="s">
        <v>997</v>
      </c>
      <c r="B254" s="59" t="s">
        <v>20245</v>
      </c>
      <c r="C254" s="147" t="s">
        <v>23393</v>
      </c>
      <c r="D254" s="701" t="s">
        <v>884</v>
      </c>
      <c r="E254" s="178" t="s">
        <v>19060</v>
      </c>
      <c r="F254" s="178" t="s">
        <v>4520</v>
      </c>
      <c r="G254" s="496"/>
      <c r="H254" s="994" t="s">
        <v>20221</v>
      </c>
      <c r="I254" s="11" t="s">
        <v>998</v>
      </c>
      <c r="J254" s="1285"/>
      <c r="K254" s="1285"/>
      <c r="L254" s="1285"/>
    </row>
    <row r="255" spans="1:12" ht="11.15" customHeight="1">
      <c r="A255" s="188" t="s">
        <v>999</v>
      </c>
      <c r="B255" s="58" t="s">
        <v>20246</v>
      </c>
      <c r="C255" s="147" t="s">
        <v>20221</v>
      </c>
      <c r="D255" s="701" t="s">
        <v>884</v>
      </c>
      <c r="E255" s="178" t="s">
        <v>20247</v>
      </c>
      <c r="F255" s="178" t="s">
        <v>4520</v>
      </c>
      <c r="G255" s="496"/>
      <c r="H255" s="994" t="s">
        <v>20221</v>
      </c>
      <c r="I255" s="11" t="s">
        <v>1000</v>
      </c>
      <c r="J255" s="1285"/>
      <c r="K255" s="1285"/>
      <c r="L255" s="1285"/>
    </row>
    <row r="256" spans="1:12" ht="11.15" customHeight="1">
      <c r="A256" s="58" t="s">
        <v>1001</v>
      </c>
      <c r="B256" s="177" t="s">
        <v>1002</v>
      </c>
      <c r="C256" s="147"/>
      <c r="D256" s="129"/>
      <c r="E256" s="185"/>
      <c r="F256" s="185"/>
      <c r="G256" s="496"/>
      <c r="H256" s="185"/>
      <c r="I256" s="11"/>
    </row>
    <row r="257" spans="1:12" ht="11.15" customHeight="1">
      <c r="A257" s="181" t="s">
        <v>1003</v>
      </c>
      <c r="B257" s="59" t="s">
        <v>20248</v>
      </c>
      <c r="C257" s="147" t="s">
        <v>23393</v>
      </c>
      <c r="D257" s="1034" t="s">
        <v>879</v>
      </c>
      <c r="E257" s="178" t="s">
        <v>19060</v>
      </c>
      <c r="F257" s="178" t="s">
        <v>4520</v>
      </c>
      <c r="G257" s="496"/>
      <c r="H257" s="994" t="s">
        <v>20221</v>
      </c>
      <c r="I257" s="11" t="s">
        <v>1004</v>
      </c>
      <c r="J257" s="1285"/>
      <c r="K257" s="1285"/>
      <c r="L257" s="1285"/>
    </row>
    <row r="258" spans="1:12" ht="11.15" customHeight="1">
      <c r="A258" s="181" t="s">
        <v>1005</v>
      </c>
      <c r="B258" s="59" t="s">
        <v>20249</v>
      </c>
      <c r="C258" s="147" t="s">
        <v>23393</v>
      </c>
      <c r="D258" s="1034" t="s">
        <v>879</v>
      </c>
      <c r="E258" s="178" t="s">
        <v>19060</v>
      </c>
      <c r="F258" s="178" t="s">
        <v>23394</v>
      </c>
      <c r="G258" s="496"/>
      <c r="H258" s="994" t="s">
        <v>20224</v>
      </c>
      <c r="I258" s="11" t="s">
        <v>1006</v>
      </c>
      <c r="J258" s="1285"/>
      <c r="K258" s="1285"/>
      <c r="L258" s="1285"/>
    </row>
    <row r="259" spans="1:12" ht="11.15" customHeight="1" thickBot="1">
      <c r="A259" s="29" t="s">
        <v>1007</v>
      </c>
      <c r="B259" s="189"/>
      <c r="C259" s="147"/>
      <c r="D259" s="129"/>
      <c r="E259" s="185"/>
      <c r="F259" s="185"/>
      <c r="G259" s="185"/>
      <c r="H259" s="185"/>
      <c r="I259" s="11"/>
    </row>
    <row r="260" spans="1:12" ht="11.15" customHeight="1">
      <c r="A260" s="29" t="s">
        <v>1008</v>
      </c>
      <c r="B260" s="190" t="s">
        <v>1009</v>
      </c>
      <c r="C260" s="191"/>
      <c r="D260" s="110"/>
      <c r="E260" s="192"/>
      <c r="F260" s="192"/>
      <c r="G260" s="192"/>
      <c r="H260" s="193"/>
      <c r="I260" s="11"/>
    </row>
    <row r="261" spans="1:12" ht="11.15" customHeight="1">
      <c r="A261" s="29" t="s">
        <v>1010</v>
      </c>
      <c r="B261" s="194" t="s">
        <v>1011</v>
      </c>
      <c r="C261" s="147"/>
      <c r="D261" s="161"/>
      <c r="E261" s="36"/>
      <c r="F261" s="178"/>
      <c r="G261" s="496"/>
      <c r="H261" s="628"/>
      <c r="I261" s="11"/>
    </row>
    <row r="262" spans="1:12" ht="11.15" customHeight="1">
      <c r="A262" s="195" t="s">
        <v>1012</v>
      </c>
      <c r="B262" s="196" t="s">
        <v>1013</v>
      </c>
      <c r="C262" s="147"/>
      <c r="D262" s="161"/>
      <c r="E262" s="36"/>
      <c r="F262" s="178"/>
      <c r="G262" s="496"/>
      <c r="H262" s="628"/>
      <c r="I262" s="11"/>
    </row>
    <row r="263" spans="1:12" ht="11.15" customHeight="1">
      <c r="A263" s="58" t="s">
        <v>1014</v>
      </c>
      <c r="B263" s="197" t="s">
        <v>1015</v>
      </c>
      <c r="C263" s="147"/>
      <c r="D263" s="161"/>
      <c r="E263" s="36"/>
      <c r="F263" s="178"/>
      <c r="G263" s="496"/>
      <c r="H263" s="628"/>
      <c r="I263" s="11"/>
    </row>
    <row r="264" spans="1:12" ht="11.15" customHeight="1">
      <c r="A264" s="58" t="s">
        <v>1016</v>
      </c>
      <c r="B264" s="198" t="s">
        <v>1017</v>
      </c>
      <c r="C264" s="147"/>
      <c r="D264" s="161"/>
      <c r="E264" s="36"/>
      <c r="F264" s="178"/>
      <c r="G264" s="496"/>
      <c r="H264" s="628"/>
      <c r="I264" s="11"/>
    </row>
    <row r="265" spans="1:12" ht="11.15" customHeight="1">
      <c r="A265" s="199" t="s">
        <v>1018</v>
      </c>
      <c r="B265" s="200" t="s">
        <v>1019</v>
      </c>
      <c r="C265" s="147"/>
      <c r="D265" s="161"/>
      <c r="E265" s="36"/>
      <c r="F265" s="178"/>
      <c r="G265" s="496"/>
      <c r="H265" s="628"/>
      <c r="I265" s="11"/>
    </row>
    <row r="266" spans="1:12" ht="11.15" customHeight="1">
      <c r="A266" s="199" t="s">
        <v>1020</v>
      </c>
      <c r="B266" s="33" t="s">
        <v>1021</v>
      </c>
      <c r="C266" s="147"/>
      <c r="D266" s="161"/>
      <c r="E266" s="36"/>
      <c r="F266" s="178"/>
      <c r="G266" s="496"/>
      <c r="H266" s="628"/>
      <c r="I266" s="11"/>
    </row>
    <row r="267" spans="1:12" ht="11.15" customHeight="1">
      <c r="A267" s="201" t="s">
        <v>1022</v>
      </c>
      <c r="B267" s="198" t="s">
        <v>1023</v>
      </c>
      <c r="C267" s="147"/>
      <c r="D267" s="161"/>
      <c r="E267" s="36"/>
      <c r="F267" s="178"/>
      <c r="G267" s="496"/>
      <c r="H267" s="628"/>
      <c r="I267" s="11"/>
    </row>
    <row r="268" spans="1:12" ht="11.15" customHeight="1">
      <c r="A268" s="129" t="s">
        <v>1024</v>
      </c>
      <c r="B268" s="200" t="s">
        <v>1025</v>
      </c>
      <c r="C268" s="147"/>
      <c r="D268" s="185"/>
      <c r="E268" s="36"/>
      <c r="F268" s="178"/>
      <c r="G268" s="496"/>
      <c r="H268" s="628"/>
      <c r="I268" s="11"/>
    </row>
    <row r="269" spans="1:12" ht="11.15" customHeight="1">
      <c r="B269" s="197" t="s">
        <v>1026</v>
      </c>
      <c r="C269" s="147"/>
      <c r="D269" s="185"/>
      <c r="E269" s="36"/>
      <c r="F269" s="178"/>
      <c r="G269" s="496"/>
      <c r="H269" s="628"/>
      <c r="I269" s="11"/>
    </row>
    <row r="270" spans="1:12" ht="11.15" customHeight="1">
      <c r="A270" s="29"/>
      <c r="B270" s="198" t="s">
        <v>1027</v>
      </c>
      <c r="C270" s="147"/>
      <c r="D270" s="185"/>
      <c r="E270" s="36"/>
      <c r="F270" s="178"/>
      <c r="G270" s="496"/>
      <c r="H270" s="628"/>
      <c r="I270" s="11"/>
    </row>
    <row r="271" spans="1:12" ht="11.15" customHeight="1">
      <c r="A271" s="29"/>
      <c r="B271" s="33" t="s">
        <v>1028</v>
      </c>
      <c r="C271" s="147"/>
      <c r="D271" s="161"/>
      <c r="E271" s="36"/>
      <c r="F271" s="178"/>
      <c r="G271" s="496"/>
      <c r="H271" s="628"/>
      <c r="I271" s="11"/>
    </row>
    <row r="272" spans="1:12" ht="11.15" customHeight="1">
      <c r="A272" s="29"/>
      <c r="B272" s="198" t="s">
        <v>1029</v>
      </c>
      <c r="C272" s="147"/>
      <c r="D272" s="161"/>
      <c r="E272" s="36"/>
      <c r="F272" s="178"/>
      <c r="G272" s="496"/>
      <c r="H272" s="628"/>
      <c r="I272" s="11"/>
    </row>
    <row r="273" spans="1:9" ht="11.15" customHeight="1">
      <c r="A273" s="29"/>
      <c r="B273" s="200" t="s">
        <v>1030</v>
      </c>
      <c r="C273" s="147"/>
      <c r="D273" s="161"/>
      <c r="E273" s="36"/>
      <c r="F273" s="178"/>
      <c r="G273" s="496"/>
      <c r="H273" s="628"/>
      <c r="I273" s="11"/>
    </row>
    <row r="274" spans="1:9" ht="11.15" customHeight="1" thickBot="1">
      <c r="A274" s="29"/>
      <c r="B274" s="202" t="s">
        <v>1031</v>
      </c>
      <c r="C274" s="203"/>
      <c r="D274" s="204"/>
      <c r="E274" s="205"/>
      <c r="F274" s="205"/>
      <c r="G274" s="205"/>
      <c r="H274" s="206"/>
      <c r="I274" s="11"/>
    </row>
    <row r="275" spans="1:9" ht="11.15" customHeight="1">
      <c r="A275" s="29"/>
      <c r="B275" s="207"/>
      <c r="C275" s="147"/>
      <c r="D275" s="161"/>
      <c r="E275" s="185"/>
      <c r="F275" s="185"/>
      <c r="G275" s="185"/>
      <c r="H275" s="185"/>
      <c r="I275" s="11"/>
    </row>
    <row r="276" spans="1:9" ht="11.15" customHeight="1">
      <c r="A276" s="29"/>
      <c r="B276" s="146" t="s">
        <v>1032</v>
      </c>
      <c r="C276" s="147"/>
      <c r="D276" s="122"/>
      <c r="E276" s="36"/>
      <c r="F276" s="178"/>
      <c r="G276" s="496"/>
      <c r="H276" s="36"/>
      <c r="I276" s="11"/>
    </row>
    <row r="277" spans="1:9" ht="9" customHeight="1">
      <c r="A277" s="29"/>
      <c r="B277" s="150" t="s">
        <v>1033</v>
      </c>
      <c r="C277" s="147"/>
      <c r="D277" s="122"/>
      <c r="E277" s="36"/>
      <c r="F277" s="178"/>
      <c r="G277" s="496"/>
      <c r="H277" s="36"/>
      <c r="I277" s="11"/>
    </row>
    <row r="278" spans="1:9" ht="9" customHeight="1">
      <c r="A278" s="29"/>
      <c r="B278" s="150" t="s">
        <v>1034</v>
      </c>
      <c r="C278" s="147"/>
      <c r="D278" s="122"/>
      <c r="E278" s="36"/>
      <c r="F278" s="178"/>
      <c r="G278" s="496"/>
      <c r="H278" s="36"/>
      <c r="I278" s="11"/>
    </row>
    <row r="279" spans="1:9" ht="9" customHeight="1">
      <c r="A279" s="208"/>
      <c r="B279" s="209" t="s">
        <v>1035</v>
      </c>
      <c r="C279" s="147"/>
      <c r="D279" s="149"/>
      <c r="E279" s="210"/>
      <c r="F279" s="150"/>
      <c r="G279" s="1190"/>
      <c r="H279" s="210"/>
      <c r="I279" s="11"/>
    </row>
    <row r="280" spans="1:9" ht="9" customHeight="1">
      <c r="A280" s="208"/>
      <c r="B280" s="209" t="s">
        <v>1036</v>
      </c>
      <c r="C280" s="147"/>
      <c r="D280" s="149"/>
      <c r="E280" s="210"/>
      <c r="F280" s="150"/>
      <c r="G280" s="1190"/>
      <c r="H280" s="210"/>
      <c r="I280" s="11"/>
    </row>
    <row r="281" spans="1:9" ht="9" customHeight="1">
      <c r="A281" s="208"/>
      <c r="B281" s="209" t="s">
        <v>1037</v>
      </c>
      <c r="C281" s="147"/>
      <c r="D281" s="149"/>
      <c r="E281" s="210"/>
      <c r="F281" s="150"/>
      <c r="G281" s="1190"/>
      <c r="H281" s="210"/>
      <c r="I281" s="11"/>
    </row>
    <row r="282" spans="1:9" ht="9" customHeight="1">
      <c r="A282" s="208"/>
      <c r="B282" s="150" t="s">
        <v>1038</v>
      </c>
      <c r="C282" s="147"/>
      <c r="D282" s="149"/>
      <c r="E282" s="210"/>
      <c r="F282" s="150"/>
      <c r="G282" s="1190"/>
      <c r="H282" s="210"/>
      <c r="I282" s="11"/>
    </row>
    <row r="283" spans="1:9" ht="9" customHeight="1">
      <c r="A283" s="208"/>
      <c r="B283" s="209" t="s">
        <v>1039</v>
      </c>
      <c r="C283" s="147"/>
      <c r="D283" s="149"/>
      <c r="E283" s="210"/>
      <c r="F283" s="150"/>
      <c r="G283" s="1190"/>
      <c r="H283" s="210"/>
      <c r="I283" s="11"/>
    </row>
    <row r="284" spans="1:9" ht="9" customHeight="1">
      <c r="A284" s="208"/>
      <c r="B284" s="150" t="s">
        <v>1040</v>
      </c>
      <c r="C284" s="147"/>
      <c r="D284" s="149"/>
      <c r="E284" s="210"/>
      <c r="F284" s="150"/>
      <c r="G284" s="1190"/>
      <c r="H284" s="210"/>
      <c r="I284" s="11"/>
    </row>
    <row r="285" spans="1:9" ht="9" customHeight="1">
      <c r="A285" s="208"/>
      <c r="B285" s="150" t="s">
        <v>1041</v>
      </c>
      <c r="C285" s="147"/>
      <c r="D285" s="149"/>
      <c r="E285" s="210"/>
      <c r="F285" s="150"/>
      <c r="G285" s="1190"/>
      <c r="H285" s="210"/>
      <c r="I285" s="11"/>
    </row>
    <row r="286" spans="1:9" ht="9" customHeight="1">
      <c r="A286" s="208"/>
      <c r="B286" s="209" t="s">
        <v>1042</v>
      </c>
      <c r="C286" s="147"/>
      <c r="D286" s="149"/>
      <c r="E286" s="210"/>
      <c r="F286" s="150"/>
      <c r="G286" s="1190"/>
      <c r="H286" s="210"/>
      <c r="I286" s="11"/>
    </row>
    <row r="287" spans="1:9" ht="9" customHeight="1">
      <c r="A287" s="208"/>
      <c r="B287" s="209" t="s">
        <v>1043</v>
      </c>
      <c r="C287" s="147"/>
      <c r="D287" s="149"/>
      <c r="E287" s="210"/>
      <c r="F287" s="150"/>
      <c r="G287" s="1190"/>
      <c r="H287" s="210"/>
      <c r="I287" s="11"/>
    </row>
    <row r="288" spans="1:9" ht="11.15" customHeight="1">
      <c r="A288" s="29"/>
      <c r="B288" s="146" t="s">
        <v>1044</v>
      </c>
      <c r="C288" s="147"/>
      <c r="D288" s="122"/>
      <c r="E288" s="36"/>
      <c r="F288" s="178"/>
      <c r="G288" s="496"/>
      <c r="H288" s="36"/>
      <c r="I288" s="11"/>
    </row>
    <row r="289" spans="1:12" ht="9" customHeight="1">
      <c r="A289" s="137"/>
      <c r="B289" s="150" t="s">
        <v>1045</v>
      </c>
      <c r="C289" s="147"/>
      <c r="D289" s="122"/>
      <c r="E289" s="36"/>
      <c r="F289" s="178"/>
      <c r="G289" s="496"/>
      <c r="H289" s="36"/>
      <c r="I289" s="11"/>
    </row>
    <row r="290" spans="1:12" ht="9" customHeight="1">
      <c r="A290" s="137"/>
      <c r="B290" s="150" t="s">
        <v>1046</v>
      </c>
      <c r="C290" s="147"/>
      <c r="D290" s="122"/>
      <c r="E290" s="36"/>
      <c r="F290" s="178"/>
      <c r="G290" s="496"/>
      <c r="H290" s="36"/>
      <c r="I290" s="11"/>
    </row>
    <row r="291" spans="1:12" ht="9" customHeight="1">
      <c r="A291" s="137"/>
      <c r="B291" s="150" t="s">
        <v>1047</v>
      </c>
      <c r="C291" s="147"/>
      <c r="D291" s="122"/>
      <c r="E291" s="36"/>
      <c r="F291" s="178"/>
      <c r="G291" s="496"/>
      <c r="H291" s="36"/>
      <c r="I291" s="11"/>
    </row>
    <row r="292" spans="1:12" ht="9" customHeight="1">
      <c r="A292" s="137"/>
      <c r="B292" s="150" t="s">
        <v>1048</v>
      </c>
      <c r="C292" s="147"/>
      <c r="D292" s="122"/>
      <c r="E292" s="36"/>
      <c r="F292" s="178"/>
      <c r="G292" s="496"/>
      <c r="H292" s="36"/>
      <c r="I292" s="11"/>
    </row>
    <row r="293" spans="1:12" ht="9" customHeight="1">
      <c r="A293" s="137"/>
      <c r="B293" s="150" t="s">
        <v>1049</v>
      </c>
      <c r="C293" s="147"/>
      <c r="D293" s="122"/>
      <c r="E293" s="36"/>
      <c r="F293" s="178"/>
      <c r="G293" s="496"/>
      <c r="H293" s="36"/>
      <c r="I293" s="11"/>
    </row>
    <row r="294" spans="1:12" ht="9" customHeight="1">
      <c r="A294" s="137"/>
      <c r="B294" s="150" t="s">
        <v>1050</v>
      </c>
      <c r="C294" s="147"/>
      <c r="D294" s="122"/>
      <c r="E294" s="36"/>
      <c r="F294" s="178"/>
      <c r="G294" s="496"/>
      <c r="H294" s="36"/>
      <c r="I294" s="11"/>
    </row>
    <row r="295" spans="1:12" ht="9" customHeight="1">
      <c r="A295" s="137"/>
      <c r="B295" s="150" t="s">
        <v>1051</v>
      </c>
      <c r="C295" s="147"/>
      <c r="D295" s="122"/>
      <c r="E295" s="36"/>
      <c r="F295" s="178"/>
      <c r="G295" s="496"/>
      <c r="H295" s="36"/>
      <c r="I295" s="11"/>
    </row>
    <row r="296" spans="1:12" ht="9" customHeight="1">
      <c r="A296" s="137"/>
      <c r="B296" s="150" t="s">
        <v>1052</v>
      </c>
      <c r="C296" s="147"/>
      <c r="D296" s="122"/>
      <c r="E296" s="36"/>
      <c r="F296" s="178"/>
      <c r="G296" s="496"/>
      <c r="H296" s="36"/>
      <c r="I296" s="11"/>
    </row>
    <row r="297" spans="1:12" ht="9" customHeight="1">
      <c r="A297" s="137"/>
      <c r="B297" s="150" t="s">
        <v>1053</v>
      </c>
      <c r="C297" s="147"/>
      <c r="D297" s="122"/>
      <c r="E297" s="36"/>
      <c r="F297" s="178"/>
      <c r="G297" s="496"/>
      <c r="H297" s="36"/>
      <c r="I297" s="11"/>
    </row>
    <row r="298" spans="1:12" ht="9" customHeight="1">
      <c r="A298" s="137"/>
      <c r="B298" s="150" t="s">
        <v>1054</v>
      </c>
      <c r="C298" s="147"/>
      <c r="D298" s="122"/>
      <c r="E298" s="36"/>
      <c r="F298" s="178"/>
      <c r="G298" s="496"/>
      <c r="H298" s="36"/>
      <c r="I298" s="11"/>
    </row>
    <row r="299" spans="1:12" ht="9" customHeight="1">
      <c r="A299" s="137"/>
      <c r="B299" s="150" t="s">
        <v>1055</v>
      </c>
      <c r="C299" s="147"/>
      <c r="D299" s="122"/>
      <c r="E299" s="36"/>
      <c r="F299" s="178"/>
      <c r="G299" s="496"/>
      <c r="H299" s="36"/>
      <c r="I299" s="11"/>
    </row>
    <row r="300" spans="1:12" ht="9" customHeight="1">
      <c r="A300" s="137"/>
      <c r="B300" s="150" t="s">
        <v>1056</v>
      </c>
      <c r="C300" s="147"/>
      <c r="D300" s="122"/>
      <c r="E300" s="36"/>
      <c r="F300" s="178"/>
      <c r="G300" s="496"/>
      <c r="H300" s="36"/>
      <c r="I300" s="11"/>
    </row>
    <row r="301" spans="1:12" ht="9" customHeight="1" thickBot="1">
      <c r="A301" s="137"/>
      <c r="B301" s="150" t="s">
        <v>1057</v>
      </c>
      <c r="C301" s="147"/>
      <c r="D301" s="122"/>
      <c r="E301" s="36"/>
      <c r="F301" s="178"/>
      <c r="G301" s="496"/>
      <c r="H301" s="36"/>
      <c r="I301" s="11"/>
    </row>
    <row r="302" spans="1:12" ht="11.15" customHeight="1">
      <c r="A302" s="153" t="s">
        <v>1058</v>
      </c>
      <c r="B302" s="59" t="s">
        <v>20251</v>
      </c>
      <c r="C302" s="147" t="s">
        <v>20221</v>
      </c>
      <c r="D302" s="1034" t="s">
        <v>879</v>
      </c>
      <c r="E302" s="178" t="s">
        <v>19060</v>
      </c>
      <c r="F302" s="178" t="s">
        <v>23395</v>
      </c>
      <c r="G302" s="496"/>
      <c r="H302" s="994" t="s">
        <v>20221</v>
      </c>
      <c r="I302" s="11" t="s">
        <v>1059</v>
      </c>
      <c r="J302" s="1285"/>
      <c r="K302" s="1285"/>
      <c r="L302" s="1285"/>
    </row>
    <row r="303" spans="1:12" ht="11.15" customHeight="1" thickBot="1">
      <c r="A303" s="230" t="s">
        <v>1060</v>
      </c>
      <c r="B303" s="59" t="s">
        <v>20252</v>
      </c>
      <c r="C303" s="147" t="s">
        <v>20221</v>
      </c>
      <c r="D303" s="701" t="s">
        <v>884</v>
      </c>
      <c r="E303" s="178" t="s">
        <v>20253</v>
      </c>
      <c r="F303" s="178" t="s">
        <v>4520</v>
      </c>
      <c r="G303" s="496"/>
      <c r="H303" s="994" t="s">
        <v>20221</v>
      </c>
      <c r="I303" s="11" t="s">
        <v>1061</v>
      </c>
      <c r="J303" s="1285"/>
      <c r="K303" s="1285"/>
      <c r="L303" s="1285"/>
    </row>
    <row r="304" spans="1:12" ht="11.15" customHeight="1">
      <c r="A304" s="29" t="s">
        <v>1062</v>
      </c>
      <c r="B304" s="59" t="s">
        <v>20254</v>
      </c>
      <c r="C304" s="147" t="s">
        <v>20221</v>
      </c>
      <c r="D304" s="701" t="s">
        <v>884</v>
      </c>
      <c r="E304" s="178" t="s">
        <v>20221</v>
      </c>
      <c r="F304" s="178" t="s">
        <v>5257</v>
      </c>
      <c r="G304" s="496" t="s">
        <v>20221</v>
      </c>
      <c r="H304" s="994" t="s">
        <v>3907</v>
      </c>
      <c r="I304" s="11" t="s">
        <v>1063</v>
      </c>
      <c r="J304" s="1285"/>
      <c r="K304" s="1285"/>
      <c r="L304" s="1285"/>
    </row>
    <row r="305" spans="1:12" ht="11.15" customHeight="1">
      <c r="A305" s="29" t="s">
        <v>1064</v>
      </c>
      <c r="B305" s="59" t="s">
        <v>20255</v>
      </c>
      <c r="C305" s="147" t="s">
        <v>20221</v>
      </c>
      <c r="D305" s="701" t="s">
        <v>884</v>
      </c>
      <c r="E305" s="178">
        <v>2014</v>
      </c>
      <c r="F305" s="178" t="s">
        <v>4520</v>
      </c>
      <c r="G305" s="496"/>
      <c r="H305" s="994" t="s">
        <v>20221</v>
      </c>
      <c r="I305" s="11" t="s">
        <v>1065</v>
      </c>
      <c r="J305" s="1285"/>
      <c r="K305" s="1285"/>
      <c r="L305" s="1285"/>
    </row>
    <row r="306" spans="1:12" ht="11.15" customHeight="1">
      <c r="A306" s="181" t="s">
        <v>890</v>
      </c>
      <c r="B306" s="59" t="s">
        <v>20256</v>
      </c>
      <c r="C306" s="147" t="s">
        <v>20221</v>
      </c>
      <c r="D306" s="701" t="s">
        <v>884</v>
      </c>
      <c r="E306" s="178" t="s">
        <v>19060</v>
      </c>
      <c r="F306" s="178" t="s">
        <v>4520</v>
      </c>
      <c r="G306" s="496"/>
      <c r="H306" s="994" t="s">
        <v>20221</v>
      </c>
      <c r="I306" s="11" t="s">
        <v>1066</v>
      </c>
      <c r="J306" s="1285"/>
      <c r="K306" s="1285"/>
      <c r="L306" s="1285"/>
    </row>
    <row r="307" spans="1:12" ht="11.15" customHeight="1">
      <c r="A307" s="29" t="s">
        <v>1067</v>
      </c>
      <c r="B307" s="59" t="s">
        <v>20257</v>
      </c>
      <c r="C307" s="147" t="s">
        <v>20221</v>
      </c>
      <c r="D307" s="701" t="s">
        <v>884</v>
      </c>
      <c r="E307" s="178" t="s">
        <v>20253</v>
      </c>
      <c r="F307" s="178" t="s">
        <v>4520</v>
      </c>
      <c r="G307" s="496"/>
      <c r="H307" s="994" t="s">
        <v>20221</v>
      </c>
      <c r="I307" s="11" t="s">
        <v>1068</v>
      </c>
      <c r="J307" s="1285"/>
      <c r="K307" s="1285"/>
      <c r="L307" s="1285"/>
    </row>
    <row r="308" spans="1:12" ht="11.15" customHeight="1">
      <c r="A308" s="129" t="s">
        <v>1069</v>
      </c>
      <c r="B308" s="59" t="s">
        <v>20258</v>
      </c>
      <c r="C308" s="147" t="s">
        <v>20221</v>
      </c>
      <c r="D308" s="701" t="s">
        <v>884</v>
      </c>
      <c r="E308" s="178">
        <v>2014</v>
      </c>
      <c r="F308" s="178" t="s">
        <v>9658</v>
      </c>
      <c r="G308" s="496"/>
      <c r="H308" s="994" t="s">
        <v>20221</v>
      </c>
      <c r="I308" s="11" t="s">
        <v>1070</v>
      </c>
      <c r="J308" s="1285"/>
      <c r="K308" s="1285"/>
      <c r="L308" s="1285"/>
    </row>
    <row r="309" spans="1:12" ht="11.15" customHeight="1">
      <c r="A309" s="162" t="s">
        <v>1071</v>
      </c>
      <c r="B309" s="29"/>
      <c r="C309" s="147"/>
      <c r="D309" s="29"/>
      <c r="E309" s="29"/>
      <c r="F309" s="29"/>
      <c r="G309" s="29"/>
      <c r="H309" s="29"/>
      <c r="I309" s="11"/>
    </row>
    <row r="310" spans="1:12" ht="11.15" customHeight="1">
      <c r="A310" s="162" t="s">
        <v>1072</v>
      </c>
      <c r="B310" s="29"/>
      <c r="C310" s="147"/>
      <c r="D310" s="129"/>
      <c r="E310" s="29"/>
      <c r="F310" s="29"/>
      <c r="G310" s="29"/>
      <c r="H310" s="29"/>
      <c r="I310" s="11"/>
    </row>
    <row r="311" spans="1:12" ht="11.15" customHeight="1">
      <c r="A311" s="162" t="s">
        <v>1073</v>
      </c>
      <c r="B311" s="90"/>
      <c r="C311" s="147"/>
      <c r="D311" s="122"/>
      <c r="E311" s="36"/>
      <c r="F311" s="178"/>
      <c r="G311" s="496"/>
      <c r="H311" s="36"/>
      <c r="I311" s="11"/>
    </row>
    <row r="312" spans="1:12" ht="11.15" customHeight="1">
      <c r="A312" s="162" t="s">
        <v>1074</v>
      </c>
      <c r="B312" s="90"/>
      <c r="C312" s="147"/>
      <c r="D312" s="122"/>
      <c r="E312" s="36"/>
      <c r="F312" s="178"/>
      <c r="G312" s="496"/>
      <c r="H312" s="36"/>
      <c r="I312" s="11"/>
    </row>
    <row r="313" spans="1:12" ht="11.15" customHeight="1">
      <c r="A313" s="162" t="s">
        <v>1075</v>
      </c>
      <c r="B313" s="90"/>
      <c r="C313" s="147"/>
      <c r="D313" s="122"/>
      <c r="E313" s="36"/>
      <c r="F313" s="178"/>
      <c r="G313" s="496"/>
      <c r="H313" s="36"/>
      <c r="I313" s="11"/>
    </row>
    <row r="314" spans="1:12" ht="11.15" customHeight="1">
      <c r="A314" s="162" t="s">
        <v>1076</v>
      </c>
      <c r="B314" s="90"/>
      <c r="C314" s="147"/>
      <c r="D314" s="122"/>
      <c r="E314" s="36"/>
      <c r="F314" s="178"/>
      <c r="G314" s="496"/>
      <c r="H314" s="36"/>
      <c r="I314" s="11"/>
    </row>
    <row r="315" spans="1:12" ht="11.15" customHeight="1">
      <c r="A315" s="129" t="s">
        <v>1077</v>
      </c>
      <c r="B315" s="29"/>
      <c r="C315" s="147"/>
      <c r="D315" s="122"/>
      <c r="E315" s="36"/>
      <c r="F315" s="178"/>
      <c r="G315" s="496"/>
      <c r="H315" s="36"/>
      <c r="I315" s="11"/>
    </row>
    <row r="316" spans="1:12" ht="11.15" customHeight="1">
      <c r="A316" s="162" t="s">
        <v>1078</v>
      </c>
      <c r="B316" s="29"/>
      <c r="C316" s="147"/>
      <c r="D316" s="122"/>
      <c r="E316" s="36"/>
      <c r="F316" s="178"/>
      <c r="G316" s="496"/>
      <c r="H316" s="36"/>
      <c r="I316" s="11"/>
    </row>
    <row r="317" spans="1:12" ht="11.15" customHeight="1">
      <c r="A317" s="162" t="s">
        <v>1079</v>
      </c>
      <c r="B317" s="29"/>
      <c r="C317" s="147"/>
      <c r="D317" s="122"/>
      <c r="E317" s="36"/>
      <c r="F317" s="178"/>
      <c r="G317" s="496"/>
      <c r="H317" s="36"/>
      <c r="I317" s="11"/>
    </row>
    <row r="318" spans="1:12" ht="11.15" customHeight="1">
      <c r="A318" s="162" t="s">
        <v>1080</v>
      </c>
      <c r="B318" s="29"/>
      <c r="C318" s="147"/>
      <c r="D318" s="122"/>
      <c r="E318" s="36"/>
      <c r="F318" s="178"/>
      <c r="G318" s="496"/>
      <c r="H318" s="36"/>
      <c r="I318" s="11"/>
    </row>
    <row r="319" spans="1:12" ht="11.15" customHeight="1">
      <c r="A319" s="162" t="s">
        <v>1081</v>
      </c>
      <c r="B319" s="29"/>
      <c r="C319" s="147"/>
      <c r="D319" s="122"/>
      <c r="E319" s="36"/>
      <c r="F319" s="178"/>
      <c r="G319" s="496"/>
      <c r="H319" s="36"/>
      <c r="I319" s="11"/>
    </row>
    <row r="320" spans="1:12" ht="11.15" customHeight="1">
      <c r="A320" s="162" t="s">
        <v>1082</v>
      </c>
      <c r="B320" s="29"/>
      <c r="C320" s="147"/>
      <c r="D320" s="122"/>
      <c r="E320" s="36"/>
      <c r="F320" s="178"/>
      <c r="G320" s="496"/>
      <c r="H320" s="36"/>
      <c r="I320" s="11"/>
    </row>
    <row r="321" spans="1:12" ht="11.15" customHeight="1">
      <c r="A321" s="162" t="s">
        <v>1083</v>
      </c>
      <c r="B321" s="29"/>
      <c r="C321" s="147"/>
      <c r="D321" s="122"/>
      <c r="E321" s="36"/>
      <c r="F321" s="178"/>
      <c r="G321" s="496"/>
      <c r="H321" s="36"/>
      <c r="I321" s="11"/>
    </row>
    <row r="322" spans="1:12" ht="11.15" customHeight="1">
      <c r="A322" s="212" t="s">
        <v>1084</v>
      </c>
      <c r="B322" s="29"/>
      <c r="C322" s="147"/>
      <c r="D322" s="122"/>
      <c r="E322" s="36"/>
      <c r="F322" s="178"/>
      <c r="G322" s="496"/>
      <c r="H322" s="36"/>
      <c r="I322" s="11"/>
    </row>
    <row r="323" spans="1:12" ht="11.15" customHeight="1">
      <c r="A323" s="213" t="s">
        <v>1085</v>
      </c>
      <c r="B323" s="29"/>
      <c r="C323" s="147"/>
      <c r="D323" s="122"/>
      <c r="E323" s="36"/>
      <c r="F323" s="178"/>
      <c r="G323" s="496"/>
      <c r="H323" s="36"/>
      <c r="I323" s="11"/>
    </row>
    <row r="324" spans="1:12" ht="11.15" customHeight="1">
      <c r="A324" s="129" t="s">
        <v>1086</v>
      </c>
      <c r="B324" s="214"/>
      <c r="C324" s="147"/>
      <c r="D324" s="161"/>
      <c r="E324" s="36"/>
      <c r="F324" s="178"/>
      <c r="G324" s="496"/>
      <c r="H324" s="36"/>
      <c r="I324" s="11"/>
    </row>
    <row r="325" spans="1:12" ht="11.15" customHeight="1">
      <c r="A325" s="29"/>
      <c r="B325" s="146" t="s">
        <v>1087</v>
      </c>
      <c r="C325" s="147"/>
      <c r="D325" s="122"/>
      <c r="E325" s="36"/>
      <c r="F325" s="178"/>
      <c r="G325" s="496"/>
      <c r="H325" s="36"/>
      <c r="I325" s="11"/>
    </row>
    <row r="326" spans="1:12" ht="9" customHeight="1">
      <c r="A326" s="29"/>
      <c r="B326" s="215" t="s">
        <v>1088</v>
      </c>
      <c r="C326" s="147"/>
      <c r="D326" s="122"/>
      <c r="E326" s="36"/>
      <c r="F326" s="178"/>
      <c r="G326" s="453"/>
      <c r="H326" s="36"/>
      <c r="I326" s="11"/>
    </row>
    <row r="327" spans="1:12" ht="9" customHeight="1">
      <c r="A327" s="29"/>
      <c r="B327" s="150" t="s">
        <v>1089</v>
      </c>
      <c r="C327" s="147"/>
      <c r="D327" s="122"/>
      <c r="E327" s="90"/>
      <c r="F327" s="59"/>
      <c r="G327" s="1191"/>
      <c r="H327" s="90"/>
      <c r="I327" s="11"/>
    </row>
    <row r="328" spans="1:12" ht="9" customHeight="1">
      <c r="A328" s="29"/>
      <c r="B328" s="150" t="s">
        <v>1090</v>
      </c>
      <c r="C328" s="147"/>
      <c r="D328" s="122"/>
      <c r="E328" s="90"/>
      <c r="F328" s="59"/>
      <c r="G328" s="1191"/>
      <c r="H328" s="90"/>
      <c r="I328" s="11"/>
    </row>
    <row r="329" spans="1:12" ht="9" customHeight="1">
      <c r="A329" s="29"/>
      <c r="B329" s="150" t="s">
        <v>1091</v>
      </c>
      <c r="C329" s="147"/>
      <c r="D329" s="122"/>
      <c r="E329" s="90"/>
      <c r="F329" s="59"/>
      <c r="G329" s="1191"/>
      <c r="H329" s="90"/>
      <c r="I329" s="11"/>
    </row>
    <row r="330" spans="1:12" ht="9" customHeight="1">
      <c r="A330" s="29"/>
      <c r="B330" s="150" t="s">
        <v>1092</v>
      </c>
      <c r="C330" s="147"/>
      <c r="D330" s="122"/>
      <c r="E330" s="90"/>
      <c r="F330" s="59"/>
      <c r="G330" s="1191"/>
      <c r="H330" s="90"/>
      <c r="I330" s="11"/>
    </row>
    <row r="331" spans="1:12" ht="9" customHeight="1">
      <c r="A331" s="29"/>
      <c r="B331" s="150" t="s">
        <v>1093</v>
      </c>
      <c r="C331" s="147"/>
      <c r="D331" s="122"/>
      <c r="E331" s="90"/>
      <c r="F331" s="59"/>
      <c r="G331" s="1191"/>
      <c r="H331" s="90"/>
      <c r="I331" s="11"/>
    </row>
    <row r="332" spans="1:12" ht="9" customHeight="1" thickBot="1">
      <c r="A332" s="29"/>
      <c r="B332" s="216" t="s">
        <v>1094</v>
      </c>
      <c r="C332" s="147"/>
      <c r="D332" s="122"/>
      <c r="E332" s="29"/>
      <c r="F332" s="29"/>
      <c r="G332" s="217"/>
      <c r="H332" s="29"/>
      <c r="I332" s="11"/>
    </row>
    <row r="333" spans="1:12" ht="11.15" customHeight="1" thickBot="1">
      <c r="A333" s="184" t="s">
        <v>1095</v>
      </c>
      <c r="B333" s="177" t="s">
        <v>1096</v>
      </c>
      <c r="C333" s="147"/>
      <c r="D333" s="122"/>
      <c r="E333" s="36"/>
      <c r="F333" s="178"/>
      <c r="G333" s="453"/>
      <c r="H333" s="36"/>
      <c r="I333" s="11"/>
    </row>
    <row r="334" spans="1:12" ht="11.15" customHeight="1">
      <c r="A334" s="29" t="s">
        <v>1097</v>
      </c>
      <c r="B334" s="59" t="s">
        <v>20259</v>
      </c>
      <c r="C334" s="147" t="s">
        <v>20221</v>
      </c>
      <c r="D334" s="1034" t="s">
        <v>879</v>
      </c>
      <c r="E334" s="178" t="s">
        <v>20260</v>
      </c>
      <c r="F334" s="178" t="s">
        <v>4520</v>
      </c>
      <c r="G334" s="496"/>
      <c r="H334" s="994" t="s">
        <v>20224</v>
      </c>
      <c r="I334" s="11" t="s">
        <v>1098</v>
      </c>
      <c r="J334" s="1285"/>
      <c r="K334" s="1285"/>
      <c r="L334" s="1285"/>
    </row>
    <row r="335" spans="1:12" ht="11.15" customHeight="1">
      <c r="A335" s="29" t="s">
        <v>1099</v>
      </c>
      <c r="B335" s="59" t="s">
        <v>20261</v>
      </c>
      <c r="C335" s="147" t="s">
        <v>23393</v>
      </c>
      <c r="D335" s="1034" t="s">
        <v>879</v>
      </c>
      <c r="E335" s="178" t="s">
        <v>20260</v>
      </c>
      <c r="F335" s="178" t="s">
        <v>4520</v>
      </c>
      <c r="G335" s="496"/>
      <c r="H335" s="994" t="s">
        <v>20224</v>
      </c>
      <c r="I335" s="11" t="s">
        <v>1100</v>
      </c>
      <c r="J335" s="1285"/>
      <c r="K335" s="1285"/>
      <c r="L335" s="1285"/>
    </row>
    <row r="336" spans="1:12" ht="11.15" customHeight="1">
      <c r="A336" s="29" t="s">
        <v>1101</v>
      </c>
      <c r="B336" s="59" t="s">
        <v>20261</v>
      </c>
      <c r="C336" s="147" t="s">
        <v>23393</v>
      </c>
      <c r="D336" s="1034" t="s">
        <v>879</v>
      </c>
      <c r="E336" s="178" t="s">
        <v>20262</v>
      </c>
      <c r="F336" s="178" t="s">
        <v>4520</v>
      </c>
      <c r="G336" s="496"/>
      <c r="H336" s="994" t="s">
        <v>20221</v>
      </c>
      <c r="I336" s="11" t="s">
        <v>1102</v>
      </c>
      <c r="J336" s="1285"/>
      <c r="K336" s="1285"/>
      <c r="L336" s="1285"/>
    </row>
    <row r="337" spans="1:12" ht="11.15" customHeight="1">
      <c r="A337" s="29" t="s">
        <v>1103</v>
      </c>
      <c r="B337" s="177"/>
      <c r="C337" s="147"/>
      <c r="D337" s="122"/>
      <c r="E337" s="36"/>
      <c r="F337" s="178"/>
      <c r="G337" s="453"/>
      <c r="H337" s="36"/>
      <c r="I337" s="11"/>
    </row>
    <row r="338" spans="1:12" ht="11.15" customHeight="1">
      <c r="A338" s="29" t="s">
        <v>1104</v>
      </c>
      <c r="B338" s="177" t="s">
        <v>1105</v>
      </c>
      <c r="C338" s="147"/>
      <c r="D338" s="122"/>
      <c r="E338" s="36"/>
      <c r="F338" s="178"/>
      <c r="G338" s="453"/>
      <c r="H338" s="36"/>
      <c r="I338" s="11"/>
    </row>
    <row r="339" spans="1:12" ht="11.15" customHeight="1">
      <c r="A339" s="29" t="s">
        <v>1106</v>
      </c>
      <c r="B339" s="59" t="s">
        <v>20263</v>
      </c>
      <c r="C339" s="147" t="s">
        <v>20221</v>
      </c>
      <c r="D339" s="701" t="s">
        <v>884</v>
      </c>
      <c r="E339" s="178" t="s">
        <v>20262</v>
      </c>
      <c r="F339" s="178" t="s">
        <v>4520</v>
      </c>
      <c r="G339" s="496"/>
      <c r="H339" s="994" t="s">
        <v>20221</v>
      </c>
      <c r="I339" s="11" t="s">
        <v>1107</v>
      </c>
      <c r="J339" s="1285"/>
      <c r="K339" s="1285"/>
      <c r="L339" s="1285"/>
    </row>
    <row r="340" spans="1:12" ht="11.15" customHeight="1">
      <c r="A340" s="29" t="s">
        <v>1108</v>
      </c>
      <c r="B340" s="59" t="s">
        <v>20263</v>
      </c>
      <c r="C340" s="147" t="s">
        <v>20221</v>
      </c>
      <c r="D340" s="701" t="s">
        <v>884</v>
      </c>
      <c r="E340" s="178" t="s">
        <v>20264</v>
      </c>
      <c r="F340" s="178" t="s">
        <v>4520</v>
      </c>
      <c r="G340" s="496"/>
      <c r="H340" s="994" t="s">
        <v>20224</v>
      </c>
      <c r="I340" s="11" t="s">
        <v>1109</v>
      </c>
      <c r="J340" s="1285"/>
      <c r="K340" s="1285"/>
      <c r="L340" s="1285"/>
    </row>
    <row r="341" spans="1:12" ht="11.15" customHeight="1">
      <c r="A341" s="181" t="s">
        <v>1110</v>
      </c>
      <c r="B341" s="59" t="s">
        <v>20265</v>
      </c>
      <c r="C341" s="147" t="s">
        <v>23393</v>
      </c>
      <c r="D341" s="701" t="s">
        <v>884</v>
      </c>
      <c r="E341" s="178" t="s">
        <v>20266</v>
      </c>
      <c r="F341" s="178" t="s">
        <v>4520</v>
      </c>
      <c r="G341" s="496"/>
      <c r="H341" s="994" t="s">
        <v>20221</v>
      </c>
      <c r="I341" s="11" t="s">
        <v>1111</v>
      </c>
      <c r="J341" s="1285"/>
      <c r="K341" s="1285"/>
      <c r="L341" s="1285"/>
    </row>
    <row r="342" spans="1:12" ht="11.15" customHeight="1">
      <c r="A342" s="218" t="s">
        <v>1112</v>
      </c>
      <c r="B342" s="59" t="s">
        <v>20265</v>
      </c>
      <c r="C342" s="147" t="s">
        <v>23393</v>
      </c>
      <c r="D342" s="701" t="s">
        <v>884</v>
      </c>
      <c r="E342" s="178" t="s">
        <v>20267</v>
      </c>
      <c r="F342" s="178" t="s">
        <v>4520</v>
      </c>
      <c r="G342" s="496"/>
      <c r="H342" s="994" t="s">
        <v>20221</v>
      </c>
      <c r="I342" s="11" t="s">
        <v>1113</v>
      </c>
      <c r="J342" s="1285"/>
      <c r="K342" s="1285"/>
      <c r="L342" s="1285"/>
    </row>
    <row r="343" spans="1:12" ht="11.15" customHeight="1">
      <c r="A343" s="219" t="s">
        <v>1114</v>
      </c>
      <c r="B343" s="59" t="s">
        <v>20265</v>
      </c>
      <c r="C343" s="147" t="s">
        <v>23393</v>
      </c>
      <c r="D343" s="701" t="s">
        <v>884</v>
      </c>
      <c r="E343" s="178" t="s">
        <v>20268</v>
      </c>
      <c r="F343" s="178" t="s">
        <v>4520</v>
      </c>
      <c r="G343" s="496"/>
      <c r="H343" s="994" t="s">
        <v>20277</v>
      </c>
      <c r="I343" s="11" t="s">
        <v>1115</v>
      </c>
      <c r="J343" s="1285"/>
      <c r="K343" s="1285"/>
      <c r="L343" s="1285"/>
    </row>
    <row r="344" spans="1:12" ht="11.15" customHeight="1">
      <c r="A344" s="129" t="s">
        <v>1116</v>
      </c>
      <c r="B344" s="59" t="s">
        <v>20269</v>
      </c>
      <c r="C344" s="147" t="s">
        <v>20221</v>
      </c>
      <c r="D344" s="701" t="s">
        <v>884</v>
      </c>
      <c r="E344" s="178" t="s">
        <v>20264</v>
      </c>
      <c r="F344" s="178" t="s">
        <v>4520</v>
      </c>
      <c r="G344" s="496"/>
      <c r="H344" s="994" t="s">
        <v>20221</v>
      </c>
      <c r="I344" s="11" t="s">
        <v>1117</v>
      </c>
      <c r="J344" s="1285"/>
      <c r="K344" s="1285"/>
      <c r="L344" s="1285"/>
    </row>
    <row r="345" spans="1:12" ht="11.15" customHeight="1">
      <c r="A345" s="162" t="s">
        <v>1118</v>
      </c>
      <c r="B345" s="59" t="s">
        <v>20269</v>
      </c>
      <c r="C345" s="147" t="s">
        <v>20221</v>
      </c>
      <c r="D345" s="701" t="s">
        <v>884</v>
      </c>
      <c r="E345" s="178" t="s">
        <v>20267</v>
      </c>
      <c r="F345" s="178" t="s">
        <v>4520</v>
      </c>
      <c r="G345" s="496"/>
      <c r="H345" s="994" t="s">
        <v>20221</v>
      </c>
      <c r="I345" s="11" t="s">
        <v>1119</v>
      </c>
      <c r="J345" s="1285"/>
      <c r="K345" s="1285"/>
      <c r="L345" s="1285"/>
    </row>
    <row r="346" spans="1:12" ht="11.15" customHeight="1">
      <c r="A346" s="162" t="s">
        <v>1120</v>
      </c>
      <c r="B346" s="59" t="s">
        <v>20270</v>
      </c>
      <c r="C346" s="147" t="s">
        <v>23393</v>
      </c>
      <c r="D346" s="701" t="s">
        <v>884</v>
      </c>
      <c r="E346" s="178" t="s">
        <v>20262</v>
      </c>
      <c r="F346" s="178" t="s">
        <v>4520</v>
      </c>
      <c r="G346" s="496"/>
      <c r="H346" s="994" t="s">
        <v>20224</v>
      </c>
      <c r="I346" s="11" t="s">
        <v>1121</v>
      </c>
      <c r="J346" s="1285"/>
      <c r="K346" s="1285"/>
      <c r="L346" s="1285"/>
    </row>
    <row r="347" spans="1:12" ht="11.15" customHeight="1">
      <c r="A347" s="162" t="s">
        <v>1122</v>
      </c>
      <c r="B347" s="177" t="s">
        <v>1123</v>
      </c>
      <c r="C347" s="147"/>
      <c r="D347" s="122"/>
      <c r="E347" s="36"/>
      <c r="F347" s="178"/>
      <c r="G347" s="453"/>
      <c r="H347" s="36"/>
      <c r="I347" s="11"/>
    </row>
    <row r="348" spans="1:12" ht="11.15" customHeight="1">
      <c r="A348" s="162" t="s">
        <v>1124</v>
      </c>
      <c r="B348" s="59" t="s">
        <v>20271</v>
      </c>
      <c r="C348" s="147" t="s">
        <v>20221</v>
      </c>
      <c r="D348" s="701" t="s">
        <v>884</v>
      </c>
      <c r="E348" s="178" t="s">
        <v>20268</v>
      </c>
      <c r="F348" s="178" t="s">
        <v>5257</v>
      </c>
      <c r="G348" s="496"/>
      <c r="H348" s="994" t="s">
        <v>20224</v>
      </c>
      <c r="I348" s="11" t="s">
        <v>1125</v>
      </c>
      <c r="J348" s="1285"/>
      <c r="K348" s="1285"/>
      <c r="L348" s="1285"/>
    </row>
    <row r="349" spans="1:12" ht="11.15" customHeight="1">
      <c r="A349" s="162" t="s">
        <v>1126</v>
      </c>
      <c r="B349" s="177" t="s">
        <v>1127</v>
      </c>
      <c r="C349" s="147"/>
      <c r="D349" s="122"/>
      <c r="E349" s="36"/>
      <c r="F349" s="178"/>
      <c r="G349" s="453"/>
      <c r="H349" s="36"/>
      <c r="I349" s="11"/>
    </row>
    <row r="350" spans="1:12" ht="11.15" customHeight="1">
      <c r="A350" s="162" t="s">
        <v>1128</v>
      </c>
      <c r="B350" s="59" t="s">
        <v>20272</v>
      </c>
      <c r="C350" s="147" t="s">
        <v>20221</v>
      </c>
      <c r="D350" s="701" t="s">
        <v>1129</v>
      </c>
      <c r="E350" s="178" t="s">
        <v>20273</v>
      </c>
      <c r="F350" s="178" t="s">
        <v>4520</v>
      </c>
      <c r="G350" s="496"/>
      <c r="H350" s="994" t="s">
        <v>20224</v>
      </c>
      <c r="I350" s="11" t="s">
        <v>1130</v>
      </c>
      <c r="J350" s="1285"/>
      <c r="K350" s="1285"/>
      <c r="L350" s="1285"/>
    </row>
    <row r="351" spans="1:12" ht="11.15" customHeight="1">
      <c r="A351" s="162" t="s">
        <v>1131</v>
      </c>
      <c r="B351" s="177" t="s">
        <v>1132</v>
      </c>
      <c r="C351" s="147"/>
      <c r="D351" s="122"/>
      <c r="E351" s="36"/>
      <c r="F351" s="178"/>
      <c r="G351" s="453"/>
      <c r="H351" s="36"/>
      <c r="I351" s="11"/>
    </row>
    <row r="352" spans="1:12" ht="11.15" customHeight="1">
      <c r="A352" s="129" t="s">
        <v>1133</v>
      </c>
      <c r="B352" s="59" t="s">
        <v>20275</v>
      </c>
      <c r="C352" s="147" t="s">
        <v>20221</v>
      </c>
      <c r="D352" s="284" t="s">
        <v>897</v>
      </c>
      <c r="E352" s="178" t="s">
        <v>20268</v>
      </c>
      <c r="F352" s="178" t="s">
        <v>4520</v>
      </c>
      <c r="G352" s="496"/>
      <c r="H352" s="994" t="s">
        <v>20224</v>
      </c>
      <c r="I352" s="11" t="s">
        <v>1134</v>
      </c>
      <c r="J352" s="1285"/>
      <c r="K352" s="1285"/>
      <c r="L352" s="1285"/>
    </row>
    <row r="353" spans="1:12" ht="11.15" customHeight="1">
      <c r="A353" s="162" t="s">
        <v>1135</v>
      </c>
      <c r="B353" s="59" t="s">
        <v>20275</v>
      </c>
      <c r="C353" s="147" t="s">
        <v>20221</v>
      </c>
      <c r="D353" s="284" t="s">
        <v>897</v>
      </c>
      <c r="E353" s="178" t="s">
        <v>20276</v>
      </c>
      <c r="F353" s="178" t="s">
        <v>4520</v>
      </c>
      <c r="G353" s="496"/>
      <c r="H353" s="994" t="s">
        <v>20224</v>
      </c>
      <c r="I353" s="11" t="s">
        <v>1136</v>
      </c>
      <c r="J353" s="1285"/>
      <c r="K353" s="1285"/>
      <c r="L353" s="1285"/>
    </row>
    <row r="354" spans="1:12" ht="11.15" customHeight="1">
      <c r="A354" s="220" t="s">
        <v>1077</v>
      </c>
      <c r="B354" s="59" t="s">
        <v>20275</v>
      </c>
      <c r="C354" s="147" t="s">
        <v>20221</v>
      </c>
      <c r="D354" s="284" t="s">
        <v>897</v>
      </c>
      <c r="E354" s="178" t="s">
        <v>20273</v>
      </c>
      <c r="F354" s="178" t="s">
        <v>4520</v>
      </c>
      <c r="G354" s="496"/>
      <c r="H354" s="994" t="s">
        <v>20221</v>
      </c>
      <c r="I354" s="11" t="s">
        <v>1138</v>
      </c>
      <c r="J354" s="1285"/>
      <c r="K354" s="1285"/>
      <c r="L354" s="1285"/>
    </row>
    <row r="355" spans="1:12" ht="11.15" customHeight="1">
      <c r="A355" s="162" t="s">
        <v>1137</v>
      </c>
      <c r="B355" s="29"/>
      <c r="C355" s="147"/>
      <c r="D355" s="29"/>
      <c r="E355" s="29"/>
      <c r="F355" s="29"/>
      <c r="G355" s="29"/>
      <c r="H355" s="29"/>
      <c r="I355" s="11"/>
    </row>
    <row r="356" spans="1:12" ht="11.15" customHeight="1">
      <c r="A356" s="162" t="s">
        <v>1139</v>
      </c>
      <c r="B356" s="29"/>
      <c r="C356" s="147"/>
      <c r="D356" s="29"/>
      <c r="E356" s="29"/>
      <c r="F356" s="29"/>
      <c r="G356" s="29"/>
      <c r="H356" s="29"/>
      <c r="I356" s="11"/>
    </row>
    <row r="357" spans="1:12" ht="11.15" customHeight="1">
      <c r="A357" s="162" t="s">
        <v>1140</v>
      </c>
      <c r="B357" s="29"/>
      <c r="C357" s="147"/>
      <c r="D357" s="29"/>
      <c r="E357" s="29"/>
      <c r="F357" s="29"/>
      <c r="G357" s="29"/>
      <c r="H357" s="29"/>
      <c r="I357" s="11"/>
    </row>
    <row r="358" spans="1:12" ht="11.15" customHeight="1">
      <c r="A358" s="162" t="s">
        <v>1141</v>
      </c>
      <c r="B358" s="29"/>
      <c r="C358" s="147"/>
      <c r="D358" s="29"/>
      <c r="E358" s="29"/>
      <c r="F358" s="29"/>
      <c r="G358" s="29"/>
      <c r="H358" s="29"/>
      <c r="I358" s="11"/>
    </row>
    <row r="359" spans="1:12" ht="11.15" customHeight="1">
      <c r="A359" s="162" t="s">
        <v>1142</v>
      </c>
      <c r="B359" s="29"/>
      <c r="C359" s="147"/>
      <c r="D359" s="29"/>
      <c r="E359" s="29"/>
      <c r="F359" s="29"/>
      <c r="G359" s="29"/>
      <c r="H359" s="29"/>
      <c r="I359" s="11"/>
    </row>
    <row r="360" spans="1:12" ht="11.15" customHeight="1">
      <c r="A360" s="162" t="s">
        <v>1143</v>
      </c>
      <c r="B360" s="29"/>
      <c r="C360" s="147"/>
      <c r="D360" s="29"/>
      <c r="E360" s="29"/>
      <c r="F360" s="29"/>
      <c r="G360" s="29"/>
      <c r="H360" s="29"/>
      <c r="I360" s="11"/>
    </row>
    <row r="361" spans="1:12" ht="11.15" customHeight="1">
      <c r="A361" s="162" t="s">
        <v>1144</v>
      </c>
      <c r="B361" s="29"/>
      <c r="C361" s="147"/>
      <c r="D361" s="29"/>
      <c r="E361" s="29"/>
      <c r="F361" s="29"/>
      <c r="G361" s="29"/>
      <c r="H361" s="29"/>
      <c r="I361" s="11"/>
    </row>
    <row r="362" spans="1:12" ht="11.15" customHeight="1">
      <c r="A362" s="162" t="s">
        <v>1145</v>
      </c>
      <c r="B362" s="29"/>
      <c r="C362" s="147"/>
      <c r="D362" s="29"/>
      <c r="E362" s="29"/>
      <c r="F362" s="29"/>
      <c r="G362" s="29"/>
      <c r="H362" s="29"/>
      <c r="I362" s="11"/>
    </row>
    <row r="363" spans="1:12" ht="11.15" customHeight="1">
      <c r="A363" s="162" t="s">
        <v>1146</v>
      </c>
      <c r="B363" s="29"/>
      <c r="C363" s="147"/>
      <c r="D363" s="29"/>
      <c r="E363" s="29"/>
      <c r="F363" s="29"/>
      <c r="G363" s="29"/>
      <c r="H363" s="29"/>
      <c r="I363" s="11"/>
    </row>
    <row r="364" spans="1:12" ht="11.15" customHeight="1">
      <c r="A364" s="162" t="s">
        <v>1147</v>
      </c>
      <c r="B364" s="29"/>
      <c r="C364" s="147"/>
      <c r="D364" s="129"/>
      <c r="E364" s="29"/>
      <c r="F364" s="29"/>
      <c r="G364" s="29"/>
      <c r="H364" s="29"/>
      <c r="I364" s="11"/>
    </row>
    <row r="365" spans="1:12" ht="11.15" customHeight="1">
      <c r="A365" s="166" t="s">
        <v>1148</v>
      </c>
      <c r="B365" s="59"/>
      <c r="C365" s="147"/>
      <c r="D365" s="161"/>
      <c r="E365" s="157"/>
      <c r="F365" s="178"/>
      <c r="G365" s="496"/>
      <c r="H365" s="36"/>
      <c r="I365" s="11"/>
    </row>
    <row r="366" spans="1:12" ht="11.15" customHeight="1">
      <c r="A366" s="166" t="s">
        <v>1149</v>
      </c>
      <c r="B366" s="59"/>
      <c r="C366" s="147"/>
      <c r="D366" s="161"/>
      <c r="E366" s="157"/>
      <c r="F366" s="178"/>
      <c r="G366" s="496"/>
      <c r="H366" s="36"/>
      <c r="I366" s="11"/>
    </row>
    <row r="367" spans="1:12" ht="11.15" customHeight="1">
      <c r="A367" s="166" t="s">
        <v>1150</v>
      </c>
      <c r="B367" s="59"/>
      <c r="C367" s="147"/>
      <c r="D367" s="161"/>
      <c r="E367" s="157"/>
      <c r="F367" s="178"/>
      <c r="G367" s="496"/>
      <c r="H367" s="36"/>
      <c r="I367" s="11"/>
    </row>
    <row r="368" spans="1:12" ht="11.15" customHeight="1">
      <c r="A368" s="129" t="s">
        <v>1151</v>
      </c>
      <c r="B368" s="185"/>
      <c r="C368" s="147"/>
      <c r="D368" s="185"/>
      <c r="E368" s="185"/>
      <c r="F368" s="185"/>
      <c r="G368" s="185"/>
      <c r="H368" s="185"/>
      <c r="I368" s="11"/>
    </row>
    <row r="369" spans="1:12" ht="11.15" customHeight="1" thickBot="1">
      <c r="A369" s="29"/>
      <c r="B369" s="29"/>
      <c r="C369" s="147"/>
      <c r="D369" s="29"/>
      <c r="E369" s="29"/>
      <c r="F369" s="29"/>
      <c r="G369" s="29"/>
      <c r="H369" s="29"/>
      <c r="I369" s="11"/>
    </row>
    <row r="370" spans="1:12" ht="11.15" customHeight="1" thickBot="1">
      <c r="A370" s="184" t="s">
        <v>1152</v>
      </c>
      <c r="B370" s="221" t="s">
        <v>1153</v>
      </c>
      <c r="C370" s="147"/>
      <c r="D370" s="156"/>
      <c r="E370" s="36"/>
      <c r="F370" s="178"/>
      <c r="G370" s="496"/>
      <c r="H370" s="36"/>
      <c r="I370" s="11"/>
    </row>
    <row r="371" spans="1:12" ht="11.15" customHeight="1">
      <c r="A371" s="29" t="s">
        <v>1154</v>
      </c>
      <c r="B371" s="59" t="s">
        <v>20278</v>
      </c>
      <c r="C371" s="147" t="s">
        <v>20221</v>
      </c>
      <c r="D371" s="1034" t="s">
        <v>879</v>
      </c>
      <c r="E371" s="178" t="s">
        <v>20253</v>
      </c>
      <c r="F371" s="178" t="s">
        <v>4520</v>
      </c>
      <c r="G371" s="496"/>
      <c r="H371" s="994" t="s">
        <v>20221</v>
      </c>
      <c r="I371" s="12" t="s">
        <v>1155</v>
      </c>
      <c r="J371" s="1285"/>
      <c r="K371" s="1285"/>
      <c r="L371" s="1285"/>
    </row>
    <row r="372" spans="1:12" ht="11.15" customHeight="1">
      <c r="A372" s="29" t="s">
        <v>1156</v>
      </c>
      <c r="B372" s="221" t="s">
        <v>1157</v>
      </c>
      <c r="C372" s="147"/>
      <c r="D372" s="29"/>
      <c r="E372" s="29"/>
      <c r="F372" s="29"/>
      <c r="G372" s="29"/>
      <c r="H372" s="29"/>
      <c r="I372" s="11"/>
    </row>
    <row r="373" spans="1:12" ht="11.15" customHeight="1">
      <c r="A373" s="29" t="s">
        <v>1158</v>
      </c>
      <c r="B373" s="59" t="s">
        <v>20279</v>
      </c>
      <c r="C373" s="147" t="s">
        <v>20221</v>
      </c>
      <c r="D373" s="701" t="s">
        <v>884</v>
      </c>
      <c r="E373" s="178" t="s">
        <v>20221</v>
      </c>
      <c r="F373" s="178" t="s">
        <v>7168</v>
      </c>
      <c r="G373" s="496" t="s">
        <v>20221</v>
      </c>
      <c r="H373" s="994" t="s">
        <v>3907</v>
      </c>
      <c r="I373" s="11" t="s">
        <v>1159</v>
      </c>
      <c r="J373" s="1285"/>
      <c r="K373" s="1285"/>
      <c r="L373" s="1285"/>
    </row>
    <row r="374" spans="1:12" ht="11.15" customHeight="1">
      <c r="A374" s="29" t="s">
        <v>1160</v>
      </c>
      <c r="B374" s="59" t="s">
        <v>20281</v>
      </c>
      <c r="C374" s="147" t="s">
        <v>20221</v>
      </c>
      <c r="D374" s="701" t="s">
        <v>884</v>
      </c>
      <c r="E374" s="178" t="s">
        <v>20253</v>
      </c>
      <c r="F374" s="178" t="s">
        <v>4520</v>
      </c>
      <c r="G374" s="496"/>
      <c r="H374" s="994" t="s">
        <v>20221</v>
      </c>
      <c r="I374" s="11" t="s">
        <v>1161</v>
      </c>
      <c r="J374" s="1285"/>
      <c r="K374" s="1285"/>
      <c r="L374" s="1285"/>
    </row>
    <row r="375" spans="1:12" ht="11.15" customHeight="1">
      <c r="A375" s="181" t="s">
        <v>1162</v>
      </c>
      <c r="B375" s="59" t="s">
        <v>20282</v>
      </c>
      <c r="C375" s="147" t="s">
        <v>20221</v>
      </c>
      <c r="D375" s="701" t="s">
        <v>884</v>
      </c>
      <c r="E375" s="178" t="s">
        <v>20253</v>
      </c>
      <c r="F375" s="178" t="s">
        <v>4520</v>
      </c>
      <c r="G375" s="496"/>
      <c r="H375" s="994" t="s">
        <v>20221</v>
      </c>
      <c r="I375" s="11" t="s">
        <v>1163</v>
      </c>
      <c r="J375" s="1285"/>
      <c r="K375" s="1285"/>
      <c r="L375" s="1285"/>
    </row>
    <row r="376" spans="1:12" ht="11.15" customHeight="1">
      <c r="A376" s="181" t="s">
        <v>950</v>
      </c>
      <c r="B376" s="59" t="s">
        <v>20283</v>
      </c>
      <c r="C376" s="147" t="s">
        <v>20221</v>
      </c>
      <c r="D376" s="701" t="s">
        <v>884</v>
      </c>
      <c r="E376" s="178" t="s">
        <v>20253</v>
      </c>
      <c r="F376" s="178" t="s">
        <v>4520</v>
      </c>
      <c r="G376" s="496"/>
      <c r="H376" s="994" t="s">
        <v>20224</v>
      </c>
      <c r="I376" s="12" t="s">
        <v>1164</v>
      </c>
      <c r="J376" s="1285"/>
      <c r="K376" s="1285"/>
      <c r="L376" s="1285"/>
    </row>
    <row r="377" spans="1:12" ht="11.15" customHeight="1">
      <c r="A377" s="223" t="s">
        <v>896</v>
      </c>
      <c r="B377" s="59" t="s">
        <v>20284</v>
      </c>
      <c r="C377" s="147" t="s">
        <v>20221</v>
      </c>
      <c r="D377" s="701" t="s">
        <v>884</v>
      </c>
      <c r="E377" s="178" t="s">
        <v>20253</v>
      </c>
      <c r="F377" s="178" t="s">
        <v>5257</v>
      </c>
      <c r="G377" s="496"/>
      <c r="H377" s="994" t="s">
        <v>20221</v>
      </c>
      <c r="I377" s="12" t="s">
        <v>1165</v>
      </c>
      <c r="J377" s="1285"/>
      <c r="K377" s="1285"/>
      <c r="L377" s="1285"/>
    </row>
    <row r="378" spans="1:12" ht="11.15" customHeight="1">
      <c r="A378" s="224" t="s">
        <v>1166</v>
      </c>
      <c r="B378" s="221" t="s">
        <v>1167</v>
      </c>
      <c r="C378" s="147"/>
      <c r="D378" s="29"/>
      <c r="E378" s="29"/>
      <c r="F378" s="29"/>
      <c r="G378" s="29"/>
      <c r="H378" s="29"/>
      <c r="I378" s="11"/>
    </row>
    <row r="379" spans="1:12" ht="11.15" customHeight="1">
      <c r="A379" s="162" t="s">
        <v>1168</v>
      </c>
      <c r="B379" s="59" t="s">
        <v>20285</v>
      </c>
      <c r="C379" s="147" t="s">
        <v>20221</v>
      </c>
      <c r="D379" s="701" t="s">
        <v>884</v>
      </c>
      <c r="E379" s="178">
        <v>2015</v>
      </c>
      <c r="F379" s="178" t="s">
        <v>4520</v>
      </c>
      <c r="G379" s="496"/>
      <c r="H379" s="994" t="s">
        <v>20221</v>
      </c>
      <c r="I379" s="11" t="s">
        <v>1169</v>
      </c>
      <c r="J379" s="1285"/>
      <c r="K379" s="1285"/>
      <c r="L379" s="1285"/>
    </row>
    <row r="380" spans="1:12" ht="11.15" customHeight="1">
      <c r="A380" s="162" t="s">
        <v>1170</v>
      </c>
      <c r="B380" s="59" t="s">
        <v>20286</v>
      </c>
      <c r="C380" s="147" t="s">
        <v>20221</v>
      </c>
      <c r="D380" s="701" t="s">
        <v>884</v>
      </c>
      <c r="E380" s="178">
        <v>2006</v>
      </c>
      <c r="F380" s="178" t="s">
        <v>5257</v>
      </c>
      <c r="G380" s="496"/>
      <c r="H380" s="994" t="s">
        <v>20221</v>
      </c>
      <c r="I380" s="11" t="s">
        <v>1171</v>
      </c>
      <c r="J380" s="1285"/>
      <c r="K380" s="1285"/>
      <c r="L380" s="1285"/>
    </row>
    <row r="381" spans="1:12" ht="11.15" customHeight="1">
      <c r="A381" s="225" t="s">
        <v>1172</v>
      </c>
      <c r="B381" s="59" t="s">
        <v>20286</v>
      </c>
      <c r="C381" s="147" t="s">
        <v>20221</v>
      </c>
      <c r="D381" s="701" t="s">
        <v>884</v>
      </c>
      <c r="E381" s="178">
        <v>2005</v>
      </c>
      <c r="F381" s="178" t="s">
        <v>5257</v>
      </c>
      <c r="G381" s="496"/>
      <c r="H381" s="994" t="s">
        <v>20224</v>
      </c>
      <c r="I381" s="11" t="s">
        <v>1173</v>
      </c>
      <c r="J381" s="1285"/>
      <c r="K381" s="1285"/>
      <c r="L381" s="1285"/>
    </row>
    <row r="382" spans="1:12" ht="11.15" customHeight="1">
      <c r="A382" s="162" t="s">
        <v>1174</v>
      </c>
      <c r="B382" s="59" t="s">
        <v>20287</v>
      </c>
      <c r="C382" s="147" t="s">
        <v>20221</v>
      </c>
      <c r="D382" s="701" t="s">
        <v>884</v>
      </c>
      <c r="E382" s="178">
        <v>1996</v>
      </c>
      <c r="F382" s="178" t="s">
        <v>11938</v>
      </c>
      <c r="G382" s="496"/>
      <c r="H382" s="994" t="s">
        <v>20224</v>
      </c>
      <c r="I382" s="11" t="s">
        <v>1175</v>
      </c>
      <c r="J382" s="1285"/>
      <c r="K382" s="1285"/>
      <c r="L382" s="1285"/>
    </row>
    <row r="383" spans="1:12" ht="11.15" customHeight="1">
      <c r="A383" s="225" t="s">
        <v>1176</v>
      </c>
      <c r="B383" s="221" t="s">
        <v>1177</v>
      </c>
      <c r="C383" s="147"/>
      <c r="D383" s="129"/>
      <c r="E383" s="129"/>
      <c r="F383" s="29"/>
      <c r="G383" s="29"/>
      <c r="H383" s="29"/>
      <c r="I383" s="11"/>
    </row>
    <row r="384" spans="1:12" ht="11.15" customHeight="1">
      <c r="A384" s="162" t="s">
        <v>1178</v>
      </c>
      <c r="B384" s="59" t="s">
        <v>20289</v>
      </c>
      <c r="C384" s="147" t="s">
        <v>20221</v>
      </c>
      <c r="D384" s="701" t="s">
        <v>884</v>
      </c>
      <c r="E384" s="178">
        <v>2010</v>
      </c>
      <c r="F384" s="178" t="s">
        <v>4520</v>
      </c>
      <c r="G384" s="496"/>
      <c r="H384" s="994" t="s">
        <v>20221</v>
      </c>
      <c r="I384" s="11" t="s">
        <v>1179</v>
      </c>
      <c r="J384" s="1285"/>
      <c r="K384" s="1285"/>
      <c r="L384" s="1285"/>
    </row>
    <row r="385" spans="1:12" ht="11.15" customHeight="1">
      <c r="A385" s="162" t="s">
        <v>1180</v>
      </c>
      <c r="B385" s="59" t="s">
        <v>20291</v>
      </c>
      <c r="C385" s="147" t="s">
        <v>20221</v>
      </c>
      <c r="D385" s="701" t="s">
        <v>884</v>
      </c>
      <c r="E385" s="178">
        <v>2004</v>
      </c>
      <c r="F385" s="178" t="s">
        <v>23396</v>
      </c>
      <c r="G385" s="496"/>
      <c r="H385" s="994" t="s">
        <v>20224</v>
      </c>
      <c r="I385" s="11" t="s">
        <v>1181</v>
      </c>
      <c r="J385" s="1285"/>
      <c r="K385" s="1285"/>
      <c r="L385" s="1285"/>
    </row>
    <row r="386" spans="1:12" ht="11.15" customHeight="1">
      <c r="A386" s="129" t="s">
        <v>1182</v>
      </c>
    </row>
    <row r="387" spans="1:12" ht="11.15" customHeight="1">
      <c r="A387" s="162" t="s">
        <v>1183</v>
      </c>
      <c r="B387" s="59"/>
      <c r="C387" s="147"/>
      <c r="D387" s="701"/>
      <c r="E387" s="178"/>
      <c r="F387" s="178"/>
      <c r="G387" s="496"/>
      <c r="H387" s="994"/>
      <c r="I387" s="11"/>
      <c r="J387" s="1285"/>
      <c r="K387" s="1285"/>
      <c r="L387" s="1285"/>
    </row>
    <row r="388" spans="1:12" ht="11.15" customHeight="1">
      <c r="A388" s="162" t="s">
        <v>1184</v>
      </c>
      <c r="B388" s="90"/>
      <c r="C388" s="147"/>
      <c r="D388" s="159"/>
      <c r="E388" s="36"/>
      <c r="F388" s="183"/>
      <c r="G388" s="222"/>
      <c r="H388" s="34"/>
      <c r="I388" s="11"/>
    </row>
    <row r="389" spans="1:12" ht="11.15" customHeight="1">
      <c r="A389" s="162" t="s">
        <v>1185</v>
      </c>
      <c r="B389" s="90"/>
      <c r="C389" s="147"/>
      <c r="D389" s="159"/>
      <c r="E389" s="36"/>
      <c r="F389" s="183"/>
      <c r="G389" s="222"/>
      <c r="H389" s="34"/>
      <c r="I389" s="11"/>
    </row>
    <row r="390" spans="1:12" ht="11.15" customHeight="1">
      <c r="A390" s="162" t="s">
        <v>1186</v>
      </c>
      <c r="B390" s="226"/>
      <c r="C390" s="147"/>
      <c r="D390" s="122"/>
      <c r="E390" s="36"/>
      <c r="F390" s="178"/>
      <c r="G390" s="453"/>
      <c r="H390" s="36"/>
      <c r="I390" s="11"/>
    </row>
    <row r="391" spans="1:12" ht="11.15" customHeight="1">
      <c r="A391" s="162" t="s">
        <v>1187</v>
      </c>
      <c r="B391" s="90"/>
      <c r="C391" s="147"/>
      <c r="D391" s="156"/>
      <c r="E391" s="36"/>
      <c r="F391" s="178"/>
      <c r="G391" s="496"/>
      <c r="H391" s="36"/>
      <c r="I391" s="11"/>
    </row>
    <row r="392" spans="1:12" ht="11.15" customHeight="1">
      <c r="A392" s="162" t="s">
        <v>1188</v>
      </c>
      <c r="B392" s="226"/>
      <c r="C392" s="147"/>
      <c r="D392" s="122"/>
      <c r="E392" s="36"/>
      <c r="F392" s="178"/>
      <c r="G392" s="453"/>
      <c r="H392" s="36"/>
      <c r="I392" s="11"/>
    </row>
    <row r="393" spans="1:12" ht="11.15" customHeight="1">
      <c r="A393" s="225" t="s">
        <v>1189</v>
      </c>
      <c r="B393" s="214"/>
      <c r="C393" s="147"/>
      <c r="D393" s="161"/>
      <c r="E393" s="36"/>
      <c r="F393" s="178"/>
      <c r="G393" s="496"/>
      <c r="H393" s="36"/>
      <c r="I393" s="11"/>
    </row>
    <row r="394" spans="1:12" ht="11.15" customHeight="1">
      <c r="A394" s="162" t="s">
        <v>1190</v>
      </c>
      <c r="B394" s="226"/>
      <c r="C394" s="147"/>
      <c r="D394" s="122"/>
      <c r="E394" s="36"/>
      <c r="F394" s="178"/>
      <c r="G394" s="453"/>
      <c r="H394" s="36"/>
      <c r="I394" s="11"/>
    </row>
    <row r="395" spans="1:12" ht="11.15" customHeight="1">
      <c r="A395" s="29" t="s">
        <v>1191</v>
      </c>
      <c r="B395" s="226"/>
      <c r="C395" s="147"/>
      <c r="D395" s="122"/>
      <c r="E395" s="36"/>
      <c r="F395" s="178"/>
      <c r="G395" s="453"/>
      <c r="H395" s="36"/>
      <c r="I395" s="11"/>
    </row>
    <row r="396" spans="1:12" ht="11.15" customHeight="1">
      <c r="A396" s="166" t="s">
        <v>1192</v>
      </c>
      <c r="B396" s="226"/>
      <c r="C396" s="147"/>
      <c r="D396" s="122"/>
      <c r="E396" s="36"/>
      <c r="F396" s="178"/>
      <c r="G396" s="453"/>
      <c r="H396" s="36"/>
      <c r="I396" s="11"/>
    </row>
    <row r="397" spans="1:12" ht="11.15" customHeight="1">
      <c r="A397" s="169" t="s">
        <v>1193</v>
      </c>
      <c r="B397" s="226"/>
      <c r="C397" s="147"/>
      <c r="D397" s="122"/>
      <c r="E397" s="36"/>
      <c r="F397" s="178"/>
      <c r="G397" s="453"/>
      <c r="H397" s="36"/>
      <c r="I397" s="11"/>
    </row>
    <row r="398" spans="1:12" ht="11.15" customHeight="1">
      <c r="A398" s="169" t="s">
        <v>1194</v>
      </c>
      <c r="B398" s="226"/>
      <c r="C398" s="147"/>
      <c r="D398" s="122"/>
      <c r="E398" s="36"/>
      <c r="F398" s="178"/>
      <c r="G398" s="453"/>
      <c r="H398" s="36"/>
      <c r="I398" s="11"/>
    </row>
    <row r="399" spans="1:12" ht="11.15" customHeight="1">
      <c r="A399" s="129" t="s">
        <v>1195</v>
      </c>
      <c r="B399" s="226"/>
      <c r="C399" s="147"/>
      <c r="D399" s="122"/>
      <c r="E399" s="36"/>
      <c r="F399" s="178"/>
      <c r="G399" s="453"/>
      <c r="H399" s="36"/>
      <c r="I399" s="11"/>
    </row>
    <row r="400" spans="1:12" ht="11.15" customHeight="1">
      <c r="A400" s="129" t="s">
        <v>1196</v>
      </c>
      <c r="B400" s="226"/>
      <c r="C400" s="147"/>
      <c r="D400" s="122"/>
      <c r="E400" s="36"/>
      <c r="F400" s="178"/>
      <c r="G400" s="453"/>
      <c r="H400" s="36"/>
      <c r="I400" s="11"/>
    </row>
    <row r="401" spans="1:12" ht="11.15" customHeight="1" thickBot="1">
      <c r="A401" s="29"/>
      <c r="B401" s="29"/>
      <c r="C401" s="147"/>
      <c r="D401" s="129"/>
      <c r="E401" s="29"/>
      <c r="F401" s="29"/>
      <c r="G401" s="29"/>
      <c r="H401" s="29"/>
      <c r="I401" s="11"/>
    </row>
    <row r="402" spans="1:12" ht="11.15" customHeight="1" thickBot="1">
      <c r="A402" s="184" t="s">
        <v>1197</v>
      </c>
      <c r="B402" s="154" t="s">
        <v>1198</v>
      </c>
      <c r="C402" s="147"/>
      <c r="D402" s="29"/>
      <c r="E402" s="29"/>
      <c r="F402" s="29"/>
      <c r="G402" s="29"/>
      <c r="H402" s="29"/>
      <c r="I402" s="11"/>
    </row>
    <row r="403" spans="1:12" ht="11.15" customHeight="1">
      <c r="A403" s="29" t="s">
        <v>1199</v>
      </c>
      <c r="B403" s="59" t="s">
        <v>20292</v>
      </c>
      <c r="C403" s="147" t="s">
        <v>20221</v>
      </c>
      <c r="D403" s="1034" t="s">
        <v>879</v>
      </c>
      <c r="E403" s="178" t="s">
        <v>19060</v>
      </c>
      <c r="F403" s="178" t="s">
        <v>4520</v>
      </c>
      <c r="G403" s="496"/>
      <c r="H403" s="994" t="s">
        <v>20221</v>
      </c>
      <c r="I403" s="11" t="s">
        <v>1201</v>
      </c>
      <c r="J403" s="1285"/>
      <c r="K403" s="1285"/>
      <c r="L403" s="1285"/>
    </row>
    <row r="404" spans="1:12" ht="11.15" customHeight="1">
      <c r="A404" s="29" t="s">
        <v>1200</v>
      </c>
      <c r="B404" s="59" t="s">
        <v>20293</v>
      </c>
      <c r="C404" s="147" t="s">
        <v>20221</v>
      </c>
      <c r="D404" s="1034" t="s">
        <v>879</v>
      </c>
      <c r="E404" s="178" t="s">
        <v>19060</v>
      </c>
      <c r="F404" s="178" t="s">
        <v>4520</v>
      </c>
      <c r="G404" s="496"/>
      <c r="H404" s="994" t="s">
        <v>20224</v>
      </c>
      <c r="I404" s="11" t="s">
        <v>1203</v>
      </c>
      <c r="J404" s="1285"/>
      <c r="K404" s="1285"/>
      <c r="L404" s="1285"/>
    </row>
    <row r="405" spans="1:12" ht="11.15" customHeight="1">
      <c r="A405" s="29" t="s">
        <v>1202</v>
      </c>
      <c r="B405" s="154" t="s">
        <v>1205</v>
      </c>
      <c r="C405" s="147"/>
      <c r="D405" s="29"/>
      <c r="E405" s="29"/>
      <c r="F405" s="29"/>
      <c r="G405" s="29"/>
      <c r="H405" s="29"/>
      <c r="I405" s="11"/>
    </row>
    <row r="406" spans="1:12" ht="11.15" customHeight="1">
      <c r="A406" s="29" t="s">
        <v>1204</v>
      </c>
      <c r="B406" s="59" t="s">
        <v>20294</v>
      </c>
      <c r="C406" s="147" t="s">
        <v>20221</v>
      </c>
      <c r="D406" s="701" t="s">
        <v>884</v>
      </c>
      <c r="E406" s="178" t="s">
        <v>19060</v>
      </c>
      <c r="F406" s="178" t="s">
        <v>23395</v>
      </c>
      <c r="G406" s="496"/>
      <c r="H406" s="994" t="s">
        <v>20277</v>
      </c>
      <c r="I406" s="11" t="s">
        <v>1207</v>
      </c>
      <c r="J406" s="1285"/>
      <c r="K406" s="1285"/>
      <c r="L406" s="1285"/>
    </row>
    <row r="407" spans="1:12" ht="11.15" customHeight="1">
      <c r="A407" s="29" t="s">
        <v>1206</v>
      </c>
      <c r="B407" s="59" t="s">
        <v>20295</v>
      </c>
      <c r="C407" s="147" t="s">
        <v>20221</v>
      </c>
      <c r="D407" s="701" t="s">
        <v>884</v>
      </c>
      <c r="E407" s="178">
        <v>2015</v>
      </c>
      <c r="F407" s="178" t="s">
        <v>4520</v>
      </c>
      <c r="G407" s="496"/>
      <c r="H407" s="994" t="s">
        <v>20224</v>
      </c>
      <c r="I407" s="11" t="s">
        <v>1209</v>
      </c>
      <c r="J407" s="1285"/>
      <c r="K407" s="1285"/>
      <c r="L407" s="1285"/>
    </row>
    <row r="408" spans="1:12" ht="11.15" customHeight="1">
      <c r="A408" s="29" t="s">
        <v>1208</v>
      </c>
      <c r="B408" s="154" t="s">
        <v>1211</v>
      </c>
      <c r="C408" s="147"/>
      <c r="D408" s="29"/>
      <c r="E408" s="29"/>
      <c r="F408" s="29"/>
      <c r="G408" s="29"/>
      <c r="H408" s="29"/>
      <c r="I408" s="11"/>
    </row>
    <row r="409" spans="1:12" ht="11.15" customHeight="1">
      <c r="A409" s="29" t="s">
        <v>1210</v>
      </c>
      <c r="B409" s="59" t="s">
        <v>20297</v>
      </c>
      <c r="C409" s="147" t="s">
        <v>20221</v>
      </c>
      <c r="D409" s="701" t="s">
        <v>884</v>
      </c>
      <c r="E409" s="178" t="s">
        <v>19060</v>
      </c>
      <c r="F409" s="178" t="s">
        <v>4520</v>
      </c>
      <c r="G409" s="496"/>
      <c r="H409" s="994" t="s">
        <v>20221</v>
      </c>
      <c r="I409" s="11" t="s">
        <v>1213</v>
      </c>
      <c r="J409" s="1285"/>
      <c r="K409" s="1285"/>
      <c r="L409" s="1285"/>
    </row>
    <row r="410" spans="1:12" ht="11.15" customHeight="1">
      <c r="A410" s="129" t="s">
        <v>1212</v>
      </c>
      <c r="B410" s="59" t="s">
        <v>20296</v>
      </c>
      <c r="C410" s="147" t="s">
        <v>20221</v>
      </c>
      <c r="D410" s="701" t="s">
        <v>884</v>
      </c>
      <c r="E410" s="178" t="s">
        <v>19060</v>
      </c>
      <c r="F410" s="178" t="s">
        <v>4520</v>
      </c>
      <c r="G410" s="496"/>
      <c r="H410" s="994" t="s">
        <v>20224</v>
      </c>
      <c r="I410" s="11" t="s">
        <v>1215</v>
      </c>
      <c r="J410" s="1285"/>
      <c r="K410" s="1285"/>
      <c r="L410" s="1285"/>
    </row>
    <row r="411" spans="1:12" ht="11.15" customHeight="1">
      <c r="A411" s="162" t="s">
        <v>1214</v>
      </c>
      <c r="B411" s="90"/>
      <c r="C411" s="147"/>
      <c r="D411" s="156"/>
      <c r="E411" s="36"/>
      <c r="F411" s="178"/>
      <c r="G411" s="496"/>
      <c r="H411" s="36"/>
      <c r="I411" s="11"/>
    </row>
    <row r="412" spans="1:12" ht="11.15" customHeight="1">
      <c r="A412" s="162" t="s">
        <v>1216</v>
      </c>
      <c r="B412" s="90"/>
      <c r="C412" s="147"/>
      <c r="D412" s="156"/>
      <c r="E412" s="36"/>
      <c r="F412" s="178"/>
      <c r="G412" s="496"/>
      <c r="H412" s="36"/>
      <c r="I412" s="11"/>
    </row>
    <row r="413" spans="1:12" ht="11.15" customHeight="1">
      <c r="A413" s="162" t="s">
        <v>1217</v>
      </c>
      <c r="B413" s="90"/>
      <c r="C413" s="147"/>
      <c r="D413" s="156"/>
      <c r="E413" s="36"/>
      <c r="F413" s="178"/>
      <c r="G413" s="496"/>
      <c r="H413" s="36"/>
      <c r="I413" s="11"/>
    </row>
    <row r="414" spans="1:12" ht="11.15" customHeight="1">
      <c r="A414" s="181" t="s">
        <v>1218</v>
      </c>
      <c r="B414" s="90"/>
      <c r="C414" s="147"/>
      <c r="D414" s="156"/>
      <c r="E414" s="36"/>
      <c r="F414" s="178"/>
      <c r="G414" s="496"/>
      <c r="H414" s="36"/>
      <c r="I414" s="11"/>
    </row>
    <row r="415" spans="1:12" ht="11.15" customHeight="1">
      <c r="A415" s="181" t="s">
        <v>1219</v>
      </c>
      <c r="B415" s="90"/>
      <c r="C415" s="147"/>
      <c r="D415" s="156"/>
      <c r="E415" s="36"/>
      <c r="F415" s="178"/>
      <c r="G415" s="496"/>
      <c r="H415" s="36"/>
      <c r="I415" s="11"/>
    </row>
    <row r="416" spans="1:12" ht="11.15" customHeight="1">
      <c r="A416" s="129" t="s">
        <v>903</v>
      </c>
      <c r="B416" s="90" t="s">
        <v>1220</v>
      </c>
      <c r="C416" s="147"/>
      <c r="D416" s="156"/>
      <c r="E416" s="36"/>
      <c r="F416" s="178"/>
      <c r="G416" s="496"/>
      <c r="H416" s="36"/>
      <c r="I416" s="11"/>
    </row>
    <row r="417" spans="1:12" ht="11.15" customHeight="1">
      <c r="A417" s="162" t="s">
        <v>1221</v>
      </c>
      <c r="B417" s="90" t="s">
        <v>1220</v>
      </c>
      <c r="C417" s="147"/>
      <c r="D417" s="156"/>
      <c r="E417" s="36"/>
      <c r="F417" s="178"/>
      <c r="G417" s="496"/>
      <c r="H417" s="36"/>
      <c r="I417" s="11"/>
    </row>
    <row r="418" spans="1:12" ht="11.15" customHeight="1">
      <c r="A418" s="162" t="s">
        <v>1222</v>
      </c>
      <c r="B418" s="90" t="s">
        <v>1220</v>
      </c>
      <c r="C418" s="147"/>
      <c r="D418" s="156"/>
      <c r="E418" s="36"/>
      <c r="F418" s="178"/>
      <c r="G418" s="496"/>
      <c r="H418" s="36"/>
      <c r="I418" s="11"/>
    </row>
    <row r="419" spans="1:12" ht="11.15" customHeight="1">
      <c r="A419" s="162" t="s">
        <v>1223</v>
      </c>
      <c r="B419" s="90"/>
      <c r="C419" s="147"/>
      <c r="D419" s="156"/>
      <c r="E419" s="36"/>
      <c r="F419" s="178"/>
      <c r="G419" s="496"/>
      <c r="H419" s="36"/>
      <c r="I419" s="11"/>
    </row>
    <row r="420" spans="1:12" ht="11.15" customHeight="1">
      <c r="A420" s="162" t="s">
        <v>1224</v>
      </c>
      <c r="B420" s="90"/>
      <c r="C420" s="147"/>
      <c r="D420" s="156"/>
      <c r="E420" s="36"/>
      <c r="F420" s="178"/>
      <c r="G420" s="496"/>
      <c r="H420" s="36"/>
      <c r="I420" s="11"/>
    </row>
    <row r="421" spans="1:12" ht="11.15" customHeight="1">
      <c r="A421" s="162" t="s">
        <v>1225</v>
      </c>
      <c r="B421" s="90"/>
      <c r="C421" s="147"/>
      <c r="D421" s="156"/>
      <c r="E421" s="36"/>
      <c r="F421" s="178"/>
      <c r="G421" s="496"/>
      <c r="H421" s="36"/>
      <c r="I421" s="11"/>
    </row>
    <row r="422" spans="1:12" ht="11.15" customHeight="1">
      <c r="A422" s="162" t="s">
        <v>1226</v>
      </c>
      <c r="B422" s="90"/>
      <c r="C422" s="147"/>
      <c r="D422" s="156"/>
      <c r="E422" s="36"/>
      <c r="F422" s="178"/>
      <c r="G422" s="496"/>
      <c r="H422" s="36"/>
      <c r="I422" s="11"/>
    </row>
    <row r="423" spans="1:12" ht="11.15" customHeight="1">
      <c r="A423" s="162" t="s">
        <v>1227</v>
      </c>
      <c r="B423" s="90"/>
      <c r="C423" s="147"/>
      <c r="D423" s="156"/>
      <c r="E423" s="36"/>
      <c r="F423" s="178"/>
      <c r="G423" s="496"/>
      <c r="H423" s="36"/>
      <c r="I423" s="11"/>
    </row>
    <row r="424" spans="1:12" ht="11.15" customHeight="1">
      <c r="A424" s="162" t="s">
        <v>1228</v>
      </c>
      <c r="B424" s="90"/>
      <c r="C424" s="147"/>
      <c r="D424" s="156"/>
      <c r="E424" s="36"/>
      <c r="F424" s="178"/>
      <c r="G424" s="496"/>
      <c r="H424" s="36"/>
      <c r="I424" s="11"/>
    </row>
    <row r="425" spans="1:12" ht="11.15" customHeight="1">
      <c r="A425" s="169" t="s">
        <v>1229</v>
      </c>
      <c r="B425" s="90"/>
      <c r="C425" s="147"/>
      <c r="D425" s="156"/>
      <c r="E425" s="36"/>
      <c r="F425" s="178"/>
      <c r="G425" s="496"/>
      <c r="H425" s="36"/>
      <c r="I425" s="11"/>
    </row>
    <row r="426" spans="1:12" ht="11.15" customHeight="1">
      <c r="A426" s="213" t="s">
        <v>1230</v>
      </c>
      <c r="B426" s="90"/>
      <c r="C426" s="147"/>
      <c r="D426" s="156"/>
      <c r="E426" s="36"/>
      <c r="F426" s="178"/>
      <c r="G426" s="496"/>
      <c r="H426" s="36"/>
      <c r="I426" s="11"/>
    </row>
    <row r="427" spans="1:12" ht="11.15" customHeight="1">
      <c r="A427" s="129" t="s">
        <v>1231</v>
      </c>
      <c r="B427" s="214"/>
      <c r="C427" s="147"/>
      <c r="D427" s="161"/>
      <c r="E427" s="36"/>
      <c r="F427" s="178"/>
      <c r="G427" s="496"/>
      <c r="H427" s="36"/>
      <c r="I427" s="11"/>
    </row>
    <row r="428" spans="1:12" ht="11.15" customHeight="1" thickBot="1">
      <c r="A428" s="29"/>
      <c r="B428" s="226"/>
      <c r="C428" s="147"/>
      <c r="D428" s="122"/>
      <c r="E428" s="36"/>
      <c r="F428" s="178"/>
      <c r="G428" s="60"/>
      <c r="H428" s="36"/>
      <c r="I428" s="11"/>
    </row>
    <row r="429" spans="1:12" ht="11.15" customHeight="1" thickBot="1">
      <c r="A429" s="184" t="s">
        <v>1232</v>
      </c>
      <c r="B429" s="154" t="s">
        <v>926</v>
      </c>
      <c r="C429" s="147"/>
      <c r="D429" s="29"/>
      <c r="E429" s="29"/>
      <c r="F429" s="29"/>
      <c r="G429" s="29"/>
      <c r="H429" s="29"/>
      <c r="I429" s="11"/>
    </row>
    <row r="430" spans="1:12" ht="11.15" customHeight="1">
      <c r="A430" s="29" t="s">
        <v>1233</v>
      </c>
      <c r="B430" s="59" t="s">
        <v>20298</v>
      </c>
      <c r="C430" s="147" t="s">
        <v>23393</v>
      </c>
      <c r="D430" s="701" t="s">
        <v>884</v>
      </c>
      <c r="E430" s="178" t="s">
        <v>20299</v>
      </c>
      <c r="F430" s="178" t="s">
        <v>4520</v>
      </c>
      <c r="G430" s="496"/>
      <c r="H430" s="994" t="s">
        <v>20221</v>
      </c>
      <c r="I430" s="11" t="s">
        <v>1234</v>
      </c>
      <c r="J430" s="1285"/>
      <c r="K430" s="1285"/>
      <c r="L430" s="1285"/>
    </row>
    <row r="431" spans="1:12" ht="11.15" customHeight="1">
      <c r="A431" s="29" t="s">
        <v>1001</v>
      </c>
      <c r="B431" s="154" t="s">
        <v>1235</v>
      </c>
      <c r="C431" s="147"/>
      <c r="D431" s="129"/>
      <c r="E431" s="29"/>
      <c r="F431" s="29"/>
      <c r="G431" s="29"/>
      <c r="H431" s="29"/>
      <c r="I431" s="11"/>
    </row>
    <row r="432" spans="1:12" ht="11.15" customHeight="1">
      <c r="A432" s="181" t="s">
        <v>1236</v>
      </c>
      <c r="B432" s="59" t="s">
        <v>20300</v>
      </c>
      <c r="C432" s="147" t="s">
        <v>23393</v>
      </c>
      <c r="D432" s="701" t="s">
        <v>1129</v>
      </c>
      <c r="E432" s="178" t="s">
        <v>20301</v>
      </c>
      <c r="F432" s="178" t="s">
        <v>4520</v>
      </c>
      <c r="G432" s="496"/>
      <c r="H432" s="994" t="s">
        <v>20224</v>
      </c>
      <c r="I432" s="11" t="s">
        <v>1237</v>
      </c>
      <c r="J432" s="1285"/>
      <c r="K432" s="1285"/>
      <c r="L432" s="1285"/>
    </row>
    <row r="433" spans="1:12" ht="11.15" customHeight="1">
      <c r="A433" s="181" t="s">
        <v>1238</v>
      </c>
      <c r="B433" s="90"/>
      <c r="C433" s="147"/>
      <c r="D433" s="156"/>
      <c r="E433" s="36"/>
      <c r="F433" s="178"/>
      <c r="G433" s="497"/>
      <c r="H433" s="36"/>
      <c r="I433" s="11"/>
    </row>
    <row r="434" spans="1:12" ht="11.15" customHeight="1">
      <c r="A434" s="29" t="s">
        <v>1239</v>
      </c>
      <c r="B434" s="90"/>
      <c r="C434" s="147"/>
      <c r="D434" s="156"/>
      <c r="E434" s="36"/>
      <c r="F434" s="178"/>
      <c r="G434" s="497"/>
      <c r="H434" s="36"/>
      <c r="I434" s="11"/>
    </row>
    <row r="435" spans="1:12" ht="11.15" customHeight="1">
      <c r="A435" s="29" t="s">
        <v>1240</v>
      </c>
      <c r="B435" s="67"/>
      <c r="C435" s="67"/>
      <c r="D435" s="67"/>
      <c r="E435" s="67"/>
      <c r="F435" s="67"/>
      <c r="G435" s="67"/>
      <c r="H435" s="67"/>
      <c r="I435" s="5"/>
    </row>
    <row r="436" spans="1:12" ht="11.15" customHeight="1">
      <c r="A436" s="29" t="s">
        <v>1241</v>
      </c>
      <c r="B436" s="90"/>
      <c r="C436" s="147"/>
      <c r="D436" s="156"/>
      <c r="E436" s="36"/>
      <c r="F436" s="178"/>
      <c r="G436" s="497"/>
      <c r="H436" s="36"/>
      <c r="I436" s="11"/>
    </row>
    <row r="437" spans="1:12" ht="11.15" customHeight="1">
      <c r="A437" s="29" t="s">
        <v>1242</v>
      </c>
      <c r="B437" s="67"/>
      <c r="C437" s="67"/>
      <c r="D437" s="67"/>
      <c r="E437" s="67"/>
      <c r="F437" s="67"/>
      <c r="G437" s="67"/>
      <c r="H437" s="67"/>
      <c r="I437" s="5"/>
    </row>
    <row r="438" spans="1:12" ht="11.15" customHeight="1">
      <c r="A438" s="169" t="s">
        <v>1243</v>
      </c>
      <c r="B438" s="226"/>
      <c r="C438" s="147"/>
      <c r="D438" s="161"/>
      <c r="E438" s="36"/>
      <c r="F438" s="178"/>
      <c r="G438" s="496"/>
      <c r="H438" s="36"/>
      <c r="I438" s="11"/>
    </row>
    <row r="439" spans="1:12" ht="11.15" customHeight="1">
      <c r="A439" s="166" t="s">
        <v>1244</v>
      </c>
      <c r="B439" s="29"/>
      <c r="C439" s="147"/>
      <c r="D439" s="129"/>
      <c r="E439" s="29"/>
      <c r="F439" s="29"/>
      <c r="G439" s="29"/>
      <c r="H439" s="29"/>
      <c r="I439" s="11"/>
    </row>
    <row r="440" spans="1:12" ht="11.15" customHeight="1">
      <c r="A440" s="129" t="s">
        <v>1245</v>
      </c>
      <c r="B440" s="214"/>
      <c r="C440" s="147"/>
      <c r="D440" s="161"/>
      <c r="E440" s="36"/>
      <c r="F440" s="178"/>
      <c r="G440" s="496"/>
      <c r="H440" s="36"/>
      <c r="I440" s="11"/>
    </row>
    <row r="441" spans="1:12" ht="11.15" customHeight="1">
      <c r="A441" s="129" t="s">
        <v>1246</v>
      </c>
      <c r="B441" s="29"/>
      <c r="C441" s="147"/>
      <c r="D441" s="129"/>
      <c r="E441" s="29"/>
      <c r="F441" s="29"/>
      <c r="G441" s="29"/>
      <c r="H441" s="29"/>
      <c r="I441" s="11"/>
    </row>
    <row r="442" spans="1:12" ht="11.15" customHeight="1" thickBot="1">
      <c r="A442" s="29"/>
      <c r="B442" s="226"/>
      <c r="C442" s="147"/>
      <c r="D442" s="122"/>
      <c r="E442" s="36"/>
      <c r="F442" s="178"/>
      <c r="G442" s="60"/>
      <c r="H442" s="36"/>
      <c r="I442" s="11"/>
    </row>
    <row r="443" spans="1:12" ht="11.15" customHeight="1" thickBot="1">
      <c r="A443" s="184" t="s">
        <v>1247</v>
      </c>
      <c r="B443" s="59" t="s">
        <v>20302</v>
      </c>
      <c r="C443" s="147" t="s">
        <v>20221</v>
      </c>
      <c r="D443" s="701" t="s">
        <v>884</v>
      </c>
      <c r="E443" s="178" t="s">
        <v>19060</v>
      </c>
      <c r="F443" s="178" t="s">
        <v>5257</v>
      </c>
      <c r="G443" s="496"/>
      <c r="H443" s="994" t="s">
        <v>20224</v>
      </c>
      <c r="I443" s="11" t="s">
        <v>1248</v>
      </c>
      <c r="J443" s="1285"/>
      <c r="K443" s="1285"/>
      <c r="L443" s="1285"/>
    </row>
    <row r="444" spans="1:12" ht="11.15" customHeight="1">
      <c r="A444" s="229" t="s">
        <v>1249</v>
      </c>
      <c r="B444" s="59" t="s">
        <v>20303</v>
      </c>
      <c r="C444" s="147" t="s">
        <v>20221</v>
      </c>
      <c r="D444" s="701" t="s">
        <v>884</v>
      </c>
      <c r="E444" s="178" t="s">
        <v>19060</v>
      </c>
      <c r="F444" s="178" t="s">
        <v>4520</v>
      </c>
      <c r="G444" s="496"/>
      <c r="H444" s="994" t="s">
        <v>20221</v>
      </c>
      <c r="I444" s="11" t="s">
        <v>1250</v>
      </c>
      <c r="J444" s="1285"/>
      <c r="K444" s="1285"/>
      <c r="L444" s="1285"/>
    </row>
    <row r="445" spans="1:12" ht="11.15" customHeight="1">
      <c r="A445" s="29" t="s">
        <v>1251</v>
      </c>
      <c r="B445" s="59"/>
      <c r="C445" s="147"/>
      <c r="D445" s="701"/>
      <c r="E445" s="178"/>
      <c r="F445" s="178"/>
      <c r="G445" s="496"/>
      <c r="H445" s="994"/>
      <c r="I445" s="11"/>
      <c r="J445" s="1285"/>
      <c r="K445" s="1285"/>
      <c r="L445" s="1285"/>
    </row>
    <row r="446" spans="1:12" ht="11.15" customHeight="1">
      <c r="A446" s="29" t="s">
        <v>1252</v>
      </c>
      <c r="B446" s="29"/>
      <c r="C446" s="147"/>
      <c r="D446" s="29"/>
      <c r="E446" s="29"/>
      <c r="F446" s="29"/>
      <c r="G446" s="29"/>
      <c r="H446" s="29"/>
    </row>
    <row r="447" spans="1:12" ht="11.15" customHeight="1">
      <c r="A447" s="181" t="s">
        <v>1253</v>
      </c>
      <c r="B447" s="29"/>
      <c r="C447" s="147"/>
      <c r="D447" s="129"/>
      <c r="E447" s="29"/>
      <c r="F447" s="29"/>
      <c r="G447" s="29"/>
      <c r="H447" s="29"/>
      <c r="I447" s="11"/>
    </row>
    <row r="448" spans="1:12" ht="11.15" customHeight="1">
      <c r="A448" s="212" t="s">
        <v>1254</v>
      </c>
      <c r="B448" s="29"/>
      <c r="C448" s="147"/>
      <c r="D448" s="129"/>
      <c r="E448" s="29"/>
      <c r="F448" s="29"/>
      <c r="G448" s="29"/>
      <c r="H448" s="29"/>
      <c r="I448" s="11"/>
    </row>
    <row r="449" spans="1:12" ht="11.15" customHeight="1">
      <c r="A449" s="169" t="s">
        <v>1255</v>
      </c>
      <c r="B449" s="90"/>
      <c r="C449" s="147"/>
      <c r="D449" s="159"/>
      <c r="E449" s="36"/>
      <c r="F449" s="178"/>
      <c r="G449" s="496"/>
      <c r="H449" s="36"/>
      <c r="I449" s="11"/>
    </row>
    <row r="450" spans="1:12" ht="11.15" customHeight="1">
      <c r="A450" s="129" t="s">
        <v>1256</v>
      </c>
      <c r="B450" s="214"/>
      <c r="C450" s="147"/>
      <c r="D450" s="161"/>
      <c r="E450" s="36"/>
      <c r="F450" s="178"/>
      <c r="G450" s="496"/>
      <c r="H450" s="36"/>
      <c r="I450" s="11"/>
    </row>
    <row r="451" spans="1:12" ht="11.15" customHeight="1" thickBot="1">
      <c r="A451" s="29"/>
      <c r="B451" s="90"/>
      <c r="C451" s="147"/>
      <c r="D451" s="122"/>
      <c r="E451" s="36"/>
      <c r="F451" s="178"/>
      <c r="G451" s="60"/>
      <c r="H451" s="36"/>
      <c r="I451" s="11"/>
    </row>
    <row r="452" spans="1:12" ht="11.15" customHeight="1">
      <c r="A452" s="153" t="s">
        <v>1257</v>
      </c>
      <c r="B452" s="177" t="s">
        <v>1258</v>
      </c>
      <c r="C452" s="147"/>
      <c r="D452" s="159"/>
      <c r="E452" s="36"/>
      <c r="F452" s="178"/>
      <c r="G452" s="497"/>
      <c r="H452" s="36"/>
      <c r="I452" s="11"/>
    </row>
    <row r="453" spans="1:12" ht="11.15" customHeight="1" thickBot="1">
      <c r="A453" s="230" t="s">
        <v>1259</v>
      </c>
      <c r="B453" s="59" t="s">
        <v>20305</v>
      </c>
      <c r="C453" s="147" t="s">
        <v>20221</v>
      </c>
      <c r="D453" s="701" t="s">
        <v>884</v>
      </c>
      <c r="E453" s="178">
        <v>2019</v>
      </c>
      <c r="F453" s="178" t="s">
        <v>4520</v>
      </c>
      <c r="G453" s="496"/>
      <c r="H453" s="994" t="s">
        <v>20221</v>
      </c>
      <c r="I453" s="11" t="s">
        <v>1260</v>
      </c>
      <c r="J453" s="1285"/>
      <c r="K453" s="1285"/>
      <c r="L453" s="1285"/>
    </row>
    <row r="454" spans="1:12" ht="11.15" customHeight="1">
      <c r="A454" s="29" t="s">
        <v>1261</v>
      </c>
      <c r="B454" s="59" t="s">
        <v>20306</v>
      </c>
      <c r="C454" s="147" t="s">
        <v>20221</v>
      </c>
      <c r="D454" s="701" t="s">
        <v>884</v>
      </c>
      <c r="E454" s="178">
        <v>2020</v>
      </c>
      <c r="F454" s="178" t="s">
        <v>4520</v>
      </c>
      <c r="G454" s="496"/>
      <c r="H454" s="994" t="s">
        <v>20221</v>
      </c>
      <c r="I454" s="11" t="s">
        <v>1262</v>
      </c>
      <c r="J454" s="1285"/>
      <c r="K454" s="1285"/>
      <c r="L454" s="1285"/>
    </row>
    <row r="455" spans="1:12" ht="11.15" customHeight="1">
      <c r="A455" s="29" t="s">
        <v>1263</v>
      </c>
      <c r="B455" s="59" t="s">
        <v>20307</v>
      </c>
      <c r="C455" s="147" t="s">
        <v>23393</v>
      </c>
      <c r="D455" s="701" t="s">
        <v>884</v>
      </c>
      <c r="E455" s="178">
        <v>2020</v>
      </c>
      <c r="F455" s="178" t="s">
        <v>4520</v>
      </c>
      <c r="G455" s="496"/>
      <c r="H455" s="994" t="s">
        <v>20224</v>
      </c>
      <c r="I455" s="11" t="s">
        <v>1264</v>
      </c>
      <c r="J455" s="1285"/>
      <c r="K455" s="1285"/>
      <c r="L455" s="1285"/>
    </row>
    <row r="456" spans="1:12" ht="11.15" customHeight="1">
      <c r="A456" s="29" t="s">
        <v>1265</v>
      </c>
      <c r="B456" s="59" t="s">
        <v>20308</v>
      </c>
      <c r="C456" s="147" t="s">
        <v>20221</v>
      </c>
      <c r="D456" s="701" t="s">
        <v>884</v>
      </c>
      <c r="E456" s="178">
        <v>2017</v>
      </c>
      <c r="F456" s="178" t="s">
        <v>4520</v>
      </c>
      <c r="G456" s="496"/>
      <c r="H456" s="994" t="s">
        <v>20224</v>
      </c>
      <c r="I456" s="11" t="s">
        <v>1266</v>
      </c>
      <c r="J456" s="1285"/>
      <c r="K456" s="1285"/>
      <c r="L456" s="1285"/>
    </row>
    <row r="457" spans="1:12" ht="11.15" customHeight="1">
      <c r="A457" s="29" t="s">
        <v>1267</v>
      </c>
      <c r="B457" s="177" t="s">
        <v>1268</v>
      </c>
      <c r="C457" s="147"/>
      <c r="D457" s="159"/>
      <c r="E457" s="36"/>
      <c r="F457" s="178"/>
      <c r="G457" s="497"/>
      <c r="H457" s="36"/>
      <c r="I457" s="11"/>
    </row>
    <row r="458" spans="1:12" ht="11.15" customHeight="1">
      <c r="A458" s="29" t="s">
        <v>1269</v>
      </c>
      <c r="B458" s="59" t="s">
        <v>20310</v>
      </c>
      <c r="C458" s="147" t="s">
        <v>20221</v>
      </c>
      <c r="D458" s="701" t="s">
        <v>884</v>
      </c>
      <c r="E458" s="178">
        <v>2019</v>
      </c>
      <c r="F458" s="178" t="s">
        <v>9678</v>
      </c>
      <c r="G458" s="496"/>
      <c r="H458" s="994" t="s">
        <v>20224</v>
      </c>
      <c r="I458" s="11" t="s">
        <v>1270</v>
      </c>
      <c r="J458" s="1285"/>
      <c r="K458" s="1285"/>
      <c r="L458" s="1285"/>
    </row>
    <row r="459" spans="1:12" ht="11.15" customHeight="1">
      <c r="A459" s="29" t="s">
        <v>1271</v>
      </c>
      <c r="B459" s="59" t="s">
        <v>20310</v>
      </c>
      <c r="C459" s="147" t="s">
        <v>20221</v>
      </c>
      <c r="D459" s="701" t="s">
        <v>884</v>
      </c>
      <c r="E459" s="178">
        <v>2018</v>
      </c>
      <c r="F459" s="178" t="s">
        <v>9678</v>
      </c>
      <c r="G459" s="496"/>
      <c r="H459" s="994" t="s">
        <v>20224</v>
      </c>
      <c r="I459" s="11" t="s">
        <v>1272</v>
      </c>
      <c r="J459" s="1285"/>
      <c r="K459" s="1285"/>
      <c r="L459" s="1285"/>
    </row>
    <row r="460" spans="1:12" ht="11.15" customHeight="1">
      <c r="A460" s="29" t="s">
        <v>1273</v>
      </c>
      <c r="B460" s="177" t="s">
        <v>1274</v>
      </c>
      <c r="C460" s="147"/>
      <c r="D460" s="159"/>
      <c r="E460" s="36"/>
      <c r="F460" s="183"/>
      <c r="G460" s="496"/>
      <c r="H460" s="34"/>
      <c r="I460" s="11"/>
    </row>
    <row r="461" spans="1:12" ht="11.15" customHeight="1">
      <c r="A461" s="181" t="s">
        <v>1275</v>
      </c>
      <c r="B461" s="59" t="s">
        <v>20311</v>
      </c>
      <c r="C461" s="147" t="s">
        <v>23393</v>
      </c>
      <c r="D461" s="701" t="s">
        <v>1129</v>
      </c>
      <c r="E461" s="178">
        <v>2020</v>
      </c>
      <c r="F461" s="178" t="s">
        <v>4520</v>
      </c>
      <c r="G461" s="496"/>
      <c r="H461" s="994" t="s">
        <v>20224</v>
      </c>
      <c r="I461" s="11" t="s">
        <v>1276</v>
      </c>
      <c r="J461" s="1285"/>
      <c r="K461" s="1285"/>
      <c r="L461" s="1285"/>
    </row>
    <row r="462" spans="1:12" ht="11.15" customHeight="1">
      <c r="A462" s="181" t="s">
        <v>1277</v>
      </c>
      <c r="B462" s="177" t="s">
        <v>1278</v>
      </c>
      <c r="C462" s="147"/>
      <c r="D462" s="159"/>
      <c r="E462" s="36"/>
      <c r="F462" s="183"/>
      <c r="G462" s="496"/>
      <c r="H462" s="34"/>
      <c r="I462" s="11"/>
    </row>
    <row r="463" spans="1:12" ht="11.15" customHeight="1">
      <c r="A463" s="29" t="s">
        <v>1279</v>
      </c>
      <c r="B463" s="59" t="s">
        <v>20312</v>
      </c>
      <c r="C463" s="147" t="s">
        <v>20221</v>
      </c>
      <c r="D463" s="1035" t="s">
        <v>1280</v>
      </c>
      <c r="E463" s="178" t="s">
        <v>20253</v>
      </c>
      <c r="F463" s="178" t="s">
        <v>23397</v>
      </c>
      <c r="G463" s="496"/>
      <c r="H463" s="994" t="s">
        <v>20277</v>
      </c>
      <c r="I463" s="11" t="s">
        <v>1281</v>
      </c>
      <c r="J463" s="1285"/>
      <c r="K463" s="1285"/>
      <c r="L463" s="1285"/>
    </row>
    <row r="464" spans="1:12" ht="11.15" customHeight="1">
      <c r="A464" s="29" t="s">
        <v>1282</v>
      </c>
      <c r="B464" s="90"/>
      <c r="C464" s="147"/>
      <c r="D464" s="159"/>
      <c r="E464" s="36"/>
      <c r="F464" s="183"/>
      <c r="G464" s="496"/>
      <c r="H464" s="34"/>
      <c r="I464" s="11"/>
    </row>
    <row r="465" spans="1:9" ht="11.15" customHeight="1">
      <c r="A465" s="29" t="s">
        <v>1283</v>
      </c>
      <c r="B465" s="90"/>
      <c r="C465" s="147"/>
      <c r="D465" s="159"/>
      <c r="E465" s="36"/>
      <c r="F465" s="183"/>
      <c r="G465" s="496"/>
      <c r="H465" s="34"/>
      <c r="I465" s="11"/>
    </row>
    <row r="466" spans="1:9" ht="11.15" customHeight="1">
      <c r="A466" s="29" t="s">
        <v>1284</v>
      </c>
      <c r="B466" s="29"/>
      <c r="C466" s="147"/>
      <c r="D466" s="29"/>
      <c r="E466" s="29"/>
      <c r="F466" s="29"/>
      <c r="G466" s="29"/>
      <c r="H466" s="29"/>
      <c r="I466" s="11"/>
    </row>
    <row r="467" spans="1:9" ht="11.15" customHeight="1">
      <c r="A467" s="29" t="s">
        <v>1285</v>
      </c>
      <c r="B467" s="29"/>
      <c r="C467" s="147"/>
      <c r="D467" s="29"/>
      <c r="E467" s="29"/>
      <c r="F467" s="29"/>
      <c r="G467" s="29"/>
      <c r="H467" s="29"/>
      <c r="I467" s="11"/>
    </row>
    <row r="468" spans="1:9" ht="11.15" customHeight="1">
      <c r="A468" s="29" t="s">
        <v>1286</v>
      </c>
      <c r="B468" s="90"/>
      <c r="C468" s="147"/>
      <c r="D468" s="159"/>
      <c r="E468" s="36"/>
      <c r="F468" s="183"/>
      <c r="G468" s="496"/>
      <c r="H468" s="34"/>
      <c r="I468" s="11"/>
    </row>
    <row r="469" spans="1:9" ht="11.15" customHeight="1">
      <c r="A469" s="29" t="s">
        <v>1287</v>
      </c>
      <c r="B469" s="90"/>
      <c r="C469" s="147"/>
      <c r="D469" s="159"/>
      <c r="E469" s="36"/>
      <c r="F469" s="183"/>
      <c r="G469" s="496"/>
      <c r="H469" s="34"/>
      <c r="I469" s="11"/>
    </row>
    <row r="470" spans="1:9" ht="11.15" customHeight="1">
      <c r="A470" s="29" t="s">
        <v>1288</v>
      </c>
      <c r="B470" s="90"/>
      <c r="C470" s="147"/>
      <c r="D470" s="159"/>
      <c r="E470" s="36"/>
      <c r="F470" s="183"/>
      <c r="G470" s="496"/>
      <c r="H470" s="34"/>
      <c r="I470" s="11"/>
    </row>
    <row r="471" spans="1:9" ht="11.15" customHeight="1">
      <c r="A471" s="29" t="s">
        <v>1289</v>
      </c>
      <c r="B471" s="90"/>
      <c r="C471" s="147"/>
      <c r="D471" s="159"/>
      <c r="E471" s="36"/>
      <c r="F471" s="183"/>
      <c r="G471" s="496"/>
      <c r="H471" s="34"/>
      <c r="I471" s="11"/>
    </row>
    <row r="472" spans="1:9" ht="11.15" customHeight="1">
      <c r="A472" s="29" t="s">
        <v>1290</v>
      </c>
      <c r="B472" s="90"/>
      <c r="C472" s="147"/>
      <c r="D472" s="159"/>
      <c r="E472" s="36"/>
      <c r="F472" s="183"/>
      <c r="G472" s="496"/>
      <c r="H472" s="34"/>
      <c r="I472" s="11"/>
    </row>
    <row r="473" spans="1:9" ht="11.15" customHeight="1">
      <c r="A473" s="29" t="s">
        <v>1291</v>
      </c>
      <c r="B473" s="90"/>
      <c r="C473" s="147"/>
      <c r="D473" s="159"/>
      <c r="E473" s="36"/>
      <c r="F473" s="183"/>
      <c r="G473" s="496"/>
      <c r="H473" s="34"/>
      <c r="I473" s="11"/>
    </row>
    <row r="474" spans="1:9" ht="11.15" customHeight="1">
      <c r="A474" s="29" t="s">
        <v>1292</v>
      </c>
      <c r="B474" s="90"/>
      <c r="C474" s="147"/>
      <c r="D474" s="159"/>
      <c r="E474" s="36"/>
      <c r="F474" s="183"/>
      <c r="G474" s="496"/>
      <c r="H474" s="34"/>
      <c r="I474" s="11"/>
    </row>
    <row r="475" spans="1:9" ht="11.15" customHeight="1">
      <c r="A475" s="29" t="s">
        <v>1293</v>
      </c>
      <c r="B475" s="90"/>
      <c r="C475" s="147"/>
      <c r="D475" s="159"/>
      <c r="E475" s="36"/>
      <c r="F475" s="183"/>
      <c r="G475" s="496"/>
      <c r="H475" s="34"/>
      <c r="I475" s="11"/>
    </row>
    <row r="476" spans="1:9" ht="9" customHeight="1">
      <c r="A476" s="129" t="s">
        <v>1294</v>
      </c>
      <c r="B476" s="90"/>
      <c r="C476" s="147"/>
      <c r="D476" s="159"/>
      <c r="E476" s="36"/>
      <c r="F476" s="183"/>
      <c r="G476" s="496"/>
      <c r="H476" s="34"/>
      <c r="I476" s="11"/>
    </row>
    <row r="477" spans="1:9" ht="9" customHeight="1">
      <c r="A477" s="162" t="s">
        <v>1295</v>
      </c>
      <c r="B477" s="90"/>
      <c r="C477" s="147"/>
      <c r="D477" s="159"/>
      <c r="E477" s="36"/>
      <c r="F477" s="183"/>
      <c r="G477" s="496"/>
      <c r="H477" s="34"/>
      <c r="I477" s="11"/>
    </row>
    <row r="478" spans="1:9" ht="9" customHeight="1">
      <c r="A478" s="162" t="s">
        <v>1296</v>
      </c>
      <c r="B478" s="90"/>
      <c r="C478" s="147"/>
      <c r="D478" s="159"/>
      <c r="E478" s="36"/>
      <c r="F478" s="183"/>
      <c r="G478" s="496"/>
      <c r="H478" s="34"/>
      <c r="I478" s="11"/>
    </row>
    <row r="479" spans="1:9" ht="9" customHeight="1">
      <c r="A479" s="162" t="s">
        <v>1297</v>
      </c>
      <c r="B479" s="90"/>
      <c r="C479" s="147"/>
      <c r="D479" s="159"/>
      <c r="E479" s="36"/>
      <c r="F479" s="183"/>
      <c r="G479" s="496"/>
      <c r="H479" s="34"/>
      <c r="I479" s="11"/>
    </row>
    <row r="480" spans="1:9" ht="9" customHeight="1">
      <c r="A480" s="162" t="s">
        <v>1298</v>
      </c>
      <c r="B480" s="90"/>
      <c r="C480" s="147"/>
      <c r="D480" s="159"/>
      <c r="E480" s="36"/>
      <c r="F480" s="183"/>
      <c r="G480" s="496"/>
      <c r="H480" s="34"/>
      <c r="I480" s="11"/>
    </row>
    <row r="481" spans="1:9" ht="9" customHeight="1">
      <c r="A481" s="162" t="s">
        <v>1299</v>
      </c>
      <c r="B481" s="90"/>
      <c r="C481" s="147"/>
      <c r="D481" s="159"/>
      <c r="E481" s="36"/>
      <c r="F481" s="183"/>
      <c r="G481" s="496"/>
      <c r="H481" s="34"/>
      <c r="I481" s="11"/>
    </row>
    <row r="482" spans="1:9" ht="9" customHeight="1">
      <c r="A482" s="162" t="s">
        <v>1300</v>
      </c>
      <c r="B482" s="90"/>
      <c r="C482" s="147"/>
      <c r="D482" s="159"/>
      <c r="E482" s="36"/>
      <c r="F482" s="183"/>
      <c r="G482" s="496"/>
      <c r="H482" s="34"/>
      <c r="I482" s="11"/>
    </row>
    <row r="483" spans="1:9" ht="9" customHeight="1">
      <c r="A483" s="162" t="s">
        <v>1301</v>
      </c>
      <c r="B483" s="90"/>
      <c r="C483" s="147"/>
      <c r="D483" s="159"/>
      <c r="E483" s="36"/>
      <c r="F483" s="183"/>
      <c r="G483" s="496"/>
      <c r="H483" s="34"/>
      <c r="I483" s="11"/>
    </row>
    <row r="484" spans="1:9" ht="9" customHeight="1">
      <c r="A484" s="162" t="s">
        <v>1302</v>
      </c>
      <c r="B484" s="90"/>
      <c r="C484" s="147"/>
      <c r="D484" s="159"/>
      <c r="E484" s="36"/>
      <c r="F484" s="183"/>
      <c r="G484" s="496"/>
      <c r="H484" s="34"/>
      <c r="I484" s="11"/>
    </row>
    <row r="485" spans="1:9" ht="9" customHeight="1">
      <c r="A485" s="162" t="s">
        <v>1303</v>
      </c>
      <c r="B485" s="90"/>
      <c r="C485" s="147"/>
      <c r="D485" s="159"/>
      <c r="E485" s="36"/>
      <c r="F485" s="183"/>
      <c r="G485" s="496"/>
      <c r="H485" s="34"/>
      <c r="I485" s="11"/>
    </row>
    <row r="486" spans="1:9" ht="9" customHeight="1">
      <c r="A486" s="162" t="s">
        <v>1304</v>
      </c>
      <c r="B486" s="90"/>
      <c r="C486" s="147"/>
      <c r="D486" s="159"/>
      <c r="E486" s="36"/>
      <c r="F486" s="183"/>
      <c r="G486" s="496"/>
      <c r="H486" s="34"/>
      <c r="I486" s="11"/>
    </row>
    <row r="487" spans="1:9" ht="9" customHeight="1">
      <c r="A487" s="162" t="s">
        <v>1305</v>
      </c>
      <c r="B487" s="90"/>
      <c r="C487" s="147"/>
      <c r="D487" s="159"/>
      <c r="E487" s="36"/>
      <c r="F487" s="183"/>
      <c r="G487" s="496"/>
      <c r="H487" s="34"/>
      <c r="I487" s="11"/>
    </row>
    <row r="488" spans="1:9" ht="9" customHeight="1">
      <c r="A488" s="162" t="s">
        <v>1306</v>
      </c>
      <c r="B488" s="90"/>
      <c r="C488" s="147"/>
      <c r="D488" s="159"/>
      <c r="E488" s="36"/>
      <c r="F488" s="183"/>
      <c r="G488" s="496"/>
      <c r="H488" s="34"/>
      <c r="I488" s="11"/>
    </row>
    <row r="489" spans="1:9" ht="11.15" customHeight="1">
      <c r="A489" s="162" t="s">
        <v>1307</v>
      </c>
      <c r="B489" s="90"/>
      <c r="C489" s="147"/>
      <c r="D489" s="159"/>
      <c r="E489" s="36"/>
      <c r="F489" s="183"/>
      <c r="G489" s="496"/>
      <c r="H489" s="34"/>
      <c r="I489" s="11"/>
    </row>
    <row r="490" spans="1:9" ht="9" customHeight="1">
      <c r="A490" s="129" t="s">
        <v>1308</v>
      </c>
      <c r="B490" s="90"/>
      <c r="C490" s="147"/>
      <c r="D490" s="159"/>
      <c r="E490" s="36"/>
      <c r="F490" s="183"/>
      <c r="G490" s="496"/>
      <c r="H490" s="34"/>
      <c r="I490" s="11"/>
    </row>
    <row r="491" spans="1:9" ht="9" customHeight="1">
      <c r="A491" s="162" t="s">
        <v>1309</v>
      </c>
      <c r="B491" s="90"/>
      <c r="C491" s="147"/>
      <c r="D491" s="159"/>
      <c r="E491" s="36"/>
      <c r="F491" s="183"/>
      <c r="G491" s="496"/>
      <c r="H491" s="34"/>
      <c r="I491" s="11"/>
    </row>
    <row r="492" spans="1:9" ht="9" customHeight="1">
      <c r="A492" s="162" t="s">
        <v>1310</v>
      </c>
      <c r="B492" s="210"/>
      <c r="C492" s="147"/>
      <c r="D492" s="150"/>
      <c r="E492" s="210"/>
      <c r="F492" s="150"/>
      <c r="G492" s="1190"/>
      <c r="H492" s="210"/>
      <c r="I492" s="11"/>
    </row>
    <row r="493" spans="1:9" ht="9" customHeight="1">
      <c r="A493" s="162" t="s">
        <v>1311</v>
      </c>
      <c r="B493" s="210"/>
      <c r="C493" s="147"/>
      <c r="D493" s="150"/>
      <c r="E493" s="210"/>
      <c r="F493" s="150"/>
      <c r="G493" s="1190"/>
      <c r="H493" s="210"/>
      <c r="I493" s="11"/>
    </row>
    <row r="494" spans="1:9" ht="9" customHeight="1">
      <c r="A494" s="162" t="s">
        <v>1312</v>
      </c>
      <c r="B494" s="210"/>
      <c r="C494" s="147"/>
      <c r="D494" s="150"/>
      <c r="E494" s="210"/>
      <c r="F494" s="150"/>
      <c r="G494" s="1190"/>
      <c r="H494" s="210"/>
      <c r="I494" s="11"/>
    </row>
    <row r="495" spans="1:9" ht="9" customHeight="1">
      <c r="A495" s="162" t="s">
        <v>1313</v>
      </c>
      <c r="B495" s="210"/>
      <c r="C495" s="147"/>
      <c r="D495" s="150"/>
      <c r="E495" s="210"/>
      <c r="F495" s="150"/>
      <c r="G495" s="1190"/>
      <c r="H495" s="210"/>
      <c r="I495" s="11"/>
    </row>
    <row r="496" spans="1:9" ht="9" customHeight="1">
      <c r="A496" s="162" t="s">
        <v>1314</v>
      </c>
      <c r="B496" s="90"/>
      <c r="C496" s="147"/>
      <c r="D496" s="159"/>
      <c r="E496" s="36"/>
      <c r="F496" s="183"/>
      <c r="G496" s="496"/>
      <c r="H496" s="34"/>
      <c r="I496" s="11"/>
    </row>
    <row r="497" spans="1:9" ht="9" customHeight="1">
      <c r="A497" s="162" t="s">
        <v>1315</v>
      </c>
      <c r="B497" s="90"/>
      <c r="C497" s="147"/>
      <c r="D497" s="159"/>
      <c r="E497" s="36"/>
      <c r="F497" s="183"/>
      <c r="G497" s="496"/>
      <c r="H497" s="34"/>
      <c r="I497" s="11"/>
    </row>
    <row r="498" spans="1:9" ht="9" customHeight="1">
      <c r="A498" s="162" t="s">
        <v>1316</v>
      </c>
      <c r="B498" s="90"/>
      <c r="C498" s="147"/>
      <c r="D498" s="159"/>
      <c r="E498" s="36"/>
      <c r="F498" s="183"/>
      <c r="G498" s="496"/>
      <c r="H498" s="34"/>
      <c r="I498" s="11"/>
    </row>
    <row r="499" spans="1:9" ht="9" customHeight="1">
      <c r="A499" s="162" t="s">
        <v>1317</v>
      </c>
      <c r="B499" s="90"/>
      <c r="C499" s="147"/>
      <c r="D499" s="159"/>
      <c r="E499" s="36"/>
      <c r="F499" s="183"/>
      <c r="G499" s="496"/>
      <c r="H499" s="34"/>
      <c r="I499" s="11"/>
    </row>
    <row r="500" spans="1:9" ht="9" customHeight="1">
      <c r="A500" s="162" t="s">
        <v>1318</v>
      </c>
      <c r="B500" s="90"/>
      <c r="C500" s="147"/>
      <c r="D500" s="159"/>
      <c r="E500" s="36"/>
      <c r="F500" s="183"/>
      <c r="G500" s="496"/>
      <c r="H500" s="34"/>
      <c r="I500" s="11"/>
    </row>
    <row r="501" spans="1:9" ht="9" customHeight="1">
      <c r="A501" s="162" t="s">
        <v>1319</v>
      </c>
      <c r="B501" s="90"/>
      <c r="C501" s="147"/>
      <c r="D501" s="159"/>
      <c r="E501" s="36"/>
      <c r="F501" s="183"/>
      <c r="G501" s="496"/>
      <c r="H501" s="34"/>
      <c r="I501" s="11"/>
    </row>
    <row r="502" spans="1:9" ht="9" customHeight="1">
      <c r="A502" s="162" t="s">
        <v>1320</v>
      </c>
      <c r="B502" s="90"/>
      <c r="C502" s="147"/>
      <c r="D502" s="159"/>
      <c r="E502" s="36"/>
      <c r="F502" s="183"/>
      <c r="G502" s="496"/>
      <c r="H502" s="34"/>
      <c r="I502" s="11"/>
    </row>
    <row r="503" spans="1:9" ht="9" customHeight="1">
      <c r="A503" s="162" t="s">
        <v>1321</v>
      </c>
      <c r="B503" s="90"/>
      <c r="C503" s="147"/>
      <c r="D503" s="159"/>
      <c r="E503" s="36"/>
      <c r="F503" s="183"/>
      <c r="G503" s="496"/>
      <c r="H503" s="34"/>
      <c r="I503" s="11"/>
    </row>
    <row r="504" spans="1:9" ht="9" customHeight="1">
      <c r="A504" s="162" t="s">
        <v>1322</v>
      </c>
      <c r="B504" s="90"/>
      <c r="C504" s="147"/>
      <c r="D504" s="159"/>
      <c r="E504" s="36"/>
      <c r="F504" s="183"/>
      <c r="G504" s="496"/>
      <c r="H504" s="34"/>
      <c r="I504" s="11"/>
    </row>
    <row r="505" spans="1:9" ht="9" customHeight="1">
      <c r="A505" s="162" t="s">
        <v>1323</v>
      </c>
      <c r="B505" s="90"/>
      <c r="C505" s="147"/>
      <c r="D505" s="159"/>
      <c r="E505" s="36"/>
      <c r="F505" s="183"/>
      <c r="G505" s="496"/>
      <c r="H505" s="34"/>
      <c r="I505" s="11"/>
    </row>
    <row r="506" spans="1:9" ht="9" customHeight="1">
      <c r="A506" s="162" t="s">
        <v>1324</v>
      </c>
      <c r="B506" s="90"/>
      <c r="C506" s="147"/>
      <c r="D506" s="159"/>
      <c r="E506" s="36"/>
      <c r="F506" s="183"/>
      <c r="G506" s="496"/>
      <c r="H506" s="34"/>
      <c r="I506" s="11"/>
    </row>
    <row r="507" spans="1:9" ht="11.15" customHeight="1">
      <c r="A507" s="162" t="s">
        <v>1325</v>
      </c>
      <c r="B507" s="185"/>
      <c r="C507" s="147"/>
      <c r="D507" s="129"/>
      <c r="E507" s="185"/>
      <c r="F507" s="185"/>
      <c r="G507" s="185"/>
      <c r="H507" s="185"/>
      <c r="I507" s="11"/>
    </row>
    <row r="508" spans="1:9" ht="11.15" customHeight="1">
      <c r="A508" s="169" t="s">
        <v>1326</v>
      </c>
      <c r="B508" s="185"/>
      <c r="C508" s="147"/>
      <c r="D508" s="129"/>
      <c r="E508" s="185"/>
      <c r="F508" s="185"/>
      <c r="G508" s="185"/>
      <c r="H508" s="185"/>
      <c r="I508" s="11"/>
    </row>
    <row r="509" spans="1:9" ht="11.15" customHeight="1">
      <c r="A509" s="232" t="s">
        <v>1327</v>
      </c>
      <c r="B509" s="90"/>
      <c r="C509" s="147"/>
      <c r="D509" s="159"/>
      <c r="E509" s="36"/>
      <c r="F509" s="183"/>
      <c r="G509" s="496"/>
      <c r="H509" s="34"/>
      <c r="I509" s="11"/>
    </row>
    <row r="510" spans="1:9" ht="11.15" customHeight="1">
      <c r="A510" s="129" t="s">
        <v>1328</v>
      </c>
      <c r="B510" s="90"/>
      <c r="C510" s="147"/>
      <c r="D510" s="159"/>
      <c r="E510" s="36"/>
      <c r="F510" s="183"/>
      <c r="G510" s="496"/>
      <c r="H510" s="34"/>
      <c r="I510" s="11"/>
    </row>
    <row r="511" spans="1:9" ht="11.15" customHeight="1">
      <c r="A511" s="129" t="s">
        <v>1329</v>
      </c>
      <c r="B511" s="90"/>
      <c r="C511" s="147"/>
      <c r="D511" s="159"/>
      <c r="E511" s="36"/>
      <c r="F511" s="183"/>
      <c r="G511" s="496"/>
      <c r="H511" s="34"/>
      <c r="I511" s="11"/>
    </row>
    <row r="512" spans="1:9" ht="11.15" customHeight="1">
      <c r="A512" s="29" t="s">
        <v>1330</v>
      </c>
      <c r="B512" s="90"/>
      <c r="C512" s="147"/>
      <c r="D512" s="159"/>
      <c r="E512" s="36"/>
      <c r="F512" s="183"/>
      <c r="G512" s="496"/>
      <c r="H512" s="34"/>
      <c r="I512" s="11"/>
    </row>
    <row r="513" spans="1:12" ht="11.15" customHeight="1" thickBot="1">
      <c r="A513" s="29"/>
      <c r="B513" s="90"/>
      <c r="C513" s="147"/>
      <c r="D513" s="159"/>
      <c r="E513" s="36"/>
      <c r="F513" s="183"/>
      <c r="G513" s="496"/>
      <c r="H513" s="34"/>
      <c r="I513" s="11"/>
    </row>
    <row r="514" spans="1:12" ht="12" customHeight="1">
      <c r="A514" s="153" t="s">
        <v>1331</v>
      </c>
      <c r="B514" s="59" t="s">
        <v>20315</v>
      </c>
      <c r="C514" s="147" t="s">
        <v>20221</v>
      </c>
      <c r="D514" s="701" t="s">
        <v>884</v>
      </c>
      <c r="E514" s="178">
        <v>2003</v>
      </c>
      <c r="F514" s="178" t="s">
        <v>4520</v>
      </c>
      <c r="G514" s="496"/>
      <c r="H514" s="994" t="s">
        <v>20221</v>
      </c>
      <c r="I514" s="11" t="s">
        <v>1332</v>
      </c>
      <c r="J514" s="1285"/>
      <c r="K514" s="1285"/>
      <c r="L514" s="1285"/>
    </row>
    <row r="515" spans="1:12" ht="11.15" customHeight="1" thickBot="1">
      <c r="A515" s="230" t="s">
        <v>1333</v>
      </c>
      <c r="B515" s="90"/>
      <c r="C515" s="147"/>
      <c r="D515" s="159"/>
      <c r="E515" s="36"/>
      <c r="F515" s="183"/>
      <c r="G515" s="671"/>
      <c r="H515" s="34"/>
      <c r="I515" s="11"/>
    </row>
    <row r="516" spans="1:12" ht="11.15" customHeight="1">
      <c r="A516" s="29" t="s">
        <v>1334</v>
      </c>
      <c r="B516" s="29"/>
      <c r="C516" s="147"/>
      <c r="D516" s="29"/>
      <c r="E516" s="29"/>
      <c r="F516" s="29"/>
      <c r="G516" s="29"/>
      <c r="H516" s="29"/>
      <c r="I516" s="11"/>
    </row>
    <row r="517" spans="1:12" ht="11.15" customHeight="1">
      <c r="A517" s="181" t="s">
        <v>890</v>
      </c>
      <c r="B517" s="90"/>
      <c r="C517" s="147"/>
      <c r="D517" s="159"/>
      <c r="E517" s="36"/>
      <c r="F517" s="183"/>
      <c r="G517" s="671"/>
      <c r="H517" s="34"/>
      <c r="I517" s="11"/>
    </row>
    <row r="518" spans="1:12" ht="11.15" customHeight="1">
      <c r="A518" s="129" t="s">
        <v>1335</v>
      </c>
      <c r="B518" s="214"/>
      <c r="C518" s="147"/>
      <c r="D518" s="161"/>
      <c r="E518" s="36"/>
      <c r="F518" s="178"/>
      <c r="G518" s="496"/>
      <c r="H518" s="36"/>
      <c r="I518" s="11"/>
    </row>
    <row r="519" spans="1:12" ht="11.15" customHeight="1" thickBot="1">
      <c r="A519" s="29"/>
      <c r="B519" s="29"/>
      <c r="C519" s="147"/>
      <c r="D519" s="159"/>
      <c r="E519" s="29"/>
      <c r="F519" s="29"/>
      <c r="G519" s="29"/>
      <c r="H519" s="29"/>
      <c r="I519" s="11"/>
    </row>
    <row r="520" spans="1:12" ht="24" customHeight="1" thickBot="1">
      <c r="A520" s="142"/>
      <c r="B520" s="64" t="s">
        <v>1336</v>
      </c>
      <c r="C520" s="170"/>
      <c r="D520" s="143"/>
      <c r="E520" s="144"/>
      <c r="F520" s="1060"/>
      <c r="G520" s="1142"/>
      <c r="H520" s="516"/>
      <c r="I520" s="11"/>
    </row>
    <row r="521" spans="1:12" ht="11.15" customHeight="1" thickBot="1">
      <c r="A521" s="184" t="s">
        <v>1337</v>
      </c>
      <c r="B521" s="59" t="s">
        <v>20317</v>
      </c>
      <c r="C521" s="147" t="s">
        <v>20221</v>
      </c>
      <c r="D521" s="701" t="s">
        <v>884</v>
      </c>
      <c r="E521" s="178">
        <v>2009</v>
      </c>
      <c r="F521" s="178" t="s">
        <v>9658</v>
      </c>
      <c r="G521" s="496"/>
      <c r="H521" s="994" t="s">
        <v>20221</v>
      </c>
      <c r="I521" s="11" t="s">
        <v>1338</v>
      </c>
      <c r="J521" s="1285"/>
      <c r="K521" s="1285"/>
      <c r="L521" s="1285"/>
    </row>
    <row r="522" spans="1:12" ht="11.15" customHeight="1">
      <c r="A522" s="29" t="s">
        <v>1339</v>
      </c>
      <c r="B522" s="59" t="s">
        <v>20318</v>
      </c>
      <c r="C522" s="147" t="s">
        <v>20221</v>
      </c>
      <c r="D522" s="701" t="s">
        <v>884</v>
      </c>
      <c r="E522" s="178">
        <v>2009</v>
      </c>
      <c r="F522" s="178" t="s">
        <v>9678</v>
      </c>
      <c r="G522" s="496"/>
      <c r="H522" s="994" t="s">
        <v>20224</v>
      </c>
      <c r="I522" s="11" t="s">
        <v>1340</v>
      </c>
      <c r="J522" s="1285"/>
      <c r="K522" s="1285"/>
      <c r="L522" s="1285"/>
    </row>
    <row r="523" spans="1:12" ht="11.15" customHeight="1">
      <c r="A523" s="29" t="s">
        <v>1341</v>
      </c>
      <c r="B523" s="90"/>
      <c r="C523" s="147"/>
      <c r="D523" s="29"/>
      <c r="E523" s="172"/>
      <c r="F523" s="1062"/>
      <c r="G523" s="1189"/>
      <c r="H523" s="172"/>
      <c r="I523" s="11"/>
    </row>
    <row r="524" spans="1:12" ht="11.15" customHeight="1">
      <c r="A524" s="218" t="s">
        <v>1342</v>
      </c>
      <c r="B524" s="90"/>
      <c r="C524" s="147"/>
      <c r="D524" s="29"/>
      <c r="E524" s="172"/>
      <c r="F524" s="1062"/>
      <c r="G524" s="1189"/>
      <c r="H524" s="172"/>
      <c r="I524" s="11"/>
    </row>
    <row r="525" spans="1:12" ht="11.15" customHeight="1">
      <c r="A525" s="195" t="s">
        <v>1343</v>
      </c>
      <c r="B525" s="90"/>
      <c r="C525" s="147"/>
      <c r="D525" s="29"/>
      <c r="E525" s="172"/>
      <c r="F525" s="1062"/>
      <c r="G525" s="1189"/>
      <c r="H525" s="172"/>
      <c r="I525" s="11"/>
    </row>
    <row r="526" spans="1:12" ht="11.15" customHeight="1">
      <c r="A526" s="29" t="s">
        <v>1344</v>
      </c>
      <c r="B526" s="90"/>
      <c r="C526" s="147"/>
      <c r="D526" s="29"/>
      <c r="E526" s="172"/>
      <c r="F526" s="1062"/>
      <c r="G526" s="1189"/>
      <c r="H526" s="172"/>
      <c r="I526" s="11"/>
    </row>
    <row r="527" spans="1:12" ht="11.15" customHeight="1">
      <c r="A527" s="29" t="s">
        <v>1345</v>
      </c>
      <c r="B527" s="90"/>
      <c r="C527" s="147"/>
      <c r="D527" s="29"/>
      <c r="E527" s="172"/>
      <c r="F527" s="1062"/>
      <c r="G527" s="1189"/>
      <c r="H527" s="172"/>
      <c r="I527" s="11"/>
    </row>
    <row r="528" spans="1:12" ht="11.15" customHeight="1">
      <c r="A528" s="169" t="s">
        <v>1346</v>
      </c>
      <c r="B528" s="90"/>
      <c r="C528" s="147"/>
      <c r="D528" s="29"/>
      <c r="E528" s="172"/>
      <c r="F528" s="1062"/>
      <c r="G528" s="1189"/>
      <c r="H528" s="172"/>
      <c r="I528" s="11"/>
    </row>
    <row r="529" spans="1:12" ht="11.15" customHeight="1">
      <c r="A529" s="129" t="s">
        <v>1347</v>
      </c>
      <c r="B529" s="214"/>
      <c r="C529" s="147"/>
      <c r="D529" s="161"/>
      <c r="E529" s="36"/>
      <c r="F529" s="178"/>
      <c r="G529" s="496"/>
      <c r="H529" s="36"/>
      <c r="I529" s="11"/>
    </row>
    <row r="530" spans="1:12" ht="11.15" customHeight="1" thickBot="1">
      <c r="A530" s="29"/>
      <c r="B530" s="90"/>
      <c r="C530" s="147"/>
      <c r="D530" s="159"/>
      <c r="E530" s="36"/>
      <c r="F530" s="178"/>
      <c r="G530" s="60"/>
      <c r="H530" s="36"/>
      <c r="I530" s="11"/>
    </row>
    <row r="531" spans="1:12" ht="24" customHeight="1" thickBot="1">
      <c r="A531" s="234"/>
      <c r="B531" s="235" t="s">
        <v>1348</v>
      </c>
      <c r="C531" s="170"/>
      <c r="D531" s="139"/>
      <c r="E531" s="235"/>
      <c r="F531" s="383"/>
      <c r="G531" s="1142"/>
      <c r="H531" s="516"/>
      <c r="I531" s="11"/>
    </row>
    <row r="532" spans="1:12" ht="9" customHeight="1">
      <c r="A532" s="86"/>
      <c r="B532" s="152" t="s">
        <v>1349</v>
      </c>
      <c r="C532" s="147"/>
      <c r="D532" s="87"/>
      <c r="E532" s="36"/>
      <c r="F532" s="178"/>
      <c r="G532" s="60"/>
      <c r="H532" s="36"/>
      <c r="I532" s="11"/>
    </row>
    <row r="533" spans="1:12" ht="9" customHeight="1" thickBot="1">
      <c r="A533" s="86"/>
      <c r="B533" s="152" t="s">
        <v>1350</v>
      </c>
      <c r="C533" s="147"/>
      <c r="D533" s="87"/>
      <c r="E533" s="36"/>
      <c r="F533" s="178"/>
      <c r="G533" s="60"/>
      <c r="H533" s="36"/>
      <c r="I533" s="11"/>
    </row>
    <row r="534" spans="1:12" ht="11.15" customHeight="1">
      <c r="A534" s="153" t="s">
        <v>1351</v>
      </c>
      <c r="B534" s="237" t="s">
        <v>1352</v>
      </c>
      <c r="C534" s="147"/>
      <c r="D534" s="87"/>
      <c r="E534" s="36"/>
      <c r="F534" s="178"/>
      <c r="G534" s="60"/>
      <c r="H534" s="36"/>
      <c r="I534" s="11"/>
    </row>
    <row r="535" spans="1:12" ht="11.15" customHeight="1" thickBot="1">
      <c r="A535" s="230" t="s">
        <v>1353</v>
      </c>
      <c r="B535" s="59" t="s">
        <v>20320</v>
      </c>
      <c r="C535" s="147" t="s">
        <v>20221</v>
      </c>
      <c r="D535" s="701" t="s">
        <v>1129</v>
      </c>
      <c r="E535" s="178">
        <v>2017</v>
      </c>
      <c r="F535" s="178" t="s">
        <v>4520</v>
      </c>
      <c r="G535" s="496"/>
      <c r="H535" s="994" t="s">
        <v>20221</v>
      </c>
      <c r="I535" s="11" t="s">
        <v>1354</v>
      </c>
      <c r="J535" s="1285"/>
      <c r="K535" s="1285"/>
      <c r="L535" s="1285"/>
    </row>
    <row r="536" spans="1:12" ht="11.15" customHeight="1">
      <c r="A536" s="86" t="s">
        <v>1355</v>
      </c>
      <c r="B536" s="59" t="s">
        <v>20321</v>
      </c>
      <c r="C536" s="147" t="s">
        <v>23393</v>
      </c>
      <c r="D536" s="701" t="s">
        <v>1129</v>
      </c>
      <c r="E536" s="178" t="s">
        <v>20221</v>
      </c>
      <c r="F536" s="178" t="s">
        <v>4520</v>
      </c>
      <c r="G536" s="496" t="s">
        <v>20221</v>
      </c>
      <c r="H536" s="994" t="s">
        <v>3907</v>
      </c>
      <c r="I536" s="11" t="s">
        <v>1356</v>
      </c>
      <c r="J536" s="1285"/>
      <c r="K536" s="1285"/>
      <c r="L536" s="1285"/>
    </row>
    <row r="537" spans="1:12" ht="11.15" customHeight="1">
      <c r="A537" s="86" t="s">
        <v>1357</v>
      </c>
      <c r="B537" s="59" t="s">
        <v>20322</v>
      </c>
      <c r="C537" s="147" t="s">
        <v>23393</v>
      </c>
      <c r="D537" s="701" t="s">
        <v>1129</v>
      </c>
      <c r="E537" s="178">
        <v>2023</v>
      </c>
      <c r="F537" s="178" t="s">
        <v>4520</v>
      </c>
      <c r="G537" s="496"/>
      <c r="H537" s="994" t="s">
        <v>20221</v>
      </c>
      <c r="I537" s="11" t="s">
        <v>1358</v>
      </c>
      <c r="J537" s="1285"/>
      <c r="K537" s="1285"/>
      <c r="L537" s="1285"/>
    </row>
    <row r="538" spans="1:12" ht="11.15" customHeight="1">
      <c r="A538" s="29" t="s">
        <v>1359</v>
      </c>
      <c r="B538" s="59" t="s">
        <v>20323</v>
      </c>
      <c r="C538" s="147" t="s">
        <v>23393</v>
      </c>
      <c r="D538" s="701" t="s">
        <v>1129</v>
      </c>
      <c r="E538" s="178">
        <v>2018</v>
      </c>
      <c r="F538" s="178" t="s">
        <v>4520</v>
      </c>
      <c r="G538" s="496"/>
      <c r="H538" s="994" t="s">
        <v>20221</v>
      </c>
      <c r="I538" s="11" t="s">
        <v>1360</v>
      </c>
      <c r="J538" s="1285"/>
      <c r="K538" s="1285"/>
      <c r="L538" s="1285"/>
    </row>
    <row r="539" spans="1:12" ht="11.15" customHeight="1">
      <c r="A539" s="29" t="s">
        <v>1361</v>
      </c>
      <c r="B539" s="59" t="s">
        <v>20324</v>
      </c>
      <c r="C539" s="147" t="s">
        <v>23393</v>
      </c>
      <c r="D539" s="701" t="s">
        <v>1129</v>
      </c>
      <c r="E539" s="178">
        <v>2019</v>
      </c>
      <c r="F539" s="178" t="s">
        <v>4520</v>
      </c>
      <c r="G539" s="496"/>
      <c r="H539" s="994" t="s">
        <v>20221</v>
      </c>
      <c r="I539" s="11" t="s">
        <v>1362</v>
      </c>
      <c r="J539" s="1285"/>
      <c r="K539" s="1285"/>
      <c r="L539" s="1285"/>
    </row>
    <row r="540" spans="1:12" ht="11.15" customHeight="1">
      <c r="A540" s="29" t="s">
        <v>1363</v>
      </c>
      <c r="B540" s="59" t="s">
        <v>20326</v>
      </c>
      <c r="C540" s="147" t="s">
        <v>20221</v>
      </c>
      <c r="D540" s="701" t="s">
        <v>1129</v>
      </c>
      <c r="E540" s="178">
        <v>2015</v>
      </c>
      <c r="F540" s="178" t="s">
        <v>4520</v>
      </c>
      <c r="G540" s="496"/>
      <c r="H540" s="994" t="s">
        <v>20221</v>
      </c>
      <c r="I540" s="11" t="s">
        <v>1364</v>
      </c>
      <c r="J540" s="1285"/>
      <c r="K540" s="1285"/>
      <c r="L540" s="1285"/>
    </row>
    <row r="541" spans="1:12" ht="11.15" customHeight="1">
      <c r="A541" s="181" t="s">
        <v>1365</v>
      </c>
      <c r="B541" s="59" t="s">
        <v>20325</v>
      </c>
      <c r="C541" s="147" t="s">
        <v>20221</v>
      </c>
      <c r="D541" s="701" t="s">
        <v>1129</v>
      </c>
      <c r="E541" s="178">
        <v>2019</v>
      </c>
      <c r="F541" s="178" t="s">
        <v>4520</v>
      </c>
      <c r="G541" s="496"/>
      <c r="H541" s="994" t="s">
        <v>20221</v>
      </c>
      <c r="I541" s="11" t="s">
        <v>1366</v>
      </c>
      <c r="J541" s="1285"/>
      <c r="K541" s="1285"/>
      <c r="L541" s="1285"/>
    </row>
    <row r="542" spans="1:12" ht="11.15" customHeight="1">
      <c r="A542" s="181" t="s">
        <v>1367</v>
      </c>
      <c r="B542" s="237" t="s">
        <v>1368</v>
      </c>
      <c r="C542" s="147"/>
      <c r="D542" s="87"/>
      <c r="E542" s="36"/>
      <c r="F542" s="178"/>
      <c r="G542" s="60"/>
      <c r="H542" s="36"/>
      <c r="I542" s="11"/>
    </row>
    <row r="543" spans="1:12" ht="11.15" customHeight="1">
      <c r="A543" s="181" t="s">
        <v>1369</v>
      </c>
      <c r="B543" s="59" t="s">
        <v>20327</v>
      </c>
      <c r="C543" s="147" t="s">
        <v>23393</v>
      </c>
      <c r="D543" s="1035" t="s">
        <v>1370</v>
      </c>
      <c r="E543" s="178">
        <v>2019</v>
      </c>
      <c r="F543" s="178" t="s">
        <v>4520</v>
      </c>
      <c r="G543" s="496"/>
      <c r="H543" s="994" t="s">
        <v>20221</v>
      </c>
      <c r="I543" s="11" t="s">
        <v>1371</v>
      </c>
      <c r="J543" s="1285"/>
      <c r="K543" s="1285"/>
      <c r="L543" s="1285"/>
    </row>
    <row r="544" spans="1:12" ht="11.15" customHeight="1">
      <c r="A544" s="239" t="s">
        <v>1372</v>
      </c>
      <c r="B544" s="238" t="s">
        <v>1373</v>
      </c>
      <c r="C544" s="147"/>
      <c r="D544" s="159"/>
      <c r="E544" s="36"/>
      <c r="F544" s="178"/>
      <c r="G544" s="671"/>
      <c r="H544" s="36"/>
      <c r="I544" s="11"/>
    </row>
    <row r="545" spans="1:12" ht="11.15" customHeight="1">
      <c r="A545" s="162" t="s">
        <v>1374</v>
      </c>
      <c r="B545" s="59" t="s">
        <v>20328</v>
      </c>
      <c r="C545" s="147" t="s">
        <v>23393</v>
      </c>
      <c r="D545" s="701" t="s">
        <v>1129</v>
      </c>
      <c r="E545" s="178">
        <v>2016</v>
      </c>
      <c r="F545" s="178" t="s">
        <v>4520</v>
      </c>
      <c r="G545" s="496"/>
      <c r="H545" s="994" t="s">
        <v>20221</v>
      </c>
      <c r="I545" s="11" t="s">
        <v>1375</v>
      </c>
      <c r="J545" s="1285"/>
      <c r="K545" s="1285"/>
      <c r="L545" s="1285"/>
    </row>
    <row r="546" spans="1:12" ht="11.15" customHeight="1">
      <c r="A546" s="162" t="s">
        <v>1376</v>
      </c>
      <c r="B546" s="59" t="s">
        <v>20329</v>
      </c>
      <c r="C546" s="147" t="s">
        <v>23393</v>
      </c>
      <c r="D546" s="701" t="s">
        <v>1129</v>
      </c>
      <c r="E546" s="178">
        <v>2016</v>
      </c>
      <c r="F546" s="178" t="s">
        <v>4520</v>
      </c>
      <c r="G546" s="496"/>
      <c r="H546" s="994" t="s">
        <v>20221</v>
      </c>
      <c r="I546" s="11" t="s">
        <v>1377</v>
      </c>
      <c r="J546" s="1285"/>
      <c r="K546" s="1285"/>
      <c r="L546" s="1285"/>
    </row>
    <row r="547" spans="1:12" ht="11.15" customHeight="1">
      <c r="A547" s="129" t="s">
        <v>903</v>
      </c>
      <c r="B547" s="59" t="s">
        <v>20330</v>
      </c>
      <c r="C547" s="147" t="s">
        <v>23393</v>
      </c>
      <c r="D547" s="701" t="s">
        <v>1129</v>
      </c>
      <c r="E547" s="178">
        <v>2019</v>
      </c>
      <c r="F547" s="178" t="s">
        <v>4520</v>
      </c>
      <c r="G547" s="496"/>
      <c r="H547" s="994" t="s">
        <v>20221</v>
      </c>
      <c r="I547" s="11" t="s">
        <v>1378</v>
      </c>
      <c r="J547" s="1285"/>
      <c r="K547" s="1285"/>
      <c r="L547" s="1285"/>
    </row>
    <row r="548" spans="1:12" ht="11.15" customHeight="1">
      <c r="A548" s="162" t="s">
        <v>1379</v>
      </c>
      <c r="B548" s="59" t="s">
        <v>20330</v>
      </c>
      <c r="C548" s="147" t="s">
        <v>20221</v>
      </c>
      <c r="D548" s="701" t="s">
        <v>1129</v>
      </c>
      <c r="E548" s="178">
        <v>2015</v>
      </c>
      <c r="F548" s="178" t="s">
        <v>4520</v>
      </c>
      <c r="G548" s="496"/>
      <c r="H548" s="994" t="s">
        <v>20277</v>
      </c>
      <c r="I548" s="11" t="s">
        <v>1380</v>
      </c>
      <c r="J548" s="1285"/>
      <c r="K548" s="1285"/>
      <c r="L548" s="1285"/>
    </row>
    <row r="549" spans="1:12" ht="11.15" customHeight="1">
      <c r="A549" s="162" t="s">
        <v>1381</v>
      </c>
      <c r="B549" s="59" t="s">
        <v>20331</v>
      </c>
      <c r="C549" s="147" t="s">
        <v>23393</v>
      </c>
      <c r="D549" s="701" t="s">
        <v>1129</v>
      </c>
      <c r="E549" s="178">
        <v>2016</v>
      </c>
      <c r="F549" s="178" t="s">
        <v>9678</v>
      </c>
      <c r="G549" s="496"/>
      <c r="H549" s="994" t="s">
        <v>20224</v>
      </c>
      <c r="I549" s="11" t="s">
        <v>1382</v>
      </c>
      <c r="J549" s="1285"/>
      <c r="K549" s="1285"/>
      <c r="L549" s="1285"/>
    </row>
    <row r="550" spans="1:12" ht="11.15" customHeight="1">
      <c r="A550" s="162" t="s">
        <v>1383</v>
      </c>
      <c r="B550" s="59" t="s">
        <v>20331</v>
      </c>
      <c r="C550" s="147" t="s">
        <v>20221</v>
      </c>
      <c r="D550" s="701" t="s">
        <v>1129</v>
      </c>
      <c r="E550" s="178">
        <v>2015</v>
      </c>
      <c r="F550" s="178" t="s">
        <v>9678</v>
      </c>
      <c r="G550" s="496"/>
      <c r="H550" s="994" t="s">
        <v>20224</v>
      </c>
      <c r="I550" s="11" t="s">
        <v>1384</v>
      </c>
      <c r="J550" s="1285"/>
      <c r="K550" s="1285"/>
      <c r="L550" s="1285"/>
    </row>
    <row r="551" spans="1:12" ht="11.15" customHeight="1">
      <c r="A551" s="162" t="s">
        <v>1385</v>
      </c>
      <c r="B551" s="59" t="s">
        <v>20331</v>
      </c>
      <c r="C551" s="147" t="s">
        <v>20221</v>
      </c>
      <c r="D551" s="701" t="s">
        <v>1129</v>
      </c>
      <c r="E551" s="178">
        <v>2014</v>
      </c>
      <c r="F551" s="178" t="s">
        <v>11931</v>
      </c>
      <c r="G551" s="496"/>
      <c r="H551" s="994" t="s">
        <v>20224</v>
      </c>
      <c r="I551" s="11" t="s">
        <v>1386</v>
      </c>
      <c r="J551" s="1285"/>
      <c r="K551" s="1285"/>
      <c r="L551" s="1285"/>
    </row>
    <row r="552" spans="1:12" ht="11.15" customHeight="1">
      <c r="A552" s="162" t="s">
        <v>1387</v>
      </c>
      <c r="B552" s="59" t="s">
        <v>20332</v>
      </c>
      <c r="C552" s="147" t="s">
        <v>20221</v>
      </c>
      <c r="D552" s="701" t="s">
        <v>1129</v>
      </c>
      <c r="E552" s="178">
        <v>2017</v>
      </c>
      <c r="F552" s="178" t="s">
        <v>4520</v>
      </c>
      <c r="G552" s="496"/>
      <c r="H552" s="994" t="s">
        <v>20221</v>
      </c>
      <c r="I552" s="11" t="s">
        <v>1388</v>
      </c>
      <c r="J552" s="1285"/>
      <c r="K552" s="1285"/>
      <c r="L552" s="1285"/>
    </row>
    <row r="553" spans="1:12" ht="11.15" customHeight="1">
      <c r="A553" s="162" t="s">
        <v>1389</v>
      </c>
      <c r="B553" s="59" t="s">
        <v>20333</v>
      </c>
      <c r="C553" s="147" t="s">
        <v>20221</v>
      </c>
      <c r="D553" s="701" t="s">
        <v>1129</v>
      </c>
      <c r="E553" s="178">
        <v>2015</v>
      </c>
      <c r="F553" s="178" t="s">
        <v>4520</v>
      </c>
      <c r="G553" s="496"/>
      <c r="H553" s="994" t="s">
        <v>20221</v>
      </c>
      <c r="I553" s="11" t="s">
        <v>1390</v>
      </c>
      <c r="J553" s="1285"/>
      <c r="K553" s="1285"/>
      <c r="L553" s="1285"/>
    </row>
    <row r="554" spans="1:12" ht="11.15" customHeight="1">
      <c r="A554" s="162" t="s">
        <v>1391</v>
      </c>
      <c r="B554" s="59" t="s">
        <v>20334</v>
      </c>
      <c r="C554" s="147" t="s">
        <v>23393</v>
      </c>
      <c r="D554" s="701" t="s">
        <v>1129</v>
      </c>
      <c r="E554" s="178">
        <v>2016</v>
      </c>
      <c r="F554" s="178" t="s">
        <v>4520</v>
      </c>
      <c r="G554" s="496"/>
      <c r="H554" s="994" t="s">
        <v>20221</v>
      </c>
      <c r="I554" s="11" t="s">
        <v>1392</v>
      </c>
      <c r="J554" s="1285"/>
      <c r="K554" s="1285"/>
      <c r="L554" s="1285"/>
    </row>
    <row r="555" spans="1:12" ht="11.15" customHeight="1">
      <c r="A555" s="162" t="s">
        <v>1393</v>
      </c>
      <c r="B555" s="59" t="s">
        <v>20335</v>
      </c>
      <c r="C555" s="147" t="s">
        <v>23393</v>
      </c>
      <c r="D555" s="701" t="s">
        <v>1129</v>
      </c>
      <c r="E555" s="178">
        <v>2018</v>
      </c>
      <c r="F555" s="178" t="s">
        <v>4520</v>
      </c>
      <c r="G555" s="496"/>
      <c r="H555" s="994" t="s">
        <v>20221</v>
      </c>
      <c r="I555" s="11" t="s">
        <v>1394</v>
      </c>
      <c r="J555" s="1285"/>
      <c r="K555" s="1285"/>
      <c r="L555" s="1285"/>
    </row>
    <row r="556" spans="1:12" ht="11.15" customHeight="1">
      <c r="A556" s="162" t="s">
        <v>1395</v>
      </c>
      <c r="B556" s="59" t="s">
        <v>20335</v>
      </c>
      <c r="C556" s="147" t="s">
        <v>23393</v>
      </c>
      <c r="D556" s="701" t="s">
        <v>1129</v>
      </c>
      <c r="E556" s="178">
        <v>2016</v>
      </c>
      <c r="F556" s="178" t="s">
        <v>4520</v>
      </c>
      <c r="G556" s="496"/>
      <c r="H556" s="994" t="s">
        <v>20221</v>
      </c>
      <c r="I556" s="11" t="s">
        <v>1396</v>
      </c>
      <c r="J556" s="1285"/>
      <c r="K556" s="1285"/>
      <c r="L556" s="1285"/>
    </row>
    <row r="557" spans="1:12" ht="11.15" customHeight="1">
      <c r="A557" s="162" t="s">
        <v>1397</v>
      </c>
      <c r="B557" s="240" t="s">
        <v>1398</v>
      </c>
      <c r="C557" s="147"/>
      <c r="D557" s="239"/>
      <c r="E557" s="86"/>
      <c r="F557" s="86"/>
      <c r="G557" s="496"/>
      <c r="H557" s="86"/>
      <c r="I557" s="11"/>
    </row>
    <row r="558" spans="1:12" ht="11.15" customHeight="1">
      <c r="A558" s="162" t="s">
        <v>1399</v>
      </c>
      <c r="B558" s="59" t="s">
        <v>20336</v>
      </c>
      <c r="C558" s="147" t="s">
        <v>23393</v>
      </c>
      <c r="D558" s="284" t="s">
        <v>897</v>
      </c>
      <c r="E558" s="178">
        <v>2016</v>
      </c>
      <c r="F558" s="178" t="s">
        <v>4520</v>
      </c>
      <c r="G558" s="496"/>
      <c r="H558" s="994" t="s">
        <v>20221</v>
      </c>
      <c r="I558" s="11" t="s">
        <v>1400</v>
      </c>
      <c r="J558" s="1285"/>
      <c r="K558" s="1285"/>
      <c r="L558" s="1285"/>
    </row>
    <row r="559" spans="1:12" ht="11.15" customHeight="1">
      <c r="A559" s="129" t="s">
        <v>1401</v>
      </c>
      <c r="B559" s="59" t="s">
        <v>20337</v>
      </c>
      <c r="C559" s="147" t="s">
        <v>23393</v>
      </c>
      <c r="D559" s="284" t="s">
        <v>897</v>
      </c>
      <c r="E559" s="178">
        <v>2019</v>
      </c>
      <c r="F559" s="178" t="s">
        <v>4520</v>
      </c>
      <c r="G559" s="496"/>
      <c r="H559" s="994" t="s">
        <v>20221</v>
      </c>
      <c r="I559" s="11" t="s">
        <v>1402</v>
      </c>
      <c r="J559" s="1285"/>
      <c r="K559" s="1285"/>
      <c r="L559" s="1285"/>
    </row>
    <row r="560" spans="1:12" ht="11.15" customHeight="1">
      <c r="A560" s="162" t="s">
        <v>1403</v>
      </c>
      <c r="B560" s="59" t="s">
        <v>20337</v>
      </c>
      <c r="C560" s="147" t="s">
        <v>23393</v>
      </c>
      <c r="D560" s="284" t="s">
        <v>897</v>
      </c>
      <c r="E560" s="178">
        <v>2016</v>
      </c>
      <c r="F560" s="178" t="s">
        <v>4520</v>
      </c>
      <c r="G560" s="496"/>
      <c r="H560" s="994" t="s">
        <v>20277</v>
      </c>
      <c r="I560" s="11" t="s">
        <v>1404</v>
      </c>
      <c r="J560" s="1285"/>
      <c r="K560" s="1285"/>
      <c r="L560" s="1285"/>
    </row>
    <row r="561" spans="1:12" ht="11.15" customHeight="1">
      <c r="A561" s="162" t="s">
        <v>1405</v>
      </c>
      <c r="B561" s="59" t="s">
        <v>20338</v>
      </c>
      <c r="C561" s="147" t="s">
        <v>20221</v>
      </c>
      <c r="D561" s="284" t="s">
        <v>897</v>
      </c>
      <c r="E561" s="178">
        <v>2015</v>
      </c>
      <c r="F561" s="178" t="s">
        <v>4520</v>
      </c>
      <c r="G561" s="496"/>
      <c r="H561" s="994" t="s">
        <v>20277</v>
      </c>
      <c r="I561" s="11" t="s">
        <v>1406</v>
      </c>
      <c r="J561" s="1285"/>
      <c r="K561" s="1285"/>
      <c r="L561" s="1285"/>
    </row>
    <row r="562" spans="1:12" ht="11.15" customHeight="1">
      <c r="A562" s="199" t="s">
        <v>1407</v>
      </c>
      <c r="B562" s="240" t="s">
        <v>1408</v>
      </c>
      <c r="C562" s="147"/>
      <c r="D562" s="239"/>
      <c r="E562" s="86"/>
      <c r="F562" s="86"/>
      <c r="G562" s="86"/>
      <c r="H562" s="86"/>
      <c r="I562" s="11"/>
    </row>
    <row r="563" spans="1:12" ht="11.15" customHeight="1">
      <c r="A563" s="199" t="s">
        <v>1409</v>
      </c>
      <c r="B563" s="59" t="s">
        <v>20339</v>
      </c>
      <c r="C563" s="147" t="s">
        <v>20221</v>
      </c>
      <c r="D563" s="739" t="s">
        <v>1410</v>
      </c>
      <c r="E563" s="178">
        <v>2011</v>
      </c>
      <c r="F563" s="178" t="s">
        <v>4520</v>
      </c>
      <c r="G563" s="496"/>
      <c r="H563" s="994" t="s">
        <v>20224</v>
      </c>
      <c r="I563" s="11" t="s">
        <v>1411</v>
      </c>
      <c r="J563" s="1285"/>
      <c r="K563" s="1285"/>
      <c r="L563" s="1285"/>
    </row>
    <row r="564" spans="1:12" ht="11.15" customHeight="1">
      <c r="A564" s="166" t="s">
        <v>1412</v>
      </c>
      <c r="B564" s="59" t="s">
        <v>20340</v>
      </c>
      <c r="C564" s="147" t="s">
        <v>23393</v>
      </c>
      <c r="D564" s="739" t="s">
        <v>1410</v>
      </c>
      <c r="E564" s="178">
        <v>2018</v>
      </c>
      <c r="F564" s="178" t="s">
        <v>23398</v>
      </c>
      <c r="G564" s="496"/>
      <c r="H564" s="994" t="s">
        <v>20221</v>
      </c>
      <c r="I564" s="11" t="s">
        <v>1413</v>
      </c>
      <c r="J564" s="1285"/>
      <c r="K564" s="1285"/>
      <c r="L564" s="1285"/>
    </row>
    <row r="565" spans="1:12" ht="11.15" customHeight="1">
      <c r="A565" s="169" t="s">
        <v>1414</v>
      </c>
      <c r="B565" s="185"/>
      <c r="C565" s="147"/>
      <c r="D565" s="185"/>
      <c r="E565" s="185"/>
      <c r="F565" s="185"/>
      <c r="G565" s="185"/>
      <c r="H565" s="185"/>
      <c r="I565" s="11"/>
    </row>
    <row r="566" spans="1:12" ht="11.15" customHeight="1">
      <c r="A566" s="169" t="s">
        <v>1415</v>
      </c>
      <c r="B566" s="185"/>
      <c r="C566" s="147"/>
      <c r="D566" s="185"/>
      <c r="E566" s="185"/>
      <c r="F566" s="185"/>
      <c r="G566" s="185"/>
      <c r="H566" s="185"/>
      <c r="I566" s="11"/>
    </row>
    <row r="567" spans="1:12" ht="11.15" customHeight="1">
      <c r="A567" s="129" t="s">
        <v>1416</v>
      </c>
      <c r="B567" s="86"/>
      <c r="C567" s="147"/>
      <c r="D567" s="86"/>
      <c r="E567" s="86"/>
      <c r="F567" s="86"/>
      <c r="G567" s="86"/>
      <c r="H567" s="86"/>
      <c r="I567" s="11"/>
    </row>
    <row r="568" spans="1:12" ht="11.15" customHeight="1">
      <c r="A568" s="129" t="s">
        <v>1417</v>
      </c>
      <c r="B568" s="86"/>
      <c r="C568" s="147"/>
      <c r="D568" s="86"/>
      <c r="E568" s="86"/>
      <c r="F568" s="86"/>
      <c r="G568" s="86"/>
      <c r="H568" s="86"/>
      <c r="I568" s="11"/>
    </row>
    <row r="569" spans="1:12" ht="11.15" customHeight="1">
      <c r="A569" s="129" t="s">
        <v>1418</v>
      </c>
      <c r="B569" s="86"/>
      <c r="C569" s="147"/>
      <c r="D569" s="86"/>
      <c r="E569" s="86"/>
      <c r="F569" s="86"/>
      <c r="G569" s="86"/>
      <c r="H569" s="86"/>
      <c r="I569" s="11"/>
    </row>
    <row r="570" spans="1:12" ht="11.15" customHeight="1">
      <c r="A570" s="129" t="s">
        <v>1419</v>
      </c>
      <c r="B570" s="86"/>
      <c r="C570" s="147"/>
      <c r="D570" s="86"/>
      <c r="E570" s="86"/>
      <c r="F570" s="86"/>
      <c r="G570" s="86"/>
      <c r="H570" s="86"/>
      <c r="I570" s="11"/>
    </row>
    <row r="571" spans="1:12" ht="11.15" customHeight="1" thickBot="1">
      <c r="A571" s="242"/>
      <c r="B571" s="86"/>
      <c r="C571" s="147"/>
      <c r="D571" s="86"/>
      <c r="E571" s="86"/>
      <c r="F571" s="86"/>
      <c r="G571" s="86"/>
      <c r="H571" s="86"/>
      <c r="I571" s="11"/>
    </row>
    <row r="572" spans="1:12" ht="24" customHeight="1" thickBot="1">
      <c r="A572" s="243"/>
      <c r="B572" s="244" t="s">
        <v>1420</v>
      </c>
      <c r="C572" s="170"/>
      <c r="D572" s="139"/>
      <c r="E572" s="235"/>
      <c r="F572" s="383"/>
      <c r="G572" s="1142"/>
      <c r="H572" s="516"/>
      <c r="I572" s="11"/>
    </row>
    <row r="573" spans="1:12" ht="276.75" customHeight="1" thickBot="1">
      <c r="A573" s="245"/>
      <c r="B573" s="245"/>
      <c r="C573" s="245"/>
      <c r="D573" s="245"/>
      <c r="E573" s="245"/>
      <c r="F573" s="1063"/>
      <c r="G573" s="1063"/>
      <c r="H573" s="245"/>
      <c r="I573" s="11"/>
    </row>
    <row r="574" spans="1:12" ht="24" customHeight="1" thickBot="1">
      <c r="A574" s="246"/>
      <c r="B574" s="247" t="s">
        <v>1421</v>
      </c>
      <c r="C574" s="248"/>
      <c r="D574" s="249"/>
      <c r="E574" s="250"/>
      <c r="F574" s="1064"/>
      <c r="G574" s="1192"/>
      <c r="H574" s="1150"/>
      <c r="I574" s="11"/>
    </row>
    <row r="575" spans="1:12" ht="208" customHeight="1">
      <c r="A575" s="1055"/>
      <c r="B575" s="1056"/>
      <c r="C575" s="1056"/>
      <c r="D575" s="1056"/>
      <c r="E575" s="1056"/>
      <c r="F575" s="1065"/>
      <c r="G575" s="1065"/>
      <c r="H575" s="1057"/>
      <c r="I575" s="11"/>
    </row>
    <row r="576" spans="1:12" ht="11.15" customHeight="1">
      <c r="A576" s="251" t="s">
        <v>1422</v>
      </c>
      <c r="B576" s="1289" t="s">
        <v>20464</v>
      </c>
      <c r="C576" s="252" t="s">
        <v>20221</v>
      </c>
      <c r="D576" s="1290" t="s">
        <v>1129</v>
      </c>
      <c r="E576" s="1041">
        <v>2018</v>
      </c>
      <c r="F576" s="1041" t="s">
        <v>4520</v>
      </c>
      <c r="G576" s="1193"/>
      <c r="H576" s="1291" t="s">
        <v>20465</v>
      </c>
      <c r="I576" s="11" t="s">
        <v>1423</v>
      </c>
      <c r="J576" s="1285"/>
      <c r="K576" s="1285"/>
      <c r="L576" s="1285"/>
    </row>
    <row r="577" spans="1:12" ht="11.15" customHeight="1">
      <c r="A577" s="251" t="s">
        <v>1424</v>
      </c>
      <c r="B577" s="1289" t="s">
        <v>20461</v>
      </c>
      <c r="C577" s="252" t="s">
        <v>23393</v>
      </c>
      <c r="D577" s="1290" t="s">
        <v>1129</v>
      </c>
      <c r="E577" s="1041">
        <v>2018</v>
      </c>
      <c r="F577" s="1041" t="s">
        <v>23395</v>
      </c>
      <c r="G577" s="1193"/>
      <c r="H577" s="1157" t="s">
        <v>20221</v>
      </c>
      <c r="I577" s="11" t="s">
        <v>1425</v>
      </c>
      <c r="J577" s="1285"/>
      <c r="K577" s="1285"/>
      <c r="L577" s="1285"/>
    </row>
    <row r="578" spans="1:12" ht="11.15" customHeight="1">
      <c r="A578" s="251" t="s">
        <v>1426</v>
      </c>
      <c r="B578" s="1289" t="s">
        <v>20450</v>
      </c>
      <c r="C578" s="252" t="s">
        <v>23393</v>
      </c>
      <c r="D578" s="1290" t="s">
        <v>1129</v>
      </c>
      <c r="E578" s="1041">
        <v>2019</v>
      </c>
      <c r="F578" s="1041" t="s">
        <v>4520</v>
      </c>
      <c r="G578" s="1193"/>
      <c r="H578" s="1157" t="s">
        <v>20221</v>
      </c>
      <c r="I578" s="11" t="s">
        <v>1427</v>
      </c>
      <c r="J578" s="1285"/>
      <c r="K578" s="1285"/>
      <c r="L578" s="1285"/>
    </row>
    <row r="579" spans="1:12" ht="11.15" customHeight="1">
      <c r="A579" s="251" t="s">
        <v>1428</v>
      </c>
      <c r="B579" s="1289" t="s">
        <v>20488</v>
      </c>
      <c r="C579" s="252" t="s">
        <v>20221</v>
      </c>
      <c r="D579" s="1290" t="s">
        <v>1129</v>
      </c>
      <c r="E579" s="1041">
        <v>2018</v>
      </c>
      <c r="F579" s="1041" t="s">
        <v>4520</v>
      </c>
      <c r="G579" s="1193"/>
      <c r="H579" s="1157" t="s">
        <v>20221</v>
      </c>
      <c r="I579" s="11" t="s">
        <v>1429</v>
      </c>
      <c r="J579" s="1285"/>
      <c r="K579" s="1285"/>
      <c r="L579" s="1285"/>
    </row>
    <row r="580" spans="1:12" ht="11.15" customHeight="1">
      <c r="A580" s="251" t="s">
        <v>1430</v>
      </c>
      <c r="B580" s="1289" t="s">
        <v>20615</v>
      </c>
      <c r="C580" s="252" t="s">
        <v>23393</v>
      </c>
      <c r="D580" s="1290" t="s">
        <v>1129</v>
      </c>
      <c r="E580" s="1041">
        <v>2020</v>
      </c>
      <c r="F580" s="1041" t="s">
        <v>4520</v>
      </c>
      <c r="G580" s="1193"/>
      <c r="H580" s="1157" t="s">
        <v>20221</v>
      </c>
      <c r="I580" s="11" t="s">
        <v>1431</v>
      </c>
      <c r="J580" s="1285"/>
      <c r="K580" s="1285"/>
      <c r="L580" s="1285"/>
    </row>
    <row r="581" spans="1:12" ht="11.15" customHeight="1">
      <c r="A581" s="251" t="s">
        <v>1432</v>
      </c>
      <c r="B581" s="1289" t="s">
        <v>20482</v>
      </c>
      <c r="C581" s="252" t="s">
        <v>20221</v>
      </c>
      <c r="D581" s="1290" t="s">
        <v>1129</v>
      </c>
      <c r="E581" s="1041">
        <v>2019</v>
      </c>
      <c r="F581" s="1041" t="s">
        <v>23395</v>
      </c>
      <c r="G581" s="1193"/>
      <c r="H581" s="1157" t="s">
        <v>20221</v>
      </c>
      <c r="I581" s="11" t="s">
        <v>1433</v>
      </c>
      <c r="J581" s="1285"/>
      <c r="K581" s="1285"/>
      <c r="L581" s="1285"/>
    </row>
    <row r="582" spans="1:12" ht="11.15" customHeight="1">
      <c r="A582" s="251" t="s">
        <v>1434</v>
      </c>
      <c r="B582" s="1289" t="s">
        <v>20617</v>
      </c>
      <c r="C582" s="252" t="s">
        <v>20221</v>
      </c>
      <c r="D582" s="1290" t="s">
        <v>1129</v>
      </c>
      <c r="E582" s="1041">
        <v>2019</v>
      </c>
      <c r="F582" s="1041" t="s">
        <v>23394</v>
      </c>
      <c r="G582" s="1193"/>
      <c r="H582" s="1291" t="s">
        <v>20224</v>
      </c>
      <c r="I582" s="11" t="s">
        <v>1435</v>
      </c>
      <c r="J582" s="1285"/>
      <c r="K582" s="1285"/>
      <c r="L582" s="1285"/>
    </row>
    <row r="583" spans="1:12" ht="11.15" customHeight="1">
      <c r="A583" s="251" t="s">
        <v>1436</v>
      </c>
      <c r="B583" s="1289" t="s">
        <v>20422</v>
      </c>
      <c r="C583" s="252" t="s">
        <v>20221</v>
      </c>
      <c r="D583" s="1290" t="s">
        <v>1129</v>
      </c>
      <c r="E583" s="1041">
        <v>2018</v>
      </c>
      <c r="F583" s="1041" t="s">
        <v>5257</v>
      </c>
      <c r="G583" s="1193"/>
      <c r="H583" s="1291" t="s">
        <v>20224</v>
      </c>
      <c r="I583" s="11" t="s">
        <v>1437</v>
      </c>
      <c r="J583" s="1285"/>
      <c r="K583" s="1285"/>
      <c r="L583" s="1285"/>
    </row>
    <row r="584" spans="1:12" ht="11.15" customHeight="1" thickBot="1">
      <c r="A584" s="254" t="s">
        <v>1438</v>
      </c>
      <c r="B584" s="1292" t="s">
        <v>20479</v>
      </c>
      <c r="C584" s="255" t="s">
        <v>20221</v>
      </c>
      <c r="D584" s="1293" t="s">
        <v>1129</v>
      </c>
      <c r="E584" s="1042">
        <v>2015</v>
      </c>
      <c r="F584" s="1294" t="s">
        <v>23399</v>
      </c>
      <c r="G584" s="1194"/>
      <c r="H584" s="1158" t="s">
        <v>20221</v>
      </c>
      <c r="I584" s="11" t="s">
        <v>1439</v>
      </c>
      <c r="J584" s="1285"/>
      <c r="K584" s="1285"/>
      <c r="L584" s="1285"/>
    </row>
    <row r="585" spans="1:12" ht="24" customHeight="1" thickBot="1">
      <c r="A585" s="243"/>
      <c r="B585" s="244" t="s">
        <v>1440</v>
      </c>
      <c r="C585" s="170"/>
      <c r="D585" s="139"/>
      <c r="E585" s="235"/>
      <c r="F585" s="383"/>
      <c r="G585" s="1142"/>
      <c r="H585" s="516"/>
      <c r="I585" s="11"/>
    </row>
    <row r="586" spans="1:12" ht="11.15" customHeight="1">
      <c r="A586" s="256" t="s">
        <v>1441</v>
      </c>
      <c r="B586" s="257"/>
      <c r="C586" s="258"/>
      <c r="D586" s="259"/>
      <c r="E586" s="260"/>
      <c r="F586" s="257"/>
      <c r="G586" s="1195"/>
      <c r="H586" s="1159"/>
      <c r="I586" s="11"/>
    </row>
    <row r="587" spans="1:12" ht="11.15" customHeight="1">
      <c r="A587" s="261" t="s">
        <v>1442</v>
      </c>
      <c r="B587" s="262"/>
      <c r="C587" s="263"/>
      <c r="D587" s="264"/>
      <c r="E587" s="265"/>
      <c r="F587" s="262"/>
      <c r="G587" s="1196"/>
      <c r="H587" s="1160"/>
      <c r="I587" s="11"/>
    </row>
    <row r="588" spans="1:12" ht="11.15" customHeight="1">
      <c r="A588" s="261" t="s">
        <v>1443</v>
      </c>
      <c r="B588" s="262"/>
      <c r="C588" s="263"/>
      <c r="D588" s="264"/>
      <c r="E588" s="265"/>
      <c r="F588" s="262"/>
      <c r="G588" s="1196"/>
      <c r="H588" s="1160"/>
      <c r="I588" s="11"/>
    </row>
    <row r="589" spans="1:12" ht="11.15" customHeight="1" thickBot="1">
      <c r="A589" s="266" t="s">
        <v>1444</v>
      </c>
      <c r="B589" s="267"/>
      <c r="C589" s="268"/>
      <c r="D589" s="269"/>
      <c r="E589" s="270"/>
      <c r="F589" s="1066"/>
      <c r="G589" s="1197"/>
      <c r="H589" s="1161"/>
      <c r="I589" s="11"/>
    </row>
    <row r="590" spans="1:12" ht="11.15" customHeight="1">
      <c r="A590" s="73"/>
      <c r="B590" s="122"/>
      <c r="C590" s="147"/>
      <c r="D590" s="161"/>
      <c r="E590" s="36"/>
      <c r="F590" s="183"/>
      <c r="G590" s="496"/>
      <c r="H590" s="34"/>
      <c r="I590" s="11"/>
    </row>
    <row r="591" spans="1:12" ht="11.15" customHeight="1">
      <c r="A591" s="271" t="s">
        <v>1445</v>
      </c>
      <c r="B591" s="90" t="s">
        <v>1446</v>
      </c>
      <c r="C591" s="147"/>
      <c r="D591" s="284" t="s">
        <v>897</v>
      </c>
      <c r="E591" s="36"/>
      <c r="F591" s="178"/>
      <c r="G591" s="496"/>
      <c r="H591" s="36"/>
      <c r="I591" s="11"/>
    </row>
    <row r="592" spans="1:12" ht="11.15" customHeight="1">
      <c r="A592" s="271" t="s">
        <v>1447</v>
      </c>
      <c r="B592" s="90" t="s">
        <v>1446</v>
      </c>
      <c r="C592" s="147"/>
      <c r="D592" s="284" t="s">
        <v>897</v>
      </c>
      <c r="E592" s="36"/>
      <c r="F592" s="178"/>
      <c r="G592" s="496"/>
      <c r="H592" s="36"/>
      <c r="I592" s="11"/>
    </row>
    <row r="593" spans="1:12" ht="11.15" customHeight="1">
      <c r="A593" s="61"/>
      <c r="B593" s="90"/>
      <c r="C593" s="147"/>
      <c r="D593" s="161"/>
      <c r="E593" s="36"/>
      <c r="F593" s="178"/>
      <c r="G593" s="60"/>
      <c r="H593" s="36"/>
      <c r="I593" s="11"/>
    </row>
    <row r="594" spans="1:12" ht="11.15" customHeight="1" thickBot="1">
      <c r="A594" s="29"/>
      <c r="B594" s="150" t="s">
        <v>1448</v>
      </c>
      <c r="C594" s="147"/>
      <c r="D594" s="161"/>
      <c r="E594" s="36"/>
      <c r="F594" s="178"/>
      <c r="G594" s="496"/>
      <c r="H594" s="36"/>
      <c r="I594" s="11"/>
    </row>
    <row r="595" spans="1:12" ht="11.15" customHeight="1" thickBot="1">
      <c r="A595" s="184" t="s">
        <v>1449</v>
      </c>
      <c r="B595" s="59" t="s">
        <v>20341</v>
      </c>
      <c r="C595" s="147" t="s">
        <v>20221</v>
      </c>
      <c r="D595" s="284" t="s">
        <v>897</v>
      </c>
      <c r="E595" s="178">
        <v>2023</v>
      </c>
      <c r="F595" s="178" t="s">
        <v>4520</v>
      </c>
      <c r="G595" s="496"/>
      <c r="H595" s="994" t="s">
        <v>20343</v>
      </c>
      <c r="I595" s="11" t="s">
        <v>1450</v>
      </c>
      <c r="J595" s="1285"/>
      <c r="K595" s="1285"/>
      <c r="L595" s="1285"/>
    </row>
    <row r="596" spans="1:12" ht="11.15" customHeight="1">
      <c r="A596" s="29" t="s">
        <v>1451</v>
      </c>
      <c r="B596" s="59" t="s">
        <v>20341</v>
      </c>
      <c r="C596" s="147" t="s">
        <v>20221</v>
      </c>
      <c r="D596" s="284" t="s">
        <v>897</v>
      </c>
      <c r="E596" s="178">
        <v>2022</v>
      </c>
      <c r="F596" s="178" t="s">
        <v>4520</v>
      </c>
      <c r="G596" s="496"/>
      <c r="H596" s="994" t="s">
        <v>20224</v>
      </c>
      <c r="I596" s="11" t="s">
        <v>1452</v>
      </c>
      <c r="J596" s="1285"/>
      <c r="K596" s="1285"/>
      <c r="L596" s="1285"/>
    </row>
    <row r="597" spans="1:12" ht="11.15" customHeight="1">
      <c r="A597" s="29" t="s">
        <v>1453</v>
      </c>
      <c r="B597" s="59" t="s">
        <v>20341</v>
      </c>
      <c r="C597" s="147" t="s">
        <v>20221</v>
      </c>
      <c r="D597" s="284" t="s">
        <v>897</v>
      </c>
      <c r="E597" s="178">
        <v>2021</v>
      </c>
      <c r="F597" s="178" t="s">
        <v>4520</v>
      </c>
      <c r="G597" s="496"/>
      <c r="H597" s="994" t="s">
        <v>20224</v>
      </c>
      <c r="I597" s="11" t="s">
        <v>1454</v>
      </c>
      <c r="J597" s="1285"/>
      <c r="K597" s="1285"/>
      <c r="L597" s="1285"/>
    </row>
    <row r="598" spans="1:12" ht="11.15" customHeight="1">
      <c r="A598" s="272" t="s">
        <v>1455</v>
      </c>
      <c r="B598" s="59" t="s">
        <v>20341</v>
      </c>
      <c r="C598" s="147" t="s">
        <v>20221</v>
      </c>
      <c r="D598" s="284" t="s">
        <v>897</v>
      </c>
      <c r="E598" s="178">
        <v>2016</v>
      </c>
      <c r="F598" s="178" t="s">
        <v>23395</v>
      </c>
      <c r="G598" s="496"/>
      <c r="H598" s="994" t="s">
        <v>20224</v>
      </c>
      <c r="I598" s="11" t="s">
        <v>1456</v>
      </c>
      <c r="J598" s="1285"/>
      <c r="K598" s="1285"/>
      <c r="L598" s="1285"/>
    </row>
    <row r="599" spans="1:12" ht="11.15" customHeight="1">
      <c r="A599" s="29" t="s">
        <v>1457</v>
      </c>
      <c r="B599" s="59" t="s">
        <v>20341</v>
      </c>
      <c r="C599" s="147" t="s">
        <v>20221</v>
      </c>
      <c r="D599" s="284" t="s">
        <v>897</v>
      </c>
      <c r="E599" s="178">
        <v>2015</v>
      </c>
      <c r="F599" s="178" t="s">
        <v>4520</v>
      </c>
      <c r="G599" s="496"/>
      <c r="H599" s="994" t="s">
        <v>20224</v>
      </c>
      <c r="I599" s="11" t="s">
        <v>1458</v>
      </c>
      <c r="J599" s="1285"/>
      <c r="K599" s="1285"/>
      <c r="L599" s="1285"/>
    </row>
    <row r="600" spans="1:12" ht="11.15" customHeight="1">
      <c r="A600" s="29" t="s">
        <v>1459</v>
      </c>
      <c r="B600" s="90"/>
      <c r="C600" s="147"/>
      <c r="D600" s="161"/>
      <c r="E600" s="36"/>
      <c r="F600" s="178"/>
      <c r="G600" s="496"/>
      <c r="H600" s="36"/>
      <c r="I600" s="11"/>
    </row>
    <row r="601" spans="1:12" ht="11.15" customHeight="1">
      <c r="A601" s="29" t="s">
        <v>1460</v>
      </c>
      <c r="B601" s="90"/>
      <c r="C601" s="147"/>
      <c r="D601" s="161"/>
      <c r="E601" s="36"/>
      <c r="F601" s="178"/>
      <c r="G601" s="496"/>
      <c r="H601" s="36"/>
      <c r="I601" s="11"/>
    </row>
    <row r="602" spans="1:12" ht="11.15" customHeight="1">
      <c r="A602" s="166" t="s">
        <v>1461</v>
      </c>
      <c r="B602" s="185"/>
      <c r="C602" s="147"/>
      <c r="D602" s="129"/>
      <c r="E602" s="185"/>
      <c r="F602" s="185"/>
      <c r="G602" s="185"/>
      <c r="H602" s="185"/>
      <c r="I602" s="11"/>
    </row>
    <row r="603" spans="1:12" ht="11.15" customHeight="1">
      <c r="A603" s="129" t="s">
        <v>1462</v>
      </c>
      <c r="B603" s="88"/>
      <c r="C603" s="147"/>
      <c r="D603" s="161"/>
      <c r="E603" s="36"/>
      <c r="F603" s="178"/>
      <c r="G603" s="671"/>
      <c r="H603" s="36"/>
      <c r="I603" s="11"/>
    </row>
    <row r="604" spans="1:12" ht="11.15" customHeight="1" thickBot="1">
      <c r="A604" s="29"/>
      <c r="B604" s="185"/>
      <c r="C604" s="147"/>
      <c r="D604" s="161"/>
      <c r="E604" s="36"/>
      <c r="F604" s="183"/>
      <c r="G604" s="496"/>
      <c r="H604" s="34"/>
      <c r="I604" s="11"/>
    </row>
    <row r="605" spans="1:12" ht="11.15" customHeight="1" thickBot="1">
      <c r="A605" s="184" t="s">
        <v>1463</v>
      </c>
      <c r="B605" s="59" t="s">
        <v>26</v>
      </c>
      <c r="C605" s="147" t="s">
        <v>20221</v>
      </c>
      <c r="D605" s="284" t="s">
        <v>897</v>
      </c>
      <c r="E605" s="178">
        <v>2018</v>
      </c>
      <c r="F605" s="178" t="s">
        <v>23395</v>
      </c>
      <c r="G605" s="496"/>
      <c r="H605" s="994" t="s">
        <v>20221</v>
      </c>
      <c r="I605" s="11" t="s">
        <v>1464</v>
      </c>
      <c r="J605" s="1285"/>
      <c r="K605" s="1285"/>
      <c r="L605" s="1285"/>
    </row>
    <row r="606" spans="1:12" ht="11.15" customHeight="1">
      <c r="A606" s="29" t="s">
        <v>1465</v>
      </c>
      <c r="B606" s="59" t="s">
        <v>20345</v>
      </c>
      <c r="C606" s="147" t="s">
        <v>20221</v>
      </c>
      <c r="D606" s="284" t="s">
        <v>897</v>
      </c>
      <c r="E606" s="178">
        <v>2018</v>
      </c>
      <c r="F606" s="178" t="s">
        <v>11931</v>
      </c>
      <c r="G606" s="496"/>
      <c r="H606" s="994" t="s">
        <v>20224</v>
      </c>
      <c r="I606" s="11" t="s">
        <v>1466</v>
      </c>
      <c r="J606" s="1285"/>
      <c r="K606" s="1285"/>
      <c r="L606" s="1285"/>
    </row>
    <row r="607" spans="1:12" ht="11.15" customHeight="1" thickBot="1">
      <c r="A607" s="29"/>
      <c r="B607" s="90"/>
      <c r="C607" s="147"/>
      <c r="D607" s="161"/>
      <c r="E607" s="36"/>
      <c r="F607" s="183"/>
      <c r="G607" s="496"/>
      <c r="H607" s="34"/>
      <c r="I607" s="11"/>
    </row>
    <row r="608" spans="1:12" ht="11.15" customHeight="1" thickBot="1">
      <c r="A608" s="184" t="s">
        <v>1467</v>
      </c>
      <c r="B608" s="59" t="s">
        <v>27</v>
      </c>
      <c r="C608" s="147" t="s">
        <v>20221</v>
      </c>
      <c r="D608" s="284" t="s">
        <v>897</v>
      </c>
      <c r="E608" s="178">
        <v>2020</v>
      </c>
      <c r="F608" s="178" t="s">
        <v>4520</v>
      </c>
      <c r="G608" s="496"/>
      <c r="H608" s="994" t="s">
        <v>20221</v>
      </c>
      <c r="I608" s="11" t="s">
        <v>1468</v>
      </c>
      <c r="J608" s="1285"/>
      <c r="K608" s="1285"/>
      <c r="L608" s="1285"/>
    </row>
    <row r="609" spans="1:12" ht="11.15" customHeight="1">
      <c r="A609" s="29" t="s">
        <v>1469</v>
      </c>
      <c r="B609" s="90"/>
      <c r="C609" s="147"/>
      <c r="D609" s="161"/>
      <c r="E609" s="36"/>
      <c r="F609" s="183"/>
      <c r="G609" s="496"/>
      <c r="H609" s="183"/>
      <c r="I609" s="11"/>
    </row>
    <row r="610" spans="1:12" ht="11.15" customHeight="1">
      <c r="A610" s="29" t="s">
        <v>1470</v>
      </c>
      <c r="B610" s="90"/>
      <c r="C610" s="147"/>
      <c r="D610" s="161"/>
      <c r="E610" s="36"/>
      <c r="F610" s="178"/>
      <c r="G610" s="496"/>
      <c r="H610" s="178"/>
      <c r="I610" s="11"/>
    </row>
    <row r="611" spans="1:12" ht="11.15" customHeight="1">
      <c r="A611" s="29" t="s">
        <v>1471</v>
      </c>
      <c r="B611" s="90"/>
      <c r="C611" s="147"/>
      <c r="D611" s="161"/>
      <c r="E611" s="36"/>
      <c r="F611" s="178"/>
      <c r="G611" s="496"/>
      <c r="H611" s="178"/>
      <c r="I611" s="11"/>
    </row>
    <row r="612" spans="1:12" ht="11.15" customHeight="1">
      <c r="A612" s="181" t="s">
        <v>1472</v>
      </c>
      <c r="B612" s="90"/>
      <c r="C612" s="147"/>
      <c r="D612" s="161"/>
      <c r="E612" s="36"/>
      <c r="F612" s="178"/>
      <c r="G612" s="496"/>
      <c r="H612" s="178"/>
      <c r="I612" s="11"/>
    </row>
    <row r="613" spans="1:12" ht="11.15" customHeight="1">
      <c r="A613" s="29" t="s">
        <v>1473</v>
      </c>
      <c r="B613" s="90"/>
      <c r="C613" s="147"/>
      <c r="D613" s="161"/>
      <c r="E613" s="36"/>
      <c r="F613" s="178"/>
      <c r="G613" s="496"/>
      <c r="H613" s="178"/>
      <c r="I613" s="11"/>
    </row>
    <row r="614" spans="1:12" ht="11.15" customHeight="1">
      <c r="A614" s="29" t="s">
        <v>1474</v>
      </c>
      <c r="B614" s="90"/>
      <c r="C614" s="147"/>
      <c r="D614" s="161"/>
      <c r="E614" s="36"/>
      <c r="F614" s="178"/>
      <c r="G614" s="496"/>
      <c r="H614" s="178"/>
      <c r="I614" s="11"/>
    </row>
    <row r="615" spans="1:12" ht="11.15" customHeight="1">
      <c r="A615" s="1166" t="s">
        <v>1475</v>
      </c>
      <c r="B615" s="67"/>
      <c r="C615" s="67"/>
      <c r="D615" s="67"/>
      <c r="E615" s="67"/>
      <c r="F615" s="67"/>
      <c r="G615" s="67"/>
      <c r="H615" s="67"/>
      <c r="I615" s="5"/>
    </row>
    <row r="616" spans="1:12" ht="11.15" customHeight="1">
      <c r="A616" s="29"/>
      <c r="B616" s="90"/>
      <c r="C616" s="147"/>
      <c r="D616" s="161"/>
      <c r="E616" s="36"/>
      <c r="F616" s="183"/>
      <c r="G616" s="496"/>
      <c r="H616" s="34"/>
      <c r="I616" s="11"/>
    </row>
    <row r="617" spans="1:12" ht="11.15" customHeight="1" thickBot="1">
      <c r="A617" s="29"/>
      <c r="B617" s="274" t="s">
        <v>1476</v>
      </c>
      <c r="C617" s="147"/>
      <c r="D617" s="161"/>
      <c r="E617" s="36"/>
      <c r="F617" s="183"/>
      <c r="G617" s="496"/>
      <c r="H617" s="34"/>
      <c r="I617" s="11"/>
    </row>
    <row r="618" spans="1:12" ht="11.15" customHeight="1" thickBot="1">
      <c r="A618" s="184" t="s">
        <v>1477</v>
      </c>
      <c r="B618" s="59" t="s">
        <v>20346</v>
      </c>
      <c r="C618" s="147" t="s">
        <v>20221</v>
      </c>
      <c r="D618" s="284" t="s">
        <v>897</v>
      </c>
      <c r="E618" s="178">
        <v>2023</v>
      </c>
      <c r="F618" s="178" t="s">
        <v>4520</v>
      </c>
      <c r="G618" s="496"/>
      <c r="H618" s="994" t="s">
        <v>20343</v>
      </c>
      <c r="I618" s="11" t="s">
        <v>1478</v>
      </c>
      <c r="J618" s="1285"/>
      <c r="K618" s="1285"/>
      <c r="L618" s="1285"/>
    </row>
    <row r="619" spans="1:12" ht="11.15" customHeight="1">
      <c r="A619" s="29" t="s">
        <v>1479</v>
      </c>
      <c r="B619" s="59" t="s">
        <v>20346</v>
      </c>
      <c r="C619" s="147" t="s">
        <v>20221</v>
      </c>
      <c r="D619" s="284" t="s">
        <v>897</v>
      </c>
      <c r="E619" s="178">
        <v>2022</v>
      </c>
      <c r="F619" s="178" t="s">
        <v>4520</v>
      </c>
      <c r="G619" s="496"/>
      <c r="H619" s="994" t="s">
        <v>20224</v>
      </c>
      <c r="I619" s="12" t="s">
        <v>1480</v>
      </c>
      <c r="J619" s="1285"/>
      <c r="K619" s="1285"/>
      <c r="L619" s="1285"/>
    </row>
    <row r="620" spans="1:12" ht="11.15" customHeight="1">
      <c r="A620" s="29" t="s">
        <v>1481</v>
      </c>
      <c r="B620" s="59" t="s">
        <v>20346</v>
      </c>
      <c r="C620" s="147" t="s">
        <v>20221</v>
      </c>
      <c r="D620" s="284" t="s">
        <v>897</v>
      </c>
      <c r="E620" s="178">
        <v>2021</v>
      </c>
      <c r="F620" s="178" t="s">
        <v>4520</v>
      </c>
      <c r="G620" s="496"/>
      <c r="H620" s="994" t="s">
        <v>20221</v>
      </c>
      <c r="I620" s="11" t="s">
        <v>1482</v>
      </c>
      <c r="J620" s="1285"/>
      <c r="K620" s="1285"/>
      <c r="L620" s="1285"/>
    </row>
    <row r="621" spans="1:12" ht="11.15" customHeight="1">
      <c r="A621" s="29" t="s">
        <v>1483</v>
      </c>
      <c r="B621" s="59" t="s">
        <v>20346</v>
      </c>
      <c r="C621" s="147" t="s">
        <v>20221</v>
      </c>
      <c r="D621" s="284" t="s">
        <v>897</v>
      </c>
      <c r="E621" s="178">
        <v>2020</v>
      </c>
      <c r="F621" s="178" t="s">
        <v>4520</v>
      </c>
      <c r="G621" s="496"/>
      <c r="H621" s="994" t="s">
        <v>20224</v>
      </c>
      <c r="I621" s="12" t="s">
        <v>1484</v>
      </c>
      <c r="J621" s="1285"/>
      <c r="K621" s="1285"/>
      <c r="L621" s="1285"/>
    </row>
    <row r="622" spans="1:12" ht="11.15" customHeight="1">
      <c r="A622" s="29" t="s">
        <v>1485</v>
      </c>
      <c r="B622" s="185"/>
      <c r="C622" s="147"/>
      <c r="D622" s="161"/>
      <c r="E622" s="36"/>
      <c r="F622" s="178"/>
      <c r="G622" s="496"/>
      <c r="H622" s="36"/>
      <c r="I622" s="11"/>
    </row>
    <row r="623" spans="1:12" ht="11.15" customHeight="1">
      <c r="A623" s="181" t="s">
        <v>1486</v>
      </c>
      <c r="B623" s="90"/>
      <c r="C623" s="147"/>
      <c r="D623" s="161"/>
      <c r="E623" s="36"/>
      <c r="F623" s="178"/>
      <c r="G623" s="496"/>
      <c r="H623" s="36"/>
      <c r="I623" s="11"/>
    </row>
    <row r="624" spans="1:12" ht="11.15" customHeight="1">
      <c r="A624" s="166" t="s">
        <v>1487</v>
      </c>
      <c r="B624" s="275"/>
      <c r="C624" s="147"/>
      <c r="D624" s="161"/>
      <c r="E624" s="36"/>
      <c r="F624" s="183"/>
      <c r="G624" s="496"/>
      <c r="H624" s="34"/>
      <c r="I624" s="11"/>
    </row>
    <row r="625" spans="1:12" ht="11.15" customHeight="1">
      <c r="A625" s="129" t="s">
        <v>1488</v>
      </c>
      <c r="B625" s="88"/>
      <c r="C625" s="147"/>
      <c r="D625" s="161"/>
      <c r="E625" s="36"/>
      <c r="F625" s="178"/>
      <c r="G625" s="671"/>
      <c r="H625" s="36"/>
      <c r="I625" s="11"/>
    </row>
    <row r="626" spans="1:12" ht="11.15" customHeight="1" thickBot="1">
      <c r="A626" s="166"/>
      <c r="B626" s="317" t="s">
        <v>1489</v>
      </c>
      <c r="C626" s="147"/>
      <c r="D626" s="161"/>
      <c r="E626" s="36"/>
      <c r="F626" s="183"/>
      <c r="G626" s="496"/>
      <c r="H626" s="34"/>
      <c r="I626" s="11"/>
    </row>
    <row r="627" spans="1:12" ht="11.15" customHeight="1">
      <c r="A627" s="153" t="s">
        <v>1490</v>
      </c>
      <c r="B627" s="154" t="s">
        <v>1491</v>
      </c>
      <c r="C627" s="147"/>
      <c r="D627" s="185"/>
      <c r="E627" s="185"/>
      <c r="F627" s="185"/>
      <c r="G627" s="185"/>
      <c r="H627" s="185"/>
      <c r="I627" s="11"/>
    </row>
    <row r="628" spans="1:12" ht="11.15" customHeight="1" thickBot="1">
      <c r="A628" s="230" t="s">
        <v>1492</v>
      </c>
      <c r="B628" s="59" t="s">
        <v>20348</v>
      </c>
      <c r="C628" s="147" t="s">
        <v>20221</v>
      </c>
      <c r="D628" s="284" t="s">
        <v>897</v>
      </c>
      <c r="E628" s="178">
        <v>2023</v>
      </c>
      <c r="F628" s="178" t="s">
        <v>4520</v>
      </c>
      <c r="G628" s="496"/>
      <c r="H628" s="994" t="s">
        <v>20343</v>
      </c>
      <c r="I628" s="11" t="s">
        <v>1493</v>
      </c>
      <c r="J628" s="1285"/>
      <c r="K628" s="1285"/>
      <c r="L628" s="1285"/>
    </row>
    <row r="629" spans="1:12" ht="11.15" customHeight="1">
      <c r="A629" s="29" t="s">
        <v>1494</v>
      </c>
      <c r="B629" s="59" t="s">
        <v>20348</v>
      </c>
      <c r="C629" s="147" t="s">
        <v>20221</v>
      </c>
      <c r="D629" s="284" t="s">
        <v>897</v>
      </c>
      <c r="E629" s="178">
        <v>2022</v>
      </c>
      <c r="F629" s="178" t="s">
        <v>4520</v>
      </c>
      <c r="G629" s="496"/>
      <c r="H629" s="994" t="s">
        <v>20221</v>
      </c>
      <c r="I629" s="11" t="s">
        <v>1495</v>
      </c>
      <c r="J629" s="1285"/>
      <c r="K629" s="1285"/>
      <c r="L629" s="1285"/>
    </row>
    <row r="630" spans="1:12" ht="11.15" customHeight="1">
      <c r="A630" s="29" t="s">
        <v>1496</v>
      </c>
      <c r="B630" s="59" t="s">
        <v>20348</v>
      </c>
      <c r="C630" s="147" t="s">
        <v>20221</v>
      </c>
      <c r="D630" s="284" t="s">
        <v>897</v>
      </c>
      <c r="E630" s="178">
        <v>2021</v>
      </c>
      <c r="F630" s="178" t="s">
        <v>4520</v>
      </c>
      <c r="G630" s="496"/>
      <c r="H630" s="994" t="s">
        <v>20221</v>
      </c>
      <c r="I630" s="11" t="s">
        <v>1497</v>
      </c>
      <c r="J630" s="1285"/>
      <c r="K630" s="1285"/>
      <c r="L630" s="1285"/>
    </row>
    <row r="631" spans="1:12" ht="11.15" customHeight="1">
      <c r="A631" s="29" t="s">
        <v>1498</v>
      </c>
      <c r="B631" s="59" t="s">
        <v>20348</v>
      </c>
      <c r="C631" s="147" t="s">
        <v>20221</v>
      </c>
      <c r="D631" s="284" t="s">
        <v>897</v>
      </c>
      <c r="E631" s="178">
        <v>2017</v>
      </c>
      <c r="F631" s="178" t="s">
        <v>4520</v>
      </c>
      <c r="G631" s="496"/>
      <c r="H631" s="994" t="s">
        <v>20224</v>
      </c>
      <c r="I631" s="11" t="s">
        <v>1499</v>
      </c>
      <c r="J631" s="1285"/>
      <c r="K631" s="1285"/>
      <c r="L631" s="1285"/>
    </row>
    <row r="632" spans="1:12" ht="11.15" customHeight="1">
      <c r="A632" s="29" t="s">
        <v>1500</v>
      </c>
      <c r="B632" s="154" t="s">
        <v>1501</v>
      </c>
      <c r="C632" s="147"/>
      <c r="D632" s="185"/>
      <c r="E632" s="185"/>
      <c r="F632" s="185"/>
      <c r="G632" s="185"/>
      <c r="H632" s="185"/>
      <c r="I632" s="11"/>
    </row>
    <row r="633" spans="1:12" ht="11.15" customHeight="1">
      <c r="A633" s="29" t="s">
        <v>1502</v>
      </c>
      <c r="B633" s="59" t="s">
        <v>20349</v>
      </c>
      <c r="C633" s="147" t="s">
        <v>20221</v>
      </c>
      <c r="D633" s="284" t="s">
        <v>897</v>
      </c>
      <c r="E633" s="178">
        <v>2023</v>
      </c>
      <c r="F633" s="178" t="s">
        <v>4520</v>
      </c>
      <c r="G633" s="496"/>
      <c r="H633" s="994" t="s">
        <v>20343</v>
      </c>
      <c r="I633" s="11" t="s">
        <v>1503</v>
      </c>
      <c r="J633" s="1285"/>
      <c r="K633" s="1285"/>
      <c r="L633" s="1285"/>
    </row>
    <row r="634" spans="1:12" ht="11.15" customHeight="1">
      <c r="A634" s="29" t="s">
        <v>1504</v>
      </c>
      <c r="B634" s="59" t="s">
        <v>20349</v>
      </c>
      <c r="C634" s="147" t="s">
        <v>20221</v>
      </c>
      <c r="D634" s="284" t="s">
        <v>897</v>
      </c>
      <c r="E634" s="178">
        <v>2022</v>
      </c>
      <c r="F634" s="178" t="s">
        <v>4520</v>
      </c>
      <c r="G634" s="496"/>
      <c r="H634" s="994" t="s">
        <v>20224</v>
      </c>
      <c r="I634" s="11" t="s">
        <v>1505</v>
      </c>
      <c r="J634" s="1285"/>
      <c r="K634" s="1285"/>
      <c r="L634" s="1285"/>
    </row>
    <row r="635" spans="1:12" ht="11.15" customHeight="1">
      <c r="A635" s="29" t="s">
        <v>1506</v>
      </c>
      <c r="B635" s="59" t="s">
        <v>20349</v>
      </c>
      <c r="C635" s="147" t="s">
        <v>20221</v>
      </c>
      <c r="D635" s="284" t="s">
        <v>897</v>
      </c>
      <c r="E635" s="178">
        <v>2021</v>
      </c>
      <c r="F635" s="178" t="s">
        <v>4520</v>
      </c>
      <c r="G635" s="496"/>
      <c r="H635" s="994" t="s">
        <v>20224</v>
      </c>
      <c r="I635" s="11" t="s">
        <v>1507</v>
      </c>
      <c r="J635" s="1285"/>
      <c r="K635" s="1285"/>
      <c r="L635" s="1285"/>
    </row>
    <row r="636" spans="1:12" ht="11.15" customHeight="1">
      <c r="A636" s="129" t="s">
        <v>903</v>
      </c>
      <c r="B636" s="59" t="s">
        <v>20349</v>
      </c>
      <c r="C636" s="147" t="s">
        <v>20221</v>
      </c>
      <c r="D636" s="284" t="s">
        <v>897</v>
      </c>
      <c r="E636" s="178">
        <v>2020</v>
      </c>
      <c r="F636" s="178" t="s">
        <v>4520</v>
      </c>
      <c r="G636" s="496"/>
      <c r="H636" s="994" t="s">
        <v>20224</v>
      </c>
      <c r="I636" s="11" t="s">
        <v>1508</v>
      </c>
      <c r="J636" s="1285"/>
      <c r="K636" s="1285"/>
      <c r="L636" s="1285"/>
    </row>
    <row r="637" spans="1:12" ht="11.15" customHeight="1">
      <c r="A637" s="162" t="s">
        <v>1509</v>
      </c>
      <c r="B637" s="59" t="s">
        <v>20349</v>
      </c>
      <c r="C637" s="147" t="s">
        <v>20221</v>
      </c>
      <c r="D637" s="284" t="s">
        <v>897</v>
      </c>
      <c r="E637" s="178">
        <v>2019</v>
      </c>
      <c r="F637" s="178" t="s">
        <v>4520</v>
      </c>
      <c r="G637" s="496"/>
      <c r="H637" s="994" t="s">
        <v>20224</v>
      </c>
      <c r="I637" s="11" t="s">
        <v>1510</v>
      </c>
      <c r="J637" s="1285"/>
      <c r="K637" s="1285"/>
      <c r="L637" s="1285"/>
    </row>
    <row r="638" spans="1:12" ht="11.15" customHeight="1">
      <c r="A638" s="162" t="s">
        <v>1511</v>
      </c>
      <c r="B638" s="59" t="s">
        <v>20349</v>
      </c>
      <c r="C638" s="147" t="s">
        <v>20221</v>
      </c>
      <c r="D638" s="284" t="s">
        <v>897</v>
      </c>
      <c r="E638" s="178">
        <v>2018</v>
      </c>
      <c r="F638" s="178" t="s">
        <v>4520</v>
      </c>
      <c r="G638" s="496"/>
      <c r="H638" s="994" t="s">
        <v>20224</v>
      </c>
      <c r="I638" s="11" t="s">
        <v>1512</v>
      </c>
      <c r="J638" s="1285"/>
      <c r="K638" s="1285"/>
      <c r="L638" s="1285"/>
    </row>
    <row r="639" spans="1:12" ht="11.15" customHeight="1">
      <c r="A639" s="162" t="s">
        <v>1513</v>
      </c>
      <c r="B639" s="59" t="s">
        <v>20349</v>
      </c>
      <c r="C639" s="147" t="s">
        <v>20221</v>
      </c>
      <c r="D639" s="284" t="s">
        <v>897</v>
      </c>
      <c r="E639" s="178">
        <v>2017</v>
      </c>
      <c r="F639" s="178" t="s">
        <v>4520</v>
      </c>
      <c r="G639" s="496"/>
      <c r="H639" s="994" t="s">
        <v>20221</v>
      </c>
      <c r="I639" s="11" t="s">
        <v>1514</v>
      </c>
      <c r="J639" s="1285"/>
      <c r="K639" s="1285"/>
      <c r="L639" s="1285"/>
    </row>
    <row r="640" spans="1:12" ht="11.15" customHeight="1">
      <c r="A640" s="162" t="s">
        <v>1515</v>
      </c>
      <c r="B640" s="59" t="s">
        <v>20349</v>
      </c>
      <c r="C640" s="147" t="s">
        <v>20221</v>
      </c>
      <c r="D640" s="284" t="s">
        <v>897</v>
      </c>
      <c r="E640" s="178">
        <v>2016</v>
      </c>
      <c r="F640" s="178" t="s">
        <v>4520</v>
      </c>
      <c r="G640" s="496"/>
      <c r="H640" s="994" t="s">
        <v>20221</v>
      </c>
      <c r="I640" s="11" t="s">
        <v>1516</v>
      </c>
      <c r="J640" s="1285"/>
      <c r="K640" s="1285"/>
      <c r="L640" s="1285"/>
    </row>
    <row r="641" spans="1:12" ht="11.15" customHeight="1">
      <c r="A641" s="162" t="s">
        <v>1517</v>
      </c>
      <c r="B641" s="59" t="s">
        <v>20349</v>
      </c>
      <c r="C641" s="147" t="s">
        <v>20221</v>
      </c>
      <c r="D641" s="284" t="s">
        <v>897</v>
      </c>
      <c r="E641" s="178">
        <v>2015</v>
      </c>
      <c r="F641" s="178" t="s">
        <v>4520</v>
      </c>
      <c r="G641" s="496"/>
      <c r="H641" s="994" t="s">
        <v>20224</v>
      </c>
      <c r="I641" s="11" t="s">
        <v>1518</v>
      </c>
      <c r="J641" s="1285"/>
      <c r="K641" s="1285"/>
      <c r="L641" s="1285"/>
    </row>
    <row r="642" spans="1:12" ht="11.15" customHeight="1">
      <c r="A642" s="162" t="s">
        <v>1519</v>
      </c>
      <c r="B642" s="59" t="s">
        <v>20349</v>
      </c>
      <c r="C642" s="147" t="s">
        <v>20221</v>
      </c>
      <c r="D642" s="284" t="s">
        <v>897</v>
      </c>
      <c r="E642" s="178">
        <v>2014</v>
      </c>
      <c r="F642" s="178" t="s">
        <v>4520</v>
      </c>
      <c r="G642" s="496"/>
      <c r="H642" s="994" t="s">
        <v>20221</v>
      </c>
      <c r="I642" s="11" t="s">
        <v>1520</v>
      </c>
      <c r="J642" s="1285"/>
      <c r="K642" s="1285"/>
      <c r="L642" s="1285"/>
    </row>
    <row r="643" spans="1:12" ht="11.15" customHeight="1">
      <c r="A643" s="162" t="s">
        <v>1521</v>
      </c>
      <c r="B643" s="59" t="s">
        <v>20349</v>
      </c>
      <c r="C643" s="147" t="s">
        <v>20221</v>
      </c>
      <c r="D643" s="284" t="s">
        <v>897</v>
      </c>
      <c r="E643" s="178">
        <v>2013</v>
      </c>
      <c r="F643" s="178" t="s">
        <v>4520</v>
      </c>
      <c r="G643" s="496"/>
      <c r="H643" s="994" t="s">
        <v>20221</v>
      </c>
      <c r="I643" s="11" t="s">
        <v>1522</v>
      </c>
      <c r="J643" s="1285"/>
      <c r="K643" s="1285"/>
      <c r="L643" s="1285"/>
    </row>
    <row r="644" spans="1:12" ht="11.15" customHeight="1">
      <c r="A644" s="162" t="s">
        <v>1523</v>
      </c>
      <c r="B644" s="59" t="s">
        <v>20349</v>
      </c>
      <c r="C644" s="147" t="s">
        <v>20221</v>
      </c>
      <c r="D644" s="284" t="s">
        <v>897</v>
      </c>
      <c r="E644" s="178">
        <v>2011</v>
      </c>
      <c r="F644" s="178" t="s">
        <v>4520</v>
      </c>
      <c r="G644" s="496"/>
      <c r="H644" s="994" t="s">
        <v>20221</v>
      </c>
      <c r="I644" s="11" t="s">
        <v>1524</v>
      </c>
      <c r="J644" s="1285"/>
      <c r="K644" s="1285"/>
      <c r="L644" s="1285"/>
    </row>
    <row r="645" spans="1:12" ht="11.15" customHeight="1">
      <c r="A645" s="29" t="s">
        <v>1525</v>
      </c>
      <c r="B645" s="59" t="s">
        <v>20349</v>
      </c>
      <c r="C645" s="147" t="s">
        <v>20221</v>
      </c>
      <c r="D645" s="284" t="s">
        <v>897</v>
      </c>
      <c r="E645" s="178">
        <v>2002</v>
      </c>
      <c r="F645" s="178" t="s">
        <v>23395</v>
      </c>
      <c r="G645" s="496"/>
      <c r="H645" s="994" t="s">
        <v>20224</v>
      </c>
      <c r="I645" s="11" t="s">
        <v>1526</v>
      </c>
      <c r="J645" s="1285"/>
      <c r="K645" s="1285"/>
      <c r="L645" s="1285"/>
    </row>
    <row r="646" spans="1:12" ht="11.15" customHeight="1">
      <c r="A646" s="29" t="s">
        <v>1527</v>
      </c>
      <c r="B646" s="185"/>
      <c r="C646" s="147"/>
      <c r="D646" s="122"/>
      <c r="E646" s="185"/>
      <c r="F646" s="185"/>
      <c r="G646" s="276"/>
      <c r="H646" s="185"/>
      <c r="I646" s="11"/>
    </row>
    <row r="647" spans="1:12" ht="11.15" customHeight="1">
      <c r="A647" s="1166" t="s">
        <v>1528</v>
      </c>
      <c r="B647" s="185"/>
      <c r="C647" s="147"/>
      <c r="D647" s="122"/>
      <c r="E647" s="185"/>
      <c r="F647" s="185"/>
      <c r="G647" s="276"/>
      <c r="H647" s="185"/>
      <c r="I647" s="11"/>
    </row>
    <row r="648" spans="1:12" ht="11.15" customHeight="1">
      <c r="A648" s="129" t="s">
        <v>1529</v>
      </c>
      <c r="B648" s="185"/>
      <c r="C648" s="147"/>
      <c r="D648" s="129"/>
      <c r="E648" s="185"/>
      <c r="F648" s="185"/>
      <c r="G648" s="185"/>
      <c r="H648" s="185"/>
      <c r="I648" s="11"/>
    </row>
    <row r="649" spans="1:12" ht="11.15" customHeight="1">
      <c r="A649" s="129" t="s">
        <v>1530</v>
      </c>
      <c r="B649" s="185"/>
      <c r="C649" s="147"/>
      <c r="D649" s="122"/>
      <c r="E649" s="185"/>
      <c r="F649" s="185"/>
      <c r="G649" s="276"/>
      <c r="H649" s="185"/>
      <c r="I649" s="11"/>
    </row>
    <row r="650" spans="1:12" ht="11.15" customHeight="1">
      <c r="A650" s="129" t="s">
        <v>1531</v>
      </c>
      <c r="B650" s="185"/>
      <c r="C650" s="147"/>
      <c r="D650" s="122"/>
      <c r="E650" s="185"/>
      <c r="F650" s="185"/>
      <c r="G650" s="276"/>
      <c r="H650" s="185"/>
      <c r="I650" s="11"/>
    </row>
    <row r="651" spans="1:12" ht="11.15" customHeight="1">
      <c r="A651" s="129" t="s">
        <v>1532</v>
      </c>
      <c r="B651" s="88"/>
      <c r="C651" s="147"/>
      <c r="D651" s="161"/>
      <c r="E651" s="36"/>
      <c r="F651" s="178"/>
      <c r="G651" s="671"/>
      <c r="H651" s="36"/>
      <c r="I651" s="11"/>
    </row>
    <row r="652" spans="1:12" ht="11.15" customHeight="1" thickBot="1">
      <c r="A652" s="29"/>
      <c r="B652" s="185"/>
      <c r="C652" s="147"/>
      <c r="D652" s="185"/>
      <c r="E652" s="185"/>
      <c r="F652" s="185"/>
      <c r="G652" s="185"/>
      <c r="H652" s="185"/>
      <c r="I652" s="11"/>
    </row>
    <row r="653" spans="1:12" ht="11.15" customHeight="1">
      <c r="A653" s="153" t="s">
        <v>1533</v>
      </c>
      <c r="B653" s="59" t="s">
        <v>20350</v>
      </c>
      <c r="C653" s="147" t="s">
        <v>23393</v>
      </c>
      <c r="D653" s="284" t="s">
        <v>897</v>
      </c>
      <c r="E653" s="178">
        <v>2023</v>
      </c>
      <c r="F653" s="178" t="s">
        <v>4520</v>
      </c>
      <c r="G653" s="496"/>
      <c r="H653" s="994" t="s">
        <v>20343</v>
      </c>
      <c r="I653" s="11" t="s">
        <v>1534</v>
      </c>
      <c r="J653" s="1285"/>
      <c r="K653" s="1285"/>
      <c r="L653" s="1285"/>
    </row>
    <row r="654" spans="1:12" ht="11.15" customHeight="1" thickBot="1">
      <c r="A654" s="230" t="s">
        <v>1535</v>
      </c>
      <c r="B654" s="59" t="s">
        <v>20350</v>
      </c>
      <c r="C654" s="147" t="s">
        <v>23393</v>
      </c>
      <c r="D654" s="284" t="s">
        <v>897</v>
      </c>
      <c r="E654" s="178">
        <v>2022</v>
      </c>
      <c r="F654" s="178" t="s">
        <v>4520</v>
      </c>
      <c r="G654" s="496"/>
      <c r="H654" s="994" t="s">
        <v>20224</v>
      </c>
      <c r="I654" s="11" t="s">
        <v>1536</v>
      </c>
      <c r="J654" s="1285"/>
      <c r="K654" s="1285"/>
      <c r="L654" s="1285"/>
    </row>
    <row r="655" spans="1:12" ht="11.15" customHeight="1">
      <c r="A655" s="29" t="s">
        <v>1537</v>
      </c>
      <c r="B655" s="59" t="s">
        <v>20350</v>
      </c>
      <c r="C655" s="147" t="s">
        <v>20221</v>
      </c>
      <c r="D655" s="284" t="s">
        <v>897</v>
      </c>
      <c r="E655" s="178">
        <v>2020</v>
      </c>
      <c r="F655" s="178" t="s">
        <v>4520</v>
      </c>
      <c r="G655" s="496"/>
      <c r="H655" s="994" t="s">
        <v>20224</v>
      </c>
      <c r="I655" s="11" t="s">
        <v>1538</v>
      </c>
      <c r="J655" s="1285"/>
      <c r="K655" s="1285"/>
      <c r="L655" s="1285"/>
    </row>
    <row r="656" spans="1:12" ht="11.15" customHeight="1">
      <c r="A656" s="29" t="s">
        <v>1539</v>
      </c>
      <c r="B656" s="59" t="s">
        <v>20350</v>
      </c>
      <c r="C656" s="147" t="s">
        <v>20221</v>
      </c>
      <c r="D656" s="284" t="s">
        <v>897</v>
      </c>
      <c r="E656" s="178">
        <v>2019</v>
      </c>
      <c r="F656" s="178" t="s">
        <v>4520</v>
      </c>
      <c r="G656" s="496"/>
      <c r="H656" s="994" t="s">
        <v>20221</v>
      </c>
      <c r="I656" s="11" t="s">
        <v>1540</v>
      </c>
      <c r="J656" s="1285"/>
      <c r="K656" s="1285"/>
      <c r="L656" s="1285"/>
    </row>
    <row r="657" spans="1:12" ht="11.15" customHeight="1">
      <c r="A657" s="29" t="s">
        <v>1541</v>
      </c>
      <c r="B657" s="90"/>
      <c r="C657" s="147"/>
      <c r="D657" s="161"/>
      <c r="E657" s="36"/>
      <c r="F657" s="178"/>
      <c r="G657" s="496"/>
      <c r="H657" s="36"/>
      <c r="I657" s="11"/>
    </row>
    <row r="658" spans="1:12" ht="11.15" customHeight="1">
      <c r="A658" s="181" t="s">
        <v>1542</v>
      </c>
      <c r="B658" s="90"/>
      <c r="C658" s="147"/>
      <c r="D658" s="161"/>
      <c r="E658" s="36"/>
      <c r="F658" s="178"/>
      <c r="G658" s="496"/>
      <c r="H658" s="36"/>
      <c r="I658" s="11"/>
    </row>
    <row r="659" spans="1:12" ht="11.15" customHeight="1">
      <c r="A659" s="218" t="s">
        <v>1543</v>
      </c>
      <c r="B659" s="59"/>
      <c r="C659" s="147"/>
      <c r="D659" s="159"/>
      <c r="E659" s="36"/>
      <c r="F659" s="178"/>
      <c r="G659" s="496"/>
      <c r="H659" s="36"/>
      <c r="I659" s="11"/>
    </row>
    <row r="660" spans="1:12" ht="11.15" customHeight="1">
      <c r="A660" s="166" t="s">
        <v>1544</v>
      </c>
      <c r="B660" s="90"/>
      <c r="C660" s="147"/>
      <c r="D660" s="161"/>
      <c r="E660" s="36"/>
      <c r="F660" s="178"/>
      <c r="G660" s="496"/>
      <c r="H660" s="36"/>
      <c r="I660" s="11"/>
    </row>
    <row r="661" spans="1:12" ht="11.15" customHeight="1">
      <c r="A661" s="129" t="s">
        <v>1545</v>
      </c>
      <c r="B661" s="88"/>
      <c r="C661" s="147"/>
      <c r="D661" s="161"/>
      <c r="E661" s="36"/>
      <c r="F661" s="178"/>
      <c r="G661" s="671"/>
      <c r="H661" s="36"/>
      <c r="I661" s="11"/>
    </row>
    <row r="662" spans="1:12" ht="11.15" customHeight="1" thickBot="1">
      <c r="A662" s="29"/>
      <c r="B662" s="90"/>
      <c r="C662" s="147"/>
      <c r="D662" s="161"/>
      <c r="E662" s="36"/>
      <c r="F662" s="178"/>
      <c r="G662" s="496"/>
      <c r="H662" s="36"/>
      <c r="I662" s="11"/>
    </row>
    <row r="663" spans="1:12" ht="11.15" customHeight="1" thickBot="1">
      <c r="A663" s="184" t="s">
        <v>1546</v>
      </c>
      <c r="B663" s="59" t="s">
        <v>20351</v>
      </c>
      <c r="C663" s="147" t="s">
        <v>20221</v>
      </c>
      <c r="D663" s="284" t="s">
        <v>897</v>
      </c>
      <c r="E663" s="178">
        <v>2021</v>
      </c>
      <c r="F663" s="178" t="s">
        <v>4520</v>
      </c>
      <c r="G663" s="496"/>
      <c r="H663" s="994" t="s">
        <v>20221</v>
      </c>
      <c r="I663" s="11" t="s">
        <v>1547</v>
      </c>
      <c r="J663" s="1285"/>
      <c r="K663" s="1285"/>
      <c r="L663" s="1285"/>
    </row>
    <row r="664" spans="1:12" ht="11.15" customHeight="1">
      <c r="A664" s="29" t="s">
        <v>1548</v>
      </c>
      <c r="B664" s="59" t="s">
        <v>20351</v>
      </c>
      <c r="C664" s="147" t="s">
        <v>20221</v>
      </c>
      <c r="D664" s="284" t="s">
        <v>897</v>
      </c>
      <c r="E664" s="178">
        <v>2020</v>
      </c>
      <c r="F664" s="178" t="s">
        <v>4520</v>
      </c>
      <c r="G664" s="496"/>
      <c r="H664" s="994" t="s">
        <v>20221</v>
      </c>
      <c r="I664" s="11" t="s">
        <v>1549</v>
      </c>
      <c r="J664" s="1285"/>
      <c r="K664" s="1285"/>
      <c r="L664" s="1285"/>
    </row>
    <row r="665" spans="1:12" ht="11.15" customHeight="1">
      <c r="A665" s="29" t="s">
        <v>1550</v>
      </c>
      <c r="B665" s="59" t="s">
        <v>20351</v>
      </c>
      <c r="C665" s="147" t="s">
        <v>20221</v>
      </c>
      <c r="D665" s="284" t="s">
        <v>897</v>
      </c>
      <c r="E665" s="178">
        <v>2019</v>
      </c>
      <c r="F665" s="178" t="s">
        <v>4520</v>
      </c>
      <c r="G665" s="496"/>
      <c r="H665" s="994" t="s">
        <v>20221</v>
      </c>
      <c r="I665" s="11" t="s">
        <v>1551</v>
      </c>
      <c r="J665" s="1285"/>
      <c r="K665" s="1285"/>
      <c r="L665" s="1285"/>
    </row>
    <row r="666" spans="1:12" ht="11.15" customHeight="1">
      <c r="A666" s="29" t="s">
        <v>1552</v>
      </c>
      <c r="B666" s="59" t="s">
        <v>20351</v>
      </c>
      <c r="C666" s="147" t="s">
        <v>20221</v>
      </c>
      <c r="D666" s="284" t="s">
        <v>897</v>
      </c>
      <c r="E666" s="178">
        <v>2018</v>
      </c>
      <c r="F666" s="178" t="s">
        <v>4520</v>
      </c>
      <c r="G666" s="496"/>
      <c r="H666" s="994" t="s">
        <v>20221</v>
      </c>
      <c r="I666" s="11" t="s">
        <v>1553</v>
      </c>
      <c r="J666" s="1285"/>
      <c r="K666" s="1285"/>
      <c r="L666" s="1285"/>
    </row>
    <row r="667" spans="1:12" ht="11.15" customHeight="1">
      <c r="A667" s="29" t="s">
        <v>1554</v>
      </c>
      <c r="B667" s="59" t="s">
        <v>20351</v>
      </c>
      <c r="C667" s="147" t="s">
        <v>20221</v>
      </c>
      <c r="D667" s="284" t="s">
        <v>897</v>
      </c>
      <c r="E667" s="178">
        <v>2017</v>
      </c>
      <c r="F667" s="178" t="s">
        <v>23395</v>
      </c>
      <c r="G667" s="496"/>
      <c r="H667" s="994" t="s">
        <v>20221</v>
      </c>
      <c r="I667" s="11" t="s">
        <v>1555</v>
      </c>
      <c r="J667" s="1285"/>
      <c r="K667" s="1285"/>
      <c r="L667" s="1285"/>
    </row>
    <row r="668" spans="1:12" ht="11.15" customHeight="1">
      <c r="A668" s="218" t="s">
        <v>1556</v>
      </c>
      <c r="B668" s="59" t="s">
        <v>20351</v>
      </c>
      <c r="C668" s="147" t="s">
        <v>20221</v>
      </c>
      <c r="D668" s="284" t="s">
        <v>897</v>
      </c>
      <c r="E668" s="178">
        <v>2016</v>
      </c>
      <c r="F668" s="178" t="s">
        <v>23395</v>
      </c>
      <c r="G668" s="496"/>
      <c r="H668" s="994" t="s">
        <v>20224</v>
      </c>
      <c r="I668" s="11" t="s">
        <v>1557</v>
      </c>
      <c r="J668" s="1285"/>
      <c r="K668" s="1285"/>
      <c r="L668" s="1285"/>
    </row>
    <row r="669" spans="1:12" ht="11.15" customHeight="1">
      <c r="A669" s="129" t="s">
        <v>1558</v>
      </c>
      <c r="B669" s="59" t="s">
        <v>20351</v>
      </c>
      <c r="C669" s="147" t="s">
        <v>20221</v>
      </c>
      <c r="D669" s="284" t="s">
        <v>897</v>
      </c>
      <c r="E669" s="178">
        <v>2012</v>
      </c>
      <c r="F669" s="178" t="s">
        <v>23395</v>
      </c>
      <c r="G669" s="496"/>
      <c r="H669" s="994" t="s">
        <v>20277</v>
      </c>
      <c r="I669" s="11" t="s">
        <v>1559</v>
      </c>
      <c r="J669" s="1285"/>
      <c r="K669" s="1285"/>
      <c r="L669" s="1285"/>
    </row>
    <row r="670" spans="1:12" ht="11.15" customHeight="1" thickBot="1">
      <c r="A670" s="185"/>
      <c r="B670" s="90"/>
      <c r="C670" s="147"/>
      <c r="D670" s="161"/>
      <c r="E670" s="36"/>
      <c r="F670" s="178"/>
      <c r="G670" s="60"/>
      <c r="H670" s="36"/>
      <c r="I670" s="11"/>
    </row>
    <row r="671" spans="1:12" ht="11.15" customHeight="1" thickBot="1">
      <c r="A671" s="184" t="s">
        <v>1560</v>
      </c>
      <c r="B671" s="59" t="s">
        <v>20353</v>
      </c>
      <c r="C671" s="147" t="s">
        <v>20221</v>
      </c>
      <c r="D671" s="284" t="s">
        <v>897</v>
      </c>
      <c r="E671" s="178">
        <v>2022</v>
      </c>
      <c r="F671" s="178" t="s">
        <v>23394</v>
      </c>
      <c r="G671" s="496"/>
      <c r="H671" s="994" t="s">
        <v>20343</v>
      </c>
      <c r="I671" s="11" t="s">
        <v>1561</v>
      </c>
      <c r="J671" s="1285"/>
      <c r="K671" s="1285"/>
      <c r="L671" s="1285"/>
    </row>
    <row r="672" spans="1:12" ht="11.15" customHeight="1">
      <c r="A672" s="29" t="s">
        <v>1562</v>
      </c>
      <c r="B672" s="90"/>
      <c r="C672" s="147"/>
      <c r="D672" s="161"/>
      <c r="E672" s="36"/>
      <c r="F672" s="178"/>
      <c r="G672" s="496"/>
      <c r="H672" s="36"/>
      <c r="I672" s="11"/>
    </row>
    <row r="673" spans="1:12" ht="11.15" customHeight="1">
      <c r="A673" s="29" t="s">
        <v>1563</v>
      </c>
      <c r="B673" s="90"/>
      <c r="C673" s="147"/>
      <c r="D673" s="161"/>
      <c r="E673" s="36"/>
      <c r="F673" s="178"/>
      <c r="G673" s="497"/>
      <c r="H673" s="36"/>
      <c r="I673" s="11"/>
    </row>
    <row r="674" spans="1:12" ht="11.15" customHeight="1">
      <c r="A674" s="169" t="s">
        <v>1564</v>
      </c>
      <c r="B674" s="90"/>
      <c r="C674" s="147"/>
      <c r="D674" s="161"/>
      <c r="E674" s="36"/>
      <c r="F674" s="178"/>
      <c r="G674" s="497"/>
      <c r="H674" s="36"/>
      <c r="I674" s="11"/>
    </row>
    <row r="675" spans="1:12" ht="11.15" customHeight="1" thickBot="1">
      <c r="A675" s="29"/>
      <c r="B675" s="90"/>
      <c r="C675" s="147"/>
      <c r="D675" s="161"/>
      <c r="E675" s="36"/>
      <c r="F675" s="178"/>
      <c r="G675" s="497"/>
      <c r="H675" s="36"/>
      <c r="I675" s="11"/>
    </row>
    <row r="676" spans="1:12" ht="11.15" customHeight="1">
      <c r="A676" s="153" t="s">
        <v>1565</v>
      </c>
      <c r="B676" s="59" t="s">
        <v>20354</v>
      </c>
      <c r="C676" s="147" t="s">
        <v>20221</v>
      </c>
      <c r="D676" s="284" t="s">
        <v>897</v>
      </c>
      <c r="E676" s="178">
        <v>2020</v>
      </c>
      <c r="F676" s="178" t="s">
        <v>4520</v>
      </c>
      <c r="G676" s="496"/>
      <c r="H676" s="994" t="s">
        <v>20221</v>
      </c>
      <c r="I676" s="11" t="s">
        <v>1566</v>
      </c>
      <c r="J676" s="1285"/>
      <c r="K676" s="1285"/>
      <c r="L676" s="1285"/>
    </row>
    <row r="677" spans="1:12" ht="11.15" customHeight="1" thickBot="1">
      <c r="A677" s="230" t="s">
        <v>1567</v>
      </c>
      <c r="B677" s="59" t="s">
        <v>20354</v>
      </c>
      <c r="C677" s="147" t="s">
        <v>20221</v>
      </c>
      <c r="D677" s="284" t="s">
        <v>897</v>
      </c>
      <c r="E677" s="178">
        <v>2019</v>
      </c>
      <c r="F677" s="178" t="s">
        <v>4520</v>
      </c>
      <c r="G677" s="496"/>
      <c r="H677" s="994" t="s">
        <v>20221</v>
      </c>
      <c r="I677" s="11" t="s">
        <v>1568</v>
      </c>
      <c r="J677" s="1285"/>
      <c r="K677" s="1285"/>
      <c r="L677" s="1285"/>
    </row>
    <row r="678" spans="1:12" ht="11.15" customHeight="1">
      <c r="A678" s="29" t="s">
        <v>1569</v>
      </c>
      <c r="B678" s="59" t="s">
        <v>20354</v>
      </c>
      <c r="C678" s="147" t="s">
        <v>20221</v>
      </c>
      <c r="D678" s="284" t="s">
        <v>897</v>
      </c>
      <c r="E678" s="178">
        <v>2018</v>
      </c>
      <c r="F678" s="178" t="s">
        <v>4520</v>
      </c>
      <c r="G678" s="496"/>
      <c r="H678" s="994" t="s">
        <v>20221</v>
      </c>
      <c r="I678" s="11" t="s">
        <v>1570</v>
      </c>
      <c r="J678" s="1285"/>
      <c r="K678" s="1285"/>
      <c r="L678" s="1285"/>
    </row>
    <row r="679" spans="1:12" ht="11.15" customHeight="1">
      <c r="A679" s="29" t="s">
        <v>1571</v>
      </c>
      <c r="B679" s="59" t="s">
        <v>20355</v>
      </c>
      <c r="C679" s="147" t="s">
        <v>20221</v>
      </c>
      <c r="D679" s="284" t="s">
        <v>897</v>
      </c>
      <c r="E679" s="178">
        <v>1994</v>
      </c>
      <c r="F679" s="178" t="s">
        <v>11931</v>
      </c>
      <c r="G679" s="496"/>
      <c r="H679" s="994" t="s">
        <v>20224</v>
      </c>
      <c r="I679" s="11" t="s">
        <v>1572</v>
      </c>
      <c r="J679" s="1285"/>
      <c r="K679" s="1285"/>
      <c r="L679" s="1285"/>
    </row>
    <row r="680" spans="1:12" ht="11.15" customHeight="1">
      <c r="A680" s="29" t="s">
        <v>1573</v>
      </c>
      <c r="B680" s="185"/>
      <c r="C680" s="147"/>
      <c r="D680" s="129"/>
      <c r="E680" s="185"/>
      <c r="F680" s="185"/>
      <c r="G680" s="185"/>
      <c r="H680" s="185"/>
      <c r="I680" s="11"/>
    </row>
    <row r="681" spans="1:12" ht="11.15" customHeight="1">
      <c r="A681" s="218" t="s">
        <v>1556</v>
      </c>
      <c r="B681" s="90"/>
      <c r="C681" s="147"/>
      <c r="D681" s="161"/>
      <c r="E681" s="36"/>
      <c r="F681" s="178"/>
      <c r="G681" s="496"/>
      <c r="H681" s="36"/>
      <c r="I681" s="11"/>
    </row>
    <row r="682" spans="1:12" ht="11.15" customHeight="1">
      <c r="A682" s="129" t="s">
        <v>1574</v>
      </c>
      <c r="B682" s="90"/>
      <c r="C682" s="147"/>
      <c r="D682" s="161"/>
      <c r="E682" s="36"/>
      <c r="F682" s="178"/>
      <c r="G682" s="496"/>
      <c r="H682" s="36"/>
      <c r="I682" s="11"/>
    </row>
    <row r="683" spans="1:12" ht="11.15" customHeight="1" thickBot="1">
      <c r="A683" s="185"/>
      <c r="B683" s="90"/>
      <c r="C683" s="147"/>
      <c r="D683" s="161"/>
      <c r="E683" s="36"/>
      <c r="F683" s="183"/>
      <c r="G683" s="496"/>
      <c r="H683" s="34"/>
      <c r="I683" s="11"/>
    </row>
    <row r="684" spans="1:12" ht="11.15" customHeight="1" thickBot="1">
      <c r="A684" s="184" t="s">
        <v>1575</v>
      </c>
      <c r="B684" s="59" t="s">
        <v>20356</v>
      </c>
      <c r="C684" s="147" t="s">
        <v>20221</v>
      </c>
      <c r="D684" s="284" t="s">
        <v>897</v>
      </c>
      <c r="E684" s="178">
        <v>1997</v>
      </c>
      <c r="F684" s="178" t="s">
        <v>4520</v>
      </c>
      <c r="G684" s="496"/>
      <c r="H684" s="994" t="s">
        <v>20221</v>
      </c>
      <c r="I684" s="11" t="s">
        <v>1576</v>
      </c>
      <c r="J684" s="1285"/>
      <c r="K684" s="1285"/>
      <c r="L684" s="1285"/>
    </row>
    <row r="685" spans="1:12" ht="11.15" customHeight="1">
      <c r="A685" s="29" t="s">
        <v>1577</v>
      </c>
      <c r="B685" s="90"/>
      <c r="C685" s="147"/>
      <c r="D685" s="161"/>
      <c r="E685" s="36"/>
      <c r="F685" s="178"/>
      <c r="G685" s="671"/>
      <c r="H685" s="36"/>
      <c r="I685" s="11"/>
    </row>
    <row r="686" spans="1:12" ht="11.15" customHeight="1">
      <c r="A686" s="129" t="s">
        <v>1578</v>
      </c>
      <c r="B686" s="90"/>
      <c r="C686" s="147"/>
      <c r="D686" s="161"/>
      <c r="E686" s="36"/>
      <c r="F686" s="178"/>
      <c r="G686" s="496"/>
      <c r="H686" s="36"/>
      <c r="I686" s="11"/>
    </row>
    <row r="687" spans="1:12" ht="11.15" customHeight="1" thickBot="1">
      <c r="A687" s="185"/>
      <c r="B687" s="185"/>
      <c r="C687" s="147"/>
      <c r="D687" s="129"/>
      <c r="E687" s="185"/>
      <c r="F687" s="185"/>
      <c r="G687" s="185"/>
      <c r="H687" s="185"/>
      <c r="I687" s="11"/>
    </row>
    <row r="688" spans="1:12" ht="11.15" customHeight="1">
      <c r="A688" s="153" t="s">
        <v>1579</v>
      </c>
      <c r="B688" s="154" t="s">
        <v>1580</v>
      </c>
      <c r="C688" s="147"/>
      <c r="D688" s="185"/>
      <c r="E688" s="185"/>
      <c r="F688" s="185"/>
      <c r="G688" s="185"/>
      <c r="H688" s="185"/>
      <c r="I688" s="11"/>
    </row>
    <row r="689" spans="1:12" ht="11.15" customHeight="1">
      <c r="A689" s="277" t="s">
        <v>1581</v>
      </c>
      <c r="B689" s="59" t="s">
        <v>20357</v>
      </c>
      <c r="C689" s="147" t="s">
        <v>20221</v>
      </c>
      <c r="D689" s="284" t="s">
        <v>897</v>
      </c>
      <c r="E689" s="178">
        <v>2020</v>
      </c>
      <c r="F689" s="178" t="s">
        <v>4520</v>
      </c>
      <c r="G689" s="496"/>
      <c r="H689" s="994" t="s">
        <v>20224</v>
      </c>
      <c r="I689" s="11" t="s">
        <v>1582</v>
      </c>
      <c r="J689" s="1285"/>
      <c r="K689" s="1285"/>
      <c r="L689" s="1285"/>
    </row>
    <row r="690" spans="1:12" ht="11.15" customHeight="1">
      <c r="A690" s="277" t="s">
        <v>1583</v>
      </c>
      <c r="B690" s="59" t="s">
        <v>20357</v>
      </c>
      <c r="C690" s="147" t="s">
        <v>20221</v>
      </c>
      <c r="D690" s="284" t="s">
        <v>897</v>
      </c>
      <c r="E690" s="178">
        <v>2019</v>
      </c>
      <c r="F690" s="178" t="s">
        <v>4520</v>
      </c>
      <c r="G690" s="496"/>
      <c r="H690" s="994" t="s">
        <v>20224</v>
      </c>
      <c r="I690" s="11" t="s">
        <v>1584</v>
      </c>
      <c r="J690" s="1285"/>
      <c r="K690" s="1285"/>
      <c r="L690" s="1285"/>
    </row>
    <row r="691" spans="1:12" ht="11.15" customHeight="1" thickBot="1">
      <c r="A691" s="230" t="s">
        <v>1585</v>
      </c>
      <c r="B691" s="154" t="s">
        <v>1586</v>
      </c>
      <c r="C691" s="147"/>
      <c r="D691" s="161"/>
      <c r="E691" s="36"/>
      <c r="F691" s="178"/>
      <c r="G691" s="497"/>
      <c r="H691" s="36"/>
      <c r="I691" s="11"/>
    </row>
    <row r="692" spans="1:12" ht="11.15" customHeight="1">
      <c r="A692" s="29" t="s">
        <v>1587</v>
      </c>
      <c r="B692" s="59" t="s">
        <v>20358</v>
      </c>
      <c r="C692" s="147" t="s">
        <v>20221</v>
      </c>
      <c r="D692" s="284" t="s">
        <v>897</v>
      </c>
      <c r="E692" s="178">
        <v>2022</v>
      </c>
      <c r="F692" s="178" t="s">
        <v>23394</v>
      </c>
      <c r="G692" s="496"/>
      <c r="H692" s="994" t="s">
        <v>20224</v>
      </c>
      <c r="I692" s="11" t="s">
        <v>1588</v>
      </c>
      <c r="J692" s="1285"/>
      <c r="K692" s="1285"/>
      <c r="L692" s="1285"/>
    </row>
    <row r="693" spans="1:12" ht="11.15" customHeight="1">
      <c r="A693" s="29" t="s">
        <v>1589</v>
      </c>
      <c r="B693" s="59" t="s">
        <v>20358</v>
      </c>
      <c r="C693" s="147" t="s">
        <v>20221</v>
      </c>
      <c r="D693" s="284" t="s">
        <v>897</v>
      </c>
      <c r="E693" s="178">
        <v>2021</v>
      </c>
      <c r="F693" s="178" t="s">
        <v>23394</v>
      </c>
      <c r="G693" s="496"/>
      <c r="H693" s="994" t="s">
        <v>20224</v>
      </c>
      <c r="I693" s="11" t="s">
        <v>1590</v>
      </c>
      <c r="J693" s="1285"/>
      <c r="K693" s="1285"/>
      <c r="L693" s="1285"/>
    </row>
    <row r="694" spans="1:12" ht="11.15" customHeight="1">
      <c r="A694" s="29" t="s">
        <v>1591</v>
      </c>
      <c r="B694" s="59" t="s">
        <v>20358</v>
      </c>
      <c r="C694" s="147" t="s">
        <v>20221</v>
      </c>
      <c r="D694" s="284" t="s">
        <v>897</v>
      </c>
      <c r="E694" s="178">
        <v>2020</v>
      </c>
      <c r="F694" s="178" t="s">
        <v>4520</v>
      </c>
      <c r="G694" s="496"/>
      <c r="H694" s="994" t="s">
        <v>20224</v>
      </c>
      <c r="I694" s="11" t="s">
        <v>1592</v>
      </c>
      <c r="J694" s="1285"/>
      <c r="K694" s="1285"/>
      <c r="L694" s="1285"/>
    </row>
    <row r="695" spans="1:12" ht="11.15" customHeight="1">
      <c r="A695" s="29" t="s">
        <v>1593</v>
      </c>
      <c r="B695" s="59" t="s">
        <v>20358</v>
      </c>
      <c r="C695" s="147" t="s">
        <v>20221</v>
      </c>
      <c r="D695" s="284" t="s">
        <v>897</v>
      </c>
      <c r="E695" s="178">
        <v>2018</v>
      </c>
      <c r="F695" s="178" t="s">
        <v>23394</v>
      </c>
      <c r="G695" s="496"/>
      <c r="H695" s="994" t="s">
        <v>20224</v>
      </c>
      <c r="I695" s="11" t="s">
        <v>1594</v>
      </c>
      <c r="J695" s="1285"/>
      <c r="K695" s="1285"/>
      <c r="L695" s="1285"/>
    </row>
    <row r="696" spans="1:12" ht="11.15" customHeight="1">
      <c r="A696" s="218" t="s">
        <v>1595</v>
      </c>
      <c r="B696" s="59" t="s">
        <v>20358</v>
      </c>
      <c r="C696" s="147" t="s">
        <v>20221</v>
      </c>
      <c r="D696" s="284" t="s">
        <v>897</v>
      </c>
      <c r="E696" s="178">
        <v>2017</v>
      </c>
      <c r="F696" s="178" t="s">
        <v>23394</v>
      </c>
      <c r="G696" s="496"/>
      <c r="H696" s="994" t="s">
        <v>20224</v>
      </c>
      <c r="I696" s="11" t="s">
        <v>1596</v>
      </c>
      <c r="J696" s="1285"/>
      <c r="K696" s="1285"/>
      <c r="L696" s="1285"/>
    </row>
    <row r="697" spans="1:12" ht="11.15" customHeight="1">
      <c r="A697" s="129" t="s">
        <v>896</v>
      </c>
      <c r="B697" s="185"/>
      <c r="C697" s="147"/>
      <c r="D697" s="185"/>
      <c r="E697" s="185"/>
      <c r="F697" s="185"/>
      <c r="G697" s="185"/>
      <c r="H697" s="185"/>
      <c r="I697" s="11"/>
    </row>
    <row r="698" spans="1:12" ht="11.15" customHeight="1">
      <c r="A698" s="162" t="s">
        <v>1597</v>
      </c>
      <c r="B698" s="185"/>
      <c r="C698" s="147"/>
      <c r="D698" s="185"/>
      <c r="E698" s="185"/>
      <c r="F698" s="185"/>
      <c r="G698" s="185"/>
      <c r="H698" s="185"/>
      <c r="I698" s="11"/>
    </row>
    <row r="699" spans="1:12" ht="11.15" customHeight="1">
      <c r="A699" s="162" t="s">
        <v>1598</v>
      </c>
      <c r="B699" s="90"/>
      <c r="C699" s="147"/>
      <c r="D699" s="161"/>
      <c r="E699" s="36"/>
      <c r="F699" s="178"/>
      <c r="G699" s="497"/>
      <c r="H699" s="36"/>
      <c r="I699" s="11"/>
    </row>
    <row r="700" spans="1:12" ht="9" customHeight="1">
      <c r="A700" s="129" t="s">
        <v>1077</v>
      </c>
      <c r="B700" s="90"/>
      <c r="C700" s="147"/>
      <c r="D700" s="161"/>
      <c r="E700" s="36"/>
      <c r="F700" s="178"/>
      <c r="G700" s="497"/>
      <c r="H700" s="36"/>
      <c r="I700" s="11"/>
    </row>
    <row r="701" spans="1:12" ht="9" customHeight="1">
      <c r="A701" s="162" t="s">
        <v>1599</v>
      </c>
      <c r="B701" s="90"/>
      <c r="C701" s="147"/>
      <c r="D701" s="161"/>
      <c r="E701" s="36"/>
      <c r="F701" s="178"/>
      <c r="G701" s="497"/>
      <c r="H701" s="36"/>
      <c r="I701" s="11"/>
    </row>
    <row r="702" spans="1:12" ht="9" customHeight="1">
      <c r="A702" s="162" t="s">
        <v>1600</v>
      </c>
      <c r="B702" s="90"/>
      <c r="C702" s="147"/>
      <c r="D702" s="161"/>
      <c r="E702" s="36"/>
      <c r="F702" s="178"/>
      <c r="G702" s="497"/>
      <c r="H702" s="36"/>
      <c r="I702" s="11"/>
    </row>
    <row r="703" spans="1:12" ht="9" customHeight="1">
      <c r="A703" s="162" t="s">
        <v>1601</v>
      </c>
      <c r="B703" s="90"/>
      <c r="C703" s="147"/>
      <c r="D703" s="161"/>
      <c r="E703" s="36"/>
      <c r="F703" s="178"/>
      <c r="G703" s="497"/>
      <c r="H703" s="36"/>
      <c r="I703" s="11"/>
    </row>
    <row r="704" spans="1:12" ht="9" customHeight="1">
      <c r="A704" s="162" t="s">
        <v>1602</v>
      </c>
      <c r="B704" s="90"/>
      <c r="C704" s="147"/>
      <c r="D704" s="161"/>
      <c r="E704" s="36"/>
      <c r="F704" s="178"/>
      <c r="G704" s="497"/>
      <c r="H704" s="36"/>
      <c r="I704" s="11"/>
    </row>
    <row r="705" spans="1:12" ht="9" customHeight="1">
      <c r="A705" s="162" t="s">
        <v>1603</v>
      </c>
      <c r="B705" s="90"/>
      <c r="C705" s="147"/>
      <c r="D705" s="161"/>
      <c r="E705" s="36"/>
      <c r="F705" s="178"/>
      <c r="G705" s="497"/>
      <c r="H705" s="36"/>
      <c r="I705" s="11"/>
    </row>
    <row r="706" spans="1:12" ht="9" customHeight="1">
      <c r="A706" s="162" t="s">
        <v>1604</v>
      </c>
      <c r="B706" s="90"/>
      <c r="C706" s="147"/>
      <c r="D706" s="161"/>
      <c r="E706" s="36"/>
      <c r="F706" s="178"/>
      <c r="G706" s="497"/>
      <c r="H706" s="36"/>
      <c r="I706" s="11"/>
    </row>
    <row r="707" spans="1:12" ht="9" customHeight="1">
      <c r="A707" s="162" t="s">
        <v>1605</v>
      </c>
      <c r="B707" s="90"/>
      <c r="C707" s="147"/>
      <c r="D707" s="161"/>
      <c r="E707" s="36"/>
      <c r="F707" s="178"/>
      <c r="G707" s="497"/>
      <c r="H707" s="36"/>
      <c r="I707" s="11"/>
    </row>
    <row r="708" spans="1:12" ht="9" customHeight="1">
      <c r="A708" s="162" t="s">
        <v>1606</v>
      </c>
      <c r="B708" s="90"/>
      <c r="C708" s="147"/>
      <c r="D708" s="161"/>
      <c r="E708" s="36"/>
      <c r="F708" s="178"/>
      <c r="G708" s="497"/>
      <c r="H708" s="36"/>
      <c r="I708" s="11"/>
    </row>
    <row r="709" spans="1:12" ht="11.15" customHeight="1">
      <c r="A709" s="162" t="s">
        <v>1607</v>
      </c>
      <c r="B709" s="185"/>
      <c r="C709" s="147"/>
      <c r="D709" s="185"/>
      <c r="E709" s="185"/>
      <c r="F709" s="185"/>
      <c r="G709" s="185"/>
      <c r="H709" s="185"/>
      <c r="I709" s="11"/>
    </row>
    <row r="710" spans="1:12" ht="11.15" customHeight="1">
      <c r="A710" s="166" t="s">
        <v>1608</v>
      </c>
      <c r="B710" s="185"/>
      <c r="C710" s="147"/>
      <c r="D710" s="129"/>
      <c r="E710" s="185"/>
      <c r="F710" s="185"/>
      <c r="G710" s="185"/>
      <c r="H710" s="185"/>
      <c r="I710" s="11"/>
    </row>
    <row r="711" spans="1:12" ht="11.15" customHeight="1">
      <c r="A711" s="129" t="s">
        <v>1609</v>
      </c>
      <c r="B711" s="185"/>
      <c r="C711" s="147"/>
      <c r="D711" s="129"/>
      <c r="E711" s="185"/>
      <c r="F711" s="185"/>
      <c r="G711" s="185"/>
      <c r="H711" s="185"/>
      <c r="I711" s="11"/>
    </row>
    <row r="712" spans="1:12" ht="11.15" customHeight="1">
      <c r="A712" s="129" t="s">
        <v>1610</v>
      </c>
      <c r="B712" s="185"/>
      <c r="C712" s="147"/>
      <c r="D712" s="129"/>
      <c r="E712" s="185"/>
      <c r="F712" s="185"/>
      <c r="G712" s="185"/>
      <c r="H712" s="185"/>
      <c r="I712" s="11"/>
    </row>
    <row r="713" spans="1:12" ht="11.15" customHeight="1">
      <c r="A713" s="129" t="s">
        <v>1611</v>
      </c>
      <c r="B713" s="185"/>
      <c r="C713" s="147"/>
      <c r="D713" s="129"/>
      <c r="E713" s="185"/>
      <c r="F713" s="185"/>
      <c r="G713" s="185"/>
      <c r="H713" s="185"/>
      <c r="I713" s="11"/>
    </row>
    <row r="714" spans="1:12" ht="11.15" customHeight="1" thickBot="1">
      <c r="A714" s="162"/>
      <c r="B714" s="90"/>
      <c r="C714" s="147"/>
      <c r="D714" s="161"/>
      <c r="E714" s="36"/>
      <c r="F714" s="178"/>
      <c r="G714" s="497"/>
      <c r="H714" s="36"/>
      <c r="I714" s="11"/>
    </row>
    <row r="715" spans="1:12" ht="11.15" customHeight="1" thickBot="1">
      <c r="A715" s="184" t="s">
        <v>1612</v>
      </c>
      <c r="B715" s="59" t="s">
        <v>20359</v>
      </c>
      <c r="C715" s="147" t="s">
        <v>20221</v>
      </c>
      <c r="D715" s="284" t="s">
        <v>897</v>
      </c>
      <c r="E715" s="178">
        <v>2020</v>
      </c>
      <c r="F715" s="178" t="s">
        <v>4520</v>
      </c>
      <c r="G715" s="496"/>
      <c r="H715" s="994" t="s">
        <v>20224</v>
      </c>
      <c r="I715" s="11" t="s">
        <v>1613</v>
      </c>
      <c r="J715" s="1285"/>
      <c r="K715" s="1285"/>
      <c r="L715" s="1285"/>
    </row>
    <row r="716" spans="1:12" ht="11.15" customHeight="1">
      <c r="A716" s="29" t="s">
        <v>1614</v>
      </c>
      <c r="B716" s="90"/>
      <c r="C716" s="147"/>
      <c r="D716" s="161"/>
      <c r="E716" s="36"/>
      <c r="F716" s="178"/>
      <c r="G716" s="1181"/>
      <c r="H716" s="36"/>
      <c r="I716" s="11"/>
    </row>
    <row r="717" spans="1:12" ht="11.15" customHeight="1">
      <c r="A717" s="29" t="s">
        <v>1615</v>
      </c>
      <c r="B717" s="90"/>
      <c r="C717" s="147"/>
      <c r="D717" s="161"/>
      <c r="E717" s="36"/>
      <c r="F717" s="178"/>
      <c r="G717" s="1181"/>
      <c r="H717" s="36"/>
      <c r="I717" s="11"/>
    </row>
    <row r="718" spans="1:12" ht="11.15" customHeight="1">
      <c r="A718" s="181" t="s">
        <v>1616</v>
      </c>
      <c r="B718" s="90"/>
      <c r="C718" s="147"/>
      <c r="D718" s="161"/>
      <c r="E718" s="36"/>
      <c r="F718" s="178"/>
      <c r="G718" s="1181"/>
      <c r="H718" s="36"/>
      <c r="I718" s="11"/>
    </row>
    <row r="719" spans="1:12" ht="11.15" customHeight="1">
      <c r="A719" s="166" t="s">
        <v>1564</v>
      </c>
      <c r="B719" s="90"/>
      <c r="C719" s="147"/>
      <c r="D719" s="161"/>
      <c r="E719" s="36"/>
      <c r="F719" s="178"/>
      <c r="G719" s="1181"/>
      <c r="H719" s="36"/>
      <c r="I719" s="11"/>
    </row>
    <row r="720" spans="1:12" ht="11.15" customHeight="1" thickBot="1">
      <c r="A720" s="162"/>
      <c r="B720" s="90"/>
      <c r="C720" s="147"/>
      <c r="D720" s="161"/>
      <c r="E720" s="36"/>
      <c r="F720" s="178"/>
      <c r="G720" s="497"/>
      <c r="H720" s="36"/>
      <c r="I720" s="11"/>
    </row>
    <row r="721" spans="1:12" ht="11.15" customHeight="1">
      <c r="A721" s="153" t="s">
        <v>1617</v>
      </c>
      <c r="B721" s="59" t="s">
        <v>20360</v>
      </c>
      <c r="C721" s="147" t="s">
        <v>20221</v>
      </c>
      <c r="D721" s="284" t="s">
        <v>897</v>
      </c>
      <c r="E721" s="178" t="s">
        <v>20361</v>
      </c>
      <c r="F721" s="178" t="s">
        <v>4520</v>
      </c>
      <c r="G721" s="496"/>
      <c r="H721" s="994" t="s">
        <v>20224</v>
      </c>
      <c r="I721" s="11" t="s">
        <v>1618</v>
      </c>
      <c r="J721" s="1285"/>
      <c r="K721" s="1285"/>
      <c r="L721" s="1285"/>
    </row>
    <row r="722" spans="1:12" ht="11.15" customHeight="1" thickBot="1">
      <c r="A722" s="230" t="s">
        <v>1619</v>
      </c>
      <c r="B722" s="59" t="s">
        <v>37</v>
      </c>
      <c r="C722" s="147" t="s">
        <v>20221</v>
      </c>
      <c r="D722" s="284" t="s">
        <v>897</v>
      </c>
      <c r="E722" s="178">
        <v>2021</v>
      </c>
      <c r="F722" s="178" t="s">
        <v>9658</v>
      </c>
      <c r="G722" s="496"/>
      <c r="H722" s="994" t="s">
        <v>20224</v>
      </c>
      <c r="I722" s="11" t="s">
        <v>1620</v>
      </c>
      <c r="J722" s="1285"/>
      <c r="K722" s="1285"/>
      <c r="L722" s="1285"/>
    </row>
    <row r="723" spans="1:12" ht="11.15" customHeight="1">
      <c r="A723" s="29" t="s">
        <v>1621</v>
      </c>
      <c r="B723" s="59"/>
      <c r="C723" s="147"/>
      <c r="D723" s="284"/>
      <c r="E723" s="178"/>
      <c r="F723" s="178"/>
      <c r="G723" s="496"/>
      <c r="H723" s="994"/>
      <c r="I723" s="12"/>
      <c r="J723" s="1285"/>
      <c r="K723" s="1285"/>
      <c r="L723" s="1285"/>
    </row>
    <row r="724" spans="1:12" ht="11.15" customHeight="1">
      <c r="A724" s="29" t="s">
        <v>1622</v>
      </c>
      <c r="B724" s="90"/>
      <c r="C724" s="147"/>
      <c r="D724" s="161"/>
      <c r="E724" s="36"/>
      <c r="F724" s="178"/>
      <c r="G724" s="1181"/>
      <c r="H724" s="36"/>
      <c r="I724" s="11"/>
    </row>
    <row r="725" spans="1:12" ht="11.15" customHeight="1">
      <c r="A725" s="29" t="s">
        <v>1623</v>
      </c>
      <c r="B725" s="185"/>
      <c r="C725" s="147"/>
      <c r="D725" s="185"/>
      <c r="E725" s="185"/>
      <c r="F725" s="185"/>
      <c r="G725" s="185"/>
      <c r="H725" s="185"/>
      <c r="I725" s="11"/>
    </row>
    <row r="726" spans="1:12" ht="11.15" customHeight="1">
      <c r="A726" s="218" t="s">
        <v>1556</v>
      </c>
      <c r="B726" s="90"/>
      <c r="C726" s="147"/>
      <c r="D726" s="161"/>
      <c r="E726" s="36"/>
      <c r="F726" s="178"/>
      <c r="G726" s="496"/>
      <c r="H726" s="36"/>
      <c r="I726" s="11"/>
    </row>
    <row r="727" spans="1:12" ht="11.15" customHeight="1">
      <c r="A727" s="129" t="s">
        <v>1077</v>
      </c>
      <c r="B727" s="90"/>
      <c r="C727" s="147"/>
      <c r="D727" s="161"/>
      <c r="E727" s="36"/>
      <c r="F727" s="178"/>
      <c r="G727" s="453"/>
      <c r="H727" s="36"/>
      <c r="I727" s="11"/>
    </row>
    <row r="728" spans="1:12" ht="11.15" customHeight="1">
      <c r="A728" s="162" t="s">
        <v>1624</v>
      </c>
      <c r="B728" s="90"/>
      <c r="C728" s="147"/>
      <c r="D728" s="161"/>
      <c r="E728" s="36"/>
      <c r="F728" s="178"/>
      <c r="G728" s="453"/>
      <c r="H728" s="36"/>
      <c r="I728" s="11"/>
    </row>
    <row r="729" spans="1:12" ht="11.15" customHeight="1">
      <c r="A729" s="162" t="s">
        <v>1625</v>
      </c>
      <c r="B729" s="90"/>
      <c r="C729" s="147"/>
      <c r="D729" s="161"/>
      <c r="E729" s="36"/>
      <c r="F729" s="178"/>
      <c r="G729" s="453"/>
      <c r="H729" s="36"/>
      <c r="I729" s="11"/>
    </row>
    <row r="730" spans="1:12" ht="11.15" customHeight="1">
      <c r="A730" s="162" t="s">
        <v>1626</v>
      </c>
      <c r="B730" s="90"/>
      <c r="C730" s="147"/>
      <c r="D730" s="161"/>
      <c r="E730" s="36"/>
      <c r="F730" s="178"/>
      <c r="G730" s="453"/>
      <c r="H730" s="36"/>
      <c r="I730" s="11"/>
    </row>
    <row r="731" spans="1:12" ht="11.15" customHeight="1">
      <c r="A731" s="162" t="s">
        <v>1627</v>
      </c>
      <c r="B731" s="90"/>
      <c r="C731" s="147"/>
      <c r="D731" s="161"/>
      <c r="E731" s="36"/>
      <c r="F731" s="178"/>
      <c r="G731" s="453"/>
      <c r="H731" s="36"/>
      <c r="I731" s="11"/>
    </row>
    <row r="732" spans="1:12" ht="11.15" customHeight="1">
      <c r="A732" s="162" t="s">
        <v>1628</v>
      </c>
      <c r="B732" s="90"/>
      <c r="C732" s="147"/>
      <c r="D732" s="161"/>
      <c r="E732" s="36"/>
      <c r="F732" s="178"/>
      <c r="G732" s="453"/>
      <c r="H732" s="36"/>
      <c r="I732" s="11"/>
    </row>
    <row r="733" spans="1:12" ht="11.15" customHeight="1">
      <c r="A733" s="162" t="s">
        <v>1629</v>
      </c>
      <c r="B733" s="90"/>
      <c r="C733" s="147"/>
      <c r="D733" s="161"/>
      <c r="E733" s="36"/>
      <c r="F733" s="178"/>
      <c r="G733" s="453"/>
      <c r="H733" s="36"/>
      <c r="I733" s="11"/>
    </row>
    <row r="734" spans="1:12" ht="11.15" customHeight="1">
      <c r="A734" s="129" t="s">
        <v>1630</v>
      </c>
      <c r="B734" s="90"/>
      <c r="C734" s="147"/>
      <c r="D734" s="161"/>
      <c r="E734" s="36"/>
      <c r="F734" s="178"/>
      <c r="G734" s="453"/>
      <c r="H734" s="36"/>
      <c r="I734" s="11"/>
    </row>
    <row r="735" spans="1:12" ht="11.15" customHeight="1">
      <c r="A735" s="279" t="s">
        <v>1631</v>
      </c>
      <c r="B735" s="90"/>
      <c r="C735" s="147"/>
      <c r="D735" s="161"/>
      <c r="E735" s="36"/>
      <c r="F735" s="178"/>
      <c r="G735" s="453"/>
      <c r="H735" s="36"/>
      <c r="I735" s="11"/>
    </row>
    <row r="736" spans="1:12" ht="11.15" customHeight="1">
      <c r="A736" s="129" t="s">
        <v>1632</v>
      </c>
      <c r="B736" s="90"/>
      <c r="C736" s="147"/>
      <c r="D736" s="161"/>
      <c r="E736" s="36"/>
      <c r="F736" s="178"/>
      <c r="G736" s="453"/>
      <c r="H736" s="36"/>
      <c r="I736" s="11"/>
    </row>
    <row r="737" spans="1:12" ht="11.15" customHeight="1">
      <c r="A737" s="129" t="s">
        <v>1633</v>
      </c>
      <c r="B737" s="90"/>
      <c r="C737" s="147"/>
      <c r="D737" s="161"/>
      <c r="E737" s="36"/>
      <c r="F737" s="178"/>
      <c r="G737" s="453"/>
      <c r="H737" s="36"/>
      <c r="I737" s="11"/>
    </row>
    <row r="738" spans="1:12" ht="11.15" customHeight="1">
      <c r="A738" s="129" t="s">
        <v>1634</v>
      </c>
      <c r="B738" s="90"/>
      <c r="C738" s="147"/>
      <c r="D738" s="161"/>
      <c r="E738" s="36"/>
      <c r="F738" s="178"/>
      <c r="G738" s="496"/>
      <c r="H738" s="36"/>
      <c r="I738" s="11"/>
    </row>
    <row r="739" spans="1:12" ht="11.15" customHeight="1" thickBot="1">
      <c r="A739" s="185"/>
      <c r="B739" s="90"/>
      <c r="C739" s="147"/>
      <c r="D739" s="161"/>
      <c r="E739" s="36"/>
      <c r="F739" s="178"/>
      <c r="G739" s="453"/>
      <c r="H739" s="36"/>
      <c r="I739" s="11"/>
    </row>
    <row r="740" spans="1:12" ht="11.15" customHeight="1" thickBot="1">
      <c r="A740" s="184" t="s">
        <v>1635</v>
      </c>
      <c r="B740" s="59" t="s">
        <v>20362</v>
      </c>
      <c r="C740" s="147" t="s">
        <v>20221</v>
      </c>
      <c r="D740" s="284" t="s">
        <v>897</v>
      </c>
      <c r="E740" s="178">
        <v>2022</v>
      </c>
      <c r="F740" s="178" t="s">
        <v>23394</v>
      </c>
      <c r="G740" s="496"/>
      <c r="H740" s="994" t="s">
        <v>20343</v>
      </c>
      <c r="I740" s="11" t="s">
        <v>1636</v>
      </c>
      <c r="J740" s="1285"/>
      <c r="K740" s="1285"/>
      <c r="L740" s="1285"/>
    </row>
    <row r="741" spans="1:12" ht="11.15" customHeight="1">
      <c r="A741" s="29" t="s">
        <v>1637</v>
      </c>
      <c r="B741" s="59" t="s">
        <v>20362</v>
      </c>
      <c r="C741" s="147" t="s">
        <v>20221</v>
      </c>
      <c r="D741" s="284" t="s">
        <v>897</v>
      </c>
      <c r="E741" s="178">
        <v>2020</v>
      </c>
      <c r="F741" s="178" t="s">
        <v>4520</v>
      </c>
      <c r="G741" s="496"/>
      <c r="H741" s="994" t="s">
        <v>20224</v>
      </c>
      <c r="I741" s="11" t="s">
        <v>1638</v>
      </c>
      <c r="J741" s="1285"/>
      <c r="K741" s="1285"/>
      <c r="L741" s="1285"/>
    </row>
    <row r="742" spans="1:12" ht="11.15" customHeight="1">
      <c r="A742" s="29" t="s">
        <v>1639</v>
      </c>
      <c r="B742" s="90"/>
      <c r="C742" s="147"/>
      <c r="D742" s="161"/>
      <c r="E742" s="36"/>
      <c r="F742" s="178"/>
      <c r="G742" s="671"/>
      <c r="H742" s="36"/>
      <c r="I742" s="11"/>
    </row>
    <row r="743" spans="1:12" ht="11.15" customHeight="1">
      <c r="A743" s="181" t="s">
        <v>1640</v>
      </c>
      <c r="B743" s="90"/>
      <c r="C743" s="147"/>
      <c r="D743" s="161"/>
      <c r="E743" s="36"/>
      <c r="F743" s="178"/>
      <c r="G743" s="671"/>
      <c r="H743" s="36"/>
      <c r="I743" s="11"/>
    </row>
    <row r="744" spans="1:12" ht="11.15" customHeight="1">
      <c r="A744" s="212" t="s">
        <v>1564</v>
      </c>
      <c r="B744" s="90"/>
      <c r="C744" s="147"/>
      <c r="D744" s="161"/>
      <c r="E744" s="36"/>
      <c r="F744" s="178"/>
      <c r="G744" s="671"/>
      <c r="H744" s="36"/>
      <c r="I744" s="11"/>
    </row>
    <row r="745" spans="1:12" ht="11.15" customHeight="1" thickBot="1">
      <c r="A745" s="280"/>
      <c r="B745" s="90"/>
      <c r="C745" s="147"/>
      <c r="D745" s="161"/>
      <c r="E745" s="36"/>
      <c r="F745" s="178"/>
      <c r="G745" s="671"/>
      <c r="H745" s="36"/>
      <c r="I745" s="11"/>
    </row>
    <row r="746" spans="1:12" ht="11.15" customHeight="1">
      <c r="A746" s="281" t="s">
        <v>1641</v>
      </c>
      <c r="B746" s="59" t="s">
        <v>39</v>
      </c>
      <c r="C746" s="147" t="s">
        <v>20221</v>
      </c>
      <c r="D746" s="284" t="s">
        <v>897</v>
      </c>
      <c r="E746" s="178">
        <v>2022</v>
      </c>
      <c r="F746" s="178" t="s">
        <v>4520</v>
      </c>
      <c r="G746" s="496"/>
      <c r="H746" s="994" t="s">
        <v>20221</v>
      </c>
      <c r="I746" s="11" t="s">
        <v>1642</v>
      </c>
      <c r="J746" s="1285"/>
      <c r="K746" s="1285"/>
      <c r="L746" s="1285"/>
    </row>
    <row r="747" spans="1:12" ht="11.15" customHeight="1" thickBot="1">
      <c r="A747" s="230" t="s">
        <v>1643</v>
      </c>
      <c r="B747" s="59" t="s">
        <v>39</v>
      </c>
      <c r="C747" s="147" t="s">
        <v>20221</v>
      </c>
      <c r="D747" s="284" t="s">
        <v>897</v>
      </c>
      <c r="E747" s="178">
        <v>2021</v>
      </c>
      <c r="F747" s="178" t="s">
        <v>4520</v>
      </c>
      <c r="G747" s="496"/>
      <c r="H747" s="994" t="s">
        <v>20221</v>
      </c>
      <c r="I747" s="11" t="s">
        <v>1644</v>
      </c>
      <c r="J747" s="1285"/>
      <c r="K747" s="1285"/>
      <c r="L747" s="1285"/>
    </row>
    <row r="748" spans="1:12" ht="11.15" customHeight="1">
      <c r="A748" s="29" t="s">
        <v>1645</v>
      </c>
      <c r="B748" s="59" t="s">
        <v>39</v>
      </c>
      <c r="C748" s="147" t="s">
        <v>20221</v>
      </c>
      <c r="D748" s="284" t="s">
        <v>897</v>
      </c>
      <c r="E748" s="178">
        <v>2020</v>
      </c>
      <c r="F748" s="178" t="s">
        <v>4520</v>
      </c>
      <c r="G748" s="496"/>
      <c r="H748" s="994" t="s">
        <v>20224</v>
      </c>
      <c r="I748" s="11" t="s">
        <v>1646</v>
      </c>
      <c r="J748" s="1285"/>
      <c r="K748" s="1285"/>
      <c r="L748" s="1285"/>
    </row>
    <row r="749" spans="1:12" ht="11.15" customHeight="1">
      <c r="A749" s="29" t="s">
        <v>1647</v>
      </c>
      <c r="B749" s="59" t="s">
        <v>39</v>
      </c>
      <c r="C749" s="147" t="s">
        <v>20221</v>
      </c>
      <c r="D749" s="284" t="s">
        <v>897</v>
      </c>
      <c r="E749" s="178">
        <v>2018</v>
      </c>
      <c r="F749" s="178" t="s">
        <v>23395</v>
      </c>
      <c r="G749" s="496"/>
      <c r="H749" s="994" t="s">
        <v>20221</v>
      </c>
      <c r="I749" s="11" t="s">
        <v>1648</v>
      </c>
      <c r="J749" s="1285"/>
      <c r="K749" s="1285"/>
      <c r="L749" s="1285"/>
    </row>
    <row r="750" spans="1:12" ht="11.15" customHeight="1">
      <c r="A750" s="29" t="s">
        <v>1649</v>
      </c>
      <c r="B750" s="59" t="s">
        <v>39</v>
      </c>
      <c r="C750" s="147" t="s">
        <v>20221</v>
      </c>
      <c r="D750" s="284" t="s">
        <v>897</v>
      </c>
      <c r="E750" s="178">
        <v>2017</v>
      </c>
      <c r="F750" s="178" t="s">
        <v>4520</v>
      </c>
      <c r="G750" s="496"/>
      <c r="H750" s="994" t="s">
        <v>20221</v>
      </c>
      <c r="I750" s="11" t="s">
        <v>1650</v>
      </c>
      <c r="J750" s="1285"/>
      <c r="K750" s="1285"/>
      <c r="L750" s="1285"/>
    </row>
    <row r="751" spans="1:12" ht="11.15" customHeight="1">
      <c r="A751" s="29" t="s">
        <v>1651</v>
      </c>
      <c r="B751" s="59" t="s">
        <v>20363</v>
      </c>
      <c r="C751" s="147" t="s">
        <v>20221</v>
      </c>
      <c r="D751" s="284" t="s">
        <v>897</v>
      </c>
      <c r="E751" s="178">
        <v>2011</v>
      </c>
      <c r="F751" s="178" t="s">
        <v>9678</v>
      </c>
      <c r="G751" s="496"/>
      <c r="H751" s="994" t="s">
        <v>20224</v>
      </c>
      <c r="I751" s="11" t="s">
        <v>1652</v>
      </c>
      <c r="J751" s="1285"/>
      <c r="K751" s="1285"/>
      <c r="L751" s="1285"/>
    </row>
    <row r="752" spans="1:12" ht="11.15" customHeight="1">
      <c r="A752" s="218" t="s">
        <v>1556</v>
      </c>
      <c r="B752" s="185"/>
      <c r="C752" s="147"/>
      <c r="D752" s="185"/>
      <c r="E752" s="185"/>
      <c r="F752" s="185"/>
      <c r="G752" s="185"/>
      <c r="H752" s="185"/>
      <c r="I752" s="11"/>
    </row>
    <row r="753" spans="1:12" ht="11.15" customHeight="1">
      <c r="A753" s="212" t="s">
        <v>1653</v>
      </c>
      <c r="B753" s="90"/>
      <c r="C753" s="147"/>
      <c r="D753" s="122"/>
      <c r="E753" s="36"/>
      <c r="F753" s="178"/>
      <c r="G753" s="453"/>
      <c r="H753" s="36"/>
      <c r="I753" s="11"/>
    </row>
    <row r="754" spans="1:12" ht="11.15" customHeight="1">
      <c r="A754" s="129" t="s">
        <v>1654</v>
      </c>
      <c r="B754" s="90"/>
      <c r="C754" s="147"/>
      <c r="D754" s="122"/>
      <c r="E754" s="36"/>
      <c r="F754" s="178"/>
      <c r="G754" s="453"/>
      <c r="H754" s="36"/>
      <c r="I754" s="11"/>
    </row>
    <row r="755" spans="1:12" ht="11.15" customHeight="1">
      <c r="A755" s="129" t="s">
        <v>1655</v>
      </c>
      <c r="B755" s="88"/>
      <c r="C755" s="147"/>
      <c r="D755" s="161"/>
      <c r="E755" s="36"/>
      <c r="F755" s="178"/>
      <c r="G755" s="671"/>
      <c r="H755" s="36"/>
      <c r="I755" s="11"/>
    </row>
    <row r="756" spans="1:12" ht="11.25" customHeight="1" thickBot="1">
      <c r="A756" s="29"/>
      <c r="B756" s="90"/>
      <c r="C756" s="147"/>
      <c r="D756" s="122"/>
      <c r="E756" s="36"/>
      <c r="F756" s="178"/>
      <c r="G756" s="60"/>
      <c r="H756" s="36"/>
      <c r="I756" s="11"/>
    </row>
    <row r="757" spans="1:12" ht="11.15" customHeight="1" thickBot="1">
      <c r="A757" s="184" t="s">
        <v>1656</v>
      </c>
      <c r="B757" s="59" t="s">
        <v>20364</v>
      </c>
      <c r="C757" s="147" t="s">
        <v>20221</v>
      </c>
      <c r="D757" s="284" t="s">
        <v>897</v>
      </c>
      <c r="E757" s="178">
        <v>2019</v>
      </c>
      <c r="F757" s="178" t="s">
        <v>23394</v>
      </c>
      <c r="G757" s="496"/>
      <c r="H757" s="994" t="s">
        <v>20224</v>
      </c>
      <c r="I757" s="11" t="s">
        <v>1657</v>
      </c>
      <c r="J757" s="1285"/>
      <c r="K757" s="1285"/>
      <c r="L757" s="1285"/>
    </row>
    <row r="758" spans="1:12" ht="11.15" customHeight="1">
      <c r="A758" s="29" t="s">
        <v>1658</v>
      </c>
      <c r="B758" s="90"/>
      <c r="C758" s="147"/>
      <c r="D758" s="161"/>
      <c r="E758" s="36"/>
      <c r="F758" s="178"/>
      <c r="G758" s="671"/>
      <c r="H758" s="36"/>
      <c r="I758" s="11"/>
    </row>
    <row r="759" spans="1:12" ht="11.15" customHeight="1">
      <c r="A759" s="29" t="s">
        <v>1659</v>
      </c>
      <c r="B759" s="90"/>
      <c r="C759" s="147"/>
      <c r="D759" s="161"/>
      <c r="E759" s="36"/>
      <c r="F759" s="178"/>
      <c r="G759" s="671"/>
      <c r="H759" s="36"/>
      <c r="I759" s="11"/>
    </row>
    <row r="760" spans="1:12" ht="11.15" customHeight="1">
      <c r="A760" s="29" t="s">
        <v>1660</v>
      </c>
      <c r="B760" s="90"/>
      <c r="C760" s="147"/>
      <c r="D760" s="161"/>
      <c r="E760" s="36"/>
      <c r="F760" s="178"/>
      <c r="G760" s="671"/>
      <c r="H760" s="36"/>
      <c r="I760" s="11"/>
    </row>
    <row r="761" spans="1:12" ht="11.15" customHeight="1">
      <c r="A761" s="29" t="s">
        <v>1661</v>
      </c>
      <c r="B761" s="90"/>
      <c r="C761" s="147"/>
      <c r="D761" s="161"/>
      <c r="E761" s="36"/>
      <c r="F761" s="178"/>
      <c r="G761" s="671"/>
      <c r="H761" s="36"/>
      <c r="I761" s="11"/>
    </row>
    <row r="762" spans="1:12" ht="11.15" customHeight="1">
      <c r="A762" s="29" t="s">
        <v>1662</v>
      </c>
      <c r="B762" s="90"/>
      <c r="C762" s="147"/>
      <c r="D762" s="161"/>
      <c r="E762" s="36"/>
      <c r="F762" s="178"/>
      <c r="G762" s="671"/>
      <c r="H762" s="36"/>
      <c r="I762" s="11"/>
    </row>
    <row r="763" spans="1:12" ht="11.15" customHeight="1">
      <c r="A763" s="29" t="s">
        <v>1663</v>
      </c>
      <c r="B763" s="90"/>
      <c r="C763" s="147"/>
      <c r="D763" s="161"/>
      <c r="E763" s="36"/>
      <c r="F763" s="178"/>
      <c r="G763" s="671"/>
      <c r="H763" s="36"/>
      <c r="I763" s="11"/>
    </row>
    <row r="764" spans="1:12" ht="11.15" customHeight="1">
      <c r="A764" s="166" t="s">
        <v>1664</v>
      </c>
      <c r="B764" s="90"/>
      <c r="C764" s="147"/>
      <c r="D764" s="161"/>
      <c r="E764" s="36"/>
      <c r="F764" s="178"/>
      <c r="G764" s="671"/>
      <c r="H764" s="36"/>
      <c r="I764" s="11"/>
    </row>
    <row r="765" spans="1:12" ht="11.15" customHeight="1" thickBot="1">
      <c r="A765" s="29"/>
      <c r="B765" s="90"/>
      <c r="C765" s="147"/>
      <c r="D765" s="161"/>
      <c r="E765" s="36"/>
      <c r="F765" s="178"/>
      <c r="G765" s="671"/>
      <c r="H765" s="36"/>
      <c r="I765" s="11"/>
    </row>
    <row r="766" spans="1:12" ht="11.15" customHeight="1" thickBot="1">
      <c r="A766" s="184" t="s">
        <v>1665</v>
      </c>
      <c r="B766" s="59" t="s">
        <v>20365</v>
      </c>
      <c r="C766" s="147" t="s">
        <v>20221</v>
      </c>
      <c r="D766" s="284" t="s">
        <v>897</v>
      </c>
      <c r="E766" s="178">
        <v>2016</v>
      </c>
      <c r="F766" s="178" t="s">
        <v>23395</v>
      </c>
      <c r="G766" s="496"/>
      <c r="H766" s="994" t="s">
        <v>20221</v>
      </c>
      <c r="I766" s="11" t="s">
        <v>1666</v>
      </c>
      <c r="J766" s="1285"/>
      <c r="K766" s="1285"/>
      <c r="L766" s="1285"/>
    </row>
    <row r="767" spans="1:12" ht="11.15" customHeight="1">
      <c r="A767" s="29" t="s">
        <v>1667</v>
      </c>
      <c r="B767" s="90"/>
      <c r="C767" s="147"/>
      <c r="D767" s="161"/>
      <c r="E767" s="36"/>
      <c r="F767" s="178"/>
      <c r="G767" s="671"/>
      <c r="H767" s="36"/>
      <c r="I767" s="11"/>
    </row>
    <row r="768" spans="1:12" ht="11.15" customHeight="1">
      <c r="A768" s="29" t="s">
        <v>1668</v>
      </c>
      <c r="B768" s="90"/>
      <c r="C768" s="147"/>
      <c r="D768" s="161"/>
      <c r="E768" s="36"/>
      <c r="F768" s="178"/>
      <c r="G768" s="671"/>
      <c r="H768" s="36"/>
      <c r="I768" s="11"/>
    </row>
    <row r="769" spans="1:12" ht="11.15" customHeight="1">
      <c r="A769" s="29" t="s">
        <v>1669</v>
      </c>
      <c r="B769" s="90"/>
      <c r="C769" s="147"/>
      <c r="D769" s="161"/>
      <c r="E769" s="36"/>
      <c r="F769" s="178"/>
      <c r="G769" s="671"/>
      <c r="H769" s="36"/>
      <c r="I769" s="11"/>
    </row>
    <row r="770" spans="1:12" ht="11.15" customHeight="1">
      <c r="A770" s="29" t="s">
        <v>1670</v>
      </c>
      <c r="B770" s="90"/>
      <c r="C770" s="147"/>
      <c r="D770" s="161"/>
      <c r="E770" s="36"/>
      <c r="F770" s="178"/>
      <c r="G770" s="671"/>
      <c r="H770" s="36"/>
      <c r="I770" s="11"/>
    </row>
    <row r="771" spans="1:12" ht="11.15" customHeight="1">
      <c r="A771" s="181" t="s">
        <v>1671</v>
      </c>
      <c r="B771" s="90"/>
      <c r="C771" s="147"/>
      <c r="D771" s="161"/>
      <c r="E771" s="36"/>
      <c r="F771" s="178"/>
      <c r="G771" s="671"/>
      <c r="H771" s="36"/>
      <c r="I771" s="11"/>
    </row>
    <row r="772" spans="1:12" ht="11.15" customHeight="1" thickBot="1">
      <c r="A772" s="181" t="s">
        <v>1672</v>
      </c>
      <c r="B772" s="90"/>
      <c r="C772" s="147"/>
      <c r="D772" s="161"/>
      <c r="E772" s="36"/>
      <c r="F772" s="178"/>
      <c r="G772" s="671"/>
      <c r="H772" s="36"/>
      <c r="I772" s="11"/>
    </row>
    <row r="773" spans="1:12" ht="24" customHeight="1" thickBot="1">
      <c r="A773" s="243"/>
      <c r="B773" s="244" t="s">
        <v>1673</v>
      </c>
      <c r="C773" s="170"/>
      <c r="D773" s="139"/>
      <c r="E773" s="235"/>
      <c r="F773" s="383"/>
      <c r="G773" s="1142"/>
      <c r="H773" s="516"/>
      <c r="I773" s="1131"/>
    </row>
    <row r="774" spans="1:12" ht="11.15" customHeight="1">
      <c r="A774" s="256" t="s">
        <v>1441</v>
      </c>
      <c r="B774" s="257"/>
      <c r="C774" s="258"/>
      <c r="D774" s="259"/>
      <c r="E774" s="260"/>
      <c r="F774" s="257"/>
      <c r="G774" s="1195"/>
      <c r="H774" s="1159"/>
      <c r="I774" s="11"/>
    </row>
    <row r="775" spans="1:12" ht="11.15" customHeight="1">
      <c r="A775" s="261" t="s">
        <v>1674</v>
      </c>
      <c r="B775" s="262"/>
      <c r="C775" s="263"/>
      <c r="D775" s="264"/>
      <c r="E775" s="265"/>
      <c r="F775" s="262"/>
      <c r="G775" s="1196"/>
      <c r="H775" s="1160"/>
      <c r="I775" s="11"/>
    </row>
    <row r="776" spans="1:12" ht="11.15" customHeight="1">
      <c r="A776" s="261" t="s">
        <v>1443</v>
      </c>
      <c r="B776" s="262"/>
      <c r="C776" s="263"/>
      <c r="D776" s="264"/>
      <c r="E776" s="265"/>
      <c r="F776" s="262"/>
      <c r="G776" s="1196"/>
      <c r="H776" s="1160"/>
      <c r="I776" s="11"/>
    </row>
    <row r="777" spans="1:12" ht="11.15" customHeight="1" thickBot="1">
      <c r="A777" s="266" t="s">
        <v>1444</v>
      </c>
      <c r="B777" s="267"/>
      <c r="C777" s="268"/>
      <c r="D777" s="269"/>
      <c r="E777" s="270"/>
      <c r="F777" s="1066"/>
      <c r="G777" s="1197"/>
      <c r="H777" s="1161"/>
      <c r="I777" s="11"/>
    </row>
    <row r="778" spans="1:12" ht="11.15" customHeight="1" thickBot="1">
      <c r="A778" s="73"/>
      <c r="B778" s="122"/>
      <c r="C778" s="147"/>
      <c r="D778" s="161"/>
      <c r="E778" s="36"/>
      <c r="F778" s="183"/>
      <c r="G778" s="496"/>
      <c r="H778" s="34"/>
      <c r="I778" s="11"/>
    </row>
    <row r="779" spans="1:12" ht="11.15" customHeight="1" thickBot="1">
      <c r="A779" s="184" t="s">
        <v>1675</v>
      </c>
      <c r="B779" s="59" t="s">
        <v>20367</v>
      </c>
      <c r="C779" s="147" t="s">
        <v>20221</v>
      </c>
      <c r="D779" s="284" t="s">
        <v>897</v>
      </c>
      <c r="E779" s="178">
        <v>2022</v>
      </c>
      <c r="F779" s="178" t="s">
        <v>4520</v>
      </c>
      <c r="G779" s="496"/>
      <c r="H779" s="994" t="s">
        <v>20343</v>
      </c>
      <c r="I779" s="11" t="s">
        <v>1676</v>
      </c>
      <c r="J779" s="1285"/>
      <c r="K779" s="1285"/>
      <c r="L779" s="1285"/>
    </row>
    <row r="780" spans="1:12" ht="11.15" customHeight="1">
      <c r="A780" s="29" t="s">
        <v>1677</v>
      </c>
      <c r="B780" s="185"/>
      <c r="C780" s="147"/>
      <c r="D780" s="185"/>
      <c r="E780" s="185"/>
      <c r="F780" s="185"/>
      <c r="G780" s="185"/>
      <c r="H780" s="185"/>
      <c r="I780" s="11"/>
    </row>
    <row r="781" spans="1:12" ht="11.15" customHeight="1">
      <c r="A781" s="29" t="s">
        <v>23256</v>
      </c>
      <c r="B781" s="185"/>
      <c r="C781" s="147"/>
      <c r="D781" s="185"/>
      <c r="E781" s="185"/>
      <c r="F781" s="185"/>
      <c r="G781" s="185"/>
      <c r="H781" s="185"/>
      <c r="I781" s="11"/>
    </row>
    <row r="782" spans="1:12" ht="11.15" customHeight="1">
      <c r="A782" s="29" t="s">
        <v>1678</v>
      </c>
      <c r="B782" s="185"/>
      <c r="C782" s="147"/>
      <c r="D782" s="185"/>
      <c r="E782" s="185"/>
      <c r="F782" s="185"/>
      <c r="G782" s="185"/>
      <c r="H782" s="185"/>
      <c r="I782" s="11"/>
    </row>
    <row r="783" spans="1:12" ht="11.15" customHeight="1">
      <c r="A783" s="218" t="s">
        <v>1640</v>
      </c>
      <c r="B783" s="90"/>
      <c r="C783" s="147"/>
      <c r="D783" s="161"/>
      <c r="E783" s="36"/>
      <c r="F783" s="178"/>
      <c r="G783" s="496"/>
      <c r="H783" s="36"/>
      <c r="I783" s="11"/>
    </row>
    <row r="784" spans="1:12" ht="11.15" customHeight="1">
      <c r="A784" s="181" t="s">
        <v>1679</v>
      </c>
      <c r="B784" s="90"/>
      <c r="C784" s="147"/>
      <c r="D784" s="161"/>
      <c r="E784" s="36"/>
      <c r="F784" s="178"/>
      <c r="G784" s="496"/>
      <c r="H784" s="36"/>
      <c r="I784" s="11"/>
    </row>
    <row r="785" spans="1:12" ht="11.15" customHeight="1">
      <c r="A785" s="166" t="s">
        <v>1680</v>
      </c>
      <c r="B785" s="90"/>
      <c r="C785" s="147"/>
      <c r="D785" s="161"/>
      <c r="E785" s="36"/>
      <c r="F785" s="178"/>
      <c r="G785" s="497"/>
      <c r="H785" s="36"/>
      <c r="I785" s="11"/>
    </row>
    <row r="786" spans="1:12" ht="11.15" customHeight="1" thickBot="1">
      <c r="A786" s="166"/>
      <c r="B786" s="90"/>
      <c r="C786" s="147"/>
      <c r="D786" s="161"/>
      <c r="E786" s="36"/>
      <c r="F786" s="178"/>
      <c r="G786" s="497"/>
      <c r="H786" s="36"/>
      <c r="I786" s="11"/>
    </row>
    <row r="787" spans="1:12" ht="11.15" customHeight="1">
      <c r="A787" s="153" t="s">
        <v>1681</v>
      </c>
      <c r="B787" s="154" t="s">
        <v>1491</v>
      </c>
      <c r="C787" s="147"/>
      <c r="D787" s="185"/>
      <c r="E787" s="185"/>
      <c r="F787" s="185"/>
      <c r="G787" s="185"/>
      <c r="H787" s="185"/>
      <c r="I787" s="11"/>
    </row>
    <row r="788" spans="1:12" ht="11.15" customHeight="1" thickBot="1">
      <c r="A788" s="230" t="s">
        <v>1682</v>
      </c>
      <c r="B788" s="59" t="s">
        <v>20368</v>
      </c>
      <c r="C788" s="147" t="s">
        <v>20221</v>
      </c>
      <c r="D788" s="284" t="s">
        <v>897</v>
      </c>
      <c r="E788" s="178">
        <v>2022</v>
      </c>
      <c r="F788" s="178" t="s">
        <v>4520</v>
      </c>
      <c r="G788" s="496"/>
      <c r="H788" s="994" t="s">
        <v>20343</v>
      </c>
      <c r="I788" s="11" t="s">
        <v>1683</v>
      </c>
      <c r="J788" s="1285"/>
      <c r="K788" s="1285"/>
      <c r="L788" s="1285"/>
    </row>
    <row r="789" spans="1:12" ht="11.15" customHeight="1">
      <c r="A789" s="29" t="s">
        <v>1684</v>
      </c>
      <c r="B789" s="59" t="s">
        <v>20368</v>
      </c>
      <c r="C789" s="147" t="s">
        <v>20221</v>
      </c>
      <c r="D789" s="284" t="s">
        <v>897</v>
      </c>
      <c r="E789" s="178">
        <v>2021</v>
      </c>
      <c r="F789" s="178" t="s">
        <v>23394</v>
      </c>
      <c r="G789" s="496"/>
      <c r="H789" s="994" t="s">
        <v>20224</v>
      </c>
      <c r="I789" s="11" t="s">
        <v>1685</v>
      </c>
      <c r="J789" s="1285"/>
      <c r="K789" s="1285"/>
      <c r="L789" s="1285"/>
    </row>
    <row r="790" spans="1:12" ht="11.15" customHeight="1">
      <c r="A790" s="29" t="s">
        <v>1686</v>
      </c>
      <c r="B790" s="59" t="s">
        <v>20368</v>
      </c>
      <c r="C790" s="147" t="s">
        <v>20221</v>
      </c>
      <c r="D790" s="284" t="s">
        <v>897</v>
      </c>
      <c r="E790" s="178">
        <v>2020</v>
      </c>
      <c r="F790" s="178" t="s">
        <v>23394</v>
      </c>
      <c r="G790" s="496"/>
      <c r="H790" s="994" t="s">
        <v>20221</v>
      </c>
      <c r="I790" s="12" t="s">
        <v>1687</v>
      </c>
      <c r="J790" s="1285"/>
      <c r="K790" s="1285"/>
      <c r="L790" s="1285"/>
    </row>
    <row r="791" spans="1:12" ht="11.15" customHeight="1">
      <c r="A791" s="29" t="s">
        <v>1688</v>
      </c>
      <c r="B791" s="59" t="s">
        <v>20368</v>
      </c>
      <c r="C791" s="147" t="s">
        <v>20221</v>
      </c>
      <c r="D791" s="284" t="s">
        <v>897</v>
      </c>
      <c r="E791" s="178">
        <v>2019</v>
      </c>
      <c r="F791" s="178" t="s">
        <v>23394</v>
      </c>
      <c r="G791" s="496"/>
      <c r="H791" s="994" t="s">
        <v>20221</v>
      </c>
      <c r="I791" s="11" t="s">
        <v>1689</v>
      </c>
      <c r="J791" s="1285"/>
      <c r="K791" s="1285"/>
      <c r="L791" s="1285"/>
    </row>
    <row r="792" spans="1:12" ht="11.15" customHeight="1">
      <c r="A792" s="29" t="s">
        <v>1690</v>
      </c>
      <c r="B792" s="154" t="s">
        <v>1691</v>
      </c>
      <c r="C792" s="147"/>
      <c r="D792" s="185"/>
      <c r="E792" s="185"/>
      <c r="F792" s="185"/>
      <c r="G792" s="185"/>
      <c r="H792" s="185"/>
      <c r="I792" s="11"/>
    </row>
    <row r="793" spans="1:12" ht="11.15" customHeight="1">
      <c r="A793" s="29" t="s">
        <v>1692</v>
      </c>
      <c r="B793" s="59" t="s">
        <v>20369</v>
      </c>
      <c r="C793" s="147" t="s">
        <v>20221</v>
      </c>
      <c r="D793" s="284" t="s">
        <v>897</v>
      </c>
      <c r="E793" s="178">
        <v>2022</v>
      </c>
      <c r="F793" s="178" t="s">
        <v>4520</v>
      </c>
      <c r="G793" s="496"/>
      <c r="H793" s="994" t="s">
        <v>20343</v>
      </c>
      <c r="I793" s="11" t="s">
        <v>1693</v>
      </c>
      <c r="J793" s="1285"/>
      <c r="K793" s="1285"/>
      <c r="L793" s="1285"/>
    </row>
    <row r="794" spans="1:12" ht="11.15" customHeight="1">
      <c r="A794" s="29" t="s">
        <v>1694</v>
      </c>
      <c r="B794" s="59" t="s">
        <v>20369</v>
      </c>
      <c r="C794" s="147" t="s">
        <v>20221</v>
      </c>
      <c r="D794" s="284" t="s">
        <v>897</v>
      </c>
      <c r="E794" s="178">
        <v>2021</v>
      </c>
      <c r="F794" s="178" t="s">
        <v>23394</v>
      </c>
      <c r="G794" s="496"/>
      <c r="H794" s="994" t="s">
        <v>20224</v>
      </c>
      <c r="I794" s="11" t="s">
        <v>1695</v>
      </c>
      <c r="J794" s="1285"/>
      <c r="K794" s="1285"/>
      <c r="L794" s="1285"/>
    </row>
    <row r="795" spans="1:12" ht="11.15" customHeight="1">
      <c r="A795" s="29" t="s">
        <v>1696</v>
      </c>
      <c r="B795" s="59" t="s">
        <v>20369</v>
      </c>
      <c r="C795" s="147" t="s">
        <v>20221</v>
      </c>
      <c r="D795" s="284" t="s">
        <v>897</v>
      </c>
      <c r="E795" s="178">
        <v>2020</v>
      </c>
      <c r="F795" s="178" t="s">
        <v>4520</v>
      </c>
      <c r="G795" s="496"/>
      <c r="H795" s="994" t="s">
        <v>20224</v>
      </c>
      <c r="I795" s="11" t="s">
        <v>1697</v>
      </c>
      <c r="J795" s="1285"/>
      <c r="K795" s="1285"/>
      <c r="L795" s="1285"/>
    </row>
    <row r="796" spans="1:12" ht="11.15" customHeight="1">
      <c r="A796" s="129" t="s">
        <v>1698</v>
      </c>
      <c r="B796" s="59" t="s">
        <v>20369</v>
      </c>
      <c r="C796" s="147" t="s">
        <v>20221</v>
      </c>
      <c r="D796" s="284" t="s">
        <v>897</v>
      </c>
      <c r="E796" s="178">
        <v>2017</v>
      </c>
      <c r="F796" s="178" t="s">
        <v>23394</v>
      </c>
      <c r="G796" s="496"/>
      <c r="H796" s="994" t="s">
        <v>20224</v>
      </c>
      <c r="I796" s="11" t="s">
        <v>1699</v>
      </c>
      <c r="J796" s="1285"/>
      <c r="K796" s="1285"/>
      <c r="L796" s="1285"/>
    </row>
    <row r="797" spans="1:12" ht="11.15" customHeight="1">
      <c r="A797" s="162" t="s">
        <v>1700</v>
      </c>
      <c r="B797" s="59" t="s">
        <v>20369</v>
      </c>
      <c r="C797" s="147" t="s">
        <v>20221</v>
      </c>
      <c r="D797" s="284" t="s">
        <v>897</v>
      </c>
      <c r="E797" s="178">
        <v>2011</v>
      </c>
      <c r="F797" s="178" t="s">
        <v>4520</v>
      </c>
      <c r="G797" s="496"/>
      <c r="H797" s="994" t="s">
        <v>20224</v>
      </c>
      <c r="I797" s="11" t="s">
        <v>1701</v>
      </c>
      <c r="J797" s="1285"/>
      <c r="K797" s="1285"/>
      <c r="L797" s="1285"/>
    </row>
    <row r="798" spans="1:12" ht="11.15" customHeight="1">
      <c r="A798" s="162" t="s">
        <v>1702</v>
      </c>
      <c r="B798" s="90"/>
      <c r="C798" s="147"/>
      <c r="D798" s="161"/>
      <c r="E798" s="36"/>
      <c r="F798" s="178"/>
      <c r="G798" s="60"/>
      <c r="H798" s="36"/>
      <c r="I798" s="11"/>
    </row>
    <row r="799" spans="1:12" ht="11.15" customHeight="1">
      <c r="A799" s="162" t="s">
        <v>1703</v>
      </c>
      <c r="B799" s="90"/>
      <c r="C799" s="147"/>
      <c r="D799" s="161"/>
      <c r="E799" s="36"/>
      <c r="F799" s="178"/>
      <c r="G799" s="60"/>
      <c r="H799" s="36"/>
      <c r="I799" s="11"/>
    </row>
    <row r="800" spans="1:12" ht="11.15" customHeight="1">
      <c r="A800" s="162" t="s">
        <v>1704</v>
      </c>
      <c r="B800" s="90"/>
      <c r="C800" s="147"/>
      <c r="D800" s="161"/>
      <c r="E800" s="36"/>
      <c r="F800" s="178"/>
      <c r="G800" s="60"/>
      <c r="H800" s="36"/>
      <c r="I800" s="11"/>
    </row>
    <row r="801" spans="1:12" ht="11.15" customHeight="1">
      <c r="A801" s="162" t="s">
        <v>1705</v>
      </c>
      <c r="B801" s="90"/>
      <c r="C801" s="147"/>
      <c r="D801" s="161"/>
      <c r="E801" s="36"/>
      <c r="F801" s="178"/>
      <c r="G801" s="60"/>
      <c r="H801" s="36"/>
      <c r="I801" s="11"/>
    </row>
    <row r="802" spans="1:12" ht="11.15" customHeight="1">
      <c r="A802" s="162" t="s">
        <v>1706</v>
      </c>
      <c r="B802" s="90"/>
      <c r="C802" s="147"/>
      <c r="D802" s="161"/>
      <c r="E802" s="36"/>
      <c r="F802" s="178"/>
      <c r="G802" s="60"/>
      <c r="H802" s="36"/>
      <c r="I802" s="11"/>
    </row>
    <row r="803" spans="1:12" ht="11.15" customHeight="1">
      <c r="A803" s="1167" t="s">
        <v>1707</v>
      </c>
      <c r="B803" s="90"/>
      <c r="C803" s="147"/>
      <c r="D803" s="161"/>
      <c r="E803" s="36"/>
      <c r="F803" s="178"/>
      <c r="G803" s="60"/>
      <c r="H803" s="36"/>
      <c r="I803" s="11"/>
    </row>
    <row r="804" spans="1:12" ht="11.15" customHeight="1">
      <c r="A804" s="1168" t="s">
        <v>1708</v>
      </c>
      <c r="B804" s="90"/>
      <c r="C804" s="147"/>
      <c r="D804" s="161"/>
      <c r="E804" s="36"/>
      <c r="F804" s="178"/>
      <c r="G804" s="496"/>
      <c r="H804" s="36"/>
      <c r="I804" s="11"/>
    </row>
    <row r="805" spans="1:12" ht="11.15" customHeight="1">
      <c r="A805" s="129" t="s">
        <v>1709</v>
      </c>
      <c r="B805" s="90"/>
      <c r="C805" s="147"/>
      <c r="D805" s="161"/>
      <c r="E805" s="36"/>
      <c r="F805" s="178"/>
      <c r="G805" s="496"/>
      <c r="H805" s="36"/>
      <c r="I805" s="11"/>
    </row>
    <row r="806" spans="1:12" ht="11.15" customHeight="1" thickBot="1">
      <c r="A806" s="185"/>
      <c r="B806" s="90"/>
      <c r="C806" s="147"/>
      <c r="D806" s="161"/>
      <c r="E806" s="36"/>
      <c r="F806" s="178"/>
      <c r="G806" s="496"/>
      <c r="H806" s="36"/>
      <c r="I806" s="11"/>
    </row>
    <row r="807" spans="1:12" ht="11.15" customHeight="1">
      <c r="A807" s="153" t="s">
        <v>1710</v>
      </c>
      <c r="B807" s="59" t="s">
        <v>20371</v>
      </c>
      <c r="C807" s="147" t="s">
        <v>20221</v>
      </c>
      <c r="D807" s="284" t="s">
        <v>897</v>
      </c>
      <c r="E807" s="178">
        <v>2022</v>
      </c>
      <c r="F807" s="178" t="s">
        <v>4520</v>
      </c>
      <c r="G807" s="496"/>
      <c r="H807" s="994" t="s">
        <v>20224</v>
      </c>
      <c r="I807" s="11" t="s">
        <v>1711</v>
      </c>
      <c r="J807" s="1285"/>
      <c r="K807" s="1285"/>
      <c r="L807" s="1285"/>
    </row>
    <row r="808" spans="1:12" ht="11.15" customHeight="1" thickBot="1">
      <c r="A808" s="230" t="s">
        <v>1712</v>
      </c>
      <c r="B808" s="90"/>
      <c r="C808" s="147"/>
      <c r="D808" s="161"/>
      <c r="E808" s="36"/>
      <c r="F808" s="178"/>
      <c r="G808" s="497"/>
      <c r="H808" s="36"/>
      <c r="I808" s="11"/>
    </row>
    <row r="809" spans="1:12" ht="11.15" customHeight="1">
      <c r="A809" s="29" t="s">
        <v>1713</v>
      </c>
      <c r="B809" s="90"/>
      <c r="C809" s="147"/>
      <c r="D809" s="161"/>
      <c r="E809" s="36"/>
      <c r="F809" s="178"/>
      <c r="G809" s="497"/>
      <c r="H809" s="36"/>
      <c r="I809" s="11"/>
    </row>
    <row r="810" spans="1:12" ht="11.15" customHeight="1">
      <c r="A810" s="29" t="s">
        <v>1714</v>
      </c>
      <c r="B810" s="162"/>
      <c r="C810" s="147"/>
      <c r="D810" s="162"/>
      <c r="E810" s="162"/>
      <c r="F810" s="162"/>
      <c r="G810" s="162"/>
      <c r="H810" s="162"/>
      <c r="I810" s="11"/>
    </row>
    <row r="811" spans="1:12" ht="11.15" customHeight="1">
      <c r="A811" s="29" t="s">
        <v>1715</v>
      </c>
      <c r="B811" s="90"/>
      <c r="C811" s="147"/>
      <c r="D811" s="161"/>
      <c r="E811" s="36"/>
      <c r="F811" s="178"/>
      <c r="G811" s="497"/>
      <c r="H811" s="36"/>
      <c r="I811" s="11"/>
    </row>
    <row r="812" spans="1:12" ht="11.15" customHeight="1">
      <c r="A812" s="29" t="s">
        <v>1716</v>
      </c>
      <c r="B812" s="90"/>
      <c r="C812" s="147"/>
      <c r="D812" s="161"/>
      <c r="E812" s="36"/>
      <c r="F812" s="178"/>
      <c r="G812" s="497"/>
      <c r="H812" s="36"/>
      <c r="I812" s="11"/>
    </row>
    <row r="813" spans="1:12" ht="11.15" customHeight="1">
      <c r="A813" s="29" t="s">
        <v>1717</v>
      </c>
      <c r="B813" s="90"/>
      <c r="C813" s="147"/>
      <c r="D813" s="161"/>
      <c r="E813" s="36"/>
      <c r="F813" s="178"/>
      <c r="G813" s="497"/>
      <c r="H813" s="36"/>
      <c r="I813" s="11"/>
    </row>
    <row r="814" spans="1:12" ht="11.15" customHeight="1">
      <c r="A814" s="29" t="s">
        <v>1718</v>
      </c>
      <c r="B814" s="90"/>
      <c r="C814" s="147"/>
      <c r="D814" s="161"/>
      <c r="E814" s="36"/>
      <c r="F814" s="178"/>
      <c r="G814" s="497"/>
      <c r="H814" s="36"/>
      <c r="I814" s="11"/>
    </row>
    <row r="815" spans="1:12" ht="11.15" customHeight="1">
      <c r="A815" s="29" t="s">
        <v>1719</v>
      </c>
      <c r="B815" s="90"/>
      <c r="C815" s="147"/>
      <c r="D815" s="161"/>
      <c r="E815" s="36"/>
      <c r="F815" s="178"/>
      <c r="G815" s="497"/>
      <c r="H815" s="36"/>
      <c r="I815" s="11"/>
    </row>
    <row r="816" spans="1:12" ht="11.15" customHeight="1">
      <c r="A816" s="129" t="s">
        <v>1077</v>
      </c>
      <c r="B816" s="90"/>
      <c r="C816" s="147"/>
      <c r="D816" s="161"/>
      <c r="E816" s="36"/>
      <c r="F816" s="178"/>
      <c r="G816" s="497"/>
      <c r="H816" s="36"/>
      <c r="I816" s="11"/>
    </row>
    <row r="817" spans="1:9" ht="9" customHeight="1">
      <c r="A817" s="162" t="s">
        <v>1720</v>
      </c>
      <c r="B817" s="90"/>
      <c r="C817" s="147"/>
      <c r="D817" s="161"/>
      <c r="E817" s="36"/>
      <c r="F817" s="178"/>
      <c r="G817" s="497"/>
      <c r="H817" s="36"/>
      <c r="I817" s="11"/>
    </row>
    <row r="818" spans="1:9" ht="9" customHeight="1">
      <c r="A818" s="162" t="s">
        <v>1721</v>
      </c>
      <c r="B818" s="90"/>
      <c r="C818" s="147"/>
      <c r="D818" s="161"/>
      <c r="E818" s="36"/>
      <c r="F818" s="178"/>
      <c r="G818" s="497"/>
      <c r="H818" s="36"/>
      <c r="I818" s="11"/>
    </row>
    <row r="819" spans="1:9" ht="9" customHeight="1">
      <c r="A819" s="162" t="s">
        <v>1722</v>
      </c>
      <c r="B819" s="90"/>
      <c r="C819" s="147"/>
      <c r="D819" s="161"/>
      <c r="E819" s="36"/>
      <c r="F819" s="178"/>
      <c r="G819" s="497"/>
      <c r="H819" s="36"/>
      <c r="I819" s="11"/>
    </row>
    <row r="820" spans="1:9" ht="9" customHeight="1">
      <c r="A820" s="162" t="s">
        <v>1723</v>
      </c>
      <c r="B820" s="90"/>
      <c r="C820" s="147"/>
      <c r="D820" s="161"/>
      <c r="E820" s="36"/>
      <c r="F820" s="178"/>
      <c r="G820" s="497"/>
      <c r="H820" s="36"/>
      <c r="I820" s="11"/>
    </row>
    <row r="821" spans="1:9" ht="9.75" customHeight="1">
      <c r="A821" s="162" t="s">
        <v>1724</v>
      </c>
      <c r="B821" s="90"/>
      <c r="C821" s="147"/>
      <c r="D821" s="161"/>
      <c r="E821" s="36"/>
      <c r="F821" s="178"/>
      <c r="G821" s="497"/>
      <c r="H821" s="36"/>
      <c r="I821" s="11"/>
    </row>
    <row r="822" spans="1:9" ht="9.75" customHeight="1">
      <c r="A822" s="162" t="s">
        <v>1725</v>
      </c>
      <c r="B822" s="90"/>
      <c r="C822" s="147"/>
      <c r="D822" s="161"/>
      <c r="E822" s="36"/>
      <c r="F822" s="178"/>
      <c r="G822" s="497"/>
      <c r="H822" s="36"/>
      <c r="I822" s="11"/>
    </row>
    <row r="823" spans="1:9" ht="9" customHeight="1">
      <c r="A823" s="162" t="s">
        <v>1726</v>
      </c>
      <c r="B823" s="90"/>
      <c r="C823" s="147"/>
      <c r="D823" s="161"/>
      <c r="E823" s="36"/>
      <c r="F823" s="178"/>
      <c r="G823" s="497"/>
      <c r="H823" s="36"/>
      <c r="I823" s="11"/>
    </row>
    <row r="824" spans="1:9" ht="9" customHeight="1">
      <c r="A824" s="162" t="s">
        <v>1727</v>
      </c>
      <c r="B824" s="90"/>
      <c r="C824" s="147"/>
      <c r="D824" s="161"/>
      <c r="E824" s="36"/>
      <c r="F824" s="178"/>
      <c r="G824" s="497"/>
      <c r="H824" s="36"/>
      <c r="I824" s="11"/>
    </row>
    <row r="825" spans="1:9" ht="9" customHeight="1">
      <c r="A825" s="162" t="s">
        <v>1728</v>
      </c>
      <c r="B825" s="90"/>
      <c r="C825" s="147"/>
      <c r="D825" s="161"/>
      <c r="E825" s="36"/>
      <c r="F825" s="178"/>
      <c r="G825" s="497"/>
      <c r="H825" s="36"/>
      <c r="I825" s="11"/>
    </row>
    <row r="826" spans="1:9" ht="9" customHeight="1">
      <c r="A826" s="162" t="s">
        <v>1729</v>
      </c>
      <c r="B826" s="90"/>
      <c r="C826" s="147"/>
      <c r="D826" s="161"/>
      <c r="E826" s="36"/>
      <c r="F826" s="178"/>
      <c r="G826" s="497"/>
      <c r="H826" s="36"/>
      <c r="I826" s="11"/>
    </row>
    <row r="827" spans="1:9" ht="9" customHeight="1">
      <c r="A827" s="162" t="s">
        <v>1730</v>
      </c>
      <c r="B827" s="90"/>
      <c r="C827" s="147"/>
      <c r="D827" s="161"/>
      <c r="E827" s="36"/>
      <c r="F827" s="178"/>
      <c r="G827" s="497"/>
      <c r="H827" s="36"/>
      <c r="I827" s="11"/>
    </row>
    <row r="828" spans="1:9" ht="9" customHeight="1">
      <c r="A828" s="162" t="s">
        <v>1731</v>
      </c>
      <c r="B828" s="90"/>
      <c r="C828" s="147"/>
      <c r="D828" s="161"/>
      <c r="E828" s="36"/>
      <c r="F828" s="178"/>
      <c r="G828" s="497"/>
      <c r="H828" s="36"/>
      <c r="I828" s="11"/>
    </row>
    <row r="829" spans="1:9" ht="9" customHeight="1">
      <c r="A829" s="162" t="s">
        <v>1732</v>
      </c>
      <c r="B829" s="90"/>
      <c r="C829" s="147"/>
      <c r="D829" s="161"/>
      <c r="E829" s="36"/>
      <c r="F829" s="178"/>
      <c r="G829" s="497"/>
      <c r="H829" s="36"/>
      <c r="I829" s="11"/>
    </row>
    <row r="830" spans="1:9" ht="9" customHeight="1">
      <c r="A830" s="162" t="s">
        <v>1733</v>
      </c>
      <c r="B830" s="90"/>
      <c r="C830" s="147"/>
      <c r="D830" s="161"/>
      <c r="E830" s="36"/>
      <c r="F830" s="178"/>
      <c r="G830" s="497"/>
      <c r="H830" s="36"/>
      <c r="I830" s="11"/>
    </row>
    <row r="831" spans="1:9" ht="9" customHeight="1">
      <c r="A831" s="162" t="s">
        <v>1734</v>
      </c>
      <c r="B831" s="90"/>
      <c r="C831" s="147"/>
      <c r="D831" s="161"/>
      <c r="E831" s="36"/>
      <c r="F831" s="178"/>
      <c r="G831" s="497"/>
      <c r="H831" s="36"/>
      <c r="I831" s="11"/>
    </row>
    <row r="832" spans="1:9" ht="9" customHeight="1">
      <c r="A832" s="162" t="s">
        <v>1735</v>
      </c>
      <c r="B832" s="90"/>
      <c r="C832" s="147"/>
      <c r="D832" s="161"/>
      <c r="E832" s="36"/>
      <c r="F832" s="178"/>
      <c r="G832" s="497"/>
      <c r="H832" s="36"/>
      <c r="I832" s="11"/>
    </row>
    <row r="833" spans="1:12" ht="11.15" customHeight="1">
      <c r="A833" s="166" t="s">
        <v>1736</v>
      </c>
      <c r="B833" s="90"/>
      <c r="C833" s="147"/>
      <c r="D833" s="161"/>
      <c r="E833" s="36"/>
      <c r="F833" s="178"/>
      <c r="G833" s="497"/>
      <c r="H833" s="36"/>
      <c r="I833" s="11"/>
    </row>
    <row r="834" spans="1:12" ht="11.15" customHeight="1">
      <c r="A834" s="166" t="s">
        <v>1737</v>
      </c>
      <c r="B834" s="90"/>
      <c r="C834" s="147"/>
      <c r="D834" s="161"/>
      <c r="E834" s="36"/>
      <c r="F834" s="178"/>
      <c r="G834" s="497"/>
      <c r="H834" s="36"/>
      <c r="I834" s="11"/>
    </row>
    <row r="835" spans="1:12" ht="11.15" customHeight="1">
      <c r="A835" s="129" t="s">
        <v>1738</v>
      </c>
      <c r="B835" s="90"/>
      <c r="C835" s="147"/>
      <c r="D835" s="161"/>
      <c r="E835" s="36"/>
      <c r="F835" s="178"/>
      <c r="G835" s="496"/>
      <c r="H835" s="36"/>
      <c r="I835" s="11"/>
    </row>
    <row r="836" spans="1:12" ht="11.15" customHeight="1">
      <c r="A836" s="129" t="s">
        <v>1739</v>
      </c>
      <c r="B836" s="90"/>
      <c r="C836" s="147"/>
      <c r="D836" s="161"/>
      <c r="E836" s="36"/>
      <c r="F836" s="178"/>
      <c r="G836" s="496"/>
      <c r="H836" s="36"/>
      <c r="I836" s="11"/>
    </row>
    <row r="837" spans="1:12" ht="11.15" customHeight="1" thickBot="1">
      <c r="A837" s="275"/>
      <c r="B837" s="90"/>
      <c r="C837" s="147"/>
      <c r="D837" s="161"/>
      <c r="E837" s="36"/>
      <c r="F837" s="178"/>
      <c r="G837" s="60"/>
      <c r="H837" s="36"/>
      <c r="I837" s="11"/>
    </row>
    <row r="838" spans="1:12" ht="11.15" customHeight="1">
      <c r="A838" s="153" t="s">
        <v>1740</v>
      </c>
      <c r="B838" s="59" t="s">
        <v>20373</v>
      </c>
      <c r="C838" s="147" t="s">
        <v>20221</v>
      </c>
      <c r="D838" s="284" t="s">
        <v>897</v>
      </c>
      <c r="E838" s="178">
        <v>2022</v>
      </c>
      <c r="F838" s="178" t="s">
        <v>23394</v>
      </c>
      <c r="G838" s="496"/>
      <c r="H838" s="994" t="s">
        <v>20224</v>
      </c>
      <c r="I838" s="11" t="s">
        <v>1741</v>
      </c>
      <c r="J838" s="1285"/>
      <c r="K838" s="1285"/>
      <c r="L838" s="1285"/>
    </row>
    <row r="839" spans="1:12" ht="11.15" customHeight="1">
      <c r="A839" s="277" t="s">
        <v>1742</v>
      </c>
      <c r="B839" s="59" t="s">
        <v>20373</v>
      </c>
      <c r="C839" s="147" t="s">
        <v>20221</v>
      </c>
      <c r="D839" s="284" t="s">
        <v>897</v>
      </c>
      <c r="E839" s="178">
        <v>2020</v>
      </c>
      <c r="F839" s="178" t="s">
        <v>4520</v>
      </c>
      <c r="G839" s="496"/>
      <c r="H839" s="994" t="s">
        <v>20224</v>
      </c>
      <c r="I839" s="11" t="s">
        <v>1743</v>
      </c>
      <c r="J839" s="1285"/>
      <c r="K839" s="1285"/>
      <c r="L839" s="1285"/>
    </row>
    <row r="840" spans="1:12" ht="11.15" customHeight="1" thickBot="1">
      <c r="A840" s="230" t="s">
        <v>1744</v>
      </c>
      <c r="B840" s="90"/>
      <c r="C840" s="147"/>
      <c r="D840" s="161"/>
      <c r="E840" s="36"/>
      <c r="F840" s="178"/>
      <c r="G840" s="497"/>
      <c r="H840" s="36"/>
      <c r="I840" s="11"/>
    </row>
    <row r="841" spans="1:12" ht="11.15" customHeight="1">
      <c r="A841" s="29" t="s">
        <v>1745</v>
      </c>
      <c r="B841" s="90"/>
      <c r="C841" s="147"/>
      <c r="D841" s="161"/>
      <c r="E841" s="36"/>
      <c r="F841" s="178"/>
      <c r="G841" s="496"/>
      <c r="H841" s="36"/>
      <c r="I841" s="11"/>
    </row>
    <row r="842" spans="1:12" ht="11.15" customHeight="1">
      <c r="A842" s="29" t="s">
        <v>1746</v>
      </c>
      <c r="B842" s="90"/>
      <c r="C842" s="147"/>
      <c r="D842" s="161"/>
      <c r="E842" s="36"/>
      <c r="F842" s="178"/>
      <c r="G842" s="496"/>
      <c r="H842" s="36"/>
      <c r="I842" s="11"/>
    </row>
    <row r="843" spans="1:12" ht="11.15" customHeight="1">
      <c r="A843" s="29" t="s">
        <v>1747</v>
      </c>
      <c r="B843" s="90"/>
      <c r="C843" s="147"/>
      <c r="D843" s="161"/>
      <c r="E843" s="36"/>
      <c r="F843" s="178"/>
      <c r="G843" s="496"/>
      <c r="H843" s="36"/>
      <c r="I843" s="11"/>
    </row>
    <row r="844" spans="1:12" ht="11.15" customHeight="1">
      <c r="A844" s="282" t="s">
        <v>1748</v>
      </c>
      <c r="B844" s="90"/>
      <c r="C844" s="147"/>
      <c r="D844" s="161"/>
      <c r="E844" s="36"/>
      <c r="F844" s="178"/>
      <c r="G844" s="496"/>
      <c r="H844" s="36"/>
      <c r="I844" s="11"/>
    </row>
    <row r="845" spans="1:12" ht="11.15" customHeight="1">
      <c r="A845" s="162" t="s">
        <v>1749</v>
      </c>
      <c r="B845" s="90"/>
      <c r="C845" s="147"/>
      <c r="D845" s="161"/>
      <c r="E845" s="36"/>
      <c r="F845" s="178"/>
      <c r="G845" s="496"/>
      <c r="H845" s="36"/>
      <c r="I845" s="11"/>
    </row>
    <row r="846" spans="1:12" ht="11.15" customHeight="1">
      <c r="A846" s="282" t="s">
        <v>1750</v>
      </c>
      <c r="B846" s="90"/>
      <c r="C846" s="147"/>
      <c r="D846" s="161"/>
      <c r="E846" s="36"/>
      <c r="F846" s="178"/>
      <c r="G846" s="496"/>
      <c r="H846" s="36"/>
      <c r="I846" s="11"/>
    </row>
    <row r="847" spans="1:12" ht="11.15" customHeight="1">
      <c r="A847" s="162" t="s">
        <v>1751</v>
      </c>
      <c r="B847" s="90"/>
      <c r="C847" s="147"/>
      <c r="D847" s="161"/>
      <c r="E847" s="36"/>
      <c r="F847" s="178"/>
      <c r="G847" s="496"/>
      <c r="H847" s="36"/>
      <c r="I847" s="11"/>
    </row>
    <row r="848" spans="1:12" ht="11.15" customHeight="1">
      <c r="A848" s="218" t="s">
        <v>1219</v>
      </c>
      <c r="B848" s="90"/>
      <c r="C848" s="147"/>
      <c r="D848" s="161"/>
      <c r="E848" s="36"/>
      <c r="F848" s="178"/>
      <c r="G848" s="496"/>
      <c r="H848" s="36"/>
      <c r="I848" s="11"/>
    </row>
    <row r="849" spans="1:12" ht="11.15" customHeight="1">
      <c r="A849" s="218" t="s">
        <v>1595</v>
      </c>
      <c r="B849" s="90"/>
      <c r="C849" s="147"/>
      <c r="D849" s="161"/>
      <c r="E849" s="36"/>
      <c r="F849" s="178"/>
      <c r="G849" s="496"/>
      <c r="H849" s="36"/>
      <c r="I849" s="11"/>
    </row>
    <row r="850" spans="1:12" ht="11.15" customHeight="1">
      <c r="A850" s="166" t="s">
        <v>1752</v>
      </c>
      <c r="B850" s="90"/>
      <c r="C850" s="147"/>
      <c r="D850" s="161"/>
      <c r="E850" s="36"/>
      <c r="F850" s="178"/>
      <c r="G850" s="496"/>
      <c r="H850" s="36"/>
      <c r="I850" s="11"/>
    </row>
    <row r="851" spans="1:12" ht="11.15" customHeight="1">
      <c r="A851" s="129" t="s">
        <v>1753</v>
      </c>
      <c r="B851" s="90"/>
      <c r="C851" s="147"/>
      <c r="D851" s="161"/>
      <c r="E851" s="36"/>
      <c r="F851" s="178"/>
      <c r="G851" s="496"/>
      <c r="H851" s="36"/>
      <c r="I851" s="11"/>
    </row>
    <row r="852" spans="1:12" ht="11.15" customHeight="1" thickBot="1">
      <c r="A852" s="58"/>
      <c r="B852" s="226"/>
      <c r="C852" s="147"/>
      <c r="D852" s="122"/>
      <c r="E852" s="36"/>
      <c r="F852" s="178"/>
      <c r="G852" s="60"/>
      <c r="H852" s="36"/>
      <c r="I852" s="11"/>
    </row>
    <row r="853" spans="1:12" ht="11.15" customHeight="1">
      <c r="A853" s="153" t="s">
        <v>1754</v>
      </c>
      <c r="B853" s="59" t="s">
        <v>20374</v>
      </c>
      <c r="C853" s="147" t="s">
        <v>20221</v>
      </c>
      <c r="D853" s="284" t="s">
        <v>897</v>
      </c>
      <c r="E853" s="178">
        <v>2022</v>
      </c>
      <c r="F853" s="178" t="s">
        <v>4520</v>
      </c>
      <c r="G853" s="496"/>
      <c r="H853" s="994" t="s">
        <v>20343</v>
      </c>
      <c r="I853" s="11" t="s">
        <v>1755</v>
      </c>
      <c r="J853" s="1285"/>
      <c r="K853" s="1285"/>
      <c r="L853" s="1285"/>
    </row>
    <row r="854" spans="1:12" ht="11.15" customHeight="1" thickBot="1">
      <c r="A854" s="230" t="s">
        <v>1756</v>
      </c>
      <c r="B854" s="59" t="s">
        <v>20374</v>
      </c>
      <c r="C854" s="147" t="s">
        <v>20221</v>
      </c>
      <c r="D854" s="284" t="s">
        <v>897</v>
      </c>
      <c r="E854" s="178">
        <v>2020</v>
      </c>
      <c r="F854" s="178" t="s">
        <v>4520</v>
      </c>
      <c r="G854" s="496"/>
      <c r="H854" s="994" t="s">
        <v>20221</v>
      </c>
      <c r="I854" s="11" t="s">
        <v>1757</v>
      </c>
      <c r="J854" s="1285"/>
      <c r="K854" s="1285"/>
      <c r="L854" s="1285"/>
    </row>
    <row r="855" spans="1:12" ht="11.15" customHeight="1">
      <c r="A855" s="29" t="s">
        <v>1758</v>
      </c>
      <c r="B855" s="59" t="s">
        <v>20374</v>
      </c>
      <c r="C855" s="147" t="s">
        <v>20221</v>
      </c>
      <c r="D855" s="284" t="s">
        <v>897</v>
      </c>
      <c r="E855" s="178">
        <v>2019</v>
      </c>
      <c r="F855" s="178" t="s">
        <v>4520</v>
      </c>
      <c r="G855" s="496"/>
      <c r="H855" s="994" t="s">
        <v>20221</v>
      </c>
      <c r="I855" s="11" t="s">
        <v>1759</v>
      </c>
      <c r="J855" s="1285"/>
      <c r="K855" s="1285"/>
      <c r="L855" s="1285"/>
    </row>
    <row r="856" spans="1:12" ht="11.15" customHeight="1">
      <c r="A856" s="29" t="s">
        <v>1760</v>
      </c>
      <c r="B856" s="90"/>
      <c r="C856" s="147"/>
      <c r="D856" s="161"/>
      <c r="E856" s="36"/>
      <c r="F856" s="183"/>
      <c r="G856" s="496"/>
      <c r="H856" s="34"/>
      <c r="I856" s="11"/>
    </row>
    <row r="857" spans="1:12" ht="11.15" customHeight="1">
      <c r="A857" s="29" t="s">
        <v>1761</v>
      </c>
      <c r="B857" s="90"/>
      <c r="C857" s="147"/>
      <c r="D857" s="161"/>
      <c r="E857" s="36"/>
      <c r="F857" s="183"/>
      <c r="G857" s="496"/>
      <c r="H857" s="34"/>
      <c r="I857" s="11"/>
    </row>
    <row r="858" spans="1:12" ht="11.15" customHeight="1">
      <c r="A858" s="129" t="s">
        <v>903</v>
      </c>
      <c r="B858" s="185"/>
      <c r="C858" s="147"/>
      <c r="D858" s="129"/>
      <c r="E858" s="185"/>
      <c r="F858" s="185"/>
      <c r="G858" s="185"/>
      <c r="H858" s="185"/>
      <c r="I858" s="11"/>
    </row>
    <row r="859" spans="1:12" ht="9" customHeight="1">
      <c r="A859" s="162" t="s">
        <v>1762</v>
      </c>
      <c r="B859" s="275"/>
      <c r="C859" s="147"/>
      <c r="D859" s="161"/>
      <c r="E859" s="36"/>
      <c r="F859" s="178"/>
      <c r="G859" s="60"/>
      <c r="H859" s="36"/>
      <c r="I859" s="11"/>
    </row>
    <row r="860" spans="1:12" ht="9" customHeight="1">
      <c r="A860" s="162" t="s">
        <v>1763</v>
      </c>
      <c r="B860" s="275"/>
      <c r="C860" s="147"/>
      <c r="D860" s="161"/>
      <c r="E860" s="36"/>
      <c r="F860" s="178"/>
      <c r="G860" s="60"/>
      <c r="H860" s="36"/>
      <c r="I860" s="11"/>
    </row>
    <row r="861" spans="1:12" ht="9" customHeight="1">
      <c r="A861" s="162" t="s">
        <v>1764</v>
      </c>
      <c r="B861" s="275"/>
      <c r="C861" s="147"/>
      <c r="D861" s="161"/>
      <c r="E861" s="36"/>
      <c r="F861" s="178"/>
      <c r="G861" s="60"/>
      <c r="H861" s="36"/>
      <c r="I861" s="11"/>
    </row>
    <row r="862" spans="1:12" ht="9" customHeight="1">
      <c r="A862" s="162" t="s">
        <v>1765</v>
      </c>
      <c r="B862" s="275"/>
      <c r="C862" s="147"/>
      <c r="D862" s="161"/>
      <c r="E862" s="36"/>
      <c r="F862" s="178"/>
      <c r="G862" s="60"/>
      <c r="H862" s="36"/>
      <c r="I862" s="11"/>
    </row>
    <row r="863" spans="1:12" ht="9" customHeight="1">
      <c r="A863" s="162" t="s">
        <v>1766</v>
      </c>
      <c r="B863" s="275"/>
      <c r="C863" s="147"/>
      <c r="D863" s="161"/>
      <c r="E863" s="36"/>
      <c r="F863" s="178"/>
      <c r="G863" s="60"/>
      <c r="H863" s="36"/>
      <c r="I863" s="11"/>
    </row>
    <row r="864" spans="1:12" ht="9" customHeight="1">
      <c r="A864" s="162" t="s">
        <v>1767</v>
      </c>
      <c r="B864" s="275"/>
      <c r="C864" s="147"/>
      <c r="D864" s="161"/>
      <c r="E864" s="36"/>
      <c r="F864" s="178"/>
      <c r="G864" s="60"/>
      <c r="H864" s="36"/>
      <c r="I864" s="11"/>
    </row>
    <row r="865" spans="1:12" ht="9" customHeight="1">
      <c r="A865" s="162" t="s">
        <v>1768</v>
      </c>
      <c r="B865" s="275"/>
      <c r="C865" s="147"/>
      <c r="D865" s="161"/>
      <c r="E865" s="36"/>
      <c r="F865" s="178"/>
      <c r="G865" s="60"/>
      <c r="H865" s="36"/>
      <c r="I865" s="11"/>
    </row>
    <row r="866" spans="1:12" ht="9" customHeight="1">
      <c r="A866" s="162" t="s">
        <v>1769</v>
      </c>
      <c r="B866" s="185"/>
      <c r="C866" s="147"/>
      <c r="D866" s="161"/>
      <c r="E866" s="36"/>
      <c r="F866" s="178"/>
      <c r="G866" s="60"/>
      <c r="H866" s="36"/>
      <c r="I866" s="11"/>
    </row>
    <row r="867" spans="1:12" ht="9" customHeight="1">
      <c r="A867" s="162" t="s">
        <v>1705</v>
      </c>
      <c r="B867" s="90"/>
      <c r="C867" s="147"/>
      <c r="D867" s="161"/>
      <c r="E867" s="36"/>
      <c r="F867" s="178"/>
      <c r="G867" s="60"/>
      <c r="H867" s="36"/>
      <c r="I867" s="11"/>
    </row>
    <row r="868" spans="1:12" ht="9" customHeight="1">
      <c r="A868" s="162" t="s">
        <v>1770</v>
      </c>
      <c r="B868" s="185"/>
      <c r="C868" s="147"/>
      <c r="D868" s="161"/>
      <c r="E868" s="36"/>
      <c r="F868" s="178"/>
      <c r="G868" s="60"/>
      <c r="H868" s="36"/>
      <c r="I868" s="11"/>
    </row>
    <row r="869" spans="1:12" ht="9" customHeight="1">
      <c r="A869" s="162" t="s">
        <v>1771</v>
      </c>
      <c r="B869" s="185"/>
      <c r="C869" s="147"/>
      <c r="D869" s="161"/>
      <c r="E869" s="36"/>
      <c r="F869" s="178"/>
      <c r="G869" s="60"/>
      <c r="H869" s="36"/>
      <c r="I869" s="11"/>
    </row>
    <row r="870" spans="1:12" ht="11.15" customHeight="1">
      <c r="A870" s="212" t="s">
        <v>1772</v>
      </c>
      <c r="B870" s="90"/>
      <c r="C870" s="147"/>
      <c r="D870" s="161"/>
      <c r="E870" s="36"/>
      <c r="F870" s="178"/>
      <c r="G870" s="60"/>
      <c r="H870" s="36"/>
      <c r="I870" s="11"/>
    </row>
    <row r="871" spans="1:12" ht="11.15" customHeight="1" thickBot="1">
      <c r="A871" s="29"/>
      <c r="B871" s="90"/>
      <c r="C871" s="147"/>
      <c r="D871" s="161"/>
      <c r="E871" s="36"/>
      <c r="F871" s="178"/>
      <c r="G871" s="60"/>
      <c r="H871" s="36"/>
      <c r="I871" s="11"/>
    </row>
    <row r="872" spans="1:12" ht="11.15" customHeight="1" thickBot="1">
      <c r="A872" s="184" t="s">
        <v>1773</v>
      </c>
      <c r="B872" s="59" t="s">
        <v>20375</v>
      </c>
      <c r="C872" s="147" t="s">
        <v>20221</v>
      </c>
      <c r="D872" s="284" t="s">
        <v>897</v>
      </c>
      <c r="E872" s="178">
        <v>2017</v>
      </c>
      <c r="F872" s="178" t="s">
        <v>4520</v>
      </c>
      <c r="G872" s="496"/>
      <c r="H872" s="994" t="s">
        <v>20221</v>
      </c>
      <c r="I872" s="11" t="s">
        <v>1774</v>
      </c>
      <c r="J872" s="1285"/>
      <c r="K872" s="1285"/>
      <c r="L872" s="1285"/>
    </row>
    <row r="873" spans="1:12" ht="11.15" customHeight="1">
      <c r="A873" s="29" t="s">
        <v>1775</v>
      </c>
      <c r="B873" s="90"/>
      <c r="C873" s="147"/>
      <c r="D873" s="161"/>
      <c r="E873" s="36"/>
      <c r="F873" s="178"/>
      <c r="G873" s="496"/>
      <c r="H873" s="36"/>
      <c r="I873" s="11"/>
    </row>
    <row r="874" spans="1:12" ht="11.15" customHeight="1">
      <c r="A874" s="29" t="s">
        <v>1776</v>
      </c>
      <c r="B874" s="90"/>
      <c r="C874" s="147"/>
      <c r="D874" s="161"/>
      <c r="E874" s="36"/>
      <c r="F874" s="178"/>
      <c r="G874" s="496"/>
      <c r="H874" s="36"/>
      <c r="I874" s="11"/>
    </row>
    <row r="875" spans="1:12" ht="11.15" customHeight="1">
      <c r="A875" s="29" t="s">
        <v>1777</v>
      </c>
      <c r="B875" s="90"/>
      <c r="C875" s="147"/>
      <c r="D875" s="161"/>
      <c r="E875" s="36"/>
      <c r="F875" s="178"/>
      <c r="G875" s="496"/>
      <c r="H875" s="36"/>
      <c r="I875" s="11"/>
    </row>
    <row r="876" spans="1:12" ht="11.15" customHeight="1">
      <c r="A876" s="29" t="s">
        <v>1778</v>
      </c>
      <c r="B876" s="90"/>
      <c r="C876" s="147"/>
      <c r="D876" s="161"/>
      <c r="E876" s="36"/>
      <c r="F876" s="178"/>
      <c r="G876" s="496"/>
      <c r="H876" s="36"/>
      <c r="I876" s="11"/>
    </row>
    <row r="877" spans="1:12" ht="11.15" customHeight="1">
      <c r="A877" s="1169" t="s">
        <v>1779</v>
      </c>
      <c r="B877" s="90"/>
      <c r="C877" s="147"/>
      <c r="D877" s="161"/>
      <c r="E877" s="36"/>
      <c r="F877" s="178"/>
      <c r="G877" s="496"/>
      <c r="H877" s="36"/>
      <c r="I877" s="11"/>
    </row>
    <row r="878" spans="1:12" ht="11.15" customHeight="1">
      <c r="A878" s="129" t="s">
        <v>1780</v>
      </c>
      <c r="B878" s="90"/>
      <c r="C878" s="147"/>
      <c r="D878" s="161"/>
      <c r="E878" s="36"/>
      <c r="F878" s="178"/>
      <c r="G878" s="496"/>
      <c r="H878" s="36"/>
      <c r="I878" s="11"/>
    </row>
    <row r="879" spans="1:12" ht="11.15" customHeight="1" thickBot="1">
      <c r="A879" s="185"/>
      <c r="B879" s="90"/>
      <c r="C879" s="147"/>
      <c r="D879" s="161"/>
      <c r="E879" s="36"/>
      <c r="F879" s="178"/>
      <c r="G879" s="496"/>
      <c r="H879" s="36"/>
      <c r="I879" s="11"/>
    </row>
    <row r="880" spans="1:12" ht="11.15" customHeight="1" thickBot="1">
      <c r="A880" s="184" t="s">
        <v>1781</v>
      </c>
      <c r="B880" s="59" t="s">
        <v>20376</v>
      </c>
      <c r="C880" s="147" t="s">
        <v>20221</v>
      </c>
      <c r="D880" s="284" t="s">
        <v>897</v>
      </c>
      <c r="E880" s="178">
        <v>2022</v>
      </c>
      <c r="F880" s="178" t="s">
        <v>4520</v>
      </c>
      <c r="G880" s="496"/>
      <c r="H880" s="994" t="s">
        <v>20343</v>
      </c>
      <c r="I880" s="11" t="s">
        <v>1782</v>
      </c>
      <c r="J880" s="1285"/>
      <c r="K880" s="1285"/>
      <c r="L880" s="1285"/>
    </row>
    <row r="881" spans="1:13" ht="11.15" customHeight="1">
      <c r="A881" s="29" t="s">
        <v>1783</v>
      </c>
      <c r="B881" s="59" t="s">
        <v>20376</v>
      </c>
      <c r="C881" s="147" t="s">
        <v>20221</v>
      </c>
      <c r="D881" s="284" t="s">
        <v>897</v>
      </c>
      <c r="E881" s="178">
        <v>2021</v>
      </c>
      <c r="F881" s="178" t="s">
        <v>4520</v>
      </c>
      <c r="G881" s="496"/>
      <c r="H881" s="994" t="s">
        <v>20221</v>
      </c>
      <c r="I881" s="11" t="s">
        <v>1784</v>
      </c>
      <c r="J881" s="1285"/>
      <c r="K881" s="1285"/>
      <c r="L881" s="1285"/>
    </row>
    <row r="882" spans="1:13" ht="11.15" customHeight="1">
      <c r="A882" s="29" t="s">
        <v>1785</v>
      </c>
      <c r="B882" s="59" t="s">
        <v>20376</v>
      </c>
      <c r="C882" s="147" t="s">
        <v>20221</v>
      </c>
      <c r="D882" s="284" t="s">
        <v>897</v>
      </c>
      <c r="E882" s="178">
        <v>2020</v>
      </c>
      <c r="F882" s="178" t="s">
        <v>4520</v>
      </c>
      <c r="G882" s="496"/>
      <c r="H882" s="994" t="s">
        <v>20221</v>
      </c>
      <c r="I882" s="11" t="s">
        <v>1786</v>
      </c>
      <c r="J882" s="1285"/>
      <c r="K882" s="1285"/>
      <c r="L882" s="1285"/>
      <c r="M882" s="5"/>
    </row>
    <row r="883" spans="1:13" ht="11.15" customHeight="1">
      <c r="A883" s="29" t="s">
        <v>1787</v>
      </c>
      <c r="B883" s="59" t="s">
        <v>20376</v>
      </c>
      <c r="C883" s="147" t="s">
        <v>20221</v>
      </c>
      <c r="D883" s="284" t="s">
        <v>897</v>
      </c>
      <c r="E883" s="178">
        <v>2019</v>
      </c>
      <c r="F883" s="178" t="s">
        <v>4520</v>
      </c>
      <c r="G883" s="496"/>
      <c r="H883" s="994" t="s">
        <v>20221</v>
      </c>
      <c r="I883" s="11" t="s">
        <v>1788</v>
      </c>
      <c r="J883" s="1285"/>
      <c r="K883" s="1285"/>
      <c r="L883" s="1285"/>
    </row>
    <row r="884" spans="1:13" ht="11.15" customHeight="1">
      <c r="A884" s="218" t="s">
        <v>973</v>
      </c>
      <c r="B884" s="90"/>
      <c r="C884" s="147"/>
      <c r="D884" s="161"/>
      <c r="E884" s="36"/>
      <c r="F884" s="178"/>
      <c r="G884" s="496"/>
      <c r="H884" s="36"/>
      <c r="I884" s="11"/>
    </row>
    <row r="885" spans="1:13" ht="11.15" customHeight="1">
      <c r="A885" s="129" t="s">
        <v>1077</v>
      </c>
      <c r="B885" s="90"/>
      <c r="C885" s="147"/>
      <c r="D885" s="161"/>
      <c r="E885" s="34"/>
      <c r="F885" s="178"/>
      <c r="G885" s="496"/>
      <c r="H885" s="36"/>
      <c r="I885" s="11"/>
    </row>
    <row r="886" spans="1:13" ht="11.15" customHeight="1">
      <c r="A886" s="283" t="s">
        <v>1789</v>
      </c>
      <c r="B886" s="178"/>
      <c r="C886" s="147"/>
      <c r="D886" s="284"/>
      <c r="E886" s="36"/>
      <c r="F886" s="178"/>
      <c r="G886" s="496"/>
      <c r="H886" s="36"/>
      <c r="I886" s="11"/>
    </row>
    <row r="887" spans="1:13" ht="11.15" customHeight="1">
      <c r="A887" s="283" t="s">
        <v>1790</v>
      </c>
      <c r="B887" s="178"/>
      <c r="C887" s="147"/>
      <c r="D887" s="284"/>
      <c r="E887" s="36"/>
      <c r="F887" s="178"/>
      <c r="G887" s="496"/>
      <c r="H887" s="36"/>
      <c r="I887" s="11"/>
    </row>
    <row r="888" spans="1:13" ht="11.15" customHeight="1">
      <c r="A888" s="162" t="s">
        <v>1785</v>
      </c>
      <c r="B888" s="210"/>
      <c r="C888" s="209"/>
      <c r="D888" s="209"/>
      <c r="E888" s="210"/>
      <c r="F888" s="150"/>
      <c r="G888" s="1190"/>
      <c r="H888" s="210"/>
      <c r="I888" s="11"/>
    </row>
    <row r="889" spans="1:13" ht="11.15" customHeight="1">
      <c r="A889" s="199" t="s">
        <v>1791</v>
      </c>
      <c r="B889" s="210"/>
      <c r="C889" s="209"/>
      <c r="D889" s="209"/>
      <c r="E889" s="210"/>
      <c r="F889" s="150"/>
      <c r="G889" s="1190"/>
      <c r="H889" s="210"/>
      <c r="I889" s="11"/>
      <c r="M889" s="5"/>
    </row>
    <row r="890" spans="1:13" ht="11.15" customHeight="1">
      <c r="A890" s="129" t="s">
        <v>1792</v>
      </c>
      <c r="B890" s="90"/>
      <c r="C890" s="147"/>
      <c r="D890" s="161"/>
      <c r="E890" s="36"/>
      <c r="F890" s="178"/>
      <c r="G890" s="496"/>
      <c r="H890" s="36"/>
      <c r="I890" s="11"/>
    </row>
    <row r="891" spans="1:13" ht="11.15" customHeight="1" thickBot="1">
      <c r="A891" s="29"/>
      <c r="B891" s="90"/>
      <c r="C891" s="147"/>
      <c r="D891" s="161"/>
      <c r="E891" s="36"/>
      <c r="F891" s="178"/>
      <c r="G891" s="496"/>
      <c r="H891" s="36"/>
      <c r="I891" s="11"/>
    </row>
    <row r="892" spans="1:13" ht="11.15" customHeight="1" thickBot="1">
      <c r="A892" s="184" t="s">
        <v>1793</v>
      </c>
      <c r="B892" s="59" t="s">
        <v>20377</v>
      </c>
      <c r="C892" s="147" t="s">
        <v>20221</v>
      </c>
      <c r="D892" s="284" t="s">
        <v>897</v>
      </c>
      <c r="E892" s="178">
        <v>2020</v>
      </c>
      <c r="F892" s="178" t="s">
        <v>4520</v>
      </c>
      <c r="G892" s="496"/>
      <c r="H892" s="994" t="s">
        <v>20221</v>
      </c>
      <c r="I892" s="11" t="s">
        <v>1794</v>
      </c>
      <c r="J892" s="1285"/>
      <c r="K892" s="1285"/>
      <c r="L892" s="1285"/>
    </row>
    <row r="893" spans="1:13" ht="11.15" customHeight="1">
      <c r="A893" s="29" t="s">
        <v>1795</v>
      </c>
      <c r="B893" s="90"/>
      <c r="C893" s="147"/>
      <c r="D893" s="161"/>
      <c r="E893" s="36"/>
      <c r="F893" s="178"/>
      <c r="G893" s="497"/>
      <c r="H893" s="36"/>
      <c r="I893" s="11"/>
    </row>
    <row r="894" spans="1:13" ht="11.15" customHeight="1">
      <c r="A894" s="29" t="s">
        <v>1796</v>
      </c>
      <c r="B894" s="90"/>
      <c r="C894" s="147"/>
      <c r="D894" s="161"/>
      <c r="E894" s="36"/>
      <c r="F894" s="178"/>
      <c r="G894" s="497"/>
      <c r="H894" s="36"/>
      <c r="I894" s="11"/>
    </row>
    <row r="895" spans="1:13" ht="11.15" customHeight="1">
      <c r="A895" s="29" t="s">
        <v>1797</v>
      </c>
      <c r="B895" s="90"/>
      <c r="C895" s="147"/>
      <c r="D895" s="161"/>
      <c r="E895" s="36"/>
      <c r="F895" s="178"/>
      <c r="G895" s="496"/>
      <c r="H895" s="36"/>
      <c r="I895" s="11"/>
    </row>
    <row r="896" spans="1:13" ht="11.15" customHeight="1" thickBot="1">
      <c r="A896" s="241"/>
      <c r="B896" s="90"/>
      <c r="C896" s="147"/>
      <c r="D896" s="161"/>
      <c r="E896" s="36"/>
      <c r="F896" s="178"/>
      <c r="G896" s="496"/>
      <c r="H896" s="36"/>
      <c r="I896" s="11"/>
    </row>
    <row r="897" spans="1:13" ht="11.15" customHeight="1" thickBot="1">
      <c r="A897" s="184" t="s">
        <v>1798</v>
      </c>
      <c r="B897" s="59" t="s">
        <v>20379</v>
      </c>
      <c r="C897" s="147" t="s">
        <v>20221</v>
      </c>
      <c r="D897" s="284" t="s">
        <v>897</v>
      </c>
      <c r="E897" s="178">
        <v>2023</v>
      </c>
      <c r="F897" s="178" t="s">
        <v>23394</v>
      </c>
      <c r="G897" s="496"/>
      <c r="H897" s="994" t="s">
        <v>20343</v>
      </c>
      <c r="I897" s="11" t="s">
        <v>1799</v>
      </c>
      <c r="J897" s="1285"/>
      <c r="K897" s="1285"/>
      <c r="L897" s="1285"/>
    </row>
    <row r="898" spans="1:13" ht="11.15" customHeight="1">
      <c r="A898" s="29" t="s">
        <v>1800</v>
      </c>
      <c r="B898" s="59" t="s">
        <v>20379</v>
      </c>
      <c r="C898" s="147" t="s">
        <v>20221</v>
      </c>
      <c r="D898" s="284" t="s">
        <v>897</v>
      </c>
      <c r="E898" s="178">
        <v>2022</v>
      </c>
      <c r="F898" s="178" t="s">
        <v>23394</v>
      </c>
      <c r="G898" s="496"/>
      <c r="H898" s="994" t="s">
        <v>20343</v>
      </c>
      <c r="I898" s="11" t="s">
        <v>1801</v>
      </c>
      <c r="J898" s="1285"/>
      <c r="K898" s="1285"/>
      <c r="L898" s="1285"/>
    </row>
    <row r="899" spans="1:13" ht="11.15" customHeight="1">
      <c r="A899" s="29" t="s">
        <v>23256</v>
      </c>
      <c r="B899" s="59" t="s">
        <v>20379</v>
      </c>
      <c r="C899" s="147" t="s">
        <v>20221</v>
      </c>
      <c r="D899" s="284" t="s">
        <v>897</v>
      </c>
      <c r="E899" s="178">
        <v>2021</v>
      </c>
      <c r="F899" s="178" t="s">
        <v>23394</v>
      </c>
      <c r="G899" s="496"/>
      <c r="H899" s="994" t="s">
        <v>20221</v>
      </c>
      <c r="I899" s="11" t="s">
        <v>1803</v>
      </c>
      <c r="J899" s="1285"/>
      <c r="K899" s="1285"/>
      <c r="L899" s="1285"/>
    </row>
    <row r="900" spans="1:13" ht="11.15" customHeight="1">
      <c r="A900" s="272" t="s">
        <v>1802</v>
      </c>
      <c r="B900" s="59" t="s">
        <v>20379</v>
      </c>
      <c r="C900" s="147" t="s">
        <v>20221</v>
      </c>
      <c r="D900" s="284" t="s">
        <v>897</v>
      </c>
      <c r="E900" s="178">
        <v>2020</v>
      </c>
      <c r="F900" s="178" t="s">
        <v>4520</v>
      </c>
      <c r="G900" s="496"/>
      <c r="H900" s="994" t="s">
        <v>20224</v>
      </c>
      <c r="I900" s="11" t="s">
        <v>1805</v>
      </c>
      <c r="J900" s="1285"/>
      <c r="K900" s="1285"/>
      <c r="L900" s="1285"/>
    </row>
    <row r="901" spans="1:13" ht="11.15" customHeight="1">
      <c r="A901" s="29" t="s">
        <v>1804</v>
      </c>
      <c r="B901" s="90"/>
      <c r="C901" s="147"/>
      <c r="D901" s="161"/>
      <c r="E901" s="36"/>
      <c r="F901" s="178"/>
      <c r="G901" s="496"/>
      <c r="H901" s="36"/>
      <c r="I901" s="11"/>
    </row>
    <row r="902" spans="1:13" ht="11.15" customHeight="1">
      <c r="A902" s="29" t="s">
        <v>1806</v>
      </c>
      <c r="B902" s="90"/>
      <c r="C902" s="147"/>
      <c r="D902" s="161"/>
      <c r="E902" s="36"/>
      <c r="F902" s="178"/>
      <c r="G902" s="496"/>
      <c r="H902" s="36"/>
      <c r="I902" s="11"/>
    </row>
    <row r="903" spans="1:13" ht="11.15" customHeight="1">
      <c r="A903" s="29" t="s">
        <v>1807</v>
      </c>
      <c r="B903" s="90"/>
      <c r="C903" s="147"/>
      <c r="D903" s="161"/>
      <c r="E903" s="36"/>
      <c r="F903" s="178"/>
      <c r="G903" s="496"/>
      <c r="H903" s="36"/>
      <c r="I903" s="11"/>
    </row>
    <row r="904" spans="1:13" ht="11.15" customHeight="1">
      <c r="A904" s="218" t="s">
        <v>1808</v>
      </c>
      <c r="B904" s="90"/>
      <c r="C904" s="147"/>
      <c r="D904" s="161"/>
      <c r="E904" s="36"/>
      <c r="F904" s="178"/>
      <c r="G904" s="496"/>
      <c r="H904" s="36"/>
      <c r="I904" s="11"/>
    </row>
    <row r="905" spans="1:13" ht="11.15" customHeight="1">
      <c r="A905" s="166" t="s">
        <v>1809</v>
      </c>
      <c r="B905" s="90"/>
      <c r="C905" s="147"/>
      <c r="D905" s="161"/>
      <c r="E905" s="36"/>
      <c r="F905" s="178"/>
      <c r="G905" s="496"/>
      <c r="H905" s="36"/>
      <c r="I905" s="11"/>
    </row>
    <row r="906" spans="1:13" ht="11.15" customHeight="1">
      <c r="A906" s="129" t="s">
        <v>1810</v>
      </c>
      <c r="B906" s="90"/>
      <c r="C906" s="147"/>
      <c r="D906" s="161"/>
      <c r="E906" s="36"/>
      <c r="F906" s="178"/>
      <c r="G906" s="496"/>
      <c r="H906" s="36"/>
      <c r="I906" s="11"/>
    </row>
    <row r="907" spans="1:13" ht="11.15" customHeight="1">
      <c r="A907" s="129" t="s">
        <v>1811</v>
      </c>
      <c r="B907" s="90"/>
      <c r="C907" s="147"/>
      <c r="D907" s="161"/>
      <c r="E907" s="36"/>
      <c r="F907" s="178"/>
      <c r="G907" s="496"/>
      <c r="H907" s="36"/>
      <c r="I907" s="11"/>
    </row>
    <row r="908" spans="1:13" ht="11.15" customHeight="1">
      <c r="A908" s="129" t="s">
        <v>1812</v>
      </c>
      <c r="B908" s="90"/>
      <c r="C908" s="147"/>
      <c r="D908" s="161"/>
      <c r="E908" s="36"/>
      <c r="F908" s="178"/>
      <c r="G908" s="496"/>
      <c r="H908" s="36"/>
      <c r="I908" s="11"/>
    </row>
    <row r="909" spans="1:13" ht="11.15" customHeight="1" thickBot="1">
      <c r="A909" s="129"/>
      <c r="B909" s="90"/>
      <c r="C909" s="147"/>
      <c r="D909" s="161"/>
      <c r="E909" s="36"/>
      <c r="F909" s="178"/>
      <c r="G909" s="496"/>
      <c r="H909" s="36"/>
      <c r="I909" s="11"/>
    </row>
    <row r="910" spans="1:13" ht="11.15" customHeight="1" thickBot="1">
      <c r="A910" s="184" t="s">
        <v>1813</v>
      </c>
      <c r="B910" s="59" t="s">
        <v>52</v>
      </c>
      <c r="C910" s="147" t="s">
        <v>20221</v>
      </c>
      <c r="D910" s="284" t="s">
        <v>897</v>
      </c>
      <c r="E910" s="178">
        <v>2023</v>
      </c>
      <c r="F910" s="178" t="s">
        <v>4520</v>
      </c>
      <c r="G910" s="496"/>
      <c r="H910" s="994" t="s">
        <v>20343</v>
      </c>
      <c r="I910" s="11" t="s">
        <v>1814</v>
      </c>
      <c r="J910" s="1285"/>
      <c r="K910" s="1285"/>
      <c r="L910" s="1285"/>
    </row>
    <row r="911" spans="1:13" ht="11.15" customHeight="1">
      <c r="A911" s="29" t="s">
        <v>1815</v>
      </c>
      <c r="B911" s="59" t="s">
        <v>52</v>
      </c>
      <c r="C911" s="147" t="s">
        <v>20221</v>
      </c>
      <c r="D911" s="284" t="s">
        <v>897</v>
      </c>
      <c r="E911" s="178">
        <v>2022</v>
      </c>
      <c r="F911" s="178" t="s">
        <v>4520</v>
      </c>
      <c r="G911" s="496"/>
      <c r="H911" s="994" t="s">
        <v>20221</v>
      </c>
      <c r="I911" s="11" t="s">
        <v>1816</v>
      </c>
      <c r="J911" s="1285"/>
      <c r="K911" s="1285"/>
      <c r="L911" s="1285"/>
    </row>
    <row r="912" spans="1:13" ht="11.15" customHeight="1">
      <c r="A912" s="29" t="s">
        <v>1817</v>
      </c>
      <c r="B912" s="59" t="s">
        <v>52</v>
      </c>
      <c r="C912" s="147" t="s">
        <v>20221</v>
      </c>
      <c r="D912" s="284" t="s">
        <v>897</v>
      </c>
      <c r="E912" s="178">
        <v>2021</v>
      </c>
      <c r="F912" s="178" t="s">
        <v>4520</v>
      </c>
      <c r="G912" s="496"/>
      <c r="H912" s="994" t="s">
        <v>20221</v>
      </c>
      <c r="I912" s="11" t="s">
        <v>1818</v>
      </c>
      <c r="J912" s="1285"/>
      <c r="K912" s="1285"/>
      <c r="L912" s="1285"/>
      <c r="M912" s="5"/>
    </row>
    <row r="913" spans="1:12" ht="11.15" customHeight="1">
      <c r="A913" s="29" t="s">
        <v>1819</v>
      </c>
      <c r="B913" s="59" t="s">
        <v>52</v>
      </c>
      <c r="C913" s="147" t="s">
        <v>20221</v>
      </c>
      <c r="D913" s="284" t="s">
        <v>897</v>
      </c>
      <c r="E913" s="178">
        <v>2020</v>
      </c>
      <c r="F913" s="178" t="s">
        <v>4520</v>
      </c>
      <c r="G913" s="496"/>
      <c r="H913" s="994" t="s">
        <v>20221</v>
      </c>
      <c r="I913" s="11" t="s">
        <v>1820</v>
      </c>
      <c r="J913" s="1285"/>
      <c r="K913" s="1285"/>
      <c r="L913" s="1285"/>
    </row>
    <row r="914" spans="1:12" ht="11.15" customHeight="1">
      <c r="A914" s="29" t="s">
        <v>1821</v>
      </c>
      <c r="B914" s="90"/>
      <c r="C914" s="147"/>
      <c r="D914" s="161"/>
      <c r="E914" s="36"/>
      <c r="F914" s="178"/>
      <c r="G914" s="496"/>
      <c r="H914" s="36"/>
      <c r="I914" s="11"/>
    </row>
    <row r="915" spans="1:12" ht="11.15" customHeight="1">
      <c r="A915" s="29" t="s">
        <v>1822</v>
      </c>
      <c r="B915" s="90"/>
      <c r="C915" s="147"/>
      <c r="D915" s="161"/>
      <c r="E915" s="36"/>
      <c r="F915" s="178"/>
      <c r="G915" s="496"/>
      <c r="H915" s="36"/>
      <c r="I915" s="11"/>
    </row>
    <row r="916" spans="1:12" ht="11.15" customHeight="1">
      <c r="A916" s="218" t="s">
        <v>1823</v>
      </c>
      <c r="B916" s="90"/>
      <c r="C916" s="147"/>
      <c r="D916" s="161"/>
      <c r="E916" s="36"/>
      <c r="F916" s="178"/>
      <c r="G916" s="496"/>
      <c r="H916" s="36"/>
      <c r="I916" s="11"/>
    </row>
    <row r="917" spans="1:12" ht="11.15" customHeight="1">
      <c r="A917" s="166" t="s">
        <v>1824</v>
      </c>
      <c r="B917" s="90"/>
      <c r="C917" s="147"/>
      <c r="D917" s="161"/>
      <c r="E917" s="36"/>
      <c r="F917" s="178"/>
      <c r="G917" s="496"/>
      <c r="H917" s="36"/>
      <c r="I917" s="11"/>
    </row>
    <row r="918" spans="1:12" ht="11.15" customHeight="1">
      <c r="A918" s="285" t="s">
        <v>1825</v>
      </c>
      <c r="B918" s="90"/>
      <c r="C918" s="147"/>
      <c r="D918" s="161"/>
      <c r="E918" s="36"/>
      <c r="F918" s="178"/>
      <c r="G918" s="496"/>
      <c r="H918" s="36"/>
      <c r="I918" s="11"/>
    </row>
    <row r="919" spans="1:12" ht="11.15" customHeight="1">
      <c r="A919" s="129" t="s">
        <v>1826</v>
      </c>
      <c r="B919" s="90"/>
      <c r="C919" s="147"/>
      <c r="D919" s="161"/>
      <c r="E919" s="36"/>
      <c r="F919" s="178"/>
      <c r="G919" s="496"/>
      <c r="H919" s="36"/>
      <c r="I919" s="11"/>
    </row>
    <row r="920" spans="1:12" ht="11.15" customHeight="1" thickBot="1">
      <c r="A920" s="185"/>
      <c r="B920" s="226"/>
      <c r="C920" s="147"/>
      <c r="D920" s="122"/>
      <c r="E920" s="36"/>
      <c r="F920" s="178"/>
      <c r="G920" s="60"/>
      <c r="H920" s="36"/>
      <c r="I920" s="11"/>
    </row>
    <row r="921" spans="1:12" ht="11.15" customHeight="1" thickBot="1">
      <c r="A921" s="184" t="s">
        <v>1827</v>
      </c>
      <c r="B921" s="59" t="s">
        <v>53</v>
      </c>
      <c r="C921" s="147" t="s">
        <v>20221</v>
      </c>
      <c r="D921" s="284" t="s">
        <v>897</v>
      </c>
      <c r="E921" s="178">
        <v>2007</v>
      </c>
      <c r="F921" s="178" t="s">
        <v>23395</v>
      </c>
      <c r="G921" s="496"/>
      <c r="H921" s="994" t="s">
        <v>20224</v>
      </c>
      <c r="I921" s="11" t="s">
        <v>1828</v>
      </c>
      <c r="J921" s="1285"/>
      <c r="K921" s="1285"/>
      <c r="L921" s="1285"/>
    </row>
    <row r="922" spans="1:12" ht="11.15" customHeight="1">
      <c r="A922" s="29" t="s">
        <v>1829</v>
      </c>
      <c r="B922" s="90"/>
      <c r="C922" s="147"/>
      <c r="D922" s="161"/>
      <c r="E922" s="36"/>
      <c r="F922" s="178"/>
      <c r="G922" s="496"/>
      <c r="H922" s="36"/>
      <c r="I922" s="11"/>
    </row>
    <row r="923" spans="1:12" ht="11.15" customHeight="1">
      <c r="A923" s="29" t="s">
        <v>1830</v>
      </c>
      <c r="B923" s="185"/>
      <c r="C923" s="147"/>
      <c r="D923" s="161"/>
      <c r="E923" s="36"/>
      <c r="F923" s="178"/>
      <c r="G923" s="496"/>
      <c r="H923" s="36"/>
      <c r="I923" s="11"/>
    </row>
    <row r="924" spans="1:12" ht="11.15" customHeight="1">
      <c r="A924" s="29" t="s">
        <v>1831</v>
      </c>
      <c r="B924" s="150"/>
      <c r="C924" s="147"/>
      <c r="D924" s="161"/>
      <c r="E924" s="36"/>
      <c r="F924" s="178"/>
      <c r="G924" s="496"/>
      <c r="H924" s="36"/>
      <c r="I924" s="11"/>
    </row>
    <row r="925" spans="1:12" ht="11.15" customHeight="1">
      <c r="A925" s="58" t="s">
        <v>1661</v>
      </c>
      <c r="B925" s="150"/>
      <c r="C925" s="147"/>
      <c r="D925" s="161"/>
      <c r="E925" s="36"/>
      <c r="F925" s="178"/>
      <c r="G925" s="496"/>
      <c r="H925" s="36"/>
      <c r="I925" s="11"/>
    </row>
    <row r="926" spans="1:12" ht="11.15" customHeight="1">
      <c r="A926" s="129" t="s">
        <v>1832</v>
      </c>
      <c r="B926" s="90"/>
      <c r="C926" s="147"/>
      <c r="D926" s="161"/>
      <c r="E926" s="36"/>
      <c r="F926" s="178"/>
      <c r="G926" s="496"/>
      <c r="H926" s="36"/>
      <c r="I926" s="11"/>
    </row>
    <row r="927" spans="1:12" ht="11.15" customHeight="1">
      <c r="A927" s="29"/>
      <c r="B927" s="146" t="s">
        <v>1833</v>
      </c>
      <c r="C927" s="147"/>
      <c r="D927" s="122"/>
      <c r="E927" s="36"/>
      <c r="F927" s="178"/>
      <c r="G927" s="60"/>
      <c r="H927" s="36"/>
      <c r="I927" s="11"/>
    </row>
    <row r="928" spans="1:12" ht="9" customHeight="1">
      <c r="A928" s="29"/>
      <c r="B928" s="150" t="s">
        <v>1834</v>
      </c>
      <c r="C928" s="147"/>
      <c r="D928" s="122"/>
      <c r="E928" s="36"/>
      <c r="F928" s="178"/>
      <c r="G928" s="60"/>
      <c r="H928" s="36"/>
      <c r="I928" s="11"/>
    </row>
    <row r="929" spans="1:13" ht="9" customHeight="1">
      <c r="A929" s="29"/>
      <c r="B929" s="150" t="s">
        <v>1835</v>
      </c>
      <c r="C929" s="147"/>
      <c r="D929" s="122"/>
      <c r="E929" s="36"/>
      <c r="F929" s="178"/>
      <c r="G929" s="60"/>
      <c r="H929" s="36"/>
      <c r="I929" s="11"/>
    </row>
    <row r="930" spans="1:13" ht="9" customHeight="1">
      <c r="A930" s="29"/>
      <c r="B930" s="150" t="s">
        <v>1836</v>
      </c>
      <c r="C930" s="147"/>
      <c r="D930" s="122"/>
      <c r="E930" s="36"/>
      <c r="F930" s="178"/>
      <c r="G930" s="60"/>
      <c r="H930" s="36"/>
      <c r="I930" s="11"/>
    </row>
    <row r="931" spans="1:13" ht="9" customHeight="1" thickBot="1">
      <c r="A931" s="29"/>
      <c r="B931" s="150" t="s">
        <v>1837</v>
      </c>
      <c r="C931" s="147"/>
      <c r="D931" s="122"/>
      <c r="E931" s="36"/>
      <c r="F931" s="178"/>
      <c r="G931" s="60"/>
      <c r="H931" s="36"/>
      <c r="I931" s="11"/>
    </row>
    <row r="932" spans="1:13" ht="11.15" customHeight="1" thickBot="1">
      <c r="A932" s="184" t="s">
        <v>1838</v>
      </c>
      <c r="B932" s="154" t="s">
        <v>1491</v>
      </c>
      <c r="C932" s="147"/>
      <c r="D932" s="185"/>
      <c r="E932" s="185"/>
      <c r="F932" s="185"/>
      <c r="G932" s="185"/>
      <c r="H932" s="185"/>
      <c r="I932" s="11"/>
    </row>
    <row r="933" spans="1:13" ht="11.15" customHeight="1">
      <c r="A933" s="29" t="s">
        <v>1839</v>
      </c>
      <c r="B933" s="59" t="s">
        <v>20380</v>
      </c>
      <c r="C933" s="147" t="s">
        <v>20221</v>
      </c>
      <c r="D933" s="284" t="s">
        <v>897</v>
      </c>
      <c r="E933" s="178">
        <v>2023</v>
      </c>
      <c r="F933" s="178" t="s">
        <v>4520</v>
      </c>
      <c r="G933" s="496"/>
      <c r="H933" s="994" t="s">
        <v>20343</v>
      </c>
      <c r="I933" s="11" t="s">
        <v>1840</v>
      </c>
      <c r="J933" s="1285"/>
      <c r="K933" s="1285"/>
      <c r="L933" s="1285"/>
    </row>
    <row r="934" spans="1:13" ht="11.15" customHeight="1">
      <c r="A934" s="29" t="s">
        <v>1841</v>
      </c>
      <c r="B934" s="154" t="s">
        <v>1691</v>
      </c>
      <c r="C934" s="147"/>
      <c r="D934" s="185"/>
      <c r="E934" s="185"/>
      <c r="F934" s="185"/>
      <c r="G934" s="185"/>
      <c r="H934" s="185"/>
      <c r="I934" s="11"/>
      <c r="M934" s="5"/>
    </row>
    <row r="935" spans="1:13" ht="11.15" customHeight="1">
      <c r="A935" s="29" t="s">
        <v>1842</v>
      </c>
      <c r="B935" s="59" t="s">
        <v>20381</v>
      </c>
      <c r="C935" s="147" t="s">
        <v>20221</v>
      </c>
      <c r="D935" s="284" t="s">
        <v>897</v>
      </c>
      <c r="E935" s="178">
        <v>2023</v>
      </c>
      <c r="F935" s="178" t="s">
        <v>4520</v>
      </c>
      <c r="G935" s="496"/>
      <c r="H935" s="994" t="s">
        <v>20343</v>
      </c>
      <c r="I935" s="11" t="s">
        <v>1843</v>
      </c>
      <c r="J935" s="1285"/>
      <c r="K935" s="1285"/>
      <c r="L935" s="1285"/>
    </row>
    <row r="936" spans="1:13" ht="11.15" customHeight="1">
      <c r="A936" s="29" t="s">
        <v>1844</v>
      </c>
      <c r="B936" s="59" t="s">
        <v>20381</v>
      </c>
      <c r="C936" s="147" t="s">
        <v>20221</v>
      </c>
      <c r="D936" s="284" t="s">
        <v>897</v>
      </c>
      <c r="E936" s="178">
        <v>2022</v>
      </c>
      <c r="F936" s="178" t="s">
        <v>4520</v>
      </c>
      <c r="G936" s="496"/>
      <c r="H936" s="994" t="s">
        <v>20221</v>
      </c>
      <c r="I936" s="11" t="s">
        <v>1845</v>
      </c>
      <c r="J936" s="1285"/>
      <c r="K936" s="1285"/>
      <c r="L936" s="1285"/>
    </row>
    <row r="937" spans="1:13" ht="11.15" customHeight="1">
      <c r="A937" s="29" t="s">
        <v>1846</v>
      </c>
      <c r="B937" s="59" t="s">
        <v>20381</v>
      </c>
      <c r="C937" s="147" t="s">
        <v>20221</v>
      </c>
      <c r="D937" s="284" t="s">
        <v>897</v>
      </c>
      <c r="E937" s="178">
        <v>2021</v>
      </c>
      <c r="F937" s="178" t="s">
        <v>4520</v>
      </c>
      <c r="G937" s="496"/>
      <c r="H937" s="994" t="s">
        <v>20221</v>
      </c>
      <c r="I937" s="11" t="s">
        <v>1847</v>
      </c>
      <c r="J937" s="1285"/>
      <c r="K937" s="1285"/>
      <c r="L937" s="1285"/>
    </row>
    <row r="938" spans="1:13" ht="11.15" customHeight="1">
      <c r="A938" s="29" t="s">
        <v>1848</v>
      </c>
      <c r="B938" s="59" t="s">
        <v>20381</v>
      </c>
      <c r="C938" s="147" t="s">
        <v>20221</v>
      </c>
      <c r="D938" s="284" t="s">
        <v>897</v>
      </c>
      <c r="E938" s="178">
        <v>2020</v>
      </c>
      <c r="F938" s="178" t="s">
        <v>4520</v>
      </c>
      <c r="G938" s="496"/>
      <c r="H938" s="994" t="s">
        <v>20221</v>
      </c>
      <c r="I938" s="11" t="s">
        <v>1849</v>
      </c>
      <c r="J938" s="1285"/>
      <c r="K938" s="1285"/>
      <c r="L938" s="1285"/>
    </row>
    <row r="939" spans="1:13" ht="11.15" customHeight="1">
      <c r="A939" s="272" t="s">
        <v>1850</v>
      </c>
      <c r="B939" s="59" t="s">
        <v>20381</v>
      </c>
      <c r="C939" s="147" t="s">
        <v>20221</v>
      </c>
      <c r="D939" s="284" t="s">
        <v>897</v>
      </c>
      <c r="E939" s="178">
        <v>2017</v>
      </c>
      <c r="F939" s="178" t="s">
        <v>4520</v>
      </c>
      <c r="G939" s="496"/>
      <c r="H939" s="994" t="s">
        <v>20277</v>
      </c>
      <c r="I939" s="11" t="s">
        <v>1851</v>
      </c>
      <c r="J939" s="1285"/>
      <c r="K939" s="1285"/>
      <c r="L939" s="1285"/>
    </row>
    <row r="940" spans="1:13" ht="11.15" customHeight="1">
      <c r="A940" s="29" t="s">
        <v>1852</v>
      </c>
      <c r="B940" s="286"/>
      <c r="C940" s="147"/>
      <c r="D940" s="66"/>
      <c r="E940" s="178"/>
      <c r="F940" s="178"/>
      <c r="G940" s="60"/>
      <c r="H940" s="178"/>
      <c r="I940" s="11"/>
    </row>
    <row r="941" spans="1:13" ht="12.5">
      <c r="A941" s="287" t="s">
        <v>1853</v>
      </c>
      <c r="B941" s="90"/>
      <c r="C941" s="147"/>
      <c r="D941" s="161"/>
      <c r="E941" s="36"/>
      <c r="F941" s="178"/>
      <c r="G941" s="496"/>
      <c r="H941" s="36"/>
      <c r="I941" s="11"/>
    </row>
    <row r="942" spans="1:13" ht="11.15" customHeight="1">
      <c r="A942" s="129" t="s">
        <v>1630</v>
      </c>
      <c r="B942" s="90"/>
      <c r="C942" s="147"/>
      <c r="D942" s="161"/>
      <c r="E942" s="36"/>
      <c r="F942" s="178"/>
      <c r="G942" s="496"/>
      <c r="H942" s="36"/>
      <c r="I942" s="11"/>
    </row>
    <row r="943" spans="1:13" ht="11.15" customHeight="1">
      <c r="A943" s="279" t="s">
        <v>1854</v>
      </c>
      <c r="B943" s="90"/>
      <c r="C943" s="147"/>
      <c r="D943" s="161"/>
      <c r="E943" s="36"/>
      <c r="F943" s="178"/>
      <c r="G943" s="496"/>
      <c r="H943" s="36"/>
      <c r="I943" s="11"/>
    </row>
    <row r="944" spans="1:13" ht="11.15" customHeight="1">
      <c r="A944" s="166" t="s">
        <v>1855</v>
      </c>
      <c r="B944" s="90"/>
      <c r="C944" s="147"/>
      <c r="D944" s="161"/>
      <c r="E944" s="36"/>
      <c r="F944" s="178"/>
      <c r="G944" s="496"/>
      <c r="H944" s="36"/>
      <c r="I944" s="11"/>
    </row>
    <row r="945" spans="1:12" ht="11.15" customHeight="1">
      <c r="A945" s="129" t="s">
        <v>1856</v>
      </c>
      <c r="B945" s="90"/>
      <c r="C945" s="147"/>
      <c r="D945" s="161"/>
      <c r="E945" s="36"/>
      <c r="F945" s="178"/>
      <c r="G945" s="496"/>
      <c r="H945" s="36"/>
      <c r="I945" s="11"/>
    </row>
    <row r="946" spans="1:12" ht="11.15" customHeight="1" thickBot="1">
      <c r="A946" s="29"/>
      <c r="B946" s="90"/>
      <c r="C946" s="147"/>
      <c r="D946" s="161"/>
      <c r="E946" s="36"/>
      <c r="F946" s="178"/>
      <c r="G946" s="496"/>
      <c r="H946" s="36"/>
      <c r="I946" s="11"/>
    </row>
    <row r="947" spans="1:12" ht="11.15" customHeight="1" thickBot="1">
      <c r="A947" s="184" t="s">
        <v>1857</v>
      </c>
      <c r="B947" s="59" t="s">
        <v>20382</v>
      </c>
      <c r="C947" s="147" t="s">
        <v>23393</v>
      </c>
      <c r="D947" s="284" t="s">
        <v>897</v>
      </c>
      <c r="E947" s="178">
        <v>2020</v>
      </c>
      <c r="F947" s="178" t="s">
        <v>4520</v>
      </c>
      <c r="G947" s="496"/>
      <c r="H947" s="994" t="s">
        <v>20221</v>
      </c>
      <c r="I947" s="11" t="s">
        <v>1858</v>
      </c>
      <c r="J947" s="1285"/>
      <c r="K947" s="1285"/>
      <c r="L947" s="1285"/>
    </row>
    <row r="948" spans="1:12" ht="11.15" customHeight="1">
      <c r="A948" s="29" t="s">
        <v>42</v>
      </c>
      <c r="B948" s="59" t="s">
        <v>20382</v>
      </c>
      <c r="C948" s="147" t="s">
        <v>20221</v>
      </c>
      <c r="D948" s="284" t="s">
        <v>897</v>
      </c>
      <c r="E948" s="178">
        <v>2000</v>
      </c>
      <c r="F948" s="178" t="s">
        <v>23395</v>
      </c>
      <c r="G948" s="496"/>
      <c r="H948" s="994" t="s">
        <v>20277</v>
      </c>
      <c r="I948" s="11" t="s">
        <v>1859</v>
      </c>
      <c r="J948" s="1285"/>
      <c r="K948" s="1285"/>
      <c r="L948" s="1285"/>
    </row>
    <row r="949" spans="1:12" ht="11.15" customHeight="1">
      <c r="A949" s="272" t="s">
        <v>1860</v>
      </c>
      <c r="B949" s="90"/>
      <c r="C949" s="147"/>
      <c r="D949" s="161"/>
      <c r="E949" s="36"/>
      <c r="F949" s="178"/>
      <c r="G949" s="496"/>
      <c r="H949" s="36"/>
      <c r="I949" s="11"/>
    </row>
    <row r="950" spans="1:12" ht="11.15" customHeight="1">
      <c r="A950" s="272" t="s">
        <v>1861</v>
      </c>
      <c r="B950" s="90"/>
      <c r="C950" s="147"/>
      <c r="D950" s="161"/>
      <c r="E950" s="36"/>
      <c r="F950" s="178"/>
      <c r="G950" s="496"/>
      <c r="H950" s="36"/>
      <c r="I950" s="11"/>
    </row>
    <row r="951" spans="1:12" ht="11.15" customHeight="1">
      <c r="A951" s="272" t="s">
        <v>1862</v>
      </c>
      <c r="B951" s="90"/>
      <c r="C951" s="147"/>
      <c r="D951" s="161"/>
      <c r="E951" s="36"/>
      <c r="F951" s="178"/>
      <c r="G951" s="496"/>
      <c r="H951" s="36"/>
      <c r="I951" s="11"/>
    </row>
    <row r="952" spans="1:12" ht="11.15" customHeight="1">
      <c r="A952" s="160" t="s">
        <v>1863</v>
      </c>
      <c r="B952" s="90"/>
      <c r="C952" s="147"/>
      <c r="D952" s="161"/>
      <c r="E952" s="36"/>
      <c r="F952" s="178"/>
      <c r="G952" s="496"/>
      <c r="H952" s="36"/>
      <c r="I952" s="11"/>
    </row>
    <row r="953" spans="1:12" ht="11.15" customHeight="1">
      <c r="A953" s="166" t="s">
        <v>1864</v>
      </c>
      <c r="B953" s="90"/>
      <c r="C953" s="147"/>
      <c r="D953" s="161"/>
      <c r="E953" s="36"/>
      <c r="F953" s="178"/>
      <c r="G953" s="496"/>
      <c r="H953" s="36"/>
      <c r="I953" s="11"/>
    </row>
    <row r="954" spans="1:12" ht="11.15" customHeight="1" thickBot="1">
      <c r="A954" s="29"/>
      <c r="B954" s="210" t="s">
        <v>1865</v>
      </c>
      <c r="C954" s="147"/>
      <c r="D954" s="161"/>
      <c r="E954" s="36"/>
      <c r="F954" s="178"/>
      <c r="G954" s="496"/>
      <c r="H954" s="36"/>
      <c r="I954" s="11"/>
    </row>
    <row r="955" spans="1:12" ht="11.15" customHeight="1">
      <c r="A955" s="153" t="s">
        <v>1866</v>
      </c>
      <c r="B955" s="59" t="s">
        <v>20384</v>
      </c>
      <c r="C955" s="147" t="s">
        <v>20221</v>
      </c>
      <c r="D955" s="284" t="s">
        <v>897</v>
      </c>
      <c r="E955" s="178">
        <v>2021</v>
      </c>
      <c r="F955" s="178" t="s">
        <v>23400</v>
      </c>
      <c r="G955" s="496"/>
      <c r="H955" s="994" t="s">
        <v>20343</v>
      </c>
      <c r="I955" s="11" t="s">
        <v>1867</v>
      </c>
      <c r="J955" s="1285"/>
      <c r="K955" s="1285"/>
      <c r="L955" s="1285"/>
    </row>
    <row r="956" spans="1:12" ht="11.15" customHeight="1" thickBot="1">
      <c r="A956" s="230" t="s">
        <v>1868</v>
      </c>
      <c r="B956" s="59" t="s">
        <v>20383</v>
      </c>
      <c r="C956" s="147" t="s">
        <v>20221</v>
      </c>
      <c r="D956" s="284" t="s">
        <v>897</v>
      </c>
      <c r="E956" s="178">
        <v>2023</v>
      </c>
      <c r="F956" s="178" t="s">
        <v>4520</v>
      </c>
      <c r="G956" s="496"/>
      <c r="H956" s="994" t="s">
        <v>20343</v>
      </c>
      <c r="I956" s="11" t="s">
        <v>1869</v>
      </c>
      <c r="J956" s="1285"/>
      <c r="K956" s="1285"/>
      <c r="L956" s="1285"/>
    </row>
    <row r="957" spans="1:12" ht="11.15" customHeight="1">
      <c r="A957" s="29" t="s">
        <v>1870</v>
      </c>
      <c r="B957" s="59" t="s">
        <v>20383</v>
      </c>
      <c r="C957" s="147" t="s">
        <v>20221</v>
      </c>
      <c r="D957" s="284" t="s">
        <v>897</v>
      </c>
      <c r="E957" s="178">
        <v>2022</v>
      </c>
      <c r="F957" s="178" t="s">
        <v>4520</v>
      </c>
      <c r="G957" s="496"/>
      <c r="H957" s="994" t="s">
        <v>20343</v>
      </c>
      <c r="I957" s="11" t="s">
        <v>1871</v>
      </c>
      <c r="J957" s="1285"/>
      <c r="K957" s="1285"/>
      <c r="L957" s="1285"/>
    </row>
    <row r="958" spans="1:12" ht="11.15" customHeight="1">
      <c r="A958" s="288" t="s">
        <v>1872</v>
      </c>
      <c r="B958" s="59" t="s">
        <v>20383</v>
      </c>
      <c r="C958" s="147" t="s">
        <v>20221</v>
      </c>
      <c r="D958" s="284" t="s">
        <v>897</v>
      </c>
      <c r="E958" s="178">
        <v>2021</v>
      </c>
      <c r="F958" s="178" t="s">
        <v>4520</v>
      </c>
      <c r="G958" s="496"/>
      <c r="H958" s="994" t="s">
        <v>20221</v>
      </c>
      <c r="I958" s="11" t="s">
        <v>1873</v>
      </c>
      <c r="J958" s="1285"/>
      <c r="K958" s="1285"/>
      <c r="L958" s="1285"/>
    </row>
    <row r="959" spans="1:12" ht="11.15" customHeight="1">
      <c r="A959" s="288" t="s">
        <v>1874</v>
      </c>
      <c r="B959" s="59" t="s">
        <v>20383</v>
      </c>
      <c r="C959" s="147" t="s">
        <v>20221</v>
      </c>
      <c r="D959" s="284" t="s">
        <v>897</v>
      </c>
      <c r="E959" s="178">
        <v>2020</v>
      </c>
      <c r="F959" s="178" t="s">
        <v>4520</v>
      </c>
      <c r="G959" s="496"/>
      <c r="H959" s="994" t="s">
        <v>20221</v>
      </c>
      <c r="I959" s="11" t="s">
        <v>1875</v>
      </c>
      <c r="J959" s="1285"/>
      <c r="K959" s="1285"/>
      <c r="L959" s="1285"/>
    </row>
    <row r="960" spans="1:12" ht="11.15" customHeight="1">
      <c r="A960" s="29" t="s">
        <v>1876</v>
      </c>
      <c r="B960" s="59" t="s">
        <v>20383</v>
      </c>
      <c r="C960" s="147" t="s">
        <v>20221</v>
      </c>
      <c r="D960" s="284" t="s">
        <v>897</v>
      </c>
      <c r="E960" s="178">
        <v>2019</v>
      </c>
      <c r="F960" s="178" t="s">
        <v>4520</v>
      </c>
      <c r="G960" s="496"/>
      <c r="H960" s="994" t="s">
        <v>20221</v>
      </c>
      <c r="I960" s="11" t="s">
        <v>1877</v>
      </c>
      <c r="J960" s="1285"/>
      <c r="K960" s="1285"/>
      <c r="L960" s="1285"/>
    </row>
    <row r="961" spans="1:12" ht="11.15" customHeight="1">
      <c r="A961" s="129" t="s">
        <v>1878</v>
      </c>
      <c r="B961" s="59" t="s">
        <v>20383</v>
      </c>
      <c r="C961" s="147" t="s">
        <v>20221</v>
      </c>
      <c r="D961" s="284" t="s">
        <v>897</v>
      </c>
      <c r="E961" s="178">
        <v>2016</v>
      </c>
      <c r="F961" s="178" t="s">
        <v>4520</v>
      </c>
      <c r="G961" s="496"/>
      <c r="H961" s="994" t="s">
        <v>20221</v>
      </c>
      <c r="I961" s="11" t="s">
        <v>1879</v>
      </c>
      <c r="J961" s="1285"/>
      <c r="K961" s="1285"/>
      <c r="L961" s="1285"/>
    </row>
    <row r="962" spans="1:12" ht="11.15" customHeight="1">
      <c r="A962" s="162" t="s">
        <v>1880</v>
      </c>
      <c r="B962" s="59" t="s">
        <v>20385</v>
      </c>
      <c r="C962" s="147" t="s">
        <v>20221</v>
      </c>
      <c r="D962" s="284" t="s">
        <v>897</v>
      </c>
      <c r="E962" s="178">
        <v>2020</v>
      </c>
      <c r="F962" s="178" t="s">
        <v>11931</v>
      </c>
      <c r="G962" s="496"/>
      <c r="H962" s="994" t="s">
        <v>20221</v>
      </c>
      <c r="I962" s="11" t="s">
        <v>1881</v>
      </c>
      <c r="J962" s="1285"/>
      <c r="K962" s="1285"/>
      <c r="L962" s="1285"/>
    </row>
    <row r="963" spans="1:12" ht="11.15" customHeight="1">
      <c r="A963" s="162" t="s">
        <v>1882</v>
      </c>
      <c r="B963" s="154"/>
      <c r="C963" s="147"/>
      <c r="D963" s="129"/>
      <c r="E963" s="185"/>
      <c r="F963" s="185"/>
      <c r="G963" s="185"/>
      <c r="H963" s="185"/>
      <c r="I963" s="11"/>
    </row>
    <row r="964" spans="1:12" ht="11.15" customHeight="1">
      <c r="A964" s="162" t="s">
        <v>1883</v>
      </c>
      <c r="B964" s="90"/>
      <c r="C964" s="147"/>
      <c r="D964" s="161"/>
      <c r="E964" s="36"/>
      <c r="F964" s="178"/>
      <c r="G964" s="497"/>
      <c r="H964" s="36"/>
      <c r="I964" s="11"/>
    </row>
    <row r="965" spans="1:12" ht="11.15" customHeight="1">
      <c r="A965" s="162" t="s">
        <v>1884</v>
      </c>
      <c r="B965" s="90"/>
      <c r="C965" s="147"/>
      <c r="D965" s="161"/>
      <c r="E965" s="36"/>
      <c r="F965" s="178"/>
      <c r="G965" s="497"/>
      <c r="H965" s="36"/>
      <c r="I965" s="11"/>
    </row>
    <row r="966" spans="1:12" ht="11.15" customHeight="1">
      <c r="A966" s="29" t="s">
        <v>1651</v>
      </c>
      <c r="B966" s="90"/>
      <c r="C966" s="147"/>
      <c r="D966" s="161"/>
      <c r="E966" s="36"/>
      <c r="F966" s="178"/>
      <c r="G966" s="496"/>
      <c r="H966" s="36"/>
      <c r="I966" s="11"/>
    </row>
    <row r="967" spans="1:12" ht="11.15" customHeight="1">
      <c r="A967" s="218" t="s">
        <v>1885</v>
      </c>
      <c r="B967" s="90"/>
      <c r="C967" s="147"/>
      <c r="D967" s="161"/>
      <c r="E967" s="36"/>
      <c r="F967" s="178"/>
      <c r="G967" s="497"/>
      <c r="H967" s="36"/>
      <c r="I967" s="11"/>
    </row>
    <row r="968" spans="1:12" ht="11.15" customHeight="1">
      <c r="A968" s="199" t="s">
        <v>1886</v>
      </c>
      <c r="B968" s="90"/>
      <c r="C968" s="147"/>
      <c r="D968" s="161"/>
      <c r="E968" s="36"/>
      <c r="F968" s="178"/>
      <c r="G968" s="496"/>
      <c r="H968" s="36"/>
      <c r="I968" s="11"/>
    </row>
    <row r="969" spans="1:12" ht="11.15" customHeight="1">
      <c r="A969" s="169" t="s">
        <v>1887</v>
      </c>
      <c r="B969" s="90"/>
      <c r="C969" s="147"/>
      <c r="D969" s="161"/>
      <c r="E969" s="36"/>
      <c r="F969" s="183"/>
      <c r="G969" s="497"/>
      <c r="H969" s="34"/>
      <c r="I969" s="11"/>
    </row>
    <row r="970" spans="1:12" ht="11.15" customHeight="1">
      <c r="A970" s="129" t="s">
        <v>1888</v>
      </c>
      <c r="B970" s="90"/>
      <c r="C970" s="147"/>
      <c r="D970" s="161"/>
      <c r="E970" s="36"/>
      <c r="F970" s="183"/>
      <c r="G970" s="497"/>
      <c r="H970" s="34"/>
      <c r="I970" s="11"/>
    </row>
    <row r="971" spans="1:12" ht="11.15" customHeight="1">
      <c r="A971" s="129" t="s">
        <v>1889</v>
      </c>
      <c r="B971" s="90"/>
      <c r="C971" s="147"/>
      <c r="D971" s="161"/>
      <c r="E971" s="36"/>
      <c r="F971" s="183"/>
      <c r="G971" s="497"/>
      <c r="H971" s="34"/>
      <c r="I971" s="11"/>
    </row>
    <row r="972" spans="1:12" ht="11.15" customHeight="1">
      <c r="A972" s="129" t="s">
        <v>1890</v>
      </c>
      <c r="B972" s="90"/>
      <c r="C972" s="147"/>
      <c r="D972" s="161"/>
      <c r="E972" s="36"/>
      <c r="F972" s="183"/>
      <c r="G972" s="497"/>
      <c r="H972" s="34"/>
      <c r="I972" s="11"/>
    </row>
    <row r="973" spans="1:12" ht="11.15" customHeight="1" thickBot="1">
      <c r="A973" s="29"/>
      <c r="B973" s="210" t="s">
        <v>1865</v>
      </c>
      <c r="C973" s="147"/>
      <c r="D973" s="161"/>
      <c r="E973" s="36"/>
      <c r="F973" s="178"/>
      <c r="G973" s="496"/>
      <c r="H973" s="36"/>
      <c r="I973" s="11"/>
    </row>
    <row r="974" spans="1:12" ht="11.15" customHeight="1">
      <c r="A974" s="153" t="s">
        <v>1891</v>
      </c>
      <c r="B974" s="154" t="s">
        <v>1892</v>
      </c>
      <c r="C974" s="147"/>
      <c r="D974" s="129"/>
      <c r="E974" s="185"/>
      <c r="F974" s="185"/>
      <c r="G974" s="185"/>
      <c r="H974" s="185"/>
      <c r="I974" s="11"/>
    </row>
    <row r="975" spans="1:12" ht="11.15" customHeight="1" thickBot="1">
      <c r="A975" s="230" t="s">
        <v>1868</v>
      </c>
      <c r="B975" s="59" t="s">
        <v>20386</v>
      </c>
      <c r="C975" s="147" t="s">
        <v>20221</v>
      </c>
      <c r="D975" s="284" t="s">
        <v>897</v>
      </c>
      <c r="E975" s="178">
        <v>2023</v>
      </c>
      <c r="F975" s="178" t="s">
        <v>4520</v>
      </c>
      <c r="G975" s="496"/>
      <c r="H975" s="994" t="s">
        <v>20343</v>
      </c>
      <c r="I975" s="11" t="s">
        <v>1893</v>
      </c>
      <c r="J975" s="1285"/>
      <c r="K975" s="1285"/>
      <c r="L975" s="1285"/>
    </row>
    <row r="976" spans="1:12" ht="11.15" customHeight="1">
      <c r="A976" s="29" t="s">
        <v>1870</v>
      </c>
      <c r="B976" s="59" t="s">
        <v>20386</v>
      </c>
      <c r="C976" s="147" t="s">
        <v>20221</v>
      </c>
      <c r="D976" s="284" t="s">
        <v>897</v>
      </c>
      <c r="E976" s="178">
        <v>2022</v>
      </c>
      <c r="F976" s="178" t="s">
        <v>4520</v>
      </c>
      <c r="G976" s="496"/>
      <c r="H976" s="994" t="s">
        <v>20221</v>
      </c>
      <c r="I976" s="11" t="s">
        <v>1894</v>
      </c>
      <c r="J976" s="1285"/>
      <c r="K976" s="1285"/>
      <c r="L976" s="1285"/>
    </row>
    <row r="977" spans="1:12" ht="11.15" customHeight="1">
      <c r="A977" s="29" t="s">
        <v>23260</v>
      </c>
      <c r="B977" s="59" t="s">
        <v>20386</v>
      </c>
      <c r="C977" s="147" t="s">
        <v>20221</v>
      </c>
      <c r="D977" s="284" t="s">
        <v>897</v>
      </c>
      <c r="E977" s="178">
        <v>2021</v>
      </c>
      <c r="F977" s="178" t="s">
        <v>4520</v>
      </c>
      <c r="G977" s="496"/>
      <c r="H977" s="994" t="s">
        <v>20221</v>
      </c>
      <c r="I977" s="11" t="s">
        <v>1895</v>
      </c>
      <c r="J977" s="1285"/>
      <c r="K977" s="1285"/>
      <c r="L977" s="1285"/>
    </row>
    <row r="978" spans="1:12" ht="11.15" customHeight="1">
      <c r="A978" s="288" t="s">
        <v>1872</v>
      </c>
      <c r="B978" s="59" t="s">
        <v>20386</v>
      </c>
      <c r="C978" s="147" t="s">
        <v>20221</v>
      </c>
      <c r="D978" s="284" t="s">
        <v>897</v>
      </c>
      <c r="E978" s="178">
        <v>2020</v>
      </c>
      <c r="F978" s="178" t="s">
        <v>4520</v>
      </c>
      <c r="G978" s="496"/>
      <c r="H978" s="994" t="s">
        <v>20221</v>
      </c>
      <c r="I978" s="11" t="s">
        <v>1896</v>
      </c>
      <c r="J978" s="1285"/>
      <c r="K978" s="1285"/>
      <c r="L978" s="1285"/>
    </row>
    <row r="979" spans="1:12" ht="11.15" customHeight="1">
      <c r="A979" s="288" t="s">
        <v>1874</v>
      </c>
      <c r="B979" s="59" t="s">
        <v>20386</v>
      </c>
      <c r="C979" s="147" t="s">
        <v>20221</v>
      </c>
      <c r="D979" s="284" t="s">
        <v>897</v>
      </c>
      <c r="E979" s="178">
        <v>2019</v>
      </c>
      <c r="F979" s="178" t="s">
        <v>4520</v>
      </c>
      <c r="G979" s="496"/>
      <c r="H979" s="994" t="s">
        <v>20221</v>
      </c>
      <c r="I979" s="12" t="s">
        <v>1897</v>
      </c>
      <c r="J979" s="1285"/>
      <c r="K979" s="1285"/>
      <c r="L979" s="1285"/>
    </row>
    <row r="980" spans="1:12" ht="11.15" customHeight="1">
      <c r="A980" s="29" t="s">
        <v>1876</v>
      </c>
      <c r="B980" s="59" t="s">
        <v>20386</v>
      </c>
      <c r="C980" s="147" t="s">
        <v>20221</v>
      </c>
      <c r="D980" s="284" t="s">
        <v>897</v>
      </c>
      <c r="E980" s="178">
        <v>2018</v>
      </c>
      <c r="F980" s="178" t="s">
        <v>4520</v>
      </c>
      <c r="G980" s="496"/>
      <c r="H980" s="994" t="s">
        <v>20221</v>
      </c>
      <c r="I980" s="12" t="s">
        <v>1898</v>
      </c>
      <c r="J980" s="1285"/>
      <c r="K980" s="1285"/>
      <c r="L980" s="1285"/>
    </row>
    <row r="981" spans="1:12" ht="11.15" customHeight="1">
      <c r="A981" s="129" t="s">
        <v>1878</v>
      </c>
      <c r="B981" s="59" t="s">
        <v>20386</v>
      </c>
      <c r="C981" s="147" t="s">
        <v>20221</v>
      </c>
      <c r="D981" s="284" t="s">
        <v>897</v>
      </c>
      <c r="E981" s="178">
        <v>2017</v>
      </c>
      <c r="F981" s="178" t="s">
        <v>4520</v>
      </c>
      <c r="G981" s="496"/>
      <c r="H981" s="994" t="s">
        <v>20221</v>
      </c>
      <c r="I981" s="11" t="s">
        <v>1900</v>
      </c>
      <c r="J981" s="1285"/>
      <c r="K981" s="1285"/>
      <c r="L981" s="1285"/>
    </row>
    <row r="982" spans="1:12" ht="11.15" customHeight="1">
      <c r="A982" s="162" t="s">
        <v>1899</v>
      </c>
      <c r="B982" s="59" t="s">
        <v>20386</v>
      </c>
      <c r="C982" s="147" t="s">
        <v>20221</v>
      </c>
      <c r="D982" s="284" t="s">
        <v>897</v>
      </c>
      <c r="E982" s="178">
        <v>2016</v>
      </c>
      <c r="F982" s="178" t="s">
        <v>4520</v>
      </c>
      <c r="G982" s="496"/>
      <c r="H982" s="994" t="s">
        <v>20221</v>
      </c>
      <c r="I982" s="11" t="s">
        <v>1902</v>
      </c>
      <c r="J982" s="1285"/>
      <c r="K982" s="1285"/>
      <c r="L982" s="1285"/>
    </row>
    <row r="983" spans="1:12" ht="11.15" customHeight="1">
      <c r="A983" s="162" t="s">
        <v>1901</v>
      </c>
      <c r="B983" s="59" t="s">
        <v>20386</v>
      </c>
      <c r="C983" s="147" t="s">
        <v>20221</v>
      </c>
      <c r="D983" s="284" t="s">
        <v>897</v>
      </c>
      <c r="E983" s="178">
        <v>2015</v>
      </c>
      <c r="F983" s="178" t="s">
        <v>4520</v>
      </c>
      <c r="G983" s="496"/>
      <c r="H983" s="994" t="s">
        <v>20221</v>
      </c>
      <c r="I983" s="12" t="s">
        <v>1904</v>
      </c>
      <c r="J983" s="1285"/>
      <c r="K983" s="1285"/>
      <c r="L983" s="1285"/>
    </row>
    <row r="984" spans="1:12" ht="11.15" customHeight="1">
      <c r="A984" s="162" t="s">
        <v>1903</v>
      </c>
      <c r="B984" s="59" t="s">
        <v>20386</v>
      </c>
      <c r="C984" s="147" t="s">
        <v>20221</v>
      </c>
      <c r="D984" s="284" t="s">
        <v>897</v>
      </c>
      <c r="E984" s="178">
        <v>2014</v>
      </c>
      <c r="F984" s="178" t="s">
        <v>23395</v>
      </c>
      <c r="G984" s="496"/>
      <c r="H984" s="994" t="s">
        <v>20221</v>
      </c>
      <c r="I984" s="11" t="s">
        <v>1906</v>
      </c>
      <c r="J984" s="1285"/>
      <c r="K984" s="1285"/>
      <c r="L984" s="1285"/>
    </row>
    <row r="985" spans="1:12" ht="11.15" customHeight="1">
      <c r="A985" s="162" t="s">
        <v>1905</v>
      </c>
      <c r="B985" s="59" t="s">
        <v>20386</v>
      </c>
      <c r="C985" s="147" t="s">
        <v>20221</v>
      </c>
      <c r="D985" s="284" t="s">
        <v>897</v>
      </c>
      <c r="E985" s="178">
        <v>2012</v>
      </c>
      <c r="F985" s="178" t="s">
        <v>23395</v>
      </c>
      <c r="G985" s="496"/>
      <c r="H985" s="994" t="s">
        <v>20221</v>
      </c>
      <c r="I985" s="11" t="s">
        <v>1907</v>
      </c>
      <c r="J985" s="1285"/>
      <c r="K985" s="1285"/>
      <c r="L985" s="1285"/>
    </row>
    <row r="986" spans="1:12" ht="11.15" customHeight="1">
      <c r="A986" s="129" t="s">
        <v>1308</v>
      </c>
      <c r="B986" s="59" t="s">
        <v>20386</v>
      </c>
      <c r="C986" s="147" t="s">
        <v>20221</v>
      </c>
      <c r="D986" s="284" t="s">
        <v>897</v>
      </c>
      <c r="E986" s="178">
        <v>2008</v>
      </c>
      <c r="F986" s="178" t="s">
        <v>23395</v>
      </c>
      <c r="G986" s="496"/>
      <c r="H986" s="994" t="s">
        <v>20277</v>
      </c>
      <c r="I986" s="11" t="s">
        <v>1909</v>
      </c>
      <c r="J986" s="1285"/>
      <c r="K986" s="1285"/>
      <c r="L986" s="1285"/>
    </row>
    <row r="987" spans="1:12" ht="11.15" customHeight="1">
      <c r="A987" s="162" t="s">
        <v>1908</v>
      </c>
      <c r="B987" s="154" t="s">
        <v>1911</v>
      </c>
      <c r="C987" s="147"/>
      <c r="D987" s="129"/>
      <c r="E987" s="185"/>
      <c r="F987" s="185"/>
      <c r="G987" s="185"/>
      <c r="H987" s="185"/>
      <c r="I987" s="11"/>
    </row>
    <row r="988" spans="1:12" ht="11.15" customHeight="1">
      <c r="A988" s="162" t="s">
        <v>1910</v>
      </c>
      <c r="B988" s="59" t="s">
        <v>20387</v>
      </c>
      <c r="C988" s="147" t="s">
        <v>20221</v>
      </c>
      <c r="D988" s="284" t="s">
        <v>897</v>
      </c>
      <c r="E988" s="178">
        <v>2018</v>
      </c>
      <c r="F988" s="178" t="s">
        <v>9678</v>
      </c>
      <c r="G988" s="496"/>
      <c r="H988" s="994" t="s">
        <v>20224</v>
      </c>
      <c r="I988" s="11" t="s">
        <v>1912</v>
      </c>
      <c r="J988" s="1285"/>
      <c r="K988" s="1285"/>
      <c r="L988" s="1285"/>
    </row>
    <row r="989" spans="1:12" ht="11.15" customHeight="1">
      <c r="A989" s="162" t="s">
        <v>23259</v>
      </c>
      <c r="B989" s="59" t="s">
        <v>20387</v>
      </c>
      <c r="C989" s="147" t="s">
        <v>20221</v>
      </c>
      <c r="D989" s="284" t="s">
        <v>897</v>
      </c>
      <c r="E989" s="178">
        <v>2016</v>
      </c>
      <c r="F989" s="178" t="s">
        <v>9678</v>
      </c>
      <c r="G989" s="496"/>
      <c r="H989" s="994" t="s">
        <v>20224</v>
      </c>
      <c r="I989" s="11" t="s">
        <v>1914</v>
      </c>
      <c r="J989" s="1285"/>
      <c r="K989" s="1285"/>
      <c r="L989" s="1285"/>
    </row>
    <row r="990" spans="1:12" ht="11.15" customHeight="1">
      <c r="A990" s="162" t="s">
        <v>1913</v>
      </c>
      <c r="B990" s="59" t="s">
        <v>20387</v>
      </c>
      <c r="C990" s="147" t="s">
        <v>20221</v>
      </c>
      <c r="D990" s="284" t="s">
        <v>897</v>
      </c>
      <c r="E990" s="178">
        <v>2015</v>
      </c>
      <c r="F990" s="178" t="s">
        <v>9678</v>
      </c>
      <c r="G990" s="496"/>
      <c r="H990" s="994" t="s">
        <v>20224</v>
      </c>
      <c r="I990" s="11" t="s">
        <v>1916</v>
      </c>
      <c r="J990" s="1285"/>
      <c r="K990" s="1285"/>
      <c r="L990" s="1285"/>
    </row>
    <row r="991" spans="1:12" ht="11.15" customHeight="1">
      <c r="A991" s="162" t="s">
        <v>1915</v>
      </c>
      <c r="B991" s="59" t="s">
        <v>20387</v>
      </c>
      <c r="C991" s="147" t="s">
        <v>20221</v>
      </c>
      <c r="D991" s="284" t="s">
        <v>897</v>
      </c>
      <c r="E991" s="178">
        <v>2014</v>
      </c>
      <c r="F991" s="178" t="s">
        <v>11931</v>
      </c>
      <c r="G991" s="496"/>
      <c r="H991" s="994" t="s">
        <v>20224</v>
      </c>
      <c r="I991" s="11" t="s">
        <v>1918</v>
      </c>
      <c r="J991" s="1285"/>
      <c r="K991" s="1285"/>
      <c r="L991" s="1285"/>
    </row>
    <row r="992" spans="1:12" ht="11.15" customHeight="1">
      <c r="A992" s="162" t="s">
        <v>1917</v>
      </c>
      <c r="B992" s="59" t="s">
        <v>20388</v>
      </c>
      <c r="C992" s="147" t="s">
        <v>20221</v>
      </c>
      <c r="D992" s="284" t="s">
        <v>897</v>
      </c>
      <c r="E992" s="178">
        <v>2016</v>
      </c>
      <c r="F992" s="178" t="s">
        <v>11938</v>
      </c>
      <c r="G992" s="496"/>
      <c r="H992" s="994" t="s">
        <v>20224</v>
      </c>
      <c r="I992" s="11" t="s">
        <v>1920</v>
      </c>
      <c r="J992" s="1285"/>
      <c r="K992" s="1285"/>
      <c r="L992" s="1285"/>
    </row>
    <row r="993" spans="1:9" ht="11.15" customHeight="1">
      <c r="A993" s="162" t="s">
        <v>1919</v>
      </c>
      <c r="B993" s="185"/>
      <c r="C993" s="147"/>
      <c r="D993" s="185"/>
      <c r="E993" s="185"/>
      <c r="F993" s="185"/>
      <c r="G993" s="185"/>
      <c r="H993" s="185"/>
      <c r="I993" s="11"/>
    </row>
    <row r="994" spans="1:9" ht="11.15" customHeight="1">
      <c r="A994" s="162" t="s">
        <v>1921</v>
      </c>
      <c r="B994" s="185"/>
      <c r="C994" s="147"/>
      <c r="D994" s="185"/>
      <c r="E994" s="185"/>
      <c r="F994" s="185"/>
      <c r="G994" s="185"/>
      <c r="H994" s="185"/>
      <c r="I994" s="11"/>
    </row>
    <row r="995" spans="1:9" ht="11.15" customHeight="1">
      <c r="A995" s="162" t="s">
        <v>1922</v>
      </c>
      <c r="B995" s="185"/>
      <c r="C995" s="147"/>
      <c r="D995" s="185"/>
      <c r="E995" s="185"/>
      <c r="F995" s="185"/>
      <c r="G995" s="185"/>
      <c r="H995" s="185"/>
      <c r="I995" s="11"/>
    </row>
    <row r="996" spans="1:9" ht="11.15" customHeight="1">
      <c r="A996" s="162" t="s">
        <v>1923</v>
      </c>
      <c r="B996" s="185"/>
      <c r="C996" s="147"/>
      <c r="D996" s="185"/>
      <c r="E996" s="185"/>
      <c r="F996" s="185"/>
      <c r="G996" s="185"/>
      <c r="H996" s="185"/>
      <c r="I996" s="11"/>
    </row>
    <row r="997" spans="1:9" ht="11.15" customHeight="1">
      <c r="A997" s="162" t="s">
        <v>1924</v>
      </c>
      <c r="B997" s="185"/>
      <c r="C997" s="147"/>
      <c r="D997" s="185"/>
      <c r="E997" s="185"/>
      <c r="F997" s="185"/>
      <c r="G997" s="185"/>
      <c r="H997" s="185"/>
      <c r="I997" s="11"/>
    </row>
    <row r="998" spans="1:9" ht="11.15" customHeight="1">
      <c r="A998" s="162" t="s">
        <v>1925</v>
      </c>
      <c r="B998" s="185"/>
      <c r="C998" s="147"/>
      <c r="D998" s="185"/>
      <c r="E998" s="185"/>
      <c r="F998" s="185"/>
      <c r="G998" s="185"/>
      <c r="H998" s="185"/>
      <c r="I998" s="11"/>
    </row>
    <row r="999" spans="1:9" ht="11.15" customHeight="1">
      <c r="A999" s="162" t="s">
        <v>1926</v>
      </c>
      <c r="B999" s="185"/>
      <c r="C999" s="147"/>
      <c r="D999" s="185"/>
      <c r="E999" s="185"/>
      <c r="F999" s="185"/>
      <c r="G999" s="185"/>
      <c r="H999" s="185"/>
      <c r="I999" s="11"/>
    </row>
    <row r="1000" spans="1:9" ht="11.15" customHeight="1">
      <c r="A1000" s="162" t="s">
        <v>1927</v>
      </c>
      <c r="B1000" s="185"/>
      <c r="C1000" s="147"/>
      <c r="D1000" s="185"/>
      <c r="E1000" s="185"/>
      <c r="F1000" s="185"/>
      <c r="G1000" s="185"/>
      <c r="H1000" s="185"/>
      <c r="I1000" s="11"/>
    </row>
    <row r="1001" spans="1:9" ht="11.15" customHeight="1">
      <c r="A1001" s="162" t="s">
        <v>1928</v>
      </c>
      <c r="B1001" s="185"/>
      <c r="C1001" s="147"/>
      <c r="D1001" s="185"/>
      <c r="E1001" s="185"/>
      <c r="F1001" s="185"/>
      <c r="G1001" s="185"/>
      <c r="H1001" s="185"/>
      <c r="I1001" s="11"/>
    </row>
    <row r="1002" spans="1:9" ht="11.15" customHeight="1">
      <c r="A1002" s="162" t="s">
        <v>1929</v>
      </c>
      <c r="B1002" s="185"/>
      <c r="C1002" s="147"/>
      <c r="D1002" s="185"/>
      <c r="E1002" s="185"/>
      <c r="F1002" s="185"/>
      <c r="G1002" s="185"/>
      <c r="H1002" s="185"/>
      <c r="I1002" s="11"/>
    </row>
    <row r="1003" spans="1:9" ht="11.15" customHeight="1">
      <c r="A1003" s="162" t="s">
        <v>1930</v>
      </c>
      <c r="B1003" s="185"/>
      <c r="C1003" s="147"/>
      <c r="D1003" s="185"/>
      <c r="E1003" s="185"/>
      <c r="F1003" s="185"/>
      <c r="G1003" s="185"/>
      <c r="H1003" s="185"/>
      <c r="I1003" s="11"/>
    </row>
    <row r="1004" spans="1:9" ht="11.15" customHeight="1">
      <c r="A1004" s="162" t="s">
        <v>1931</v>
      </c>
      <c r="B1004" s="90"/>
      <c r="C1004" s="147"/>
      <c r="D1004" s="161"/>
      <c r="E1004" s="36"/>
      <c r="F1004" s="183"/>
      <c r="G1004" s="497"/>
      <c r="H1004" s="34"/>
      <c r="I1004" s="11"/>
    </row>
    <row r="1005" spans="1:9" ht="11.15" customHeight="1">
      <c r="A1005" s="162" t="s">
        <v>1932</v>
      </c>
      <c r="B1005" s="90"/>
      <c r="C1005" s="147"/>
      <c r="D1005" s="161"/>
      <c r="E1005" s="36"/>
      <c r="F1005" s="183"/>
      <c r="G1005" s="497"/>
      <c r="H1005" s="34"/>
      <c r="I1005" s="11"/>
    </row>
    <row r="1006" spans="1:9" ht="11.15" customHeight="1">
      <c r="A1006" s="162" t="s">
        <v>1933</v>
      </c>
      <c r="B1006" s="90"/>
      <c r="C1006" s="147"/>
      <c r="D1006" s="161"/>
      <c r="E1006" s="36"/>
      <c r="F1006" s="183"/>
      <c r="G1006" s="497"/>
      <c r="H1006" s="34"/>
      <c r="I1006" s="11"/>
    </row>
    <row r="1007" spans="1:9" ht="11.15" customHeight="1">
      <c r="A1007" s="162" t="s">
        <v>1934</v>
      </c>
      <c r="B1007" s="90"/>
      <c r="C1007" s="147"/>
      <c r="D1007" s="161"/>
      <c r="E1007" s="36"/>
      <c r="F1007" s="183"/>
      <c r="G1007" s="497"/>
      <c r="H1007" s="34"/>
      <c r="I1007" s="11"/>
    </row>
    <row r="1008" spans="1:9" ht="11.15" customHeight="1">
      <c r="A1008" s="162" t="s">
        <v>1935</v>
      </c>
      <c r="B1008" s="90"/>
      <c r="C1008" s="147"/>
      <c r="D1008" s="161"/>
      <c r="E1008" s="36"/>
      <c r="F1008" s="183"/>
      <c r="G1008" s="497"/>
      <c r="H1008" s="34"/>
      <c r="I1008" s="11"/>
    </row>
    <row r="1009" spans="1:12" ht="11.15" customHeight="1">
      <c r="A1009" s="162" t="s">
        <v>1936</v>
      </c>
      <c r="B1009" s="90"/>
      <c r="C1009" s="147"/>
      <c r="D1009" s="161"/>
      <c r="E1009" s="36"/>
      <c r="F1009" s="183"/>
      <c r="G1009" s="497"/>
      <c r="H1009" s="34"/>
      <c r="I1009" s="11"/>
    </row>
    <row r="1010" spans="1:12" ht="11.15" customHeight="1">
      <c r="A1010" s="162" t="s">
        <v>1937</v>
      </c>
      <c r="B1010" s="90"/>
      <c r="C1010" s="147"/>
      <c r="D1010" s="161"/>
      <c r="E1010" s="36"/>
      <c r="F1010" s="183"/>
      <c r="G1010" s="497"/>
      <c r="H1010" s="34"/>
      <c r="I1010" s="11"/>
    </row>
    <row r="1011" spans="1:12" ht="11.15" customHeight="1">
      <c r="A1011" s="29" t="s">
        <v>1651</v>
      </c>
      <c r="B1011" s="90"/>
      <c r="C1011" s="147"/>
      <c r="D1011" s="161"/>
      <c r="E1011" s="36"/>
      <c r="F1011" s="183"/>
      <c r="G1011" s="497"/>
      <c r="H1011" s="34"/>
      <c r="I1011" s="11"/>
    </row>
    <row r="1012" spans="1:12" ht="11.15" customHeight="1">
      <c r="A1012" s="218" t="s">
        <v>1938</v>
      </c>
      <c r="B1012" s="90"/>
      <c r="C1012" s="147"/>
      <c r="D1012" s="161"/>
      <c r="E1012" s="36"/>
      <c r="F1012" s="183"/>
      <c r="G1012" s="497"/>
      <c r="H1012" s="34"/>
      <c r="I1012" s="11"/>
    </row>
    <row r="1013" spans="1:12" ht="11.15" customHeight="1">
      <c r="A1013" s="199" t="s">
        <v>1886</v>
      </c>
      <c r="B1013" s="90"/>
      <c r="C1013" s="147"/>
      <c r="D1013" s="161"/>
      <c r="E1013" s="36"/>
      <c r="F1013" s="183"/>
      <c r="G1013" s="497"/>
      <c r="H1013" s="34"/>
      <c r="I1013" s="11"/>
    </row>
    <row r="1014" spans="1:12" ht="11.15" customHeight="1">
      <c r="A1014" s="169" t="s">
        <v>1887</v>
      </c>
      <c r="B1014" s="90"/>
      <c r="C1014" s="147"/>
      <c r="D1014" s="161"/>
      <c r="E1014" s="36"/>
      <c r="F1014" s="183"/>
      <c r="G1014" s="497"/>
      <c r="H1014" s="34"/>
      <c r="I1014" s="11"/>
    </row>
    <row r="1015" spans="1:12" ht="11.15" customHeight="1">
      <c r="A1015" s="129" t="s">
        <v>1939</v>
      </c>
      <c r="B1015" s="90"/>
      <c r="C1015" s="147"/>
      <c r="D1015" s="161"/>
      <c r="E1015" s="36"/>
      <c r="F1015" s="183"/>
      <c r="G1015" s="497"/>
      <c r="H1015" s="34"/>
      <c r="I1015" s="11"/>
    </row>
    <row r="1016" spans="1:12" ht="11.15" customHeight="1">
      <c r="A1016" s="129" t="s">
        <v>1889</v>
      </c>
      <c r="B1016" s="90"/>
      <c r="C1016" s="147"/>
      <c r="D1016" s="161"/>
      <c r="E1016" s="36"/>
      <c r="F1016" s="183"/>
      <c r="G1016" s="497"/>
      <c r="H1016" s="34"/>
      <c r="I1016" s="11"/>
    </row>
    <row r="1017" spans="1:12" ht="11.15" customHeight="1">
      <c r="A1017" s="129" t="s">
        <v>1940</v>
      </c>
      <c r="B1017" s="90"/>
      <c r="C1017" s="147"/>
      <c r="D1017" s="161"/>
      <c r="E1017" s="36"/>
      <c r="F1017" s="183"/>
      <c r="G1017" s="497"/>
      <c r="H1017" s="34"/>
      <c r="I1017" s="11"/>
    </row>
    <row r="1018" spans="1:12" ht="11.15" customHeight="1" thickBot="1">
      <c r="A1018" s="29"/>
      <c r="B1018" s="90"/>
      <c r="C1018" s="147"/>
      <c r="D1018" s="161"/>
      <c r="E1018" s="36"/>
      <c r="F1018" s="178"/>
      <c r="G1018" s="496"/>
      <c r="H1018" s="36"/>
      <c r="I1018" s="11"/>
    </row>
    <row r="1019" spans="1:12" ht="11.15" customHeight="1">
      <c r="A1019" s="153" t="s">
        <v>1941</v>
      </c>
      <c r="B1019" s="59" t="s">
        <v>20389</v>
      </c>
      <c r="C1019" s="147" t="s">
        <v>20221</v>
      </c>
      <c r="D1019" s="284" t="s">
        <v>897</v>
      </c>
      <c r="E1019" s="178">
        <v>2012</v>
      </c>
      <c r="F1019" s="178" t="s">
        <v>4520</v>
      </c>
      <c r="G1019" s="496"/>
      <c r="H1019" s="994" t="s">
        <v>20277</v>
      </c>
      <c r="I1019" s="11" t="s">
        <v>1942</v>
      </c>
      <c r="J1019" s="1285"/>
      <c r="K1019" s="1285"/>
      <c r="L1019" s="1285"/>
    </row>
    <row r="1020" spans="1:12" ht="11.15" customHeight="1" thickBot="1">
      <c r="A1020" s="230" t="s">
        <v>1943</v>
      </c>
      <c r="B1020" s="185"/>
      <c r="C1020" s="147"/>
      <c r="D1020" s="129"/>
      <c r="E1020" s="185"/>
      <c r="F1020" s="185"/>
      <c r="G1020" s="185"/>
      <c r="H1020" s="185"/>
      <c r="I1020" s="11"/>
    </row>
    <row r="1021" spans="1:12" ht="11.15" customHeight="1">
      <c r="A1021" s="29" t="s">
        <v>1944</v>
      </c>
      <c r="B1021" s="90"/>
      <c r="C1021" s="147"/>
      <c r="D1021" s="122"/>
      <c r="E1021" s="36"/>
      <c r="F1021" s="178"/>
      <c r="G1021" s="60"/>
      <c r="H1021" s="36"/>
      <c r="I1021" s="11"/>
    </row>
    <row r="1022" spans="1:12" ht="11.15" customHeight="1">
      <c r="A1022" s="29" t="s">
        <v>1945</v>
      </c>
      <c r="B1022" s="226"/>
      <c r="C1022" s="147"/>
      <c r="D1022" s="122"/>
      <c r="E1022" s="36"/>
      <c r="F1022" s="178"/>
      <c r="G1022" s="60"/>
      <c r="H1022" s="36"/>
      <c r="I1022" s="11"/>
    </row>
    <row r="1023" spans="1:12" ht="11.15" customHeight="1" thickBot="1">
      <c r="A1023" s="289"/>
      <c r="B1023" s="90"/>
      <c r="C1023" s="147"/>
      <c r="D1023" s="161"/>
      <c r="E1023" s="36"/>
      <c r="F1023" s="178"/>
      <c r="G1023" s="496"/>
      <c r="H1023" s="36"/>
      <c r="I1023" s="11"/>
    </row>
    <row r="1024" spans="1:12" ht="11.15" customHeight="1" thickBot="1">
      <c r="A1024" s="184" t="s">
        <v>1946</v>
      </c>
      <c r="B1024" s="59" t="s">
        <v>20390</v>
      </c>
      <c r="C1024" s="147" t="s">
        <v>20221</v>
      </c>
      <c r="D1024" s="284" t="s">
        <v>897</v>
      </c>
      <c r="E1024" s="178">
        <v>2005</v>
      </c>
      <c r="F1024" s="178" t="s">
        <v>23395</v>
      </c>
      <c r="G1024" s="496"/>
      <c r="H1024" s="994" t="s">
        <v>20224</v>
      </c>
      <c r="I1024" s="11" t="s">
        <v>1947</v>
      </c>
      <c r="J1024" s="1285"/>
      <c r="K1024" s="1285"/>
      <c r="L1024" s="1285"/>
    </row>
    <row r="1025" spans="1:12" ht="11.15" customHeight="1">
      <c r="A1025" s="29" t="s">
        <v>1948</v>
      </c>
      <c r="B1025" s="185"/>
      <c r="C1025" s="147"/>
      <c r="D1025" s="129"/>
      <c r="E1025" s="185"/>
      <c r="F1025" s="185"/>
      <c r="G1025" s="185"/>
      <c r="H1025" s="185"/>
      <c r="I1025" s="11"/>
    </row>
    <row r="1026" spans="1:12" ht="11.15" customHeight="1">
      <c r="A1026" s="129" t="s">
        <v>1949</v>
      </c>
      <c r="B1026" s="90"/>
      <c r="C1026" s="147"/>
      <c r="D1026" s="161"/>
      <c r="E1026" s="36"/>
      <c r="F1026" s="178"/>
      <c r="G1026" s="496"/>
      <c r="H1026" s="36"/>
      <c r="I1026" s="11"/>
    </row>
    <row r="1027" spans="1:12" ht="11.15" customHeight="1">
      <c r="A1027" s="129" t="s">
        <v>1950</v>
      </c>
      <c r="B1027" s="90"/>
      <c r="C1027" s="147"/>
      <c r="D1027" s="161"/>
      <c r="E1027" s="36"/>
      <c r="F1027" s="178"/>
      <c r="G1027" s="496"/>
      <c r="H1027" s="36"/>
      <c r="I1027" s="11"/>
    </row>
    <row r="1028" spans="1:12" ht="11.15" customHeight="1" thickBot="1">
      <c r="A1028" s="279"/>
      <c r="B1028" s="226"/>
      <c r="C1028" s="147"/>
      <c r="D1028" s="122"/>
      <c r="E1028" s="36"/>
      <c r="F1028" s="178"/>
      <c r="G1028" s="60"/>
      <c r="H1028" s="36"/>
      <c r="I1028" s="11"/>
    </row>
    <row r="1029" spans="1:12" ht="11.15" customHeight="1">
      <c r="A1029" s="153" t="s">
        <v>1951</v>
      </c>
      <c r="B1029" s="59" t="s">
        <v>60</v>
      </c>
      <c r="C1029" s="147" t="s">
        <v>20221</v>
      </c>
      <c r="D1029" s="284" t="s">
        <v>897</v>
      </c>
      <c r="E1029" s="178">
        <v>2020</v>
      </c>
      <c r="F1029" s="178" t="s">
        <v>4520</v>
      </c>
      <c r="G1029" s="496"/>
      <c r="H1029" s="994" t="s">
        <v>20221</v>
      </c>
      <c r="I1029" s="11" t="s">
        <v>1952</v>
      </c>
      <c r="J1029" s="1285"/>
      <c r="K1029" s="1285"/>
      <c r="L1029" s="1285"/>
    </row>
    <row r="1030" spans="1:12" ht="11.15" customHeight="1" thickBot="1">
      <c r="A1030" s="230" t="s">
        <v>1953</v>
      </c>
      <c r="B1030" s="185"/>
      <c r="C1030" s="147"/>
      <c r="D1030" s="129"/>
      <c r="E1030" s="185"/>
      <c r="F1030" s="185"/>
      <c r="G1030" s="185"/>
      <c r="H1030" s="185"/>
      <c r="I1030" s="11"/>
    </row>
    <row r="1031" spans="1:12" ht="11.15" customHeight="1">
      <c r="A1031" s="29" t="s">
        <v>1954</v>
      </c>
      <c r="B1031" s="185"/>
      <c r="C1031" s="147"/>
      <c r="D1031" s="129"/>
      <c r="E1031" s="185"/>
      <c r="F1031" s="185"/>
      <c r="G1031" s="185"/>
      <c r="H1031" s="185"/>
      <c r="I1031" s="11"/>
    </row>
    <row r="1032" spans="1:12" ht="11.15" customHeight="1">
      <c r="A1032" s="29" t="s">
        <v>1955</v>
      </c>
      <c r="B1032" s="185"/>
      <c r="C1032" s="147"/>
      <c r="D1032" s="129"/>
      <c r="E1032" s="185"/>
      <c r="F1032" s="185"/>
      <c r="G1032" s="185"/>
      <c r="H1032" s="185"/>
      <c r="I1032" s="11"/>
    </row>
    <row r="1033" spans="1:12" ht="11.15" customHeight="1">
      <c r="A1033" s="29" t="s">
        <v>1956</v>
      </c>
      <c r="B1033" s="185"/>
      <c r="C1033" s="147"/>
      <c r="D1033" s="129"/>
      <c r="E1033" s="185"/>
      <c r="F1033" s="185"/>
      <c r="G1033" s="185"/>
      <c r="H1033" s="185"/>
      <c r="I1033" s="11"/>
    </row>
    <row r="1034" spans="1:12" ht="11.15" customHeight="1">
      <c r="A1034" s="29" t="s">
        <v>1957</v>
      </c>
      <c r="B1034" s="185"/>
      <c r="C1034" s="147"/>
      <c r="D1034" s="129"/>
      <c r="E1034" s="185"/>
      <c r="F1034" s="185"/>
      <c r="G1034" s="185"/>
      <c r="H1034" s="185"/>
      <c r="I1034" s="11"/>
    </row>
    <row r="1035" spans="1:12" ht="11.15" customHeight="1">
      <c r="A1035" s="29" t="s">
        <v>1958</v>
      </c>
      <c r="B1035" s="185"/>
      <c r="C1035" s="147"/>
      <c r="D1035" s="129"/>
      <c r="E1035" s="185"/>
      <c r="F1035" s="185"/>
      <c r="G1035" s="185"/>
      <c r="H1035" s="185"/>
      <c r="I1035" s="11"/>
    </row>
    <row r="1036" spans="1:12" ht="11.15" customHeight="1">
      <c r="A1036" s="218" t="s">
        <v>1959</v>
      </c>
      <c r="B1036" s="185"/>
      <c r="C1036" s="147"/>
      <c r="D1036" s="129"/>
      <c r="E1036" s="185"/>
      <c r="F1036" s="185"/>
      <c r="G1036" s="185"/>
      <c r="H1036" s="185"/>
      <c r="I1036" s="11"/>
    </row>
    <row r="1037" spans="1:12" ht="11.15" customHeight="1">
      <c r="A1037" s="29" t="s">
        <v>1960</v>
      </c>
      <c r="B1037" s="185"/>
      <c r="C1037" s="147"/>
      <c r="D1037" s="129"/>
      <c r="E1037" s="185"/>
      <c r="F1037" s="185"/>
      <c r="G1037" s="185"/>
      <c r="H1037" s="185"/>
      <c r="I1037" s="11"/>
    </row>
    <row r="1038" spans="1:12" ht="11.15" customHeight="1">
      <c r="A1038" s="218" t="s">
        <v>1961</v>
      </c>
      <c r="B1038" s="185"/>
      <c r="C1038" s="147"/>
      <c r="D1038" s="129"/>
      <c r="E1038" s="185"/>
      <c r="F1038" s="185"/>
      <c r="G1038" s="185"/>
      <c r="H1038" s="185"/>
      <c r="I1038" s="11"/>
    </row>
    <row r="1039" spans="1:12" ht="11.15" customHeight="1">
      <c r="A1039" s="218" t="s">
        <v>1962</v>
      </c>
      <c r="B1039" s="185"/>
      <c r="C1039" s="147"/>
      <c r="D1039" s="129"/>
      <c r="E1039" s="185"/>
      <c r="F1039" s="185"/>
      <c r="G1039" s="185"/>
      <c r="H1039" s="185"/>
      <c r="I1039" s="11"/>
    </row>
    <row r="1040" spans="1:12" ht="11.15" customHeight="1">
      <c r="A1040" s="166" t="s">
        <v>1963</v>
      </c>
      <c r="B1040" s="185"/>
      <c r="C1040" s="147"/>
      <c r="D1040" s="129"/>
      <c r="E1040" s="185"/>
      <c r="F1040" s="185"/>
      <c r="G1040" s="185"/>
      <c r="H1040" s="185"/>
      <c r="I1040" s="11"/>
    </row>
    <row r="1041" spans="1:12" ht="11.15" customHeight="1" thickBot="1">
      <c r="A1041" s="279"/>
      <c r="B1041" s="226"/>
      <c r="C1041" s="147"/>
      <c r="D1041" s="122"/>
      <c r="E1041" s="36"/>
      <c r="F1041" s="178"/>
      <c r="G1041" s="60"/>
      <c r="H1041" s="36"/>
      <c r="I1041" s="11"/>
    </row>
    <row r="1042" spans="1:12" ht="11.15" customHeight="1">
      <c r="A1042" s="153" t="s">
        <v>1964</v>
      </c>
      <c r="B1042" s="154" t="s">
        <v>1491</v>
      </c>
      <c r="C1042" s="147"/>
      <c r="D1042" s="185"/>
      <c r="E1042" s="185"/>
      <c r="F1042" s="185"/>
      <c r="G1042" s="185"/>
      <c r="H1042" s="185"/>
      <c r="I1042" s="11"/>
    </row>
    <row r="1043" spans="1:12" ht="11.15" customHeight="1" thickBot="1">
      <c r="A1043" s="230" t="s">
        <v>1965</v>
      </c>
      <c r="B1043" s="59" t="s">
        <v>20391</v>
      </c>
      <c r="C1043" s="147" t="s">
        <v>20221</v>
      </c>
      <c r="D1043" s="284" t="s">
        <v>897</v>
      </c>
      <c r="E1043" s="178">
        <v>2021</v>
      </c>
      <c r="F1043" s="178" t="s">
        <v>4520</v>
      </c>
      <c r="G1043" s="496"/>
      <c r="H1043" s="994" t="s">
        <v>20221</v>
      </c>
      <c r="I1043" s="11" t="s">
        <v>1966</v>
      </c>
      <c r="J1043" s="1285"/>
      <c r="K1043" s="1285"/>
      <c r="L1043" s="1285"/>
    </row>
    <row r="1044" spans="1:12" ht="11.15" customHeight="1">
      <c r="A1044" s="29" t="s">
        <v>1967</v>
      </c>
      <c r="B1044" s="59" t="s">
        <v>20391</v>
      </c>
      <c r="C1044" s="147" t="s">
        <v>20221</v>
      </c>
      <c r="D1044" s="284" t="s">
        <v>897</v>
      </c>
      <c r="E1044" s="178">
        <v>2020</v>
      </c>
      <c r="F1044" s="178" t="s">
        <v>4520</v>
      </c>
      <c r="G1044" s="496"/>
      <c r="H1044" s="994" t="s">
        <v>20221</v>
      </c>
      <c r="I1044" s="11" t="s">
        <v>1968</v>
      </c>
      <c r="J1044" s="1285"/>
      <c r="K1044" s="1285"/>
      <c r="L1044" s="1285"/>
    </row>
    <row r="1045" spans="1:12" ht="11.15" customHeight="1">
      <c r="A1045" s="29" t="s">
        <v>1969</v>
      </c>
      <c r="B1045" s="59" t="s">
        <v>20391</v>
      </c>
      <c r="C1045" s="147" t="s">
        <v>20221</v>
      </c>
      <c r="D1045" s="284" t="s">
        <v>897</v>
      </c>
      <c r="E1045" s="178">
        <v>2019</v>
      </c>
      <c r="F1045" s="178" t="s">
        <v>4520</v>
      </c>
      <c r="G1045" s="496"/>
      <c r="H1045" s="994" t="s">
        <v>20221</v>
      </c>
      <c r="I1045" s="11" t="s">
        <v>1970</v>
      </c>
      <c r="J1045" s="1285"/>
      <c r="K1045" s="1285"/>
      <c r="L1045" s="1285"/>
    </row>
    <row r="1046" spans="1:12" ht="11.15" customHeight="1">
      <c r="A1046" s="129" t="s">
        <v>1077</v>
      </c>
      <c r="B1046" s="59" t="s">
        <v>20391</v>
      </c>
      <c r="C1046" s="147" t="s">
        <v>20221</v>
      </c>
      <c r="D1046" s="284" t="s">
        <v>897</v>
      </c>
      <c r="E1046" s="178">
        <v>2018</v>
      </c>
      <c r="F1046" s="178" t="s">
        <v>4520</v>
      </c>
      <c r="G1046" s="496"/>
      <c r="H1046" s="994" t="s">
        <v>20221</v>
      </c>
      <c r="I1046" s="11" t="s">
        <v>1971</v>
      </c>
      <c r="J1046" s="1285"/>
      <c r="K1046" s="1285"/>
      <c r="L1046" s="1285"/>
    </row>
    <row r="1047" spans="1:12" ht="11.15" customHeight="1">
      <c r="A1047" s="162" t="s">
        <v>1972</v>
      </c>
      <c r="B1047" s="154" t="s">
        <v>1691</v>
      </c>
      <c r="C1047" s="147"/>
      <c r="D1047" s="185"/>
      <c r="E1047" s="185"/>
      <c r="F1047" s="185"/>
      <c r="G1047" s="185"/>
      <c r="H1047" s="185"/>
      <c r="I1047" s="11"/>
    </row>
    <row r="1048" spans="1:12" ht="11.15" customHeight="1">
      <c r="A1048" s="162" t="s">
        <v>1973</v>
      </c>
      <c r="B1048" s="59" t="s">
        <v>61</v>
      </c>
      <c r="C1048" s="147" t="s">
        <v>20221</v>
      </c>
      <c r="D1048" s="284" t="s">
        <v>897</v>
      </c>
      <c r="E1048" s="178">
        <v>2023</v>
      </c>
      <c r="F1048" s="178" t="s">
        <v>4520</v>
      </c>
      <c r="G1048" s="496"/>
      <c r="H1048" s="994" t="s">
        <v>20343</v>
      </c>
      <c r="I1048" s="11" t="s">
        <v>1974</v>
      </c>
      <c r="J1048" s="1285"/>
      <c r="K1048" s="1285"/>
      <c r="L1048" s="1285"/>
    </row>
    <row r="1049" spans="1:12" ht="11.15" customHeight="1">
      <c r="A1049" s="162" t="s">
        <v>1975</v>
      </c>
      <c r="B1049" s="59" t="s">
        <v>61</v>
      </c>
      <c r="C1049" s="147" t="s">
        <v>20221</v>
      </c>
      <c r="D1049" s="284" t="s">
        <v>897</v>
      </c>
      <c r="E1049" s="178">
        <v>2022</v>
      </c>
      <c r="F1049" s="178" t="s">
        <v>4520</v>
      </c>
      <c r="G1049" s="496"/>
      <c r="H1049" s="994" t="s">
        <v>20221</v>
      </c>
      <c r="I1049" s="11" t="s">
        <v>1976</v>
      </c>
      <c r="J1049" s="1285"/>
      <c r="K1049" s="1285"/>
      <c r="L1049" s="1285"/>
    </row>
    <row r="1050" spans="1:12" ht="11.15" customHeight="1">
      <c r="A1050" s="162" t="s">
        <v>1977</v>
      </c>
      <c r="B1050" s="59" t="s">
        <v>61</v>
      </c>
      <c r="C1050" s="147" t="s">
        <v>20221</v>
      </c>
      <c r="D1050" s="284" t="s">
        <v>897</v>
      </c>
      <c r="E1050" s="178">
        <v>2021</v>
      </c>
      <c r="F1050" s="178" t="s">
        <v>4520</v>
      </c>
      <c r="G1050" s="496"/>
      <c r="H1050" s="994" t="s">
        <v>20221</v>
      </c>
      <c r="I1050" s="11" t="s">
        <v>1978</v>
      </c>
      <c r="J1050" s="1285"/>
      <c r="K1050" s="1285"/>
      <c r="L1050" s="1285"/>
    </row>
    <row r="1051" spans="1:12" ht="11.15" customHeight="1">
      <c r="A1051" s="218" t="s">
        <v>1556</v>
      </c>
      <c r="B1051" s="59" t="s">
        <v>61</v>
      </c>
      <c r="C1051" s="147" t="s">
        <v>20221</v>
      </c>
      <c r="D1051" s="284" t="s">
        <v>897</v>
      </c>
      <c r="E1051" s="178">
        <v>2020</v>
      </c>
      <c r="F1051" s="178" t="s">
        <v>23394</v>
      </c>
      <c r="G1051" s="496"/>
      <c r="H1051" s="994" t="s">
        <v>20224</v>
      </c>
      <c r="I1051" s="11" t="s">
        <v>1979</v>
      </c>
      <c r="J1051" s="1285"/>
      <c r="K1051" s="1285"/>
      <c r="L1051" s="1285"/>
    </row>
    <row r="1052" spans="1:12" ht="11.15" customHeight="1">
      <c r="A1052" s="166" t="s">
        <v>1980</v>
      </c>
      <c r="B1052" s="59" t="s">
        <v>61</v>
      </c>
      <c r="C1052" s="147" t="s">
        <v>20221</v>
      </c>
      <c r="D1052" s="284" t="s">
        <v>897</v>
      </c>
      <c r="E1052" s="178">
        <v>2019</v>
      </c>
      <c r="F1052" s="178" t="s">
        <v>4520</v>
      </c>
      <c r="G1052" s="496"/>
      <c r="H1052" s="994" t="s">
        <v>20224</v>
      </c>
      <c r="I1052" s="11" t="s">
        <v>1981</v>
      </c>
      <c r="J1052" s="1285"/>
      <c r="K1052" s="1285"/>
      <c r="L1052" s="1285"/>
    </row>
    <row r="1053" spans="1:12" ht="11.15" customHeight="1">
      <c r="A1053" s="166" t="s">
        <v>1982</v>
      </c>
      <c r="B1053" s="59" t="s">
        <v>61</v>
      </c>
      <c r="C1053" s="147" t="s">
        <v>20221</v>
      </c>
      <c r="D1053" s="284" t="s">
        <v>897</v>
      </c>
      <c r="E1053" s="178">
        <v>2018</v>
      </c>
      <c r="F1053" s="178" t="s">
        <v>4520</v>
      </c>
      <c r="G1053" s="496"/>
      <c r="H1053" s="994" t="s">
        <v>20224</v>
      </c>
      <c r="I1053" s="11" t="s">
        <v>1983</v>
      </c>
      <c r="J1053" s="1285"/>
      <c r="K1053" s="1285"/>
      <c r="L1053" s="1285"/>
    </row>
    <row r="1054" spans="1:12" ht="11.15" customHeight="1">
      <c r="A1054" s="129" t="s">
        <v>1633</v>
      </c>
      <c r="B1054" s="59" t="s">
        <v>61</v>
      </c>
      <c r="C1054" s="147" t="s">
        <v>20221</v>
      </c>
      <c r="D1054" s="284" t="s">
        <v>897</v>
      </c>
      <c r="E1054" s="178">
        <v>2017</v>
      </c>
      <c r="F1054" s="178" t="s">
        <v>4520</v>
      </c>
      <c r="G1054" s="496"/>
      <c r="H1054" s="994" t="s">
        <v>20224</v>
      </c>
      <c r="I1054" s="11" t="s">
        <v>1984</v>
      </c>
      <c r="J1054" s="1285"/>
      <c r="K1054" s="1285"/>
      <c r="L1054" s="1285"/>
    </row>
    <row r="1055" spans="1:12" ht="11.15" customHeight="1">
      <c r="A1055" s="129" t="s">
        <v>1985</v>
      </c>
      <c r="B1055" s="90"/>
      <c r="C1055" s="147"/>
      <c r="D1055" s="161"/>
      <c r="E1055" s="36"/>
      <c r="F1055" s="178"/>
      <c r="G1055" s="496"/>
      <c r="H1055" s="36"/>
      <c r="I1055" s="11"/>
    </row>
    <row r="1056" spans="1:12" ht="11.15" customHeight="1">
      <c r="A1056" s="129" t="s">
        <v>1986</v>
      </c>
      <c r="B1056" s="90"/>
      <c r="C1056" s="147"/>
      <c r="D1056" s="161"/>
      <c r="E1056" s="36"/>
      <c r="F1056" s="178"/>
      <c r="G1056" s="496"/>
      <c r="H1056" s="36"/>
      <c r="I1056" s="11"/>
    </row>
    <row r="1057" spans="1:13" ht="11.15" customHeight="1" thickBot="1">
      <c r="A1057" s="29"/>
      <c r="B1057" s="90"/>
      <c r="C1057" s="147"/>
      <c r="D1057" s="122"/>
      <c r="E1057" s="36"/>
      <c r="F1057" s="178"/>
      <c r="G1057" s="60"/>
      <c r="H1057" s="36"/>
      <c r="I1057" s="11"/>
    </row>
    <row r="1058" spans="1:13" ht="11.15" customHeight="1" thickBot="1">
      <c r="A1058" s="184" t="s">
        <v>1987</v>
      </c>
      <c r="B1058" s="59" t="s">
        <v>20393</v>
      </c>
      <c r="C1058" s="147" t="s">
        <v>20221</v>
      </c>
      <c r="D1058" s="284" t="s">
        <v>897</v>
      </c>
      <c r="E1058" s="178">
        <v>2023</v>
      </c>
      <c r="F1058" s="178" t="s">
        <v>4520</v>
      </c>
      <c r="G1058" s="496"/>
      <c r="H1058" s="994" t="s">
        <v>20343</v>
      </c>
      <c r="I1058" s="11" t="s">
        <v>1988</v>
      </c>
      <c r="J1058" s="1285"/>
      <c r="K1058" s="1285"/>
      <c r="L1058" s="1285"/>
    </row>
    <row r="1059" spans="1:13" ht="11.15" customHeight="1">
      <c r="A1059" s="29" t="s">
        <v>1989</v>
      </c>
      <c r="B1059" s="59" t="s">
        <v>20393</v>
      </c>
      <c r="C1059" s="147" t="s">
        <v>20221</v>
      </c>
      <c r="D1059" s="284" t="s">
        <v>897</v>
      </c>
      <c r="E1059" s="178">
        <v>2022</v>
      </c>
      <c r="F1059" s="178" t="s">
        <v>4520</v>
      </c>
      <c r="G1059" s="496"/>
      <c r="H1059" s="994" t="s">
        <v>20343</v>
      </c>
      <c r="I1059" s="11" t="s">
        <v>1990</v>
      </c>
      <c r="J1059" s="1285"/>
      <c r="K1059" s="1285"/>
      <c r="L1059" s="1285"/>
    </row>
    <row r="1060" spans="1:13" ht="11.15" customHeight="1">
      <c r="A1060" s="29" t="s">
        <v>1991</v>
      </c>
      <c r="B1060" s="59" t="s">
        <v>20393</v>
      </c>
      <c r="C1060" s="147" t="s">
        <v>20221</v>
      </c>
      <c r="D1060" s="284" t="s">
        <v>897</v>
      </c>
      <c r="E1060" s="178">
        <v>2021</v>
      </c>
      <c r="F1060" s="178" t="s">
        <v>4520</v>
      </c>
      <c r="G1060" s="496"/>
      <c r="H1060" s="994" t="s">
        <v>20221</v>
      </c>
      <c r="I1060" s="11" t="s">
        <v>1992</v>
      </c>
      <c r="J1060" s="1285"/>
      <c r="K1060" s="1285"/>
      <c r="L1060" s="1285"/>
      <c r="M1060" s="5"/>
    </row>
    <row r="1061" spans="1:13" ht="11.15" customHeight="1">
      <c r="A1061" s="29" t="s">
        <v>1993</v>
      </c>
      <c r="B1061" s="185"/>
      <c r="C1061" s="147"/>
      <c r="D1061" s="129"/>
      <c r="E1061" s="185"/>
      <c r="F1061" s="185"/>
      <c r="G1061" s="185"/>
      <c r="H1061" s="185"/>
      <c r="I1061" s="11"/>
    </row>
    <row r="1062" spans="1:13" ht="11.15" customHeight="1">
      <c r="A1062" s="29" t="s">
        <v>1994</v>
      </c>
      <c r="B1062" s="185"/>
      <c r="C1062" s="147"/>
      <c r="D1062" s="129"/>
      <c r="E1062" s="185"/>
      <c r="F1062" s="185"/>
      <c r="G1062" s="185"/>
      <c r="H1062" s="185"/>
      <c r="I1062" s="11"/>
    </row>
    <row r="1063" spans="1:13" ht="11.15" customHeight="1">
      <c r="A1063" s="29" t="s">
        <v>1995</v>
      </c>
      <c r="B1063" s="185"/>
      <c r="C1063" s="147"/>
      <c r="D1063" s="129"/>
      <c r="E1063" s="185"/>
      <c r="F1063" s="185"/>
      <c r="G1063" s="185"/>
      <c r="H1063" s="185"/>
      <c r="I1063" s="11"/>
    </row>
    <row r="1064" spans="1:13" ht="11.15" customHeight="1">
      <c r="A1064" s="181" t="s">
        <v>1219</v>
      </c>
      <c r="B1064" s="185"/>
      <c r="C1064" s="147"/>
      <c r="D1064" s="129"/>
      <c r="E1064" s="185"/>
      <c r="F1064" s="185"/>
      <c r="G1064" s="185"/>
      <c r="H1064" s="185"/>
      <c r="I1064" s="11"/>
    </row>
    <row r="1065" spans="1:13" ht="11.15" customHeight="1">
      <c r="A1065" s="218" t="s">
        <v>1595</v>
      </c>
      <c r="B1065" s="185"/>
      <c r="C1065" s="147"/>
      <c r="D1065" s="129"/>
      <c r="E1065" s="185"/>
      <c r="F1065" s="185"/>
      <c r="G1065" s="185"/>
      <c r="H1065" s="185"/>
      <c r="I1065" s="11"/>
    </row>
    <row r="1066" spans="1:13" ht="11.15" customHeight="1">
      <c r="A1066" s="166" t="s">
        <v>1996</v>
      </c>
      <c r="B1066" s="185"/>
      <c r="C1066" s="147"/>
      <c r="D1066" s="129"/>
      <c r="E1066" s="185"/>
      <c r="F1066" s="185"/>
      <c r="G1066" s="185"/>
      <c r="H1066" s="185"/>
      <c r="I1066" s="11"/>
    </row>
    <row r="1067" spans="1:13" ht="11.15" customHeight="1">
      <c r="A1067" s="129" t="s">
        <v>1997</v>
      </c>
      <c r="B1067" s="185"/>
      <c r="C1067" s="147"/>
      <c r="D1067" s="129"/>
      <c r="E1067" s="185"/>
      <c r="F1067" s="185"/>
      <c r="G1067" s="185"/>
      <c r="H1067" s="185"/>
      <c r="I1067" s="11"/>
    </row>
    <row r="1068" spans="1:13" ht="11.15" customHeight="1">
      <c r="A1068" s="129" t="s">
        <v>1998</v>
      </c>
      <c r="B1068" s="90"/>
      <c r="C1068" s="147"/>
      <c r="D1068" s="122"/>
      <c r="E1068" s="36"/>
      <c r="F1068" s="178"/>
      <c r="G1068" s="60"/>
      <c r="H1068" s="36"/>
      <c r="I1068" s="11"/>
    </row>
    <row r="1069" spans="1:13" ht="11.15" customHeight="1" thickBot="1">
      <c r="A1069" s="290"/>
      <c r="B1069" s="216" t="s">
        <v>1999</v>
      </c>
      <c r="C1069" s="147"/>
      <c r="D1069" s="122"/>
      <c r="E1069" s="36"/>
      <c r="F1069" s="178"/>
      <c r="G1069" s="60"/>
      <c r="H1069" s="36"/>
      <c r="I1069" s="11"/>
    </row>
    <row r="1070" spans="1:13" ht="11.15" customHeight="1" thickBot="1">
      <c r="A1070" s="184" t="s">
        <v>2000</v>
      </c>
      <c r="B1070" s="59" t="s">
        <v>20394</v>
      </c>
      <c r="C1070" s="147" t="s">
        <v>20221</v>
      </c>
      <c r="D1070" s="284" t="s">
        <v>897</v>
      </c>
      <c r="E1070" s="178">
        <v>2021</v>
      </c>
      <c r="F1070" s="178" t="s">
        <v>4520</v>
      </c>
      <c r="G1070" s="496"/>
      <c r="H1070" s="994" t="s">
        <v>20221</v>
      </c>
      <c r="I1070" s="11" t="s">
        <v>2001</v>
      </c>
      <c r="J1070" s="1285"/>
      <c r="K1070" s="1285"/>
      <c r="L1070" s="1285"/>
    </row>
    <row r="1071" spans="1:13" ht="11.15" customHeight="1">
      <c r="A1071" s="29" t="s">
        <v>2002</v>
      </c>
      <c r="B1071" s="90"/>
      <c r="C1071" s="147"/>
      <c r="D1071" s="161"/>
      <c r="E1071" s="36"/>
      <c r="F1071" s="178"/>
      <c r="G1071" s="496"/>
      <c r="H1071" s="36"/>
      <c r="I1071" s="11"/>
    </row>
    <row r="1072" spans="1:13" ht="11.15" customHeight="1">
      <c r="A1072" s="272" t="s">
        <v>2003</v>
      </c>
      <c r="B1072" s="90"/>
      <c r="C1072" s="147"/>
      <c r="D1072" s="161"/>
      <c r="E1072" s="36"/>
      <c r="F1072" s="178"/>
      <c r="G1072" s="496"/>
      <c r="H1072" s="36"/>
      <c r="I1072" s="11"/>
    </row>
    <row r="1073" spans="1:12" ht="11.15" customHeight="1">
      <c r="A1073" s="29" t="s">
        <v>2004</v>
      </c>
      <c r="B1073" s="90"/>
      <c r="C1073" s="147"/>
      <c r="D1073" s="161"/>
      <c r="E1073" s="36"/>
      <c r="F1073" s="178"/>
      <c r="G1073" s="496"/>
      <c r="H1073" s="36"/>
      <c r="I1073" s="11"/>
    </row>
    <row r="1074" spans="1:12" ht="11.15" customHeight="1">
      <c r="A1074" s="29" t="s">
        <v>2005</v>
      </c>
      <c r="B1074" s="185"/>
      <c r="C1074" s="147"/>
      <c r="D1074" s="161"/>
      <c r="E1074" s="36"/>
      <c r="F1074" s="178"/>
      <c r="G1074" s="496"/>
      <c r="H1074" s="36"/>
      <c r="I1074" s="11"/>
    </row>
    <row r="1075" spans="1:12" ht="11.15" customHeight="1">
      <c r="A1075" s="29" t="s">
        <v>2006</v>
      </c>
      <c r="B1075" s="185"/>
      <c r="C1075" s="147"/>
      <c r="D1075" s="161"/>
      <c r="E1075" s="36"/>
      <c r="F1075" s="178"/>
      <c r="G1075" s="496"/>
      <c r="H1075" s="36"/>
      <c r="I1075" s="11"/>
    </row>
    <row r="1076" spans="1:12" ht="11.15" customHeight="1">
      <c r="A1076" s="29" t="s">
        <v>2007</v>
      </c>
      <c r="B1076" s="90"/>
      <c r="C1076" s="147"/>
      <c r="D1076" s="161"/>
      <c r="E1076" s="36"/>
      <c r="F1076" s="178"/>
      <c r="G1076" s="496"/>
      <c r="H1076" s="36"/>
      <c r="I1076" s="11"/>
    </row>
    <row r="1077" spans="1:12" ht="11.15" customHeight="1">
      <c r="A1077" s="29" t="s">
        <v>2008</v>
      </c>
      <c r="B1077" s="90"/>
      <c r="C1077" s="147"/>
      <c r="D1077" s="161"/>
      <c r="E1077" s="36"/>
      <c r="F1077" s="178"/>
      <c r="G1077" s="496"/>
      <c r="H1077" s="36"/>
      <c r="I1077" s="11"/>
    </row>
    <row r="1078" spans="1:12" ht="11.15" customHeight="1">
      <c r="A1078" s="287" t="s">
        <v>1640</v>
      </c>
      <c r="B1078" s="90"/>
      <c r="C1078" s="147"/>
      <c r="D1078" s="161"/>
      <c r="E1078" s="36"/>
      <c r="F1078" s="178"/>
      <c r="G1078" s="496"/>
      <c r="H1078" s="36"/>
      <c r="I1078" s="11"/>
    </row>
    <row r="1079" spans="1:12" ht="11.15" customHeight="1">
      <c r="A1079" s="166" t="s">
        <v>2009</v>
      </c>
      <c r="B1079" s="90"/>
      <c r="C1079" s="147"/>
      <c r="D1079" s="161"/>
      <c r="E1079" s="36"/>
      <c r="F1079" s="178"/>
      <c r="G1079" s="496"/>
      <c r="H1079" s="36"/>
      <c r="I1079" s="11"/>
    </row>
    <row r="1080" spans="1:12" ht="11.15" customHeight="1">
      <c r="A1080" s="166" t="s">
        <v>2010</v>
      </c>
      <c r="B1080" s="90"/>
      <c r="C1080" s="147"/>
      <c r="D1080" s="161"/>
      <c r="E1080" s="36"/>
      <c r="F1080" s="178"/>
      <c r="G1080" s="496"/>
      <c r="H1080" s="36"/>
      <c r="I1080" s="11"/>
    </row>
    <row r="1081" spans="1:12" ht="11.15" customHeight="1" thickBot="1">
      <c r="A1081" s="185"/>
      <c r="B1081" s="226"/>
      <c r="C1081" s="147"/>
      <c r="D1081" s="122"/>
      <c r="E1081" s="36"/>
      <c r="F1081" s="178"/>
      <c r="G1081" s="60"/>
      <c r="H1081" s="36"/>
      <c r="I1081" s="11"/>
    </row>
    <row r="1082" spans="1:12" ht="11.15" customHeight="1" thickBot="1">
      <c r="A1082" s="184" t="s">
        <v>2011</v>
      </c>
      <c r="B1082" s="59" t="s">
        <v>20395</v>
      </c>
      <c r="C1082" s="147" t="s">
        <v>23393</v>
      </c>
      <c r="D1082" s="284" t="s">
        <v>897</v>
      </c>
      <c r="E1082" s="178">
        <v>2022</v>
      </c>
      <c r="F1082" s="178" t="s">
        <v>4520</v>
      </c>
      <c r="G1082" s="496"/>
      <c r="H1082" s="994" t="s">
        <v>20343</v>
      </c>
      <c r="I1082" s="11" t="s">
        <v>2012</v>
      </c>
      <c r="J1082" s="1285"/>
      <c r="K1082" s="1285"/>
      <c r="L1082" s="1285"/>
    </row>
    <row r="1083" spans="1:12" ht="11.15" customHeight="1">
      <c r="A1083" s="29" t="s">
        <v>2013</v>
      </c>
      <c r="B1083" s="90"/>
      <c r="C1083" s="147"/>
      <c r="D1083" s="161"/>
      <c r="E1083" s="36"/>
      <c r="F1083" s="178"/>
      <c r="G1083" s="496"/>
      <c r="H1083" s="36"/>
      <c r="I1083" s="11"/>
    </row>
    <row r="1084" spans="1:12" ht="11.15" customHeight="1">
      <c r="A1084" s="29" t="s">
        <v>2014</v>
      </c>
      <c r="B1084" s="90"/>
      <c r="C1084" s="147"/>
      <c r="D1084" s="161"/>
      <c r="E1084" s="36"/>
      <c r="F1084" s="178"/>
      <c r="G1084" s="496"/>
      <c r="H1084" s="36"/>
      <c r="I1084" s="11"/>
    </row>
    <row r="1085" spans="1:12" ht="11.15" customHeight="1">
      <c r="A1085" s="29" t="s">
        <v>2015</v>
      </c>
      <c r="B1085" s="90"/>
      <c r="C1085" s="147"/>
      <c r="D1085" s="161"/>
      <c r="E1085" s="36"/>
      <c r="F1085" s="178"/>
      <c r="G1085" s="496"/>
      <c r="H1085" s="36"/>
      <c r="I1085" s="11"/>
    </row>
    <row r="1086" spans="1:12" ht="11.15" customHeight="1">
      <c r="A1086" s="29" t="s">
        <v>2016</v>
      </c>
      <c r="B1086" s="90"/>
      <c r="C1086" s="147"/>
      <c r="D1086" s="161"/>
      <c r="E1086" s="36"/>
      <c r="F1086" s="178"/>
      <c r="G1086" s="496"/>
      <c r="H1086" s="36"/>
      <c r="I1086" s="11"/>
    </row>
    <row r="1087" spans="1:12" ht="11.15" customHeight="1">
      <c r="A1087" s="287" t="s">
        <v>2017</v>
      </c>
      <c r="B1087" s="90"/>
      <c r="C1087" s="147"/>
      <c r="D1087" s="161"/>
      <c r="E1087" s="36"/>
      <c r="F1087" s="178"/>
      <c r="G1087" s="496"/>
      <c r="H1087" s="36"/>
      <c r="I1087" s="11"/>
    </row>
    <row r="1088" spans="1:12" ht="11.15" customHeight="1">
      <c r="A1088" s="287" t="s">
        <v>2018</v>
      </c>
      <c r="B1088" s="90"/>
      <c r="C1088" s="147"/>
      <c r="D1088" s="161"/>
      <c r="E1088" s="36"/>
      <c r="F1088" s="178"/>
      <c r="G1088" s="496"/>
      <c r="H1088" s="36"/>
      <c r="I1088" s="11"/>
    </row>
    <row r="1089" spans="1:12" ht="11.15" customHeight="1">
      <c r="A1089" s="160" t="s">
        <v>2019</v>
      </c>
      <c r="B1089" s="90"/>
      <c r="C1089" s="147"/>
      <c r="D1089" s="161"/>
      <c r="E1089" s="36"/>
      <c r="F1089" s="178"/>
      <c r="G1089" s="496"/>
      <c r="H1089" s="36"/>
      <c r="I1089" s="11"/>
    </row>
    <row r="1090" spans="1:12" ht="11.15" customHeight="1">
      <c r="A1090" s="272" t="s">
        <v>2020</v>
      </c>
      <c r="B1090" s="90"/>
      <c r="C1090" s="147"/>
      <c r="D1090" s="161"/>
      <c r="E1090" s="36"/>
      <c r="F1090" s="178"/>
      <c r="G1090" s="496"/>
      <c r="H1090" s="36"/>
      <c r="I1090" s="11"/>
    </row>
    <row r="1091" spans="1:12" ht="11.15" customHeight="1">
      <c r="A1091" s="272" t="s">
        <v>2021</v>
      </c>
      <c r="B1091" s="90"/>
      <c r="C1091" s="147"/>
      <c r="D1091" s="161"/>
      <c r="E1091" s="36"/>
      <c r="F1091" s="178"/>
      <c r="G1091" s="496"/>
      <c r="H1091" s="36"/>
      <c r="I1091" s="11"/>
    </row>
    <row r="1092" spans="1:12" ht="11.15" customHeight="1">
      <c r="A1092" s="129" t="s">
        <v>1077</v>
      </c>
      <c r="B1092" s="90"/>
      <c r="C1092" s="147"/>
      <c r="D1092" s="161"/>
      <c r="E1092" s="36"/>
      <c r="F1092" s="178"/>
      <c r="G1092" s="496"/>
      <c r="H1092" s="36"/>
      <c r="I1092" s="11"/>
    </row>
    <row r="1093" spans="1:12" ht="11.15" customHeight="1">
      <c r="A1093" s="162" t="s">
        <v>2022</v>
      </c>
      <c r="B1093" s="90"/>
      <c r="C1093" s="147"/>
      <c r="D1093" s="161"/>
      <c r="E1093" s="36"/>
      <c r="F1093" s="178"/>
      <c r="G1093" s="496"/>
      <c r="H1093" s="36"/>
      <c r="I1093" s="11"/>
    </row>
    <row r="1094" spans="1:12" ht="11.15" customHeight="1">
      <c r="A1094" s="162" t="s">
        <v>2023</v>
      </c>
      <c r="B1094" s="90"/>
      <c r="C1094" s="147"/>
      <c r="D1094" s="161"/>
      <c r="E1094" s="36"/>
      <c r="F1094" s="178"/>
      <c r="G1094" s="496"/>
      <c r="H1094" s="36"/>
      <c r="I1094" s="11"/>
    </row>
    <row r="1095" spans="1:12" ht="11.15" customHeight="1">
      <c r="A1095" s="162" t="s">
        <v>2024</v>
      </c>
      <c r="B1095" s="90"/>
      <c r="C1095" s="147"/>
      <c r="D1095" s="161"/>
      <c r="E1095" s="36"/>
      <c r="F1095" s="178"/>
      <c r="G1095" s="496"/>
      <c r="H1095" s="36"/>
      <c r="I1095" s="11"/>
    </row>
    <row r="1096" spans="1:12" ht="11.15" customHeight="1">
      <c r="A1096" s="162" t="s">
        <v>2025</v>
      </c>
      <c r="B1096" s="90"/>
      <c r="C1096" s="147"/>
      <c r="D1096" s="161"/>
      <c r="E1096" s="36"/>
      <c r="F1096" s="178"/>
      <c r="G1096" s="496"/>
      <c r="H1096" s="36"/>
      <c r="I1096" s="11"/>
    </row>
    <row r="1097" spans="1:12" ht="11.15" customHeight="1">
      <c r="A1097" s="162" t="s">
        <v>2026</v>
      </c>
      <c r="B1097" s="90"/>
      <c r="C1097" s="147"/>
      <c r="D1097" s="161"/>
      <c r="E1097" s="36"/>
      <c r="F1097" s="178"/>
      <c r="G1097" s="496"/>
      <c r="H1097" s="36"/>
      <c r="I1097" s="11"/>
    </row>
    <row r="1098" spans="1:12" ht="11.15" customHeight="1">
      <c r="A1098" s="166" t="s">
        <v>2027</v>
      </c>
      <c r="B1098" s="90"/>
      <c r="C1098" s="147"/>
      <c r="D1098" s="161"/>
      <c r="E1098" s="36"/>
      <c r="F1098" s="178"/>
      <c r="G1098" s="496"/>
      <c r="H1098" s="36"/>
      <c r="I1098" s="11"/>
    </row>
    <row r="1099" spans="1:12" ht="11.15" customHeight="1">
      <c r="A1099" s="166" t="s">
        <v>2028</v>
      </c>
      <c r="B1099" s="185"/>
      <c r="C1099" s="147"/>
      <c r="D1099" s="161"/>
      <c r="E1099" s="36"/>
      <c r="F1099" s="178"/>
      <c r="G1099" s="496"/>
      <c r="H1099" s="36"/>
      <c r="I1099" s="11"/>
    </row>
    <row r="1100" spans="1:12" ht="11.15" customHeight="1" thickBot="1">
      <c r="A1100" s="29"/>
      <c r="B1100" s="90"/>
      <c r="C1100" s="147"/>
      <c r="D1100" s="161"/>
      <c r="E1100" s="36"/>
      <c r="F1100" s="178"/>
      <c r="G1100" s="496"/>
      <c r="H1100" s="36"/>
      <c r="I1100" s="11"/>
    </row>
    <row r="1101" spans="1:12" ht="11.15" customHeight="1" thickBot="1">
      <c r="A1101" s="184" t="s">
        <v>2029</v>
      </c>
      <c r="B1101" s="59" t="s">
        <v>20396</v>
      </c>
      <c r="C1101" s="147" t="s">
        <v>23393</v>
      </c>
      <c r="D1101" s="284" t="s">
        <v>897</v>
      </c>
      <c r="E1101" s="178">
        <v>2014</v>
      </c>
      <c r="F1101" s="178" t="s">
        <v>4520</v>
      </c>
      <c r="G1101" s="496"/>
      <c r="H1101" s="994" t="s">
        <v>20221</v>
      </c>
      <c r="I1101" s="11" t="s">
        <v>2030</v>
      </c>
      <c r="J1101" s="1285"/>
      <c r="K1101" s="1285"/>
      <c r="L1101" s="1285"/>
    </row>
    <row r="1102" spans="1:12" ht="11.15" customHeight="1">
      <c r="A1102" s="29" t="s">
        <v>2031</v>
      </c>
      <c r="B1102" s="90"/>
      <c r="C1102" s="147"/>
      <c r="D1102" s="161"/>
      <c r="E1102" s="36"/>
      <c r="F1102" s="178"/>
      <c r="G1102" s="496"/>
      <c r="H1102" s="36"/>
      <c r="I1102" s="11"/>
    </row>
    <row r="1103" spans="1:12" ht="11.15" customHeight="1">
      <c r="A1103" s="29" t="s">
        <v>2032</v>
      </c>
      <c r="B1103" s="90"/>
      <c r="C1103" s="147"/>
      <c r="D1103" s="161"/>
      <c r="E1103" s="36"/>
      <c r="F1103" s="178"/>
      <c r="G1103" s="496"/>
      <c r="H1103" s="36"/>
      <c r="I1103" s="11"/>
    </row>
    <row r="1104" spans="1:12" ht="11.15" customHeight="1">
      <c r="A1104" s="29" t="s">
        <v>2033</v>
      </c>
      <c r="B1104" s="90"/>
      <c r="C1104" s="147"/>
      <c r="D1104" s="161"/>
      <c r="E1104" s="36"/>
      <c r="F1104" s="178"/>
      <c r="G1104" s="496"/>
      <c r="H1104" s="36"/>
      <c r="I1104" s="11"/>
    </row>
    <row r="1105" spans="1:12" ht="11.15" customHeight="1">
      <c r="A1105" s="181" t="s">
        <v>1236</v>
      </c>
      <c r="B1105" s="90"/>
      <c r="C1105" s="147"/>
      <c r="D1105" s="161"/>
      <c r="E1105" s="36"/>
      <c r="F1105" s="178"/>
      <c r="G1105" s="496"/>
      <c r="H1105" s="36"/>
      <c r="I1105" s="11"/>
    </row>
    <row r="1106" spans="1:12" ht="11.15" customHeight="1" thickBot="1">
      <c r="A1106" s="185"/>
      <c r="B1106" s="226"/>
      <c r="C1106" s="147"/>
      <c r="D1106" s="122"/>
      <c r="E1106" s="36"/>
      <c r="F1106" s="178"/>
      <c r="G1106" s="60"/>
      <c r="H1106" s="36"/>
      <c r="I1106" s="11"/>
    </row>
    <row r="1107" spans="1:12" ht="11.15" customHeight="1" thickBot="1">
      <c r="A1107" s="184" t="s">
        <v>2034</v>
      </c>
      <c r="B1107" s="59" t="s">
        <v>20397</v>
      </c>
      <c r="C1107" s="147" t="s">
        <v>20221</v>
      </c>
      <c r="D1107" s="284" t="s">
        <v>897</v>
      </c>
      <c r="E1107" s="178">
        <v>2020</v>
      </c>
      <c r="F1107" s="178" t="s">
        <v>4520</v>
      </c>
      <c r="G1107" s="496"/>
      <c r="H1107" s="994" t="s">
        <v>20221</v>
      </c>
      <c r="I1107" s="11" t="s">
        <v>2035</v>
      </c>
      <c r="J1107" s="1285"/>
      <c r="K1107" s="1285"/>
      <c r="L1107" s="1285"/>
    </row>
    <row r="1108" spans="1:12" ht="11.15" customHeight="1">
      <c r="A1108" s="29" t="s">
        <v>2036</v>
      </c>
      <c r="B1108" s="59" t="s">
        <v>20398</v>
      </c>
      <c r="C1108" s="147" t="s">
        <v>20221</v>
      </c>
      <c r="D1108" s="284" t="s">
        <v>897</v>
      </c>
      <c r="E1108" s="178">
        <v>2020</v>
      </c>
      <c r="F1108" s="178" t="s">
        <v>11931</v>
      </c>
      <c r="G1108" s="496"/>
      <c r="H1108" s="994" t="s">
        <v>20224</v>
      </c>
      <c r="I1108" s="11" t="s">
        <v>2037</v>
      </c>
      <c r="J1108" s="1285"/>
      <c r="K1108" s="1285"/>
      <c r="L1108" s="1285"/>
    </row>
    <row r="1109" spans="1:12" ht="11.15" customHeight="1">
      <c r="A1109" s="29" t="s">
        <v>2038</v>
      </c>
      <c r="B1109" s="90"/>
      <c r="C1109" s="147"/>
      <c r="D1109" s="161"/>
      <c r="E1109" s="36"/>
      <c r="F1109" s="183"/>
      <c r="G1109" s="496"/>
      <c r="H1109" s="34"/>
      <c r="I1109" s="11"/>
    </row>
    <row r="1110" spans="1:12" ht="11.15" customHeight="1">
      <c r="A1110" s="166" t="s">
        <v>2039</v>
      </c>
      <c r="B1110" s="90"/>
      <c r="C1110" s="147"/>
      <c r="D1110" s="161"/>
      <c r="E1110" s="36"/>
      <c r="F1110" s="178"/>
      <c r="G1110" s="496"/>
      <c r="H1110" s="36"/>
      <c r="I1110" s="11"/>
    </row>
    <row r="1111" spans="1:12" ht="11.15" customHeight="1">
      <c r="A1111" s="129" t="s">
        <v>2040</v>
      </c>
      <c r="B1111" s="90"/>
      <c r="C1111" s="147"/>
      <c r="D1111" s="122"/>
      <c r="E1111" s="36"/>
      <c r="F1111" s="178"/>
      <c r="G1111" s="60"/>
      <c r="H1111" s="36"/>
      <c r="I1111" s="11"/>
    </row>
    <row r="1112" spans="1:12" ht="11.15" customHeight="1" thickBot="1">
      <c r="A1112" s="280"/>
      <c r="B1112" s="90"/>
      <c r="C1112" s="147"/>
      <c r="D1112" s="161"/>
      <c r="E1112" s="36"/>
      <c r="F1112" s="178"/>
      <c r="G1112" s="496"/>
      <c r="H1112" s="36"/>
      <c r="I1112" s="11"/>
    </row>
    <row r="1113" spans="1:12" ht="11.15" customHeight="1" thickBot="1">
      <c r="A1113" s="184" t="s">
        <v>2041</v>
      </c>
      <c r="B1113" s="59" t="s">
        <v>20399</v>
      </c>
      <c r="C1113" s="147" t="s">
        <v>20221</v>
      </c>
      <c r="D1113" s="284" t="s">
        <v>897</v>
      </c>
      <c r="E1113" s="178">
        <v>2020</v>
      </c>
      <c r="F1113" s="178" t="s">
        <v>4520</v>
      </c>
      <c r="G1113" s="496"/>
      <c r="H1113" s="994" t="s">
        <v>20221</v>
      </c>
      <c r="I1113" s="11" t="s">
        <v>2042</v>
      </c>
      <c r="J1113" s="1285"/>
      <c r="K1113" s="1285"/>
      <c r="L1113" s="1285"/>
    </row>
    <row r="1114" spans="1:12" ht="11.15" customHeight="1">
      <c r="A1114" s="29" t="s">
        <v>2043</v>
      </c>
      <c r="B1114" s="59" t="s">
        <v>20399</v>
      </c>
      <c r="C1114" s="147" t="s">
        <v>20221</v>
      </c>
      <c r="D1114" s="284" t="s">
        <v>897</v>
      </c>
      <c r="E1114" s="178">
        <v>2019</v>
      </c>
      <c r="F1114" s="178" t="s">
        <v>4520</v>
      </c>
      <c r="G1114" s="496"/>
      <c r="H1114" s="994" t="s">
        <v>20221</v>
      </c>
      <c r="I1114" s="11" t="s">
        <v>2044</v>
      </c>
      <c r="J1114" s="1285"/>
      <c r="K1114" s="1285"/>
      <c r="L1114" s="1285"/>
    </row>
    <row r="1115" spans="1:12" ht="11.15" customHeight="1">
      <c r="A1115" s="29" t="s">
        <v>2045</v>
      </c>
      <c r="B1115" s="59" t="s">
        <v>20399</v>
      </c>
      <c r="C1115" s="147" t="s">
        <v>20221</v>
      </c>
      <c r="D1115" s="284" t="s">
        <v>897</v>
      </c>
      <c r="E1115" s="178">
        <v>2016</v>
      </c>
      <c r="F1115" s="178" t="s">
        <v>23395</v>
      </c>
      <c r="G1115" s="496"/>
      <c r="H1115" s="994" t="s">
        <v>20221</v>
      </c>
      <c r="I1115" s="11" t="s">
        <v>2046</v>
      </c>
      <c r="J1115" s="1285"/>
      <c r="K1115" s="1285"/>
      <c r="L1115" s="1285"/>
    </row>
    <row r="1116" spans="1:12" ht="11.15" customHeight="1">
      <c r="A1116" s="218" t="s">
        <v>1219</v>
      </c>
      <c r="B1116" s="90"/>
      <c r="C1116" s="147"/>
      <c r="D1116" s="161"/>
      <c r="E1116" s="36"/>
      <c r="F1116" s="178"/>
      <c r="G1116" s="496"/>
      <c r="H1116" s="36"/>
      <c r="I1116" s="11"/>
    </row>
    <row r="1117" spans="1:12" ht="11.15" customHeight="1">
      <c r="A1117" s="129" t="s">
        <v>2047</v>
      </c>
      <c r="B1117" s="90"/>
      <c r="C1117" s="147"/>
      <c r="D1117" s="161"/>
      <c r="E1117" s="36"/>
      <c r="F1117" s="178"/>
      <c r="G1117" s="496"/>
      <c r="H1117" s="36"/>
      <c r="I1117" s="11"/>
    </row>
    <row r="1118" spans="1:12" ht="11.15" customHeight="1">
      <c r="A1118" s="162" t="s">
        <v>2048</v>
      </c>
      <c r="B1118" s="185"/>
      <c r="C1118" s="147"/>
      <c r="D1118" s="185"/>
      <c r="E1118" s="185"/>
      <c r="F1118" s="185"/>
      <c r="G1118" s="185"/>
      <c r="H1118" s="185"/>
      <c r="I1118" s="11"/>
    </row>
    <row r="1119" spans="1:12" ht="11.15" customHeight="1">
      <c r="A1119" s="162" t="s">
        <v>2049</v>
      </c>
      <c r="B1119" s="90"/>
      <c r="C1119" s="147"/>
      <c r="D1119" s="161"/>
      <c r="E1119" s="36"/>
      <c r="F1119" s="178"/>
      <c r="G1119" s="497"/>
      <c r="H1119" s="36"/>
      <c r="I1119" s="11"/>
    </row>
    <row r="1120" spans="1:12" ht="11.15" customHeight="1">
      <c r="A1120" s="162" t="s">
        <v>2050</v>
      </c>
      <c r="B1120" s="185"/>
      <c r="C1120" s="147"/>
      <c r="D1120" s="185"/>
      <c r="E1120" s="185"/>
      <c r="F1120" s="185"/>
      <c r="G1120" s="185"/>
      <c r="H1120" s="185"/>
      <c r="I1120" s="11"/>
    </row>
    <row r="1121" spans="1:12" ht="11.15" customHeight="1">
      <c r="A1121" s="29" t="s">
        <v>2051</v>
      </c>
      <c r="B1121" s="185"/>
      <c r="C1121" s="147"/>
      <c r="D1121" s="185"/>
      <c r="E1121" s="185"/>
      <c r="F1121" s="185"/>
      <c r="G1121" s="185"/>
      <c r="H1121" s="185"/>
      <c r="I1121" s="11"/>
    </row>
    <row r="1122" spans="1:12" ht="11.15" customHeight="1">
      <c r="A1122" s="212" t="s">
        <v>2052</v>
      </c>
      <c r="B1122" s="185"/>
      <c r="C1122" s="147"/>
      <c r="D1122" s="185"/>
      <c r="E1122" s="185"/>
      <c r="F1122" s="185"/>
      <c r="G1122" s="185"/>
      <c r="H1122" s="185"/>
      <c r="I1122" s="11"/>
    </row>
    <row r="1123" spans="1:12" ht="11.15" customHeight="1">
      <c r="A1123" s="212" t="s">
        <v>2053</v>
      </c>
      <c r="B1123" s="90"/>
      <c r="C1123" s="147"/>
      <c r="D1123" s="161"/>
      <c r="E1123" s="36"/>
      <c r="F1123" s="178"/>
      <c r="G1123" s="671"/>
      <c r="H1123" s="36"/>
      <c r="I1123" s="11"/>
    </row>
    <row r="1124" spans="1:12" ht="11.15" customHeight="1">
      <c r="A1124" s="129" t="s">
        <v>2054</v>
      </c>
      <c r="B1124" s="90"/>
      <c r="C1124" s="147"/>
      <c r="D1124" s="122"/>
      <c r="E1124" s="36"/>
      <c r="F1124" s="178"/>
      <c r="G1124" s="60"/>
      <c r="H1124" s="36"/>
      <c r="I1124" s="11"/>
    </row>
    <row r="1125" spans="1:12" ht="11.15" customHeight="1" thickBot="1">
      <c r="A1125" s="29"/>
      <c r="B1125" s="90"/>
      <c r="C1125" s="147"/>
      <c r="D1125" s="122"/>
      <c r="E1125" s="36"/>
      <c r="F1125" s="178"/>
      <c r="G1125" s="60"/>
      <c r="H1125" s="36"/>
      <c r="I1125" s="11"/>
    </row>
    <row r="1126" spans="1:12" ht="11.15" customHeight="1" thickBot="1">
      <c r="A1126" s="184" t="s">
        <v>2055</v>
      </c>
      <c r="B1126" s="59" t="s">
        <v>20400</v>
      </c>
      <c r="C1126" s="147" t="s">
        <v>20221</v>
      </c>
      <c r="D1126" s="284" t="s">
        <v>897</v>
      </c>
      <c r="E1126" s="178">
        <v>2002</v>
      </c>
      <c r="F1126" s="178" t="s">
        <v>4520</v>
      </c>
      <c r="G1126" s="496"/>
      <c r="H1126" s="994" t="s">
        <v>20277</v>
      </c>
      <c r="I1126" s="11" t="s">
        <v>2056</v>
      </c>
      <c r="J1126" s="1285"/>
      <c r="K1126" s="1285"/>
      <c r="L1126" s="1285"/>
    </row>
    <row r="1127" spans="1:12" ht="11.15" customHeight="1">
      <c r="A1127" s="29" t="s">
        <v>2057</v>
      </c>
      <c r="B1127" s="59" t="s">
        <v>20400</v>
      </c>
      <c r="C1127" s="147" t="s">
        <v>20221</v>
      </c>
      <c r="D1127" s="284" t="s">
        <v>897</v>
      </c>
      <c r="E1127" s="178">
        <v>2001</v>
      </c>
      <c r="F1127" s="178" t="s">
        <v>23395</v>
      </c>
      <c r="G1127" s="496"/>
      <c r="H1127" s="994" t="s">
        <v>20221</v>
      </c>
      <c r="I1127" s="11" t="s">
        <v>2058</v>
      </c>
      <c r="J1127" s="1285"/>
      <c r="K1127" s="1285"/>
      <c r="L1127" s="1285"/>
    </row>
    <row r="1128" spans="1:12" ht="11.15" customHeight="1">
      <c r="A1128" s="29" t="s">
        <v>2059</v>
      </c>
      <c r="B1128" s="90"/>
      <c r="C1128" s="147"/>
      <c r="D1128" s="161"/>
      <c r="E1128" s="36"/>
      <c r="F1128" s="178"/>
      <c r="G1128" s="496"/>
      <c r="H1128" s="36"/>
      <c r="I1128" s="11"/>
    </row>
    <row r="1129" spans="1:12" ht="11.15" customHeight="1">
      <c r="A1129" s="29" t="s">
        <v>2060</v>
      </c>
      <c r="B1129" s="90"/>
      <c r="C1129" s="147"/>
      <c r="D1129" s="161"/>
      <c r="E1129" s="36"/>
      <c r="F1129" s="178"/>
      <c r="G1129" s="496"/>
      <c r="H1129" s="36"/>
      <c r="I1129" s="11"/>
    </row>
    <row r="1130" spans="1:12" ht="11.15" customHeight="1">
      <c r="A1130" s="29" t="s">
        <v>2061</v>
      </c>
      <c r="B1130" s="90"/>
      <c r="C1130" s="147"/>
      <c r="D1130" s="161"/>
      <c r="E1130" s="36"/>
      <c r="F1130" s="178"/>
      <c r="G1130" s="496"/>
      <c r="H1130" s="36"/>
      <c r="I1130" s="11"/>
    </row>
    <row r="1131" spans="1:12" ht="11.15" customHeight="1">
      <c r="A1131" s="181" t="s">
        <v>2017</v>
      </c>
      <c r="B1131" s="90"/>
      <c r="C1131" s="147"/>
      <c r="D1131" s="161"/>
      <c r="E1131" s="36"/>
      <c r="F1131" s="178"/>
      <c r="G1131" s="496"/>
      <c r="H1131" s="36"/>
      <c r="I1131" s="11"/>
    </row>
    <row r="1132" spans="1:12" ht="11.15" customHeight="1">
      <c r="A1132" s="181" t="s">
        <v>2062</v>
      </c>
      <c r="B1132" s="90"/>
      <c r="C1132" s="147"/>
      <c r="D1132" s="161"/>
      <c r="E1132" s="36"/>
      <c r="F1132" s="178"/>
      <c r="G1132" s="496"/>
      <c r="H1132" s="36"/>
      <c r="I1132" s="11"/>
    </row>
    <row r="1133" spans="1:12" ht="11.15" customHeight="1">
      <c r="A1133" s="29" t="s">
        <v>1778</v>
      </c>
      <c r="B1133" s="90"/>
      <c r="C1133" s="147"/>
      <c r="D1133" s="161"/>
      <c r="E1133" s="36"/>
      <c r="F1133" s="178"/>
      <c r="G1133" s="496"/>
      <c r="H1133" s="36"/>
      <c r="I1133" s="11"/>
    </row>
    <row r="1134" spans="1:12" ht="11.15" customHeight="1">
      <c r="A1134" s="199" t="s">
        <v>2063</v>
      </c>
      <c r="B1134" s="90" t="s">
        <v>1220</v>
      </c>
      <c r="C1134" s="147"/>
      <c r="D1134" s="161"/>
      <c r="E1134" s="36"/>
      <c r="F1134" s="178"/>
      <c r="G1134" s="496"/>
      <c r="H1134" s="36"/>
      <c r="I1134" s="11"/>
    </row>
    <row r="1135" spans="1:12" ht="11.15" customHeight="1" thickBot="1">
      <c r="A1135" s="29"/>
      <c r="B1135" s="90"/>
      <c r="C1135" s="147"/>
      <c r="D1135" s="122"/>
      <c r="E1135" s="36"/>
      <c r="F1135" s="178"/>
      <c r="G1135" s="60"/>
      <c r="H1135" s="36"/>
      <c r="I1135" s="11"/>
    </row>
    <row r="1136" spans="1:12" ht="11.15" customHeight="1" thickBot="1">
      <c r="A1136" s="184" t="s">
        <v>2064</v>
      </c>
      <c r="B1136" s="59" t="s">
        <v>20402</v>
      </c>
      <c r="C1136" s="147" t="s">
        <v>23393</v>
      </c>
      <c r="D1136" s="284" t="s">
        <v>897</v>
      </c>
      <c r="E1136" s="178">
        <v>2021</v>
      </c>
      <c r="F1136" s="178" t="s">
        <v>4520</v>
      </c>
      <c r="G1136" s="496"/>
      <c r="H1136" s="994" t="s">
        <v>20221</v>
      </c>
      <c r="I1136" s="11" t="s">
        <v>2065</v>
      </c>
      <c r="J1136" s="1285"/>
      <c r="K1136" s="1285"/>
      <c r="L1136" s="1285"/>
    </row>
    <row r="1137" spans="1:13" ht="11.15" customHeight="1">
      <c r="A1137" s="29" t="s">
        <v>2066</v>
      </c>
      <c r="B1137" s="59" t="s">
        <v>20402</v>
      </c>
      <c r="C1137" s="147" t="s">
        <v>23393</v>
      </c>
      <c r="D1137" s="284" t="s">
        <v>897</v>
      </c>
      <c r="E1137" s="178">
        <v>2019</v>
      </c>
      <c r="F1137" s="178" t="s">
        <v>4520</v>
      </c>
      <c r="G1137" s="496"/>
      <c r="H1137" s="994" t="s">
        <v>20221</v>
      </c>
      <c r="I1137" s="11" t="s">
        <v>2067</v>
      </c>
      <c r="J1137" s="1285"/>
      <c r="K1137" s="1285"/>
      <c r="L1137" s="1285"/>
    </row>
    <row r="1138" spans="1:13" ht="11.15" customHeight="1">
      <c r="A1138" s="29" t="s">
        <v>2068</v>
      </c>
      <c r="B1138" s="90"/>
      <c r="C1138" s="147"/>
      <c r="D1138" s="161"/>
      <c r="E1138" s="36"/>
      <c r="F1138" s="183"/>
      <c r="G1138" s="496"/>
      <c r="H1138" s="34"/>
      <c r="I1138" s="11"/>
    </row>
    <row r="1139" spans="1:13" ht="11.15" customHeight="1">
      <c r="A1139" s="29" t="s">
        <v>2069</v>
      </c>
      <c r="B1139" s="90"/>
      <c r="C1139" s="147"/>
      <c r="D1139" s="161"/>
      <c r="E1139" s="36"/>
      <c r="F1139" s="178"/>
      <c r="G1139" s="496"/>
      <c r="H1139" s="36"/>
      <c r="I1139" s="11"/>
    </row>
    <row r="1140" spans="1:13" ht="11.15" customHeight="1">
      <c r="A1140" s="181" t="s">
        <v>2070</v>
      </c>
      <c r="B1140" s="90"/>
      <c r="C1140" s="147"/>
      <c r="D1140" s="161"/>
      <c r="E1140" s="36"/>
      <c r="F1140" s="178"/>
      <c r="G1140" s="496"/>
      <c r="H1140" s="36"/>
      <c r="I1140" s="11"/>
    </row>
    <row r="1141" spans="1:13" ht="11.15" customHeight="1">
      <c r="A1141" s="129" t="s">
        <v>2071</v>
      </c>
      <c r="B1141" s="90"/>
      <c r="C1141" s="147"/>
      <c r="D1141" s="122"/>
      <c r="E1141" s="36"/>
      <c r="F1141" s="178"/>
      <c r="G1141" s="60"/>
      <c r="H1141" s="36"/>
      <c r="I1141" s="11"/>
    </row>
    <row r="1142" spans="1:13" ht="11.15" customHeight="1" thickBot="1">
      <c r="A1142" s="29"/>
      <c r="B1142" s="90"/>
      <c r="C1142" s="147"/>
      <c r="D1142" s="161"/>
      <c r="E1142" s="36"/>
      <c r="F1142" s="178"/>
      <c r="G1142" s="496"/>
      <c r="H1142" s="36"/>
      <c r="I1142" s="11"/>
    </row>
    <row r="1143" spans="1:13" ht="11.15" customHeight="1" thickBot="1">
      <c r="A1143" s="184" t="s">
        <v>2072</v>
      </c>
      <c r="B1143" s="59" t="s">
        <v>20404</v>
      </c>
      <c r="C1143" s="147" t="s">
        <v>23393</v>
      </c>
      <c r="D1143" s="284" t="s">
        <v>897</v>
      </c>
      <c r="E1143" s="178">
        <v>2020</v>
      </c>
      <c r="F1143" s="178" t="s">
        <v>4520</v>
      </c>
      <c r="G1143" s="496"/>
      <c r="H1143" s="994" t="s">
        <v>20221</v>
      </c>
      <c r="I1143" s="11" t="s">
        <v>2073</v>
      </c>
      <c r="J1143" s="1285"/>
      <c r="K1143" s="1285"/>
      <c r="L1143" s="1285"/>
    </row>
    <row r="1144" spans="1:13" ht="11.15" customHeight="1">
      <c r="A1144" s="29" t="s">
        <v>2074</v>
      </c>
      <c r="B1144" s="59" t="s">
        <v>20404</v>
      </c>
      <c r="C1144" s="147" t="s">
        <v>23393</v>
      </c>
      <c r="D1144" s="284" t="s">
        <v>897</v>
      </c>
      <c r="E1144" s="178">
        <v>2018</v>
      </c>
      <c r="F1144" s="178" t="s">
        <v>4520</v>
      </c>
      <c r="G1144" s="496"/>
      <c r="H1144" s="994" t="s">
        <v>20224</v>
      </c>
      <c r="I1144" s="11" t="s">
        <v>2075</v>
      </c>
      <c r="J1144" s="1285"/>
      <c r="K1144" s="1285"/>
      <c r="L1144" s="1285"/>
    </row>
    <row r="1145" spans="1:13" ht="11.15" customHeight="1">
      <c r="A1145" s="29" t="s">
        <v>1670</v>
      </c>
      <c r="B1145" s="59" t="s">
        <v>20404</v>
      </c>
      <c r="C1145" s="147" t="s">
        <v>20221</v>
      </c>
      <c r="D1145" s="284" t="s">
        <v>897</v>
      </c>
      <c r="E1145" s="178">
        <v>2016</v>
      </c>
      <c r="F1145" s="178" t="s">
        <v>23395</v>
      </c>
      <c r="G1145" s="496"/>
      <c r="H1145" s="994" t="s">
        <v>20221</v>
      </c>
      <c r="I1145" s="11" t="s">
        <v>2076</v>
      </c>
      <c r="J1145" s="1285"/>
      <c r="K1145" s="1285"/>
      <c r="L1145" s="1285"/>
      <c r="M1145" s="5"/>
    </row>
    <row r="1146" spans="1:13" ht="11.15" customHeight="1">
      <c r="A1146" s="181" t="s">
        <v>2077</v>
      </c>
      <c r="B1146" s="90"/>
      <c r="C1146" s="147"/>
      <c r="D1146" s="161"/>
      <c r="E1146" s="36"/>
      <c r="F1146" s="178"/>
      <c r="G1146" s="671"/>
      <c r="H1146" s="36"/>
      <c r="I1146" s="11"/>
    </row>
    <row r="1147" spans="1:13" ht="11.15" customHeight="1">
      <c r="A1147" s="181" t="s">
        <v>1672</v>
      </c>
      <c r="B1147" s="90"/>
      <c r="C1147" s="147"/>
      <c r="D1147" s="161"/>
      <c r="E1147" s="36"/>
      <c r="F1147" s="178"/>
      <c r="G1147" s="671"/>
      <c r="H1147" s="36"/>
      <c r="I1147" s="11"/>
    </row>
    <row r="1148" spans="1:13" ht="11.15" customHeight="1">
      <c r="A1148" s="129" t="s">
        <v>2078</v>
      </c>
      <c r="B1148" s="90"/>
      <c r="C1148" s="147"/>
      <c r="D1148" s="161"/>
      <c r="E1148" s="36"/>
      <c r="F1148" s="178"/>
      <c r="G1148" s="671"/>
      <c r="H1148" s="36"/>
      <c r="I1148" s="11"/>
    </row>
    <row r="1149" spans="1:13" ht="11.15" customHeight="1" thickBot="1">
      <c r="A1149" s="29"/>
      <c r="B1149" s="90"/>
      <c r="C1149" s="147"/>
      <c r="D1149" s="161"/>
      <c r="E1149" s="36"/>
      <c r="F1149" s="178"/>
      <c r="G1149" s="496"/>
      <c r="H1149" s="36"/>
      <c r="I1149" s="11"/>
    </row>
    <row r="1150" spans="1:13" ht="11.15" customHeight="1">
      <c r="A1150" s="153" t="s">
        <v>2079</v>
      </c>
      <c r="B1150" s="59" t="s">
        <v>20406</v>
      </c>
      <c r="C1150" s="147" t="s">
        <v>20221</v>
      </c>
      <c r="D1150" s="284" t="s">
        <v>897</v>
      </c>
      <c r="E1150" s="178">
        <v>2023</v>
      </c>
      <c r="F1150" s="178" t="s">
        <v>4520</v>
      </c>
      <c r="G1150" s="496"/>
      <c r="H1150" s="994" t="s">
        <v>20343</v>
      </c>
      <c r="I1150" s="11" t="s">
        <v>2080</v>
      </c>
      <c r="J1150" s="1285"/>
      <c r="K1150" s="1285"/>
      <c r="L1150" s="1285"/>
    </row>
    <row r="1151" spans="1:13" ht="11.15" customHeight="1" thickBot="1">
      <c r="A1151" s="230" t="s">
        <v>1868</v>
      </c>
      <c r="B1151" s="59" t="s">
        <v>20406</v>
      </c>
      <c r="C1151" s="147" t="s">
        <v>20221</v>
      </c>
      <c r="D1151" s="284" t="s">
        <v>897</v>
      </c>
      <c r="E1151" s="178">
        <v>2022</v>
      </c>
      <c r="F1151" s="178" t="s">
        <v>4520</v>
      </c>
      <c r="G1151" s="496"/>
      <c r="H1151" s="994" t="s">
        <v>20343</v>
      </c>
      <c r="I1151" s="11" t="s">
        <v>2081</v>
      </c>
      <c r="J1151" s="1285"/>
      <c r="K1151" s="1285"/>
      <c r="L1151" s="1285"/>
    </row>
    <row r="1152" spans="1:13" ht="11.15" customHeight="1">
      <c r="A1152" s="29" t="s">
        <v>2082</v>
      </c>
      <c r="B1152" s="59" t="s">
        <v>20406</v>
      </c>
      <c r="C1152" s="147" t="s">
        <v>20221</v>
      </c>
      <c r="D1152" s="284" t="s">
        <v>897</v>
      </c>
      <c r="E1152" s="178">
        <v>2021</v>
      </c>
      <c r="F1152" s="178" t="s">
        <v>4520</v>
      </c>
      <c r="G1152" s="496"/>
      <c r="H1152" s="994" t="s">
        <v>20221</v>
      </c>
      <c r="I1152" s="11" t="s">
        <v>2083</v>
      </c>
      <c r="J1152" s="1285"/>
      <c r="K1152" s="1285"/>
      <c r="L1152" s="1285"/>
    </row>
    <row r="1153" spans="1:12" ht="11.15" customHeight="1">
      <c r="A1153" s="29" t="s">
        <v>2084</v>
      </c>
      <c r="B1153" s="59" t="s">
        <v>20406</v>
      </c>
      <c r="C1153" s="147" t="s">
        <v>20221</v>
      </c>
      <c r="D1153" s="284" t="s">
        <v>897</v>
      </c>
      <c r="E1153" s="178">
        <v>2020</v>
      </c>
      <c r="F1153" s="178" t="s">
        <v>4520</v>
      </c>
      <c r="G1153" s="496"/>
      <c r="H1153" s="994" t="s">
        <v>20221</v>
      </c>
      <c r="I1153" s="11" t="s">
        <v>2085</v>
      </c>
      <c r="J1153" s="1285"/>
      <c r="K1153" s="1285"/>
      <c r="L1153" s="1285"/>
    </row>
    <row r="1154" spans="1:12" ht="11.15" customHeight="1">
      <c r="A1154" s="272" t="s">
        <v>2086</v>
      </c>
      <c r="B1154" s="90"/>
      <c r="C1154" s="147"/>
      <c r="D1154" s="161"/>
      <c r="E1154" s="36"/>
      <c r="F1154" s="178"/>
      <c r="G1154" s="496"/>
      <c r="H1154" s="36"/>
      <c r="I1154" s="11"/>
    </row>
    <row r="1155" spans="1:12" ht="11.15" customHeight="1">
      <c r="A1155" s="272" t="s">
        <v>2087</v>
      </c>
      <c r="B1155" s="90"/>
      <c r="C1155" s="147"/>
      <c r="D1155" s="161"/>
      <c r="E1155" s="36"/>
      <c r="F1155" s="178"/>
      <c r="G1155" s="496"/>
      <c r="H1155" s="36"/>
      <c r="I1155" s="11"/>
    </row>
    <row r="1156" spans="1:12" ht="11.25" customHeight="1">
      <c r="A1156" s="272" t="s">
        <v>2088</v>
      </c>
      <c r="B1156" s="90"/>
      <c r="C1156" s="147"/>
      <c r="D1156" s="161"/>
      <c r="E1156" s="36"/>
      <c r="F1156" s="178"/>
      <c r="G1156" s="496"/>
      <c r="H1156" s="36"/>
      <c r="I1156" s="11"/>
    </row>
    <row r="1157" spans="1:12" ht="11.15" customHeight="1">
      <c r="A1157" s="58" t="s">
        <v>2089</v>
      </c>
      <c r="B1157" s="90"/>
      <c r="C1157" s="147"/>
      <c r="D1157" s="161"/>
      <c r="E1157" s="36"/>
      <c r="F1157" s="178"/>
      <c r="G1157" s="496"/>
      <c r="H1157" s="36"/>
      <c r="I1157" s="11"/>
    </row>
    <row r="1158" spans="1:12" ht="11.15" customHeight="1">
      <c r="A1158" s="129" t="s">
        <v>1077</v>
      </c>
      <c r="B1158" s="90"/>
      <c r="C1158" s="147"/>
      <c r="D1158" s="161"/>
      <c r="E1158" s="36"/>
      <c r="F1158" s="178"/>
      <c r="G1158" s="496"/>
      <c r="H1158" s="36"/>
      <c r="I1158" s="11"/>
    </row>
    <row r="1159" spans="1:12" ht="11.15" customHeight="1">
      <c r="A1159" s="291" t="s">
        <v>2090</v>
      </c>
      <c r="B1159" s="90"/>
      <c r="C1159" s="147"/>
      <c r="D1159" s="161"/>
      <c r="E1159" s="36"/>
      <c r="F1159" s="178"/>
      <c r="G1159" s="496"/>
      <c r="H1159" s="36"/>
      <c r="I1159" s="11"/>
    </row>
    <row r="1160" spans="1:12" ht="11.15" customHeight="1">
      <c r="A1160" s="292" t="s">
        <v>2091</v>
      </c>
      <c r="B1160" s="90"/>
      <c r="C1160" s="147"/>
      <c r="D1160" s="161"/>
      <c r="E1160" s="36"/>
      <c r="F1160" s="178"/>
      <c r="G1160" s="496"/>
      <c r="H1160" s="36"/>
      <c r="I1160" s="11"/>
    </row>
    <row r="1161" spans="1:12" ht="11.15" customHeight="1">
      <c r="A1161" s="292" t="s">
        <v>2092</v>
      </c>
      <c r="B1161" s="90"/>
      <c r="C1161" s="147"/>
      <c r="D1161" s="161"/>
      <c r="E1161" s="36"/>
      <c r="F1161" s="178"/>
      <c r="G1161" s="496"/>
      <c r="H1161" s="36"/>
      <c r="I1161" s="11"/>
    </row>
    <row r="1162" spans="1:12" ht="11.15" customHeight="1">
      <c r="A1162" s="162" t="s">
        <v>2093</v>
      </c>
      <c r="B1162" s="90"/>
      <c r="C1162" s="147"/>
      <c r="D1162" s="161"/>
      <c r="E1162" s="36"/>
      <c r="F1162" s="178"/>
      <c r="G1162" s="496"/>
      <c r="H1162" s="36"/>
      <c r="I1162" s="11"/>
    </row>
    <row r="1163" spans="1:12" ht="11.15" customHeight="1">
      <c r="A1163" s="169" t="s">
        <v>1887</v>
      </c>
      <c r="B1163" s="90"/>
      <c r="C1163" s="147"/>
      <c r="D1163" s="161"/>
      <c r="E1163" s="36"/>
      <c r="F1163" s="178"/>
      <c r="G1163" s="496"/>
      <c r="H1163" s="36"/>
      <c r="I1163" s="11"/>
    </row>
    <row r="1164" spans="1:12" ht="11.15" customHeight="1">
      <c r="A1164" s="129" t="s">
        <v>2094</v>
      </c>
      <c r="B1164" s="90"/>
      <c r="C1164" s="147"/>
      <c r="D1164" s="161"/>
      <c r="E1164" s="36"/>
      <c r="F1164" s="178"/>
      <c r="G1164" s="671"/>
      <c r="H1164" s="36"/>
      <c r="I1164" s="11"/>
    </row>
    <row r="1165" spans="1:12" ht="11.15" customHeight="1">
      <c r="A1165" s="129" t="s">
        <v>2095</v>
      </c>
      <c r="B1165" s="90"/>
      <c r="C1165" s="147"/>
      <c r="D1165" s="122"/>
      <c r="E1165" s="36"/>
      <c r="F1165" s="178"/>
      <c r="G1165" s="60"/>
      <c r="H1165" s="36"/>
      <c r="I1165" s="11"/>
    </row>
    <row r="1166" spans="1:12" ht="11.15" customHeight="1" thickBot="1">
      <c r="A1166" s="29"/>
      <c r="B1166" s="293" t="s">
        <v>2096</v>
      </c>
      <c r="C1166" s="147"/>
      <c r="D1166" s="161"/>
      <c r="E1166" s="36"/>
      <c r="F1166" s="178"/>
      <c r="G1166" s="496"/>
      <c r="H1166" s="36"/>
      <c r="I1166" s="11"/>
    </row>
    <row r="1167" spans="1:12" ht="11.15" customHeight="1">
      <c r="A1167" s="153" t="s">
        <v>2097</v>
      </c>
      <c r="B1167" s="154" t="s">
        <v>1491</v>
      </c>
      <c r="C1167" s="147"/>
      <c r="D1167" s="185"/>
      <c r="E1167" s="185"/>
      <c r="F1167" s="185"/>
      <c r="G1167" s="185"/>
      <c r="H1167" s="185"/>
      <c r="I1167" s="11"/>
    </row>
    <row r="1168" spans="1:12" ht="11.15" customHeight="1" thickBot="1">
      <c r="A1168" s="294" t="s">
        <v>2098</v>
      </c>
      <c r="B1168" s="59" t="s">
        <v>20407</v>
      </c>
      <c r="C1168" s="147" t="s">
        <v>20221</v>
      </c>
      <c r="D1168" s="284" t="s">
        <v>897</v>
      </c>
      <c r="E1168" s="178">
        <v>2023</v>
      </c>
      <c r="F1168" s="178" t="s">
        <v>4520</v>
      </c>
      <c r="G1168" s="496"/>
      <c r="H1168" s="994" t="s">
        <v>20343</v>
      </c>
      <c r="I1168" s="11" t="s">
        <v>2099</v>
      </c>
      <c r="J1168" s="1285"/>
      <c r="K1168" s="1285"/>
      <c r="L1168" s="1285"/>
    </row>
    <row r="1169" spans="1:12" ht="11.15" customHeight="1">
      <c r="A1169" s="29" t="s">
        <v>2100</v>
      </c>
      <c r="B1169" s="59" t="s">
        <v>20407</v>
      </c>
      <c r="C1169" s="147" t="s">
        <v>20221</v>
      </c>
      <c r="D1169" s="284" t="s">
        <v>897</v>
      </c>
      <c r="E1169" s="178">
        <v>2022</v>
      </c>
      <c r="F1169" s="178" t="s">
        <v>4520</v>
      </c>
      <c r="G1169" s="496"/>
      <c r="H1169" s="994" t="s">
        <v>20221</v>
      </c>
      <c r="I1169" s="11" t="s">
        <v>2101</v>
      </c>
      <c r="J1169" s="1285"/>
      <c r="K1169" s="1285"/>
      <c r="L1169" s="1285"/>
    </row>
    <row r="1170" spans="1:12" ht="11.15" customHeight="1">
      <c r="A1170" s="29" t="s">
        <v>2102</v>
      </c>
      <c r="B1170" s="59" t="s">
        <v>20407</v>
      </c>
      <c r="C1170" s="147" t="s">
        <v>20221</v>
      </c>
      <c r="D1170" s="284" t="s">
        <v>897</v>
      </c>
      <c r="E1170" s="178">
        <v>2021</v>
      </c>
      <c r="F1170" s="178" t="s">
        <v>4520</v>
      </c>
      <c r="G1170" s="496"/>
      <c r="H1170" s="994" t="s">
        <v>20221</v>
      </c>
      <c r="I1170" s="11" t="s">
        <v>2103</v>
      </c>
      <c r="J1170" s="1285"/>
      <c r="K1170" s="1285"/>
      <c r="L1170" s="1285"/>
    </row>
    <row r="1171" spans="1:12" ht="11.15" customHeight="1">
      <c r="A1171" s="29" t="s">
        <v>2104</v>
      </c>
      <c r="B1171" s="154" t="s">
        <v>1691</v>
      </c>
      <c r="C1171" s="147"/>
      <c r="D1171" s="185"/>
      <c r="E1171" s="185"/>
      <c r="F1171" s="185"/>
      <c r="G1171" s="185"/>
      <c r="H1171" s="185"/>
      <c r="I1171" s="11"/>
    </row>
    <row r="1172" spans="1:12" ht="11.15" customHeight="1">
      <c r="A1172" s="29" t="s">
        <v>2105</v>
      </c>
      <c r="B1172" s="59" t="s">
        <v>20408</v>
      </c>
      <c r="C1172" s="147" t="s">
        <v>20221</v>
      </c>
      <c r="D1172" s="284" t="s">
        <v>897</v>
      </c>
      <c r="E1172" s="178">
        <v>2023</v>
      </c>
      <c r="F1172" s="178" t="s">
        <v>4520</v>
      </c>
      <c r="G1172" s="496"/>
      <c r="H1172" s="994" t="s">
        <v>20343</v>
      </c>
      <c r="I1172" s="11" t="s">
        <v>2106</v>
      </c>
      <c r="J1172" s="1285"/>
      <c r="K1172" s="1285"/>
      <c r="L1172" s="1285"/>
    </row>
    <row r="1173" spans="1:12" ht="11.15" customHeight="1">
      <c r="A1173" s="181" t="s">
        <v>2107</v>
      </c>
      <c r="B1173" s="59" t="s">
        <v>20408</v>
      </c>
      <c r="C1173" s="147" t="s">
        <v>20221</v>
      </c>
      <c r="D1173" s="284" t="s">
        <v>897</v>
      </c>
      <c r="E1173" s="178">
        <v>2022</v>
      </c>
      <c r="F1173" s="178" t="s">
        <v>4520</v>
      </c>
      <c r="G1173" s="496"/>
      <c r="H1173" s="994" t="s">
        <v>20224</v>
      </c>
      <c r="I1173" s="11" t="s">
        <v>2108</v>
      </c>
      <c r="J1173" s="1285"/>
      <c r="K1173" s="1285"/>
      <c r="L1173" s="1285"/>
    </row>
    <row r="1174" spans="1:12" ht="11.15" customHeight="1">
      <c r="A1174" s="166" t="s">
        <v>2109</v>
      </c>
      <c r="B1174" s="59" t="s">
        <v>20408</v>
      </c>
      <c r="C1174" s="147" t="s">
        <v>20221</v>
      </c>
      <c r="D1174" s="284" t="s">
        <v>897</v>
      </c>
      <c r="E1174" s="178">
        <v>2021</v>
      </c>
      <c r="F1174" s="178" t="s">
        <v>4520</v>
      </c>
      <c r="G1174" s="496"/>
      <c r="H1174" s="994" t="s">
        <v>20221</v>
      </c>
      <c r="I1174" s="11" t="s">
        <v>2110</v>
      </c>
      <c r="J1174" s="1285"/>
      <c r="K1174" s="1285"/>
      <c r="L1174" s="1285"/>
    </row>
    <row r="1175" spans="1:12" ht="11.15" customHeight="1">
      <c r="A1175" s="169" t="s">
        <v>2111</v>
      </c>
      <c r="B1175" s="90"/>
      <c r="C1175" s="147"/>
      <c r="D1175" s="161"/>
      <c r="E1175" s="36"/>
      <c r="F1175" s="178"/>
      <c r="G1175" s="496"/>
      <c r="H1175" s="36"/>
      <c r="I1175" s="11"/>
    </row>
    <row r="1176" spans="1:12" ht="11.15" customHeight="1">
      <c r="A1176" s="129" t="s">
        <v>2112</v>
      </c>
      <c r="B1176" s="90"/>
      <c r="C1176" s="147"/>
      <c r="D1176" s="161"/>
      <c r="E1176" s="36"/>
      <c r="F1176" s="178"/>
      <c r="G1176" s="496"/>
      <c r="H1176" s="36"/>
      <c r="I1176" s="11"/>
    </row>
    <row r="1177" spans="1:12" ht="11.15" customHeight="1">
      <c r="A1177" s="129" t="s">
        <v>2113</v>
      </c>
      <c r="B1177" s="90"/>
      <c r="C1177" s="147"/>
      <c r="D1177" s="161"/>
      <c r="E1177" s="36"/>
      <c r="F1177" s="178"/>
      <c r="G1177" s="496"/>
      <c r="H1177" s="36"/>
      <c r="I1177" s="11"/>
    </row>
    <row r="1178" spans="1:12" ht="11.15" customHeight="1" thickBot="1">
      <c r="A1178" s="29"/>
      <c r="B1178" s="90"/>
      <c r="C1178" s="147"/>
      <c r="D1178" s="161"/>
      <c r="E1178" s="36"/>
      <c r="F1178" s="178"/>
      <c r="G1178" s="496"/>
      <c r="H1178" s="36"/>
      <c r="I1178" s="11"/>
    </row>
    <row r="1179" spans="1:12" ht="11.15" customHeight="1" thickBot="1">
      <c r="A1179" s="184" t="s">
        <v>2114</v>
      </c>
      <c r="B1179" s="59" t="s">
        <v>20409</v>
      </c>
      <c r="C1179" s="147" t="s">
        <v>20221</v>
      </c>
      <c r="D1179" s="284" t="s">
        <v>897</v>
      </c>
      <c r="E1179" s="178">
        <v>2021</v>
      </c>
      <c r="F1179" s="178" t="s">
        <v>23395</v>
      </c>
      <c r="G1179" s="496"/>
      <c r="H1179" s="994" t="s">
        <v>20221</v>
      </c>
      <c r="I1179" s="11" t="s">
        <v>2115</v>
      </c>
      <c r="J1179" s="1285"/>
      <c r="K1179" s="1285"/>
      <c r="L1179" s="1285"/>
    </row>
    <row r="1180" spans="1:12" ht="11.15" customHeight="1">
      <c r="A1180" s="29" t="s">
        <v>2116</v>
      </c>
      <c r="B1180" s="90"/>
      <c r="C1180" s="147"/>
      <c r="D1180" s="161"/>
      <c r="E1180" s="36"/>
      <c r="F1180" s="178"/>
      <c r="G1180" s="497"/>
      <c r="H1180" s="36"/>
      <c r="I1180" s="11"/>
    </row>
    <row r="1181" spans="1:12" ht="11.15" customHeight="1">
      <c r="A1181" s="29" t="s">
        <v>2117</v>
      </c>
      <c r="B1181" s="90"/>
      <c r="C1181" s="147"/>
      <c r="D1181" s="161"/>
      <c r="E1181" s="36"/>
      <c r="F1181" s="178"/>
      <c r="G1181" s="496"/>
      <c r="H1181" s="36"/>
      <c r="I1181" s="11"/>
    </row>
    <row r="1182" spans="1:12" ht="11.15" customHeight="1">
      <c r="A1182" s="29" t="s">
        <v>2118</v>
      </c>
      <c r="B1182" s="90"/>
      <c r="C1182" s="147"/>
      <c r="D1182" s="161"/>
      <c r="E1182" s="36"/>
      <c r="F1182" s="178"/>
      <c r="G1182" s="496"/>
      <c r="H1182" s="36"/>
      <c r="I1182" s="11"/>
    </row>
    <row r="1183" spans="1:12" ht="11.15" customHeight="1">
      <c r="A1183" s="29" t="s">
        <v>2119</v>
      </c>
      <c r="B1183" s="90"/>
      <c r="C1183" s="147"/>
      <c r="D1183" s="161"/>
      <c r="E1183" s="36"/>
      <c r="F1183" s="178"/>
      <c r="G1183" s="496"/>
      <c r="H1183" s="36"/>
      <c r="I1183" s="11"/>
    </row>
    <row r="1184" spans="1:12" ht="11.15" customHeight="1">
      <c r="A1184" s="29" t="s">
        <v>2120</v>
      </c>
      <c r="B1184" s="185"/>
      <c r="C1184" s="147"/>
      <c r="D1184" s="129"/>
      <c r="E1184" s="185"/>
      <c r="F1184" s="185"/>
      <c r="G1184" s="185"/>
      <c r="H1184" s="185"/>
      <c r="I1184" s="11"/>
    </row>
    <row r="1185" spans="1:12" ht="11.15" customHeight="1">
      <c r="A1185" s="29" t="s">
        <v>2121</v>
      </c>
      <c r="B1185" s="185"/>
      <c r="C1185" s="147"/>
      <c r="D1185" s="129"/>
      <c r="E1185" s="185"/>
      <c r="F1185" s="185"/>
      <c r="G1185" s="185"/>
      <c r="H1185" s="185"/>
      <c r="I1185" s="11"/>
    </row>
    <row r="1186" spans="1:12" ht="11.15" customHeight="1">
      <c r="A1186" s="29" t="s">
        <v>2122</v>
      </c>
      <c r="B1186" s="185"/>
      <c r="C1186" s="147"/>
      <c r="D1186" s="129"/>
      <c r="E1186" s="185"/>
      <c r="F1186" s="185"/>
      <c r="G1186" s="185"/>
      <c r="H1186" s="185"/>
      <c r="I1186" s="11"/>
    </row>
    <row r="1187" spans="1:12" ht="11.15" customHeight="1">
      <c r="A1187" s="166" t="s">
        <v>2123</v>
      </c>
      <c r="B1187" s="185"/>
      <c r="C1187" s="147"/>
      <c r="D1187" s="129"/>
      <c r="E1187" s="185"/>
      <c r="F1187" s="185"/>
      <c r="G1187" s="185"/>
      <c r="H1187" s="185"/>
      <c r="I1187" s="11"/>
    </row>
    <row r="1188" spans="1:12" ht="9" customHeight="1">
      <c r="A1188" s="295"/>
      <c r="B1188" s="209" t="s">
        <v>2124</v>
      </c>
      <c r="C1188" s="147"/>
      <c r="D1188" s="149"/>
      <c r="E1188" s="210"/>
      <c r="F1188" s="150"/>
      <c r="G1188" s="1190"/>
      <c r="H1188" s="210"/>
      <c r="I1188" s="11"/>
    </row>
    <row r="1189" spans="1:12" ht="9" customHeight="1" thickBot="1">
      <c r="A1189" s="295"/>
      <c r="B1189" s="150" t="s">
        <v>2125</v>
      </c>
      <c r="C1189" s="147"/>
      <c r="D1189" s="149"/>
      <c r="E1189" s="210"/>
      <c r="F1189" s="150"/>
      <c r="G1189" s="1190"/>
      <c r="H1189" s="210"/>
      <c r="I1189" s="11"/>
    </row>
    <row r="1190" spans="1:12" ht="11.15" customHeight="1">
      <c r="A1190" s="153" t="s">
        <v>2126</v>
      </c>
      <c r="B1190" s="59" t="s">
        <v>20411</v>
      </c>
      <c r="C1190" s="147" t="s">
        <v>20221</v>
      </c>
      <c r="D1190" s="284" t="s">
        <v>897</v>
      </c>
      <c r="E1190" s="178">
        <v>2022</v>
      </c>
      <c r="F1190" s="178" t="s">
        <v>23395</v>
      </c>
      <c r="G1190" s="496"/>
      <c r="H1190" s="994" t="s">
        <v>20221</v>
      </c>
      <c r="I1190" s="12" t="s">
        <v>2127</v>
      </c>
      <c r="J1190" s="1285"/>
      <c r="K1190" s="1285"/>
      <c r="L1190" s="1285"/>
    </row>
    <row r="1191" spans="1:12" ht="11.15" customHeight="1" thickBot="1">
      <c r="A1191" s="230" t="s">
        <v>2128</v>
      </c>
      <c r="B1191" s="59" t="s">
        <v>20411</v>
      </c>
      <c r="C1191" s="147" t="s">
        <v>20221</v>
      </c>
      <c r="D1191" s="284" t="s">
        <v>897</v>
      </c>
      <c r="E1191" s="178">
        <v>2021</v>
      </c>
      <c r="F1191" s="178" t="s">
        <v>23395</v>
      </c>
      <c r="G1191" s="496"/>
      <c r="H1191" s="994" t="s">
        <v>20221</v>
      </c>
      <c r="I1191" s="12" t="s">
        <v>2129</v>
      </c>
      <c r="J1191" s="1285"/>
      <c r="K1191" s="1285"/>
      <c r="L1191" s="1285"/>
    </row>
    <row r="1192" spans="1:12" ht="11.15" customHeight="1">
      <c r="A1192" s="29" t="s">
        <v>2130</v>
      </c>
      <c r="B1192" s="59" t="s">
        <v>20411</v>
      </c>
      <c r="C1192" s="147" t="s">
        <v>20221</v>
      </c>
      <c r="D1192" s="284" t="s">
        <v>897</v>
      </c>
      <c r="E1192" s="178">
        <v>2020</v>
      </c>
      <c r="F1192" s="178" t="s">
        <v>23395</v>
      </c>
      <c r="G1192" s="496"/>
      <c r="H1192" s="994" t="s">
        <v>20221</v>
      </c>
      <c r="I1192" s="12" t="s">
        <v>2131</v>
      </c>
      <c r="J1192" s="1285"/>
      <c r="K1192" s="1285"/>
      <c r="L1192" s="1285"/>
    </row>
    <row r="1193" spans="1:12" ht="11.15" customHeight="1">
      <c r="A1193" s="29" t="s">
        <v>2132</v>
      </c>
      <c r="B1193" s="59" t="s">
        <v>20411</v>
      </c>
      <c r="C1193" s="147" t="s">
        <v>20221</v>
      </c>
      <c r="D1193" s="284" t="s">
        <v>897</v>
      </c>
      <c r="E1193" s="178">
        <v>2019</v>
      </c>
      <c r="F1193" s="178" t="s">
        <v>4520</v>
      </c>
      <c r="G1193" s="496"/>
      <c r="H1193" s="994" t="s">
        <v>20221</v>
      </c>
      <c r="I1193" s="12" t="s">
        <v>2133</v>
      </c>
      <c r="J1193" s="1285"/>
      <c r="K1193" s="1285"/>
      <c r="L1193" s="1285"/>
    </row>
    <row r="1194" spans="1:12" ht="11.15" customHeight="1">
      <c r="A1194" s="212" t="s">
        <v>1528</v>
      </c>
      <c r="B1194" s="59" t="s">
        <v>20411</v>
      </c>
      <c r="C1194" s="147" t="s">
        <v>20221</v>
      </c>
      <c r="D1194" s="284" t="s">
        <v>897</v>
      </c>
      <c r="E1194" s="178">
        <v>2018</v>
      </c>
      <c r="F1194" s="178" t="s">
        <v>23395</v>
      </c>
      <c r="G1194" s="496"/>
      <c r="H1194" s="994" t="s">
        <v>20221</v>
      </c>
      <c r="I1194" s="12" t="s">
        <v>2134</v>
      </c>
      <c r="J1194" s="1285"/>
      <c r="K1194" s="1285"/>
      <c r="L1194" s="1285"/>
    </row>
    <row r="1195" spans="1:12" ht="11.15" customHeight="1">
      <c r="A1195" s="129" t="s">
        <v>1529</v>
      </c>
      <c r="B1195" s="59" t="s">
        <v>20411</v>
      </c>
      <c r="C1195" s="147" t="s">
        <v>20221</v>
      </c>
      <c r="D1195" s="284" t="s">
        <v>897</v>
      </c>
      <c r="E1195" s="178">
        <v>2017</v>
      </c>
      <c r="F1195" s="178" t="s">
        <v>23395</v>
      </c>
      <c r="G1195" s="496"/>
      <c r="H1195" s="994" t="s">
        <v>20221</v>
      </c>
      <c r="I1195" s="12" t="s">
        <v>2135</v>
      </c>
      <c r="J1195" s="1285"/>
      <c r="K1195" s="1285"/>
      <c r="L1195" s="1285"/>
    </row>
    <row r="1196" spans="1:12" ht="11.15" customHeight="1">
      <c r="A1196" s="129" t="s">
        <v>2136</v>
      </c>
      <c r="B1196" s="185"/>
      <c r="C1196" s="147"/>
      <c r="D1196" s="129"/>
      <c r="E1196" s="185"/>
      <c r="F1196" s="185"/>
      <c r="G1196" s="185"/>
      <c r="H1196" s="185"/>
      <c r="I1196" s="11"/>
    </row>
    <row r="1197" spans="1:12" ht="11.15" customHeight="1">
      <c r="A1197" s="129" t="s">
        <v>1530</v>
      </c>
      <c r="B1197" s="185"/>
      <c r="C1197" s="147"/>
      <c r="D1197" s="129"/>
      <c r="E1197" s="185"/>
      <c r="F1197" s="185"/>
      <c r="G1197" s="185"/>
      <c r="H1197" s="185"/>
      <c r="I1197" s="11"/>
    </row>
    <row r="1198" spans="1:12" ht="11.15" customHeight="1" thickBot="1">
      <c r="A1198" s="185"/>
      <c r="B1198" s="226"/>
      <c r="C1198" s="147"/>
      <c r="D1198" s="161"/>
      <c r="E1198" s="36"/>
      <c r="F1198" s="178"/>
      <c r="G1198" s="496"/>
      <c r="H1198" s="36"/>
      <c r="I1198" s="11"/>
    </row>
    <row r="1199" spans="1:12" ht="11.15" customHeight="1">
      <c r="A1199" s="153" t="s">
        <v>2137</v>
      </c>
      <c r="B1199" s="59" t="s">
        <v>20412</v>
      </c>
      <c r="C1199" s="147" t="s">
        <v>20221</v>
      </c>
      <c r="D1199" s="284" t="s">
        <v>897</v>
      </c>
      <c r="E1199" s="178">
        <v>2022</v>
      </c>
      <c r="F1199" s="178" t="s">
        <v>4520</v>
      </c>
      <c r="G1199" s="496"/>
      <c r="H1199" s="994" t="s">
        <v>20224</v>
      </c>
      <c r="I1199" s="12" t="s">
        <v>2138</v>
      </c>
      <c r="J1199" s="1285"/>
      <c r="K1199" s="1285"/>
      <c r="L1199" s="1285"/>
    </row>
    <row r="1200" spans="1:12" ht="11.15" customHeight="1" thickBot="1">
      <c r="A1200" s="230" t="s">
        <v>2139</v>
      </c>
      <c r="B1200" s="59" t="s">
        <v>20412</v>
      </c>
      <c r="C1200" s="147" t="s">
        <v>20221</v>
      </c>
      <c r="D1200" s="284" t="s">
        <v>897</v>
      </c>
      <c r="E1200" s="178">
        <v>2021</v>
      </c>
      <c r="F1200" s="178" t="s">
        <v>4520</v>
      </c>
      <c r="G1200" s="496"/>
      <c r="H1200" s="994" t="s">
        <v>20221</v>
      </c>
      <c r="I1200" s="12" t="s">
        <v>2140</v>
      </c>
      <c r="J1200" s="1285"/>
      <c r="K1200" s="1285"/>
      <c r="L1200" s="1285"/>
    </row>
    <row r="1201" spans="1:12" ht="11.15" customHeight="1">
      <c r="A1201" s="29" t="s">
        <v>2141</v>
      </c>
      <c r="B1201" s="59" t="s">
        <v>20412</v>
      </c>
      <c r="C1201" s="147" t="s">
        <v>20221</v>
      </c>
      <c r="D1201" s="284" t="s">
        <v>897</v>
      </c>
      <c r="E1201" s="178">
        <v>2020</v>
      </c>
      <c r="F1201" s="178" t="s">
        <v>4520</v>
      </c>
      <c r="G1201" s="496"/>
      <c r="H1201" s="994" t="s">
        <v>20221</v>
      </c>
      <c r="I1201" s="12" t="s">
        <v>2142</v>
      </c>
      <c r="J1201" s="1285"/>
      <c r="K1201" s="1285"/>
      <c r="L1201" s="1285"/>
    </row>
    <row r="1202" spans="1:12" ht="11.15" customHeight="1">
      <c r="A1202" s="29" t="s">
        <v>2143</v>
      </c>
      <c r="B1202" s="59" t="s">
        <v>20412</v>
      </c>
      <c r="C1202" s="147" t="s">
        <v>20221</v>
      </c>
      <c r="D1202" s="284" t="s">
        <v>897</v>
      </c>
      <c r="E1202" s="178">
        <v>2019</v>
      </c>
      <c r="F1202" s="178" t="s">
        <v>4520</v>
      </c>
      <c r="G1202" s="496"/>
      <c r="H1202" s="994" t="s">
        <v>20221</v>
      </c>
      <c r="I1202" s="12" t="s">
        <v>2144</v>
      </c>
      <c r="J1202" s="1285"/>
      <c r="K1202" s="1285"/>
      <c r="L1202" s="1285"/>
    </row>
    <row r="1203" spans="1:12" ht="11.15" customHeight="1">
      <c r="A1203" s="29" t="s">
        <v>2145</v>
      </c>
      <c r="B1203" s="59" t="s">
        <v>20412</v>
      </c>
      <c r="C1203" s="147" t="s">
        <v>20221</v>
      </c>
      <c r="D1203" s="284" t="s">
        <v>897</v>
      </c>
      <c r="E1203" s="178">
        <v>2018</v>
      </c>
      <c r="F1203" s="178" t="s">
        <v>4520</v>
      </c>
      <c r="G1203" s="496"/>
      <c r="H1203" s="994" t="s">
        <v>20221</v>
      </c>
      <c r="I1203" s="12" t="s">
        <v>2146</v>
      </c>
      <c r="J1203" s="1285"/>
      <c r="K1203" s="1285"/>
      <c r="L1203" s="1285"/>
    </row>
    <row r="1204" spans="1:12" ht="11.15" customHeight="1">
      <c r="A1204" s="29" t="s">
        <v>2147</v>
      </c>
      <c r="B1204" s="59" t="s">
        <v>20412</v>
      </c>
      <c r="C1204" s="147" t="s">
        <v>20221</v>
      </c>
      <c r="D1204" s="284" t="s">
        <v>897</v>
      </c>
      <c r="E1204" s="178">
        <v>2017</v>
      </c>
      <c r="F1204" s="178" t="s">
        <v>4520</v>
      </c>
      <c r="G1204" s="496"/>
      <c r="H1204" s="994" t="s">
        <v>20224</v>
      </c>
      <c r="I1204" s="12" t="s">
        <v>2148</v>
      </c>
      <c r="J1204" s="1285"/>
      <c r="K1204" s="1285"/>
      <c r="L1204" s="1285"/>
    </row>
    <row r="1205" spans="1:12" ht="11.15" customHeight="1">
      <c r="A1205" s="29" t="s">
        <v>2149</v>
      </c>
      <c r="B1205" s="59" t="s">
        <v>20412</v>
      </c>
      <c r="C1205" s="147" t="s">
        <v>20221</v>
      </c>
      <c r="D1205" s="284" t="s">
        <v>897</v>
      </c>
      <c r="E1205" s="178">
        <v>2012</v>
      </c>
      <c r="F1205" s="178" t="s">
        <v>4520</v>
      </c>
      <c r="G1205" s="496"/>
      <c r="H1205" s="994" t="s">
        <v>20224</v>
      </c>
      <c r="I1205" s="12" t="s">
        <v>2150</v>
      </c>
      <c r="J1205" s="1285"/>
      <c r="K1205" s="1285"/>
      <c r="L1205" s="1285"/>
    </row>
    <row r="1206" spans="1:12" ht="11.15" customHeight="1">
      <c r="A1206" s="29" t="s">
        <v>2151</v>
      </c>
      <c r="B1206" s="90"/>
      <c r="C1206" s="147"/>
      <c r="D1206" s="161"/>
      <c r="E1206" s="36"/>
      <c r="F1206" s="178"/>
      <c r="G1206" s="671"/>
      <c r="H1206" s="36"/>
      <c r="I1206" s="11"/>
    </row>
    <row r="1207" spans="1:12" ht="11.15" customHeight="1">
      <c r="A1207" s="129" t="s">
        <v>903</v>
      </c>
      <c r="B1207" s="90"/>
      <c r="C1207" s="147"/>
      <c r="D1207" s="161"/>
      <c r="E1207" s="36"/>
      <c r="F1207" s="178"/>
      <c r="G1207" s="671"/>
      <c r="H1207" s="36"/>
      <c r="I1207" s="11"/>
    </row>
    <row r="1208" spans="1:12" ht="9" customHeight="1">
      <c r="A1208" s="162" t="s">
        <v>2152</v>
      </c>
      <c r="B1208" s="90"/>
      <c r="C1208" s="147"/>
      <c r="D1208" s="161"/>
      <c r="E1208" s="36"/>
      <c r="F1208" s="178"/>
      <c r="G1208" s="671"/>
      <c r="H1208" s="36"/>
      <c r="I1208" s="11"/>
    </row>
    <row r="1209" spans="1:12" ht="9" customHeight="1">
      <c r="A1209" s="162" t="s">
        <v>2153</v>
      </c>
      <c r="B1209" s="90"/>
      <c r="C1209" s="147"/>
      <c r="D1209" s="161"/>
      <c r="E1209" s="36"/>
      <c r="F1209" s="178"/>
      <c r="G1209" s="671"/>
      <c r="H1209" s="36"/>
      <c r="I1209" s="11"/>
    </row>
    <row r="1210" spans="1:12" ht="9" customHeight="1">
      <c r="A1210" s="162" t="s">
        <v>2154</v>
      </c>
      <c r="B1210" s="90"/>
      <c r="C1210" s="147"/>
      <c r="D1210" s="161"/>
      <c r="E1210" s="36"/>
      <c r="F1210" s="178"/>
      <c r="G1210" s="671"/>
      <c r="H1210" s="36"/>
      <c r="I1210" s="11"/>
    </row>
    <row r="1211" spans="1:12" ht="9" customHeight="1">
      <c r="A1211" s="162" t="s">
        <v>2155</v>
      </c>
      <c r="B1211" s="90"/>
      <c r="C1211" s="147"/>
      <c r="D1211" s="161"/>
      <c r="E1211" s="36"/>
      <c r="F1211" s="178"/>
      <c r="G1211" s="671"/>
      <c r="H1211" s="36"/>
      <c r="I1211" s="11"/>
    </row>
    <row r="1212" spans="1:12" ht="9" customHeight="1">
      <c r="A1212" s="162" t="s">
        <v>2156</v>
      </c>
      <c r="B1212" s="90"/>
      <c r="C1212" s="147"/>
      <c r="D1212" s="161"/>
      <c r="E1212" s="36"/>
      <c r="F1212" s="178"/>
      <c r="G1212" s="671"/>
      <c r="H1212" s="36"/>
      <c r="I1212" s="11"/>
    </row>
    <row r="1213" spans="1:12" ht="9" customHeight="1">
      <c r="A1213" s="162" t="s">
        <v>2157</v>
      </c>
      <c r="B1213" s="90"/>
      <c r="C1213" s="147"/>
      <c r="D1213" s="161"/>
      <c r="E1213" s="36"/>
      <c r="F1213" s="178"/>
      <c r="G1213" s="671"/>
      <c r="H1213" s="36"/>
      <c r="I1213" s="11"/>
    </row>
    <row r="1214" spans="1:12" ht="9" customHeight="1">
      <c r="A1214" s="162" t="s">
        <v>2158</v>
      </c>
      <c r="B1214" s="90"/>
      <c r="C1214" s="147"/>
      <c r="D1214" s="161"/>
      <c r="E1214" s="36"/>
      <c r="F1214" s="178"/>
      <c r="G1214" s="671"/>
      <c r="H1214" s="36"/>
      <c r="I1214" s="11"/>
    </row>
    <row r="1215" spans="1:12" ht="9" customHeight="1">
      <c r="A1215" s="162" t="s">
        <v>2159</v>
      </c>
      <c r="B1215" s="90"/>
      <c r="C1215" s="147"/>
      <c r="D1215" s="161"/>
      <c r="E1215" s="36"/>
      <c r="F1215" s="178"/>
      <c r="G1215" s="671"/>
      <c r="H1215" s="36"/>
      <c r="I1215" s="11"/>
    </row>
    <row r="1216" spans="1:12" ht="9" customHeight="1">
      <c r="A1216" s="162" t="s">
        <v>2160</v>
      </c>
      <c r="B1216" s="90"/>
      <c r="C1216" s="147"/>
      <c r="D1216" s="161"/>
      <c r="E1216" s="36"/>
      <c r="F1216" s="178"/>
      <c r="G1216" s="671"/>
      <c r="H1216" s="36"/>
      <c r="I1216" s="11"/>
    </row>
    <row r="1217" spans="1:12" ht="11.15" customHeight="1">
      <c r="A1217" s="29" t="s">
        <v>1696</v>
      </c>
      <c r="B1217" s="90"/>
      <c r="C1217" s="147"/>
      <c r="D1217" s="161"/>
      <c r="E1217" s="36"/>
      <c r="F1217" s="178"/>
      <c r="G1217" s="671"/>
      <c r="H1217" s="36"/>
      <c r="I1217" s="11"/>
    </row>
    <row r="1218" spans="1:12" ht="11.15" customHeight="1">
      <c r="A1218" s="29" t="s">
        <v>2161</v>
      </c>
      <c r="B1218" s="90"/>
      <c r="C1218" s="147"/>
      <c r="D1218" s="161"/>
      <c r="E1218" s="36"/>
      <c r="F1218" s="178"/>
      <c r="G1218" s="671"/>
      <c r="H1218" s="36"/>
      <c r="I1218" s="11"/>
    </row>
    <row r="1219" spans="1:12" ht="11.15" customHeight="1">
      <c r="A1219" s="166" t="s">
        <v>2162</v>
      </c>
      <c r="B1219" s="90"/>
      <c r="C1219" s="147"/>
      <c r="D1219" s="161"/>
      <c r="E1219" s="36"/>
      <c r="F1219" s="178"/>
      <c r="G1219" s="671"/>
      <c r="H1219" s="36"/>
      <c r="I1219" s="11"/>
    </row>
    <row r="1220" spans="1:12" ht="11.15" customHeight="1">
      <c r="A1220" s="129" t="s">
        <v>2163</v>
      </c>
      <c r="B1220" s="90"/>
      <c r="C1220" s="147"/>
      <c r="D1220" s="161"/>
      <c r="E1220" s="36"/>
      <c r="F1220" s="178"/>
      <c r="G1220" s="671"/>
      <c r="H1220" s="36"/>
      <c r="I1220" s="11"/>
    </row>
    <row r="1221" spans="1:12" ht="11.15" customHeight="1">
      <c r="A1221" s="129" t="s">
        <v>2164</v>
      </c>
      <c r="B1221" s="90"/>
      <c r="C1221" s="147"/>
      <c r="D1221" s="161"/>
      <c r="E1221" s="36"/>
      <c r="F1221" s="178"/>
      <c r="G1221" s="496"/>
      <c r="H1221" s="36"/>
      <c r="I1221" s="11"/>
    </row>
    <row r="1222" spans="1:12" ht="11.15" customHeight="1" thickBot="1">
      <c r="A1222" s="185"/>
      <c r="B1222" s="90"/>
      <c r="C1222" s="147"/>
      <c r="D1222" s="129"/>
      <c r="E1222" s="185"/>
      <c r="F1222" s="185"/>
      <c r="G1222" s="185"/>
      <c r="H1222" s="185"/>
      <c r="I1222" s="11"/>
    </row>
    <row r="1223" spans="1:12" ht="11.15" customHeight="1" thickBot="1">
      <c r="A1223" s="184" t="s">
        <v>2165</v>
      </c>
      <c r="B1223" s="59" t="s">
        <v>20413</v>
      </c>
      <c r="C1223" s="147" t="s">
        <v>20221</v>
      </c>
      <c r="D1223" s="284" t="s">
        <v>897</v>
      </c>
      <c r="E1223" s="178">
        <v>2022</v>
      </c>
      <c r="F1223" s="178" t="s">
        <v>4520</v>
      </c>
      <c r="G1223" s="496"/>
      <c r="H1223" s="994" t="s">
        <v>20224</v>
      </c>
      <c r="I1223" s="12" t="s">
        <v>23363</v>
      </c>
      <c r="J1223" s="1285"/>
      <c r="K1223" s="1285"/>
      <c r="L1223" s="1285"/>
    </row>
    <row r="1224" spans="1:12" ht="11.15" customHeight="1">
      <c r="A1224" s="29" t="s">
        <v>2166</v>
      </c>
      <c r="B1224" s="59" t="s">
        <v>20413</v>
      </c>
      <c r="C1224" s="147" t="s">
        <v>20221</v>
      </c>
      <c r="D1224" s="284" t="s">
        <v>897</v>
      </c>
      <c r="E1224" s="178">
        <v>2021</v>
      </c>
      <c r="F1224" s="178" t="s">
        <v>4520</v>
      </c>
      <c r="G1224" s="496"/>
      <c r="H1224" s="994" t="s">
        <v>20221</v>
      </c>
      <c r="I1224" s="12" t="s">
        <v>2167</v>
      </c>
      <c r="J1224" s="1285"/>
      <c r="K1224" s="1285"/>
      <c r="L1224" s="1285"/>
    </row>
    <row r="1225" spans="1:12" ht="11.15" customHeight="1">
      <c r="A1225" s="29" t="s">
        <v>2168</v>
      </c>
      <c r="B1225" s="90"/>
      <c r="C1225" s="147"/>
      <c r="D1225" s="161"/>
      <c r="E1225" s="36"/>
      <c r="F1225" s="178"/>
      <c r="G1225" s="496"/>
      <c r="H1225" s="36"/>
      <c r="I1225" s="11"/>
    </row>
    <row r="1226" spans="1:12" ht="11.15" customHeight="1">
      <c r="A1226" s="29" t="s">
        <v>2169</v>
      </c>
      <c r="B1226" s="90"/>
      <c r="C1226" s="147"/>
      <c r="D1226" s="161"/>
      <c r="E1226" s="36"/>
      <c r="F1226" s="178"/>
      <c r="G1226" s="496"/>
      <c r="H1226" s="36"/>
      <c r="I1226" s="11"/>
    </row>
    <row r="1227" spans="1:12" ht="11.15" customHeight="1">
      <c r="A1227" s="29" t="s">
        <v>2170</v>
      </c>
      <c r="B1227" s="185"/>
      <c r="C1227" s="147"/>
      <c r="D1227" s="161"/>
      <c r="E1227" s="36"/>
      <c r="F1227" s="178"/>
      <c r="G1227" s="496"/>
      <c r="H1227" s="36"/>
      <c r="I1227" s="11"/>
    </row>
    <row r="1228" spans="1:12" ht="11.15" customHeight="1">
      <c r="A1228" s="29" t="s">
        <v>2171</v>
      </c>
      <c r="B1228" s="185"/>
      <c r="C1228" s="147"/>
      <c r="D1228" s="161"/>
      <c r="E1228" s="36"/>
      <c r="F1228" s="178"/>
      <c r="G1228" s="496"/>
      <c r="H1228" s="36"/>
      <c r="I1228" s="11"/>
    </row>
    <row r="1229" spans="1:12" ht="11.15" customHeight="1">
      <c r="A1229" s="272" t="s">
        <v>2172</v>
      </c>
      <c r="B1229" s="90"/>
      <c r="C1229" s="147"/>
      <c r="D1229" s="161"/>
      <c r="E1229" s="36"/>
      <c r="F1229" s="178"/>
      <c r="G1229" s="496"/>
      <c r="H1229" s="36"/>
      <c r="I1229" s="11"/>
    </row>
    <row r="1230" spans="1:12" ht="11.15" customHeight="1">
      <c r="A1230" s="58" t="s">
        <v>2173</v>
      </c>
      <c r="B1230" s="90"/>
      <c r="C1230" s="147"/>
      <c r="D1230" s="161"/>
      <c r="E1230" s="36"/>
      <c r="F1230" s="178"/>
      <c r="G1230" s="496"/>
      <c r="H1230" s="36"/>
      <c r="I1230" s="11"/>
    </row>
    <row r="1231" spans="1:12" ht="11.15" customHeight="1">
      <c r="A1231" s="272" t="s">
        <v>2174</v>
      </c>
      <c r="B1231" s="90"/>
      <c r="C1231" s="147"/>
      <c r="D1231" s="161"/>
      <c r="E1231" s="36"/>
      <c r="F1231" s="178"/>
      <c r="G1231" s="496"/>
      <c r="H1231" s="36"/>
      <c r="I1231" s="11"/>
    </row>
    <row r="1232" spans="1:12" ht="11.15" customHeight="1">
      <c r="A1232" s="296" t="s">
        <v>1595</v>
      </c>
      <c r="B1232" s="90"/>
      <c r="C1232" s="147"/>
      <c r="D1232" s="161"/>
      <c r="E1232" s="36"/>
      <c r="F1232" s="178"/>
      <c r="G1232" s="496"/>
      <c r="H1232" s="36"/>
      <c r="I1232" s="11"/>
    </row>
    <row r="1233" spans="1:12" ht="11.15" customHeight="1">
      <c r="A1233" s="58" t="s">
        <v>2175</v>
      </c>
      <c r="B1233" s="90"/>
      <c r="C1233" s="147"/>
      <c r="D1233" s="161"/>
      <c r="E1233" s="36"/>
      <c r="F1233" s="178"/>
      <c r="G1233" s="496"/>
      <c r="H1233" s="36"/>
      <c r="I1233" s="11"/>
    </row>
    <row r="1234" spans="1:12" ht="11.15" customHeight="1">
      <c r="A1234" s="166" t="s">
        <v>2176</v>
      </c>
      <c r="B1234" s="90"/>
      <c r="C1234" s="147"/>
      <c r="D1234" s="161"/>
      <c r="E1234" s="36"/>
      <c r="F1234" s="178"/>
      <c r="G1234" s="496"/>
      <c r="H1234" s="36"/>
      <c r="I1234" s="11"/>
    </row>
    <row r="1235" spans="1:12" ht="11.15" customHeight="1">
      <c r="A1235" s="166" t="s">
        <v>2177</v>
      </c>
      <c r="B1235" s="90"/>
      <c r="C1235" s="147"/>
      <c r="D1235" s="161"/>
      <c r="E1235" s="36"/>
      <c r="F1235" s="178"/>
      <c r="G1235" s="496"/>
      <c r="H1235" s="36"/>
      <c r="I1235" s="11"/>
    </row>
    <row r="1236" spans="1:12" ht="11.15" customHeight="1">
      <c r="A1236" s="129" t="s">
        <v>916</v>
      </c>
      <c r="B1236" s="90"/>
      <c r="C1236" s="147"/>
      <c r="D1236" s="161"/>
      <c r="E1236" s="36"/>
      <c r="F1236" s="178"/>
      <c r="G1236" s="671"/>
      <c r="H1236" s="36"/>
      <c r="I1236" s="11"/>
    </row>
    <row r="1237" spans="1:12" ht="11.15" customHeight="1">
      <c r="A1237" s="129" t="s">
        <v>2178</v>
      </c>
      <c r="B1237" s="90"/>
      <c r="C1237" s="147"/>
      <c r="D1237" s="122"/>
      <c r="E1237" s="36"/>
      <c r="F1237" s="178"/>
      <c r="G1237" s="60"/>
      <c r="H1237" s="36"/>
      <c r="I1237" s="11"/>
    </row>
    <row r="1238" spans="1:12" ht="12" customHeight="1" thickBot="1">
      <c r="A1238" s="29"/>
      <c r="B1238" s="90"/>
      <c r="C1238" s="147"/>
      <c r="D1238" s="161"/>
      <c r="E1238" s="36"/>
      <c r="F1238" s="178"/>
      <c r="G1238" s="496"/>
      <c r="H1238" s="36"/>
      <c r="I1238" s="11"/>
    </row>
    <row r="1239" spans="1:12" ht="11.15" customHeight="1" thickBot="1">
      <c r="A1239" s="184" t="s">
        <v>2179</v>
      </c>
      <c r="B1239" s="59" t="s">
        <v>20414</v>
      </c>
      <c r="C1239" s="147" t="s">
        <v>20221</v>
      </c>
      <c r="D1239" s="284" t="s">
        <v>897</v>
      </c>
      <c r="E1239" s="178">
        <v>2023</v>
      </c>
      <c r="F1239" s="178" t="s">
        <v>4520</v>
      </c>
      <c r="G1239" s="496"/>
      <c r="H1239" s="994" t="s">
        <v>20343</v>
      </c>
      <c r="I1239" s="12" t="s">
        <v>2180</v>
      </c>
      <c r="J1239" s="1285"/>
      <c r="K1239" s="1285"/>
      <c r="L1239" s="1285"/>
    </row>
    <row r="1240" spans="1:12" ht="11.15" customHeight="1">
      <c r="A1240" s="29" t="s">
        <v>42</v>
      </c>
      <c r="B1240" s="59" t="s">
        <v>20414</v>
      </c>
      <c r="C1240" s="147" t="s">
        <v>20221</v>
      </c>
      <c r="D1240" s="284" t="s">
        <v>897</v>
      </c>
      <c r="E1240" s="178">
        <v>2022</v>
      </c>
      <c r="F1240" s="178" t="s">
        <v>4520</v>
      </c>
      <c r="G1240" s="496"/>
      <c r="H1240" s="994" t="s">
        <v>20221</v>
      </c>
      <c r="I1240" s="12" t="s">
        <v>2181</v>
      </c>
      <c r="J1240" s="1285"/>
      <c r="K1240" s="1285"/>
      <c r="L1240" s="1285"/>
    </row>
    <row r="1241" spans="1:12" ht="11.15" customHeight="1">
      <c r="A1241" s="29" t="s">
        <v>2182</v>
      </c>
      <c r="B1241" s="59" t="s">
        <v>20414</v>
      </c>
      <c r="C1241" s="147" t="s">
        <v>20221</v>
      </c>
      <c r="D1241" s="284" t="s">
        <v>897</v>
      </c>
      <c r="E1241" s="178">
        <v>2021</v>
      </c>
      <c r="F1241" s="178" t="s">
        <v>4520</v>
      </c>
      <c r="G1241" s="496"/>
      <c r="H1241" s="994" t="s">
        <v>20221</v>
      </c>
      <c r="I1241" s="12" t="s">
        <v>2183</v>
      </c>
      <c r="J1241" s="1285"/>
      <c r="K1241" s="1285"/>
      <c r="L1241" s="1285"/>
    </row>
    <row r="1242" spans="1:12" ht="11.15" customHeight="1">
      <c r="A1242" s="166" t="s">
        <v>2184</v>
      </c>
      <c r="B1242" s="59" t="s">
        <v>20414</v>
      </c>
      <c r="C1242" s="147" t="s">
        <v>20221</v>
      </c>
      <c r="D1242" s="284" t="s">
        <v>897</v>
      </c>
      <c r="E1242" s="178">
        <v>2020</v>
      </c>
      <c r="F1242" s="178" t="s">
        <v>4520</v>
      </c>
      <c r="G1242" s="496"/>
      <c r="H1242" s="994" t="s">
        <v>20221</v>
      </c>
      <c r="I1242" s="12" t="s">
        <v>2185</v>
      </c>
      <c r="J1242" s="1285"/>
      <c r="K1242" s="1285"/>
      <c r="L1242" s="1285"/>
    </row>
    <row r="1243" spans="1:12" ht="11.15" customHeight="1">
      <c r="A1243" s="129" t="s">
        <v>2186</v>
      </c>
      <c r="B1243" s="59" t="s">
        <v>20414</v>
      </c>
      <c r="C1243" s="147" t="s">
        <v>20221</v>
      </c>
      <c r="D1243" s="284" t="s">
        <v>897</v>
      </c>
      <c r="E1243" s="178">
        <v>2019</v>
      </c>
      <c r="F1243" s="178" t="s">
        <v>4520</v>
      </c>
      <c r="G1243" s="496"/>
      <c r="H1243" s="994" t="s">
        <v>20221</v>
      </c>
      <c r="I1243" s="12" t="s">
        <v>2187</v>
      </c>
      <c r="J1243" s="1285"/>
      <c r="K1243" s="1285"/>
      <c r="L1243" s="1285"/>
    </row>
    <row r="1244" spans="1:12" ht="12" customHeight="1" thickBot="1">
      <c r="A1244" s="29"/>
      <c r="B1244" s="90"/>
      <c r="C1244" s="147"/>
      <c r="D1244" s="161"/>
      <c r="E1244" s="36"/>
      <c r="F1244" s="178"/>
      <c r="G1244" s="496"/>
      <c r="H1244" s="36"/>
      <c r="I1244" s="11"/>
    </row>
    <row r="1245" spans="1:12" ht="11.15" customHeight="1" thickBot="1">
      <c r="A1245" s="184" t="s">
        <v>2188</v>
      </c>
      <c r="B1245" s="59" t="s">
        <v>20415</v>
      </c>
      <c r="C1245" s="147" t="s">
        <v>20221</v>
      </c>
      <c r="D1245" s="284" t="s">
        <v>897</v>
      </c>
      <c r="E1245" s="178">
        <v>2020</v>
      </c>
      <c r="F1245" s="178" t="s">
        <v>4520</v>
      </c>
      <c r="G1245" s="496"/>
      <c r="H1245" s="994" t="s">
        <v>20221</v>
      </c>
      <c r="I1245" s="12" t="s">
        <v>2189</v>
      </c>
      <c r="J1245" s="1285"/>
      <c r="K1245" s="1285"/>
      <c r="L1245" s="1285"/>
    </row>
    <row r="1246" spans="1:12" ht="11.15" customHeight="1">
      <c r="A1246" s="104" t="s">
        <v>2190</v>
      </c>
      <c r="B1246" s="90"/>
      <c r="C1246" s="147"/>
      <c r="D1246" s="161"/>
      <c r="E1246" s="36"/>
      <c r="F1246" s="178"/>
      <c r="G1246" s="496"/>
      <c r="H1246" s="36"/>
      <c r="I1246" s="11"/>
    </row>
    <row r="1247" spans="1:12" ht="11.15" customHeight="1">
      <c r="A1247" s="58" t="s">
        <v>2191</v>
      </c>
      <c r="B1247" s="185"/>
      <c r="C1247" s="147"/>
      <c r="D1247" s="161"/>
      <c r="E1247" s="36"/>
      <c r="F1247" s="178"/>
      <c r="G1247" s="496"/>
      <c r="H1247" s="36"/>
      <c r="I1247" s="11"/>
    </row>
    <row r="1248" spans="1:12" ht="11.15" customHeight="1">
      <c r="A1248" s="29" t="s">
        <v>2192</v>
      </c>
      <c r="B1248" s="90"/>
      <c r="C1248" s="147"/>
      <c r="D1248" s="161"/>
      <c r="E1248" s="36"/>
      <c r="F1248" s="178"/>
      <c r="G1248" s="496"/>
      <c r="H1248" s="36"/>
      <c r="I1248" s="11"/>
    </row>
    <row r="1249" spans="1:12" ht="11.15" customHeight="1">
      <c r="A1249" s="29" t="s">
        <v>2193</v>
      </c>
      <c r="B1249" s="90"/>
      <c r="C1249" s="147"/>
      <c r="D1249" s="161"/>
      <c r="E1249" s="36"/>
      <c r="F1249" s="178"/>
      <c r="G1249" s="496"/>
      <c r="H1249" s="36"/>
      <c r="I1249" s="11"/>
    </row>
    <row r="1250" spans="1:12" ht="11.15" customHeight="1">
      <c r="A1250" s="181" t="s">
        <v>2194</v>
      </c>
      <c r="B1250" s="90"/>
      <c r="C1250" s="147"/>
      <c r="D1250" s="161"/>
      <c r="E1250" s="36"/>
      <c r="F1250" s="178"/>
      <c r="G1250" s="496"/>
      <c r="H1250" s="36"/>
      <c r="I1250" s="11"/>
    </row>
    <row r="1251" spans="1:12" ht="11.15" customHeight="1">
      <c r="A1251" s="166" t="s">
        <v>2195</v>
      </c>
      <c r="B1251" s="90"/>
      <c r="C1251" s="147"/>
      <c r="D1251" s="161"/>
      <c r="E1251" s="36"/>
      <c r="F1251" s="178"/>
      <c r="G1251" s="496"/>
      <c r="H1251" s="36"/>
      <c r="I1251" s="11"/>
    </row>
    <row r="1252" spans="1:12" ht="11.15" customHeight="1" thickBot="1">
      <c r="A1252" s="185"/>
      <c r="B1252" s="90"/>
      <c r="C1252" s="147"/>
      <c r="D1252" s="161"/>
      <c r="E1252" s="36"/>
      <c r="F1252" s="178"/>
      <c r="G1252" s="496"/>
      <c r="H1252" s="36"/>
      <c r="I1252" s="11"/>
    </row>
    <row r="1253" spans="1:12" ht="24" customHeight="1">
      <c r="A1253" s="297"/>
      <c r="B1253" s="298" t="s">
        <v>2196</v>
      </c>
      <c r="C1253" s="191"/>
      <c r="D1253" s="299"/>
      <c r="E1253" s="300"/>
      <c r="F1253" s="1067"/>
      <c r="G1253" s="1198"/>
      <c r="H1253" s="1129"/>
      <c r="I1253" s="11"/>
    </row>
    <row r="1254" spans="1:12" ht="24" customHeight="1" thickBot="1">
      <c r="A1254" s="301"/>
      <c r="B1254" s="302" t="s">
        <v>2197</v>
      </c>
      <c r="C1254" s="203"/>
      <c r="D1254" s="303"/>
      <c r="E1254" s="304"/>
      <c r="F1254" s="1068"/>
      <c r="G1254" s="1199"/>
      <c r="H1254" s="1130"/>
      <c r="I1254" s="11"/>
    </row>
    <row r="1255" spans="1:12" ht="11.15" customHeight="1">
      <c r="A1255" s="256" t="s">
        <v>1441</v>
      </c>
      <c r="B1255" s="257"/>
      <c r="C1255" s="258"/>
      <c r="D1255" s="259"/>
      <c r="E1255" s="260"/>
      <c r="F1255" s="257"/>
      <c r="G1255" s="1195"/>
      <c r="H1255" s="1159"/>
      <c r="I1255" s="11"/>
    </row>
    <row r="1256" spans="1:12" ht="11.15" customHeight="1">
      <c r="A1256" s="261" t="s">
        <v>1442</v>
      </c>
      <c r="B1256" s="262"/>
      <c r="C1256" s="263"/>
      <c r="D1256" s="264"/>
      <c r="E1256" s="265"/>
      <c r="F1256" s="262"/>
      <c r="G1256" s="1196"/>
      <c r="H1256" s="1160"/>
      <c r="I1256" s="11"/>
    </row>
    <row r="1257" spans="1:12" ht="11.15" customHeight="1" thickBot="1">
      <c r="A1257" s="261" t="s">
        <v>1443</v>
      </c>
      <c r="B1257" s="262"/>
      <c r="C1257" s="263"/>
      <c r="D1257" s="264"/>
      <c r="E1257" s="265"/>
      <c r="F1257" s="262"/>
      <c r="G1257" s="1200"/>
      <c r="H1257" s="1162"/>
      <c r="I1257" s="11"/>
    </row>
    <row r="1258" spans="1:12" ht="11.15" customHeight="1">
      <c r="A1258" s="305"/>
      <c r="B1258" s="306"/>
      <c r="C1258" s="191"/>
      <c r="D1258" s="307"/>
      <c r="E1258" s="31"/>
      <c r="F1258" s="1069"/>
      <c r="G1258" s="1201"/>
      <c r="H1258" s="308"/>
      <c r="I1258" s="11"/>
    </row>
    <row r="1259" spans="1:12" ht="24" customHeight="1">
      <c r="A1259" s="309"/>
      <c r="B1259" s="310" t="s">
        <v>2198</v>
      </c>
      <c r="C1259" s="311"/>
      <c r="D1259" s="312"/>
      <c r="E1259" s="313"/>
      <c r="F1259" s="1070"/>
      <c r="G1259" s="1202"/>
      <c r="H1259" s="313"/>
      <c r="I1259" s="11"/>
    </row>
    <row r="1260" spans="1:12" ht="11.25" customHeight="1" thickBot="1">
      <c r="A1260" s="185"/>
      <c r="B1260" s="209" t="s">
        <v>2199</v>
      </c>
      <c r="C1260" s="147"/>
      <c r="D1260" s="122"/>
      <c r="E1260" s="36"/>
      <c r="F1260" s="178"/>
      <c r="G1260" s="60"/>
      <c r="H1260" s="36"/>
      <c r="I1260" s="11"/>
    </row>
    <row r="1261" spans="1:12" ht="11.15" customHeight="1">
      <c r="A1261" s="153" t="s">
        <v>2139</v>
      </c>
      <c r="B1261" s="177" t="s">
        <v>2200</v>
      </c>
      <c r="C1261" s="147"/>
      <c r="D1261" s="129"/>
      <c r="E1261" s="185"/>
      <c r="F1261" s="185"/>
      <c r="G1261" s="185"/>
      <c r="H1261" s="185"/>
      <c r="I1261" s="11"/>
    </row>
    <row r="1262" spans="1:12" ht="11.15" customHeight="1" thickBot="1">
      <c r="A1262" s="230" t="s">
        <v>2201</v>
      </c>
      <c r="B1262" s="59" t="s">
        <v>20417</v>
      </c>
      <c r="C1262" s="147" t="s">
        <v>20221</v>
      </c>
      <c r="D1262" s="284" t="s">
        <v>897</v>
      </c>
      <c r="E1262" s="178">
        <v>2022</v>
      </c>
      <c r="F1262" s="178" t="s">
        <v>4520</v>
      </c>
      <c r="G1262" s="496"/>
      <c r="H1262" s="994" t="s">
        <v>20221</v>
      </c>
      <c r="I1262" s="12" t="s">
        <v>2202</v>
      </c>
      <c r="J1262" s="1285"/>
      <c r="K1262" s="1285"/>
      <c r="L1262" s="1285"/>
    </row>
    <row r="1263" spans="1:12" ht="11.15" customHeight="1">
      <c r="A1263" s="29" t="s">
        <v>2203</v>
      </c>
      <c r="B1263" s="59" t="s">
        <v>20417</v>
      </c>
      <c r="C1263" s="147" t="s">
        <v>20221</v>
      </c>
      <c r="D1263" s="284" t="s">
        <v>897</v>
      </c>
      <c r="E1263" s="178">
        <v>2021</v>
      </c>
      <c r="F1263" s="178" t="s">
        <v>4520</v>
      </c>
      <c r="G1263" s="496"/>
      <c r="H1263" s="994" t="s">
        <v>20221</v>
      </c>
      <c r="I1263" s="12" t="s">
        <v>2204</v>
      </c>
      <c r="J1263" s="1285"/>
      <c r="K1263" s="1285"/>
      <c r="L1263" s="1285"/>
    </row>
    <row r="1264" spans="1:12" ht="11.15" customHeight="1">
      <c r="A1264" s="29" t="s">
        <v>2143</v>
      </c>
      <c r="B1264" s="59" t="s">
        <v>20417</v>
      </c>
      <c r="C1264" s="147" t="s">
        <v>20221</v>
      </c>
      <c r="D1264" s="284" t="s">
        <v>897</v>
      </c>
      <c r="E1264" s="178">
        <v>2019</v>
      </c>
      <c r="F1264" s="178" t="s">
        <v>4520</v>
      </c>
      <c r="G1264" s="496"/>
      <c r="H1264" s="994" t="s">
        <v>20221</v>
      </c>
      <c r="I1264" s="12" t="s">
        <v>2205</v>
      </c>
      <c r="J1264" s="1285"/>
      <c r="K1264" s="1285"/>
      <c r="L1264" s="1285"/>
    </row>
    <row r="1265" spans="1:12" ht="11.15" customHeight="1">
      <c r="A1265" s="29" t="s">
        <v>2206</v>
      </c>
      <c r="B1265" s="59" t="s">
        <v>20417</v>
      </c>
      <c r="C1265" s="147" t="s">
        <v>20221</v>
      </c>
      <c r="D1265" s="284" t="s">
        <v>897</v>
      </c>
      <c r="E1265" s="178">
        <v>2018</v>
      </c>
      <c r="F1265" s="178" t="s">
        <v>4520</v>
      </c>
      <c r="G1265" s="496"/>
      <c r="H1265" s="994" t="s">
        <v>20221</v>
      </c>
      <c r="I1265" s="12" t="s">
        <v>2207</v>
      </c>
      <c r="J1265" s="1285"/>
      <c r="K1265" s="1285"/>
      <c r="L1265" s="1285"/>
    </row>
    <row r="1266" spans="1:12" ht="11.15" customHeight="1">
      <c r="A1266" s="29" t="s">
        <v>2208</v>
      </c>
      <c r="B1266" s="59" t="s">
        <v>20417</v>
      </c>
      <c r="C1266" s="147" t="s">
        <v>20221</v>
      </c>
      <c r="D1266" s="284" t="s">
        <v>897</v>
      </c>
      <c r="E1266" s="178">
        <v>2017</v>
      </c>
      <c r="F1266" s="178" t="s">
        <v>4520</v>
      </c>
      <c r="G1266" s="496"/>
      <c r="H1266" s="994" t="s">
        <v>20224</v>
      </c>
      <c r="I1266" s="12" t="s">
        <v>2209</v>
      </c>
      <c r="J1266" s="1285"/>
      <c r="K1266" s="1285"/>
      <c r="L1266" s="1285"/>
    </row>
    <row r="1267" spans="1:12" ht="11.15" customHeight="1">
      <c r="A1267" s="29" t="s">
        <v>2210</v>
      </c>
      <c r="B1267" s="59" t="s">
        <v>20417</v>
      </c>
      <c r="C1267" s="147" t="s">
        <v>20221</v>
      </c>
      <c r="D1267" s="284" t="s">
        <v>897</v>
      </c>
      <c r="E1267" s="178">
        <v>2016</v>
      </c>
      <c r="F1267" s="178" t="s">
        <v>4520</v>
      </c>
      <c r="G1267" s="496"/>
      <c r="H1267" s="994" t="s">
        <v>20221</v>
      </c>
      <c r="I1267" s="12" t="s">
        <v>2211</v>
      </c>
      <c r="J1267" s="1285"/>
      <c r="K1267" s="1285"/>
      <c r="L1267" s="1285"/>
    </row>
    <row r="1268" spans="1:12" ht="11.15" customHeight="1">
      <c r="A1268" s="29" t="s">
        <v>2212</v>
      </c>
      <c r="B1268" s="59" t="s">
        <v>20417</v>
      </c>
      <c r="C1268" s="147" t="s">
        <v>20221</v>
      </c>
      <c r="D1268" s="284" t="s">
        <v>897</v>
      </c>
      <c r="E1268" s="178">
        <v>2015</v>
      </c>
      <c r="F1268" s="178" t="s">
        <v>23395</v>
      </c>
      <c r="G1268" s="496"/>
      <c r="H1268" s="994" t="s">
        <v>20221</v>
      </c>
      <c r="I1268" s="12" t="s">
        <v>2213</v>
      </c>
      <c r="J1268" s="1285"/>
      <c r="K1268" s="1285"/>
      <c r="L1268" s="1285"/>
    </row>
    <row r="1269" spans="1:12" ht="11.15" customHeight="1">
      <c r="A1269" s="29" t="s">
        <v>2149</v>
      </c>
      <c r="B1269" s="59" t="s">
        <v>20417</v>
      </c>
      <c r="C1269" s="147" t="s">
        <v>20221</v>
      </c>
      <c r="D1269" s="284" t="s">
        <v>897</v>
      </c>
      <c r="E1269" s="178">
        <v>2014</v>
      </c>
      <c r="F1269" s="178" t="s">
        <v>4520</v>
      </c>
      <c r="G1269" s="496"/>
      <c r="H1269" s="994" t="s">
        <v>20224</v>
      </c>
      <c r="I1269" s="12" t="s">
        <v>2214</v>
      </c>
      <c r="J1269" s="1285"/>
      <c r="K1269" s="1285"/>
      <c r="L1269" s="1285"/>
    </row>
    <row r="1270" spans="1:12" ht="11.15" customHeight="1">
      <c r="A1270" s="29" t="s">
        <v>2151</v>
      </c>
      <c r="B1270" s="59" t="s">
        <v>20419</v>
      </c>
      <c r="C1270" s="147" t="s">
        <v>20221</v>
      </c>
      <c r="D1270" s="284" t="s">
        <v>897</v>
      </c>
      <c r="E1270" s="178">
        <v>2020</v>
      </c>
      <c r="F1270" s="178" t="s">
        <v>11931</v>
      </c>
      <c r="G1270" s="496"/>
      <c r="H1270" s="994" t="s">
        <v>20221</v>
      </c>
      <c r="I1270" s="12" t="s">
        <v>2215</v>
      </c>
      <c r="J1270" s="1285"/>
      <c r="K1270" s="1285"/>
      <c r="L1270" s="1285"/>
    </row>
    <row r="1271" spans="1:12" ht="11.15" customHeight="1">
      <c r="A1271" s="129" t="s">
        <v>903</v>
      </c>
      <c r="B1271" s="177" t="s">
        <v>2216</v>
      </c>
      <c r="C1271" s="147"/>
      <c r="D1271" s="129"/>
      <c r="E1271" s="185"/>
      <c r="F1271" s="185"/>
      <c r="G1271" s="185"/>
      <c r="H1271" s="185"/>
      <c r="I1271" s="11"/>
    </row>
    <row r="1272" spans="1:12" ht="11.15" customHeight="1">
      <c r="A1272" s="162" t="s">
        <v>2217</v>
      </c>
      <c r="B1272" s="59" t="s">
        <v>79</v>
      </c>
      <c r="C1272" s="147" t="s">
        <v>20221</v>
      </c>
      <c r="D1272" s="284" t="s">
        <v>897</v>
      </c>
      <c r="E1272" s="178">
        <v>2022</v>
      </c>
      <c r="F1272" s="178" t="s">
        <v>4520</v>
      </c>
      <c r="G1272" s="496"/>
      <c r="H1272" s="994" t="s">
        <v>20221</v>
      </c>
      <c r="I1272" s="12" t="s">
        <v>2218</v>
      </c>
      <c r="J1272" s="1285"/>
      <c r="K1272" s="1285"/>
      <c r="L1272" s="1285"/>
    </row>
    <row r="1273" spans="1:12" ht="11.15" customHeight="1">
      <c r="A1273" s="162" t="s">
        <v>2219</v>
      </c>
      <c r="B1273" s="59" t="s">
        <v>79</v>
      </c>
      <c r="C1273" s="147" t="s">
        <v>20221</v>
      </c>
      <c r="D1273" s="284" t="s">
        <v>897</v>
      </c>
      <c r="E1273" s="178">
        <v>2021</v>
      </c>
      <c r="F1273" s="178" t="s">
        <v>4520</v>
      </c>
      <c r="G1273" s="496"/>
      <c r="H1273" s="994" t="s">
        <v>20221</v>
      </c>
      <c r="I1273" s="12" t="s">
        <v>2220</v>
      </c>
      <c r="J1273" s="1285"/>
      <c r="K1273" s="1285"/>
      <c r="L1273" s="1285"/>
    </row>
    <row r="1274" spans="1:12" ht="11.15" customHeight="1">
      <c r="A1274" s="162" t="s">
        <v>2221</v>
      </c>
      <c r="B1274" s="59" t="s">
        <v>79</v>
      </c>
      <c r="C1274" s="147" t="s">
        <v>20221</v>
      </c>
      <c r="D1274" s="284" t="s">
        <v>897</v>
      </c>
      <c r="E1274" s="178">
        <v>2019</v>
      </c>
      <c r="F1274" s="178" t="s">
        <v>4520</v>
      </c>
      <c r="G1274" s="496"/>
      <c r="H1274" s="994" t="s">
        <v>20221</v>
      </c>
      <c r="I1274" s="12" t="s">
        <v>2222</v>
      </c>
      <c r="J1274" s="1285"/>
      <c r="K1274" s="1285"/>
      <c r="L1274" s="1285"/>
    </row>
    <row r="1275" spans="1:12" ht="11.15" customHeight="1">
      <c r="A1275" s="29" t="s">
        <v>2223</v>
      </c>
      <c r="B1275" s="59" t="s">
        <v>79</v>
      </c>
      <c r="C1275" s="147" t="s">
        <v>20221</v>
      </c>
      <c r="D1275" s="284" t="s">
        <v>897</v>
      </c>
      <c r="E1275" s="178">
        <v>2018</v>
      </c>
      <c r="F1275" s="178" t="s">
        <v>4520</v>
      </c>
      <c r="G1275" s="496"/>
      <c r="H1275" s="994" t="s">
        <v>20221</v>
      </c>
      <c r="I1275" s="12" t="s">
        <v>2224</v>
      </c>
      <c r="J1275" s="1285"/>
      <c r="K1275" s="1285"/>
      <c r="L1275" s="1285"/>
    </row>
    <row r="1276" spans="1:12" ht="11.15" customHeight="1">
      <c r="A1276" s="166" t="s">
        <v>2225</v>
      </c>
      <c r="B1276" s="59" t="s">
        <v>79</v>
      </c>
      <c r="C1276" s="147" t="s">
        <v>20221</v>
      </c>
      <c r="D1276" s="284" t="s">
        <v>897</v>
      </c>
      <c r="E1276" s="178">
        <v>2017</v>
      </c>
      <c r="F1276" s="178" t="s">
        <v>4520</v>
      </c>
      <c r="G1276" s="496"/>
      <c r="H1276" s="994" t="s">
        <v>20221</v>
      </c>
      <c r="I1276" s="12" t="s">
        <v>2226</v>
      </c>
      <c r="J1276" s="1285"/>
      <c r="K1276" s="1285"/>
      <c r="L1276" s="1285"/>
    </row>
    <row r="1277" spans="1:12" ht="11.15" customHeight="1">
      <c r="A1277" s="129" t="s">
        <v>2227</v>
      </c>
      <c r="B1277" s="59" t="s">
        <v>79</v>
      </c>
      <c r="C1277" s="147" t="s">
        <v>20221</v>
      </c>
      <c r="D1277" s="284" t="s">
        <v>897</v>
      </c>
      <c r="E1277" s="178">
        <v>2016</v>
      </c>
      <c r="F1277" s="178" t="s">
        <v>4520</v>
      </c>
      <c r="G1277" s="496"/>
      <c r="H1277" s="994" t="s">
        <v>20277</v>
      </c>
      <c r="I1277" s="12" t="s">
        <v>2228</v>
      </c>
      <c r="J1277" s="1285"/>
      <c r="K1277" s="1285"/>
      <c r="L1277" s="1285"/>
    </row>
    <row r="1278" spans="1:12" ht="11.15" customHeight="1">
      <c r="A1278" s="129" t="s">
        <v>2164</v>
      </c>
      <c r="B1278" s="59" t="s">
        <v>79</v>
      </c>
      <c r="C1278" s="147" t="s">
        <v>20221</v>
      </c>
      <c r="D1278" s="284" t="s">
        <v>897</v>
      </c>
      <c r="E1278" s="178">
        <v>2015</v>
      </c>
      <c r="F1278" s="178" t="s">
        <v>4520</v>
      </c>
      <c r="G1278" s="496"/>
      <c r="H1278" s="994" t="s">
        <v>20277</v>
      </c>
      <c r="I1278" s="12" t="s">
        <v>2229</v>
      </c>
      <c r="J1278" s="1285"/>
      <c r="K1278" s="1285"/>
      <c r="L1278" s="1285"/>
    </row>
    <row r="1279" spans="1:12" ht="11.15" customHeight="1">
      <c r="A1279" s="29"/>
      <c r="B1279" s="59" t="s">
        <v>79</v>
      </c>
      <c r="C1279" s="147" t="s">
        <v>20221</v>
      </c>
      <c r="D1279" s="284" t="s">
        <v>897</v>
      </c>
      <c r="E1279" s="178">
        <v>2014</v>
      </c>
      <c r="F1279" s="178" t="s">
        <v>4520</v>
      </c>
      <c r="G1279" s="496"/>
      <c r="H1279" s="994" t="s">
        <v>20221</v>
      </c>
      <c r="I1279" s="12" t="s">
        <v>2230</v>
      </c>
      <c r="J1279" s="1285"/>
      <c r="K1279" s="1285"/>
      <c r="L1279" s="1285"/>
    </row>
    <row r="1280" spans="1:12" ht="11.15" customHeight="1">
      <c r="A1280" s="185"/>
      <c r="B1280" s="59" t="s">
        <v>79</v>
      </c>
      <c r="C1280" s="147" t="s">
        <v>20221</v>
      </c>
      <c r="D1280" s="284" t="s">
        <v>897</v>
      </c>
      <c r="E1280" s="178">
        <v>2013</v>
      </c>
      <c r="F1280" s="178" t="s">
        <v>4520</v>
      </c>
      <c r="G1280" s="496"/>
      <c r="H1280" s="994" t="s">
        <v>20221</v>
      </c>
      <c r="I1280" s="12" t="s">
        <v>2231</v>
      </c>
      <c r="J1280" s="1285"/>
      <c r="K1280" s="1285"/>
      <c r="L1280" s="1285"/>
    </row>
    <row r="1281" spans="1:12" ht="11.15" customHeight="1">
      <c r="A1281" s="185"/>
      <c r="B1281" s="59" t="s">
        <v>20420</v>
      </c>
      <c r="C1281" s="147" t="s">
        <v>20221</v>
      </c>
      <c r="D1281" s="284" t="s">
        <v>897</v>
      </c>
      <c r="E1281" s="178">
        <v>2020</v>
      </c>
      <c r="F1281" s="178" t="s">
        <v>11931</v>
      </c>
      <c r="G1281" s="496"/>
      <c r="H1281" s="994" t="s">
        <v>20221</v>
      </c>
      <c r="I1281" s="12" t="s">
        <v>2232</v>
      </c>
      <c r="J1281" s="1285"/>
      <c r="K1281" s="1285"/>
      <c r="L1281" s="1285"/>
    </row>
    <row r="1282" spans="1:12" ht="11.15" customHeight="1">
      <c r="A1282" s="29"/>
      <c r="B1282" s="90"/>
      <c r="C1282" s="147"/>
      <c r="D1282" s="161"/>
      <c r="E1282" s="36"/>
      <c r="F1282" s="178"/>
      <c r="G1282" s="671"/>
      <c r="H1282" s="36"/>
      <c r="I1282" s="11"/>
    </row>
    <row r="1283" spans="1:12" ht="24" customHeight="1">
      <c r="A1283" s="314"/>
      <c r="B1283" s="310" t="s">
        <v>2233</v>
      </c>
      <c r="C1283" s="311"/>
      <c r="D1283" s="310"/>
      <c r="E1283" s="315"/>
      <c r="F1283" s="1071"/>
      <c r="G1283" s="1203"/>
      <c r="H1283" s="315"/>
      <c r="I1283" s="11"/>
    </row>
    <row r="1284" spans="1:12" ht="11.15" customHeight="1">
      <c r="A1284" s="29"/>
      <c r="B1284" s="146" t="s">
        <v>2234</v>
      </c>
      <c r="C1284" s="147"/>
      <c r="D1284" s="122"/>
      <c r="E1284" s="36"/>
      <c r="F1284" s="178"/>
      <c r="G1284" s="453"/>
      <c r="H1284" s="36"/>
      <c r="I1284" s="11"/>
    </row>
    <row r="1285" spans="1:12" ht="9" customHeight="1">
      <c r="A1285" s="29"/>
      <c r="B1285" s="210" t="s">
        <v>2235</v>
      </c>
      <c r="C1285" s="147"/>
      <c r="D1285" s="122"/>
      <c r="E1285" s="36"/>
      <c r="F1285" s="178"/>
      <c r="G1285" s="453"/>
      <c r="H1285" s="36"/>
      <c r="I1285" s="11"/>
    </row>
    <row r="1286" spans="1:12" ht="9" customHeight="1">
      <c r="A1286" s="29"/>
      <c r="B1286" s="150" t="s">
        <v>2236</v>
      </c>
      <c r="C1286" s="147"/>
      <c r="D1286" s="122"/>
      <c r="E1286" s="36"/>
      <c r="F1286" s="178"/>
      <c r="G1286" s="453"/>
      <c r="H1286" s="36"/>
      <c r="I1286" s="11"/>
    </row>
    <row r="1287" spans="1:12" ht="9" customHeight="1">
      <c r="A1287" s="29"/>
      <c r="B1287" s="150" t="s">
        <v>2237</v>
      </c>
      <c r="C1287" s="147"/>
      <c r="D1287" s="122"/>
      <c r="E1287" s="36"/>
      <c r="F1287" s="178"/>
      <c r="G1287" s="453"/>
      <c r="H1287" s="36"/>
      <c r="I1287" s="11"/>
    </row>
    <row r="1288" spans="1:12" ht="9" customHeight="1">
      <c r="A1288" s="29"/>
      <c r="B1288" s="150" t="s">
        <v>2238</v>
      </c>
      <c r="C1288" s="147"/>
      <c r="D1288" s="122"/>
      <c r="E1288" s="36"/>
      <c r="F1288" s="178"/>
      <c r="G1288" s="453"/>
      <c r="H1288" s="36"/>
      <c r="I1288" s="11"/>
    </row>
    <row r="1289" spans="1:12" ht="9" customHeight="1">
      <c r="A1289" s="29"/>
      <c r="B1289" s="150" t="s">
        <v>2239</v>
      </c>
      <c r="C1289" s="147"/>
      <c r="D1289" s="122"/>
      <c r="E1289" s="36"/>
      <c r="F1289" s="178"/>
      <c r="G1289" s="453"/>
      <c r="H1289" s="36"/>
      <c r="I1289" s="11"/>
    </row>
    <row r="1290" spans="1:12" ht="9" customHeight="1" thickBot="1">
      <c r="A1290" s="29"/>
      <c r="B1290" s="150" t="s">
        <v>2240</v>
      </c>
      <c r="C1290" s="147"/>
      <c r="D1290" s="122"/>
      <c r="E1290" s="36"/>
      <c r="F1290" s="178"/>
      <c r="G1290" s="453"/>
      <c r="H1290" s="36"/>
      <c r="I1290" s="11"/>
    </row>
    <row r="1291" spans="1:12" ht="12" customHeight="1">
      <c r="A1291" s="153" t="s">
        <v>2241</v>
      </c>
      <c r="B1291" s="177" t="s">
        <v>2242</v>
      </c>
      <c r="C1291" s="147"/>
      <c r="D1291" s="159"/>
      <c r="E1291" s="36"/>
      <c r="F1291" s="178"/>
      <c r="G1291" s="496"/>
      <c r="H1291" s="36"/>
      <c r="I1291" s="11"/>
    </row>
    <row r="1292" spans="1:12" ht="11.15" customHeight="1">
      <c r="A1292" s="277" t="s">
        <v>1583</v>
      </c>
      <c r="B1292" s="59" t="s">
        <v>20421</v>
      </c>
      <c r="C1292" s="147" t="s">
        <v>20221</v>
      </c>
      <c r="D1292" s="701" t="s">
        <v>1129</v>
      </c>
      <c r="E1292" s="178">
        <v>2019</v>
      </c>
      <c r="F1292" s="178" t="s">
        <v>4520</v>
      </c>
      <c r="G1292" s="496"/>
      <c r="H1292" s="994" t="s">
        <v>20277</v>
      </c>
      <c r="I1292" s="12" t="s">
        <v>2243</v>
      </c>
      <c r="J1292" s="1285"/>
      <c r="K1292" s="1285"/>
      <c r="L1292" s="1285"/>
    </row>
    <row r="1293" spans="1:12" ht="11.15" customHeight="1" thickBot="1">
      <c r="A1293" s="230" t="s">
        <v>1585</v>
      </c>
      <c r="B1293" s="59" t="s">
        <v>20422</v>
      </c>
      <c r="C1293" s="147" t="s">
        <v>20221</v>
      </c>
      <c r="D1293" s="701" t="s">
        <v>1129</v>
      </c>
      <c r="E1293" s="178">
        <v>2018</v>
      </c>
      <c r="F1293" s="178" t="s">
        <v>5257</v>
      </c>
      <c r="G1293" s="496"/>
      <c r="H1293" s="994" t="s">
        <v>20224</v>
      </c>
      <c r="I1293" s="12" t="s">
        <v>1437</v>
      </c>
      <c r="J1293" s="1285"/>
      <c r="K1293" s="1285"/>
      <c r="L1293" s="1285"/>
    </row>
    <row r="1294" spans="1:12" ht="11.15" customHeight="1">
      <c r="A1294" s="29" t="s">
        <v>2244</v>
      </c>
      <c r="B1294" s="59" t="s">
        <v>20423</v>
      </c>
      <c r="C1294" s="147" t="s">
        <v>20221</v>
      </c>
      <c r="D1294" s="701" t="s">
        <v>1129</v>
      </c>
      <c r="E1294" s="178">
        <v>2018</v>
      </c>
      <c r="F1294" s="178" t="s">
        <v>5257</v>
      </c>
      <c r="G1294" s="496"/>
      <c r="H1294" s="994" t="s">
        <v>20224</v>
      </c>
      <c r="I1294" s="12" t="s">
        <v>2245</v>
      </c>
      <c r="J1294" s="1285"/>
      <c r="K1294" s="1285"/>
      <c r="L1294" s="1285"/>
    </row>
    <row r="1295" spans="1:12" ht="11.15" customHeight="1">
      <c r="A1295" s="29" t="s">
        <v>2246</v>
      </c>
      <c r="B1295" s="177" t="s">
        <v>1398</v>
      </c>
      <c r="C1295" s="147"/>
      <c r="D1295" s="129"/>
      <c r="E1295" s="29"/>
      <c r="F1295" s="29"/>
      <c r="G1295" s="29"/>
      <c r="H1295" s="29"/>
      <c r="I1295" s="11"/>
    </row>
    <row r="1296" spans="1:12" ht="11.15" customHeight="1">
      <c r="A1296" s="29" t="s">
        <v>2247</v>
      </c>
      <c r="B1296" s="59" t="s">
        <v>20424</v>
      </c>
      <c r="C1296" s="147" t="s">
        <v>20221</v>
      </c>
      <c r="D1296" s="284" t="s">
        <v>897</v>
      </c>
      <c r="E1296" s="178">
        <v>2016</v>
      </c>
      <c r="F1296" s="178" t="s">
        <v>4520</v>
      </c>
      <c r="G1296" s="496"/>
      <c r="H1296" s="994" t="s">
        <v>20224</v>
      </c>
      <c r="I1296" s="12" t="s">
        <v>2248</v>
      </c>
      <c r="J1296" s="1285"/>
      <c r="K1296" s="1285"/>
      <c r="L1296" s="1285"/>
    </row>
    <row r="1297" spans="1:9" ht="11.15" customHeight="1">
      <c r="A1297" s="29" t="s">
        <v>2249</v>
      </c>
      <c r="B1297" s="90"/>
      <c r="C1297" s="147"/>
      <c r="D1297" s="161"/>
      <c r="E1297" s="34"/>
      <c r="F1297" s="178"/>
      <c r="G1297" s="496"/>
      <c r="H1297" s="36"/>
      <c r="I1297" s="11"/>
    </row>
    <row r="1298" spans="1:9" ht="11.15" customHeight="1">
      <c r="A1298" s="29" t="s">
        <v>2250</v>
      </c>
      <c r="B1298" s="90"/>
      <c r="C1298" s="147"/>
      <c r="D1298" s="161"/>
      <c r="E1298" s="34"/>
      <c r="F1298" s="178"/>
      <c r="G1298" s="496"/>
      <c r="H1298" s="36"/>
      <c r="I1298" s="11"/>
    </row>
    <row r="1299" spans="1:9" ht="11.15" customHeight="1">
      <c r="A1299" s="218" t="s">
        <v>1595</v>
      </c>
      <c r="B1299" s="29"/>
      <c r="C1299" s="147"/>
      <c r="D1299" s="29"/>
      <c r="E1299" s="29"/>
      <c r="F1299" s="29"/>
      <c r="G1299" s="29"/>
      <c r="H1299" s="29"/>
      <c r="I1299" s="11"/>
    </row>
    <row r="1300" spans="1:9" ht="9" customHeight="1">
      <c r="A1300" s="129" t="s">
        <v>896</v>
      </c>
      <c r="B1300" s="90"/>
      <c r="C1300" s="147"/>
      <c r="D1300" s="122"/>
      <c r="E1300" s="36"/>
      <c r="F1300" s="178"/>
      <c r="G1300" s="453"/>
      <c r="H1300" s="36"/>
      <c r="I1300" s="11"/>
    </row>
    <row r="1301" spans="1:9" ht="9" customHeight="1">
      <c r="A1301" s="208" t="s">
        <v>2251</v>
      </c>
      <c r="B1301" s="90"/>
      <c r="C1301" s="147"/>
      <c r="D1301" s="122"/>
      <c r="E1301" s="36"/>
      <c r="F1301" s="178"/>
      <c r="G1301" s="453"/>
      <c r="H1301" s="36"/>
      <c r="I1301" s="11"/>
    </row>
    <row r="1302" spans="1:9" ht="9" customHeight="1">
      <c r="A1302" s="162" t="s">
        <v>2252</v>
      </c>
      <c r="B1302" s="90"/>
      <c r="C1302" s="147"/>
      <c r="D1302" s="122"/>
      <c r="E1302" s="36"/>
      <c r="F1302" s="178"/>
      <c r="G1302" s="453"/>
      <c r="H1302" s="36"/>
      <c r="I1302" s="11"/>
    </row>
    <row r="1303" spans="1:9" ht="9" customHeight="1">
      <c r="A1303" s="162" t="s">
        <v>2253</v>
      </c>
      <c r="B1303" s="90"/>
      <c r="C1303" s="147"/>
      <c r="D1303" s="122"/>
      <c r="E1303" s="36"/>
      <c r="F1303" s="178"/>
      <c r="G1303" s="453"/>
      <c r="H1303" s="36"/>
      <c r="I1303" s="11"/>
    </row>
    <row r="1304" spans="1:9" ht="9" customHeight="1">
      <c r="A1304" s="162" t="s">
        <v>2254</v>
      </c>
      <c r="B1304" s="90"/>
      <c r="C1304" s="147"/>
      <c r="D1304" s="122"/>
      <c r="E1304" s="36"/>
      <c r="F1304" s="178"/>
      <c r="G1304" s="453"/>
      <c r="H1304" s="36"/>
      <c r="I1304" s="11"/>
    </row>
    <row r="1305" spans="1:9" ht="9" customHeight="1">
      <c r="A1305" s="162" t="s">
        <v>2255</v>
      </c>
      <c r="B1305" s="90"/>
      <c r="C1305" s="147"/>
      <c r="D1305" s="122"/>
      <c r="E1305" s="36"/>
      <c r="F1305" s="178"/>
      <c r="G1305" s="453"/>
      <c r="H1305" s="36"/>
      <c r="I1305" s="11"/>
    </row>
    <row r="1306" spans="1:9" ht="9" customHeight="1">
      <c r="A1306" s="162" t="s">
        <v>2256</v>
      </c>
      <c r="B1306" s="90"/>
      <c r="C1306" s="147"/>
      <c r="D1306" s="122"/>
      <c r="E1306" s="36"/>
      <c r="F1306" s="178"/>
      <c r="G1306" s="453"/>
      <c r="H1306" s="36"/>
      <c r="I1306" s="11"/>
    </row>
    <row r="1307" spans="1:9" ht="9" customHeight="1">
      <c r="A1307" s="162" t="s">
        <v>2257</v>
      </c>
      <c r="B1307" s="90"/>
      <c r="C1307" s="147"/>
      <c r="D1307" s="122"/>
      <c r="E1307" s="36"/>
      <c r="F1307" s="178"/>
      <c r="G1307" s="453"/>
      <c r="H1307" s="36"/>
      <c r="I1307" s="11"/>
    </row>
    <row r="1308" spans="1:9" ht="11.15" customHeight="1">
      <c r="A1308" s="162" t="s">
        <v>2258</v>
      </c>
      <c r="B1308" s="90"/>
      <c r="C1308" s="147"/>
      <c r="D1308" s="161"/>
      <c r="E1308" s="36"/>
      <c r="F1308" s="178"/>
      <c r="G1308" s="496"/>
      <c r="H1308" s="36"/>
      <c r="I1308" s="11"/>
    </row>
    <row r="1309" spans="1:9" ht="9" customHeight="1">
      <c r="A1309" s="129" t="s">
        <v>1077</v>
      </c>
      <c r="B1309" s="90"/>
      <c r="C1309" s="147"/>
      <c r="D1309" s="122"/>
      <c r="E1309" s="36"/>
      <c r="F1309" s="178"/>
      <c r="G1309" s="453"/>
      <c r="H1309" s="36"/>
      <c r="I1309" s="11"/>
    </row>
    <row r="1310" spans="1:9" ht="9" customHeight="1">
      <c r="A1310" s="162" t="s">
        <v>2259</v>
      </c>
      <c r="B1310" s="90"/>
      <c r="C1310" s="147"/>
      <c r="D1310" s="122"/>
      <c r="E1310" s="36"/>
      <c r="F1310" s="178"/>
      <c r="G1310" s="453"/>
      <c r="H1310" s="36"/>
      <c r="I1310" s="11"/>
    </row>
    <row r="1311" spans="1:9" ht="9" customHeight="1">
      <c r="A1311" s="162" t="s">
        <v>2260</v>
      </c>
      <c r="B1311" s="90"/>
      <c r="C1311" s="147"/>
      <c r="D1311" s="122"/>
      <c r="E1311" s="36"/>
      <c r="F1311" s="178"/>
      <c r="G1311" s="453"/>
      <c r="H1311" s="36"/>
      <c r="I1311" s="11"/>
    </row>
    <row r="1312" spans="1:9" ht="9" customHeight="1">
      <c r="A1312" s="162" t="s">
        <v>2261</v>
      </c>
      <c r="B1312" s="90"/>
      <c r="C1312" s="147"/>
      <c r="D1312" s="122"/>
      <c r="E1312" s="36"/>
      <c r="F1312" s="178"/>
      <c r="G1312" s="453"/>
      <c r="H1312" s="36"/>
      <c r="I1312" s="11"/>
    </row>
    <row r="1313" spans="1:12" ht="9" customHeight="1">
      <c r="A1313" s="162" t="s">
        <v>2262</v>
      </c>
      <c r="B1313" s="90"/>
      <c r="C1313" s="147"/>
      <c r="D1313" s="122"/>
      <c r="E1313" s="36"/>
      <c r="F1313" s="178"/>
      <c r="G1313" s="453"/>
      <c r="H1313" s="36"/>
      <c r="I1313" s="11"/>
    </row>
    <row r="1314" spans="1:12" ht="9" customHeight="1">
      <c r="A1314" s="162" t="s">
        <v>2263</v>
      </c>
      <c r="B1314" s="90"/>
      <c r="C1314" s="147"/>
      <c r="D1314" s="122"/>
      <c r="E1314" s="36"/>
      <c r="F1314" s="178"/>
      <c r="G1314" s="453"/>
      <c r="H1314" s="36"/>
      <c r="I1314" s="11"/>
    </row>
    <row r="1315" spans="1:12" ht="11.15" customHeight="1">
      <c r="A1315" s="162" t="s">
        <v>2264</v>
      </c>
      <c r="B1315" s="90"/>
      <c r="C1315" s="147"/>
      <c r="D1315" s="122"/>
      <c r="E1315" s="36"/>
      <c r="F1315" s="178"/>
      <c r="G1315" s="453"/>
      <c r="H1315" s="36"/>
      <c r="I1315" s="11"/>
    </row>
    <row r="1316" spans="1:12" ht="11.15" customHeight="1">
      <c r="A1316" s="166" t="s">
        <v>1608</v>
      </c>
      <c r="B1316" s="90"/>
      <c r="C1316" s="147"/>
      <c r="D1316" s="161"/>
      <c r="E1316" s="36"/>
      <c r="F1316" s="178"/>
      <c r="G1316" s="497"/>
      <c r="H1316" s="36"/>
      <c r="I1316" s="11"/>
    </row>
    <row r="1317" spans="1:12" ht="11.15" customHeight="1">
      <c r="A1317" s="129" t="s">
        <v>2265</v>
      </c>
      <c r="B1317" s="90"/>
      <c r="C1317" s="147"/>
      <c r="D1317" s="122"/>
      <c r="E1317" s="36"/>
      <c r="F1317" s="178"/>
      <c r="G1317" s="453"/>
      <c r="H1317" s="36"/>
      <c r="I1317" s="11"/>
    </row>
    <row r="1318" spans="1:12" ht="11.15" customHeight="1">
      <c r="A1318" s="285" t="s">
        <v>2266</v>
      </c>
      <c r="B1318" s="29"/>
      <c r="C1318" s="147"/>
      <c r="D1318" s="122"/>
      <c r="E1318" s="36"/>
      <c r="F1318" s="178"/>
      <c r="G1318" s="453"/>
      <c r="H1318" s="36"/>
      <c r="I1318" s="11"/>
    </row>
    <row r="1319" spans="1:12" ht="11.15" customHeight="1" thickBot="1">
      <c r="A1319" s="29"/>
      <c r="B1319" s="29"/>
      <c r="C1319" s="147"/>
      <c r="D1319" s="122"/>
      <c r="E1319" s="36"/>
      <c r="F1319" s="178"/>
      <c r="G1319" s="453"/>
      <c r="H1319" s="36"/>
      <c r="I1319" s="11"/>
    </row>
    <row r="1320" spans="1:12" ht="11.15" customHeight="1">
      <c r="A1320" s="153" t="s">
        <v>2267</v>
      </c>
      <c r="B1320" s="59" t="s">
        <v>20425</v>
      </c>
      <c r="C1320" s="147" t="s">
        <v>20221</v>
      </c>
      <c r="D1320" s="284" t="s">
        <v>897</v>
      </c>
      <c r="E1320" s="178">
        <v>2022</v>
      </c>
      <c r="F1320" s="178" t="s">
        <v>23394</v>
      </c>
      <c r="G1320" s="496"/>
      <c r="H1320" s="994" t="s">
        <v>20224</v>
      </c>
      <c r="I1320" s="12" t="s">
        <v>2268</v>
      </c>
      <c r="J1320" s="1285"/>
      <c r="K1320" s="1285"/>
      <c r="L1320" s="1285"/>
    </row>
    <row r="1321" spans="1:12" ht="11.15" customHeight="1">
      <c r="A1321" s="277" t="s">
        <v>1583</v>
      </c>
      <c r="B1321" s="59" t="s">
        <v>20425</v>
      </c>
      <c r="C1321" s="147" t="s">
        <v>20221</v>
      </c>
      <c r="D1321" s="284" t="s">
        <v>897</v>
      </c>
      <c r="E1321" s="178">
        <v>2021</v>
      </c>
      <c r="F1321" s="178" t="s">
        <v>23394</v>
      </c>
      <c r="G1321" s="496"/>
      <c r="H1321" s="994" t="s">
        <v>20224</v>
      </c>
      <c r="I1321" s="12" t="s">
        <v>2269</v>
      </c>
      <c r="J1321" s="1285"/>
      <c r="K1321" s="1285"/>
      <c r="L1321" s="1285"/>
    </row>
    <row r="1322" spans="1:12" ht="11.15" customHeight="1" thickBot="1">
      <c r="A1322" s="230" t="s">
        <v>1585</v>
      </c>
      <c r="B1322" s="59" t="s">
        <v>20425</v>
      </c>
      <c r="C1322" s="147" t="s">
        <v>20221</v>
      </c>
      <c r="D1322" s="284" t="s">
        <v>897</v>
      </c>
      <c r="E1322" s="178">
        <v>2020</v>
      </c>
      <c r="F1322" s="178" t="s">
        <v>4520</v>
      </c>
      <c r="G1322" s="496"/>
      <c r="H1322" s="994" t="s">
        <v>20224</v>
      </c>
      <c r="I1322" s="12" t="s">
        <v>2270</v>
      </c>
      <c r="J1322" s="1285"/>
      <c r="K1322" s="1285"/>
      <c r="L1322" s="1285"/>
    </row>
    <row r="1323" spans="1:12" ht="11.15" customHeight="1">
      <c r="A1323" s="29" t="s">
        <v>2271</v>
      </c>
      <c r="B1323" s="59" t="s">
        <v>20425</v>
      </c>
      <c r="C1323" s="147" t="s">
        <v>20221</v>
      </c>
      <c r="D1323" s="284" t="s">
        <v>897</v>
      </c>
      <c r="E1323" s="178">
        <v>2019</v>
      </c>
      <c r="F1323" s="178" t="s">
        <v>4520</v>
      </c>
      <c r="G1323" s="496"/>
      <c r="H1323" s="994" t="s">
        <v>20224</v>
      </c>
      <c r="I1323" s="12" t="s">
        <v>2272</v>
      </c>
      <c r="J1323" s="1285"/>
      <c r="K1323" s="1285"/>
      <c r="L1323" s="1285"/>
    </row>
    <row r="1324" spans="1:12" ht="11.15" customHeight="1">
      <c r="A1324" s="29" t="s">
        <v>2273</v>
      </c>
      <c r="B1324" s="59" t="s">
        <v>20425</v>
      </c>
      <c r="C1324" s="147" t="s">
        <v>20221</v>
      </c>
      <c r="D1324" s="284" t="s">
        <v>897</v>
      </c>
      <c r="E1324" s="178">
        <v>2018</v>
      </c>
      <c r="F1324" s="178" t="s">
        <v>4520</v>
      </c>
      <c r="G1324" s="496"/>
      <c r="H1324" s="994" t="s">
        <v>20224</v>
      </c>
      <c r="I1324" s="12" t="s">
        <v>2274</v>
      </c>
      <c r="J1324" s="1285"/>
      <c r="K1324" s="1285"/>
      <c r="L1324" s="1285"/>
    </row>
    <row r="1325" spans="1:12" ht="11.15" customHeight="1">
      <c r="A1325" s="29" t="s">
        <v>2275</v>
      </c>
      <c r="B1325" s="90"/>
      <c r="C1325" s="147"/>
      <c r="D1325" s="161"/>
      <c r="E1325" s="36"/>
      <c r="F1325" s="178"/>
      <c r="G1325" s="497"/>
      <c r="H1325" s="36"/>
      <c r="I1325" s="11"/>
    </row>
    <row r="1326" spans="1:12" ht="11.15" customHeight="1">
      <c r="A1326" s="29" t="s">
        <v>2276</v>
      </c>
      <c r="B1326" s="90"/>
      <c r="C1326" s="147"/>
      <c r="D1326" s="161"/>
      <c r="E1326" s="36"/>
      <c r="F1326" s="183"/>
      <c r="G1326" s="496"/>
      <c r="H1326" s="183"/>
      <c r="I1326" s="11"/>
    </row>
    <row r="1327" spans="1:12" ht="11.15" customHeight="1">
      <c r="A1327" s="218" t="s">
        <v>1595</v>
      </c>
      <c r="B1327" s="90"/>
      <c r="C1327" s="147"/>
      <c r="D1327" s="161"/>
      <c r="E1327" s="36"/>
      <c r="F1327" s="178"/>
      <c r="G1327" s="497"/>
      <c r="H1327" s="36"/>
      <c r="I1327" s="11"/>
    </row>
    <row r="1328" spans="1:12" ht="11.15" customHeight="1">
      <c r="A1328" s="129" t="s">
        <v>2277</v>
      </c>
      <c r="B1328" s="210"/>
      <c r="C1328" s="147"/>
      <c r="D1328" s="209"/>
      <c r="E1328" s="210"/>
      <c r="F1328" s="150"/>
      <c r="G1328" s="886"/>
      <c r="H1328" s="210"/>
      <c r="I1328" s="11"/>
    </row>
    <row r="1329" spans="1:12" ht="11.15" customHeight="1">
      <c r="A1329" s="162" t="s">
        <v>2278</v>
      </c>
      <c r="B1329" s="210"/>
      <c r="C1329" s="147"/>
      <c r="D1329" s="209"/>
      <c r="E1329" s="210"/>
      <c r="F1329" s="150"/>
      <c r="G1329" s="886"/>
      <c r="H1329" s="210"/>
      <c r="I1329" s="11"/>
    </row>
    <row r="1330" spans="1:12" ht="11.15" customHeight="1">
      <c r="A1330" s="162" t="s">
        <v>2279</v>
      </c>
      <c r="B1330" s="90"/>
      <c r="C1330" s="147"/>
      <c r="D1330" s="161"/>
      <c r="E1330" s="36"/>
      <c r="F1330" s="178"/>
      <c r="G1330" s="497"/>
      <c r="H1330" s="36"/>
      <c r="I1330" s="11"/>
    </row>
    <row r="1331" spans="1:12" ht="9" customHeight="1">
      <c r="A1331" s="129" t="s">
        <v>1077</v>
      </c>
      <c r="B1331" s="185"/>
      <c r="C1331" s="147"/>
      <c r="D1331" s="185"/>
      <c r="E1331" s="185"/>
      <c r="F1331" s="185"/>
      <c r="G1331" s="185"/>
      <c r="H1331" s="185"/>
      <c r="I1331" s="11"/>
    </row>
    <row r="1332" spans="1:12" ht="9" customHeight="1">
      <c r="A1332" s="162" t="s">
        <v>2280</v>
      </c>
      <c r="B1332" s="185"/>
      <c r="C1332" s="147"/>
      <c r="D1332" s="185"/>
      <c r="E1332" s="185"/>
      <c r="F1332" s="185"/>
      <c r="G1332" s="185"/>
      <c r="H1332" s="185"/>
      <c r="I1332" s="11"/>
    </row>
    <row r="1333" spans="1:12" ht="9" customHeight="1">
      <c r="A1333" s="162" t="s">
        <v>2281</v>
      </c>
      <c r="B1333" s="185"/>
      <c r="C1333" s="147"/>
      <c r="D1333" s="129"/>
      <c r="E1333" s="185"/>
      <c r="F1333" s="185"/>
      <c r="G1333" s="185"/>
      <c r="H1333" s="185"/>
      <c r="I1333" s="11"/>
    </row>
    <row r="1334" spans="1:12" ht="9" customHeight="1">
      <c r="A1334" s="162" t="s">
        <v>2282</v>
      </c>
      <c r="B1334" s="185"/>
      <c r="C1334" s="147"/>
      <c r="D1334" s="129"/>
      <c r="E1334" s="185"/>
      <c r="F1334" s="185"/>
      <c r="G1334" s="185"/>
      <c r="H1334" s="185"/>
      <c r="I1334" s="11"/>
    </row>
    <row r="1335" spans="1:12" ht="9" customHeight="1">
      <c r="A1335" s="162" t="s">
        <v>2283</v>
      </c>
      <c r="B1335" s="185"/>
      <c r="C1335" s="147"/>
      <c r="D1335" s="129"/>
      <c r="E1335" s="185"/>
      <c r="F1335" s="185"/>
      <c r="G1335" s="185"/>
      <c r="H1335" s="185"/>
      <c r="I1335" s="11"/>
    </row>
    <row r="1336" spans="1:12" ht="11.15" customHeight="1">
      <c r="A1336" s="166" t="s">
        <v>1608</v>
      </c>
      <c r="B1336" s="90"/>
      <c r="C1336" s="147"/>
      <c r="D1336" s="161"/>
      <c r="E1336" s="36"/>
      <c r="F1336" s="178"/>
      <c r="G1336" s="497"/>
      <c r="H1336" s="36"/>
      <c r="I1336" s="11"/>
    </row>
    <row r="1337" spans="1:12" ht="11.15" customHeight="1">
      <c r="A1337" s="129" t="s">
        <v>2284</v>
      </c>
      <c r="B1337" s="90"/>
      <c r="C1337" s="147"/>
      <c r="D1337" s="161"/>
      <c r="E1337" s="36"/>
      <c r="F1337" s="178"/>
      <c r="G1337" s="497"/>
      <c r="H1337" s="36"/>
      <c r="I1337" s="11"/>
    </row>
    <row r="1338" spans="1:12" ht="11.15" customHeight="1">
      <c r="A1338" s="129" t="s">
        <v>2266</v>
      </c>
      <c r="B1338" s="90"/>
      <c r="C1338" s="147"/>
      <c r="D1338" s="161"/>
      <c r="E1338" s="36"/>
      <c r="F1338" s="178"/>
      <c r="G1338" s="497"/>
      <c r="H1338" s="36"/>
      <c r="I1338" s="11"/>
    </row>
    <row r="1339" spans="1:12" ht="11.15" customHeight="1">
      <c r="A1339" s="129" t="s">
        <v>2285</v>
      </c>
      <c r="B1339" s="90"/>
      <c r="C1339" s="147"/>
      <c r="D1339" s="161"/>
      <c r="E1339" s="36"/>
      <c r="F1339" s="178"/>
      <c r="G1339" s="496"/>
      <c r="H1339" s="36"/>
      <c r="I1339" s="11"/>
    </row>
    <row r="1340" spans="1:12" ht="11.15" customHeight="1">
      <c r="A1340" s="29"/>
      <c r="B1340" s="90"/>
      <c r="C1340" s="147"/>
      <c r="D1340" s="122"/>
      <c r="E1340" s="36"/>
      <c r="F1340" s="178"/>
      <c r="G1340" s="453"/>
      <c r="H1340" s="36"/>
      <c r="I1340" s="11"/>
    </row>
    <row r="1341" spans="1:12" ht="24" customHeight="1" thickBot="1">
      <c r="A1341" s="309"/>
      <c r="B1341" s="310" t="s">
        <v>2286</v>
      </c>
      <c r="C1341" s="311"/>
      <c r="D1341" s="312"/>
      <c r="E1341" s="313"/>
      <c r="F1341" s="1070"/>
      <c r="G1341" s="1202"/>
      <c r="H1341" s="313"/>
      <c r="I1341" s="11"/>
    </row>
    <row r="1342" spans="1:12" ht="11.15" customHeight="1" thickBot="1">
      <c r="A1342" s="184" t="s">
        <v>2287</v>
      </c>
      <c r="B1342" s="177" t="s">
        <v>2288</v>
      </c>
      <c r="C1342" s="147"/>
      <c r="D1342" s="161"/>
      <c r="E1342" s="36"/>
      <c r="F1342" s="178"/>
      <c r="G1342" s="671"/>
      <c r="H1342" s="36"/>
      <c r="I1342" s="11"/>
    </row>
    <row r="1343" spans="1:12" ht="11.15" customHeight="1">
      <c r="A1343" s="29" t="s">
        <v>2289</v>
      </c>
      <c r="B1343" s="59" t="s">
        <v>20426</v>
      </c>
      <c r="C1343" s="147" t="s">
        <v>23393</v>
      </c>
      <c r="D1343" s="284" t="s">
        <v>897</v>
      </c>
      <c r="E1343" s="178">
        <v>2013</v>
      </c>
      <c r="F1343" s="178" t="s">
        <v>4520</v>
      </c>
      <c r="G1343" s="496"/>
      <c r="H1343" s="994" t="s">
        <v>20221</v>
      </c>
      <c r="I1343" s="11" t="s">
        <v>2290</v>
      </c>
      <c r="J1343" s="1285"/>
      <c r="K1343" s="1285"/>
      <c r="L1343" s="1285"/>
    </row>
    <row r="1344" spans="1:12" ht="11.15" customHeight="1">
      <c r="A1344" s="29" t="s">
        <v>2291</v>
      </c>
      <c r="B1344" s="59" t="s">
        <v>20427</v>
      </c>
      <c r="C1344" s="147" t="s">
        <v>20221</v>
      </c>
      <c r="D1344" s="284" t="s">
        <v>897</v>
      </c>
      <c r="E1344" s="178">
        <v>2011</v>
      </c>
      <c r="F1344" s="178" t="s">
        <v>11931</v>
      </c>
      <c r="G1344" s="496"/>
      <c r="H1344" s="994" t="s">
        <v>20224</v>
      </c>
      <c r="I1344" s="11" t="s">
        <v>2292</v>
      </c>
      <c r="J1344" s="1285"/>
      <c r="K1344" s="1285"/>
      <c r="L1344" s="1285"/>
    </row>
    <row r="1345" spans="1:12" ht="11.15" customHeight="1">
      <c r="A1345" s="29" t="s">
        <v>2293</v>
      </c>
      <c r="B1345" s="177" t="s">
        <v>2294</v>
      </c>
      <c r="C1345" s="147"/>
      <c r="D1345" s="161"/>
      <c r="E1345" s="34"/>
      <c r="F1345" s="183"/>
      <c r="G1345" s="496"/>
      <c r="H1345" s="34"/>
      <c r="I1345" s="11"/>
    </row>
    <row r="1346" spans="1:12" ht="11.15" customHeight="1">
      <c r="A1346" s="181" t="s">
        <v>2070</v>
      </c>
      <c r="B1346" s="59" t="s">
        <v>20428</v>
      </c>
      <c r="C1346" s="147" t="s">
        <v>20221</v>
      </c>
      <c r="D1346" s="284" t="s">
        <v>897</v>
      </c>
      <c r="E1346" s="178">
        <v>2006</v>
      </c>
      <c r="F1346" s="178" t="s">
        <v>7168</v>
      </c>
      <c r="G1346" s="496"/>
      <c r="H1346" s="994" t="s">
        <v>20277</v>
      </c>
      <c r="I1346" s="11" t="s">
        <v>2295</v>
      </c>
      <c r="J1346" s="1285"/>
      <c r="K1346" s="1285"/>
      <c r="L1346" s="1285"/>
    </row>
    <row r="1347" spans="1:12" ht="11.15" customHeight="1">
      <c r="A1347" s="181" t="s">
        <v>950</v>
      </c>
      <c r="B1347" s="59" t="s">
        <v>20429</v>
      </c>
      <c r="C1347" s="147" t="s">
        <v>20221</v>
      </c>
      <c r="D1347" s="284" t="s">
        <v>897</v>
      </c>
      <c r="E1347" s="178">
        <v>2011</v>
      </c>
      <c r="F1347" s="178" t="s">
        <v>23395</v>
      </c>
      <c r="G1347" s="496"/>
      <c r="H1347" s="994" t="s">
        <v>20221</v>
      </c>
      <c r="I1347" s="11" t="s">
        <v>2296</v>
      </c>
      <c r="J1347" s="1285"/>
      <c r="K1347" s="1285"/>
      <c r="L1347" s="1285"/>
    </row>
    <row r="1348" spans="1:12" ht="11.15" customHeight="1">
      <c r="A1348" s="29" t="s">
        <v>2297</v>
      </c>
      <c r="B1348" s="59" t="s">
        <v>20429</v>
      </c>
      <c r="C1348" s="147" t="s">
        <v>20221</v>
      </c>
      <c r="D1348" s="284" t="s">
        <v>897</v>
      </c>
      <c r="E1348" s="178">
        <v>2010</v>
      </c>
      <c r="F1348" s="178" t="s">
        <v>4520</v>
      </c>
      <c r="G1348" s="496"/>
      <c r="H1348" s="994" t="s">
        <v>20221</v>
      </c>
      <c r="I1348" s="11" t="s">
        <v>2298</v>
      </c>
      <c r="J1348" s="1285"/>
      <c r="K1348" s="1285"/>
      <c r="L1348" s="1285"/>
    </row>
    <row r="1349" spans="1:12" ht="11.15" customHeight="1">
      <c r="A1349" s="129" t="s">
        <v>903</v>
      </c>
      <c r="B1349" s="59" t="s">
        <v>20429</v>
      </c>
      <c r="C1349" s="147" t="s">
        <v>20221</v>
      </c>
      <c r="D1349" s="284" t="s">
        <v>897</v>
      </c>
      <c r="E1349" s="178">
        <v>2005</v>
      </c>
      <c r="F1349" s="178" t="s">
        <v>4520</v>
      </c>
      <c r="G1349" s="496"/>
      <c r="H1349" s="994" t="s">
        <v>20221</v>
      </c>
      <c r="I1349" s="11" t="s">
        <v>2299</v>
      </c>
      <c r="J1349" s="1285"/>
      <c r="K1349" s="1285"/>
      <c r="L1349" s="1285"/>
    </row>
    <row r="1350" spans="1:12" ht="9.75" customHeight="1">
      <c r="A1350" s="162" t="s">
        <v>2300</v>
      </c>
      <c r="B1350" s="59" t="s">
        <v>20429</v>
      </c>
      <c r="C1350" s="147" t="s">
        <v>20221</v>
      </c>
      <c r="D1350" s="284" t="s">
        <v>897</v>
      </c>
      <c r="E1350" s="178">
        <v>2002</v>
      </c>
      <c r="F1350" s="178" t="s">
        <v>23395</v>
      </c>
      <c r="G1350" s="496"/>
      <c r="H1350" s="994" t="s">
        <v>20224</v>
      </c>
      <c r="I1350" s="11" t="s">
        <v>2301</v>
      </c>
      <c r="J1350" s="1285"/>
      <c r="K1350" s="1285"/>
      <c r="L1350" s="1285"/>
    </row>
    <row r="1351" spans="1:12" ht="11.15" customHeight="1">
      <c r="A1351" s="162" t="s">
        <v>2302</v>
      </c>
      <c r="B1351" s="59" t="s">
        <v>20430</v>
      </c>
      <c r="C1351" s="147" t="s">
        <v>20221</v>
      </c>
      <c r="D1351" s="284" t="s">
        <v>897</v>
      </c>
      <c r="E1351" s="178">
        <v>1991</v>
      </c>
      <c r="F1351" s="178" t="s">
        <v>23395</v>
      </c>
      <c r="G1351" s="496"/>
      <c r="H1351" s="994" t="s">
        <v>20221</v>
      </c>
      <c r="I1351" s="11" t="s">
        <v>2303</v>
      </c>
      <c r="J1351" s="1285"/>
      <c r="K1351" s="1285"/>
      <c r="L1351" s="1285"/>
    </row>
    <row r="1352" spans="1:12" ht="11.15" customHeight="1">
      <c r="A1352" s="162" t="s">
        <v>2304</v>
      </c>
      <c r="B1352" s="154" t="s">
        <v>2305</v>
      </c>
      <c r="C1352" s="147"/>
      <c r="D1352" s="129"/>
      <c r="E1352" s="129"/>
      <c r="F1352" s="29"/>
      <c r="G1352" s="29"/>
      <c r="H1352" s="29"/>
      <c r="I1352" s="11"/>
    </row>
    <row r="1353" spans="1:12" ht="11.15" customHeight="1">
      <c r="A1353" s="162" t="s">
        <v>2306</v>
      </c>
      <c r="B1353" s="59" t="s">
        <v>20431</v>
      </c>
      <c r="C1353" s="147" t="s">
        <v>20221</v>
      </c>
      <c r="D1353" s="284" t="s">
        <v>897</v>
      </c>
      <c r="E1353" s="178">
        <v>2011</v>
      </c>
      <c r="F1353" s="178" t="s">
        <v>11931</v>
      </c>
      <c r="G1353" s="496"/>
      <c r="H1353" s="994" t="s">
        <v>20224</v>
      </c>
      <c r="I1353" s="11" t="s">
        <v>2307</v>
      </c>
      <c r="J1353" s="1285"/>
      <c r="K1353" s="1285"/>
      <c r="L1353" s="1285"/>
    </row>
    <row r="1354" spans="1:12" ht="11.15" customHeight="1">
      <c r="A1354" s="166" t="s">
        <v>2308</v>
      </c>
      <c r="B1354" s="59" t="s">
        <v>20431</v>
      </c>
      <c r="C1354" s="147" t="s">
        <v>20221</v>
      </c>
      <c r="D1354" s="284" t="s">
        <v>897</v>
      </c>
      <c r="E1354" s="178">
        <v>1991</v>
      </c>
      <c r="F1354" s="178" t="s">
        <v>11931</v>
      </c>
      <c r="G1354" s="496"/>
      <c r="H1354" s="994" t="s">
        <v>20224</v>
      </c>
      <c r="I1354" s="11" t="s">
        <v>2309</v>
      </c>
      <c r="J1354" s="1285"/>
      <c r="K1354" s="1285"/>
      <c r="L1354" s="1285"/>
    </row>
    <row r="1355" spans="1:12" ht="11.15" customHeight="1">
      <c r="A1355" s="129" t="s">
        <v>2310</v>
      </c>
      <c r="B1355" s="29"/>
      <c r="C1355" s="147"/>
      <c r="D1355" s="29"/>
      <c r="E1355" s="29"/>
      <c r="F1355" s="29"/>
      <c r="G1355" s="29"/>
      <c r="H1355" s="29"/>
      <c r="I1355" s="11"/>
    </row>
    <row r="1356" spans="1:12" ht="10.5" customHeight="1">
      <c r="A1356" s="29"/>
      <c r="B1356" s="29"/>
      <c r="C1356" s="147"/>
      <c r="D1356" s="29"/>
      <c r="E1356" s="29"/>
      <c r="F1356" s="29"/>
      <c r="G1356" s="29"/>
      <c r="H1356" s="29"/>
      <c r="I1356" s="11"/>
    </row>
    <row r="1357" spans="1:12" ht="24" customHeight="1" thickBot="1">
      <c r="A1357" s="314"/>
      <c r="B1357" s="310" t="s">
        <v>2311</v>
      </c>
      <c r="C1357" s="311"/>
      <c r="D1357" s="310"/>
      <c r="E1357" s="315"/>
      <c r="F1357" s="1071"/>
      <c r="G1357" s="1203"/>
      <c r="H1357" s="315"/>
      <c r="I1357" s="11"/>
    </row>
    <row r="1358" spans="1:12" ht="11.15" customHeight="1" thickBot="1">
      <c r="A1358" s="184" t="s">
        <v>2312</v>
      </c>
      <c r="B1358" s="59" t="s">
        <v>20432</v>
      </c>
      <c r="C1358" s="147" t="s">
        <v>20221</v>
      </c>
      <c r="D1358" s="284" t="s">
        <v>897</v>
      </c>
      <c r="E1358" s="178">
        <v>2016</v>
      </c>
      <c r="F1358" s="178" t="s">
        <v>4520</v>
      </c>
      <c r="G1358" s="496"/>
      <c r="H1358" s="994" t="s">
        <v>20221</v>
      </c>
      <c r="I1358" s="12" t="s">
        <v>2313</v>
      </c>
      <c r="J1358" s="1285"/>
      <c r="K1358" s="1285"/>
      <c r="L1358" s="1285"/>
    </row>
    <row r="1359" spans="1:12" ht="11.15" customHeight="1">
      <c r="A1359" s="58" t="s">
        <v>2314</v>
      </c>
      <c r="B1359" s="59"/>
      <c r="C1359" s="147"/>
      <c r="D1359" s="284"/>
      <c r="E1359" s="178"/>
      <c r="F1359" s="178"/>
      <c r="G1359" s="496"/>
      <c r="H1359" s="994"/>
      <c r="I1359" s="12"/>
      <c r="J1359" s="1285"/>
      <c r="K1359" s="1285"/>
      <c r="L1359" s="1285"/>
    </row>
    <row r="1360" spans="1:12" ht="11.15" customHeight="1">
      <c r="A1360" s="58" t="s">
        <v>2315</v>
      </c>
      <c r="B1360" s="90"/>
      <c r="C1360" s="147"/>
      <c r="D1360" s="161"/>
      <c r="E1360" s="36"/>
      <c r="F1360" s="178"/>
      <c r="G1360" s="671"/>
      <c r="H1360" s="36"/>
      <c r="I1360" s="11"/>
    </row>
    <row r="1361" spans="1:12" ht="11.15" customHeight="1">
      <c r="A1361" s="160" t="s">
        <v>2316</v>
      </c>
      <c r="B1361" s="90"/>
      <c r="C1361" s="147"/>
      <c r="D1361" s="161"/>
      <c r="E1361" s="36"/>
      <c r="F1361" s="178"/>
      <c r="G1361" s="671"/>
      <c r="H1361" s="36"/>
      <c r="I1361" s="11"/>
    </row>
    <row r="1362" spans="1:12" ht="11.15" customHeight="1">
      <c r="A1362" s="168" t="s">
        <v>2317</v>
      </c>
      <c r="B1362" s="90"/>
      <c r="C1362" s="147"/>
      <c r="D1362" s="122"/>
      <c r="E1362" s="36"/>
      <c r="F1362" s="178"/>
      <c r="G1362" s="60"/>
      <c r="H1362" s="36"/>
      <c r="I1362" s="11"/>
    </row>
    <row r="1363" spans="1:12" ht="11.15" customHeight="1">
      <c r="A1363" s="129" t="s">
        <v>2318</v>
      </c>
      <c r="B1363" s="90"/>
      <c r="C1363" s="147"/>
      <c r="D1363" s="122"/>
      <c r="E1363" s="36"/>
      <c r="F1363" s="178"/>
      <c r="G1363" s="60"/>
      <c r="H1363" s="36"/>
      <c r="I1363" s="11"/>
    </row>
    <row r="1364" spans="1:12" ht="11.15" customHeight="1" thickBot="1">
      <c r="A1364" s="29"/>
      <c r="B1364" s="185"/>
      <c r="C1364" s="147"/>
      <c r="D1364" s="185"/>
      <c r="E1364" s="185"/>
      <c r="F1364" s="185"/>
      <c r="G1364" s="185"/>
      <c r="H1364" s="185"/>
      <c r="I1364" s="11"/>
    </row>
    <row r="1365" spans="1:12" ht="11.15" customHeight="1" thickBot="1">
      <c r="A1365" s="184" t="s">
        <v>2319</v>
      </c>
      <c r="B1365" s="59" t="s">
        <v>20433</v>
      </c>
      <c r="C1365" s="147" t="s">
        <v>20221</v>
      </c>
      <c r="D1365" s="284" t="s">
        <v>897</v>
      </c>
      <c r="E1365" s="178">
        <v>2022</v>
      </c>
      <c r="F1365" s="178" t="s">
        <v>4520</v>
      </c>
      <c r="G1365" s="496"/>
      <c r="H1365" s="994" t="s">
        <v>20343</v>
      </c>
      <c r="I1365" s="12" t="s">
        <v>2320</v>
      </c>
      <c r="J1365" s="1285"/>
      <c r="K1365" s="1285"/>
      <c r="L1365" s="1285"/>
    </row>
    <row r="1366" spans="1:12" ht="11.15" customHeight="1">
      <c r="A1366" s="58" t="s">
        <v>2321</v>
      </c>
      <c r="B1366" s="59" t="s">
        <v>20434</v>
      </c>
      <c r="C1366" s="147" t="s">
        <v>20221</v>
      </c>
      <c r="D1366" s="284" t="s">
        <v>897</v>
      </c>
      <c r="E1366" s="178">
        <v>2022</v>
      </c>
      <c r="F1366" s="178" t="s">
        <v>4520</v>
      </c>
      <c r="G1366" s="496"/>
      <c r="H1366" s="994" t="s">
        <v>20343</v>
      </c>
      <c r="I1366" s="12" t="s">
        <v>2322</v>
      </c>
      <c r="J1366" s="1285"/>
      <c r="K1366" s="1285"/>
      <c r="L1366" s="1285"/>
    </row>
    <row r="1367" spans="1:12" ht="11.15" customHeight="1">
      <c r="A1367" s="58" t="s">
        <v>2323</v>
      </c>
      <c r="B1367" s="90"/>
      <c r="C1367" s="147"/>
      <c r="D1367" s="161"/>
      <c r="E1367" s="36"/>
      <c r="F1367" s="178"/>
      <c r="G1367" s="671"/>
      <c r="H1367" s="36"/>
      <c r="I1367" s="11"/>
    </row>
    <row r="1368" spans="1:12" ht="11.15" customHeight="1">
      <c r="A1368" s="58" t="s">
        <v>2324</v>
      </c>
      <c r="B1368" s="90"/>
      <c r="C1368" s="147"/>
      <c r="D1368" s="161"/>
      <c r="E1368" s="36"/>
      <c r="F1368" s="178"/>
      <c r="G1368" s="671"/>
      <c r="H1368" s="36"/>
      <c r="I1368" s="11"/>
    </row>
    <row r="1369" spans="1:12" ht="11.15" customHeight="1">
      <c r="A1369" s="212" t="s">
        <v>1528</v>
      </c>
      <c r="B1369" s="90"/>
      <c r="C1369" s="147"/>
      <c r="D1369" s="161"/>
      <c r="E1369" s="36"/>
      <c r="F1369" s="178"/>
      <c r="G1369" s="496"/>
      <c r="H1369" s="36"/>
      <c r="I1369" s="11"/>
    </row>
    <row r="1370" spans="1:12" ht="11.15" customHeight="1">
      <c r="A1370" s="129" t="s">
        <v>2136</v>
      </c>
      <c r="B1370" s="185"/>
      <c r="C1370" s="147"/>
      <c r="D1370" s="129"/>
      <c r="E1370" s="185"/>
      <c r="F1370" s="185"/>
      <c r="G1370" s="185"/>
      <c r="H1370" s="185"/>
      <c r="I1370" s="11"/>
    </row>
    <row r="1371" spans="1:12" ht="11.15" customHeight="1">
      <c r="A1371" s="129" t="s">
        <v>1530</v>
      </c>
      <c r="B1371" s="185"/>
      <c r="C1371" s="147"/>
      <c r="D1371" s="129"/>
      <c r="E1371" s="185"/>
      <c r="F1371" s="185"/>
      <c r="G1371" s="185"/>
      <c r="H1371" s="185"/>
      <c r="I1371" s="11"/>
    </row>
    <row r="1372" spans="1:12" ht="11.15" customHeight="1">
      <c r="A1372" s="129" t="s">
        <v>2325</v>
      </c>
      <c r="B1372" s="185"/>
      <c r="C1372" s="147"/>
      <c r="D1372" s="129"/>
      <c r="E1372" s="185"/>
      <c r="F1372" s="185"/>
      <c r="G1372" s="185"/>
      <c r="H1372" s="185"/>
      <c r="I1372" s="11"/>
    </row>
    <row r="1373" spans="1:12" ht="11.15" customHeight="1">
      <c r="A1373" s="29"/>
      <c r="B1373" s="29"/>
      <c r="C1373" s="147"/>
      <c r="D1373" s="122"/>
      <c r="E1373" s="36"/>
      <c r="F1373" s="178"/>
      <c r="G1373" s="453"/>
      <c r="H1373" s="36"/>
      <c r="I1373" s="11"/>
    </row>
    <row r="1374" spans="1:12" ht="24" customHeight="1" thickBot="1">
      <c r="A1374" s="309"/>
      <c r="B1374" s="310" t="s">
        <v>2326</v>
      </c>
      <c r="C1374" s="311"/>
      <c r="D1374" s="312"/>
      <c r="E1374" s="313"/>
      <c r="F1374" s="1070"/>
      <c r="G1374" s="1202"/>
      <c r="H1374" s="313"/>
      <c r="I1374" s="11"/>
    </row>
    <row r="1375" spans="1:12" ht="11.15" customHeight="1" thickBot="1">
      <c r="A1375" s="184" t="s">
        <v>2327</v>
      </c>
      <c r="B1375" s="59" t="s">
        <v>20435</v>
      </c>
      <c r="C1375" s="147" t="s">
        <v>20221</v>
      </c>
      <c r="D1375" s="284" t="s">
        <v>897</v>
      </c>
      <c r="E1375" s="178">
        <v>2022</v>
      </c>
      <c r="F1375" s="178" t="s">
        <v>4520</v>
      </c>
      <c r="G1375" s="496"/>
      <c r="H1375" s="994" t="s">
        <v>20221</v>
      </c>
      <c r="I1375" s="12" t="s">
        <v>2328</v>
      </c>
      <c r="J1375" s="1285"/>
      <c r="K1375" s="1285"/>
      <c r="L1375" s="1285"/>
    </row>
    <row r="1376" spans="1:12" ht="11.15" customHeight="1">
      <c r="A1376" s="58" t="s">
        <v>2329</v>
      </c>
      <c r="B1376" s="59" t="s">
        <v>20435</v>
      </c>
      <c r="C1376" s="147" t="s">
        <v>20221</v>
      </c>
      <c r="D1376" s="284" t="s">
        <v>897</v>
      </c>
      <c r="E1376" s="178">
        <v>2021</v>
      </c>
      <c r="F1376" s="178" t="s">
        <v>4520</v>
      </c>
      <c r="G1376" s="496"/>
      <c r="H1376" s="994" t="s">
        <v>20221</v>
      </c>
      <c r="I1376" s="12" t="s">
        <v>2330</v>
      </c>
      <c r="J1376" s="1285"/>
      <c r="K1376" s="1285"/>
      <c r="L1376" s="1285"/>
    </row>
    <row r="1377" spans="1:12" ht="11.15" customHeight="1">
      <c r="A1377" s="29" t="s">
        <v>2331</v>
      </c>
      <c r="B1377" s="59" t="s">
        <v>20435</v>
      </c>
      <c r="C1377" s="147" t="s">
        <v>20221</v>
      </c>
      <c r="D1377" s="284" t="s">
        <v>897</v>
      </c>
      <c r="E1377" s="178">
        <v>2020</v>
      </c>
      <c r="F1377" s="178" t="s">
        <v>4520</v>
      </c>
      <c r="G1377" s="496"/>
      <c r="H1377" s="994" t="s">
        <v>20221</v>
      </c>
      <c r="I1377" s="12" t="s">
        <v>2332</v>
      </c>
      <c r="J1377" s="1285"/>
      <c r="K1377" s="1285"/>
      <c r="L1377" s="1285"/>
    </row>
    <row r="1378" spans="1:12" ht="11.15" customHeight="1">
      <c r="A1378" s="58" t="s">
        <v>2333</v>
      </c>
      <c r="B1378" s="59" t="s">
        <v>20435</v>
      </c>
      <c r="C1378" s="147" t="s">
        <v>20221</v>
      </c>
      <c r="D1378" s="284" t="s">
        <v>897</v>
      </c>
      <c r="E1378" s="178">
        <v>2019</v>
      </c>
      <c r="F1378" s="178" t="s">
        <v>4520</v>
      </c>
      <c r="G1378" s="496"/>
      <c r="H1378" s="994" t="s">
        <v>20221</v>
      </c>
      <c r="I1378" s="12" t="s">
        <v>2334</v>
      </c>
      <c r="J1378" s="1285"/>
      <c r="K1378" s="1285"/>
      <c r="L1378" s="1285"/>
    </row>
    <row r="1379" spans="1:12" ht="11.15" customHeight="1">
      <c r="A1379" s="29" t="s">
        <v>2335</v>
      </c>
      <c r="B1379" s="154" t="s">
        <v>2336</v>
      </c>
      <c r="C1379" s="147"/>
      <c r="D1379" s="129"/>
      <c r="E1379" s="185"/>
      <c r="F1379" s="185"/>
      <c r="G1379" s="185"/>
      <c r="H1379" s="185"/>
      <c r="I1379" s="11"/>
    </row>
    <row r="1380" spans="1:12" ht="11.15" customHeight="1">
      <c r="A1380" s="195" t="s">
        <v>2337</v>
      </c>
      <c r="B1380" s="59" t="s">
        <v>20436</v>
      </c>
      <c r="C1380" s="147" t="s">
        <v>20221</v>
      </c>
      <c r="D1380" s="284" t="s">
        <v>897</v>
      </c>
      <c r="E1380" s="178">
        <v>2019</v>
      </c>
      <c r="F1380" s="178" t="s">
        <v>11931</v>
      </c>
      <c r="G1380" s="496"/>
      <c r="H1380" s="994" t="s">
        <v>20221</v>
      </c>
      <c r="I1380" s="12" t="s">
        <v>2338</v>
      </c>
      <c r="J1380" s="1285"/>
      <c r="K1380" s="1285"/>
      <c r="L1380" s="1285"/>
    </row>
    <row r="1381" spans="1:12" ht="11.15" customHeight="1">
      <c r="A1381" s="29" t="s">
        <v>2339</v>
      </c>
      <c r="B1381" s="59" t="s">
        <v>20437</v>
      </c>
      <c r="C1381" s="147" t="s">
        <v>20221</v>
      </c>
      <c r="D1381" s="284" t="s">
        <v>897</v>
      </c>
      <c r="E1381" s="178">
        <v>2019</v>
      </c>
      <c r="F1381" s="178" t="s">
        <v>11938</v>
      </c>
      <c r="G1381" s="496"/>
      <c r="H1381" s="994" t="s">
        <v>20224</v>
      </c>
      <c r="I1381" s="12" t="s">
        <v>2340</v>
      </c>
      <c r="J1381" s="1285"/>
      <c r="K1381" s="1285"/>
      <c r="L1381" s="1285"/>
    </row>
    <row r="1382" spans="1:12" ht="11.15" customHeight="1">
      <c r="A1382" s="29" t="s">
        <v>2341</v>
      </c>
      <c r="B1382" s="90"/>
      <c r="C1382" s="147"/>
      <c r="D1382" s="122"/>
      <c r="E1382" s="36"/>
      <c r="F1382" s="178"/>
      <c r="G1382" s="60"/>
      <c r="H1382" s="36"/>
      <c r="I1382" s="11"/>
    </row>
    <row r="1383" spans="1:12" ht="11.15" customHeight="1">
      <c r="A1383" s="160" t="s">
        <v>1640</v>
      </c>
      <c r="B1383" s="90"/>
      <c r="C1383" s="147"/>
      <c r="D1383" s="122"/>
      <c r="E1383" s="36"/>
      <c r="F1383" s="178"/>
      <c r="G1383" s="60"/>
      <c r="H1383" s="36"/>
      <c r="I1383" s="11"/>
    </row>
    <row r="1384" spans="1:12" ht="11.15" customHeight="1">
      <c r="A1384" s="166" t="s">
        <v>2342</v>
      </c>
      <c r="B1384" s="90"/>
      <c r="C1384" s="147"/>
      <c r="D1384" s="122"/>
      <c r="E1384" s="36"/>
      <c r="F1384" s="178"/>
      <c r="G1384" s="60"/>
      <c r="H1384" s="36"/>
      <c r="I1384" s="11"/>
    </row>
    <row r="1385" spans="1:12" ht="11.15" customHeight="1">
      <c r="A1385" s="129" t="s">
        <v>2343</v>
      </c>
      <c r="B1385" s="90"/>
      <c r="C1385" s="147"/>
      <c r="D1385" s="122"/>
      <c r="E1385" s="36"/>
      <c r="F1385" s="178"/>
      <c r="G1385" s="60"/>
      <c r="H1385" s="36"/>
      <c r="I1385" s="11"/>
    </row>
    <row r="1386" spans="1:12" ht="11.15" customHeight="1">
      <c r="A1386" s="185"/>
      <c r="B1386" s="90"/>
      <c r="C1386" s="147"/>
      <c r="D1386" s="122"/>
      <c r="E1386" s="36"/>
      <c r="F1386" s="178"/>
      <c r="G1386" s="60"/>
      <c r="H1386" s="36"/>
      <c r="I1386" s="11"/>
    </row>
    <row r="1387" spans="1:12" ht="24" customHeight="1" thickBot="1">
      <c r="A1387" s="309"/>
      <c r="B1387" s="310" t="s">
        <v>2344</v>
      </c>
      <c r="C1387" s="311"/>
      <c r="D1387" s="312"/>
      <c r="E1387" s="313"/>
      <c r="F1387" s="1070"/>
      <c r="G1387" s="1202"/>
      <c r="H1387" s="313"/>
      <c r="I1387" s="11"/>
    </row>
    <row r="1388" spans="1:12" ht="11.15" customHeight="1" thickBot="1">
      <c r="A1388" s="184" t="s">
        <v>2345</v>
      </c>
      <c r="B1388" s="59" t="s">
        <v>20438</v>
      </c>
      <c r="C1388" s="147" t="s">
        <v>23393</v>
      </c>
      <c r="D1388" s="284" t="s">
        <v>897</v>
      </c>
      <c r="E1388" s="178">
        <v>2020</v>
      </c>
      <c r="F1388" s="178" t="s">
        <v>4520</v>
      </c>
      <c r="G1388" s="496"/>
      <c r="H1388" s="994" t="s">
        <v>20221</v>
      </c>
      <c r="I1388" s="11" t="s">
        <v>2346</v>
      </c>
      <c r="J1388" s="1285"/>
      <c r="K1388" s="1285"/>
      <c r="L1388" s="1285"/>
    </row>
    <row r="1389" spans="1:12" ht="11.15" customHeight="1">
      <c r="A1389" s="29" t="s">
        <v>2347</v>
      </c>
      <c r="B1389" s="90"/>
      <c r="C1389" s="147"/>
      <c r="D1389" s="161"/>
      <c r="E1389" s="36"/>
      <c r="F1389" s="178"/>
      <c r="G1389" s="496"/>
      <c r="H1389" s="36"/>
      <c r="I1389" s="11"/>
    </row>
    <row r="1390" spans="1:12" ht="11.15" customHeight="1">
      <c r="A1390" s="29" t="s">
        <v>2348</v>
      </c>
      <c r="B1390" s="90"/>
      <c r="C1390" s="147"/>
      <c r="D1390" s="161"/>
      <c r="E1390" s="36"/>
      <c r="F1390" s="178"/>
      <c r="G1390" s="496"/>
      <c r="H1390" s="36"/>
      <c r="I1390" s="11"/>
    </row>
    <row r="1391" spans="1:12" ht="11.15" customHeight="1">
      <c r="A1391" s="181" t="s">
        <v>2349</v>
      </c>
      <c r="B1391" s="90"/>
      <c r="C1391" s="147"/>
      <c r="D1391" s="161"/>
      <c r="E1391" s="36"/>
      <c r="F1391" s="178"/>
      <c r="G1391" s="496"/>
      <c r="H1391" s="36"/>
      <c r="I1391" s="11"/>
    </row>
    <row r="1392" spans="1:12" ht="11.15" customHeight="1">
      <c r="A1392" s="166" t="s">
        <v>2350</v>
      </c>
      <c r="B1392" s="90"/>
      <c r="C1392" s="147"/>
      <c r="D1392" s="122"/>
      <c r="E1392" s="36"/>
      <c r="F1392" s="178"/>
      <c r="G1392" s="60"/>
      <c r="H1392" s="36"/>
      <c r="I1392" s="11"/>
    </row>
    <row r="1393" spans="1:12" ht="11.15" customHeight="1">
      <c r="A1393" s="129" t="s">
        <v>2351</v>
      </c>
      <c r="B1393" s="90"/>
      <c r="C1393" s="147"/>
      <c r="D1393" s="122"/>
      <c r="E1393" s="36"/>
      <c r="F1393" s="178"/>
      <c r="G1393" s="60"/>
      <c r="H1393" s="36"/>
      <c r="I1393" s="11"/>
    </row>
    <row r="1394" spans="1:12" ht="11.15" customHeight="1">
      <c r="A1394" s="29"/>
      <c r="B1394" s="29"/>
      <c r="C1394" s="147"/>
      <c r="D1394" s="122"/>
      <c r="E1394" s="36"/>
      <c r="F1394" s="178"/>
      <c r="G1394" s="453"/>
      <c r="H1394" s="36"/>
      <c r="I1394" s="11"/>
    </row>
    <row r="1395" spans="1:12" ht="24" customHeight="1">
      <c r="A1395" s="309"/>
      <c r="B1395" s="310" t="s">
        <v>2352</v>
      </c>
      <c r="C1395" s="311"/>
      <c r="D1395" s="312"/>
      <c r="E1395" s="313"/>
      <c r="F1395" s="1070"/>
      <c r="G1395" s="1202"/>
      <c r="H1395" s="313"/>
      <c r="I1395" s="11"/>
    </row>
    <row r="1396" spans="1:12" ht="11.15" customHeight="1">
      <c r="A1396" s="29"/>
      <c r="B1396" s="146" t="s">
        <v>2353</v>
      </c>
      <c r="C1396" s="147"/>
      <c r="D1396" s="122"/>
      <c r="E1396" s="36"/>
      <c r="F1396" s="178"/>
      <c r="G1396" s="453"/>
      <c r="H1396" s="36"/>
      <c r="I1396" s="11"/>
    </row>
    <row r="1397" spans="1:12" ht="9" customHeight="1">
      <c r="A1397" s="185"/>
      <c r="B1397" s="316" t="s">
        <v>2354</v>
      </c>
      <c r="C1397" s="147"/>
      <c r="D1397" s="122"/>
      <c r="E1397" s="36"/>
      <c r="F1397" s="178"/>
      <c r="G1397" s="60"/>
      <c r="H1397" s="36"/>
      <c r="I1397" s="11"/>
    </row>
    <row r="1398" spans="1:12" ht="9" customHeight="1">
      <c r="A1398" s="185"/>
      <c r="B1398" s="316" t="s">
        <v>2355</v>
      </c>
      <c r="C1398" s="147"/>
      <c r="D1398" s="122"/>
      <c r="E1398" s="36"/>
      <c r="F1398" s="178"/>
      <c r="G1398" s="60"/>
      <c r="H1398" s="36"/>
      <c r="I1398" s="11"/>
    </row>
    <row r="1399" spans="1:12" ht="9" customHeight="1">
      <c r="A1399" s="185"/>
      <c r="B1399" s="317" t="s">
        <v>2356</v>
      </c>
      <c r="C1399" s="147"/>
      <c r="D1399" s="122"/>
      <c r="E1399" s="36"/>
      <c r="F1399" s="178"/>
      <c r="G1399" s="60"/>
      <c r="H1399" s="36"/>
      <c r="I1399" s="11"/>
    </row>
    <row r="1400" spans="1:12" ht="9" customHeight="1">
      <c r="A1400" s="185"/>
      <c r="B1400" s="150" t="s">
        <v>2357</v>
      </c>
      <c r="C1400" s="147"/>
      <c r="D1400" s="122"/>
      <c r="E1400" s="36"/>
      <c r="F1400" s="178"/>
      <c r="G1400" s="60"/>
      <c r="H1400" s="36"/>
      <c r="I1400" s="11"/>
    </row>
    <row r="1401" spans="1:12" ht="9" customHeight="1">
      <c r="A1401" s="185"/>
      <c r="B1401" s="150" t="s">
        <v>2358</v>
      </c>
      <c r="C1401" s="147"/>
      <c r="D1401" s="122"/>
      <c r="E1401" s="36"/>
      <c r="F1401" s="178"/>
      <c r="G1401" s="60"/>
      <c r="H1401" s="36"/>
      <c r="I1401" s="11"/>
    </row>
    <row r="1402" spans="1:12" ht="9" customHeight="1" thickBot="1">
      <c r="A1402" s="185"/>
      <c r="B1402" s="150" t="s">
        <v>2359</v>
      </c>
      <c r="C1402" s="147"/>
      <c r="D1402" s="122"/>
      <c r="E1402" s="36"/>
      <c r="F1402" s="178"/>
      <c r="G1402" s="60"/>
      <c r="H1402" s="36"/>
      <c r="I1402" s="11"/>
    </row>
    <row r="1403" spans="1:12" ht="11.15" customHeight="1">
      <c r="A1403" s="153" t="s">
        <v>2360</v>
      </c>
      <c r="B1403" s="59" t="s">
        <v>20441</v>
      </c>
      <c r="C1403" s="147" t="s">
        <v>20221</v>
      </c>
      <c r="D1403" s="284" t="s">
        <v>897</v>
      </c>
      <c r="E1403" s="178">
        <v>2022</v>
      </c>
      <c r="F1403" s="178" t="s">
        <v>4520</v>
      </c>
      <c r="G1403" s="496"/>
      <c r="H1403" s="994" t="s">
        <v>20221</v>
      </c>
      <c r="I1403" s="11" t="s">
        <v>2361</v>
      </c>
      <c r="J1403" s="1285"/>
      <c r="K1403" s="1285"/>
      <c r="L1403" s="1285"/>
    </row>
    <row r="1404" spans="1:12" ht="11.15" customHeight="1" thickBot="1">
      <c r="A1404" s="230" t="s">
        <v>2362</v>
      </c>
      <c r="B1404" s="59" t="s">
        <v>20441</v>
      </c>
      <c r="C1404" s="147" t="s">
        <v>20221</v>
      </c>
      <c r="D1404" s="284" t="s">
        <v>897</v>
      </c>
      <c r="E1404" s="178">
        <v>2021</v>
      </c>
      <c r="F1404" s="178" t="s">
        <v>4520</v>
      </c>
      <c r="G1404" s="496"/>
      <c r="H1404" s="994" t="s">
        <v>20221</v>
      </c>
      <c r="I1404" s="11" t="s">
        <v>2363</v>
      </c>
      <c r="J1404" s="1285"/>
      <c r="K1404" s="1285"/>
      <c r="L1404" s="1285"/>
    </row>
    <row r="1405" spans="1:12" ht="11.15" customHeight="1">
      <c r="A1405" s="29" t="s">
        <v>2364</v>
      </c>
      <c r="B1405" s="59" t="s">
        <v>20443</v>
      </c>
      <c r="C1405" s="147" t="s">
        <v>20221</v>
      </c>
      <c r="D1405" s="284" t="s">
        <v>897</v>
      </c>
      <c r="E1405" s="178">
        <v>2020</v>
      </c>
      <c r="F1405" s="178" t="s">
        <v>4520</v>
      </c>
      <c r="G1405" s="496"/>
      <c r="H1405" s="994" t="s">
        <v>20221</v>
      </c>
      <c r="I1405" s="11" t="s">
        <v>2365</v>
      </c>
      <c r="J1405" s="1285"/>
      <c r="K1405" s="1285"/>
      <c r="L1405" s="1285"/>
    </row>
    <row r="1406" spans="1:12" ht="11.15" customHeight="1">
      <c r="A1406" s="29" t="s">
        <v>2366</v>
      </c>
      <c r="B1406" s="59" t="s">
        <v>20443</v>
      </c>
      <c r="C1406" s="147" t="s">
        <v>20221</v>
      </c>
      <c r="D1406" s="284" t="s">
        <v>897</v>
      </c>
      <c r="E1406" s="178">
        <v>2018</v>
      </c>
      <c r="F1406" s="178" t="s">
        <v>4520</v>
      </c>
      <c r="G1406" s="496"/>
      <c r="H1406" s="994" t="s">
        <v>20221</v>
      </c>
      <c r="I1406" s="11" t="s">
        <v>2367</v>
      </c>
      <c r="J1406" s="1285"/>
      <c r="K1406" s="1285"/>
      <c r="L1406" s="1285"/>
    </row>
    <row r="1407" spans="1:12" ht="11.15" customHeight="1">
      <c r="A1407" s="29" t="s">
        <v>2368</v>
      </c>
      <c r="B1407" s="59" t="s">
        <v>20444</v>
      </c>
      <c r="C1407" s="147" t="s">
        <v>20221</v>
      </c>
      <c r="D1407" s="284" t="s">
        <v>897</v>
      </c>
      <c r="E1407" s="178">
        <v>2019</v>
      </c>
      <c r="F1407" s="178" t="s">
        <v>11931</v>
      </c>
      <c r="G1407" s="496"/>
      <c r="H1407" s="994" t="s">
        <v>20221</v>
      </c>
      <c r="I1407" s="11" t="s">
        <v>2369</v>
      </c>
      <c r="J1407" s="1285"/>
      <c r="K1407" s="1285"/>
      <c r="L1407" s="1285"/>
    </row>
    <row r="1408" spans="1:12" ht="11.15" customHeight="1">
      <c r="A1408" s="29" t="s">
        <v>2370</v>
      </c>
      <c r="B1408" s="59" t="s">
        <v>20444</v>
      </c>
      <c r="C1408" s="147" t="s">
        <v>20221</v>
      </c>
      <c r="D1408" s="284" t="s">
        <v>897</v>
      </c>
      <c r="E1408" s="178">
        <v>2015</v>
      </c>
      <c r="F1408" s="178" t="s">
        <v>9678</v>
      </c>
      <c r="G1408" s="496"/>
      <c r="H1408" s="994" t="s">
        <v>20224</v>
      </c>
      <c r="I1408" s="11" t="s">
        <v>2371</v>
      </c>
      <c r="J1408" s="1285"/>
      <c r="K1408" s="1285"/>
      <c r="L1408" s="1285"/>
    </row>
    <row r="1409" spans="1:9" ht="11.15" customHeight="1">
      <c r="A1409" s="29" t="s">
        <v>2372</v>
      </c>
      <c r="B1409" s="90"/>
      <c r="C1409" s="147"/>
      <c r="D1409" s="161"/>
      <c r="E1409" s="36"/>
      <c r="F1409" s="183"/>
      <c r="G1409" s="496"/>
      <c r="H1409" s="34"/>
      <c r="I1409" s="11"/>
    </row>
    <row r="1410" spans="1:9" ht="11.15" customHeight="1">
      <c r="A1410" s="29" t="s">
        <v>2373</v>
      </c>
      <c r="B1410" s="90"/>
      <c r="C1410" s="147"/>
      <c r="D1410" s="161"/>
      <c r="E1410" s="36"/>
      <c r="F1410" s="183"/>
      <c r="G1410" s="496"/>
      <c r="H1410" s="34"/>
      <c r="I1410" s="11"/>
    </row>
    <row r="1411" spans="1:9" ht="11.15" customHeight="1">
      <c r="A1411" s="29" t="s">
        <v>2374</v>
      </c>
      <c r="B1411" s="185"/>
      <c r="C1411" s="147"/>
      <c r="D1411" s="185"/>
      <c r="E1411" s="185"/>
      <c r="F1411" s="185"/>
      <c r="G1411" s="185"/>
      <c r="H1411" s="185"/>
      <c r="I1411" s="11"/>
    </row>
    <row r="1412" spans="1:9" ht="11.15" customHeight="1">
      <c r="A1412" s="29" t="s">
        <v>2375</v>
      </c>
      <c r="B1412" s="185"/>
      <c r="C1412" s="147"/>
      <c r="D1412" s="185"/>
      <c r="E1412" s="185"/>
      <c r="F1412" s="185"/>
      <c r="G1412" s="185"/>
      <c r="H1412" s="185"/>
      <c r="I1412" s="11"/>
    </row>
    <row r="1413" spans="1:9" ht="11.15" customHeight="1">
      <c r="A1413" s="29" t="s">
        <v>2376</v>
      </c>
      <c r="B1413" s="185"/>
      <c r="C1413" s="147"/>
      <c r="D1413" s="185"/>
      <c r="E1413" s="185"/>
      <c r="F1413" s="185"/>
      <c r="G1413" s="185"/>
      <c r="H1413" s="185"/>
      <c r="I1413" s="11"/>
    </row>
    <row r="1414" spans="1:9" ht="11.15" customHeight="1">
      <c r="A1414" s="218" t="s">
        <v>2377</v>
      </c>
      <c r="B1414" s="185"/>
      <c r="C1414" s="147"/>
      <c r="D1414" s="185"/>
      <c r="E1414" s="185"/>
      <c r="F1414" s="185"/>
      <c r="G1414" s="185"/>
      <c r="H1414" s="185"/>
      <c r="I1414" s="11"/>
    </row>
    <row r="1415" spans="1:9" ht="11.15" customHeight="1">
      <c r="A1415" s="195" t="s">
        <v>2378</v>
      </c>
      <c r="B1415" s="90"/>
      <c r="C1415" s="147"/>
      <c r="D1415" s="161"/>
      <c r="E1415" s="36"/>
      <c r="F1415" s="183"/>
      <c r="G1415" s="496"/>
      <c r="H1415" s="34"/>
      <c r="I1415" s="11"/>
    </row>
    <row r="1416" spans="1:9" ht="11.15" customHeight="1">
      <c r="A1416" s="29" t="s">
        <v>2379</v>
      </c>
      <c r="B1416" s="185"/>
      <c r="C1416" s="147"/>
      <c r="D1416" s="129"/>
      <c r="E1416" s="185"/>
      <c r="F1416" s="185"/>
      <c r="G1416" s="185"/>
      <c r="H1416" s="185"/>
      <c r="I1416" s="11"/>
    </row>
    <row r="1417" spans="1:9" ht="11.15" customHeight="1">
      <c r="A1417" s="29" t="s">
        <v>2380</v>
      </c>
      <c r="B1417" s="185"/>
      <c r="C1417" s="147"/>
      <c r="D1417" s="129"/>
      <c r="E1417" s="185"/>
      <c r="F1417" s="185"/>
      <c r="G1417" s="185"/>
      <c r="H1417" s="185"/>
      <c r="I1417" s="11"/>
    </row>
    <row r="1418" spans="1:9" ht="11.15" customHeight="1">
      <c r="A1418" s="195" t="s">
        <v>2381</v>
      </c>
      <c r="B1418" s="90"/>
      <c r="C1418" s="147"/>
      <c r="D1418" s="161"/>
      <c r="E1418" s="36"/>
      <c r="F1418" s="183"/>
      <c r="G1418" s="496"/>
      <c r="H1418" s="34"/>
      <c r="I1418" s="11"/>
    </row>
    <row r="1419" spans="1:9" ht="11.15" customHeight="1">
      <c r="A1419" s="195" t="s">
        <v>2382</v>
      </c>
      <c r="B1419" s="90"/>
      <c r="C1419" s="147"/>
      <c r="D1419" s="161"/>
      <c r="E1419" s="36"/>
      <c r="F1419" s="183"/>
      <c r="G1419" s="496"/>
      <c r="H1419" s="34"/>
      <c r="I1419" s="11"/>
    </row>
    <row r="1420" spans="1:9" ht="11.15" customHeight="1">
      <c r="A1420" s="129" t="s">
        <v>1077</v>
      </c>
      <c r="B1420" s="185"/>
      <c r="C1420" s="147"/>
      <c r="D1420" s="129"/>
      <c r="E1420" s="185"/>
      <c r="F1420" s="185"/>
      <c r="G1420" s="185"/>
      <c r="H1420" s="185"/>
      <c r="I1420" s="11"/>
    </row>
    <row r="1421" spans="1:9" ht="9" customHeight="1">
      <c r="A1421" s="162" t="s">
        <v>2383</v>
      </c>
      <c r="B1421" s="185"/>
      <c r="C1421" s="147"/>
      <c r="D1421" s="129"/>
      <c r="E1421" s="185"/>
      <c r="F1421" s="185"/>
      <c r="G1421" s="185"/>
      <c r="H1421" s="185"/>
      <c r="I1421" s="11"/>
    </row>
    <row r="1422" spans="1:9" ht="9" customHeight="1">
      <c r="A1422" s="162" t="s">
        <v>2384</v>
      </c>
      <c r="B1422" s="185"/>
      <c r="C1422" s="147"/>
      <c r="D1422" s="129"/>
      <c r="E1422" s="185"/>
      <c r="F1422" s="185"/>
      <c r="G1422" s="185"/>
      <c r="H1422" s="185"/>
      <c r="I1422" s="11"/>
    </row>
    <row r="1423" spans="1:9" ht="9" customHeight="1">
      <c r="A1423" s="162" t="s">
        <v>2385</v>
      </c>
      <c r="B1423" s="185"/>
      <c r="C1423" s="147"/>
      <c r="D1423" s="129"/>
      <c r="E1423" s="185"/>
      <c r="F1423" s="185"/>
      <c r="G1423" s="185"/>
      <c r="H1423" s="185"/>
      <c r="I1423" s="11"/>
    </row>
    <row r="1424" spans="1:9" ht="9" customHeight="1">
      <c r="A1424" s="162" t="s">
        <v>2386</v>
      </c>
      <c r="B1424" s="185"/>
      <c r="C1424" s="147"/>
      <c r="D1424" s="129"/>
      <c r="E1424" s="185"/>
      <c r="F1424" s="185"/>
      <c r="G1424" s="185"/>
      <c r="H1424" s="185"/>
      <c r="I1424" s="11"/>
    </row>
    <row r="1425" spans="1:9" ht="9" customHeight="1">
      <c r="A1425" s="162" t="s">
        <v>2387</v>
      </c>
      <c r="B1425" s="90"/>
      <c r="C1425" s="147"/>
      <c r="D1425" s="122"/>
      <c r="E1425" s="36"/>
      <c r="F1425" s="178"/>
      <c r="G1425" s="60"/>
      <c r="H1425" s="36"/>
      <c r="I1425" s="11"/>
    </row>
    <row r="1426" spans="1:9" ht="9" customHeight="1">
      <c r="A1426" s="162" t="s">
        <v>2388</v>
      </c>
      <c r="B1426" s="90"/>
      <c r="C1426" s="147"/>
      <c r="D1426" s="122"/>
      <c r="E1426" s="36"/>
      <c r="F1426" s="178"/>
      <c r="G1426" s="60"/>
      <c r="H1426" s="36"/>
      <c r="I1426" s="11"/>
    </row>
    <row r="1427" spans="1:9" ht="9" customHeight="1">
      <c r="A1427" s="162" t="s">
        <v>2389</v>
      </c>
      <c r="B1427" s="90"/>
      <c r="C1427" s="147"/>
      <c r="D1427" s="122"/>
      <c r="E1427" s="36"/>
      <c r="F1427" s="178"/>
      <c r="G1427" s="60"/>
      <c r="H1427" s="36"/>
      <c r="I1427" s="11"/>
    </row>
    <row r="1428" spans="1:9" ht="9" customHeight="1">
      <c r="A1428" s="162" t="s">
        <v>2390</v>
      </c>
      <c r="B1428" s="90"/>
      <c r="C1428" s="147"/>
      <c r="D1428" s="122"/>
      <c r="E1428" s="36"/>
      <c r="F1428" s="178"/>
      <c r="G1428" s="60"/>
      <c r="H1428" s="36"/>
      <c r="I1428" s="11"/>
    </row>
    <row r="1429" spans="1:9" ht="9" customHeight="1">
      <c r="A1429" s="162" t="s">
        <v>2391</v>
      </c>
      <c r="B1429" s="90"/>
      <c r="C1429" s="147"/>
      <c r="D1429" s="122"/>
      <c r="E1429" s="36"/>
      <c r="F1429" s="178"/>
      <c r="G1429" s="60"/>
      <c r="H1429" s="36"/>
      <c r="I1429" s="11"/>
    </row>
    <row r="1430" spans="1:9" ht="9" customHeight="1">
      <c r="A1430" s="162" t="s">
        <v>2392</v>
      </c>
      <c r="B1430" s="90"/>
      <c r="C1430" s="147"/>
      <c r="D1430" s="122"/>
      <c r="E1430" s="36"/>
      <c r="F1430" s="178"/>
      <c r="G1430" s="60"/>
      <c r="H1430" s="36"/>
      <c r="I1430" s="11"/>
    </row>
    <row r="1431" spans="1:9" ht="9" customHeight="1">
      <c r="A1431" s="162" t="s">
        <v>2393</v>
      </c>
      <c r="B1431" s="90"/>
      <c r="C1431" s="147"/>
      <c r="D1431" s="122"/>
      <c r="E1431" s="36"/>
      <c r="F1431" s="178"/>
      <c r="G1431" s="60"/>
      <c r="H1431" s="36"/>
      <c r="I1431" s="11"/>
    </row>
    <row r="1432" spans="1:9" ht="9" customHeight="1">
      <c r="A1432" s="162" t="s">
        <v>2394</v>
      </c>
      <c r="B1432" s="90"/>
      <c r="C1432" s="147"/>
      <c r="D1432" s="122"/>
      <c r="E1432" s="36"/>
      <c r="F1432" s="178"/>
      <c r="G1432" s="60"/>
      <c r="H1432" s="36"/>
      <c r="I1432" s="11"/>
    </row>
    <row r="1433" spans="1:9" ht="9" customHeight="1">
      <c r="A1433" s="162" t="s">
        <v>2395</v>
      </c>
      <c r="B1433" s="90"/>
      <c r="C1433" s="147"/>
      <c r="D1433" s="122"/>
      <c r="E1433" s="36"/>
      <c r="F1433" s="178"/>
      <c r="G1433" s="60"/>
      <c r="H1433" s="36"/>
      <c r="I1433" s="11"/>
    </row>
    <row r="1434" spans="1:9" ht="9" customHeight="1">
      <c r="A1434" s="162" t="s">
        <v>2396</v>
      </c>
      <c r="B1434" s="318"/>
      <c r="C1434" s="147"/>
      <c r="D1434" s="122"/>
      <c r="E1434" s="36"/>
      <c r="F1434" s="178"/>
      <c r="G1434" s="60"/>
      <c r="H1434" s="36"/>
      <c r="I1434" s="11"/>
    </row>
    <row r="1435" spans="1:9" ht="11.15" customHeight="1">
      <c r="A1435" s="169" t="s">
        <v>2397</v>
      </c>
      <c r="B1435" s="90"/>
      <c r="C1435" s="147"/>
      <c r="D1435" s="122"/>
      <c r="E1435" s="36"/>
      <c r="F1435" s="178"/>
      <c r="G1435" s="60"/>
      <c r="H1435" s="36"/>
      <c r="I1435" s="11"/>
    </row>
    <row r="1436" spans="1:9" ht="11.15" customHeight="1">
      <c r="A1436" s="129" t="s">
        <v>2398</v>
      </c>
      <c r="B1436" s="185"/>
      <c r="C1436" s="147"/>
      <c r="D1436" s="129"/>
      <c r="E1436" s="185"/>
      <c r="F1436" s="185"/>
      <c r="G1436" s="185"/>
      <c r="H1436" s="185"/>
      <c r="I1436" s="11"/>
    </row>
    <row r="1437" spans="1:9" ht="11.15" customHeight="1">
      <c r="A1437" s="129" t="s">
        <v>2399</v>
      </c>
      <c r="B1437" s="90"/>
      <c r="C1437" s="147"/>
      <c r="D1437" s="122"/>
      <c r="E1437" s="36"/>
      <c r="F1437" s="178"/>
      <c r="G1437" s="60"/>
      <c r="H1437" s="36"/>
      <c r="I1437" s="11"/>
    </row>
    <row r="1438" spans="1:9" ht="11.15" customHeight="1">
      <c r="A1438" s="129" t="s">
        <v>2400</v>
      </c>
      <c r="B1438" s="90"/>
      <c r="C1438" s="147"/>
      <c r="D1438" s="122"/>
      <c r="E1438" s="36"/>
      <c r="F1438" s="178"/>
      <c r="G1438" s="60"/>
      <c r="H1438" s="36"/>
      <c r="I1438" s="11"/>
    </row>
    <row r="1439" spans="1:9" ht="11.15" customHeight="1">
      <c r="A1439" s="129" t="s">
        <v>2401</v>
      </c>
      <c r="B1439" s="185"/>
      <c r="C1439" s="147"/>
      <c r="D1439" s="129"/>
      <c r="E1439" s="185"/>
      <c r="F1439" s="185"/>
      <c r="G1439" s="185"/>
      <c r="H1439" s="185"/>
      <c r="I1439" s="11"/>
    </row>
    <row r="1440" spans="1:9" ht="24" customHeight="1" thickBot="1">
      <c r="A1440" s="309"/>
      <c r="B1440" s="310" t="s">
        <v>2403</v>
      </c>
      <c r="C1440" s="311"/>
      <c r="D1440" s="312"/>
      <c r="E1440" s="313"/>
      <c r="F1440" s="1070"/>
      <c r="G1440" s="1202"/>
      <c r="H1440" s="313"/>
      <c r="I1440" s="11"/>
    </row>
    <row r="1441" spans="1:12" ht="11.15" customHeight="1">
      <c r="A1441" s="153" t="s">
        <v>2404</v>
      </c>
      <c r="B1441" s="59" t="s">
        <v>20445</v>
      </c>
      <c r="C1441" s="147" t="s">
        <v>20221</v>
      </c>
      <c r="D1441" s="284" t="s">
        <v>897</v>
      </c>
      <c r="E1441" s="178">
        <v>2022</v>
      </c>
      <c r="F1441" s="178" t="s">
        <v>23395</v>
      </c>
      <c r="G1441" s="496"/>
      <c r="H1441" s="994" t="s">
        <v>20343</v>
      </c>
      <c r="I1441" s="12" t="s">
        <v>2405</v>
      </c>
      <c r="J1441" s="1285"/>
      <c r="K1441" s="1285"/>
      <c r="L1441" s="1285"/>
    </row>
    <row r="1442" spans="1:12" ht="11.15" customHeight="1" thickBot="1">
      <c r="A1442" s="230" t="s">
        <v>2406</v>
      </c>
      <c r="B1442" s="185"/>
      <c r="C1442" s="147"/>
      <c r="D1442" s="129"/>
      <c r="E1442" s="185"/>
      <c r="F1442" s="185"/>
      <c r="G1442" s="185"/>
      <c r="H1442" s="185"/>
      <c r="I1442" s="11"/>
    </row>
    <row r="1443" spans="1:12" ht="11.15" customHeight="1">
      <c r="A1443" s="58" t="s">
        <v>2407</v>
      </c>
      <c r="B1443" s="185"/>
      <c r="C1443" s="147"/>
      <c r="D1443" s="161"/>
      <c r="E1443" s="36"/>
      <c r="F1443" s="183"/>
      <c r="G1443" s="496"/>
      <c r="H1443" s="34"/>
      <c r="I1443" s="11"/>
    </row>
    <row r="1444" spans="1:12" ht="11.15" customHeight="1">
      <c r="A1444" s="58" t="s">
        <v>2408</v>
      </c>
      <c r="B1444" s="185"/>
      <c r="C1444" s="147"/>
      <c r="D1444" s="161"/>
      <c r="E1444" s="36"/>
      <c r="F1444" s="183"/>
      <c r="G1444" s="496"/>
      <c r="H1444" s="34"/>
      <c r="I1444" s="11"/>
    </row>
    <row r="1445" spans="1:12" ht="11.15" customHeight="1">
      <c r="A1445" s="199" t="s">
        <v>2409</v>
      </c>
      <c r="B1445" s="185"/>
      <c r="C1445" s="147"/>
      <c r="D1445" s="161"/>
      <c r="E1445" s="36"/>
      <c r="F1445" s="183"/>
      <c r="G1445" s="496"/>
      <c r="H1445" s="34"/>
      <c r="I1445" s="11"/>
    </row>
    <row r="1446" spans="1:12" ht="11.15" customHeight="1">
      <c r="A1446" s="129" t="s">
        <v>2410</v>
      </c>
      <c r="B1446" s="90"/>
      <c r="C1446" s="147"/>
      <c r="D1446" s="122"/>
      <c r="E1446" s="36"/>
      <c r="F1446" s="178"/>
      <c r="G1446" s="60"/>
      <c r="H1446" s="36"/>
      <c r="I1446" s="11"/>
    </row>
    <row r="1447" spans="1:12" ht="11.15" customHeight="1" thickBot="1">
      <c r="A1447" s="199"/>
      <c r="B1447" s="185"/>
      <c r="C1447" s="147"/>
      <c r="D1447" s="161"/>
      <c r="E1447" s="36"/>
      <c r="F1447" s="183"/>
      <c r="G1447" s="496"/>
      <c r="H1447" s="34"/>
      <c r="I1447" s="11"/>
    </row>
    <row r="1448" spans="1:12" ht="11.15" customHeight="1">
      <c r="A1448" s="153" t="s">
        <v>2411</v>
      </c>
      <c r="B1448" s="59" t="s">
        <v>20446</v>
      </c>
      <c r="C1448" s="147" t="s">
        <v>20221</v>
      </c>
      <c r="D1448" s="284" t="s">
        <v>897</v>
      </c>
      <c r="E1448" s="178">
        <v>2020</v>
      </c>
      <c r="F1448" s="178" t="s">
        <v>4520</v>
      </c>
      <c r="G1448" s="496"/>
      <c r="H1448" s="994" t="s">
        <v>20221</v>
      </c>
      <c r="I1448" s="12" t="s">
        <v>2412</v>
      </c>
      <c r="J1448" s="1285"/>
      <c r="K1448" s="1285"/>
      <c r="L1448" s="1285"/>
    </row>
    <row r="1449" spans="1:12" ht="11.15" customHeight="1" thickBot="1">
      <c r="A1449" s="230" t="s">
        <v>2413</v>
      </c>
      <c r="B1449" s="185"/>
      <c r="C1449" s="147"/>
      <c r="D1449" s="129"/>
      <c r="E1449" s="185"/>
      <c r="F1449" s="185"/>
      <c r="G1449" s="185"/>
      <c r="H1449" s="185"/>
      <c r="I1449" s="11"/>
    </row>
    <row r="1450" spans="1:12" ht="11.15" customHeight="1">
      <c r="A1450" s="58" t="s">
        <v>2407</v>
      </c>
      <c r="B1450" s="185"/>
      <c r="C1450" s="147"/>
      <c r="D1450" s="161"/>
      <c r="E1450" s="36"/>
      <c r="F1450" s="183"/>
      <c r="G1450" s="496"/>
      <c r="H1450" s="34"/>
      <c r="I1450" s="11"/>
    </row>
    <row r="1451" spans="1:12" ht="11.15" customHeight="1">
      <c r="A1451" s="29" t="s">
        <v>2402</v>
      </c>
      <c r="B1451" s="90"/>
      <c r="C1451" s="147"/>
      <c r="D1451" s="161"/>
      <c r="E1451" s="36"/>
      <c r="F1451" s="178"/>
      <c r="G1451" s="496"/>
      <c r="H1451" s="36"/>
      <c r="I1451" s="11"/>
    </row>
    <row r="1452" spans="1:12" ht="11.15" customHeight="1">
      <c r="A1452" s="29" t="s">
        <v>2414</v>
      </c>
      <c r="B1452" s="90"/>
      <c r="C1452" s="147"/>
      <c r="D1452" s="161"/>
      <c r="E1452" s="36"/>
      <c r="F1452" s="183"/>
      <c r="G1452" s="671"/>
      <c r="H1452" s="34"/>
      <c r="I1452" s="11"/>
    </row>
    <row r="1453" spans="1:12" ht="11.15" customHeight="1">
      <c r="A1453" s="58" t="s">
        <v>2415</v>
      </c>
      <c r="B1453" s="90"/>
      <c r="C1453" s="147"/>
      <c r="D1453" s="161"/>
      <c r="E1453" s="36"/>
      <c r="F1453" s="183"/>
      <c r="G1453" s="496"/>
      <c r="H1453" s="34"/>
      <c r="I1453" s="11"/>
    </row>
    <row r="1454" spans="1:12" ht="11.15" customHeight="1">
      <c r="A1454" s="160" t="s">
        <v>2416</v>
      </c>
      <c r="B1454" s="90"/>
      <c r="C1454" s="147"/>
      <c r="D1454" s="161"/>
      <c r="E1454" s="36"/>
      <c r="F1454" s="183"/>
      <c r="G1454" s="496"/>
      <c r="H1454" s="34"/>
      <c r="I1454" s="11"/>
    </row>
    <row r="1455" spans="1:12" ht="11.15" customHeight="1">
      <c r="A1455" s="285" t="s">
        <v>1077</v>
      </c>
      <c r="B1455" s="185"/>
      <c r="C1455" s="147"/>
      <c r="D1455" s="161"/>
      <c r="E1455" s="36"/>
      <c r="F1455" s="183"/>
      <c r="G1455" s="496"/>
      <c r="H1455" s="34"/>
      <c r="I1455" s="11"/>
    </row>
    <row r="1456" spans="1:12" ht="11.15" customHeight="1">
      <c r="A1456" s="291" t="s">
        <v>2417</v>
      </c>
      <c r="B1456" s="185"/>
      <c r="C1456" s="147"/>
      <c r="D1456" s="161"/>
      <c r="E1456" s="36"/>
      <c r="F1456" s="183"/>
      <c r="G1456" s="496"/>
      <c r="H1456" s="34"/>
      <c r="I1456" s="11"/>
    </row>
    <row r="1457" spans="1:12" ht="11.15" customHeight="1">
      <c r="A1457" s="291" t="s">
        <v>2418</v>
      </c>
      <c r="B1457" s="90"/>
      <c r="C1457" s="147"/>
      <c r="D1457" s="122"/>
      <c r="E1457" s="36"/>
      <c r="F1457" s="178"/>
      <c r="G1457" s="60"/>
      <c r="H1457" s="36"/>
      <c r="I1457" s="11"/>
    </row>
    <row r="1458" spans="1:12" ht="11.15" customHeight="1">
      <c r="A1458" s="168" t="s">
        <v>2053</v>
      </c>
      <c r="B1458" s="90"/>
      <c r="C1458" s="147"/>
      <c r="D1458" s="122"/>
      <c r="E1458" s="36"/>
      <c r="F1458" s="178"/>
      <c r="G1458" s="60"/>
      <c r="H1458" s="36"/>
      <c r="I1458" s="11"/>
    </row>
    <row r="1459" spans="1:12" ht="11.15" customHeight="1">
      <c r="A1459" s="129" t="s">
        <v>2419</v>
      </c>
      <c r="B1459" s="90"/>
      <c r="C1459" s="147"/>
      <c r="D1459" s="122"/>
      <c r="E1459" s="36"/>
      <c r="F1459" s="178"/>
      <c r="G1459" s="60"/>
      <c r="H1459" s="36"/>
      <c r="I1459" s="11"/>
    </row>
    <row r="1460" spans="1:12" ht="11.15" customHeight="1" thickBot="1">
      <c r="A1460" s="185"/>
      <c r="B1460" s="90"/>
      <c r="C1460" s="147"/>
      <c r="D1460" s="122"/>
      <c r="E1460" s="36"/>
      <c r="F1460" s="178"/>
      <c r="G1460" s="60"/>
      <c r="H1460" s="36"/>
      <c r="I1460" s="11"/>
    </row>
    <row r="1461" spans="1:12" ht="11.15" customHeight="1" thickBot="1">
      <c r="A1461" s="184" t="s">
        <v>2420</v>
      </c>
      <c r="B1461" s="59" t="s">
        <v>20447</v>
      </c>
      <c r="C1461" s="147" t="s">
        <v>20221</v>
      </c>
      <c r="D1461" s="284" t="s">
        <v>897</v>
      </c>
      <c r="E1461" s="178">
        <v>2022</v>
      </c>
      <c r="F1461" s="178" t="s">
        <v>23395</v>
      </c>
      <c r="G1461" s="496"/>
      <c r="H1461" s="994" t="s">
        <v>20221</v>
      </c>
      <c r="I1461" s="11" t="s">
        <v>2421</v>
      </c>
      <c r="J1461" s="1285"/>
      <c r="K1461" s="1285"/>
      <c r="L1461" s="1285"/>
    </row>
    <row r="1462" spans="1:12" ht="11.15" customHeight="1">
      <c r="A1462" s="29" t="s">
        <v>2422</v>
      </c>
      <c r="B1462" s="59" t="s">
        <v>20447</v>
      </c>
      <c r="C1462" s="147" t="s">
        <v>23393</v>
      </c>
      <c r="D1462" s="284" t="s">
        <v>897</v>
      </c>
      <c r="E1462" s="178">
        <v>2021</v>
      </c>
      <c r="F1462" s="178" t="s">
        <v>4520</v>
      </c>
      <c r="G1462" s="496"/>
      <c r="H1462" s="994" t="s">
        <v>20221</v>
      </c>
      <c r="I1462" s="11" t="s">
        <v>2423</v>
      </c>
      <c r="J1462" s="1285"/>
      <c r="K1462" s="1285"/>
      <c r="L1462" s="1285"/>
    </row>
    <row r="1463" spans="1:12" ht="11.15" customHeight="1">
      <c r="A1463" s="29" t="s">
        <v>2424</v>
      </c>
      <c r="B1463" s="59" t="s">
        <v>20447</v>
      </c>
      <c r="C1463" s="147" t="s">
        <v>20221</v>
      </c>
      <c r="D1463" s="284" t="s">
        <v>897</v>
      </c>
      <c r="E1463" s="178">
        <v>2020</v>
      </c>
      <c r="F1463" s="178" t="s">
        <v>4520</v>
      </c>
      <c r="G1463" s="496"/>
      <c r="H1463" s="994" t="s">
        <v>20221</v>
      </c>
      <c r="I1463" s="11" t="s">
        <v>2425</v>
      </c>
      <c r="J1463" s="1285"/>
      <c r="K1463" s="1285"/>
      <c r="L1463" s="1285"/>
    </row>
    <row r="1464" spans="1:12" ht="11.15" customHeight="1">
      <c r="A1464" s="29" t="s">
        <v>2426</v>
      </c>
      <c r="B1464" s="59" t="s">
        <v>20447</v>
      </c>
      <c r="C1464" s="147" t="s">
        <v>20221</v>
      </c>
      <c r="D1464" s="284" t="s">
        <v>897</v>
      </c>
      <c r="E1464" s="178">
        <v>2018</v>
      </c>
      <c r="F1464" s="178" t="s">
        <v>23395</v>
      </c>
      <c r="G1464" s="496"/>
      <c r="H1464" s="994" t="s">
        <v>20221</v>
      </c>
      <c r="I1464" s="11" t="s">
        <v>2427</v>
      </c>
      <c r="J1464" s="1285"/>
      <c r="K1464" s="1285"/>
      <c r="L1464" s="1285"/>
    </row>
    <row r="1465" spans="1:12" ht="11.15" customHeight="1">
      <c r="A1465" s="29" t="s">
        <v>2428</v>
      </c>
      <c r="B1465" s="59" t="s">
        <v>20447</v>
      </c>
      <c r="C1465" s="147" t="s">
        <v>20221</v>
      </c>
      <c r="D1465" s="284" t="s">
        <v>897</v>
      </c>
      <c r="E1465" s="178">
        <v>2014</v>
      </c>
      <c r="F1465" s="178" t="s">
        <v>4520</v>
      </c>
      <c r="G1465" s="496"/>
      <c r="H1465" s="994" t="s">
        <v>20224</v>
      </c>
      <c r="I1465" s="11" t="s">
        <v>2429</v>
      </c>
      <c r="J1465" s="1285"/>
      <c r="K1465" s="1285"/>
      <c r="L1465" s="1285"/>
    </row>
    <row r="1466" spans="1:12" ht="11.15" customHeight="1">
      <c r="A1466" s="29" t="s">
        <v>2430</v>
      </c>
      <c r="B1466" s="59" t="s">
        <v>20447</v>
      </c>
      <c r="C1466" s="147" t="s">
        <v>20221</v>
      </c>
      <c r="D1466" s="284" t="s">
        <v>897</v>
      </c>
      <c r="E1466" s="178">
        <v>2013</v>
      </c>
      <c r="F1466" s="178" t="s">
        <v>4520</v>
      </c>
      <c r="G1466" s="496"/>
      <c r="H1466" s="994" t="s">
        <v>20221</v>
      </c>
      <c r="I1466" s="11" t="s">
        <v>2431</v>
      </c>
      <c r="J1466" s="1285"/>
      <c r="K1466" s="1285"/>
      <c r="L1466" s="1285"/>
    </row>
    <row r="1467" spans="1:12" ht="11.15" customHeight="1">
      <c r="A1467" s="29" t="s">
        <v>2432</v>
      </c>
      <c r="B1467" s="185"/>
      <c r="C1467" s="147"/>
      <c r="D1467" s="185"/>
      <c r="E1467" s="185"/>
      <c r="F1467" s="185"/>
      <c r="G1467" s="185"/>
      <c r="H1467" s="185"/>
      <c r="I1467" s="11"/>
    </row>
    <row r="1468" spans="1:12" ht="11.15" customHeight="1">
      <c r="A1468" s="181" t="s">
        <v>1542</v>
      </c>
      <c r="B1468" s="90"/>
      <c r="C1468" s="147"/>
      <c r="D1468" s="122"/>
      <c r="E1468" s="36"/>
      <c r="F1468" s="178"/>
      <c r="G1468" s="60"/>
      <c r="H1468" s="36"/>
      <c r="I1468" s="11"/>
    </row>
    <row r="1469" spans="1:12" ht="11.15" customHeight="1">
      <c r="A1469" s="181" t="s">
        <v>2433</v>
      </c>
      <c r="B1469" s="90"/>
      <c r="C1469" s="147"/>
      <c r="D1469" s="122"/>
      <c r="E1469" s="36"/>
      <c r="F1469" s="178"/>
      <c r="G1469" s="60"/>
      <c r="H1469" s="36"/>
      <c r="I1469" s="11"/>
    </row>
    <row r="1470" spans="1:12" ht="11.15" customHeight="1">
      <c r="A1470" s="29" t="s">
        <v>2434</v>
      </c>
      <c r="B1470" s="90"/>
      <c r="C1470" s="147"/>
      <c r="D1470" s="161"/>
      <c r="E1470" s="36"/>
      <c r="F1470" s="178"/>
      <c r="G1470" s="496"/>
      <c r="H1470" s="36"/>
      <c r="I1470" s="11"/>
    </row>
    <row r="1471" spans="1:12" ht="11.15" customHeight="1">
      <c r="A1471" s="129" t="s">
        <v>2435</v>
      </c>
      <c r="B1471" s="185"/>
      <c r="C1471" s="147"/>
      <c r="D1471" s="185"/>
      <c r="E1471" s="185"/>
      <c r="F1471" s="185"/>
      <c r="G1471" s="185"/>
      <c r="H1471" s="185"/>
      <c r="I1471" s="11"/>
    </row>
    <row r="1472" spans="1:12" ht="9" customHeight="1">
      <c r="A1472" s="162" t="s">
        <v>2436</v>
      </c>
      <c r="B1472" s="185"/>
      <c r="C1472" s="147"/>
      <c r="D1472" s="185"/>
      <c r="E1472" s="185"/>
      <c r="F1472" s="185"/>
      <c r="G1472" s="185"/>
      <c r="H1472" s="185"/>
      <c r="I1472" s="11"/>
    </row>
    <row r="1473" spans="1:9" ht="9" customHeight="1">
      <c r="A1473" s="162" t="s">
        <v>2437</v>
      </c>
      <c r="B1473" s="90"/>
      <c r="C1473" s="147"/>
      <c r="D1473" s="161"/>
      <c r="E1473" s="36"/>
      <c r="F1473" s="178"/>
      <c r="G1473" s="496"/>
      <c r="H1473" s="36"/>
      <c r="I1473" s="11"/>
    </row>
    <row r="1474" spans="1:9" ht="9" customHeight="1">
      <c r="A1474" s="162" t="s">
        <v>2438</v>
      </c>
      <c r="B1474" s="90"/>
      <c r="C1474" s="147"/>
      <c r="D1474" s="161"/>
      <c r="E1474" s="36"/>
      <c r="F1474" s="178"/>
      <c r="G1474" s="496"/>
      <c r="H1474" s="36"/>
      <c r="I1474" s="11"/>
    </row>
    <row r="1475" spans="1:9" ht="9" customHeight="1">
      <c r="A1475" s="162" t="s">
        <v>2439</v>
      </c>
      <c r="B1475" s="90"/>
      <c r="C1475" s="147"/>
      <c r="D1475" s="161"/>
      <c r="E1475" s="36"/>
      <c r="F1475" s="178"/>
      <c r="G1475" s="496"/>
      <c r="H1475" s="36"/>
      <c r="I1475" s="11"/>
    </row>
    <row r="1476" spans="1:9" ht="9" customHeight="1">
      <c r="A1476" s="162" t="s">
        <v>2440</v>
      </c>
      <c r="B1476" s="90"/>
      <c r="C1476" s="147"/>
      <c r="D1476" s="161"/>
      <c r="E1476" s="36"/>
      <c r="F1476" s="178"/>
      <c r="G1476" s="496"/>
      <c r="H1476" s="36"/>
      <c r="I1476" s="11"/>
    </row>
    <row r="1477" spans="1:9" ht="9" customHeight="1">
      <c r="A1477" s="162" t="s">
        <v>2441</v>
      </c>
      <c r="B1477" s="90"/>
      <c r="C1477" s="147"/>
      <c r="D1477" s="161"/>
      <c r="E1477" s="36"/>
      <c r="F1477" s="178"/>
      <c r="G1477" s="496"/>
      <c r="H1477" s="36"/>
      <c r="I1477" s="11"/>
    </row>
    <row r="1478" spans="1:9" ht="9" customHeight="1">
      <c r="A1478" s="162" t="s">
        <v>2442</v>
      </c>
      <c r="B1478" s="185"/>
      <c r="C1478" s="147"/>
      <c r="D1478" s="161"/>
      <c r="E1478" s="36"/>
      <c r="F1478" s="178"/>
      <c r="G1478" s="496"/>
      <c r="H1478" s="36"/>
      <c r="I1478" s="11"/>
    </row>
    <row r="1479" spans="1:9" ht="9" customHeight="1">
      <c r="A1479" s="162" t="s">
        <v>2443</v>
      </c>
      <c r="B1479" s="185"/>
      <c r="C1479" s="147"/>
      <c r="D1479" s="161"/>
      <c r="E1479" s="36"/>
      <c r="F1479" s="178"/>
      <c r="G1479" s="496"/>
      <c r="H1479" s="36"/>
      <c r="I1479" s="11"/>
    </row>
    <row r="1480" spans="1:9" ht="9" customHeight="1">
      <c r="A1480" s="162" t="s">
        <v>2444</v>
      </c>
      <c r="B1480" s="185"/>
      <c r="C1480" s="147"/>
      <c r="D1480" s="161"/>
      <c r="E1480" s="36"/>
      <c r="F1480" s="178"/>
      <c r="G1480" s="496"/>
      <c r="H1480" s="36"/>
      <c r="I1480" s="11"/>
    </row>
    <row r="1481" spans="1:9" ht="11.15" customHeight="1">
      <c r="A1481" s="285" t="s">
        <v>1077</v>
      </c>
      <c r="B1481" s="185"/>
      <c r="C1481" s="147"/>
      <c r="D1481" s="161"/>
      <c r="E1481" s="36"/>
      <c r="F1481" s="178"/>
      <c r="G1481" s="496"/>
      <c r="H1481" s="36"/>
      <c r="I1481" s="11"/>
    </row>
    <row r="1482" spans="1:9" ht="9" customHeight="1">
      <c r="A1482" s="162" t="s">
        <v>2445</v>
      </c>
      <c r="B1482" s="185"/>
      <c r="C1482" s="147"/>
      <c r="D1482" s="161"/>
      <c r="E1482" s="36"/>
      <c r="F1482" s="178"/>
      <c r="G1482" s="496"/>
      <c r="H1482" s="36"/>
      <c r="I1482" s="11"/>
    </row>
    <row r="1483" spans="1:9" ht="9" customHeight="1">
      <c r="A1483" s="162" t="s">
        <v>2446</v>
      </c>
      <c r="B1483" s="185"/>
      <c r="C1483" s="147"/>
      <c r="D1483" s="161"/>
      <c r="E1483" s="36"/>
      <c r="F1483" s="178"/>
      <c r="G1483" s="496"/>
      <c r="H1483" s="36"/>
      <c r="I1483" s="11"/>
    </row>
    <row r="1484" spans="1:9" ht="9" customHeight="1">
      <c r="A1484" s="162" t="s">
        <v>2447</v>
      </c>
      <c r="B1484" s="185"/>
      <c r="C1484" s="147"/>
      <c r="D1484" s="161"/>
      <c r="E1484" s="36"/>
      <c r="F1484" s="178"/>
      <c r="G1484" s="496"/>
      <c r="H1484" s="36"/>
      <c r="I1484" s="11"/>
    </row>
    <row r="1485" spans="1:9" ht="9" customHeight="1">
      <c r="A1485" s="162" t="s">
        <v>2448</v>
      </c>
      <c r="B1485" s="185"/>
      <c r="C1485" s="147"/>
      <c r="D1485" s="161"/>
      <c r="E1485" s="36"/>
      <c r="F1485" s="178"/>
      <c r="G1485" s="496"/>
      <c r="H1485" s="36"/>
      <c r="I1485" s="11"/>
    </row>
    <row r="1486" spans="1:9" ht="9" customHeight="1">
      <c r="A1486" s="162" t="s">
        <v>2449</v>
      </c>
      <c r="B1486" s="185"/>
      <c r="C1486" s="147"/>
      <c r="D1486" s="161"/>
      <c r="E1486" s="36"/>
      <c r="F1486" s="178"/>
      <c r="G1486" s="496"/>
      <c r="H1486" s="36"/>
      <c r="I1486" s="11"/>
    </row>
    <row r="1487" spans="1:9" ht="9" customHeight="1">
      <c r="A1487" s="162" t="s">
        <v>2450</v>
      </c>
      <c r="B1487" s="185"/>
      <c r="C1487" s="147"/>
      <c r="D1487" s="161"/>
      <c r="E1487" s="36"/>
      <c r="F1487" s="178"/>
      <c r="G1487" s="496"/>
      <c r="H1487" s="36"/>
      <c r="I1487" s="11"/>
    </row>
    <row r="1488" spans="1:9" ht="9" customHeight="1">
      <c r="A1488" s="162" t="s">
        <v>2451</v>
      </c>
      <c r="B1488" s="185"/>
      <c r="C1488" s="147"/>
      <c r="D1488" s="161"/>
      <c r="E1488" s="36"/>
      <c r="F1488" s="178"/>
      <c r="G1488" s="496"/>
      <c r="H1488" s="36"/>
      <c r="I1488" s="11"/>
    </row>
    <row r="1489" spans="1:9" ht="9" customHeight="1">
      <c r="A1489" s="162" t="s">
        <v>2452</v>
      </c>
      <c r="B1489" s="185"/>
      <c r="C1489" s="147"/>
      <c r="D1489" s="161"/>
      <c r="E1489" s="36"/>
      <c r="F1489" s="178"/>
      <c r="G1489" s="496"/>
      <c r="H1489" s="36"/>
      <c r="I1489" s="11"/>
    </row>
    <row r="1490" spans="1:9" ht="9" customHeight="1">
      <c r="A1490" s="162" t="s">
        <v>2453</v>
      </c>
      <c r="B1490" s="185"/>
      <c r="C1490" s="147"/>
      <c r="D1490" s="161"/>
      <c r="E1490" s="36"/>
      <c r="F1490" s="178"/>
      <c r="G1490" s="496"/>
      <c r="H1490" s="36"/>
      <c r="I1490" s="11"/>
    </row>
    <row r="1491" spans="1:9" ht="9" customHeight="1">
      <c r="A1491" s="162" t="s">
        <v>2454</v>
      </c>
      <c r="B1491" s="185"/>
      <c r="C1491" s="147"/>
      <c r="D1491" s="161"/>
      <c r="E1491" s="36"/>
      <c r="F1491" s="178"/>
      <c r="G1491" s="496"/>
      <c r="H1491" s="36"/>
      <c r="I1491" s="11"/>
    </row>
    <row r="1492" spans="1:9" ht="9" customHeight="1">
      <c r="A1492" s="162" t="s">
        <v>2455</v>
      </c>
      <c r="B1492" s="185"/>
      <c r="C1492" s="147"/>
      <c r="D1492" s="161"/>
      <c r="E1492" s="36"/>
      <c r="F1492" s="178"/>
      <c r="G1492" s="496"/>
      <c r="H1492" s="36"/>
      <c r="I1492" s="11"/>
    </row>
    <row r="1493" spans="1:9" ht="9" customHeight="1">
      <c r="A1493" s="162" t="s">
        <v>2456</v>
      </c>
      <c r="B1493" s="185"/>
      <c r="C1493" s="147"/>
      <c r="D1493" s="161"/>
      <c r="E1493" s="36"/>
      <c r="F1493" s="178"/>
      <c r="G1493" s="496"/>
      <c r="H1493" s="36"/>
      <c r="I1493" s="11"/>
    </row>
    <row r="1494" spans="1:9" ht="9" customHeight="1">
      <c r="A1494" s="162" t="s">
        <v>2457</v>
      </c>
      <c r="B1494" s="185"/>
      <c r="C1494" s="147"/>
      <c r="D1494" s="161"/>
      <c r="E1494" s="36"/>
      <c r="F1494" s="178"/>
      <c r="G1494" s="496"/>
      <c r="H1494" s="36"/>
      <c r="I1494" s="11"/>
    </row>
    <row r="1495" spans="1:9" ht="9" customHeight="1">
      <c r="A1495" s="162" t="s">
        <v>2458</v>
      </c>
      <c r="B1495" s="185"/>
      <c r="C1495" s="147"/>
      <c r="D1495" s="161"/>
      <c r="E1495" s="36"/>
      <c r="F1495" s="178"/>
      <c r="G1495" s="496"/>
      <c r="H1495" s="36"/>
      <c r="I1495" s="11"/>
    </row>
    <row r="1496" spans="1:9" ht="9" customHeight="1">
      <c r="A1496" s="162" t="s">
        <v>2459</v>
      </c>
      <c r="B1496" s="185"/>
      <c r="C1496" s="147"/>
      <c r="D1496" s="161"/>
      <c r="E1496" s="36"/>
      <c r="F1496" s="178"/>
      <c r="G1496" s="496"/>
      <c r="H1496" s="36"/>
      <c r="I1496" s="11"/>
    </row>
    <row r="1497" spans="1:9" ht="9" customHeight="1">
      <c r="A1497" s="162" t="s">
        <v>2460</v>
      </c>
      <c r="B1497" s="185"/>
      <c r="C1497" s="147"/>
      <c r="D1497" s="161"/>
      <c r="E1497" s="36"/>
      <c r="F1497" s="178"/>
      <c r="G1497" s="496"/>
      <c r="H1497" s="36"/>
      <c r="I1497" s="11"/>
    </row>
    <row r="1498" spans="1:9" ht="11.15" customHeight="1">
      <c r="A1498" s="285" t="s">
        <v>2461</v>
      </c>
      <c r="B1498" s="185"/>
      <c r="C1498" s="147"/>
      <c r="D1498" s="161"/>
      <c r="E1498" s="36"/>
      <c r="F1498" s="178"/>
      <c r="G1498" s="496"/>
      <c r="H1498" s="36"/>
      <c r="I1498" s="11"/>
    </row>
    <row r="1499" spans="1:9" ht="11.15" customHeight="1">
      <c r="A1499" s="162" t="s">
        <v>2462</v>
      </c>
      <c r="B1499" s="185"/>
      <c r="C1499" s="147"/>
      <c r="D1499" s="161"/>
      <c r="E1499" s="36"/>
      <c r="F1499" s="178"/>
      <c r="G1499" s="496"/>
      <c r="H1499" s="36"/>
      <c r="I1499" s="11"/>
    </row>
    <row r="1500" spans="1:9" ht="11.15" customHeight="1">
      <c r="A1500" s="162" t="s">
        <v>2463</v>
      </c>
      <c r="B1500" s="185"/>
      <c r="C1500" s="147"/>
      <c r="D1500" s="161"/>
      <c r="E1500" s="36"/>
      <c r="F1500" s="178"/>
      <c r="G1500" s="496"/>
      <c r="H1500" s="36"/>
      <c r="I1500" s="11"/>
    </row>
    <row r="1501" spans="1:9" ht="11.15" customHeight="1">
      <c r="A1501" s="162" t="s">
        <v>2464</v>
      </c>
      <c r="B1501" s="185"/>
      <c r="C1501" s="147"/>
      <c r="D1501" s="161"/>
      <c r="E1501" s="36"/>
      <c r="F1501" s="178"/>
      <c r="G1501" s="496"/>
      <c r="H1501" s="36"/>
      <c r="I1501" s="11"/>
    </row>
    <row r="1502" spans="1:9" ht="11.15" customHeight="1">
      <c r="A1502" s="166" t="s">
        <v>2465</v>
      </c>
      <c r="B1502" s="185"/>
      <c r="C1502" s="147"/>
      <c r="D1502" s="161"/>
      <c r="E1502" s="36"/>
      <c r="F1502" s="178"/>
      <c r="G1502" s="496"/>
      <c r="H1502" s="36"/>
      <c r="I1502" s="11"/>
    </row>
    <row r="1503" spans="1:9" ht="11.15" customHeight="1">
      <c r="A1503" s="166" t="s">
        <v>2028</v>
      </c>
      <c r="B1503" s="185"/>
      <c r="C1503" s="147"/>
      <c r="D1503" s="161"/>
      <c r="E1503" s="36"/>
      <c r="F1503" s="178"/>
      <c r="G1503" s="496"/>
      <c r="H1503" s="36"/>
      <c r="I1503" s="11"/>
    </row>
    <row r="1504" spans="1:9" ht="11.15" customHeight="1">
      <c r="A1504" s="129" t="s">
        <v>2466</v>
      </c>
      <c r="B1504" s="185"/>
      <c r="C1504" s="147"/>
      <c r="D1504" s="161"/>
      <c r="E1504" s="36"/>
      <c r="F1504" s="178"/>
      <c r="G1504" s="496"/>
      <c r="H1504" s="36"/>
      <c r="I1504" s="11"/>
    </row>
    <row r="1505" spans="1:12" ht="11.15" customHeight="1" thickBot="1">
      <c r="A1505" s="29"/>
      <c r="B1505" s="185"/>
      <c r="C1505" s="147"/>
      <c r="D1505" s="161"/>
      <c r="E1505" s="36"/>
      <c r="F1505" s="178"/>
      <c r="G1505" s="496"/>
      <c r="H1505" s="36"/>
      <c r="I1505" s="11"/>
    </row>
    <row r="1506" spans="1:12" ht="11.15" customHeight="1" thickBot="1">
      <c r="A1506" s="184" t="s">
        <v>2467</v>
      </c>
      <c r="B1506" s="59" t="s">
        <v>20449</v>
      </c>
      <c r="C1506" s="147" t="s">
        <v>20221</v>
      </c>
      <c r="D1506" s="284" t="s">
        <v>897</v>
      </c>
      <c r="E1506" s="178">
        <v>2022</v>
      </c>
      <c r="F1506" s="178" t="s">
        <v>23395</v>
      </c>
      <c r="G1506" s="496"/>
      <c r="H1506" s="994" t="s">
        <v>20343</v>
      </c>
      <c r="I1506" s="12" t="s">
        <v>2468</v>
      </c>
      <c r="J1506" s="1285"/>
      <c r="K1506" s="1285"/>
      <c r="L1506" s="1285"/>
    </row>
    <row r="1507" spans="1:12" ht="11.15" customHeight="1">
      <c r="A1507" s="29" t="s">
        <v>2469</v>
      </c>
      <c r="B1507" s="90"/>
      <c r="C1507" s="147"/>
      <c r="D1507" s="161"/>
      <c r="E1507" s="36"/>
      <c r="F1507" s="178"/>
      <c r="G1507" s="496"/>
      <c r="H1507" s="36"/>
      <c r="I1507" s="11"/>
    </row>
    <row r="1508" spans="1:12" ht="11.15" customHeight="1">
      <c r="A1508" s="29" t="s">
        <v>2470</v>
      </c>
      <c r="B1508" s="90"/>
      <c r="C1508" s="147"/>
      <c r="D1508" s="161"/>
      <c r="E1508" s="36"/>
      <c r="F1508" s="178"/>
      <c r="G1508" s="496"/>
      <c r="H1508" s="36"/>
      <c r="I1508" s="11"/>
    </row>
    <row r="1509" spans="1:12" ht="11.15" customHeight="1">
      <c r="A1509" s="29" t="s">
        <v>2471</v>
      </c>
      <c r="B1509" s="90"/>
      <c r="C1509" s="147"/>
      <c r="D1509" s="161"/>
      <c r="E1509" s="36"/>
      <c r="F1509" s="178"/>
      <c r="G1509" s="496"/>
      <c r="H1509" s="36"/>
      <c r="I1509" s="11"/>
    </row>
    <row r="1510" spans="1:12" ht="11.15" customHeight="1">
      <c r="A1510" s="29" t="s">
        <v>2472</v>
      </c>
      <c r="B1510" s="90"/>
      <c r="C1510" s="147"/>
      <c r="D1510" s="161"/>
      <c r="E1510" s="36"/>
      <c r="F1510" s="178"/>
      <c r="G1510" s="496"/>
      <c r="H1510" s="36"/>
      <c r="I1510" s="11"/>
    </row>
    <row r="1511" spans="1:12" ht="11.15" customHeight="1">
      <c r="A1511" s="166" t="s">
        <v>2473</v>
      </c>
      <c r="B1511" s="90"/>
      <c r="C1511" s="147"/>
      <c r="D1511" s="161"/>
      <c r="E1511" s="36"/>
      <c r="F1511" s="178"/>
      <c r="G1511" s="496"/>
      <c r="H1511" s="36"/>
      <c r="I1511" s="11"/>
    </row>
    <row r="1512" spans="1:12" ht="11.15" customHeight="1">
      <c r="A1512" s="129" t="s">
        <v>2474</v>
      </c>
      <c r="B1512" s="90"/>
      <c r="C1512" s="147"/>
      <c r="D1512" s="122"/>
      <c r="E1512" s="36"/>
      <c r="F1512" s="178"/>
      <c r="G1512" s="60"/>
      <c r="H1512" s="36"/>
      <c r="I1512" s="11"/>
    </row>
    <row r="1513" spans="1:12" ht="11.15" customHeight="1" thickBot="1">
      <c r="A1513" s="29"/>
      <c r="B1513" s="185"/>
      <c r="C1513" s="147"/>
      <c r="D1513" s="161"/>
      <c r="E1513" s="36"/>
      <c r="F1513" s="178"/>
      <c r="G1513" s="496"/>
      <c r="H1513" s="36"/>
      <c r="I1513" s="11"/>
    </row>
    <row r="1514" spans="1:12" ht="11.15" customHeight="1">
      <c r="A1514" s="153" t="s">
        <v>2475</v>
      </c>
      <c r="B1514" s="59" t="s">
        <v>20450</v>
      </c>
      <c r="C1514" s="147" t="s">
        <v>23393</v>
      </c>
      <c r="D1514" s="701" t="s">
        <v>1129</v>
      </c>
      <c r="E1514" s="178">
        <v>2019</v>
      </c>
      <c r="F1514" s="178" t="s">
        <v>4520</v>
      </c>
      <c r="G1514" s="496"/>
      <c r="H1514" s="994" t="s">
        <v>20221</v>
      </c>
      <c r="I1514" s="12" t="s">
        <v>1427</v>
      </c>
      <c r="J1514" s="1285"/>
      <c r="K1514" s="1285"/>
      <c r="L1514" s="1285"/>
    </row>
    <row r="1515" spans="1:12" ht="11.15" customHeight="1" thickBot="1">
      <c r="A1515" s="230" t="s">
        <v>2476</v>
      </c>
      <c r="B1515" s="90"/>
      <c r="C1515" s="147"/>
      <c r="D1515" s="159"/>
      <c r="E1515" s="36"/>
      <c r="F1515" s="178"/>
      <c r="G1515" s="497"/>
      <c r="H1515" s="36"/>
      <c r="I1515" s="11"/>
    </row>
    <row r="1516" spans="1:12" ht="11.15" customHeight="1">
      <c r="A1516" s="30" t="s">
        <v>2477</v>
      </c>
      <c r="B1516" s="90"/>
      <c r="C1516" s="147"/>
      <c r="D1516" s="159"/>
      <c r="E1516" s="36"/>
      <c r="F1516" s="178"/>
      <c r="G1516" s="497"/>
      <c r="H1516" s="36"/>
      <c r="I1516" s="11"/>
    </row>
    <row r="1517" spans="1:12" ht="11.15" customHeight="1">
      <c r="A1517" s="29" t="s">
        <v>2478</v>
      </c>
      <c r="B1517" s="90"/>
      <c r="C1517" s="147"/>
      <c r="D1517" s="159"/>
      <c r="E1517" s="36"/>
      <c r="F1517" s="178"/>
      <c r="G1517" s="497"/>
      <c r="H1517" s="36"/>
      <c r="I1517" s="11"/>
    </row>
    <row r="1518" spans="1:12" ht="11.15" customHeight="1">
      <c r="A1518" s="29" t="s">
        <v>2479</v>
      </c>
      <c r="B1518" s="90"/>
      <c r="C1518" s="147"/>
      <c r="D1518" s="159"/>
      <c r="E1518" s="36"/>
      <c r="F1518" s="178"/>
      <c r="G1518" s="497"/>
      <c r="H1518" s="36"/>
      <c r="I1518" s="11"/>
    </row>
    <row r="1519" spans="1:12" ht="11.15" customHeight="1">
      <c r="A1519" s="29" t="s">
        <v>2480</v>
      </c>
      <c r="B1519" s="90"/>
      <c r="C1519" s="147"/>
      <c r="D1519" s="159"/>
      <c r="E1519" s="36"/>
      <c r="F1519" s="178"/>
      <c r="G1519" s="497"/>
      <c r="H1519" s="36"/>
      <c r="I1519" s="11"/>
    </row>
    <row r="1520" spans="1:12" ht="11.15" customHeight="1">
      <c r="A1520" s="181" t="s">
        <v>2481</v>
      </c>
      <c r="B1520" s="90"/>
      <c r="C1520" s="147"/>
      <c r="D1520" s="161"/>
      <c r="E1520" s="36"/>
      <c r="F1520" s="178"/>
      <c r="G1520" s="496"/>
      <c r="H1520" s="36"/>
      <c r="I1520" s="11"/>
    </row>
    <row r="1521" spans="1:12" ht="11.15" customHeight="1">
      <c r="A1521" s="333" t="s">
        <v>2482</v>
      </c>
      <c r="B1521" s="90"/>
      <c r="C1521" s="147"/>
      <c r="D1521" s="161"/>
      <c r="E1521" s="36"/>
      <c r="F1521" s="178"/>
      <c r="G1521" s="496"/>
      <c r="H1521" s="36"/>
      <c r="I1521" s="11"/>
    </row>
    <row r="1522" spans="1:12" ht="11.15" customHeight="1">
      <c r="A1522" s="129" t="s">
        <v>2483</v>
      </c>
      <c r="B1522" s="185"/>
      <c r="C1522" s="147"/>
      <c r="D1522" s="129"/>
      <c r="E1522" s="185"/>
      <c r="F1522" s="185"/>
      <c r="G1522" s="185"/>
      <c r="H1522" s="185"/>
      <c r="I1522" s="11"/>
    </row>
    <row r="1523" spans="1:12" ht="11.15" customHeight="1">
      <c r="A1523" s="129" t="s">
        <v>2484</v>
      </c>
      <c r="B1523" s="185"/>
      <c r="C1523" s="147"/>
      <c r="D1523" s="129"/>
      <c r="E1523" s="185"/>
      <c r="F1523" s="185"/>
      <c r="G1523" s="185"/>
      <c r="H1523" s="185"/>
      <c r="I1523" s="11"/>
    </row>
    <row r="1524" spans="1:12" ht="11.15" customHeight="1" thickBot="1">
      <c r="A1524" s="48"/>
      <c r="B1524" s="90"/>
      <c r="C1524" s="147"/>
      <c r="D1524" s="159"/>
      <c r="E1524" s="36"/>
      <c r="F1524" s="178"/>
      <c r="G1524" s="497"/>
      <c r="H1524" s="36"/>
      <c r="I1524" s="11"/>
    </row>
    <row r="1525" spans="1:12" ht="11.15" customHeight="1">
      <c r="A1525" s="153" t="s">
        <v>2485</v>
      </c>
      <c r="B1525" s="177" t="s">
        <v>2486</v>
      </c>
      <c r="C1525" s="147"/>
      <c r="D1525" s="161"/>
      <c r="E1525" s="36"/>
      <c r="F1525" s="178"/>
      <c r="G1525" s="496"/>
      <c r="H1525" s="36"/>
      <c r="I1525" s="11"/>
    </row>
    <row r="1526" spans="1:12" ht="11.15" customHeight="1" thickBot="1">
      <c r="A1526" s="230" t="s">
        <v>2487</v>
      </c>
      <c r="B1526" s="59" t="s">
        <v>20451</v>
      </c>
      <c r="C1526" s="147" t="s">
        <v>23393</v>
      </c>
      <c r="D1526" s="284" t="s">
        <v>897</v>
      </c>
      <c r="E1526" s="178">
        <v>2022</v>
      </c>
      <c r="F1526" s="178" t="s">
        <v>4520</v>
      </c>
      <c r="G1526" s="496"/>
      <c r="H1526" s="994" t="s">
        <v>20221</v>
      </c>
      <c r="I1526" s="11" t="s">
        <v>2488</v>
      </c>
      <c r="J1526" s="1285"/>
      <c r="K1526" s="1285"/>
      <c r="L1526" s="1285"/>
    </row>
    <row r="1527" spans="1:12" ht="11.15" customHeight="1">
      <c r="A1527" s="29" t="s">
        <v>2407</v>
      </c>
      <c r="B1527" s="59" t="s">
        <v>20451</v>
      </c>
      <c r="C1527" s="147" t="s">
        <v>23393</v>
      </c>
      <c r="D1527" s="284" t="s">
        <v>897</v>
      </c>
      <c r="E1527" s="178">
        <v>2020</v>
      </c>
      <c r="F1527" s="178" t="s">
        <v>4520</v>
      </c>
      <c r="G1527" s="496"/>
      <c r="H1527" s="994" t="s">
        <v>20221</v>
      </c>
      <c r="I1527" s="11" t="s">
        <v>2489</v>
      </c>
      <c r="J1527" s="1285"/>
      <c r="K1527" s="1285"/>
      <c r="L1527" s="1285"/>
    </row>
    <row r="1528" spans="1:12" ht="10.5" customHeight="1">
      <c r="A1528" s="29" t="s">
        <v>2490</v>
      </c>
      <c r="B1528" s="59" t="s">
        <v>20451</v>
      </c>
      <c r="C1528" s="147" t="s">
        <v>23393</v>
      </c>
      <c r="D1528" s="284" t="s">
        <v>897</v>
      </c>
      <c r="E1528" s="178">
        <v>2017</v>
      </c>
      <c r="F1528" s="178" t="s">
        <v>23395</v>
      </c>
      <c r="G1528" s="496"/>
      <c r="H1528" s="994" t="s">
        <v>20221</v>
      </c>
      <c r="I1528" s="11" t="s">
        <v>2491</v>
      </c>
      <c r="J1528" s="1285"/>
      <c r="K1528" s="1285"/>
      <c r="L1528" s="1285"/>
    </row>
    <row r="1529" spans="1:12" ht="11.15" customHeight="1">
      <c r="A1529" s="29" t="s">
        <v>2492</v>
      </c>
      <c r="B1529" s="59" t="s">
        <v>20451</v>
      </c>
      <c r="C1529" s="147" t="s">
        <v>23393</v>
      </c>
      <c r="D1529" s="284" t="s">
        <v>897</v>
      </c>
      <c r="E1529" s="178">
        <v>2016</v>
      </c>
      <c r="F1529" s="178" t="s">
        <v>23395</v>
      </c>
      <c r="G1529" s="496"/>
      <c r="H1529" s="994" t="s">
        <v>20221</v>
      </c>
      <c r="I1529" s="11" t="s">
        <v>2493</v>
      </c>
      <c r="J1529" s="1285"/>
      <c r="K1529" s="1285"/>
      <c r="L1529" s="1285"/>
    </row>
    <row r="1530" spans="1:12" ht="11.15" customHeight="1">
      <c r="A1530" s="29" t="s">
        <v>2494</v>
      </c>
      <c r="B1530" s="59" t="s">
        <v>20453</v>
      </c>
      <c r="C1530" s="147" t="s">
        <v>23393</v>
      </c>
      <c r="D1530" s="284" t="s">
        <v>897</v>
      </c>
      <c r="E1530" s="178">
        <v>2015</v>
      </c>
      <c r="F1530" s="178" t="s">
        <v>4520</v>
      </c>
      <c r="G1530" s="496"/>
      <c r="H1530" s="994" t="s">
        <v>20221</v>
      </c>
      <c r="I1530" s="11" t="s">
        <v>2495</v>
      </c>
      <c r="J1530" s="1285"/>
      <c r="K1530" s="1285"/>
      <c r="L1530" s="1285"/>
    </row>
    <row r="1531" spans="1:12" ht="11.15" customHeight="1">
      <c r="A1531" s="29" t="s">
        <v>2496</v>
      </c>
      <c r="B1531" s="177" t="s">
        <v>2497</v>
      </c>
      <c r="C1531" s="147"/>
      <c r="D1531" s="129"/>
      <c r="E1531" s="185"/>
      <c r="F1531" s="185"/>
      <c r="G1531" s="185"/>
      <c r="H1531" s="185"/>
      <c r="I1531" s="11"/>
    </row>
    <row r="1532" spans="1:12" ht="11.15" customHeight="1">
      <c r="A1532" s="195" t="s">
        <v>2498</v>
      </c>
      <c r="B1532" s="59" t="s">
        <v>100</v>
      </c>
      <c r="C1532" s="147" t="s">
        <v>23393</v>
      </c>
      <c r="D1532" s="284" t="s">
        <v>897</v>
      </c>
      <c r="E1532" s="178">
        <v>2022</v>
      </c>
      <c r="F1532" s="178" t="s">
        <v>4520</v>
      </c>
      <c r="G1532" s="496"/>
      <c r="H1532" s="994" t="s">
        <v>20221</v>
      </c>
      <c r="I1532" s="11" t="s">
        <v>2499</v>
      </c>
      <c r="J1532" s="1285"/>
      <c r="K1532" s="1285"/>
      <c r="L1532" s="1285"/>
    </row>
    <row r="1533" spans="1:12" ht="11.15" customHeight="1">
      <c r="A1533" s="129" t="s">
        <v>1308</v>
      </c>
      <c r="B1533" s="59" t="s">
        <v>100</v>
      </c>
      <c r="C1533" s="147" t="s">
        <v>23393</v>
      </c>
      <c r="D1533" s="284" t="s">
        <v>897</v>
      </c>
      <c r="E1533" s="178">
        <v>2021</v>
      </c>
      <c r="F1533" s="178" t="s">
        <v>4520</v>
      </c>
      <c r="G1533" s="496"/>
      <c r="H1533" s="994" t="s">
        <v>20221</v>
      </c>
      <c r="I1533" s="11" t="s">
        <v>2500</v>
      </c>
      <c r="J1533" s="1285"/>
      <c r="K1533" s="1285"/>
      <c r="L1533" s="1285"/>
    </row>
    <row r="1534" spans="1:12" ht="11.15" customHeight="1">
      <c r="A1534" s="162" t="s">
        <v>2501</v>
      </c>
      <c r="B1534" s="59" t="s">
        <v>100</v>
      </c>
      <c r="C1534" s="147" t="s">
        <v>23393</v>
      </c>
      <c r="D1534" s="284" t="s">
        <v>897</v>
      </c>
      <c r="E1534" s="178">
        <v>2020</v>
      </c>
      <c r="F1534" s="178" t="s">
        <v>4520</v>
      </c>
      <c r="G1534" s="496"/>
      <c r="H1534" s="994" t="s">
        <v>20221</v>
      </c>
      <c r="I1534" s="11" t="s">
        <v>2502</v>
      </c>
      <c r="J1534" s="1285"/>
      <c r="K1534" s="1285"/>
      <c r="L1534" s="1285"/>
    </row>
    <row r="1535" spans="1:12" ht="11.15" customHeight="1">
      <c r="A1535" s="162" t="s">
        <v>2503</v>
      </c>
      <c r="B1535" s="59" t="s">
        <v>100</v>
      </c>
      <c r="C1535" s="147" t="s">
        <v>23393</v>
      </c>
      <c r="D1535" s="284" t="s">
        <v>897</v>
      </c>
      <c r="E1535" s="178">
        <v>2019</v>
      </c>
      <c r="F1535" s="178" t="s">
        <v>4520</v>
      </c>
      <c r="G1535" s="496"/>
      <c r="H1535" s="994" t="s">
        <v>20221</v>
      </c>
      <c r="I1535" s="11" t="s">
        <v>2504</v>
      </c>
      <c r="J1535" s="1285"/>
      <c r="K1535" s="1285"/>
      <c r="L1535" s="1285"/>
    </row>
    <row r="1536" spans="1:12" ht="11.15" customHeight="1">
      <c r="A1536" s="162" t="s">
        <v>2505</v>
      </c>
      <c r="B1536" s="59" t="s">
        <v>100</v>
      </c>
      <c r="C1536" s="147" t="s">
        <v>23393</v>
      </c>
      <c r="D1536" s="284" t="s">
        <v>897</v>
      </c>
      <c r="E1536" s="178">
        <v>2018</v>
      </c>
      <c r="F1536" s="178" t="s">
        <v>4520</v>
      </c>
      <c r="G1536" s="496"/>
      <c r="H1536" s="994" t="s">
        <v>20221</v>
      </c>
      <c r="I1536" s="11" t="s">
        <v>2506</v>
      </c>
      <c r="J1536" s="1285"/>
      <c r="K1536" s="1285"/>
      <c r="L1536" s="1285"/>
    </row>
    <row r="1537" spans="1:12" ht="11.15" customHeight="1">
      <c r="A1537" s="218" t="s">
        <v>1110</v>
      </c>
      <c r="B1537" s="59" t="s">
        <v>100</v>
      </c>
      <c r="C1537" s="147" t="s">
        <v>23393</v>
      </c>
      <c r="D1537" s="284" t="s">
        <v>897</v>
      </c>
      <c r="E1537" s="178">
        <v>2017</v>
      </c>
      <c r="F1537" s="178" t="s">
        <v>4520</v>
      </c>
      <c r="G1537" s="496"/>
      <c r="H1537" s="994" t="s">
        <v>20221</v>
      </c>
      <c r="I1537" s="11" t="s">
        <v>2507</v>
      </c>
      <c r="J1537" s="1285"/>
      <c r="K1537" s="1285"/>
      <c r="L1537" s="1285"/>
    </row>
    <row r="1538" spans="1:12" ht="11.15" customHeight="1">
      <c r="A1538" s="166" t="s">
        <v>2508</v>
      </c>
      <c r="B1538" s="59" t="s">
        <v>100</v>
      </c>
      <c r="C1538" s="147" t="s">
        <v>23393</v>
      </c>
      <c r="D1538" s="284" t="s">
        <v>897</v>
      </c>
      <c r="E1538" s="178">
        <v>2016</v>
      </c>
      <c r="F1538" s="178" t="s">
        <v>4520</v>
      </c>
      <c r="G1538" s="496"/>
      <c r="H1538" s="994" t="s">
        <v>20221</v>
      </c>
      <c r="I1538" s="11" t="s">
        <v>2509</v>
      </c>
      <c r="J1538" s="1285"/>
      <c r="K1538" s="1285"/>
      <c r="L1538" s="1285"/>
    </row>
    <row r="1539" spans="1:12" ht="11.15" customHeight="1">
      <c r="A1539" s="166" t="s">
        <v>1982</v>
      </c>
      <c r="B1539" s="59" t="s">
        <v>20454</v>
      </c>
      <c r="C1539" s="147" t="s">
        <v>23393</v>
      </c>
      <c r="D1539" s="284" t="s">
        <v>897</v>
      </c>
      <c r="E1539" s="178">
        <v>2015</v>
      </c>
      <c r="F1539" s="178" t="s">
        <v>4520</v>
      </c>
      <c r="G1539" s="496"/>
      <c r="H1539" s="994" t="s">
        <v>20221</v>
      </c>
      <c r="I1539" s="11" t="s">
        <v>2510</v>
      </c>
      <c r="J1539" s="1285"/>
      <c r="K1539" s="1285"/>
      <c r="L1539" s="1285"/>
    </row>
    <row r="1540" spans="1:12" ht="11.15" customHeight="1">
      <c r="A1540" s="239" t="s">
        <v>1985</v>
      </c>
      <c r="B1540" s="177" t="s">
        <v>2511</v>
      </c>
      <c r="C1540" s="147"/>
      <c r="D1540" s="129"/>
      <c r="E1540" s="185"/>
      <c r="F1540" s="185"/>
      <c r="G1540" s="185"/>
      <c r="H1540" s="185"/>
      <c r="I1540" s="11"/>
    </row>
    <row r="1541" spans="1:12" ht="11.15" customHeight="1">
      <c r="A1541" s="239" t="s">
        <v>1632</v>
      </c>
      <c r="B1541" s="59" t="s">
        <v>20455</v>
      </c>
      <c r="C1541" s="147" t="s">
        <v>23393</v>
      </c>
      <c r="D1541" s="284" t="s">
        <v>897</v>
      </c>
      <c r="E1541" s="178">
        <v>2017</v>
      </c>
      <c r="F1541" s="178" t="s">
        <v>11931</v>
      </c>
      <c r="G1541" s="496"/>
      <c r="H1541" s="994" t="s">
        <v>20224</v>
      </c>
      <c r="I1541" s="11" t="s">
        <v>2512</v>
      </c>
      <c r="J1541" s="1285"/>
      <c r="K1541" s="1285"/>
      <c r="L1541" s="1285"/>
    </row>
    <row r="1542" spans="1:12" ht="11.15" customHeight="1">
      <c r="A1542" s="129" t="s">
        <v>2513</v>
      </c>
      <c r="B1542" s="59" t="s">
        <v>20455</v>
      </c>
      <c r="C1542" s="147" t="s">
        <v>23393</v>
      </c>
      <c r="D1542" s="284" t="s">
        <v>897</v>
      </c>
      <c r="E1542" s="178">
        <v>2016</v>
      </c>
      <c r="F1542" s="178" t="s">
        <v>11931</v>
      </c>
      <c r="G1542" s="496"/>
      <c r="H1542" s="994" t="s">
        <v>20221</v>
      </c>
      <c r="I1542" s="11" t="s">
        <v>2514</v>
      </c>
      <c r="J1542" s="1285"/>
      <c r="K1542" s="1285"/>
      <c r="L1542" s="1285"/>
    </row>
    <row r="1543" spans="1:12" ht="11.15" customHeight="1">
      <c r="A1543" s="29"/>
      <c r="B1543" s="59" t="s">
        <v>20456</v>
      </c>
      <c r="C1543" s="147" t="s">
        <v>23393</v>
      </c>
      <c r="D1543" s="284" t="s">
        <v>897</v>
      </c>
      <c r="E1543" s="178">
        <v>2015</v>
      </c>
      <c r="F1543" s="178" t="s">
        <v>11931</v>
      </c>
      <c r="G1543" s="496"/>
      <c r="H1543" s="994" t="s">
        <v>20224</v>
      </c>
      <c r="I1543" s="11" t="s">
        <v>2515</v>
      </c>
      <c r="J1543" s="1285"/>
      <c r="K1543" s="1285"/>
      <c r="L1543" s="1285"/>
    </row>
    <row r="1544" spans="1:12" ht="11.15" customHeight="1">
      <c r="A1544" s="29"/>
      <c r="B1544" s="59" t="s">
        <v>20457</v>
      </c>
      <c r="C1544" s="147" t="s">
        <v>23393</v>
      </c>
      <c r="D1544" s="284" t="s">
        <v>897</v>
      </c>
      <c r="E1544" s="178">
        <v>2019</v>
      </c>
      <c r="F1544" s="178" t="s">
        <v>11931</v>
      </c>
      <c r="G1544" s="496"/>
      <c r="H1544" s="994" t="s">
        <v>20221</v>
      </c>
      <c r="I1544" s="11" t="s">
        <v>2516</v>
      </c>
      <c r="J1544" s="1285"/>
      <c r="K1544" s="1285"/>
      <c r="L1544" s="1285"/>
    </row>
    <row r="1545" spans="1:12" ht="11.15" customHeight="1">
      <c r="A1545" s="29"/>
      <c r="B1545" s="90"/>
      <c r="C1545" s="147"/>
      <c r="D1545" s="161"/>
      <c r="E1545" s="36"/>
      <c r="F1545" s="183"/>
      <c r="G1545" s="496"/>
      <c r="H1545" s="34"/>
      <c r="I1545" s="11"/>
    </row>
    <row r="1546" spans="1:12" ht="9" customHeight="1">
      <c r="A1546" s="29"/>
      <c r="B1546" s="150" t="s">
        <v>2517</v>
      </c>
      <c r="C1546" s="147"/>
      <c r="D1546" s="122"/>
      <c r="E1546" s="36"/>
      <c r="F1546" s="178"/>
      <c r="G1546" s="453"/>
      <c r="H1546" s="36"/>
      <c r="I1546" s="11"/>
    </row>
    <row r="1547" spans="1:12" ht="9" customHeight="1">
      <c r="A1547" s="185"/>
      <c r="B1547" s="210" t="s">
        <v>2518</v>
      </c>
      <c r="C1547" s="147"/>
      <c r="D1547" s="161"/>
      <c r="E1547" s="36"/>
      <c r="F1547" s="178"/>
      <c r="G1547" s="496"/>
      <c r="H1547" s="36"/>
      <c r="I1547" s="11"/>
    </row>
    <row r="1548" spans="1:12" ht="9" customHeight="1">
      <c r="A1548" s="295"/>
      <c r="B1548" s="209" t="s">
        <v>2124</v>
      </c>
      <c r="C1548" s="147"/>
      <c r="D1548" s="149"/>
      <c r="E1548" s="210"/>
      <c r="F1548" s="150"/>
      <c r="G1548" s="1190"/>
      <c r="H1548" s="210"/>
      <c r="I1548" s="11"/>
    </row>
    <row r="1549" spans="1:12" ht="9" customHeight="1" thickBot="1">
      <c r="A1549" s="295"/>
      <c r="B1549" s="150" t="s">
        <v>2125</v>
      </c>
      <c r="C1549" s="147"/>
      <c r="D1549" s="149"/>
      <c r="E1549" s="210"/>
      <c r="F1549" s="150"/>
      <c r="G1549" s="1190"/>
      <c r="H1549" s="210"/>
      <c r="I1549" s="11"/>
    </row>
    <row r="1550" spans="1:12" ht="11.15" customHeight="1">
      <c r="A1550" s="153" t="s">
        <v>1492</v>
      </c>
      <c r="B1550" s="59" t="s">
        <v>20458</v>
      </c>
      <c r="C1550" s="147" t="s">
        <v>20221</v>
      </c>
      <c r="D1550" s="284" t="s">
        <v>897</v>
      </c>
      <c r="E1550" s="178">
        <v>2022</v>
      </c>
      <c r="F1550" s="178" t="s">
        <v>4520</v>
      </c>
      <c r="G1550" s="496"/>
      <c r="H1550" s="994" t="s">
        <v>20343</v>
      </c>
      <c r="I1550" s="12" t="s">
        <v>2519</v>
      </c>
      <c r="J1550" s="1285"/>
      <c r="K1550" s="1285"/>
      <c r="L1550" s="1285"/>
    </row>
    <row r="1551" spans="1:12" ht="11.15" customHeight="1" thickBot="1">
      <c r="A1551" s="230" t="s">
        <v>2520</v>
      </c>
      <c r="B1551" s="59" t="s">
        <v>20458</v>
      </c>
      <c r="C1551" s="147" t="s">
        <v>20221</v>
      </c>
      <c r="D1551" s="284" t="s">
        <v>897</v>
      </c>
      <c r="E1551" s="178">
        <v>2020</v>
      </c>
      <c r="F1551" s="178" t="s">
        <v>4520</v>
      </c>
      <c r="G1551" s="496"/>
      <c r="H1551" s="994" t="s">
        <v>20221</v>
      </c>
      <c r="I1551" s="12" t="s">
        <v>2521</v>
      </c>
      <c r="J1551" s="1285"/>
      <c r="K1551" s="1285"/>
      <c r="L1551" s="1285"/>
    </row>
    <row r="1552" spans="1:12" ht="11.15" customHeight="1">
      <c r="A1552" s="29" t="s">
        <v>2522</v>
      </c>
      <c r="B1552" s="59" t="s">
        <v>20458</v>
      </c>
      <c r="C1552" s="147" t="s">
        <v>20221</v>
      </c>
      <c r="D1552" s="284" t="s">
        <v>897</v>
      </c>
      <c r="E1552" s="178">
        <v>2019</v>
      </c>
      <c r="F1552" s="178" t="s">
        <v>4520</v>
      </c>
      <c r="G1552" s="496"/>
      <c r="H1552" s="994" t="s">
        <v>20221</v>
      </c>
      <c r="I1552" s="12" t="s">
        <v>2523</v>
      </c>
      <c r="J1552" s="1285"/>
      <c r="K1552" s="1285"/>
      <c r="L1552" s="1285"/>
    </row>
    <row r="1553" spans="1:12" ht="11.15" customHeight="1">
      <c r="A1553" s="29" t="s">
        <v>2524</v>
      </c>
      <c r="B1553" s="59" t="s">
        <v>20458</v>
      </c>
      <c r="C1553" s="147" t="s">
        <v>20221</v>
      </c>
      <c r="D1553" s="284" t="s">
        <v>897</v>
      </c>
      <c r="E1553" s="178">
        <v>2012</v>
      </c>
      <c r="F1553" s="178" t="s">
        <v>4520</v>
      </c>
      <c r="G1553" s="496"/>
      <c r="H1553" s="994" t="s">
        <v>20221</v>
      </c>
      <c r="I1553" s="12" t="s">
        <v>2525</v>
      </c>
      <c r="J1553" s="1285"/>
      <c r="K1553" s="1285"/>
      <c r="L1553" s="1285"/>
    </row>
    <row r="1554" spans="1:12" ht="11.15" customHeight="1">
      <c r="A1554" s="29" t="s">
        <v>1778</v>
      </c>
      <c r="B1554" s="59" t="s">
        <v>20458</v>
      </c>
      <c r="C1554" s="147" t="s">
        <v>20221</v>
      </c>
      <c r="D1554" s="284" t="s">
        <v>897</v>
      </c>
      <c r="E1554" s="178">
        <v>2011</v>
      </c>
      <c r="F1554" s="178" t="s">
        <v>4520</v>
      </c>
      <c r="G1554" s="496"/>
      <c r="H1554" s="994" t="s">
        <v>20277</v>
      </c>
      <c r="I1554" s="12" t="s">
        <v>2526</v>
      </c>
      <c r="J1554" s="1285"/>
      <c r="K1554" s="1285"/>
      <c r="L1554" s="1285"/>
    </row>
    <row r="1555" spans="1:12" ht="11.15" customHeight="1">
      <c r="A1555" s="212" t="s">
        <v>1528</v>
      </c>
      <c r="B1555" s="90"/>
      <c r="C1555" s="147"/>
      <c r="D1555" s="161"/>
      <c r="E1555" s="36"/>
      <c r="F1555" s="178"/>
      <c r="G1555" s="496"/>
      <c r="H1555" s="36"/>
      <c r="I1555" s="11"/>
    </row>
    <row r="1556" spans="1:12" ht="11.15" customHeight="1">
      <c r="A1556" s="129" t="s">
        <v>1529</v>
      </c>
      <c r="B1556" s="90"/>
      <c r="C1556" s="147"/>
      <c r="D1556" s="161"/>
      <c r="E1556" s="36"/>
      <c r="F1556" s="178"/>
      <c r="G1556" s="1190"/>
      <c r="H1556" s="36"/>
      <c r="I1556" s="11"/>
    </row>
    <row r="1557" spans="1:12" ht="11.15" customHeight="1">
      <c r="A1557" s="129" t="s">
        <v>2136</v>
      </c>
      <c r="B1557" s="90"/>
      <c r="C1557" s="147"/>
      <c r="D1557" s="161"/>
      <c r="E1557" s="36"/>
      <c r="F1557" s="178"/>
      <c r="G1557" s="1190"/>
      <c r="H1557" s="36"/>
      <c r="I1557" s="11"/>
    </row>
    <row r="1558" spans="1:12" ht="11.15" customHeight="1">
      <c r="A1558" s="129" t="s">
        <v>2325</v>
      </c>
      <c r="B1558" s="90"/>
      <c r="C1558" s="147"/>
      <c r="D1558" s="161"/>
      <c r="E1558" s="36"/>
      <c r="F1558" s="178"/>
      <c r="G1558" s="1190"/>
      <c r="H1558" s="36"/>
      <c r="I1558" s="11"/>
    </row>
    <row r="1559" spans="1:12" ht="11.15" customHeight="1">
      <c r="A1559" s="129" t="s">
        <v>2527</v>
      </c>
      <c r="B1559" s="90"/>
      <c r="C1559" s="147"/>
      <c r="D1559" s="122"/>
      <c r="E1559" s="36"/>
      <c r="F1559" s="178"/>
      <c r="G1559" s="60"/>
      <c r="H1559" s="36"/>
      <c r="I1559" s="11"/>
    </row>
    <row r="1560" spans="1:12" ht="9" customHeight="1">
      <c r="A1560" s="185"/>
      <c r="B1560" s="150" t="s">
        <v>2357</v>
      </c>
      <c r="C1560" s="147"/>
      <c r="D1560" s="122"/>
      <c r="E1560" s="36"/>
      <c r="F1560" s="178"/>
      <c r="G1560" s="623"/>
      <c r="H1560" s="36"/>
      <c r="I1560" s="11"/>
    </row>
    <row r="1561" spans="1:12" ht="9" customHeight="1">
      <c r="A1561" s="185"/>
      <c r="B1561" s="150" t="s">
        <v>2358</v>
      </c>
      <c r="C1561" s="147"/>
      <c r="D1561" s="122"/>
      <c r="E1561" s="36"/>
      <c r="F1561" s="178"/>
      <c r="G1561" s="623"/>
      <c r="H1561" s="36"/>
      <c r="I1561" s="11"/>
    </row>
    <row r="1562" spans="1:12" ht="9" customHeight="1" thickBot="1">
      <c r="A1562" s="185"/>
      <c r="B1562" s="150" t="s">
        <v>2528</v>
      </c>
      <c r="C1562" s="147"/>
      <c r="D1562" s="122"/>
      <c r="E1562" s="36"/>
      <c r="F1562" s="178"/>
      <c r="G1562" s="623"/>
      <c r="H1562" s="36"/>
      <c r="I1562" s="11"/>
    </row>
    <row r="1563" spans="1:12" ht="11.15" customHeight="1">
      <c r="A1563" s="153" t="s">
        <v>2529</v>
      </c>
      <c r="B1563" s="59" t="s">
        <v>20459</v>
      </c>
      <c r="C1563" s="147" t="s">
        <v>20221</v>
      </c>
      <c r="D1563" s="284" t="s">
        <v>897</v>
      </c>
      <c r="E1563" s="178">
        <v>2020</v>
      </c>
      <c r="F1563" s="178" t="s">
        <v>4520</v>
      </c>
      <c r="G1563" s="496"/>
      <c r="H1563" s="994" t="s">
        <v>20221</v>
      </c>
      <c r="I1563" s="11" t="s">
        <v>2530</v>
      </c>
      <c r="J1563" s="1285"/>
      <c r="K1563" s="1285"/>
      <c r="L1563" s="1285"/>
    </row>
    <row r="1564" spans="1:12" ht="11.15" customHeight="1" thickBot="1">
      <c r="A1564" s="230" t="s">
        <v>2360</v>
      </c>
      <c r="B1564" s="59" t="s">
        <v>20459</v>
      </c>
      <c r="C1564" s="147" t="s">
        <v>20221</v>
      </c>
      <c r="D1564" s="284" t="s">
        <v>897</v>
      </c>
      <c r="E1564" s="178">
        <v>2019</v>
      </c>
      <c r="F1564" s="178" t="s">
        <v>4520</v>
      </c>
      <c r="G1564" s="496"/>
      <c r="H1564" s="994" t="s">
        <v>20224</v>
      </c>
      <c r="I1564" s="11" t="s">
        <v>2531</v>
      </c>
      <c r="J1564" s="1285"/>
      <c r="K1564" s="1285"/>
      <c r="L1564" s="1285"/>
    </row>
    <row r="1565" spans="1:12" ht="11.15" customHeight="1">
      <c r="A1565" s="29" t="s">
        <v>2532</v>
      </c>
      <c r="B1565" s="90"/>
      <c r="C1565" s="147"/>
      <c r="D1565" s="161"/>
      <c r="E1565" s="36"/>
      <c r="F1565" s="178"/>
      <c r="G1565" s="1190"/>
      <c r="H1565" s="36"/>
      <c r="I1565" s="11"/>
    </row>
    <row r="1566" spans="1:12" ht="11.15" customHeight="1">
      <c r="A1566" s="29" t="s">
        <v>2533</v>
      </c>
      <c r="B1566" s="150"/>
      <c r="C1566" s="147"/>
      <c r="D1566" s="161"/>
      <c r="E1566" s="36"/>
      <c r="F1566" s="178"/>
      <c r="G1566" s="1190"/>
      <c r="H1566" s="36"/>
      <c r="I1566" s="11"/>
    </row>
    <row r="1567" spans="1:12" ht="11.15" customHeight="1">
      <c r="A1567" s="29" t="s">
        <v>2534</v>
      </c>
      <c r="B1567" s="90"/>
      <c r="C1567" s="147"/>
      <c r="D1567" s="161"/>
      <c r="E1567" s="36"/>
      <c r="F1567" s="178"/>
      <c r="G1567" s="1190"/>
      <c r="H1567" s="36"/>
      <c r="I1567" s="11"/>
    </row>
    <row r="1568" spans="1:12" ht="11.15" customHeight="1">
      <c r="A1568" s="29" t="s">
        <v>2535</v>
      </c>
      <c r="B1568" s="90"/>
      <c r="C1568" s="147"/>
      <c r="D1568" s="161"/>
      <c r="E1568" s="36"/>
      <c r="F1568" s="178"/>
      <c r="G1568" s="1190"/>
      <c r="H1568" s="36"/>
      <c r="I1568" s="11"/>
    </row>
    <row r="1569" spans="1:9" ht="11.15" customHeight="1">
      <c r="A1569" s="218" t="s">
        <v>2377</v>
      </c>
      <c r="B1569" s="90"/>
      <c r="C1569" s="147"/>
      <c r="D1569" s="161"/>
      <c r="E1569" s="36"/>
      <c r="F1569" s="178"/>
      <c r="G1569" s="1190"/>
      <c r="H1569" s="36"/>
      <c r="I1569" s="11"/>
    </row>
    <row r="1570" spans="1:9" ht="11.15" customHeight="1">
      <c r="A1570" s="218" t="s">
        <v>2536</v>
      </c>
      <c r="B1570" s="90"/>
      <c r="C1570" s="147"/>
      <c r="D1570" s="161"/>
      <c r="E1570" s="36"/>
      <c r="F1570" s="178"/>
      <c r="G1570" s="1190"/>
      <c r="H1570" s="36"/>
      <c r="I1570" s="11"/>
    </row>
    <row r="1571" spans="1:9" ht="11.15" customHeight="1">
      <c r="A1571" s="195" t="s">
        <v>2537</v>
      </c>
      <c r="B1571" s="90"/>
      <c r="C1571" s="147"/>
      <c r="D1571" s="161"/>
      <c r="E1571" s="36"/>
      <c r="F1571" s="178"/>
      <c r="G1571" s="1190"/>
      <c r="H1571" s="36"/>
      <c r="I1571" s="11"/>
    </row>
    <row r="1572" spans="1:9" ht="11.15" customHeight="1">
      <c r="A1572" s="29" t="s">
        <v>2538</v>
      </c>
      <c r="B1572" s="90"/>
      <c r="C1572" s="147"/>
      <c r="D1572" s="161"/>
      <c r="E1572" s="36"/>
      <c r="F1572" s="178"/>
      <c r="G1572" s="1190"/>
      <c r="H1572" s="36"/>
      <c r="I1572" s="11"/>
    </row>
    <row r="1573" spans="1:9" ht="11.15" customHeight="1">
      <c r="A1573" s="129" t="s">
        <v>2539</v>
      </c>
      <c r="B1573" s="90"/>
      <c r="C1573" s="147"/>
      <c r="D1573" s="161"/>
      <c r="E1573" s="36"/>
      <c r="F1573" s="178"/>
      <c r="G1573" s="1190"/>
      <c r="H1573" s="36"/>
      <c r="I1573" s="11"/>
    </row>
    <row r="1574" spans="1:9" ht="9" customHeight="1">
      <c r="A1574" s="162" t="s">
        <v>2540</v>
      </c>
      <c r="B1574" s="90"/>
      <c r="C1574" s="147"/>
      <c r="D1574" s="161"/>
      <c r="E1574" s="36"/>
      <c r="F1574" s="178"/>
      <c r="G1574" s="1190"/>
      <c r="H1574" s="36"/>
      <c r="I1574" s="11"/>
    </row>
    <row r="1575" spans="1:9" ht="9" customHeight="1">
      <c r="A1575" s="162" t="s">
        <v>2386</v>
      </c>
      <c r="B1575" s="185"/>
      <c r="C1575" s="147"/>
      <c r="D1575" s="129"/>
      <c r="E1575" s="185"/>
      <c r="F1575" s="185"/>
      <c r="G1575" s="295"/>
      <c r="H1575" s="185"/>
      <c r="I1575" s="11"/>
    </row>
    <row r="1576" spans="1:9" ht="9" customHeight="1">
      <c r="A1576" s="162" t="s">
        <v>2541</v>
      </c>
      <c r="B1576" s="90"/>
      <c r="C1576" s="147"/>
      <c r="D1576" s="161"/>
      <c r="E1576" s="36"/>
      <c r="F1576" s="178"/>
      <c r="G1576" s="1190"/>
      <c r="H1576" s="36"/>
      <c r="I1576" s="11"/>
    </row>
    <row r="1577" spans="1:9" ht="9" customHeight="1">
      <c r="A1577" s="162" t="s">
        <v>2542</v>
      </c>
      <c r="B1577" s="90"/>
      <c r="C1577" s="147"/>
      <c r="D1577" s="161"/>
      <c r="E1577" s="36"/>
      <c r="F1577" s="178"/>
      <c r="G1577" s="1190"/>
      <c r="H1577" s="36"/>
      <c r="I1577" s="11"/>
    </row>
    <row r="1578" spans="1:9" ht="9" customHeight="1">
      <c r="A1578" s="162" t="s">
        <v>2543</v>
      </c>
      <c r="B1578" s="90"/>
      <c r="C1578" s="147"/>
      <c r="D1578" s="122"/>
      <c r="E1578" s="36"/>
      <c r="F1578" s="178"/>
      <c r="G1578" s="623"/>
      <c r="H1578" s="36"/>
      <c r="I1578" s="11"/>
    </row>
    <row r="1579" spans="1:9" ht="9" customHeight="1">
      <c r="A1579" s="162" t="s">
        <v>2544</v>
      </c>
      <c r="B1579" s="90"/>
      <c r="C1579" s="147"/>
      <c r="D1579" s="122"/>
      <c r="E1579" s="36"/>
      <c r="F1579" s="178"/>
      <c r="G1579" s="623"/>
      <c r="H1579" s="36"/>
      <c r="I1579" s="11"/>
    </row>
    <row r="1580" spans="1:9" ht="9" customHeight="1">
      <c r="A1580" s="162" t="s">
        <v>2545</v>
      </c>
      <c r="B1580" s="90"/>
      <c r="C1580" s="147"/>
      <c r="D1580" s="122"/>
      <c r="E1580" s="36"/>
      <c r="F1580" s="178"/>
      <c r="G1580" s="623"/>
      <c r="H1580" s="36"/>
      <c r="I1580" s="11"/>
    </row>
    <row r="1581" spans="1:9" ht="11.15" customHeight="1">
      <c r="A1581" s="166" t="s">
        <v>2546</v>
      </c>
      <c r="B1581" s="185"/>
      <c r="C1581" s="147"/>
      <c r="D1581" s="129"/>
      <c r="E1581" s="185"/>
      <c r="F1581" s="185"/>
      <c r="G1581" s="295"/>
      <c r="H1581" s="185"/>
      <c r="I1581" s="11"/>
    </row>
    <row r="1582" spans="1:9" ht="11.15" customHeight="1">
      <c r="A1582" s="335" t="s">
        <v>1022</v>
      </c>
      <c r="B1582" s="185"/>
      <c r="C1582" s="147"/>
      <c r="D1582" s="129"/>
      <c r="E1582" s="185"/>
      <c r="F1582" s="185"/>
      <c r="G1582" s="295"/>
      <c r="H1582" s="185"/>
      <c r="I1582" s="11"/>
    </row>
    <row r="1583" spans="1:9" ht="11.15" customHeight="1">
      <c r="A1583" s="129" t="s">
        <v>2399</v>
      </c>
      <c r="B1583" s="185"/>
      <c r="C1583" s="147"/>
      <c r="D1583" s="129"/>
      <c r="E1583" s="185"/>
      <c r="F1583" s="185"/>
      <c r="G1583" s="295"/>
      <c r="H1583" s="185"/>
      <c r="I1583" s="11"/>
    </row>
    <row r="1584" spans="1:9" ht="11.15" customHeight="1">
      <c r="A1584" s="129" t="s">
        <v>2483</v>
      </c>
      <c r="B1584" s="185"/>
      <c r="C1584" s="147"/>
      <c r="D1584" s="129"/>
      <c r="E1584" s="185"/>
      <c r="F1584" s="185"/>
      <c r="G1584" s="295"/>
      <c r="H1584" s="185"/>
      <c r="I1584" s="11"/>
    </row>
    <row r="1585" spans="1:12" ht="11.15" customHeight="1">
      <c r="A1585" s="129" t="s">
        <v>2547</v>
      </c>
      <c r="B1585" s="90"/>
      <c r="C1585" s="147"/>
      <c r="D1585" s="122"/>
      <c r="E1585" s="36"/>
      <c r="F1585" s="178"/>
      <c r="G1585" s="60"/>
      <c r="H1585" s="36"/>
      <c r="I1585" s="11"/>
    </row>
    <row r="1586" spans="1:12" ht="11.15" customHeight="1">
      <c r="A1586" s="29"/>
      <c r="B1586" s="90"/>
      <c r="C1586" s="147"/>
      <c r="D1586" s="161"/>
      <c r="E1586" s="36"/>
      <c r="F1586" s="178"/>
      <c r="G1586" s="1190"/>
      <c r="H1586" s="36"/>
      <c r="I1586" s="11"/>
    </row>
    <row r="1587" spans="1:12" ht="24" customHeight="1">
      <c r="A1587" s="309"/>
      <c r="B1587" s="310" t="s">
        <v>2548</v>
      </c>
      <c r="C1587" s="311"/>
      <c r="D1587" s="312"/>
      <c r="E1587" s="313"/>
      <c r="F1587" s="1070"/>
      <c r="G1587" s="1202"/>
      <c r="H1587" s="313"/>
      <c r="I1587" s="11"/>
    </row>
    <row r="1588" spans="1:12" ht="11.15" customHeight="1" thickBot="1">
      <c r="A1588" s="336"/>
      <c r="B1588" s="320" t="s">
        <v>2549</v>
      </c>
      <c r="C1588" s="321"/>
      <c r="D1588" s="337"/>
      <c r="E1588" s="338"/>
      <c r="F1588" s="1072"/>
      <c r="G1588" s="1206"/>
      <c r="H1588" s="338"/>
      <c r="I1588" s="11"/>
    </row>
    <row r="1589" spans="1:12" ht="11.15" customHeight="1">
      <c r="A1589" s="323" t="s">
        <v>2550</v>
      </c>
      <c r="B1589" s="339" t="s">
        <v>2242</v>
      </c>
      <c r="C1589" s="321"/>
      <c r="D1589" s="330"/>
      <c r="E1589" s="329"/>
      <c r="F1589" s="329"/>
      <c r="G1589" s="329"/>
      <c r="H1589" s="329"/>
      <c r="I1589" s="11"/>
    </row>
    <row r="1590" spans="1:12" ht="11.15" customHeight="1" thickBot="1">
      <c r="A1590" s="340" t="s">
        <v>1424</v>
      </c>
      <c r="B1590" s="324" t="s">
        <v>20461</v>
      </c>
      <c r="C1590" s="321" t="s">
        <v>23393</v>
      </c>
      <c r="D1590" s="1297" t="s">
        <v>1129</v>
      </c>
      <c r="E1590" s="578">
        <v>2018</v>
      </c>
      <c r="F1590" s="578" t="s">
        <v>23395</v>
      </c>
      <c r="G1590" s="1204"/>
      <c r="H1590" s="322" t="s">
        <v>20221</v>
      </c>
      <c r="I1590" s="12" t="s">
        <v>1425</v>
      </c>
      <c r="J1590" s="1285"/>
      <c r="K1590" s="1285"/>
      <c r="L1590" s="1285"/>
    </row>
    <row r="1591" spans="1:12" ht="11.15" customHeight="1">
      <c r="A1591" s="319" t="s">
        <v>2551</v>
      </c>
      <c r="B1591" s="324" t="s">
        <v>20462</v>
      </c>
      <c r="C1591" s="321" t="s">
        <v>20221</v>
      </c>
      <c r="D1591" s="1297" t="s">
        <v>1129</v>
      </c>
      <c r="E1591" s="578">
        <v>2010</v>
      </c>
      <c r="F1591" s="578" t="s">
        <v>4520</v>
      </c>
      <c r="G1591" s="1204"/>
      <c r="H1591" s="1296" t="s">
        <v>20277</v>
      </c>
      <c r="I1591" s="12" t="s">
        <v>2552</v>
      </c>
      <c r="J1591" s="1285"/>
      <c r="K1591" s="1285"/>
      <c r="L1591" s="1285"/>
    </row>
    <row r="1592" spans="1:12" ht="11.15" customHeight="1">
      <c r="A1592" s="319" t="s">
        <v>2553</v>
      </c>
      <c r="B1592" s="339" t="s">
        <v>1398</v>
      </c>
      <c r="C1592" s="321"/>
      <c r="D1592" s="341"/>
      <c r="E1592" s="322"/>
      <c r="F1592" s="578"/>
      <c r="G1592" s="1204"/>
      <c r="H1592" s="322"/>
      <c r="I1592" s="11"/>
    </row>
    <row r="1593" spans="1:12" ht="11.15" customHeight="1">
      <c r="A1593" s="319" t="s">
        <v>2554</v>
      </c>
      <c r="B1593" s="324" t="s">
        <v>20463</v>
      </c>
      <c r="C1593" s="321" t="s">
        <v>23393</v>
      </c>
      <c r="D1593" s="1295" t="s">
        <v>897</v>
      </c>
      <c r="E1593" s="578">
        <v>2015</v>
      </c>
      <c r="F1593" s="578" t="s">
        <v>23395</v>
      </c>
      <c r="G1593" s="1204"/>
      <c r="H1593" s="1296" t="s">
        <v>20277</v>
      </c>
      <c r="I1593" s="12" t="s">
        <v>2555</v>
      </c>
      <c r="J1593" s="1285"/>
      <c r="K1593" s="1285"/>
      <c r="L1593" s="1285"/>
    </row>
    <row r="1594" spans="1:12" ht="11.15" customHeight="1">
      <c r="A1594" s="319" t="s">
        <v>2556</v>
      </c>
      <c r="B1594" s="324" t="s">
        <v>20463</v>
      </c>
      <c r="C1594" s="321" t="s">
        <v>23393</v>
      </c>
      <c r="D1594" s="1295" t="s">
        <v>897</v>
      </c>
      <c r="E1594" s="578">
        <v>2014</v>
      </c>
      <c r="F1594" s="578" t="s">
        <v>23395</v>
      </c>
      <c r="G1594" s="1204"/>
      <c r="H1594" s="1296" t="s">
        <v>20277</v>
      </c>
      <c r="I1594" s="12" t="s">
        <v>2557</v>
      </c>
      <c r="J1594" s="1285"/>
      <c r="K1594" s="1285"/>
      <c r="L1594" s="1285"/>
    </row>
    <row r="1595" spans="1:12" ht="11.15" customHeight="1">
      <c r="A1595" s="319" t="s">
        <v>2558</v>
      </c>
      <c r="B1595" s="329"/>
      <c r="C1595" s="321"/>
      <c r="D1595" s="329"/>
      <c r="E1595" s="329"/>
      <c r="F1595" s="329"/>
      <c r="G1595" s="329"/>
      <c r="H1595" s="329" t="s">
        <v>20221</v>
      </c>
      <c r="I1595" s="11"/>
    </row>
    <row r="1596" spans="1:12" ht="11.15" customHeight="1">
      <c r="A1596" s="319" t="s">
        <v>2559</v>
      </c>
      <c r="B1596" s="329"/>
      <c r="C1596" s="321"/>
      <c r="D1596" s="329"/>
      <c r="E1596" s="329"/>
      <c r="F1596" s="329"/>
      <c r="G1596" s="329"/>
      <c r="H1596" s="329" t="s">
        <v>20221</v>
      </c>
      <c r="I1596" s="11"/>
    </row>
    <row r="1597" spans="1:12" ht="11.15" customHeight="1">
      <c r="A1597" s="342" t="s">
        <v>2560</v>
      </c>
      <c r="B1597" s="324"/>
      <c r="C1597" s="321"/>
      <c r="D1597" s="325"/>
      <c r="E1597" s="322"/>
      <c r="F1597" s="347"/>
      <c r="G1597" s="1204"/>
      <c r="H1597" s="326" t="s">
        <v>20221</v>
      </c>
      <c r="I1597" s="11"/>
    </row>
    <row r="1598" spans="1:12" ht="11.15" customHeight="1">
      <c r="A1598" s="332" t="s">
        <v>2561</v>
      </c>
      <c r="B1598" s="324"/>
      <c r="C1598" s="321"/>
      <c r="D1598" s="325"/>
      <c r="E1598" s="322"/>
      <c r="F1598" s="347"/>
      <c r="G1598" s="1204"/>
      <c r="H1598" s="326" t="s">
        <v>20221</v>
      </c>
      <c r="I1598" s="11"/>
    </row>
    <row r="1599" spans="1:12" ht="11.15" customHeight="1">
      <c r="A1599" s="330" t="s">
        <v>2562</v>
      </c>
      <c r="B1599" s="324"/>
      <c r="C1599" s="321"/>
      <c r="D1599" s="320"/>
      <c r="E1599" s="322"/>
      <c r="F1599" s="578"/>
      <c r="G1599" s="579"/>
      <c r="H1599" s="322" t="s">
        <v>20221</v>
      </c>
      <c r="I1599" s="11"/>
    </row>
    <row r="1600" spans="1:12" ht="11.15" customHeight="1">
      <c r="A1600" s="29"/>
      <c r="B1600" s="90"/>
      <c r="C1600" s="147"/>
      <c r="D1600" s="161"/>
      <c r="E1600" s="36"/>
      <c r="F1600" s="183"/>
      <c r="G1600" s="496"/>
      <c r="H1600" s="34" t="s">
        <v>20221</v>
      </c>
      <c r="I1600" s="11"/>
    </row>
    <row r="1601" spans="1:12" ht="24" customHeight="1">
      <c r="A1601" s="309"/>
      <c r="B1601" s="310" t="s">
        <v>2563</v>
      </c>
      <c r="C1601" s="311"/>
      <c r="D1601" s="312"/>
      <c r="E1601" s="313"/>
      <c r="F1601" s="1070"/>
      <c r="G1601" s="1202"/>
      <c r="H1601" s="313" t="s">
        <v>20221</v>
      </c>
      <c r="I1601" s="11"/>
    </row>
    <row r="1602" spans="1:12" ht="11.15" customHeight="1" thickBot="1">
      <c r="A1602" s="336"/>
      <c r="B1602" s="320" t="s">
        <v>2564</v>
      </c>
      <c r="C1602" s="321"/>
      <c r="D1602" s="337"/>
      <c r="E1602" s="338"/>
      <c r="F1602" s="1072"/>
      <c r="G1602" s="1206"/>
      <c r="H1602" s="338" t="s">
        <v>20221</v>
      </c>
      <c r="I1602" s="11"/>
    </row>
    <row r="1603" spans="1:12" ht="11.15" customHeight="1" thickBot="1">
      <c r="A1603" s="343" t="s">
        <v>2565</v>
      </c>
      <c r="B1603" s="344" t="s">
        <v>2566</v>
      </c>
      <c r="C1603" s="321"/>
      <c r="D1603" s="330"/>
      <c r="E1603" s="319"/>
      <c r="F1603" s="319"/>
      <c r="G1603" s="319"/>
      <c r="H1603" s="319" t="s">
        <v>20221</v>
      </c>
      <c r="I1603" s="11"/>
    </row>
    <row r="1604" spans="1:12" ht="11.15" customHeight="1">
      <c r="A1604" s="319" t="s">
        <v>2567</v>
      </c>
      <c r="B1604" s="324" t="s">
        <v>20464</v>
      </c>
      <c r="C1604" s="321" t="s">
        <v>20221</v>
      </c>
      <c r="D1604" s="1297" t="s">
        <v>1129</v>
      </c>
      <c r="E1604" s="578">
        <v>2021</v>
      </c>
      <c r="F1604" s="578" t="s">
        <v>4520</v>
      </c>
      <c r="G1604" s="1204"/>
      <c r="H1604" s="322" t="s">
        <v>20221</v>
      </c>
      <c r="I1604" s="12" t="s">
        <v>2568</v>
      </c>
      <c r="J1604" s="1285"/>
      <c r="K1604" s="1285"/>
      <c r="L1604" s="1285"/>
    </row>
    <row r="1605" spans="1:12" ht="11.15" customHeight="1">
      <c r="A1605" s="319" t="s">
        <v>2569</v>
      </c>
      <c r="B1605" s="324" t="s">
        <v>20464</v>
      </c>
      <c r="C1605" s="321" t="s">
        <v>20221</v>
      </c>
      <c r="D1605" s="1297" t="s">
        <v>1129</v>
      </c>
      <c r="E1605" s="578">
        <v>2018</v>
      </c>
      <c r="F1605" s="578" t="s">
        <v>4520</v>
      </c>
      <c r="G1605" s="1204"/>
      <c r="H1605" s="1296" t="s">
        <v>20465</v>
      </c>
      <c r="I1605" s="12" t="s">
        <v>1423</v>
      </c>
      <c r="J1605" s="1285"/>
      <c r="K1605" s="1285"/>
      <c r="L1605" s="1285"/>
    </row>
    <row r="1606" spans="1:12" ht="11.15" customHeight="1">
      <c r="A1606" s="319" t="s">
        <v>2570</v>
      </c>
      <c r="B1606" s="344" t="s">
        <v>2571</v>
      </c>
      <c r="C1606" s="321"/>
      <c r="D1606" s="330"/>
      <c r="E1606" s="319"/>
      <c r="F1606" s="319"/>
      <c r="G1606" s="319"/>
      <c r="H1606" s="319"/>
      <c r="I1606" s="11"/>
    </row>
    <row r="1607" spans="1:12" ht="11.15" customHeight="1">
      <c r="A1607" s="319" t="s">
        <v>2572</v>
      </c>
      <c r="B1607" s="324" t="s">
        <v>20466</v>
      </c>
      <c r="C1607" s="321" t="s">
        <v>20221</v>
      </c>
      <c r="D1607" s="1036" t="s">
        <v>2573</v>
      </c>
      <c r="E1607" s="578">
        <v>2021</v>
      </c>
      <c r="F1607" s="578" t="s">
        <v>4520</v>
      </c>
      <c r="G1607" s="1204"/>
      <c r="H1607" s="1296" t="s">
        <v>20277</v>
      </c>
      <c r="I1607" s="12" t="s">
        <v>2574</v>
      </c>
      <c r="J1607" s="1285"/>
      <c r="K1607" s="1285"/>
      <c r="L1607" s="1285"/>
    </row>
    <row r="1608" spans="1:12" ht="11.15" customHeight="1">
      <c r="A1608" s="319" t="s">
        <v>2575</v>
      </c>
      <c r="B1608" s="324" t="s">
        <v>20466</v>
      </c>
      <c r="C1608" s="321" t="s">
        <v>20221</v>
      </c>
      <c r="D1608" s="1036" t="s">
        <v>2573</v>
      </c>
      <c r="E1608" s="578">
        <v>2013</v>
      </c>
      <c r="F1608" s="578" t="s">
        <v>4520</v>
      </c>
      <c r="G1608" s="1204"/>
      <c r="H1608" s="322" t="s">
        <v>20465</v>
      </c>
      <c r="I1608" s="12" t="s">
        <v>2576</v>
      </c>
      <c r="J1608" s="1285"/>
      <c r="K1608" s="1285"/>
      <c r="L1608" s="1285"/>
    </row>
    <row r="1609" spans="1:12" ht="11.15" customHeight="1">
      <c r="A1609" s="342" t="s">
        <v>890</v>
      </c>
      <c r="B1609" s="344" t="s">
        <v>1398</v>
      </c>
      <c r="C1609" s="321"/>
      <c r="D1609" s="330"/>
      <c r="E1609" s="319"/>
      <c r="F1609" s="319"/>
      <c r="G1609" s="319"/>
      <c r="H1609" s="319"/>
      <c r="I1609" s="11"/>
    </row>
    <row r="1610" spans="1:12" ht="11.15" customHeight="1">
      <c r="A1610" s="346" t="s">
        <v>2577</v>
      </c>
      <c r="B1610" s="324" t="s">
        <v>20467</v>
      </c>
      <c r="C1610" s="321" t="s">
        <v>20221</v>
      </c>
      <c r="D1610" s="1295" t="s">
        <v>897</v>
      </c>
      <c r="E1610" s="578">
        <v>2016</v>
      </c>
      <c r="F1610" s="578" t="s">
        <v>7168</v>
      </c>
      <c r="G1610" s="1204"/>
      <c r="H1610" s="1296" t="s">
        <v>20465</v>
      </c>
      <c r="I1610" s="12" t="s">
        <v>2578</v>
      </c>
      <c r="J1610" s="1285"/>
      <c r="K1610" s="1285"/>
      <c r="L1610" s="1285"/>
    </row>
    <row r="1611" spans="1:12" ht="11.15" customHeight="1">
      <c r="A1611" s="330" t="s">
        <v>2579</v>
      </c>
      <c r="B1611" s="324" t="s">
        <v>20468</v>
      </c>
      <c r="C1611" s="321" t="s">
        <v>20221</v>
      </c>
      <c r="D1611" s="1295" t="s">
        <v>897</v>
      </c>
      <c r="E1611" s="578">
        <v>2019</v>
      </c>
      <c r="F1611" s="578" t="s">
        <v>4520</v>
      </c>
      <c r="G1611" s="1204"/>
      <c r="H1611" s="322" t="s">
        <v>20221</v>
      </c>
      <c r="I1611" s="12" t="s">
        <v>2580</v>
      </c>
      <c r="J1611" s="1285"/>
      <c r="K1611" s="1285"/>
      <c r="L1611" s="1285"/>
    </row>
    <row r="1612" spans="1:12" ht="11.15" customHeight="1">
      <c r="A1612" s="330" t="s">
        <v>2581</v>
      </c>
      <c r="B1612" s="344" t="s">
        <v>2582</v>
      </c>
      <c r="C1612" s="321"/>
      <c r="D1612" s="330"/>
      <c r="E1612" s="319"/>
      <c r="F1612" s="319"/>
      <c r="G1612" s="319"/>
      <c r="H1612" s="319"/>
      <c r="I1612" s="11"/>
    </row>
    <row r="1613" spans="1:12" ht="11.15" customHeight="1">
      <c r="A1613" s="319"/>
      <c r="B1613" s="324" t="s">
        <v>20469</v>
      </c>
      <c r="C1613" s="321" t="s">
        <v>20221</v>
      </c>
      <c r="D1613" s="1295" t="s">
        <v>897</v>
      </c>
      <c r="E1613" s="578">
        <v>2018</v>
      </c>
      <c r="F1613" s="578" t="s">
        <v>11938</v>
      </c>
      <c r="G1613" s="1204"/>
      <c r="H1613" s="1296" t="s">
        <v>20277</v>
      </c>
      <c r="I1613" s="12" t="s">
        <v>2583</v>
      </c>
      <c r="J1613" s="1285"/>
      <c r="K1613" s="1285"/>
      <c r="L1613" s="1285"/>
    </row>
    <row r="1614" spans="1:12" ht="11.15" customHeight="1">
      <c r="A1614" s="319"/>
      <c r="B1614" s="324" t="s">
        <v>20470</v>
      </c>
      <c r="C1614" s="321" t="s">
        <v>20221</v>
      </c>
      <c r="D1614" s="1295" t="s">
        <v>897</v>
      </c>
      <c r="E1614" s="578">
        <v>2018</v>
      </c>
      <c r="F1614" s="578" t="s">
        <v>23401</v>
      </c>
      <c r="G1614" s="1204"/>
      <c r="H1614" s="1296" t="s">
        <v>20277</v>
      </c>
      <c r="I1614" s="12" t="s">
        <v>2584</v>
      </c>
      <c r="J1614" s="1285"/>
      <c r="K1614" s="1285"/>
      <c r="L1614" s="1285"/>
    </row>
    <row r="1615" spans="1:12" ht="11.15" customHeight="1">
      <c r="A1615" s="319"/>
      <c r="B1615" s="324" t="s">
        <v>20470</v>
      </c>
      <c r="C1615" s="321" t="s">
        <v>20221</v>
      </c>
      <c r="D1615" s="1295" t="s">
        <v>897</v>
      </c>
      <c r="E1615" s="578">
        <v>2016</v>
      </c>
      <c r="F1615" s="578" t="s">
        <v>23401</v>
      </c>
      <c r="G1615" s="1204"/>
      <c r="H1615" s="1296" t="s">
        <v>20277</v>
      </c>
      <c r="I1615" s="12" t="s">
        <v>2585</v>
      </c>
      <c r="J1615" s="1285"/>
      <c r="K1615" s="1285"/>
      <c r="L1615" s="1285"/>
    </row>
    <row r="1616" spans="1:12" ht="11.15" customHeight="1">
      <c r="A1616" s="319"/>
      <c r="B1616" s="344" t="s">
        <v>2586</v>
      </c>
      <c r="C1616" s="321"/>
      <c r="D1616" s="330"/>
      <c r="E1616" s="319"/>
      <c r="F1616" s="319"/>
      <c r="G1616" s="319"/>
      <c r="H1616" s="319"/>
      <c r="I1616" s="11"/>
    </row>
    <row r="1617" spans="1:12" ht="11.15" customHeight="1">
      <c r="A1617" s="319"/>
      <c r="B1617" s="324" t="s">
        <v>20472</v>
      </c>
      <c r="C1617" s="321" t="s">
        <v>20221</v>
      </c>
      <c r="D1617" s="1298" t="s">
        <v>1410</v>
      </c>
      <c r="E1617" s="578">
        <v>2017</v>
      </c>
      <c r="F1617" s="578" t="s">
        <v>4520</v>
      </c>
      <c r="G1617" s="1204"/>
      <c r="H1617" s="1296" t="s">
        <v>20465</v>
      </c>
      <c r="I1617" s="12" t="s">
        <v>2587</v>
      </c>
      <c r="J1617" s="1285"/>
      <c r="K1617" s="1285"/>
      <c r="L1617" s="1285"/>
    </row>
    <row r="1618" spans="1:12" ht="11.15" customHeight="1" thickBot="1">
      <c r="A1618" s="29"/>
      <c r="B1618" s="122"/>
      <c r="C1618" s="147"/>
      <c r="D1618" s="161"/>
      <c r="E1618" s="36"/>
      <c r="F1618" s="183"/>
      <c r="G1618" s="496"/>
      <c r="H1618" s="34"/>
      <c r="I1618" s="11"/>
    </row>
    <row r="1619" spans="1:12" ht="24" customHeight="1" thickBot="1">
      <c r="A1619" s="243"/>
      <c r="B1619" s="64" t="s">
        <v>2588</v>
      </c>
      <c r="C1619" s="170"/>
      <c r="D1619" s="139"/>
      <c r="E1619" s="235"/>
      <c r="F1619" s="383"/>
      <c r="G1619" s="1142"/>
      <c r="H1619" s="516"/>
      <c r="I1619" s="11"/>
    </row>
    <row r="1620" spans="1:12" ht="11.15" customHeight="1">
      <c r="A1620" s="256" t="s">
        <v>1441</v>
      </c>
      <c r="B1620" s="257"/>
      <c r="C1620" s="258"/>
      <c r="D1620" s="259"/>
      <c r="E1620" s="260"/>
      <c r="F1620" s="257"/>
      <c r="G1620" s="1195"/>
      <c r="H1620" s="1159"/>
      <c r="I1620" s="11"/>
    </row>
    <row r="1621" spans="1:12" ht="11.15" customHeight="1">
      <c r="A1621" s="261" t="s">
        <v>1442</v>
      </c>
      <c r="B1621" s="262"/>
      <c r="C1621" s="263"/>
      <c r="D1621" s="264"/>
      <c r="E1621" s="265"/>
      <c r="F1621" s="262"/>
      <c r="G1621" s="1196"/>
      <c r="H1621" s="1160"/>
      <c r="I1621" s="11"/>
    </row>
    <row r="1622" spans="1:12" ht="11.15" customHeight="1">
      <c r="A1622" s="261" t="s">
        <v>1443</v>
      </c>
      <c r="B1622" s="262"/>
      <c r="C1622" s="263"/>
      <c r="D1622" s="264"/>
      <c r="E1622" s="265"/>
      <c r="F1622" s="262"/>
      <c r="G1622" s="1196"/>
      <c r="H1622" s="1160"/>
      <c r="I1622" s="11"/>
    </row>
    <row r="1623" spans="1:12" ht="11.15" customHeight="1" thickBot="1">
      <c r="A1623" s="266" t="s">
        <v>1444</v>
      </c>
      <c r="B1623" s="267"/>
      <c r="C1623" s="268"/>
      <c r="D1623" s="269"/>
      <c r="E1623" s="270"/>
      <c r="F1623" s="1066"/>
      <c r="G1623" s="1197"/>
      <c r="H1623" s="1161"/>
      <c r="I1623" s="11"/>
    </row>
    <row r="1624" spans="1:12" ht="11.15" customHeight="1">
      <c r="A1624" s="29"/>
      <c r="B1624" s="122"/>
      <c r="C1624" s="147"/>
      <c r="D1624" s="161"/>
      <c r="E1624" s="36"/>
      <c r="F1624" s="183"/>
      <c r="G1624" s="496"/>
      <c r="H1624" s="34"/>
      <c r="I1624" s="11"/>
    </row>
    <row r="1625" spans="1:12" ht="24" customHeight="1" thickBot="1">
      <c r="A1625" s="309"/>
      <c r="B1625" s="310" t="s">
        <v>2589</v>
      </c>
      <c r="C1625" s="311"/>
      <c r="D1625" s="312"/>
      <c r="E1625" s="313"/>
      <c r="F1625" s="1070"/>
      <c r="G1625" s="1202"/>
      <c r="H1625" s="313"/>
      <c r="I1625" s="11"/>
    </row>
    <row r="1626" spans="1:12" ht="11.15" customHeight="1" thickBot="1">
      <c r="A1626" s="184" t="s">
        <v>2590</v>
      </c>
      <c r="B1626" s="154" t="s">
        <v>2591</v>
      </c>
      <c r="C1626" s="147"/>
      <c r="D1626" s="129"/>
      <c r="E1626" s="29"/>
      <c r="F1626" s="29"/>
      <c r="G1626" s="29"/>
      <c r="H1626" s="29"/>
      <c r="I1626" s="11"/>
    </row>
    <row r="1627" spans="1:12" ht="11.15" customHeight="1">
      <c r="A1627" s="29" t="s">
        <v>2592</v>
      </c>
      <c r="B1627" s="59" t="s">
        <v>20473</v>
      </c>
      <c r="C1627" s="147" t="s">
        <v>20221</v>
      </c>
      <c r="D1627" s="284" t="s">
        <v>897</v>
      </c>
      <c r="E1627" s="178">
        <v>2017</v>
      </c>
      <c r="F1627" s="178" t="s">
        <v>23395</v>
      </c>
      <c r="G1627" s="496"/>
      <c r="H1627" s="994" t="s">
        <v>20221</v>
      </c>
      <c r="I1627" s="12" t="s">
        <v>2593</v>
      </c>
      <c r="J1627" s="1285"/>
      <c r="K1627" s="1285"/>
      <c r="L1627" s="1285"/>
    </row>
    <row r="1628" spans="1:12" ht="11.15" customHeight="1">
      <c r="A1628" s="29" t="s">
        <v>2594</v>
      </c>
      <c r="B1628" s="59" t="s">
        <v>20473</v>
      </c>
      <c r="C1628" s="147" t="s">
        <v>20221</v>
      </c>
      <c r="D1628" s="284" t="s">
        <v>897</v>
      </c>
      <c r="E1628" s="178">
        <v>2015</v>
      </c>
      <c r="F1628" s="178" t="s">
        <v>23395</v>
      </c>
      <c r="G1628" s="496"/>
      <c r="H1628" s="994" t="s">
        <v>20277</v>
      </c>
      <c r="I1628" s="12" t="s">
        <v>2595</v>
      </c>
      <c r="J1628" s="1285"/>
      <c r="K1628" s="1285"/>
      <c r="L1628" s="1285"/>
    </row>
    <row r="1629" spans="1:12" ht="11.15" customHeight="1">
      <c r="A1629" s="29" t="s">
        <v>2596</v>
      </c>
      <c r="B1629" s="59" t="s">
        <v>20474</v>
      </c>
      <c r="C1629" s="147" t="s">
        <v>20221</v>
      </c>
      <c r="D1629" s="284" t="s">
        <v>897</v>
      </c>
      <c r="E1629" s="178">
        <v>2015</v>
      </c>
      <c r="F1629" s="178" t="s">
        <v>23395</v>
      </c>
      <c r="G1629" s="496"/>
      <c r="H1629" s="994" t="s">
        <v>20277</v>
      </c>
      <c r="I1629" s="12" t="s">
        <v>2598</v>
      </c>
      <c r="J1629" s="1285"/>
      <c r="K1629" s="1285"/>
      <c r="L1629" s="1285"/>
    </row>
    <row r="1630" spans="1:12" ht="11.15" customHeight="1">
      <c r="A1630" s="29" t="s">
        <v>2597</v>
      </c>
      <c r="B1630" s="154" t="s">
        <v>2599</v>
      </c>
      <c r="C1630" s="147"/>
      <c r="D1630" s="129"/>
      <c r="E1630" s="29"/>
      <c r="F1630" s="29"/>
      <c r="G1630" s="29"/>
      <c r="H1630" s="29"/>
      <c r="I1630" s="11"/>
    </row>
    <row r="1631" spans="1:12" ht="11.15" customHeight="1">
      <c r="A1631" s="218" t="s">
        <v>950</v>
      </c>
      <c r="B1631" s="59" t="s">
        <v>20475</v>
      </c>
      <c r="C1631" s="147" t="s">
        <v>20221</v>
      </c>
      <c r="D1631" s="284" t="s">
        <v>897</v>
      </c>
      <c r="E1631" s="178">
        <v>2012</v>
      </c>
      <c r="F1631" s="178" t="s">
        <v>23395</v>
      </c>
      <c r="G1631" s="496"/>
      <c r="H1631" s="994" t="s">
        <v>20221</v>
      </c>
      <c r="I1631" s="12" t="s">
        <v>2600</v>
      </c>
      <c r="J1631" s="1285"/>
      <c r="K1631" s="1285"/>
      <c r="L1631" s="1285"/>
    </row>
    <row r="1632" spans="1:12" ht="11.15" customHeight="1">
      <c r="A1632" s="181" t="s">
        <v>1219</v>
      </c>
      <c r="B1632" s="154" t="s">
        <v>2601</v>
      </c>
      <c r="C1632" s="147"/>
      <c r="D1632" s="129"/>
      <c r="E1632" s="29"/>
      <c r="F1632" s="29"/>
      <c r="G1632" s="29"/>
      <c r="H1632" s="29"/>
      <c r="I1632" s="11"/>
    </row>
    <row r="1633" spans="1:12" ht="11.15" customHeight="1">
      <c r="A1633" s="129" t="s">
        <v>951</v>
      </c>
      <c r="B1633" s="59" t="s">
        <v>20476</v>
      </c>
      <c r="C1633" s="147" t="s">
        <v>20221</v>
      </c>
      <c r="D1633" s="284" t="s">
        <v>897</v>
      </c>
      <c r="E1633" s="178">
        <v>2014</v>
      </c>
      <c r="F1633" s="178" t="s">
        <v>11931</v>
      </c>
      <c r="G1633" s="496"/>
      <c r="H1633" s="994" t="s">
        <v>20224</v>
      </c>
      <c r="I1633" s="12" t="s">
        <v>2603</v>
      </c>
      <c r="J1633" s="1285"/>
      <c r="K1633" s="1285"/>
      <c r="L1633" s="1285"/>
    </row>
    <row r="1634" spans="1:12" ht="11.15" customHeight="1">
      <c r="A1634" s="162" t="s">
        <v>2602</v>
      </c>
      <c r="B1634" s="59" t="s">
        <v>20476</v>
      </c>
      <c r="C1634" s="147" t="s">
        <v>20221</v>
      </c>
      <c r="D1634" s="284" t="s">
        <v>897</v>
      </c>
      <c r="E1634" s="178">
        <v>2011</v>
      </c>
      <c r="F1634" s="178" t="s">
        <v>11931</v>
      </c>
      <c r="G1634" s="496"/>
      <c r="H1634" s="994" t="s">
        <v>20224</v>
      </c>
      <c r="I1634" s="12" t="s">
        <v>2605</v>
      </c>
      <c r="J1634" s="1285"/>
      <c r="K1634" s="1285"/>
      <c r="L1634" s="1285"/>
    </row>
    <row r="1635" spans="1:12" ht="11.15" customHeight="1">
      <c r="A1635" s="162" t="s">
        <v>2604</v>
      </c>
      <c r="B1635" s="59" t="s">
        <v>20477</v>
      </c>
      <c r="C1635" s="147" t="s">
        <v>20221</v>
      </c>
      <c r="D1635" s="284" t="s">
        <v>897</v>
      </c>
      <c r="E1635" s="178">
        <v>2008</v>
      </c>
      <c r="F1635" s="178" t="s">
        <v>11931</v>
      </c>
      <c r="G1635" s="496"/>
      <c r="H1635" s="994" t="s">
        <v>20224</v>
      </c>
      <c r="I1635" s="12" t="s">
        <v>2607</v>
      </c>
      <c r="J1635" s="1285"/>
      <c r="K1635" s="1285"/>
      <c r="L1635" s="1285"/>
    </row>
    <row r="1636" spans="1:12" ht="11.15" customHeight="1">
      <c r="A1636" s="162" t="s">
        <v>2606</v>
      </c>
      <c r="B1636" s="154" t="s">
        <v>2609</v>
      </c>
      <c r="C1636" s="147"/>
      <c r="D1636" s="129"/>
      <c r="E1636" s="129"/>
      <c r="F1636" s="29"/>
      <c r="G1636" s="29"/>
      <c r="H1636" s="29"/>
      <c r="I1636" s="11"/>
    </row>
    <row r="1637" spans="1:12" ht="11.15" customHeight="1">
      <c r="A1637" s="162" t="s">
        <v>2608</v>
      </c>
      <c r="B1637" s="59" t="s">
        <v>20478</v>
      </c>
      <c r="C1637" s="147" t="s">
        <v>20221</v>
      </c>
      <c r="D1637" s="739" t="s">
        <v>1410</v>
      </c>
      <c r="E1637" s="178">
        <v>2005</v>
      </c>
      <c r="F1637" s="178" t="s">
        <v>23398</v>
      </c>
      <c r="G1637" s="496"/>
      <c r="H1637" s="994" t="s">
        <v>20224</v>
      </c>
      <c r="I1637" s="12" t="s">
        <v>2611</v>
      </c>
      <c r="J1637" s="1285"/>
      <c r="K1637" s="1285"/>
      <c r="L1637" s="1285"/>
    </row>
    <row r="1638" spans="1:12" ht="11.15" customHeight="1">
      <c r="A1638" s="129" t="s">
        <v>2610</v>
      </c>
      <c r="B1638" s="29"/>
      <c r="C1638" s="147"/>
      <c r="D1638" s="29"/>
      <c r="E1638" s="29"/>
      <c r="F1638" s="29"/>
      <c r="G1638" s="29"/>
      <c r="H1638" s="29"/>
      <c r="I1638" s="11"/>
    </row>
    <row r="1639" spans="1:12" ht="11.15" customHeight="1">
      <c r="A1639" s="162"/>
      <c r="B1639" s="29"/>
      <c r="C1639" s="147"/>
      <c r="D1639" s="29"/>
      <c r="E1639" s="29"/>
      <c r="F1639" s="29"/>
      <c r="G1639" s="29"/>
      <c r="H1639" s="29"/>
      <c r="I1639" s="11"/>
    </row>
    <row r="1640" spans="1:12" ht="24" customHeight="1">
      <c r="A1640" s="309"/>
      <c r="B1640" s="310" t="s">
        <v>2612</v>
      </c>
      <c r="C1640" s="311"/>
      <c r="D1640" s="312"/>
      <c r="E1640" s="313"/>
      <c r="F1640" s="1070"/>
      <c r="G1640" s="1202"/>
      <c r="H1640" s="313"/>
      <c r="I1640" s="11"/>
    </row>
    <row r="1641" spans="1:12" ht="11.15" customHeight="1" thickBot="1">
      <c r="A1641" s="137"/>
      <c r="B1641" s="122"/>
      <c r="C1641" s="147"/>
      <c r="D1641" s="122"/>
      <c r="E1641" s="36"/>
      <c r="F1641" s="178" t="s">
        <v>2613</v>
      </c>
      <c r="G1641" s="453"/>
      <c r="H1641" s="183"/>
      <c r="I1641" s="11"/>
    </row>
    <row r="1642" spans="1:12" ht="11.15" customHeight="1" thickBot="1">
      <c r="A1642" s="184" t="s">
        <v>2614</v>
      </c>
      <c r="B1642" s="59" t="s">
        <v>20479</v>
      </c>
      <c r="C1642" s="147" t="s">
        <v>20221</v>
      </c>
      <c r="D1642" s="701" t="s">
        <v>2615</v>
      </c>
      <c r="E1642" s="178">
        <v>2015</v>
      </c>
      <c r="F1642" s="178" t="s">
        <v>23399</v>
      </c>
      <c r="G1642" s="496"/>
      <c r="H1642" s="994" t="s">
        <v>20221</v>
      </c>
      <c r="I1642" s="12" t="s">
        <v>1439</v>
      </c>
      <c r="J1642" s="1285"/>
      <c r="K1642" s="1285"/>
      <c r="L1642" s="1285"/>
    </row>
    <row r="1643" spans="1:12" ht="11.15" customHeight="1">
      <c r="A1643" s="29" t="s">
        <v>2616</v>
      </c>
      <c r="B1643" s="211"/>
      <c r="C1643" s="147"/>
      <c r="D1643" s="159"/>
      <c r="E1643" s="34"/>
      <c r="F1643" s="183"/>
      <c r="G1643" s="496"/>
      <c r="H1643" s="183"/>
      <c r="I1643" s="12"/>
    </row>
    <row r="1644" spans="1:12" ht="11.15" customHeight="1">
      <c r="A1644" s="29" t="s">
        <v>2617</v>
      </c>
      <c r="B1644" s="185"/>
      <c r="C1644" s="147"/>
      <c r="D1644" s="159"/>
      <c r="E1644" s="36"/>
      <c r="F1644" s="178"/>
      <c r="G1644" s="496"/>
      <c r="H1644" s="36"/>
      <c r="I1644" s="11"/>
    </row>
    <row r="1645" spans="1:12" ht="11.15" customHeight="1">
      <c r="A1645" s="29" t="s">
        <v>2618</v>
      </c>
      <c r="B1645" s="90"/>
      <c r="C1645" s="147"/>
      <c r="D1645" s="159"/>
      <c r="E1645" s="36"/>
      <c r="F1645" s="178"/>
      <c r="G1645" s="496"/>
      <c r="H1645" s="36"/>
      <c r="I1645" s="11"/>
    </row>
    <row r="1646" spans="1:12" ht="11.15" customHeight="1">
      <c r="A1646" s="29" t="s">
        <v>2619</v>
      </c>
      <c r="B1646" s="185"/>
      <c r="C1646" s="147"/>
      <c r="D1646" s="159"/>
      <c r="E1646" s="36"/>
      <c r="F1646" s="178"/>
      <c r="G1646" s="496"/>
      <c r="H1646" s="36"/>
      <c r="I1646" s="11"/>
    </row>
    <row r="1647" spans="1:12" ht="11.15" customHeight="1">
      <c r="A1647" s="29" t="s">
        <v>2620</v>
      </c>
      <c r="B1647" s="90"/>
      <c r="C1647" s="147"/>
      <c r="D1647" s="159"/>
      <c r="E1647" s="36"/>
      <c r="F1647" s="178"/>
      <c r="G1647" s="496"/>
      <c r="H1647" s="36"/>
      <c r="I1647" s="11"/>
    </row>
    <row r="1648" spans="1:12" ht="11.15" customHeight="1">
      <c r="A1648" s="29" t="s">
        <v>2621</v>
      </c>
      <c r="B1648" s="90"/>
      <c r="C1648" s="147"/>
      <c r="D1648" s="159"/>
      <c r="E1648" s="36"/>
      <c r="F1648" s="178"/>
      <c r="G1648" s="496"/>
      <c r="H1648" s="36"/>
      <c r="I1648" s="11"/>
    </row>
    <row r="1649" spans="1:12" ht="11.15" customHeight="1">
      <c r="A1649" s="29" t="s">
        <v>2622</v>
      </c>
      <c r="B1649" s="90"/>
      <c r="C1649" s="147"/>
      <c r="D1649" s="159"/>
      <c r="E1649" s="36"/>
      <c r="F1649" s="178"/>
      <c r="G1649" s="496"/>
      <c r="H1649" s="36"/>
      <c r="I1649" s="11"/>
    </row>
    <row r="1650" spans="1:12" ht="11.15" customHeight="1">
      <c r="A1650" s="29" t="s">
        <v>2623</v>
      </c>
      <c r="B1650" s="90"/>
      <c r="C1650" s="147"/>
      <c r="D1650" s="159"/>
      <c r="E1650" s="36"/>
      <c r="F1650" s="178"/>
      <c r="G1650" s="496"/>
      <c r="H1650" s="36"/>
      <c r="I1650" s="11"/>
    </row>
    <row r="1651" spans="1:12" ht="11.15" customHeight="1">
      <c r="A1651" s="287" t="s">
        <v>2624</v>
      </c>
      <c r="B1651" s="90"/>
      <c r="C1651" s="147"/>
      <c r="D1651" s="159"/>
      <c r="E1651" s="36"/>
      <c r="F1651" s="178"/>
      <c r="G1651" s="496"/>
      <c r="H1651" s="36"/>
      <c r="I1651" s="11"/>
    </row>
    <row r="1652" spans="1:12" ht="11.15" customHeight="1">
      <c r="A1652" s="199" t="s">
        <v>2625</v>
      </c>
      <c r="B1652" s="185"/>
      <c r="C1652" s="147"/>
      <c r="D1652" s="122"/>
      <c r="E1652" s="36"/>
      <c r="F1652" s="178"/>
      <c r="G1652" s="60"/>
      <c r="H1652" s="36"/>
      <c r="I1652" s="11"/>
    </row>
    <row r="1653" spans="1:12" ht="11.15" customHeight="1">
      <c r="A1653" s="129" t="s">
        <v>2626</v>
      </c>
      <c r="B1653" s="90"/>
      <c r="C1653" s="147"/>
      <c r="D1653" s="122"/>
      <c r="E1653" s="36"/>
      <c r="F1653" s="178"/>
      <c r="G1653" s="60"/>
      <c r="H1653" s="36"/>
      <c r="I1653" s="11"/>
    </row>
    <row r="1654" spans="1:12" ht="11.15" customHeight="1" thickBot="1">
      <c r="A1654" s="162"/>
      <c r="B1654" s="210" t="s">
        <v>2627</v>
      </c>
      <c r="C1654" s="147"/>
      <c r="D1654" s="149"/>
      <c r="E1654" s="210"/>
      <c r="F1654" s="150"/>
      <c r="G1654" s="623"/>
      <c r="H1654" s="210"/>
      <c r="I1654" s="11"/>
    </row>
    <row r="1655" spans="1:12" ht="11.15" customHeight="1" thickBot="1">
      <c r="A1655" s="184" t="s">
        <v>2628</v>
      </c>
      <c r="B1655" s="59" t="s">
        <v>20482</v>
      </c>
      <c r="C1655" s="147" t="s">
        <v>20221</v>
      </c>
      <c r="D1655" s="701" t="s">
        <v>1129</v>
      </c>
      <c r="E1655" s="178">
        <v>2019</v>
      </c>
      <c r="F1655" s="178" t="s">
        <v>23395</v>
      </c>
      <c r="G1655" s="496"/>
      <c r="H1655" s="994" t="s">
        <v>20221</v>
      </c>
      <c r="I1655" s="12" t="s">
        <v>1433</v>
      </c>
      <c r="J1655" s="1285"/>
      <c r="K1655" s="1285"/>
      <c r="L1655" s="1285"/>
    </row>
    <row r="1656" spans="1:12" ht="11.15" customHeight="1">
      <c r="A1656" s="29" t="s">
        <v>2629</v>
      </c>
      <c r="B1656" s="59" t="s">
        <v>20483</v>
      </c>
      <c r="C1656" s="147" t="s">
        <v>20221</v>
      </c>
      <c r="D1656" s="701" t="s">
        <v>1129</v>
      </c>
      <c r="E1656" s="178">
        <v>2020</v>
      </c>
      <c r="F1656" s="178" t="s">
        <v>23394</v>
      </c>
      <c r="G1656" s="496"/>
      <c r="H1656" s="994" t="s">
        <v>20224</v>
      </c>
      <c r="I1656" s="12" t="s">
        <v>2630</v>
      </c>
      <c r="J1656" s="1285"/>
      <c r="K1656" s="1285"/>
      <c r="L1656" s="1285"/>
    </row>
    <row r="1657" spans="1:12" ht="11.15" customHeight="1">
      <c r="A1657" s="29" t="s">
        <v>2631</v>
      </c>
      <c r="B1657" s="90"/>
      <c r="C1657" s="147"/>
      <c r="D1657" s="161"/>
      <c r="E1657" s="36"/>
      <c r="F1657" s="178"/>
      <c r="G1657" s="496"/>
      <c r="H1657" s="36"/>
      <c r="I1657" s="11"/>
    </row>
    <row r="1658" spans="1:12" ht="11.15" customHeight="1">
      <c r="A1658" s="129" t="s">
        <v>2632</v>
      </c>
      <c r="B1658" s="90"/>
      <c r="C1658" s="147"/>
      <c r="D1658" s="161"/>
      <c r="E1658" s="36"/>
      <c r="F1658" s="178"/>
      <c r="G1658" s="496"/>
      <c r="H1658" s="36"/>
      <c r="I1658" s="11"/>
    </row>
    <row r="1659" spans="1:12" ht="11.15" customHeight="1">
      <c r="A1659" s="162" t="s">
        <v>2633</v>
      </c>
      <c r="B1659" s="210"/>
      <c r="C1659" s="147"/>
      <c r="D1659" s="149"/>
      <c r="E1659" s="210"/>
      <c r="F1659" s="150"/>
      <c r="G1659" s="1190"/>
      <c r="H1659" s="210"/>
      <c r="I1659" s="11"/>
    </row>
    <row r="1660" spans="1:12" ht="11.15" customHeight="1">
      <c r="A1660" s="162" t="s">
        <v>2634</v>
      </c>
      <c r="B1660" s="210"/>
      <c r="C1660" s="147"/>
      <c r="D1660" s="149"/>
      <c r="E1660" s="210"/>
      <c r="F1660" s="150"/>
      <c r="G1660" s="1190"/>
      <c r="H1660" s="210"/>
      <c r="I1660" s="11"/>
    </row>
    <row r="1661" spans="1:12" ht="11.15" customHeight="1">
      <c r="A1661" s="162" t="s">
        <v>2635</v>
      </c>
      <c r="B1661" s="210"/>
      <c r="C1661" s="147"/>
      <c r="D1661" s="149"/>
      <c r="E1661" s="210"/>
      <c r="F1661" s="150"/>
      <c r="G1661" s="1190"/>
      <c r="H1661" s="210"/>
      <c r="I1661" s="11"/>
    </row>
    <row r="1662" spans="1:12" ht="11.15" customHeight="1">
      <c r="A1662" s="162" t="s">
        <v>2636</v>
      </c>
      <c r="B1662" s="210"/>
      <c r="C1662" s="147"/>
      <c r="D1662" s="149"/>
      <c r="E1662" s="210"/>
      <c r="F1662" s="150"/>
      <c r="G1662" s="1190"/>
      <c r="H1662" s="210"/>
      <c r="I1662" s="11"/>
    </row>
    <row r="1663" spans="1:12" ht="11.15" customHeight="1">
      <c r="A1663" s="162" t="s">
        <v>2637</v>
      </c>
      <c r="B1663" s="210"/>
      <c r="C1663" s="147"/>
      <c r="D1663" s="149"/>
      <c r="E1663" s="210"/>
      <c r="F1663" s="150"/>
      <c r="G1663" s="1190"/>
      <c r="H1663" s="210"/>
      <c r="I1663" s="11"/>
    </row>
    <row r="1664" spans="1:12" ht="11.15" customHeight="1">
      <c r="A1664" s="162" t="s">
        <v>2638</v>
      </c>
      <c r="B1664" s="210"/>
      <c r="C1664" s="147"/>
      <c r="D1664" s="149"/>
      <c r="E1664" s="210"/>
      <c r="F1664" s="150"/>
      <c r="G1664" s="1190"/>
      <c r="H1664" s="210"/>
      <c r="I1664" s="11"/>
    </row>
    <row r="1665" spans="1:12" ht="11.15" customHeight="1">
      <c r="A1665" s="129" t="s">
        <v>1077</v>
      </c>
      <c r="B1665" s="90"/>
      <c r="C1665" s="147"/>
      <c r="D1665" s="161"/>
      <c r="E1665" s="36"/>
      <c r="F1665" s="178"/>
      <c r="G1665" s="496"/>
      <c r="H1665" s="36"/>
      <c r="I1665" s="11"/>
    </row>
    <row r="1666" spans="1:12" ht="11.15" customHeight="1">
      <c r="A1666" s="162" t="s">
        <v>2639</v>
      </c>
      <c r="B1666" s="36"/>
      <c r="C1666" s="147"/>
      <c r="D1666" s="161"/>
      <c r="E1666" s="36"/>
      <c r="F1666" s="178"/>
      <c r="G1666" s="496"/>
      <c r="H1666" s="36"/>
      <c r="I1666" s="11"/>
    </row>
    <row r="1667" spans="1:12" ht="11.15" customHeight="1">
      <c r="A1667" s="162" t="s">
        <v>2640</v>
      </c>
      <c r="B1667" s="36"/>
      <c r="C1667" s="147"/>
      <c r="D1667" s="161"/>
      <c r="E1667" s="36"/>
      <c r="F1667" s="178"/>
      <c r="G1667" s="496"/>
      <c r="H1667" s="36"/>
      <c r="I1667" s="11"/>
    </row>
    <row r="1668" spans="1:12" ht="11.15" customHeight="1">
      <c r="A1668" s="162" t="s">
        <v>2641</v>
      </c>
      <c r="B1668" s="36"/>
      <c r="C1668" s="147"/>
      <c r="D1668" s="161"/>
      <c r="E1668" s="36"/>
      <c r="F1668" s="178"/>
      <c r="G1668" s="496"/>
      <c r="H1668" s="36"/>
      <c r="I1668" s="11"/>
    </row>
    <row r="1669" spans="1:12" ht="11.15" customHeight="1">
      <c r="A1669" s="162" t="s">
        <v>2642</v>
      </c>
      <c r="B1669" s="36"/>
      <c r="C1669" s="147"/>
      <c r="D1669" s="161"/>
      <c r="E1669" s="36"/>
      <c r="F1669" s="178"/>
      <c r="G1669" s="496"/>
      <c r="H1669" s="36"/>
      <c r="I1669" s="11"/>
    </row>
    <row r="1670" spans="1:12" ht="11.15" customHeight="1">
      <c r="A1670" s="181" t="s">
        <v>1640</v>
      </c>
      <c r="B1670" s="90"/>
      <c r="C1670" s="147"/>
      <c r="D1670" s="161"/>
      <c r="E1670" s="36"/>
      <c r="F1670" s="178"/>
      <c r="G1670" s="496"/>
      <c r="H1670" s="36"/>
      <c r="I1670" s="11"/>
    </row>
    <row r="1671" spans="1:12" ht="11.15" customHeight="1">
      <c r="A1671" s="181" t="s">
        <v>2643</v>
      </c>
      <c r="B1671" s="90"/>
      <c r="C1671" s="147"/>
      <c r="D1671" s="161"/>
      <c r="E1671" s="36"/>
      <c r="F1671" s="178"/>
      <c r="G1671" s="496"/>
      <c r="H1671" s="36"/>
      <c r="I1671" s="11"/>
    </row>
    <row r="1672" spans="1:12" ht="11.15" customHeight="1">
      <c r="A1672" s="181" t="s">
        <v>2644</v>
      </c>
      <c r="B1672" s="154"/>
      <c r="C1672" s="147"/>
      <c r="D1672" s="129"/>
      <c r="E1672" s="29"/>
      <c r="F1672" s="29"/>
      <c r="G1672" s="29"/>
      <c r="H1672" s="29"/>
      <c r="I1672" s="11"/>
    </row>
    <row r="1673" spans="1:12" ht="11.15" customHeight="1">
      <c r="A1673" s="166" t="s">
        <v>2645</v>
      </c>
      <c r="B1673" s="90"/>
      <c r="C1673" s="147"/>
      <c r="D1673" s="161"/>
      <c r="E1673" s="36"/>
      <c r="F1673" s="178"/>
      <c r="G1673" s="496"/>
      <c r="H1673" s="36"/>
      <c r="I1673" s="11"/>
    </row>
    <row r="1674" spans="1:12" ht="11.15" customHeight="1">
      <c r="A1674" s="129" t="s">
        <v>2646</v>
      </c>
      <c r="B1674" s="90"/>
      <c r="C1674" s="147"/>
      <c r="D1674" s="122"/>
      <c r="E1674" s="36"/>
      <c r="F1674" s="178"/>
      <c r="G1674" s="60"/>
      <c r="H1674" s="36"/>
      <c r="I1674" s="11"/>
    </row>
    <row r="1675" spans="1:12" ht="11.15" customHeight="1" thickBot="1">
      <c r="A1675" s="185"/>
      <c r="B1675" s="185"/>
      <c r="C1675" s="147"/>
      <c r="D1675" s="185"/>
      <c r="E1675" s="185"/>
      <c r="F1675" s="185"/>
      <c r="G1675" s="185"/>
      <c r="H1675" s="185"/>
      <c r="I1675" s="11"/>
    </row>
    <row r="1676" spans="1:12" ht="11.15" customHeight="1" thickBot="1">
      <c r="A1676" s="349" t="s">
        <v>2647</v>
      </c>
      <c r="B1676" s="177" t="s">
        <v>1491</v>
      </c>
      <c r="C1676" s="147"/>
      <c r="D1676" s="185"/>
      <c r="E1676" s="185"/>
      <c r="F1676" s="185"/>
      <c r="G1676" s="185"/>
      <c r="H1676" s="185"/>
      <c r="I1676" s="11"/>
    </row>
    <row r="1677" spans="1:12" ht="11.15" customHeight="1">
      <c r="A1677" s="29" t="s">
        <v>2648</v>
      </c>
      <c r="B1677" s="59" t="s">
        <v>20484</v>
      </c>
      <c r="C1677" s="147" t="s">
        <v>20221</v>
      </c>
      <c r="D1677" s="284" t="s">
        <v>897</v>
      </c>
      <c r="E1677" s="178">
        <v>2018</v>
      </c>
      <c r="F1677" s="178" t="s">
        <v>7168</v>
      </c>
      <c r="G1677" s="496" t="s">
        <v>20221</v>
      </c>
      <c r="H1677" s="994" t="s">
        <v>3907</v>
      </c>
      <c r="I1677" s="12" t="s">
        <v>2649</v>
      </c>
      <c r="J1677" s="1285"/>
      <c r="K1677" s="1285"/>
      <c r="L1677" s="1285"/>
    </row>
    <row r="1678" spans="1:12" ht="11.15" customHeight="1">
      <c r="A1678" s="29" t="s">
        <v>2650</v>
      </c>
      <c r="B1678" s="59" t="s">
        <v>20485</v>
      </c>
      <c r="C1678" s="147" t="s">
        <v>20221</v>
      </c>
      <c r="D1678" s="284" t="s">
        <v>897</v>
      </c>
      <c r="E1678" s="178">
        <v>2017</v>
      </c>
      <c r="F1678" s="178" t="s">
        <v>11931</v>
      </c>
      <c r="G1678" s="496"/>
      <c r="H1678" s="994" t="s">
        <v>20221</v>
      </c>
      <c r="I1678" s="12" t="s">
        <v>2651</v>
      </c>
      <c r="J1678" s="1285"/>
      <c r="K1678" s="1285"/>
      <c r="L1678" s="1285"/>
    </row>
    <row r="1679" spans="1:12" ht="11.15" customHeight="1">
      <c r="A1679" s="29" t="s">
        <v>2652</v>
      </c>
      <c r="B1679" s="177" t="s">
        <v>1691</v>
      </c>
      <c r="C1679" s="147"/>
      <c r="D1679" s="185"/>
      <c r="E1679" s="185"/>
      <c r="F1679" s="185"/>
      <c r="G1679" s="185"/>
      <c r="H1679" s="185"/>
      <c r="I1679" s="11"/>
    </row>
    <row r="1680" spans="1:12" ht="11.15" customHeight="1">
      <c r="A1680" s="29" t="s">
        <v>2653</v>
      </c>
      <c r="B1680" s="59" t="s">
        <v>20486</v>
      </c>
      <c r="C1680" s="147" t="s">
        <v>20221</v>
      </c>
      <c r="D1680" s="284" t="s">
        <v>897</v>
      </c>
      <c r="E1680" s="178">
        <v>2023</v>
      </c>
      <c r="F1680" s="178" t="s">
        <v>4520</v>
      </c>
      <c r="G1680" s="496"/>
      <c r="H1680" s="994" t="s">
        <v>20343</v>
      </c>
      <c r="I1680" s="12" t="s">
        <v>2654</v>
      </c>
      <c r="J1680" s="1285"/>
      <c r="K1680" s="1285"/>
      <c r="L1680" s="1285"/>
    </row>
    <row r="1681" spans="1:12" ht="11.15" customHeight="1">
      <c r="A1681" s="29" t="s">
        <v>2655</v>
      </c>
      <c r="B1681" s="59" t="s">
        <v>20486</v>
      </c>
      <c r="C1681" s="147" t="s">
        <v>20221</v>
      </c>
      <c r="D1681" s="284" t="s">
        <v>897</v>
      </c>
      <c r="E1681" s="178">
        <v>2022</v>
      </c>
      <c r="F1681" s="178" t="s">
        <v>4520</v>
      </c>
      <c r="G1681" s="496"/>
      <c r="H1681" s="994" t="s">
        <v>20224</v>
      </c>
      <c r="I1681" s="12" t="s">
        <v>2656</v>
      </c>
      <c r="J1681" s="1285"/>
      <c r="K1681" s="1285"/>
      <c r="L1681" s="1285"/>
    </row>
    <row r="1682" spans="1:12" ht="11.15" customHeight="1">
      <c r="A1682" s="29" t="s">
        <v>2657</v>
      </c>
      <c r="B1682" s="59" t="s">
        <v>20486</v>
      </c>
      <c r="C1682" s="147" t="s">
        <v>20221</v>
      </c>
      <c r="D1682" s="284" t="s">
        <v>897</v>
      </c>
      <c r="E1682" s="178">
        <v>2021</v>
      </c>
      <c r="F1682" s="178" t="s">
        <v>4520</v>
      </c>
      <c r="G1682" s="496"/>
      <c r="H1682" s="994" t="s">
        <v>20221</v>
      </c>
      <c r="I1682" s="12" t="s">
        <v>2658</v>
      </c>
      <c r="J1682" s="1285"/>
      <c r="K1682" s="1285"/>
      <c r="L1682" s="1285"/>
    </row>
    <row r="1683" spans="1:12" ht="11.15" customHeight="1">
      <c r="A1683" s="218" t="s">
        <v>1595</v>
      </c>
      <c r="B1683" s="59" t="s">
        <v>20486</v>
      </c>
      <c r="C1683" s="147" t="s">
        <v>20221</v>
      </c>
      <c r="D1683" s="284" t="s">
        <v>897</v>
      </c>
      <c r="E1683" s="178">
        <v>2020</v>
      </c>
      <c r="F1683" s="178" t="s">
        <v>23394</v>
      </c>
      <c r="G1683" s="496"/>
      <c r="H1683" s="994" t="s">
        <v>20224</v>
      </c>
      <c r="I1683" s="12" t="s">
        <v>2659</v>
      </c>
      <c r="J1683" s="1285"/>
      <c r="K1683" s="1285"/>
      <c r="L1683" s="1285"/>
    </row>
    <row r="1684" spans="1:12" ht="11.15" customHeight="1">
      <c r="A1684" s="199" t="s">
        <v>2660</v>
      </c>
      <c r="B1684" s="59" t="s">
        <v>20486</v>
      </c>
      <c r="C1684" s="147" t="s">
        <v>20221</v>
      </c>
      <c r="D1684" s="284" t="s">
        <v>897</v>
      </c>
      <c r="E1684" s="178">
        <v>2019</v>
      </c>
      <c r="F1684" s="178" t="s">
        <v>4520</v>
      </c>
      <c r="G1684" s="496"/>
      <c r="H1684" s="994" t="s">
        <v>20221</v>
      </c>
      <c r="I1684" s="12" t="s">
        <v>2661</v>
      </c>
      <c r="J1684" s="1285"/>
      <c r="K1684" s="1285"/>
      <c r="L1684" s="1285"/>
    </row>
    <row r="1685" spans="1:12" ht="11.15" customHeight="1">
      <c r="A1685" s="129" t="s">
        <v>2662</v>
      </c>
      <c r="B1685" s="185"/>
      <c r="C1685" s="147"/>
      <c r="D1685" s="185"/>
      <c r="E1685" s="185"/>
      <c r="F1685" s="185"/>
      <c r="G1685" s="185"/>
      <c r="H1685" s="185"/>
      <c r="I1685" s="11"/>
    </row>
    <row r="1686" spans="1:12" ht="11.15" customHeight="1" thickBot="1">
      <c r="A1686" s="29"/>
      <c r="B1686" s="90"/>
      <c r="C1686" s="147"/>
      <c r="D1686" s="122"/>
      <c r="E1686" s="36"/>
      <c r="F1686" s="183"/>
      <c r="G1686" s="60"/>
      <c r="H1686" s="34"/>
      <c r="I1686" s="11"/>
    </row>
    <row r="1687" spans="1:12" ht="11.15" customHeight="1">
      <c r="A1687" s="153" t="s">
        <v>1428</v>
      </c>
      <c r="B1687" s="177" t="s">
        <v>2242</v>
      </c>
      <c r="C1687" s="147"/>
      <c r="D1687" s="159"/>
      <c r="E1687" s="36"/>
      <c r="F1687" s="178"/>
      <c r="G1687" s="496"/>
      <c r="H1687" s="36"/>
      <c r="I1687" s="11"/>
    </row>
    <row r="1688" spans="1:12" ht="11.15" customHeight="1" thickBot="1">
      <c r="A1688" s="230" t="s">
        <v>2663</v>
      </c>
      <c r="B1688" s="59" t="s">
        <v>20488</v>
      </c>
      <c r="C1688" s="147" t="s">
        <v>20221</v>
      </c>
      <c r="D1688" s="701" t="s">
        <v>1129</v>
      </c>
      <c r="E1688" s="178">
        <v>2020</v>
      </c>
      <c r="F1688" s="178" t="s">
        <v>4520</v>
      </c>
      <c r="G1688" s="496"/>
      <c r="H1688" s="994" t="s">
        <v>20221</v>
      </c>
      <c r="I1688" s="11" t="s">
        <v>2664</v>
      </c>
      <c r="J1688" s="1285"/>
      <c r="K1688" s="1285"/>
      <c r="L1688" s="1285"/>
    </row>
    <row r="1689" spans="1:12" ht="11.15" customHeight="1">
      <c r="A1689" s="29" t="s">
        <v>2665</v>
      </c>
      <c r="B1689" s="59" t="s">
        <v>20488</v>
      </c>
      <c r="C1689" s="147" t="s">
        <v>20221</v>
      </c>
      <c r="D1689" s="701" t="s">
        <v>1129</v>
      </c>
      <c r="E1689" s="178">
        <v>2018</v>
      </c>
      <c r="F1689" s="178" t="s">
        <v>4520</v>
      </c>
      <c r="G1689" s="496"/>
      <c r="H1689" s="994" t="s">
        <v>20221</v>
      </c>
      <c r="I1689" s="11" t="s">
        <v>1429</v>
      </c>
      <c r="J1689" s="1285"/>
      <c r="K1689" s="1285"/>
      <c r="L1689" s="1285"/>
    </row>
    <row r="1690" spans="1:12" ht="11.15" customHeight="1">
      <c r="A1690" s="29" t="s">
        <v>2666</v>
      </c>
      <c r="B1690" s="59" t="s">
        <v>20489</v>
      </c>
      <c r="C1690" s="147" t="s">
        <v>20221</v>
      </c>
      <c r="D1690" s="701" t="s">
        <v>1129</v>
      </c>
      <c r="E1690" s="178">
        <v>2021</v>
      </c>
      <c r="F1690" s="178" t="s">
        <v>4520</v>
      </c>
      <c r="G1690" s="496"/>
      <c r="H1690" s="994" t="s">
        <v>20221</v>
      </c>
      <c r="I1690" s="11" t="s">
        <v>2667</v>
      </c>
      <c r="J1690" s="1285"/>
      <c r="K1690" s="1285"/>
      <c r="L1690" s="1285"/>
    </row>
    <row r="1691" spans="1:12" ht="11.15" customHeight="1">
      <c r="A1691" s="29" t="s">
        <v>2668</v>
      </c>
      <c r="B1691" s="59" t="s">
        <v>20489</v>
      </c>
      <c r="C1691" s="147" t="s">
        <v>20221</v>
      </c>
      <c r="D1691" s="701" t="s">
        <v>1129</v>
      </c>
      <c r="E1691" s="178">
        <v>2020</v>
      </c>
      <c r="F1691" s="178" t="s">
        <v>4520</v>
      </c>
      <c r="G1691" s="496"/>
      <c r="H1691" s="994" t="s">
        <v>20221</v>
      </c>
      <c r="I1691" s="11" t="s">
        <v>2669</v>
      </c>
      <c r="J1691" s="1285"/>
      <c r="K1691" s="1285"/>
      <c r="L1691" s="1285"/>
    </row>
    <row r="1692" spans="1:12" ht="11.15" customHeight="1">
      <c r="A1692" s="29" t="s">
        <v>2670</v>
      </c>
      <c r="B1692" s="59" t="s">
        <v>20489</v>
      </c>
      <c r="C1692" s="147" t="s">
        <v>20221</v>
      </c>
      <c r="D1692" s="701" t="s">
        <v>1129</v>
      </c>
      <c r="E1692" s="178">
        <v>2019</v>
      </c>
      <c r="F1692" s="178" t="s">
        <v>4520</v>
      </c>
      <c r="G1692" s="496"/>
      <c r="H1692" s="994" t="s">
        <v>20224</v>
      </c>
      <c r="I1692" s="11" t="s">
        <v>2671</v>
      </c>
      <c r="J1692" s="1285"/>
      <c r="K1692" s="1285"/>
      <c r="L1692" s="1285"/>
    </row>
    <row r="1693" spans="1:12" ht="11.15" customHeight="1">
      <c r="A1693" s="29" t="s">
        <v>2672</v>
      </c>
      <c r="B1693" s="59" t="s">
        <v>20489</v>
      </c>
      <c r="C1693" s="147" t="s">
        <v>20221</v>
      </c>
      <c r="D1693" s="701" t="s">
        <v>1129</v>
      </c>
      <c r="E1693" s="178">
        <v>2012</v>
      </c>
      <c r="F1693" s="178" t="s">
        <v>23395</v>
      </c>
      <c r="G1693" s="496"/>
      <c r="H1693" s="994" t="s">
        <v>20224</v>
      </c>
      <c r="I1693" s="11" t="s">
        <v>2673</v>
      </c>
      <c r="J1693" s="1285"/>
      <c r="K1693" s="1285"/>
      <c r="L1693" s="1285"/>
    </row>
    <row r="1694" spans="1:12" ht="11.15" customHeight="1">
      <c r="A1694" s="29" t="s">
        <v>2674</v>
      </c>
      <c r="B1694" s="177" t="s">
        <v>1398</v>
      </c>
      <c r="C1694" s="147"/>
      <c r="D1694" s="161"/>
      <c r="E1694" s="36"/>
      <c r="F1694" s="178"/>
      <c r="G1694" s="496"/>
      <c r="H1694" s="36"/>
      <c r="I1694" s="11"/>
    </row>
    <row r="1695" spans="1:12" ht="11.15" customHeight="1">
      <c r="A1695" s="29" t="s">
        <v>2675</v>
      </c>
      <c r="B1695" s="59" t="s">
        <v>20490</v>
      </c>
      <c r="C1695" s="147" t="s">
        <v>20221</v>
      </c>
      <c r="D1695" s="284" t="s">
        <v>897</v>
      </c>
      <c r="E1695" s="178">
        <v>2016</v>
      </c>
      <c r="F1695" s="178" t="s">
        <v>4520</v>
      </c>
      <c r="G1695" s="496"/>
      <c r="H1695" s="994" t="s">
        <v>20221</v>
      </c>
      <c r="I1695" s="12" t="s">
        <v>2676</v>
      </c>
      <c r="J1695" s="1285"/>
      <c r="K1695" s="1285"/>
      <c r="L1695" s="1285"/>
    </row>
    <row r="1696" spans="1:12" ht="11.15" customHeight="1">
      <c r="A1696" s="29" t="s">
        <v>2677</v>
      </c>
      <c r="B1696" s="59" t="s">
        <v>20490</v>
      </c>
      <c r="C1696" s="147" t="s">
        <v>20221</v>
      </c>
      <c r="D1696" s="284" t="s">
        <v>897</v>
      </c>
      <c r="E1696" s="178">
        <v>2015</v>
      </c>
      <c r="F1696" s="178" t="s">
        <v>4520</v>
      </c>
      <c r="G1696" s="496"/>
      <c r="H1696" s="994" t="s">
        <v>20221</v>
      </c>
      <c r="I1696" s="11" t="s">
        <v>2678</v>
      </c>
      <c r="J1696" s="1285"/>
      <c r="K1696" s="1285"/>
      <c r="L1696" s="1285"/>
    </row>
    <row r="1697" spans="1:12" ht="11.15" customHeight="1">
      <c r="A1697" s="29" t="s">
        <v>2679</v>
      </c>
      <c r="B1697" s="59" t="s">
        <v>20491</v>
      </c>
      <c r="C1697" s="147" t="s">
        <v>20221</v>
      </c>
      <c r="D1697" s="284" t="s">
        <v>897</v>
      </c>
      <c r="E1697" s="178">
        <v>2022</v>
      </c>
      <c r="F1697" s="178" t="s">
        <v>4520</v>
      </c>
      <c r="G1697" s="496"/>
      <c r="H1697" s="994" t="s">
        <v>20221</v>
      </c>
      <c r="I1697" s="12" t="s">
        <v>23364</v>
      </c>
      <c r="J1697" s="1285"/>
      <c r="K1697" s="1285"/>
      <c r="L1697" s="1285"/>
    </row>
    <row r="1698" spans="1:12" ht="11.15" customHeight="1">
      <c r="A1698" s="181" t="s">
        <v>2680</v>
      </c>
      <c r="B1698" s="59" t="s">
        <v>20491</v>
      </c>
      <c r="C1698" s="147" t="s">
        <v>20221</v>
      </c>
      <c r="D1698" s="284" t="s">
        <v>897</v>
      </c>
      <c r="E1698" s="178">
        <v>2021</v>
      </c>
      <c r="F1698" s="178" t="s">
        <v>4520</v>
      </c>
      <c r="G1698" s="496"/>
      <c r="H1698" s="994" t="s">
        <v>20221</v>
      </c>
      <c r="I1698" s="11" t="s">
        <v>2681</v>
      </c>
      <c r="J1698" s="1285"/>
      <c r="K1698" s="1285"/>
      <c r="L1698" s="1285"/>
    </row>
    <row r="1699" spans="1:12" ht="11.15" customHeight="1">
      <c r="A1699" s="29" t="s">
        <v>2682</v>
      </c>
      <c r="B1699" s="59" t="s">
        <v>20491</v>
      </c>
      <c r="C1699" s="147" t="s">
        <v>20221</v>
      </c>
      <c r="D1699" s="284" t="s">
        <v>897</v>
      </c>
      <c r="E1699" s="178">
        <v>2019</v>
      </c>
      <c r="F1699" s="178" t="s">
        <v>4520</v>
      </c>
      <c r="G1699" s="496"/>
      <c r="H1699" s="994" t="s">
        <v>20221</v>
      </c>
      <c r="I1699" s="11" t="s">
        <v>2683</v>
      </c>
      <c r="J1699" s="1285"/>
      <c r="K1699" s="1285"/>
      <c r="L1699" s="1285"/>
    </row>
    <row r="1700" spans="1:12" ht="11.15" customHeight="1">
      <c r="A1700" s="29" t="s">
        <v>2684</v>
      </c>
      <c r="B1700" s="185"/>
      <c r="C1700" s="185"/>
      <c r="D1700" s="185"/>
      <c r="E1700" s="185"/>
      <c r="F1700" s="185"/>
      <c r="G1700" s="185"/>
      <c r="H1700" s="185"/>
      <c r="I1700" s="11"/>
    </row>
    <row r="1701" spans="1:12" ht="11.15" customHeight="1">
      <c r="A1701" s="29" t="s">
        <v>2685</v>
      </c>
      <c r="B1701" s="185"/>
      <c r="C1701" s="185"/>
      <c r="D1701" s="185"/>
      <c r="E1701" s="185"/>
      <c r="F1701" s="185"/>
      <c r="G1701" s="185"/>
      <c r="H1701" s="185"/>
      <c r="I1701" s="11"/>
    </row>
    <row r="1702" spans="1:12" ht="11.15" customHeight="1">
      <c r="A1702" s="29" t="s">
        <v>2686</v>
      </c>
      <c r="B1702" s="185"/>
      <c r="C1702" s="185"/>
      <c r="D1702" s="185"/>
      <c r="E1702" s="185"/>
      <c r="F1702" s="185"/>
      <c r="G1702" s="185"/>
      <c r="H1702" s="185"/>
      <c r="I1702" s="11"/>
    </row>
    <row r="1703" spans="1:12" ht="11.15" customHeight="1">
      <c r="A1703" s="29" t="s">
        <v>2687</v>
      </c>
      <c r="B1703" s="185"/>
      <c r="C1703" s="185"/>
      <c r="D1703" s="185"/>
      <c r="E1703" s="185"/>
      <c r="F1703" s="185"/>
      <c r="G1703" s="185"/>
      <c r="H1703" s="185"/>
      <c r="I1703" s="11"/>
    </row>
    <row r="1704" spans="1:12" ht="11.15" customHeight="1">
      <c r="A1704" s="166" t="s">
        <v>2688</v>
      </c>
      <c r="B1704" s="90"/>
      <c r="C1704" s="147"/>
      <c r="D1704" s="161"/>
      <c r="E1704" s="36"/>
      <c r="F1704" s="178"/>
      <c r="G1704" s="496"/>
      <c r="H1704" s="36"/>
      <c r="I1704" s="11"/>
    </row>
    <row r="1705" spans="1:12" ht="11.15" customHeight="1">
      <c r="A1705" s="129" t="s">
        <v>2689</v>
      </c>
      <c r="B1705" s="185"/>
      <c r="C1705" s="147"/>
      <c r="D1705" s="185"/>
      <c r="E1705" s="185"/>
      <c r="F1705" s="185"/>
      <c r="G1705" s="185"/>
      <c r="H1705" s="185"/>
      <c r="I1705" s="11"/>
    </row>
    <row r="1706" spans="1:12" ht="11.15" customHeight="1" thickBot="1">
      <c r="A1706" s="185"/>
      <c r="B1706" s="185"/>
      <c r="C1706" s="147"/>
      <c r="D1706" s="129"/>
      <c r="E1706" s="185"/>
      <c r="F1706" s="185"/>
      <c r="G1706" s="185"/>
      <c r="H1706" s="185"/>
      <c r="I1706" s="11"/>
    </row>
    <row r="1707" spans="1:12" ht="11.15" customHeight="1" thickBot="1">
      <c r="A1707" s="184" t="s">
        <v>2690</v>
      </c>
      <c r="B1707" s="59" t="s">
        <v>20492</v>
      </c>
      <c r="C1707" s="147" t="s">
        <v>20221</v>
      </c>
      <c r="D1707" s="284" t="s">
        <v>897</v>
      </c>
      <c r="E1707" s="178">
        <v>2022</v>
      </c>
      <c r="F1707" s="178" t="s">
        <v>4520</v>
      </c>
      <c r="G1707" s="496"/>
      <c r="H1707" s="994" t="s">
        <v>20343</v>
      </c>
      <c r="I1707" s="12" t="s">
        <v>2691</v>
      </c>
      <c r="J1707" s="1285"/>
      <c r="K1707" s="1285"/>
      <c r="L1707" s="1285"/>
    </row>
    <row r="1708" spans="1:12" ht="11.15" customHeight="1">
      <c r="A1708" s="29" t="s">
        <v>2692</v>
      </c>
      <c r="B1708" s="275"/>
      <c r="C1708" s="147"/>
      <c r="D1708" s="161"/>
      <c r="E1708" s="36"/>
      <c r="F1708" s="183"/>
      <c r="G1708" s="60"/>
      <c r="H1708" s="34"/>
      <c r="I1708" s="11"/>
    </row>
    <row r="1709" spans="1:12" ht="11.15" customHeight="1">
      <c r="A1709" s="29" t="s">
        <v>2693</v>
      </c>
      <c r="B1709" s="350"/>
      <c r="C1709" s="147"/>
      <c r="D1709" s="122"/>
      <c r="E1709" s="36"/>
      <c r="F1709" s="183"/>
      <c r="G1709" s="60"/>
      <c r="H1709" s="34"/>
      <c r="I1709" s="11"/>
    </row>
    <row r="1710" spans="1:12" ht="11.15" customHeight="1">
      <c r="A1710" s="29" t="s">
        <v>2694</v>
      </c>
      <c r="B1710" s="350"/>
      <c r="C1710" s="147"/>
      <c r="D1710" s="122"/>
      <c r="E1710" s="36"/>
      <c r="F1710" s="183"/>
      <c r="G1710" s="60"/>
      <c r="H1710" s="34"/>
      <c r="I1710" s="11"/>
    </row>
    <row r="1711" spans="1:12" ht="11.15" customHeight="1">
      <c r="A1711" s="129" t="s">
        <v>2047</v>
      </c>
      <c r="B1711" s="350"/>
      <c r="C1711" s="147"/>
      <c r="D1711" s="122"/>
      <c r="E1711" s="36"/>
      <c r="F1711" s="183"/>
      <c r="G1711" s="60"/>
      <c r="H1711" s="34"/>
      <c r="I1711" s="11"/>
    </row>
    <row r="1712" spans="1:12" ht="11.15" customHeight="1">
      <c r="A1712" s="29" t="s">
        <v>2695</v>
      </c>
      <c r="B1712" s="275"/>
      <c r="C1712" s="147"/>
      <c r="D1712" s="161"/>
      <c r="E1712" s="36"/>
      <c r="F1712" s="183"/>
      <c r="G1712" s="60"/>
      <c r="H1712" s="34"/>
      <c r="I1712" s="11"/>
    </row>
    <row r="1713" spans="1:12" ht="11.15" customHeight="1">
      <c r="A1713" s="29" t="s">
        <v>2696</v>
      </c>
      <c r="B1713" s="275"/>
      <c r="C1713" s="147"/>
      <c r="D1713" s="161"/>
      <c r="E1713" s="36"/>
      <c r="F1713" s="183"/>
      <c r="G1713" s="60"/>
      <c r="H1713" s="34"/>
      <c r="I1713" s="11"/>
    </row>
    <row r="1714" spans="1:12" ht="11.15" customHeight="1">
      <c r="A1714" s="29" t="s">
        <v>2697</v>
      </c>
      <c r="B1714" s="289"/>
      <c r="C1714" s="147"/>
      <c r="D1714" s="161"/>
      <c r="E1714" s="36"/>
      <c r="F1714" s="183"/>
      <c r="G1714" s="60"/>
      <c r="H1714" s="34"/>
      <c r="I1714" s="11"/>
    </row>
    <row r="1715" spans="1:12" ht="11.15" customHeight="1">
      <c r="A1715" s="199" t="s">
        <v>2698</v>
      </c>
      <c r="B1715" s="289"/>
      <c r="C1715" s="147"/>
      <c r="D1715" s="161"/>
      <c r="E1715" s="36"/>
      <c r="F1715" s="183"/>
      <c r="G1715" s="60"/>
      <c r="H1715" s="34"/>
      <c r="I1715" s="11"/>
    </row>
    <row r="1716" spans="1:12" ht="11.15" customHeight="1" thickBot="1">
      <c r="A1716" s="185"/>
      <c r="B1716" s="185"/>
      <c r="C1716" s="147"/>
      <c r="D1716" s="129"/>
      <c r="E1716" s="185"/>
      <c r="F1716" s="185"/>
      <c r="G1716" s="185"/>
      <c r="H1716" s="185"/>
      <c r="I1716" s="11"/>
    </row>
    <row r="1717" spans="1:12" ht="11.15" customHeight="1" thickBot="1">
      <c r="A1717" s="184" t="s">
        <v>2699</v>
      </c>
      <c r="B1717" s="59" t="s">
        <v>20493</v>
      </c>
      <c r="C1717" s="147" t="s">
        <v>20221</v>
      </c>
      <c r="D1717" s="284" t="s">
        <v>897</v>
      </c>
      <c r="E1717" s="178">
        <v>2019</v>
      </c>
      <c r="F1717" s="178" t="s">
        <v>4520</v>
      </c>
      <c r="G1717" s="496"/>
      <c r="H1717" s="994" t="s">
        <v>20224</v>
      </c>
      <c r="I1717" s="12" t="s">
        <v>2700</v>
      </c>
      <c r="J1717" s="1285"/>
      <c r="K1717" s="1285"/>
      <c r="L1717" s="1285"/>
    </row>
    <row r="1718" spans="1:12" ht="11.15" customHeight="1">
      <c r="A1718" s="29" t="s">
        <v>2701</v>
      </c>
      <c r="B1718" s="275"/>
      <c r="C1718" s="147"/>
      <c r="D1718" s="161"/>
      <c r="E1718" s="36"/>
      <c r="F1718" s="183"/>
      <c r="G1718" s="60"/>
      <c r="H1718" s="34"/>
      <c r="I1718" s="11"/>
    </row>
    <row r="1719" spans="1:12" ht="11.15" customHeight="1">
      <c r="A1719" s="29" t="s">
        <v>2702</v>
      </c>
      <c r="B1719" s="275"/>
      <c r="C1719" s="147"/>
      <c r="D1719" s="161"/>
      <c r="E1719" s="36"/>
      <c r="F1719" s="183"/>
      <c r="G1719" s="60"/>
      <c r="H1719" s="34"/>
      <c r="I1719" s="11"/>
    </row>
    <row r="1720" spans="1:12" ht="11.15" customHeight="1">
      <c r="A1720" s="29" t="s">
        <v>2703</v>
      </c>
      <c r="B1720" s="275"/>
      <c r="C1720" s="147"/>
      <c r="D1720" s="161"/>
      <c r="E1720" s="36"/>
      <c r="F1720" s="183"/>
      <c r="G1720" s="60"/>
      <c r="H1720" s="34"/>
      <c r="I1720" s="11"/>
    </row>
    <row r="1721" spans="1:12" ht="11.15" customHeight="1">
      <c r="A1721" s="29" t="s">
        <v>2704</v>
      </c>
      <c r="B1721" s="275"/>
      <c r="C1721" s="147"/>
      <c r="D1721" s="161"/>
      <c r="E1721" s="36"/>
      <c r="F1721" s="183"/>
      <c r="G1721" s="60"/>
      <c r="H1721" s="34"/>
      <c r="I1721" s="11"/>
    </row>
    <row r="1722" spans="1:12" ht="11.15" customHeight="1">
      <c r="A1722" s="29" t="s">
        <v>2705</v>
      </c>
      <c r="B1722" s="275"/>
      <c r="C1722" s="147"/>
      <c r="D1722" s="161"/>
      <c r="E1722" s="36"/>
      <c r="F1722" s="183"/>
      <c r="G1722" s="60"/>
      <c r="H1722" s="34"/>
      <c r="I1722" s="11"/>
    </row>
    <row r="1723" spans="1:12" ht="11.15" customHeight="1">
      <c r="A1723" s="29" t="s">
        <v>2706</v>
      </c>
      <c r="B1723" s="90"/>
      <c r="C1723" s="147"/>
      <c r="D1723" s="161"/>
      <c r="E1723" s="36"/>
      <c r="F1723" s="178"/>
      <c r="G1723" s="496"/>
      <c r="H1723" s="36"/>
      <c r="I1723" s="11"/>
    </row>
    <row r="1724" spans="1:12" ht="11.15" customHeight="1">
      <c r="A1724" s="218" t="s">
        <v>1808</v>
      </c>
      <c r="B1724" s="90"/>
      <c r="C1724" s="147"/>
      <c r="D1724" s="161"/>
      <c r="E1724" s="36"/>
      <c r="F1724" s="178"/>
      <c r="G1724" s="496"/>
      <c r="H1724" s="36"/>
      <c r="I1724" s="11"/>
    </row>
    <row r="1725" spans="1:12" ht="11.15" customHeight="1">
      <c r="A1725" s="129" t="s">
        <v>1630</v>
      </c>
      <c r="B1725" s="289"/>
      <c r="C1725" s="147"/>
      <c r="D1725" s="161"/>
      <c r="E1725" s="36"/>
      <c r="F1725" s="183"/>
      <c r="G1725" s="60"/>
      <c r="H1725" s="34"/>
      <c r="I1725" s="11"/>
    </row>
    <row r="1726" spans="1:12" ht="11.15" customHeight="1">
      <c r="A1726" s="1170" t="s">
        <v>2707</v>
      </c>
      <c r="B1726" s="289"/>
      <c r="C1726" s="147"/>
      <c r="D1726" s="161"/>
      <c r="E1726" s="36"/>
      <c r="F1726" s="183"/>
      <c r="G1726" s="60"/>
      <c r="H1726" s="34"/>
      <c r="I1726" s="11"/>
    </row>
    <row r="1727" spans="1:12" ht="11.15" customHeight="1">
      <c r="A1727" s="199" t="s">
        <v>2708</v>
      </c>
      <c r="B1727" s="289"/>
      <c r="C1727" s="147"/>
      <c r="D1727" s="161"/>
      <c r="E1727" s="36"/>
      <c r="F1727" s="183"/>
      <c r="G1727" s="60"/>
      <c r="H1727" s="34"/>
      <c r="I1727" s="11"/>
    </row>
    <row r="1728" spans="1:12" ht="11.15" customHeight="1" thickBot="1">
      <c r="A1728" s="185"/>
      <c r="B1728" s="185"/>
      <c r="C1728" s="147"/>
      <c r="D1728" s="129"/>
      <c r="E1728" s="185"/>
      <c r="F1728" s="185"/>
      <c r="G1728" s="185"/>
      <c r="H1728" s="185"/>
      <c r="I1728" s="11"/>
    </row>
    <row r="1729" spans="1:12" ht="11.15" customHeight="1" thickBot="1">
      <c r="A1729" s="184" t="s">
        <v>2709</v>
      </c>
      <c r="B1729" s="59" t="s">
        <v>20494</v>
      </c>
      <c r="C1729" s="147" t="s">
        <v>23393</v>
      </c>
      <c r="D1729" s="284" t="s">
        <v>897</v>
      </c>
      <c r="E1729" s="178">
        <v>2021</v>
      </c>
      <c r="F1729" s="178" t="s">
        <v>4520</v>
      </c>
      <c r="G1729" s="496"/>
      <c r="H1729" s="994" t="s">
        <v>20221</v>
      </c>
      <c r="I1729" s="11" t="s">
        <v>2710</v>
      </c>
      <c r="J1729" s="1285"/>
      <c r="K1729" s="1285"/>
      <c r="L1729" s="1285"/>
    </row>
    <row r="1730" spans="1:12" ht="11.15" customHeight="1">
      <c r="A1730" s="29" t="s">
        <v>2711</v>
      </c>
      <c r="B1730" s="59" t="s">
        <v>20494</v>
      </c>
      <c r="C1730" s="147" t="s">
        <v>20221</v>
      </c>
      <c r="D1730" s="284" t="s">
        <v>897</v>
      </c>
      <c r="E1730" s="178">
        <v>2008</v>
      </c>
      <c r="F1730" s="178" t="s">
        <v>23395</v>
      </c>
      <c r="G1730" s="496"/>
      <c r="H1730" s="994" t="s">
        <v>20277</v>
      </c>
      <c r="I1730" s="11" t="s">
        <v>2712</v>
      </c>
      <c r="J1730" s="1285"/>
      <c r="K1730" s="1285"/>
      <c r="L1730" s="1285"/>
    </row>
    <row r="1731" spans="1:12" ht="11.15" customHeight="1">
      <c r="A1731" s="29" t="s">
        <v>2713</v>
      </c>
      <c r="B1731" s="185"/>
      <c r="C1731" s="147"/>
      <c r="D1731" s="185"/>
      <c r="E1731" s="185"/>
      <c r="F1731" s="185"/>
      <c r="G1731" s="185"/>
      <c r="H1731" s="185"/>
      <c r="I1731" s="11"/>
    </row>
    <row r="1732" spans="1:12" ht="11.15" customHeight="1">
      <c r="A1732" s="29" t="s">
        <v>2714</v>
      </c>
      <c r="B1732" s="90"/>
      <c r="C1732" s="147"/>
      <c r="D1732" s="161"/>
      <c r="E1732" s="36"/>
      <c r="F1732" s="178"/>
      <c r="G1732" s="496"/>
      <c r="H1732" s="36"/>
      <c r="I1732" s="11"/>
    </row>
    <row r="1733" spans="1:12" ht="11.15" customHeight="1">
      <c r="A1733" s="129" t="s">
        <v>903</v>
      </c>
      <c r="B1733" s="90"/>
      <c r="C1733" s="147"/>
      <c r="D1733" s="122"/>
      <c r="E1733" s="36"/>
      <c r="F1733" s="183"/>
      <c r="G1733" s="453"/>
      <c r="H1733" s="34"/>
      <c r="I1733" s="11"/>
    </row>
    <row r="1734" spans="1:12" ht="11.15" customHeight="1">
      <c r="A1734" s="162" t="s">
        <v>2715</v>
      </c>
      <c r="B1734" s="90"/>
      <c r="C1734" s="147"/>
      <c r="D1734" s="122"/>
      <c r="E1734" s="36"/>
      <c r="F1734" s="183"/>
      <c r="G1734" s="453"/>
      <c r="H1734" s="34"/>
      <c r="I1734" s="11"/>
    </row>
    <row r="1735" spans="1:12" ht="11.15" customHeight="1">
      <c r="A1735" s="162" t="s">
        <v>2716</v>
      </c>
      <c r="B1735" s="90"/>
      <c r="C1735" s="147"/>
      <c r="D1735" s="122"/>
      <c r="E1735" s="36"/>
      <c r="F1735" s="183"/>
      <c r="G1735" s="453"/>
      <c r="H1735" s="34"/>
      <c r="I1735" s="11"/>
    </row>
    <row r="1736" spans="1:12" ht="11.15" customHeight="1">
      <c r="A1736" s="162" t="s">
        <v>2717</v>
      </c>
      <c r="B1736" s="90"/>
      <c r="C1736" s="147"/>
      <c r="D1736" s="122"/>
      <c r="E1736" s="36"/>
      <c r="F1736" s="183"/>
      <c r="G1736" s="453"/>
      <c r="H1736" s="34"/>
      <c r="I1736" s="11"/>
    </row>
    <row r="1737" spans="1:12" ht="11.15" customHeight="1">
      <c r="A1737" s="162" t="s">
        <v>2718</v>
      </c>
      <c r="B1737" s="90"/>
      <c r="C1737" s="147"/>
      <c r="D1737" s="122"/>
      <c r="E1737" s="36"/>
      <c r="F1737" s="183"/>
      <c r="G1737" s="453"/>
      <c r="H1737" s="34"/>
      <c r="I1737" s="11"/>
    </row>
    <row r="1738" spans="1:12" ht="11.15" customHeight="1">
      <c r="A1738" s="162" t="s">
        <v>2719</v>
      </c>
      <c r="B1738" s="90"/>
      <c r="C1738" s="147"/>
      <c r="D1738" s="122"/>
      <c r="E1738" s="36"/>
      <c r="F1738" s="183"/>
      <c r="G1738" s="453"/>
      <c r="H1738" s="34"/>
      <c r="I1738" s="11"/>
    </row>
    <row r="1739" spans="1:12" ht="11.25" customHeight="1">
      <c r="A1739" s="162" t="s">
        <v>2720</v>
      </c>
      <c r="B1739" s="90"/>
      <c r="C1739" s="147"/>
      <c r="D1739" s="122"/>
      <c r="E1739" s="36"/>
      <c r="F1739" s="183"/>
      <c r="G1739" s="453"/>
      <c r="H1739" s="34"/>
      <c r="I1739" s="11"/>
    </row>
    <row r="1740" spans="1:12" ht="11.25" customHeight="1">
      <c r="A1740" s="162" t="s">
        <v>2721</v>
      </c>
      <c r="B1740" s="90"/>
      <c r="C1740" s="147"/>
      <c r="D1740" s="122"/>
      <c r="E1740" s="36"/>
      <c r="F1740" s="183"/>
      <c r="G1740" s="453"/>
      <c r="H1740" s="34"/>
      <c r="I1740" s="11"/>
    </row>
    <row r="1741" spans="1:12" ht="11.15" customHeight="1">
      <c r="A1741" s="181" t="s">
        <v>2722</v>
      </c>
      <c r="B1741" s="90"/>
      <c r="C1741" s="147"/>
      <c r="D1741" s="161"/>
      <c r="E1741" s="36"/>
      <c r="F1741" s="178"/>
      <c r="G1741" s="496"/>
      <c r="H1741" s="36"/>
      <c r="I1741" s="11"/>
    </row>
    <row r="1742" spans="1:12" ht="11.15" customHeight="1">
      <c r="A1742" s="181" t="s">
        <v>2723</v>
      </c>
      <c r="B1742" s="90"/>
      <c r="C1742" s="147"/>
      <c r="D1742" s="161"/>
      <c r="E1742" s="36"/>
      <c r="F1742" s="178"/>
      <c r="G1742" s="496"/>
      <c r="H1742" s="36"/>
      <c r="I1742" s="11"/>
    </row>
    <row r="1743" spans="1:12" ht="11.15" customHeight="1">
      <c r="A1743" s="169" t="s">
        <v>2724</v>
      </c>
      <c r="B1743" s="90"/>
      <c r="C1743" s="147"/>
      <c r="D1743" s="161"/>
      <c r="E1743" s="36"/>
      <c r="F1743" s="178"/>
      <c r="G1743" s="496"/>
      <c r="H1743" s="36"/>
      <c r="I1743" s="11"/>
    </row>
    <row r="1744" spans="1:12" ht="11.15" customHeight="1">
      <c r="A1744" s="166" t="s">
        <v>2028</v>
      </c>
      <c r="B1744" s="185"/>
      <c r="C1744" s="147"/>
      <c r="D1744" s="161"/>
      <c r="E1744" s="36"/>
      <c r="F1744" s="178"/>
      <c r="G1744" s="496"/>
      <c r="H1744" s="36"/>
      <c r="I1744" s="11"/>
    </row>
    <row r="1745" spans="1:12" ht="11.15" customHeight="1">
      <c r="A1745" s="129" t="s">
        <v>2725</v>
      </c>
      <c r="B1745" s="185"/>
      <c r="C1745" s="147"/>
      <c r="D1745" s="185"/>
      <c r="E1745" s="185"/>
      <c r="F1745" s="185"/>
      <c r="G1745" s="185"/>
      <c r="H1745" s="185"/>
      <c r="I1745" s="11"/>
    </row>
    <row r="1746" spans="1:12" ht="11.15" customHeight="1" thickBot="1">
      <c r="A1746" s="29"/>
      <c r="B1746" s="185"/>
      <c r="C1746" s="147"/>
      <c r="D1746" s="185"/>
      <c r="E1746" s="185"/>
      <c r="F1746" s="185"/>
      <c r="G1746" s="185"/>
      <c r="H1746" s="185"/>
      <c r="I1746" s="11"/>
    </row>
    <row r="1747" spans="1:12" ht="11.15" customHeight="1">
      <c r="A1747" s="153" t="s">
        <v>2726</v>
      </c>
      <c r="B1747" s="177" t="s">
        <v>2242</v>
      </c>
      <c r="C1747" s="147"/>
      <c r="D1747" s="159"/>
      <c r="E1747" s="36"/>
      <c r="F1747" s="178"/>
      <c r="G1747" s="497"/>
      <c r="H1747" s="36"/>
      <c r="I1747" s="11"/>
    </row>
    <row r="1748" spans="1:12" ht="11.15" customHeight="1" thickBot="1">
      <c r="A1748" s="294" t="s">
        <v>2098</v>
      </c>
      <c r="B1748" s="59" t="s">
        <v>20495</v>
      </c>
      <c r="C1748" s="147" t="s">
        <v>20221</v>
      </c>
      <c r="D1748" s="701" t="s">
        <v>1129</v>
      </c>
      <c r="E1748" s="178">
        <v>2023</v>
      </c>
      <c r="F1748" s="178" t="s">
        <v>4520</v>
      </c>
      <c r="G1748" s="496"/>
      <c r="H1748" s="994" t="s">
        <v>20343</v>
      </c>
      <c r="I1748" s="12" t="s">
        <v>2727</v>
      </c>
      <c r="J1748" s="1285"/>
      <c r="K1748" s="1285"/>
      <c r="L1748" s="1285"/>
    </row>
    <row r="1749" spans="1:12" ht="11.15" customHeight="1">
      <c r="A1749" s="29" t="s">
        <v>2728</v>
      </c>
      <c r="B1749" s="59" t="s">
        <v>20495</v>
      </c>
      <c r="C1749" s="147" t="s">
        <v>20221</v>
      </c>
      <c r="D1749" s="701" t="s">
        <v>1129</v>
      </c>
      <c r="E1749" s="178">
        <v>2022</v>
      </c>
      <c r="F1749" s="178" t="s">
        <v>4520</v>
      </c>
      <c r="G1749" s="496"/>
      <c r="H1749" s="994" t="s">
        <v>20224</v>
      </c>
      <c r="I1749" s="12" t="s">
        <v>2729</v>
      </c>
      <c r="J1749" s="1285"/>
      <c r="K1749" s="1285"/>
      <c r="L1749" s="1285"/>
    </row>
    <row r="1750" spans="1:12" ht="11.15" customHeight="1">
      <c r="A1750" s="29" t="s">
        <v>2730</v>
      </c>
      <c r="B1750" s="59" t="s">
        <v>20495</v>
      </c>
      <c r="C1750" s="147" t="s">
        <v>20221</v>
      </c>
      <c r="D1750" s="701" t="s">
        <v>1129</v>
      </c>
      <c r="E1750" s="178">
        <v>2021</v>
      </c>
      <c r="F1750" s="178" t="s">
        <v>4520</v>
      </c>
      <c r="G1750" s="496"/>
      <c r="H1750" s="994" t="s">
        <v>20221</v>
      </c>
      <c r="I1750" s="12" t="s">
        <v>2731</v>
      </c>
      <c r="J1750" s="1285"/>
      <c r="K1750" s="1285"/>
      <c r="L1750" s="1285"/>
    </row>
    <row r="1751" spans="1:12" ht="11.15" customHeight="1">
      <c r="A1751" s="29" t="s">
        <v>2732</v>
      </c>
      <c r="B1751" s="177" t="s">
        <v>1491</v>
      </c>
      <c r="C1751" s="147"/>
      <c r="D1751" s="185"/>
      <c r="E1751" s="185"/>
      <c r="F1751" s="185"/>
      <c r="G1751" s="185"/>
      <c r="H1751" s="185"/>
      <c r="I1751" s="11"/>
    </row>
    <row r="1752" spans="1:12" ht="11.15" customHeight="1">
      <c r="A1752" s="29" t="s">
        <v>2733</v>
      </c>
      <c r="B1752" s="59" t="s">
        <v>20496</v>
      </c>
      <c r="C1752" s="147" t="s">
        <v>20221</v>
      </c>
      <c r="D1752" s="284" t="s">
        <v>897</v>
      </c>
      <c r="E1752" s="178">
        <v>2023</v>
      </c>
      <c r="F1752" s="178" t="s">
        <v>4520</v>
      </c>
      <c r="G1752" s="496"/>
      <c r="H1752" s="994" t="s">
        <v>20343</v>
      </c>
      <c r="I1752" s="12" t="s">
        <v>2734</v>
      </c>
      <c r="J1752" s="1285"/>
      <c r="K1752" s="1285"/>
      <c r="L1752" s="1285"/>
    </row>
    <row r="1753" spans="1:12" ht="11.15" customHeight="1">
      <c r="A1753" s="29" t="s">
        <v>2735</v>
      </c>
      <c r="B1753" s="59" t="s">
        <v>20496</v>
      </c>
      <c r="C1753" s="147" t="s">
        <v>20221</v>
      </c>
      <c r="D1753" s="284" t="s">
        <v>897</v>
      </c>
      <c r="E1753" s="178">
        <v>2022</v>
      </c>
      <c r="F1753" s="178" t="s">
        <v>4520</v>
      </c>
      <c r="G1753" s="496"/>
      <c r="H1753" s="994" t="s">
        <v>20224</v>
      </c>
      <c r="I1753" s="12" t="s">
        <v>2736</v>
      </c>
      <c r="J1753" s="1285"/>
      <c r="K1753" s="1285"/>
      <c r="L1753" s="1285"/>
    </row>
    <row r="1754" spans="1:12" ht="11.15" customHeight="1">
      <c r="A1754" s="29" t="s">
        <v>2737</v>
      </c>
      <c r="B1754" s="59" t="s">
        <v>20496</v>
      </c>
      <c r="C1754" s="147" t="s">
        <v>20221</v>
      </c>
      <c r="D1754" s="284" t="s">
        <v>897</v>
      </c>
      <c r="E1754" s="178">
        <v>2021</v>
      </c>
      <c r="F1754" s="178" t="s">
        <v>23394</v>
      </c>
      <c r="G1754" s="496"/>
      <c r="H1754" s="994" t="s">
        <v>20221</v>
      </c>
      <c r="I1754" s="12" t="s">
        <v>2738</v>
      </c>
      <c r="J1754" s="1285"/>
      <c r="K1754" s="1285"/>
      <c r="L1754" s="1285"/>
    </row>
    <row r="1755" spans="1:12" ht="11.15" customHeight="1">
      <c r="A1755" s="29" t="s">
        <v>2739</v>
      </c>
      <c r="B1755" s="59" t="s">
        <v>20496</v>
      </c>
      <c r="C1755" s="147" t="s">
        <v>20221</v>
      </c>
      <c r="D1755" s="284" t="s">
        <v>897</v>
      </c>
      <c r="E1755" s="178">
        <v>2020</v>
      </c>
      <c r="F1755" s="178" t="s">
        <v>4520</v>
      </c>
      <c r="G1755" s="496"/>
      <c r="H1755" s="994" t="s">
        <v>20224</v>
      </c>
      <c r="I1755" s="12" t="s">
        <v>2740</v>
      </c>
      <c r="J1755" s="1285"/>
      <c r="K1755" s="1285"/>
      <c r="L1755" s="1285"/>
    </row>
    <row r="1756" spans="1:12" ht="11.15" customHeight="1">
      <c r="A1756" s="29" t="s">
        <v>2741</v>
      </c>
      <c r="B1756" s="177" t="s">
        <v>1691</v>
      </c>
      <c r="C1756" s="147"/>
      <c r="D1756" s="185"/>
      <c r="E1756" s="185"/>
      <c r="F1756" s="185"/>
      <c r="G1756" s="185"/>
      <c r="H1756" s="185"/>
      <c r="I1756" s="11"/>
    </row>
    <row r="1757" spans="1:12" ht="11.15" customHeight="1">
      <c r="A1757" s="169" t="s">
        <v>2742</v>
      </c>
      <c r="B1757" s="59" t="s">
        <v>20497</v>
      </c>
      <c r="C1757" s="147" t="s">
        <v>20221</v>
      </c>
      <c r="D1757" s="284" t="s">
        <v>897</v>
      </c>
      <c r="E1757" s="178">
        <v>2023</v>
      </c>
      <c r="F1757" s="178" t="s">
        <v>23394</v>
      </c>
      <c r="G1757" s="496"/>
      <c r="H1757" s="994" t="s">
        <v>20343</v>
      </c>
      <c r="I1757" s="12" t="s">
        <v>2743</v>
      </c>
      <c r="J1757" s="1285"/>
      <c r="K1757" s="1285"/>
      <c r="L1757" s="1285"/>
    </row>
    <row r="1758" spans="1:12" ht="11.15" customHeight="1">
      <c r="A1758" s="169" t="s">
        <v>2111</v>
      </c>
      <c r="B1758" s="59" t="s">
        <v>20497</v>
      </c>
      <c r="C1758" s="147" t="s">
        <v>20221</v>
      </c>
      <c r="D1758" s="284" t="s">
        <v>897</v>
      </c>
      <c r="E1758" s="178">
        <v>2022</v>
      </c>
      <c r="F1758" s="178" t="s">
        <v>4520</v>
      </c>
      <c r="G1758" s="496"/>
      <c r="H1758" s="994" t="s">
        <v>20224</v>
      </c>
      <c r="I1758" s="12" t="s">
        <v>2744</v>
      </c>
      <c r="J1758" s="1285"/>
      <c r="K1758" s="1285"/>
      <c r="L1758" s="1285"/>
    </row>
    <row r="1759" spans="1:12" ht="11.15" customHeight="1">
      <c r="A1759" s="129" t="s">
        <v>2745</v>
      </c>
      <c r="B1759" s="59" t="s">
        <v>20497</v>
      </c>
      <c r="C1759" s="147" t="s">
        <v>20221</v>
      </c>
      <c r="D1759" s="284" t="s">
        <v>897</v>
      </c>
      <c r="E1759" s="178">
        <v>2021</v>
      </c>
      <c r="F1759" s="178" t="s">
        <v>4520</v>
      </c>
      <c r="G1759" s="496"/>
      <c r="H1759" s="994" t="s">
        <v>20221</v>
      </c>
      <c r="I1759" s="12" t="s">
        <v>2746</v>
      </c>
      <c r="J1759" s="1285"/>
      <c r="K1759" s="1285"/>
      <c r="L1759" s="1285"/>
    </row>
    <row r="1760" spans="1:12" ht="11.15" customHeight="1">
      <c r="A1760" s="129" t="s">
        <v>1753</v>
      </c>
      <c r="B1760" s="59" t="s">
        <v>20497</v>
      </c>
      <c r="C1760" s="147" t="s">
        <v>20221</v>
      </c>
      <c r="D1760" s="284" t="s">
        <v>897</v>
      </c>
      <c r="E1760" s="178">
        <v>2020</v>
      </c>
      <c r="F1760" s="178" t="s">
        <v>4520</v>
      </c>
      <c r="G1760" s="496"/>
      <c r="H1760" s="994" t="s">
        <v>20221</v>
      </c>
      <c r="I1760" s="12" t="s">
        <v>2747</v>
      </c>
      <c r="J1760" s="1285"/>
      <c r="K1760" s="1285"/>
      <c r="L1760" s="1285"/>
    </row>
    <row r="1761" spans="1:12" ht="11.15" customHeight="1">
      <c r="A1761" s="129"/>
      <c r="B1761" s="59" t="s">
        <v>20497</v>
      </c>
      <c r="C1761" s="147" t="s">
        <v>20221</v>
      </c>
      <c r="D1761" s="284" t="s">
        <v>897</v>
      </c>
      <c r="E1761" s="178">
        <v>2019</v>
      </c>
      <c r="F1761" s="178" t="s">
        <v>23394</v>
      </c>
      <c r="G1761" s="496"/>
      <c r="H1761" s="994" t="s">
        <v>20221</v>
      </c>
      <c r="I1761" s="12" t="s">
        <v>2748</v>
      </c>
      <c r="J1761" s="1285"/>
      <c r="K1761" s="1285"/>
      <c r="L1761" s="1285"/>
    </row>
    <row r="1762" spans="1:12" ht="11.15" customHeight="1" thickBot="1">
      <c r="A1762" s="29"/>
      <c r="B1762" s="90"/>
      <c r="C1762" s="147"/>
      <c r="D1762" s="161"/>
      <c r="E1762" s="36"/>
      <c r="F1762" s="183"/>
      <c r="G1762" s="60"/>
      <c r="H1762" s="34"/>
      <c r="I1762" s="11"/>
    </row>
    <row r="1763" spans="1:12" ht="11.15" customHeight="1">
      <c r="A1763" s="153" t="s">
        <v>2749</v>
      </c>
      <c r="B1763" s="177" t="s">
        <v>1491</v>
      </c>
      <c r="C1763" s="147"/>
      <c r="D1763" s="185"/>
      <c r="E1763" s="185"/>
      <c r="F1763" s="185"/>
      <c r="G1763" s="185"/>
      <c r="H1763" s="185"/>
      <c r="I1763" s="11"/>
    </row>
    <row r="1764" spans="1:12" ht="11.15" customHeight="1" thickBot="1">
      <c r="A1764" s="294" t="s">
        <v>2098</v>
      </c>
      <c r="B1764" s="59" t="s">
        <v>20498</v>
      </c>
      <c r="C1764" s="147" t="s">
        <v>20221</v>
      </c>
      <c r="D1764" s="284" t="s">
        <v>897</v>
      </c>
      <c r="E1764" s="178">
        <v>2022</v>
      </c>
      <c r="F1764" s="178" t="s">
        <v>4520</v>
      </c>
      <c r="G1764" s="496"/>
      <c r="H1764" s="994" t="s">
        <v>20224</v>
      </c>
      <c r="I1764" s="12" t="s">
        <v>2750</v>
      </c>
      <c r="J1764" s="1285"/>
      <c r="K1764" s="1285"/>
      <c r="L1764" s="1285"/>
    </row>
    <row r="1765" spans="1:12" ht="11.15" customHeight="1">
      <c r="A1765" s="29" t="s">
        <v>2751</v>
      </c>
      <c r="B1765" s="59" t="s">
        <v>20498</v>
      </c>
      <c r="C1765" s="147" t="s">
        <v>20221</v>
      </c>
      <c r="D1765" s="284" t="s">
        <v>897</v>
      </c>
      <c r="E1765" s="178">
        <v>2021</v>
      </c>
      <c r="F1765" s="178" t="s">
        <v>4520</v>
      </c>
      <c r="G1765" s="496"/>
      <c r="H1765" s="994" t="s">
        <v>20221</v>
      </c>
      <c r="I1765" s="12" t="s">
        <v>2752</v>
      </c>
      <c r="J1765" s="1285"/>
      <c r="K1765" s="1285"/>
      <c r="L1765" s="1285"/>
    </row>
    <row r="1766" spans="1:12" ht="11.15" customHeight="1">
      <c r="A1766" s="29" t="s">
        <v>2732</v>
      </c>
      <c r="B1766" s="177" t="s">
        <v>1691</v>
      </c>
      <c r="C1766" s="147"/>
      <c r="D1766" s="185"/>
      <c r="E1766" s="185"/>
      <c r="F1766" s="185"/>
      <c r="G1766" s="185"/>
      <c r="H1766" s="185"/>
      <c r="I1766" s="11"/>
    </row>
    <row r="1767" spans="1:12" ht="11.15" customHeight="1">
      <c r="A1767" s="29" t="s">
        <v>2753</v>
      </c>
      <c r="B1767" s="59" t="s">
        <v>20499</v>
      </c>
      <c r="C1767" s="147" t="s">
        <v>20221</v>
      </c>
      <c r="D1767" s="284" t="s">
        <v>897</v>
      </c>
      <c r="E1767" s="178">
        <v>2022</v>
      </c>
      <c r="F1767" s="178" t="s">
        <v>4520</v>
      </c>
      <c r="G1767" s="496"/>
      <c r="H1767" s="994" t="s">
        <v>20224</v>
      </c>
      <c r="I1767" s="12" t="s">
        <v>2754</v>
      </c>
      <c r="J1767" s="1285"/>
      <c r="K1767" s="1285"/>
      <c r="L1767" s="1285"/>
    </row>
    <row r="1768" spans="1:12" ht="11.15" customHeight="1">
      <c r="A1768" s="29" t="s">
        <v>2755</v>
      </c>
      <c r="B1768" s="59" t="s">
        <v>20499</v>
      </c>
      <c r="C1768" s="147" t="s">
        <v>20221</v>
      </c>
      <c r="D1768" s="284" t="s">
        <v>897</v>
      </c>
      <c r="E1768" s="178">
        <v>2021</v>
      </c>
      <c r="F1768" s="178" t="s">
        <v>4520</v>
      </c>
      <c r="G1768" s="496"/>
      <c r="H1768" s="994" t="s">
        <v>20221</v>
      </c>
      <c r="I1768" s="12" t="s">
        <v>2756</v>
      </c>
      <c r="J1768" s="1285"/>
      <c r="K1768" s="1285"/>
      <c r="L1768" s="1285"/>
    </row>
    <row r="1769" spans="1:12" ht="11.15" customHeight="1">
      <c r="A1769" s="169" t="s">
        <v>2757</v>
      </c>
      <c r="B1769" s="59" t="s">
        <v>20499</v>
      </c>
      <c r="C1769" s="147" t="s">
        <v>20221</v>
      </c>
      <c r="D1769" s="284" t="s">
        <v>897</v>
      </c>
      <c r="E1769" s="178">
        <v>2020</v>
      </c>
      <c r="F1769" s="178" t="s">
        <v>4520</v>
      </c>
      <c r="G1769" s="496"/>
      <c r="H1769" s="994" t="s">
        <v>20224</v>
      </c>
      <c r="I1769" s="12" t="s">
        <v>2758</v>
      </c>
      <c r="J1769" s="1285"/>
      <c r="K1769" s="1285"/>
      <c r="L1769" s="1285"/>
    </row>
    <row r="1770" spans="1:12" ht="11.25" customHeight="1">
      <c r="A1770" s="169" t="s">
        <v>2111</v>
      </c>
      <c r="B1770" s="90"/>
      <c r="C1770" s="147"/>
      <c r="D1770" s="161"/>
      <c r="E1770" s="36"/>
      <c r="F1770" s="178"/>
      <c r="G1770" s="496"/>
      <c r="H1770" s="36"/>
      <c r="I1770" s="11"/>
    </row>
    <row r="1771" spans="1:12" ht="11.15" customHeight="1">
      <c r="A1771" s="129" t="s">
        <v>2745</v>
      </c>
      <c r="B1771" s="90"/>
      <c r="C1771" s="147"/>
      <c r="D1771" s="122"/>
      <c r="E1771" s="36"/>
      <c r="F1771" s="178"/>
      <c r="G1771" s="60"/>
      <c r="H1771" s="36"/>
      <c r="I1771" s="11"/>
    </row>
    <row r="1772" spans="1:12" ht="11.15" customHeight="1">
      <c r="A1772" s="129" t="s">
        <v>1753</v>
      </c>
      <c r="B1772" s="90"/>
      <c r="C1772" s="147"/>
      <c r="D1772" s="122"/>
      <c r="E1772" s="36"/>
      <c r="F1772" s="178"/>
      <c r="G1772" s="60"/>
      <c r="H1772" s="36"/>
      <c r="I1772" s="11"/>
    </row>
    <row r="1773" spans="1:12" ht="11.15" customHeight="1" thickBot="1">
      <c r="A1773" s="29"/>
      <c r="B1773" s="90"/>
      <c r="C1773" s="147"/>
      <c r="D1773" s="161"/>
      <c r="E1773" s="36"/>
      <c r="F1773" s="183"/>
      <c r="G1773" s="60"/>
      <c r="H1773" s="34"/>
      <c r="I1773" s="11"/>
    </row>
    <row r="1774" spans="1:12" ht="11.15" customHeight="1">
      <c r="A1774" s="153" t="s">
        <v>2759</v>
      </c>
      <c r="B1774" s="59" t="s">
        <v>20500</v>
      </c>
      <c r="C1774" s="147" t="s">
        <v>20221</v>
      </c>
      <c r="D1774" s="284" t="s">
        <v>897</v>
      </c>
      <c r="E1774" s="178">
        <v>2022</v>
      </c>
      <c r="F1774" s="178" t="s">
        <v>4520</v>
      </c>
      <c r="G1774" s="496"/>
      <c r="H1774" s="994" t="s">
        <v>20221</v>
      </c>
      <c r="I1774" s="12" t="s">
        <v>23365</v>
      </c>
      <c r="J1774" s="1285"/>
      <c r="K1774" s="1285"/>
      <c r="L1774" s="1285"/>
    </row>
    <row r="1775" spans="1:12" ht="11.15" customHeight="1" thickBot="1">
      <c r="A1775" s="230" t="s">
        <v>2760</v>
      </c>
      <c r="B1775" s="59" t="s">
        <v>20500</v>
      </c>
      <c r="C1775" s="147" t="s">
        <v>20221</v>
      </c>
      <c r="D1775" s="284" t="s">
        <v>897</v>
      </c>
      <c r="E1775" s="178">
        <v>2020</v>
      </c>
      <c r="F1775" s="178" t="s">
        <v>4520</v>
      </c>
      <c r="G1775" s="496"/>
      <c r="H1775" s="994" t="s">
        <v>20221</v>
      </c>
      <c r="I1775" s="12" t="s">
        <v>2761</v>
      </c>
      <c r="J1775" s="1285"/>
      <c r="K1775" s="1285"/>
      <c r="L1775" s="1285"/>
    </row>
    <row r="1776" spans="1:12" ht="11.15" customHeight="1">
      <c r="A1776" s="30" t="s">
        <v>2665</v>
      </c>
      <c r="B1776" s="59" t="s">
        <v>20500</v>
      </c>
      <c r="C1776" s="147" t="s">
        <v>20221</v>
      </c>
      <c r="D1776" s="284" t="s">
        <v>897</v>
      </c>
      <c r="E1776" s="178">
        <v>2019</v>
      </c>
      <c r="F1776" s="178" t="s">
        <v>4520</v>
      </c>
      <c r="G1776" s="496"/>
      <c r="H1776" s="994" t="s">
        <v>20221</v>
      </c>
      <c r="I1776" s="12" t="s">
        <v>2762</v>
      </c>
      <c r="J1776" s="1285"/>
      <c r="K1776" s="1285"/>
      <c r="L1776" s="1285"/>
    </row>
    <row r="1777" spans="1:12" ht="11.15" customHeight="1">
      <c r="A1777" s="29" t="s">
        <v>2763</v>
      </c>
      <c r="B1777" s="90"/>
      <c r="C1777" s="147"/>
      <c r="D1777" s="161"/>
      <c r="E1777" s="36"/>
      <c r="F1777" s="178"/>
      <c r="G1777" s="497"/>
      <c r="H1777" s="36"/>
      <c r="I1777" s="11"/>
    </row>
    <row r="1778" spans="1:12" ht="11.15" customHeight="1">
      <c r="A1778" s="29" t="s">
        <v>2764</v>
      </c>
      <c r="B1778" s="90"/>
      <c r="C1778" s="147"/>
      <c r="D1778" s="161"/>
      <c r="E1778" s="36"/>
      <c r="F1778" s="178"/>
      <c r="G1778" s="497"/>
      <c r="H1778" s="36"/>
      <c r="I1778" s="11"/>
    </row>
    <row r="1779" spans="1:12" ht="11.15" customHeight="1">
      <c r="A1779" s="272" t="s">
        <v>2765</v>
      </c>
      <c r="B1779" s="185"/>
      <c r="C1779" s="147"/>
      <c r="D1779" s="161"/>
      <c r="E1779" s="36"/>
      <c r="F1779" s="178"/>
      <c r="G1779" s="497"/>
      <c r="H1779" s="36"/>
      <c r="I1779" s="11"/>
    </row>
    <row r="1780" spans="1:12" ht="11.15" customHeight="1">
      <c r="A1780" s="272" t="s">
        <v>2766</v>
      </c>
      <c r="B1780" s="185"/>
      <c r="C1780" s="147"/>
      <c r="D1780" s="161"/>
      <c r="E1780" s="36"/>
      <c r="F1780" s="178"/>
      <c r="G1780" s="497"/>
      <c r="H1780" s="36"/>
      <c r="I1780" s="11"/>
    </row>
    <row r="1781" spans="1:12" ht="11.15" customHeight="1">
      <c r="A1781" s="29" t="s">
        <v>2767</v>
      </c>
      <c r="B1781" s="90"/>
      <c r="C1781" s="147"/>
      <c r="D1781" s="161"/>
      <c r="E1781" s="36"/>
      <c r="F1781" s="178"/>
      <c r="G1781" s="497"/>
      <c r="H1781" s="36"/>
      <c r="I1781" s="11"/>
    </row>
    <row r="1782" spans="1:12" ht="11.15" customHeight="1">
      <c r="A1782" s="29" t="s">
        <v>2768</v>
      </c>
      <c r="B1782" s="90"/>
      <c r="C1782" s="147"/>
      <c r="D1782" s="161"/>
      <c r="E1782" s="36"/>
      <c r="F1782" s="178"/>
      <c r="G1782" s="497"/>
      <c r="H1782" s="36"/>
      <c r="I1782" s="11"/>
    </row>
    <row r="1783" spans="1:12" ht="11.15" customHeight="1">
      <c r="A1783" s="181" t="s">
        <v>2769</v>
      </c>
      <c r="B1783" s="90"/>
      <c r="C1783" s="147"/>
      <c r="D1783" s="161"/>
      <c r="E1783" s="36"/>
      <c r="F1783" s="178"/>
      <c r="G1783" s="497"/>
      <c r="H1783" s="36"/>
      <c r="I1783" s="11"/>
    </row>
    <row r="1784" spans="1:12" ht="11.15" customHeight="1">
      <c r="A1784" s="181" t="s">
        <v>2770</v>
      </c>
      <c r="B1784" s="90"/>
      <c r="C1784" s="147"/>
      <c r="D1784" s="161"/>
      <c r="E1784" s="36"/>
      <c r="F1784" s="178"/>
      <c r="G1784" s="497"/>
      <c r="H1784" s="36"/>
      <c r="I1784" s="11"/>
    </row>
    <row r="1785" spans="1:12" ht="11.15" customHeight="1">
      <c r="A1785" s="166" t="s">
        <v>2771</v>
      </c>
      <c r="B1785" s="90"/>
      <c r="C1785" s="147"/>
      <c r="D1785" s="161"/>
      <c r="E1785" s="36"/>
      <c r="F1785" s="178"/>
      <c r="G1785" s="496"/>
      <c r="H1785" s="36"/>
      <c r="I1785" s="11"/>
    </row>
    <row r="1786" spans="1:12" ht="11.15" customHeight="1">
      <c r="A1786" s="129" t="s">
        <v>2772</v>
      </c>
      <c r="B1786" s="90"/>
      <c r="C1786" s="147"/>
      <c r="D1786" s="122"/>
      <c r="E1786" s="36"/>
      <c r="F1786" s="178"/>
      <c r="G1786" s="60"/>
      <c r="H1786" s="36"/>
      <c r="I1786" s="11"/>
    </row>
    <row r="1787" spans="1:12" ht="11.15" customHeight="1" thickBot="1">
      <c r="A1787" s="29"/>
      <c r="B1787" s="90"/>
      <c r="C1787" s="147"/>
      <c r="D1787" s="161"/>
      <c r="E1787" s="36"/>
      <c r="F1787" s="183"/>
      <c r="G1787" s="60"/>
      <c r="H1787" s="34"/>
      <c r="I1787" s="11"/>
    </row>
    <row r="1788" spans="1:12" ht="11.15" customHeight="1" thickBot="1">
      <c r="A1788" s="184" t="s">
        <v>2773</v>
      </c>
      <c r="B1788" s="59" t="s">
        <v>20501</v>
      </c>
      <c r="C1788" s="147" t="s">
        <v>20221</v>
      </c>
      <c r="D1788" s="284" t="s">
        <v>897</v>
      </c>
      <c r="E1788" s="178">
        <v>2022</v>
      </c>
      <c r="F1788" s="178" t="s">
        <v>4520</v>
      </c>
      <c r="G1788" s="496"/>
      <c r="H1788" s="994" t="s">
        <v>20221</v>
      </c>
      <c r="I1788" s="12" t="s">
        <v>2774</v>
      </c>
      <c r="J1788" s="1285"/>
      <c r="K1788" s="1285"/>
      <c r="L1788" s="1285"/>
    </row>
    <row r="1789" spans="1:12" ht="11.15" customHeight="1">
      <c r="A1789" s="29" t="s">
        <v>2775</v>
      </c>
      <c r="B1789" s="59" t="s">
        <v>20501</v>
      </c>
      <c r="C1789" s="147" t="s">
        <v>20221</v>
      </c>
      <c r="D1789" s="284" t="s">
        <v>897</v>
      </c>
      <c r="E1789" s="178">
        <v>2020</v>
      </c>
      <c r="F1789" s="178" t="s">
        <v>4520</v>
      </c>
      <c r="G1789" s="496"/>
      <c r="H1789" s="994" t="s">
        <v>20221</v>
      </c>
      <c r="I1789" s="12" t="s">
        <v>2776</v>
      </c>
      <c r="J1789" s="1285"/>
      <c r="K1789" s="1285"/>
      <c r="L1789" s="1285"/>
    </row>
    <row r="1790" spans="1:12" ht="11.15" customHeight="1">
      <c r="A1790" s="166" t="s">
        <v>2777</v>
      </c>
      <c r="B1790" s="59" t="s">
        <v>20501</v>
      </c>
      <c r="C1790" s="147" t="s">
        <v>20221</v>
      </c>
      <c r="D1790" s="284" t="s">
        <v>897</v>
      </c>
      <c r="E1790" s="178">
        <v>2019</v>
      </c>
      <c r="F1790" s="178" t="s">
        <v>4520</v>
      </c>
      <c r="G1790" s="496"/>
      <c r="H1790" s="994" t="s">
        <v>20221</v>
      </c>
      <c r="I1790" s="12" t="s">
        <v>2778</v>
      </c>
      <c r="J1790" s="1285"/>
      <c r="K1790" s="1285"/>
      <c r="L1790" s="1285"/>
    </row>
    <row r="1791" spans="1:12" ht="11.15" customHeight="1">
      <c r="A1791" s="129" t="s">
        <v>2779</v>
      </c>
      <c r="B1791" s="59"/>
      <c r="C1791" s="147"/>
      <c r="D1791" s="284"/>
      <c r="E1791" s="178"/>
      <c r="F1791" s="178"/>
      <c r="G1791" s="496"/>
      <c r="H1791" s="994"/>
      <c r="I1791" s="12"/>
      <c r="J1791" s="1285"/>
      <c r="K1791" s="1285"/>
      <c r="L1791" s="1285"/>
    </row>
    <row r="1792" spans="1:12" ht="11.15" customHeight="1" thickBot="1">
      <c r="A1792" s="29"/>
      <c r="B1792" s="90"/>
      <c r="C1792" s="147"/>
      <c r="D1792" s="161"/>
      <c r="E1792" s="36"/>
      <c r="F1792" s="183"/>
      <c r="G1792" s="60"/>
      <c r="H1792" s="34"/>
      <c r="I1792" s="11"/>
    </row>
    <row r="1793" spans="1:12" ht="11.15" customHeight="1" thickBot="1">
      <c r="A1793" s="184" t="s">
        <v>2780</v>
      </c>
      <c r="B1793" s="154" t="s">
        <v>2242</v>
      </c>
      <c r="C1793" s="147"/>
      <c r="D1793" s="185"/>
      <c r="E1793" s="185"/>
      <c r="F1793" s="185"/>
      <c r="G1793" s="185"/>
      <c r="H1793" s="185"/>
      <c r="I1793" s="11"/>
    </row>
    <row r="1794" spans="1:12" ht="11.15" customHeight="1">
      <c r="A1794" s="30" t="s">
        <v>2781</v>
      </c>
      <c r="B1794" s="59" t="s">
        <v>20502</v>
      </c>
      <c r="C1794" s="147" t="s">
        <v>23393</v>
      </c>
      <c r="D1794" s="701" t="s">
        <v>1129</v>
      </c>
      <c r="E1794" s="178">
        <v>2021</v>
      </c>
      <c r="F1794" s="178" t="s">
        <v>23394</v>
      </c>
      <c r="G1794" s="496"/>
      <c r="H1794" s="994" t="s">
        <v>20224</v>
      </c>
      <c r="I1794" s="12" t="s">
        <v>2782</v>
      </c>
      <c r="J1794" s="1285"/>
      <c r="K1794" s="1285"/>
      <c r="L1794" s="1285"/>
    </row>
    <row r="1795" spans="1:12" ht="11.15" customHeight="1">
      <c r="A1795" s="219" t="s">
        <v>2783</v>
      </c>
      <c r="B1795" s="59" t="s">
        <v>20502</v>
      </c>
      <c r="C1795" s="147" t="s">
        <v>23393</v>
      </c>
      <c r="D1795" s="701" t="s">
        <v>1129</v>
      </c>
      <c r="E1795" s="178">
        <v>2019</v>
      </c>
      <c r="F1795" s="178" t="s">
        <v>4520</v>
      </c>
      <c r="G1795" s="496"/>
      <c r="H1795" s="994" t="s">
        <v>20224</v>
      </c>
      <c r="I1795" s="11" t="s">
        <v>2784</v>
      </c>
      <c r="J1795" s="1285"/>
      <c r="K1795" s="1285"/>
      <c r="L1795" s="1285"/>
    </row>
    <row r="1796" spans="1:12" ht="11.15" customHeight="1">
      <c r="A1796" s="219" t="s">
        <v>2785</v>
      </c>
      <c r="B1796" s="154" t="s">
        <v>1398</v>
      </c>
      <c r="C1796" s="147"/>
      <c r="D1796" s="185"/>
      <c r="E1796" s="185"/>
      <c r="F1796" s="185"/>
      <c r="G1796" s="185"/>
      <c r="H1796" s="185"/>
      <c r="I1796" s="11"/>
    </row>
    <row r="1797" spans="1:12" ht="11.15" customHeight="1">
      <c r="A1797" s="219" t="s">
        <v>2786</v>
      </c>
      <c r="B1797" s="59" t="s">
        <v>20503</v>
      </c>
      <c r="C1797" s="147" t="s">
        <v>23393</v>
      </c>
      <c r="D1797" s="284" t="s">
        <v>897</v>
      </c>
      <c r="E1797" s="178">
        <v>2019</v>
      </c>
      <c r="F1797" s="178" t="s">
        <v>4520</v>
      </c>
      <c r="G1797" s="496"/>
      <c r="H1797" s="994" t="s">
        <v>20221</v>
      </c>
      <c r="I1797" s="11" t="s">
        <v>2787</v>
      </c>
      <c r="J1797" s="1285"/>
      <c r="K1797" s="1285"/>
      <c r="L1797" s="1285"/>
    </row>
    <row r="1798" spans="1:12" ht="11.15" customHeight="1">
      <c r="A1798" s="29" t="s">
        <v>2788</v>
      </c>
      <c r="B1798" s="59" t="s">
        <v>20504</v>
      </c>
      <c r="C1798" s="147" t="s">
        <v>23393</v>
      </c>
      <c r="D1798" s="284" t="s">
        <v>897</v>
      </c>
      <c r="E1798" s="178">
        <v>2022</v>
      </c>
      <c r="F1798" s="178" t="s">
        <v>4520</v>
      </c>
      <c r="G1798" s="496"/>
      <c r="H1798" s="994" t="s">
        <v>20343</v>
      </c>
      <c r="I1798" s="11" t="s">
        <v>2789</v>
      </c>
      <c r="J1798" s="1285"/>
      <c r="K1798" s="1285"/>
      <c r="L1798" s="1285"/>
    </row>
    <row r="1799" spans="1:12" ht="11.15" customHeight="1">
      <c r="A1799" s="351" t="s">
        <v>2481</v>
      </c>
      <c r="B1799" s="59" t="s">
        <v>20504</v>
      </c>
      <c r="C1799" s="147" t="s">
        <v>23393</v>
      </c>
      <c r="D1799" s="284" t="s">
        <v>897</v>
      </c>
      <c r="E1799" s="178">
        <v>2021</v>
      </c>
      <c r="F1799" s="178" t="s">
        <v>4520</v>
      </c>
      <c r="G1799" s="496"/>
      <c r="H1799" s="994" t="s">
        <v>20221</v>
      </c>
      <c r="I1799" s="12" t="s">
        <v>2790</v>
      </c>
      <c r="J1799" s="1285"/>
      <c r="K1799" s="1285"/>
      <c r="L1799" s="1285"/>
    </row>
    <row r="1800" spans="1:12" ht="11.15" customHeight="1">
      <c r="A1800" s="351" t="s">
        <v>2791</v>
      </c>
      <c r="B1800" s="59" t="s">
        <v>20504</v>
      </c>
      <c r="C1800" s="147" t="s">
        <v>23393</v>
      </c>
      <c r="D1800" s="284" t="s">
        <v>897</v>
      </c>
      <c r="E1800" s="178">
        <v>2020</v>
      </c>
      <c r="F1800" s="178" t="s">
        <v>4520</v>
      </c>
      <c r="G1800" s="496"/>
      <c r="H1800" s="994" t="s">
        <v>20221</v>
      </c>
      <c r="I1800" s="12" t="s">
        <v>2792</v>
      </c>
      <c r="J1800" s="1285"/>
      <c r="K1800" s="1285"/>
      <c r="L1800" s="1285"/>
    </row>
    <row r="1801" spans="1:12" ht="11.15" customHeight="1">
      <c r="A1801" s="166" t="s">
        <v>2793</v>
      </c>
      <c r="B1801" s="59" t="s">
        <v>20504</v>
      </c>
      <c r="C1801" s="147" t="s">
        <v>23393</v>
      </c>
      <c r="D1801" s="284" t="s">
        <v>897</v>
      </c>
      <c r="E1801" s="178">
        <v>2019</v>
      </c>
      <c r="F1801" s="178" t="s">
        <v>4520</v>
      </c>
      <c r="G1801" s="496"/>
      <c r="H1801" s="994" t="s">
        <v>20224</v>
      </c>
      <c r="I1801" s="12" t="s">
        <v>2794</v>
      </c>
      <c r="J1801" s="1285"/>
      <c r="K1801" s="1285"/>
      <c r="L1801" s="1285"/>
    </row>
    <row r="1802" spans="1:12" ht="11.15" customHeight="1">
      <c r="A1802" s="166" t="s">
        <v>2795</v>
      </c>
      <c r="B1802" s="90"/>
      <c r="C1802" s="147"/>
      <c r="D1802" s="161"/>
      <c r="E1802" s="36"/>
      <c r="F1802" s="183"/>
      <c r="G1802" s="60"/>
      <c r="H1802" s="34"/>
      <c r="I1802" s="11"/>
    </row>
    <row r="1803" spans="1:12" ht="11.15" customHeight="1">
      <c r="A1803" s="166" t="s">
        <v>2796</v>
      </c>
      <c r="B1803" s="90"/>
      <c r="C1803" s="147"/>
      <c r="D1803" s="161"/>
      <c r="E1803" s="36"/>
      <c r="F1803" s="183"/>
      <c r="G1803" s="60"/>
      <c r="H1803" s="34"/>
      <c r="I1803" s="11"/>
    </row>
    <row r="1804" spans="1:12" ht="11.15" customHeight="1">
      <c r="A1804" s="129" t="s">
        <v>2797</v>
      </c>
      <c r="B1804" s="90"/>
      <c r="C1804" s="147"/>
      <c r="D1804" s="161"/>
      <c r="E1804" s="36"/>
      <c r="F1804" s="183"/>
      <c r="G1804" s="60"/>
      <c r="H1804" s="34"/>
      <c r="I1804" s="11"/>
    </row>
    <row r="1805" spans="1:12" ht="11.15" customHeight="1" thickBot="1">
      <c r="A1805" s="29"/>
      <c r="B1805" s="90"/>
      <c r="C1805" s="147"/>
      <c r="D1805" s="161"/>
      <c r="E1805" s="36"/>
      <c r="F1805" s="183"/>
      <c r="G1805" s="60"/>
      <c r="H1805" s="34"/>
      <c r="I1805" s="11"/>
    </row>
    <row r="1806" spans="1:12" ht="24" customHeight="1">
      <c r="A1806" s="297"/>
      <c r="B1806" s="298" t="s">
        <v>2798</v>
      </c>
      <c r="C1806" s="191"/>
      <c r="D1806" s="299"/>
      <c r="E1806" s="300"/>
      <c r="F1806" s="1067"/>
      <c r="G1806" s="1207"/>
      <c r="H1806" s="1129"/>
      <c r="I1806" s="11"/>
    </row>
    <row r="1807" spans="1:12" ht="24" customHeight="1" thickBot="1">
      <c r="A1807" s="301"/>
      <c r="B1807" s="302" t="s">
        <v>2799</v>
      </c>
      <c r="C1807" s="203"/>
      <c r="D1807" s="303"/>
      <c r="E1807" s="304"/>
      <c r="F1807" s="1068"/>
      <c r="G1807" s="1208"/>
      <c r="H1807" s="1130"/>
      <c r="I1807" s="11"/>
    </row>
    <row r="1808" spans="1:12" ht="11.15" customHeight="1">
      <c r="A1808" s="256" t="s">
        <v>1441</v>
      </c>
      <c r="B1808" s="257"/>
      <c r="C1808" s="258"/>
      <c r="D1808" s="259"/>
      <c r="E1808" s="260"/>
      <c r="F1808" s="257"/>
      <c r="G1808" s="1195"/>
      <c r="H1808" s="1159"/>
      <c r="I1808" s="11"/>
    </row>
    <row r="1809" spans="1:12" ht="11.15" customHeight="1">
      <c r="A1809" s="261" t="s">
        <v>1442</v>
      </c>
      <c r="B1809" s="262"/>
      <c r="C1809" s="263"/>
      <c r="D1809" s="264"/>
      <c r="E1809" s="265"/>
      <c r="F1809" s="262"/>
      <c r="G1809" s="1196"/>
      <c r="H1809" s="1160"/>
      <c r="I1809" s="11"/>
    </row>
    <row r="1810" spans="1:12" ht="11.15" customHeight="1">
      <c r="A1810" s="261" t="s">
        <v>1443</v>
      </c>
      <c r="B1810" s="262"/>
      <c r="C1810" s="263"/>
      <c r="D1810" s="264"/>
      <c r="E1810" s="265"/>
      <c r="F1810" s="262"/>
      <c r="G1810" s="1196"/>
      <c r="H1810" s="1160"/>
      <c r="I1810" s="11"/>
    </row>
    <row r="1811" spans="1:12" ht="11.15" customHeight="1" thickBot="1">
      <c r="A1811" s="266" t="s">
        <v>1444</v>
      </c>
      <c r="B1811" s="267"/>
      <c r="C1811" s="268"/>
      <c r="D1811" s="269"/>
      <c r="E1811" s="270"/>
      <c r="F1811" s="1066"/>
      <c r="G1811" s="1197"/>
      <c r="H1811" s="1161"/>
      <c r="I1811" s="11"/>
    </row>
    <row r="1812" spans="1:12" ht="11.15" customHeight="1">
      <c r="A1812" s="29"/>
      <c r="B1812" s="122"/>
      <c r="C1812" s="147"/>
      <c r="D1812" s="161"/>
      <c r="E1812" s="36"/>
      <c r="F1812" s="183"/>
      <c r="G1812" s="496"/>
      <c r="H1812" s="34"/>
      <c r="I1812" s="11"/>
    </row>
    <row r="1813" spans="1:12" ht="24" customHeight="1">
      <c r="A1813" s="309"/>
      <c r="B1813" s="310" t="s">
        <v>2800</v>
      </c>
      <c r="C1813" s="311"/>
      <c r="D1813" s="312"/>
      <c r="E1813" s="313"/>
      <c r="F1813" s="1070"/>
      <c r="G1813" s="1202"/>
      <c r="H1813" s="313"/>
      <c r="I1813" s="11"/>
    </row>
    <row r="1814" spans="1:12" ht="11.15" customHeight="1">
      <c r="A1814" s="79" t="s">
        <v>2801</v>
      </c>
      <c r="B1814" s="185"/>
      <c r="C1814" s="147"/>
      <c r="D1814" s="161"/>
      <c r="E1814" s="36"/>
      <c r="F1814" s="183"/>
      <c r="G1814" s="60"/>
      <c r="H1814" s="34"/>
      <c r="I1814" s="11"/>
    </row>
    <row r="1815" spans="1:12" ht="11.15" customHeight="1" thickBot="1">
      <c r="A1815" s="29"/>
      <c r="B1815" s="352"/>
      <c r="C1815" s="147"/>
      <c r="D1815" s="122"/>
      <c r="E1815" s="36"/>
      <c r="F1815" s="178"/>
      <c r="G1815" s="453"/>
      <c r="H1815" s="36"/>
      <c r="I1815" s="11"/>
    </row>
    <row r="1816" spans="1:12" ht="11.15" customHeight="1" thickBot="1">
      <c r="A1816" s="184" t="s">
        <v>2802</v>
      </c>
      <c r="B1816" s="59" t="s">
        <v>20505</v>
      </c>
      <c r="C1816" s="147" t="s">
        <v>20221</v>
      </c>
      <c r="D1816" s="284" t="s">
        <v>897</v>
      </c>
      <c r="E1816" s="178">
        <v>2022</v>
      </c>
      <c r="F1816" s="178" t="s">
        <v>4520</v>
      </c>
      <c r="G1816" s="496"/>
      <c r="H1816" s="994" t="s">
        <v>20221</v>
      </c>
      <c r="I1816" s="12" t="s">
        <v>2803</v>
      </c>
      <c r="J1816" s="1285"/>
      <c r="K1816" s="1285"/>
      <c r="L1816" s="1285"/>
    </row>
    <row r="1817" spans="1:12" ht="11.15" customHeight="1">
      <c r="A1817" s="29" t="s">
        <v>2804</v>
      </c>
      <c r="B1817" s="59" t="s">
        <v>20505</v>
      </c>
      <c r="C1817" s="147" t="s">
        <v>20221</v>
      </c>
      <c r="D1817" s="284" t="s">
        <v>897</v>
      </c>
      <c r="E1817" s="178">
        <v>2020</v>
      </c>
      <c r="F1817" s="178" t="s">
        <v>4520</v>
      </c>
      <c r="G1817" s="496"/>
      <c r="H1817" s="994" t="s">
        <v>20221</v>
      </c>
      <c r="I1817" s="12" t="s">
        <v>2805</v>
      </c>
      <c r="J1817" s="1285"/>
      <c r="K1817" s="1285"/>
      <c r="L1817" s="1285"/>
    </row>
    <row r="1818" spans="1:12" ht="11.15" customHeight="1">
      <c r="A1818" s="29" t="s">
        <v>2806</v>
      </c>
      <c r="B1818" s="59" t="s">
        <v>20505</v>
      </c>
      <c r="C1818" s="147" t="s">
        <v>20221</v>
      </c>
      <c r="D1818" s="284" t="s">
        <v>897</v>
      </c>
      <c r="E1818" s="178">
        <v>2019</v>
      </c>
      <c r="F1818" s="178" t="s">
        <v>4520</v>
      </c>
      <c r="G1818" s="496"/>
      <c r="H1818" s="994" t="s">
        <v>20224</v>
      </c>
      <c r="I1818" s="12" t="s">
        <v>2807</v>
      </c>
      <c r="J1818" s="1285"/>
      <c r="K1818" s="1285"/>
      <c r="L1818" s="1285"/>
    </row>
    <row r="1819" spans="1:12" ht="11.15" customHeight="1">
      <c r="A1819" s="29" t="s">
        <v>2808</v>
      </c>
      <c r="B1819" s="59" t="s">
        <v>20506</v>
      </c>
      <c r="C1819" s="147" t="s">
        <v>20221</v>
      </c>
      <c r="D1819" s="284" t="s">
        <v>897</v>
      </c>
      <c r="E1819" s="178">
        <v>2011</v>
      </c>
      <c r="F1819" s="178" t="s">
        <v>11931</v>
      </c>
      <c r="G1819" s="496"/>
      <c r="H1819" s="994" t="s">
        <v>20224</v>
      </c>
      <c r="I1819" s="12" t="s">
        <v>2809</v>
      </c>
      <c r="J1819" s="1285"/>
      <c r="K1819" s="1285"/>
      <c r="L1819" s="1285"/>
    </row>
    <row r="1820" spans="1:12" ht="11.15" customHeight="1">
      <c r="A1820" s="29" t="s">
        <v>1778</v>
      </c>
      <c r="B1820" s="185"/>
      <c r="C1820" s="147"/>
      <c r="D1820" s="185"/>
      <c r="E1820" s="185"/>
      <c r="F1820" s="185"/>
      <c r="G1820" s="185"/>
      <c r="H1820" s="185"/>
      <c r="I1820" s="11"/>
    </row>
    <row r="1821" spans="1:12" ht="11.15" customHeight="1">
      <c r="A1821" s="212" t="s">
        <v>2810</v>
      </c>
      <c r="B1821" s="185"/>
      <c r="C1821" s="147"/>
      <c r="D1821" s="129"/>
      <c r="E1821" s="185"/>
      <c r="F1821" s="185"/>
      <c r="G1821" s="185"/>
      <c r="H1821" s="185"/>
      <c r="I1821" s="11"/>
    </row>
    <row r="1822" spans="1:12" ht="11.15" customHeight="1">
      <c r="A1822" s="129" t="s">
        <v>2811</v>
      </c>
      <c r="B1822" s="185"/>
      <c r="C1822" s="147"/>
      <c r="D1822" s="129"/>
      <c r="E1822" s="185"/>
      <c r="F1822" s="185"/>
      <c r="G1822" s="185"/>
      <c r="H1822" s="185"/>
      <c r="I1822" s="11"/>
    </row>
    <row r="1823" spans="1:12" ht="11.15" customHeight="1" thickBot="1">
      <c r="A1823" s="29"/>
      <c r="B1823" s="90"/>
      <c r="C1823" s="147"/>
      <c r="D1823" s="122"/>
      <c r="E1823" s="36"/>
      <c r="F1823" s="183"/>
      <c r="G1823" s="60"/>
      <c r="H1823" s="34"/>
      <c r="I1823" s="11"/>
    </row>
    <row r="1824" spans="1:12" ht="11.15" customHeight="1" thickBot="1">
      <c r="A1824" s="184" t="s">
        <v>2812</v>
      </c>
      <c r="B1824" s="59" t="s">
        <v>20507</v>
      </c>
      <c r="C1824" s="147" t="s">
        <v>23393</v>
      </c>
      <c r="D1824" s="284" t="s">
        <v>897</v>
      </c>
      <c r="E1824" s="178">
        <v>2020</v>
      </c>
      <c r="F1824" s="178" t="s">
        <v>4520</v>
      </c>
      <c r="G1824" s="496"/>
      <c r="H1824" s="994" t="s">
        <v>20221</v>
      </c>
      <c r="I1824" s="11" t="s">
        <v>2813</v>
      </c>
      <c r="J1824" s="1285"/>
      <c r="K1824" s="1285"/>
      <c r="L1824" s="1285"/>
    </row>
    <row r="1825" spans="1:12" ht="11.15" customHeight="1">
      <c r="A1825" s="29" t="s">
        <v>2814</v>
      </c>
      <c r="B1825" s="59" t="s">
        <v>20507</v>
      </c>
      <c r="C1825" s="147" t="s">
        <v>23393</v>
      </c>
      <c r="D1825" s="284" t="s">
        <v>897</v>
      </c>
      <c r="E1825" s="178">
        <v>2019</v>
      </c>
      <c r="F1825" s="178" t="s">
        <v>4520</v>
      </c>
      <c r="G1825" s="496"/>
      <c r="H1825" s="994" t="s">
        <v>20221</v>
      </c>
      <c r="I1825" s="11" t="s">
        <v>2815</v>
      </c>
      <c r="J1825" s="1285"/>
      <c r="K1825" s="1285"/>
      <c r="L1825" s="1285"/>
    </row>
    <row r="1826" spans="1:12" ht="11.15" customHeight="1">
      <c r="A1826" s="29" t="s">
        <v>2816</v>
      </c>
      <c r="B1826" s="59" t="s">
        <v>20508</v>
      </c>
      <c r="C1826" s="147" t="s">
        <v>23393</v>
      </c>
      <c r="D1826" s="284" t="s">
        <v>897</v>
      </c>
      <c r="E1826" s="178">
        <v>2019</v>
      </c>
      <c r="F1826" s="178" t="s">
        <v>11931</v>
      </c>
      <c r="G1826" s="496"/>
      <c r="H1826" s="994" t="s">
        <v>20221</v>
      </c>
      <c r="I1826" s="11" t="s">
        <v>2817</v>
      </c>
      <c r="J1826" s="1285"/>
      <c r="K1826" s="1285"/>
      <c r="L1826" s="1285"/>
    </row>
    <row r="1827" spans="1:12" ht="11.15" customHeight="1">
      <c r="A1827" s="29" t="s">
        <v>2818</v>
      </c>
      <c r="B1827" s="90"/>
      <c r="C1827" s="147"/>
      <c r="D1827" s="161"/>
      <c r="E1827" s="36"/>
      <c r="F1827" s="183"/>
      <c r="G1827" s="496"/>
      <c r="H1827" s="34"/>
      <c r="I1827" s="11"/>
    </row>
    <row r="1828" spans="1:12" ht="11.15" customHeight="1">
      <c r="A1828" s="181" t="s">
        <v>1003</v>
      </c>
      <c r="B1828" s="90"/>
      <c r="C1828" s="147"/>
      <c r="D1828" s="161"/>
      <c r="E1828" s="36"/>
      <c r="F1828" s="178"/>
      <c r="G1828" s="496"/>
      <c r="H1828" s="36"/>
      <c r="I1828" s="11"/>
    </row>
    <row r="1829" spans="1:12" ht="11.15" customHeight="1">
      <c r="A1829" s="351" t="s">
        <v>2819</v>
      </c>
      <c r="B1829" s="90"/>
      <c r="C1829" s="147"/>
      <c r="D1829" s="161"/>
      <c r="E1829" s="36"/>
      <c r="F1829" s="178"/>
      <c r="G1829" s="496"/>
      <c r="H1829" s="36"/>
      <c r="I1829" s="11"/>
    </row>
    <row r="1830" spans="1:12" ht="11.15" customHeight="1">
      <c r="A1830" s="166" t="s">
        <v>2820</v>
      </c>
      <c r="B1830" s="90"/>
      <c r="C1830" s="147"/>
      <c r="D1830" s="161"/>
      <c r="E1830" s="36"/>
      <c r="F1830" s="178"/>
      <c r="G1830" s="496"/>
      <c r="H1830" s="36"/>
      <c r="I1830" s="11"/>
    </row>
    <row r="1831" spans="1:12" ht="11.15" customHeight="1">
      <c r="A1831" s="166" t="s">
        <v>2028</v>
      </c>
      <c r="B1831" s="185"/>
      <c r="C1831" s="147"/>
      <c r="D1831" s="129"/>
      <c r="E1831" s="185"/>
      <c r="F1831" s="185"/>
      <c r="G1831" s="185"/>
      <c r="H1831" s="185"/>
      <c r="I1831" s="11"/>
    </row>
    <row r="1832" spans="1:12" ht="11.15" customHeight="1">
      <c r="A1832" s="129" t="s">
        <v>2821</v>
      </c>
      <c r="B1832" s="185"/>
      <c r="C1832" s="147"/>
      <c r="D1832" s="161"/>
      <c r="E1832" s="36"/>
      <c r="F1832" s="178"/>
      <c r="G1832" s="496"/>
      <c r="H1832" s="36"/>
      <c r="I1832" s="11"/>
    </row>
    <row r="1833" spans="1:12" ht="11.15" customHeight="1" thickBot="1">
      <c r="A1833" s="29"/>
      <c r="B1833" s="185"/>
      <c r="C1833" s="147"/>
      <c r="D1833" s="129"/>
      <c r="E1833" s="185"/>
      <c r="F1833" s="185"/>
      <c r="G1833" s="185"/>
      <c r="H1833" s="185"/>
      <c r="I1833" s="11"/>
    </row>
    <row r="1834" spans="1:12" ht="11.15" customHeight="1" thickBot="1">
      <c r="A1834" s="184" t="s">
        <v>2822</v>
      </c>
      <c r="B1834" s="59" t="s">
        <v>20509</v>
      </c>
      <c r="C1834" s="147" t="s">
        <v>20221</v>
      </c>
      <c r="D1834" s="284" t="s">
        <v>897</v>
      </c>
      <c r="E1834" s="178">
        <v>2012</v>
      </c>
      <c r="F1834" s="178" t="s">
        <v>4520</v>
      </c>
      <c r="G1834" s="496"/>
      <c r="H1834" s="994" t="s">
        <v>20221</v>
      </c>
      <c r="I1834" s="12" t="s">
        <v>2823</v>
      </c>
      <c r="J1834" s="1285"/>
      <c r="K1834" s="1285"/>
      <c r="L1834" s="1285"/>
    </row>
    <row r="1835" spans="1:12" ht="11.15" customHeight="1">
      <c r="A1835" s="29" t="s">
        <v>2824</v>
      </c>
      <c r="B1835" s="90"/>
      <c r="C1835" s="147"/>
      <c r="D1835" s="161"/>
      <c r="E1835" s="34"/>
      <c r="F1835" s="178"/>
      <c r="G1835" s="496"/>
      <c r="H1835" s="36"/>
      <c r="I1835" s="11"/>
    </row>
    <row r="1836" spans="1:12" ht="11.15" customHeight="1">
      <c r="A1836" s="29" t="s">
        <v>2825</v>
      </c>
      <c r="B1836" s="90"/>
      <c r="C1836" s="147"/>
      <c r="D1836" s="161"/>
      <c r="E1836" s="34"/>
      <c r="F1836" s="178"/>
      <c r="G1836" s="496"/>
      <c r="H1836" s="36"/>
      <c r="I1836" s="11"/>
    </row>
    <row r="1837" spans="1:12" ht="11.15" customHeight="1">
      <c r="A1837" s="29" t="s">
        <v>2826</v>
      </c>
      <c r="B1837" s="90"/>
      <c r="C1837" s="147"/>
      <c r="D1837" s="122"/>
      <c r="E1837" s="36"/>
      <c r="F1837" s="183"/>
      <c r="G1837" s="453"/>
      <c r="H1837" s="34"/>
      <c r="I1837" s="11"/>
    </row>
    <row r="1838" spans="1:12" ht="11.15" customHeight="1">
      <c r="A1838" s="129" t="s">
        <v>903</v>
      </c>
      <c r="B1838" s="90"/>
      <c r="C1838" s="147"/>
      <c r="D1838" s="122"/>
      <c r="E1838" s="36"/>
      <c r="F1838" s="183"/>
      <c r="G1838" s="453"/>
      <c r="H1838" s="34"/>
      <c r="I1838" s="11"/>
    </row>
    <row r="1839" spans="1:12" ht="9" customHeight="1">
      <c r="A1839" s="162" t="s">
        <v>2827</v>
      </c>
      <c r="B1839" s="90"/>
      <c r="C1839" s="147"/>
      <c r="D1839" s="122"/>
      <c r="E1839" s="36"/>
      <c r="F1839" s="183"/>
      <c r="G1839" s="453"/>
      <c r="H1839" s="34"/>
      <c r="I1839" s="11"/>
    </row>
    <row r="1840" spans="1:12" ht="9" customHeight="1">
      <c r="A1840" s="162" t="s">
        <v>2828</v>
      </c>
      <c r="B1840" s="90"/>
      <c r="C1840" s="147"/>
      <c r="D1840" s="122"/>
      <c r="E1840" s="36"/>
      <c r="F1840" s="183"/>
      <c r="G1840" s="453"/>
      <c r="H1840" s="34"/>
      <c r="I1840" s="11"/>
    </row>
    <row r="1841" spans="1:9" ht="9" customHeight="1">
      <c r="A1841" s="162" t="s">
        <v>2829</v>
      </c>
      <c r="B1841" s="90"/>
      <c r="C1841" s="147"/>
      <c r="D1841" s="122"/>
      <c r="E1841" s="36"/>
      <c r="F1841" s="183"/>
      <c r="G1841" s="453"/>
      <c r="H1841" s="34"/>
      <c r="I1841" s="11"/>
    </row>
    <row r="1842" spans="1:9" ht="9" customHeight="1">
      <c r="A1842" s="162" t="s">
        <v>2830</v>
      </c>
      <c r="B1842" s="90"/>
      <c r="C1842" s="147"/>
      <c r="D1842" s="122"/>
      <c r="E1842" s="36"/>
      <c r="F1842" s="183"/>
      <c r="G1842" s="453"/>
      <c r="H1842" s="34"/>
      <c r="I1842" s="11"/>
    </row>
    <row r="1843" spans="1:9" ht="9" customHeight="1">
      <c r="A1843" s="162" t="s">
        <v>2831</v>
      </c>
      <c r="B1843" s="90"/>
      <c r="C1843" s="147"/>
      <c r="D1843" s="122"/>
      <c r="E1843" s="36"/>
      <c r="F1843" s="183"/>
      <c r="G1843" s="453"/>
      <c r="H1843" s="34"/>
      <c r="I1843" s="11"/>
    </row>
    <row r="1844" spans="1:9" ht="9" customHeight="1">
      <c r="A1844" s="162" t="s">
        <v>2832</v>
      </c>
      <c r="B1844" s="90"/>
      <c r="C1844" s="147"/>
      <c r="D1844" s="122"/>
      <c r="E1844" s="36"/>
      <c r="F1844" s="183"/>
      <c r="G1844" s="453"/>
      <c r="H1844" s="34"/>
      <c r="I1844" s="11"/>
    </row>
    <row r="1845" spans="1:9" ht="9" customHeight="1">
      <c r="A1845" s="162" t="s">
        <v>2833</v>
      </c>
      <c r="B1845" s="90"/>
      <c r="C1845" s="147"/>
      <c r="D1845" s="122"/>
      <c r="E1845" s="36"/>
      <c r="F1845" s="183"/>
      <c r="G1845" s="453"/>
      <c r="H1845" s="34"/>
      <c r="I1845" s="11"/>
    </row>
    <row r="1846" spans="1:9" ht="9" customHeight="1">
      <c r="A1846" s="162" t="s">
        <v>2834</v>
      </c>
      <c r="B1846" s="90"/>
      <c r="C1846" s="147"/>
      <c r="D1846" s="122"/>
      <c r="E1846" s="36"/>
      <c r="F1846" s="183"/>
      <c r="G1846" s="453"/>
      <c r="H1846" s="34"/>
      <c r="I1846" s="11"/>
    </row>
    <row r="1847" spans="1:9" ht="11.15" customHeight="1">
      <c r="A1847" s="181" t="s">
        <v>2835</v>
      </c>
      <c r="B1847" s="90"/>
      <c r="C1847" s="147"/>
      <c r="D1847" s="122"/>
      <c r="E1847" s="36"/>
      <c r="F1847" s="183"/>
      <c r="G1847" s="453"/>
      <c r="H1847" s="34"/>
      <c r="I1847" s="11"/>
    </row>
    <row r="1848" spans="1:9" ht="11.15" customHeight="1">
      <c r="A1848" s="166" t="s">
        <v>977</v>
      </c>
      <c r="B1848" s="90"/>
      <c r="C1848" s="147"/>
      <c r="D1848" s="122"/>
      <c r="E1848" s="36"/>
      <c r="F1848" s="183"/>
      <c r="G1848" s="453"/>
      <c r="H1848" s="34"/>
      <c r="I1848" s="11"/>
    </row>
    <row r="1849" spans="1:9" ht="11.15" customHeight="1">
      <c r="A1849" s="166" t="s">
        <v>2836</v>
      </c>
      <c r="B1849" s="90"/>
      <c r="C1849" s="147"/>
      <c r="D1849" s="122"/>
      <c r="E1849" s="36"/>
      <c r="F1849" s="183"/>
      <c r="G1849" s="453"/>
      <c r="H1849" s="34"/>
      <c r="I1849" s="11"/>
    </row>
    <row r="1850" spans="1:9" ht="11.15" customHeight="1">
      <c r="A1850" s="129" t="s">
        <v>2837</v>
      </c>
      <c r="B1850" s="90"/>
      <c r="C1850" s="147"/>
      <c r="D1850" s="122"/>
      <c r="E1850" s="36"/>
      <c r="F1850" s="178"/>
      <c r="G1850" s="60"/>
      <c r="H1850" s="36"/>
      <c r="I1850" s="11"/>
    </row>
    <row r="1851" spans="1:9" ht="11.15" customHeight="1">
      <c r="A1851" s="29"/>
      <c r="B1851" s="90"/>
      <c r="C1851" s="147"/>
      <c r="D1851" s="122"/>
      <c r="E1851" s="36"/>
      <c r="F1851" s="183"/>
      <c r="G1851" s="453"/>
      <c r="H1851" s="34"/>
      <c r="I1851" s="11"/>
    </row>
    <row r="1852" spans="1:9" ht="24" customHeight="1">
      <c r="A1852" s="309"/>
      <c r="B1852" s="310" t="s">
        <v>2838</v>
      </c>
      <c r="C1852" s="311"/>
      <c r="D1852" s="312"/>
      <c r="E1852" s="313"/>
      <c r="F1852" s="1070"/>
      <c r="G1852" s="1202"/>
      <c r="H1852" s="313"/>
      <c r="I1852" s="11"/>
    </row>
    <row r="1853" spans="1:9" ht="11.15" customHeight="1">
      <c r="A1853" s="29"/>
      <c r="B1853" s="146" t="s">
        <v>2839</v>
      </c>
      <c r="C1853" s="147"/>
      <c r="D1853" s="122"/>
      <c r="E1853" s="36"/>
      <c r="F1853" s="178"/>
      <c r="G1853" s="453"/>
      <c r="H1853" s="36"/>
      <c r="I1853" s="11"/>
    </row>
    <row r="1854" spans="1:9" ht="9" customHeight="1">
      <c r="A1854" s="29"/>
      <c r="B1854" s="150" t="s">
        <v>2840</v>
      </c>
      <c r="C1854" s="147"/>
      <c r="D1854" s="122"/>
      <c r="E1854" s="36"/>
      <c r="F1854" s="178"/>
      <c r="G1854" s="453"/>
      <c r="H1854" s="36"/>
      <c r="I1854" s="11"/>
    </row>
    <row r="1855" spans="1:9" ht="9" customHeight="1">
      <c r="A1855" s="29"/>
      <c r="B1855" s="150" t="s">
        <v>2841</v>
      </c>
      <c r="C1855" s="147"/>
      <c r="D1855" s="129"/>
      <c r="E1855" s="29"/>
      <c r="F1855" s="29"/>
      <c r="G1855" s="29"/>
      <c r="H1855" s="29"/>
      <c r="I1855" s="11"/>
    </row>
    <row r="1856" spans="1:9" ht="9" customHeight="1">
      <c r="A1856" s="29"/>
      <c r="B1856" s="150" t="s">
        <v>2842</v>
      </c>
      <c r="C1856" s="147"/>
      <c r="D1856" s="129"/>
      <c r="E1856" s="29"/>
      <c r="F1856" s="29"/>
      <c r="G1856" s="29"/>
      <c r="H1856" s="29"/>
      <c r="I1856" s="11"/>
    </row>
    <row r="1857" spans="1:12" ht="9" customHeight="1">
      <c r="A1857" s="29"/>
      <c r="B1857" s="150" t="s">
        <v>2843</v>
      </c>
      <c r="C1857" s="147"/>
      <c r="D1857" s="122"/>
      <c r="E1857" s="36"/>
      <c r="F1857" s="178"/>
      <c r="G1857" s="453"/>
      <c r="H1857" s="36"/>
      <c r="I1857" s="11"/>
    </row>
    <row r="1858" spans="1:12" ht="9" customHeight="1">
      <c r="A1858" s="129"/>
      <c r="B1858" s="150" t="s">
        <v>2844</v>
      </c>
      <c r="C1858" s="147"/>
      <c r="D1858" s="122"/>
      <c r="E1858" s="36"/>
      <c r="F1858" s="178"/>
      <c r="G1858" s="453"/>
      <c r="H1858" s="36"/>
      <c r="I1858" s="11"/>
    </row>
    <row r="1859" spans="1:12" ht="9" customHeight="1">
      <c r="A1859" s="137"/>
      <c r="B1859" s="150" t="s">
        <v>2845</v>
      </c>
      <c r="C1859" s="147"/>
      <c r="D1859" s="122"/>
      <c r="E1859" s="36"/>
      <c r="F1859" s="178"/>
      <c r="G1859" s="453"/>
      <c r="H1859" s="36"/>
      <c r="I1859" s="11"/>
    </row>
    <row r="1860" spans="1:12" ht="9" customHeight="1">
      <c r="A1860" s="137"/>
      <c r="B1860" s="150" t="s">
        <v>2846</v>
      </c>
      <c r="C1860" s="147"/>
      <c r="D1860" s="122"/>
      <c r="E1860" s="36"/>
      <c r="F1860" s="178"/>
      <c r="G1860" s="453"/>
      <c r="H1860" s="36"/>
      <c r="I1860" s="11"/>
    </row>
    <row r="1861" spans="1:12" ht="9" customHeight="1">
      <c r="A1861" s="137"/>
      <c r="B1861" s="150" t="s">
        <v>2847</v>
      </c>
      <c r="C1861" s="147"/>
      <c r="D1861" s="122"/>
      <c r="E1861" s="36"/>
      <c r="F1861" s="178"/>
      <c r="G1861" s="453"/>
      <c r="H1861" s="36"/>
      <c r="I1861" s="11"/>
    </row>
    <row r="1862" spans="1:12" ht="9" customHeight="1">
      <c r="A1862" s="137"/>
      <c r="B1862" s="150" t="s">
        <v>2848</v>
      </c>
      <c r="C1862" s="147"/>
      <c r="D1862" s="122"/>
      <c r="E1862" s="36"/>
      <c r="F1862" s="178"/>
      <c r="G1862" s="453"/>
      <c r="H1862" s="36"/>
      <c r="I1862" s="11"/>
    </row>
    <row r="1863" spans="1:12" ht="9" customHeight="1">
      <c r="A1863" s="137"/>
      <c r="B1863" s="150" t="s">
        <v>2849</v>
      </c>
      <c r="C1863" s="147"/>
      <c r="D1863" s="122"/>
      <c r="E1863" s="36"/>
      <c r="F1863" s="178"/>
      <c r="G1863" s="453"/>
      <c r="H1863" s="36"/>
      <c r="I1863" s="11"/>
    </row>
    <row r="1864" spans="1:12" ht="9" customHeight="1">
      <c r="A1864" s="137"/>
      <c r="B1864" s="150" t="s">
        <v>2850</v>
      </c>
      <c r="C1864" s="147"/>
      <c r="D1864" s="122"/>
      <c r="E1864" s="36"/>
      <c r="F1864" s="178"/>
      <c r="G1864" s="453"/>
      <c r="H1864" s="36"/>
      <c r="I1864" s="11"/>
    </row>
    <row r="1865" spans="1:12" ht="9" customHeight="1">
      <c r="A1865" s="137"/>
      <c r="B1865" s="150" t="s">
        <v>2851</v>
      </c>
      <c r="C1865" s="147"/>
      <c r="D1865" s="122"/>
      <c r="E1865" s="36"/>
      <c r="F1865" s="178"/>
      <c r="G1865" s="453"/>
      <c r="H1865" s="36"/>
      <c r="I1865" s="11"/>
    </row>
    <row r="1866" spans="1:12" ht="9" customHeight="1" thickBot="1">
      <c r="A1866" s="137"/>
      <c r="B1866" s="150" t="s">
        <v>2852</v>
      </c>
      <c r="C1866" s="147"/>
      <c r="D1866" s="122"/>
      <c r="E1866" s="36"/>
      <c r="F1866" s="178"/>
      <c r="G1866" s="453"/>
      <c r="H1866" s="36"/>
      <c r="I1866" s="11"/>
    </row>
    <row r="1867" spans="1:12" ht="11.15" customHeight="1">
      <c r="A1867" s="353" t="s">
        <v>2853</v>
      </c>
      <c r="B1867" s="59" t="s">
        <v>20511</v>
      </c>
      <c r="C1867" s="147" t="s">
        <v>20221</v>
      </c>
      <c r="D1867" s="284" t="s">
        <v>897</v>
      </c>
      <c r="E1867" s="178">
        <v>2010</v>
      </c>
      <c r="F1867" s="178" t="s">
        <v>23395</v>
      </c>
      <c r="G1867" s="496"/>
      <c r="H1867" s="994" t="s">
        <v>20224</v>
      </c>
      <c r="I1867" s="12" t="s">
        <v>2854</v>
      </c>
      <c r="J1867" s="1285"/>
      <c r="K1867" s="1285"/>
      <c r="L1867" s="1285"/>
    </row>
    <row r="1868" spans="1:12" ht="11.15" customHeight="1" thickBot="1">
      <c r="A1868" s="354" t="s">
        <v>2855</v>
      </c>
      <c r="B1868" s="59" t="s">
        <v>20511</v>
      </c>
      <c r="C1868" s="147" t="s">
        <v>20221</v>
      </c>
      <c r="D1868" s="284" t="s">
        <v>897</v>
      </c>
      <c r="E1868" s="178">
        <v>2009</v>
      </c>
      <c r="F1868" s="178" t="s">
        <v>23395</v>
      </c>
      <c r="G1868" s="496"/>
      <c r="H1868" s="994" t="s">
        <v>20224</v>
      </c>
      <c r="I1868" s="12" t="s">
        <v>2856</v>
      </c>
      <c r="J1868" s="1285"/>
      <c r="K1868" s="1285"/>
      <c r="L1868" s="1285"/>
    </row>
    <row r="1869" spans="1:12" ht="11.15" customHeight="1">
      <c r="A1869" s="29" t="s">
        <v>2857</v>
      </c>
      <c r="B1869" s="59"/>
      <c r="C1869" s="147"/>
      <c r="D1869" s="284"/>
      <c r="E1869" s="178"/>
      <c r="F1869" s="178"/>
      <c r="G1869" s="496"/>
      <c r="H1869" s="994"/>
      <c r="I1869" s="12"/>
    </row>
    <row r="1870" spans="1:12" ht="11.15" customHeight="1">
      <c r="A1870" s="29" t="s">
        <v>2858</v>
      </c>
      <c r="B1870" s="90"/>
      <c r="C1870" s="147"/>
      <c r="D1870" s="161"/>
      <c r="E1870" s="36"/>
      <c r="F1870" s="178"/>
      <c r="G1870" s="671"/>
      <c r="H1870" s="36"/>
      <c r="I1870" s="11"/>
    </row>
    <row r="1871" spans="1:12" ht="11.15" customHeight="1">
      <c r="A1871" s="29" t="s">
        <v>2859</v>
      </c>
      <c r="B1871" s="90"/>
      <c r="C1871" s="147"/>
      <c r="D1871" s="122"/>
      <c r="E1871" s="36"/>
      <c r="F1871" s="178"/>
      <c r="G1871" s="453"/>
      <c r="H1871" s="36"/>
      <c r="I1871" s="11"/>
    </row>
    <row r="1872" spans="1:12" ht="11.15" customHeight="1">
      <c r="A1872" s="29" t="s">
        <v>2860</v>
      </c>
      <c r="B1872" s="58"/>
      <c r="C1872" s="147"/>
      <c r="D1872" s="129"/>
      <c r="E1872" s="29"/>
      <c r="F1872" s="29"/>
      <c r="G1872" s="29"/>
      <c r="H1872" s="29"/>
      <c r="I1872" s="11"/>
    </row>
    <row r="1873" spans="1:9" ht="11.15" customHeight="1">
      <c r="A1873" s="29" t="s">
        <v>2861</v>
      </c>
      <c r="B1873" s="90"/>
      <c r="C1873" s="147"/>
      <c r="D1873" s="122"/>
      <c r="E1873" s="36"/>
      <c r="F1873" s="178"/>
      <c r="G1873" s="453"/>
      <c r="H1873" s="36"/>
      <c r="I1873" s="11"/>
    </row>
    <row r="1874" spans="1:9" ht="11.15" customHeight="1">
      <c r="A1874" s="218" t="s">
        <v>1595</v>
      </c>
      <c r="B1874" s="90"/>
      <c r="C1874" s="147"/>
      <c r="D1874" s="122"/>
      <c r="E1874" s="36"/>
      <c r="F1874" s="178"/>
      <c r="G1874" s="453"/>
      <c r="H1874" s="36"/>
      <c r="I1874" s="11"/>
    </row>
    <row r="1875" spans="1:9" ht="11.15" customHeight="1">
      <c r="A1875" s="29" t="s">
        <v>2862</v>
      </c>
      <c r="B1875" s="90"/>
      <c r="C1875" s="147"/>
      <c r="D1875" s="129"/>
      <c r="E1875" s="29"/>
      <c r="F1875" s="29"/>
      <c r="G1875" s="29"/>
      <c r="H1875" s="29"/>
      <c r="I1875" s="11"/>
    </row>
    <row r="1876" spans="1:9" ht="11.15" customHeight="1">
      <c r="A1876" s="29" t="s">
        <v>2863</v>
      </c>
      <c r="B1876" s="122"/>
      <c r="C1876" s="147"/>
      <c r="D1876" s="122"/>
      <c r="E1876" s="36"/>
      <c r="F1876" s="178"/>
      <c r="G1876" s="453"/>
      <c r="H1876" s="36"/>
      <c r="I1876" s="11"/>
    </row>
    <row r="1877" spans="1:9" ht="11.15" customHeight="1">
      <c r="A1877" s="129" t="s">
        <v>1308</v>
      </c>
      <c r="B1877" s="59"/>
      <c r="C1877" s="147"/>
      <c r="D1877" s="122"/>
      <c r="E1877" s="36"/>
      <c r="F1877" s="178"/>
      <c r="G1877" s="453"/>
      <c r="H1877" s="36"/>
      <c r="I1877" s="11"/>
    </row>
    <row r="1878" spans="1:9" ht="11.15" customHeight="1">
      <c r="A1878" s="162" t="s">
        <v>2864</v>
      </c>
      <c r="B1878" s="29"/>
      <c r="C1878" s="147"/>
      <c r="D1878" s="122"/>
      <c r="E1878" s="36"/>
      <c r="F1878" s="178"/>
      <c r="G1878" s="453"/>
      <c r="H1878" s="36"/>
      <c r="I1878" s="11"/>
    </row>
    <row r="1879" spans="1:9" ht="11.15" customHeight="1">
      <c r="A1879" s="162" t="s">
        <v>2865</v>
      </c>
      <c r="B1879" s="29"/>
      <c r="C1879" s="147"/>
      <c r="D1879" s="122"/>
      <c r="E1879" s="36"/>
      <c r="F1879" s="178"/>
      <c r="G1879" s="453"/>
      <c r="H1879" s="36"/>
      <c r="I1879" s="11"/>
    </row>
    <row r="1880" spans="1:9" ht="11.15" customHeight="1">
      <c r="A1880" s="162" t="s">
        <v>2866</v>
      </c>
      <c r="B1880" s="29"/>
      <c r="C1880" s="147"/>
      <c r="D1880" s="122"/>
      <c r="E1880" s="36"/>
      <c r="F1880" s="178"/>
      <c r="G1880" s="453"/>
      <c r="H1880" s="36"/>
      <c r="I1880" s="11"/>
    </row>
    <row r="1881" spans="1:9" ht="11.15" customHeight="1">
      <c r="A1881" s="162" t="s">
        <v>2867</v>
      </c>
      <c r="B1881" s="29"/>
      <c r="C1881" s="147"/>
      <c r="D1881" s="122"/>
      <c r="E1881" s="36"/>
      <c r="F1881" s="178"/>
      <c r="G1881" s="453"/>
      <c r="H1881" s="36"/>
      <c r="I1881" s="11"/>
    </row>
    <row r="1882" spans="1:9" ht="11.15" customHeight="1">
      <c r="A1882" s="162" t="s">
        <v>2868</v>
      </c>
      <c r="B1882" s="90"/>
      <c r="C1882" s="147"/>
      <c r="D1882" s="122"/>
      <c r="E1882" s="36"/>
      <c r="F1882" s="178"/>
      <c r="G1882" s="453"/>
      <c r="H1882" s="36"/>
      <c r="I1882" s="11"/>
    </row>
    <row r="1883" spans="1:9" ht="11.15" customHeight="1">
      <c r="A1883" s="162" t="s">
        <v>2869</v>
      </c>
      <c r="B1883" s="90"/>
      <c r="C1883" s="147"/>
      <c r="D1883" s="122"/>
      <c r="E1883" s="36"/>
      <c r="F1883" s="178"/>
      <c r="G1883" s="453"/>
      <c r="H1883" s="36"/>
      <c r="I1883" s="11"/>
    </row>
    <row r="1884" spans="1:9" ht="11.15" customHeight="1">
      <c r="A1884" s="162" t="s">
        <v>2870</v>
      </c>
      <c r="B1884" s="90"/>
      <c r="C1884" s="147"/>
      <c r="D1884" s="122"/>
      <c r="E1884" s="36"/>
      <c r="F1884" s="178"/>
      <c r="G1884" s="453"/>
      <c r="H1884" s="36"/>
      <c r="I1884" s="11"/>
    </row>
    <row r="1885" spans="1:9" ht="11.15" customHeight="1">
      <c r="A1885" s="162" t="s">
        <v>2871</v>
      </c>
      <c r="B1885" s="90"/>
      <c r="C1885" s="147"/>
      <c r="D1885" s="122"/>
      <c r="E1885" s="36"/>
      <c r="F1885" s="178"/>
      <c r="G1885" s="453"/>
      <c r="H1885" s="36"/>
      <c r="I1885" s="11"/>
    </row>
    <row r="1886" spans="1:9" ht="11.15" customHeight="1">
      <c r="A1886" s="162" t="s">
        <v>2872</v>
      </c>
      <c r="B1886" s="90"/>
      <c r="C1886" s="147"/>
      <c r="D1886" s="122"/>
      <c r="E1886" s="36"/>
      <c r="F1886" s="178"/>
      <c r="G1886" s="453"/>
      <c r="H1886" s="36"/>
      <c r="I1886" s="11"/>
    </row>
    <row r="1887" spans="1:9" ht="11.15" customHeight="1">
      <c r="A1887" s="162" t="s">
        <v>2873</v>
      </c>
      <c r="B1887" s="90"/>
      <c r="C1887" s="147"/>
      <c r="D1887" s="122"/>
      <c r="E1887" s="36"/>
      <c r="F1887" s="178"/>
      <c r="G1887" s="453"/>
      <c r="H1887" s="36"/>
      <c r="I1887" s="11"/>
    </row>
    <row r="1888" spans="1:9" ht="11.15" customHeight="1">
      <c r="A1888" s="162" t="s">
        <v>2874</v>
      </c>
      <c r="B1888" s="90"/>
      <c r="C1888" s="147"/>
      <c r="D1888" s="122"/>
      <c r="E1888" s="36"/>
      <c r="F1888" s="178"/>
      <c r="G1888" s="453"/>
      <c r="H1888" s="36"/>
      <c r="I1888" s="11"/>
    </row>
    <row r="1889" spans="1:12" ht="11.15" customHeight="1">
      <c r="A1889" s="162" t="s">
        <v>2875</v>
      </c>
      <c r="B1889" s="90"/>
      <c r="C1889" s="147"/>
      <c r="D1889" s="122"/>
      <c r="E1889" s="36"/>
      <c r="F1889" s="178"/>
      <c r="G1889" s="453"/>
      <c r="H1889" s="36"/>
      <c r="I1889" s="11"/>
    </row>
    <row r="1890" spans="1:12" ht="11.15" customHeight="1">
      <c r="A1890" s="162" t="s">
        <v>2876</v>
      </c>
      <c r="B1890" s="90"/>
      <c r="C1890" s="147"/>
      <c r="D1890" s="122"/>
      <c r="E1890" s="36"/>
      <c r="F1890" s="178"/>
      <c r="G1890" s="453"/>
      <c r="H1890" s="36"/>
      <c r="I1890" s="11"/>
    </row>
    <row r="1891" spans="1:12" ht="11.15" customHeight="1">
      <c r="A1891" s="162" t="s">
        <v>2877</v>
      </c>
      <c r="B1891" s="90"/>
      <c r="C1891" s="147"/>
      <c r="D1891" s="122"/>
      <c r="E1891" s="36"/>
      <c r="F1891" s="178"/>
      <c r="G1891" s="453"/>
      <c r="H1891" s="36"/>
      <c r="I1891" s="11"/>
    </row>
    <row r="1892" spans="1:12" ht="11.15" customHeight="1">
      <c r="A1892" s="162" t="s">
        <v>2878</v>
      </c>
      <c r="B1892" s="90"/>
      <c r="C1892" s="147"/>
      <c r="D1892" s="122"/>
      <c r="E1892" s="36"/>
      <c r="F1892" s="178"/>
      <c r="G1892" s="453"/>
      <c r="H1892" s="36"/>
      <c r="I1892" s="11"/>
    </row>
    <row r="1893" spans="1:12" ht="11.15" customHeight="1">
      <c r="A1893" s="162" t="s">
        <v>2879</v>
      </c>
      <c r="B1893" s="90"/>
      <c r="C1893" s="147"/>
      <c r="D1893" s="122"/>
      <c r="E1893" s="36"/>
      <c r="F1893" s="178"/>
      <c r="G1893" s="453"/>
      <c r="H1893" s="36"/>
      <c r="I1893" s="11"/>
    </row>
    <row r="1894" spans="1:12" ht="11.15" customHeight="1">
      <c r="A1894" s="129" t="s">
        <v>2880</v>
      </c>
      <c r="B1894" s="90"/>
      <c r="C1894" s="147"/>
      <c r="D1894" s="122"/>
      <c r="E1894" s="36"/>
      <c r="F1894" s="178"/>
      <c r="G1894" s="60"/>
      <c r="H1894" s="36"/>
      <c r="I1894" s="11"/>
    </row>
    <row r="1895" spans="1:12" ht="11.15" customHeight="1" thickBot="1">
      <c r="A1895" s="29"/>
      <c r="B1895" s="90"/>
      <c r="C1895" s="147"/>
      <c r="D1895" s="122"/>
      <c r="E1895" s="36"/>
      <c r="F1895" s="178"/>
      <c r="G1895" s="453"/>
      <c r="H1895" s="36"/>
      <c r="I1895" s="11"/>
    </row>
    <row r="1896" spans="1:12" ht="11.15" customHeight="1" thickBot="1">
      <c r="A1896" s="184" t="s">
        <v>2881</v>
      </c>
      <c r="B1896" s="59" t="s">
        <v>20512</v>
      </c>
      <c r="C1896" s="147" t="s">
        <v>20221</v>
      </c>
      <c r="D1896" s="284" t="s">
        <v>897</v>
      </c>
      <c r="E1896" s="178">
        <v>2019</v>
      </c>
      <c r="F1896" s="178" t="s">
        <v>4520</v>
      </c>
      <c r="G1896" s="496"/>
      <c r="H1896" s="994" t="s">
        <v>20221</v>
      </c>
      <c r="I1896" s="12" t="s">
        <v>2882</v>
      </c>
      <c r="J1896" s="1285"/>
      <c r="K1896" s="1285"/>
      <c r="L1896" s="1285"/>
    </row>
    <row r="1897" spans="1:12" ht="11.15" customHeight="1">
      <c r="A1897" s="29" t="s">
        <v>2883</v>
      </c>
      <c r="B1897" s="59" t="s">
        <v>20512</v>
      </c>
      <c r="C1897" s="147" t="s">
        <v>20221</v>
      </c>
      <c r="D1897" s="284" t="s">
        <v>897</v>
      </c>
      <c r="E1897" s="178">
        <v>2018</v>
      </c>
      <c r="F1897" s="178" t="s">
        <v>4520</v>
      </c>
      <c r="G1897" s="496"/>
      <c r="H1897" s="994" t="s">
        <v>20221</v>
      </c>
      <c r="I1897" s="12" t="s">
        <v>2884</v>
      </c>
      <c r="J1897" s="1285"/>
      <c r="K1897" s="1285"/>
      <c r="L1897" s="1285"/>
    </row>
    <row r="1898" spans="1:12" ht="11.15" customHeight="1">
      <c r="A1898" s="29" t="s">
        <v>2885</v>
      </c>
      <c r="B1898" s="59" t="s">
        <v>20513</v>
      </c>
      <c r="C1898" s="147" t="s">
        <v>20221</v>
      </c>
      <c r="D1898" s="284" t="s">
        <v>897</v>
      </c>
      <c r="E1898" s="178">
        <v>2022</v>
      </c>
      <c r="F1898" s="178" t="s">
        <v>4520</v>
      </c>
      <c r="G1898" s="496"/>
      <c r="H1898" s="994" t="s">
        <v>20343</v>
      </c>
      <c r="I1898" s="12" t="s">
        <v>2886</v>
      </c>
      <c r="J1898" s="1285"/>
      <c r="K1898" s="1285"/>
      <c r="L1898" s="1285"/>
    </row>
    <row r="1899" spans="1:12" ht="11.15" customHeight="1">
      <c r="A1899" s="29" t="s">
        <v>2887</v>
      </c>
      <c r="B1899" s="59" t="s">
        <v>20513</v>
      </c>
      <c r="C1899" s="147" t="s">
        <v>20221</v>
      </c>
      <c r="D1899" s="284" t="s">
        <v>897</v>
      </c>
      <c r="E1899" s="178">
        <v>2021</v>
      </c>
      <c r="F1899" s="178" t="s">
        <v>4520</v>
      </c>
      <c r="G1899" s="496"/>
      <c r="H1899" s="994" t="s">
        <v>20221</v>
      </c>
      <c r="I1899" s="12" t="s">
        <v>2888</v>
      </c>
      <c r="J1899" s="1285"/>
      <c r="K1899" s="1285"/>
      <c r="L1899" s="1285"/>
    </row>
    <row r="1900" spans="1:12" ht="11.15" customHeight="1">
      <c r="A1900" s="29" t="s">
        <v>2889</v>
      </c>
      <c r="B1900" s="59" t="s">
        <v>20513</v>
      </c>
      <c r="C1900" s="147" t="s">
        <v>20221</v>
      </c>
      <c r="D1900" s="284" t="s">
        <v>897</v>
      </c>
      <c r="E1900" s="178">
        <v>2020</v>
      </c>
      <c r="F1900" s="178" t="s">
        <v>4520</v>
      </c>
      <c r="G1900" s="496"/>
      <c r="H1900" s="994" t="s">
        <v>20221</v>
      </c>
      <c r="I1900" s="12" t="s">
        <v>2890</v>
      </c>
      <c r="J1900" s="1285"/>
      <c r="K1900" s="1285"/>
      <c r="L1900" s="1285"/>
    </row>
    <row r="1901" spans="1:12" ht="11.15" customHeight="1">
      <c r="A1901" s="166" t="s">
        <v>2891</v>
      </c>
      <c r="B1901" s="90"/>
      <c r="C1901" s="147"/>
      <c r="D1901" s="161"/>
      <c r="E1901" s="34"/>
      <c r="F1901" s="178"/>
      <c r="G1901" s="496"/>
      <c r="H1901" s="36"/>
      <c r="I1901" s="11"/>
    </row>
    <row r="1902" spans="1:12" ht="11.15" customHeight="1">
      <c r="A1902" s="129" t="s">
        <v>2892</v>
      </c>
      <c r="B1902" s="90"/>
      <c r="C1902" s="147"/>
      <c r="D1902" s="161"/>
      <c r="E1902" s="34"/>
      <c r="F1902" s="178"/>
      <c r="G1902" s="496"/>
      <c r="H1902" s="36"/>
      <c r="I1902" s="11"/>
    </row>
    <row r="1903" spans="1:12" ht="11.15" customHeight="1" thickBot="1">
      <c r="A1903" s="29"/>
      <c r="B1903" s="90"/>
      <c r="C1903" s="147"/>
      <c r="D1903" s="161"/>
      <c r="E1903" s="34"/>
      <c r="F1903" s="178"/>
      <c r="G1903" s="496"/>
      <c r="H1903" s="36"/>
      <c r="I1903" s="11"/>
    </row>
    <row r="1904" spans="1:12" ht="11.15" customHeight="1" thickBot="1">
      <c r="A1904" s="184" t="s">
        <v>2893</v>
      </c>
      <c r="B1904" s="59" t="s">
        <v>20514</v>
      </c>
      <c r="C1904" s="147" t="s">
        <v>20221</v>
      </c>
      <c r="D1904" s="284" t="s">
        <v>897</v>
      </c>
      <c r="E1904" s="178">
        <v>2021</v>
      </c>
      <c r="F1904" s="178" t="s">
        <v>4520</v>
      </c>
      <c r="G1904" s="496"/>
      <c r="H1904" s="994" t="s">
        <v>20221</v>
      </c>
      <c r="I1904" s="12" t="s">
        <v>2894</v>
      </c>
      <c r="J1904" s="1285"/>
      <c r="K1904" s="1285"/>
      <c r="L1904" s="1285"/>
    </row>
    <row r="1905" spans="1:12" ht="11.15" customHeight="1">
      <c r="A1905" s="29" t="s">
        <v>2895</v>
      </c>
      <c r="B1905" s="185"/>
      <c r="C1905" s="147"/>
      <c r="D1905" s="161"/>
      <c r="E1905" s="34"/>
      <c r="F1905" s="178"/>
      <c r="G1905" s="496"/>
      <c r="H1905" s="36"/>
      <c r="I1905" s="11"/>
    </row>
    <row r="1906" spans="1:12" ht="11.15" customHeight="1">
      <c r="A1906" s="29" t="s">
        <v>2896</v>
      </c>
      <c r="B1906" s="185"/>
      <c r="C1906" s="147"/>
      <c r="D1906" s="161"/>
      <c r="E1906" s="34"/>
      <c r="F1906" s="178"/>
      <c r="G1906" s="496"/>
      <c r="H1906" s="36"/>
      <c r="I1906" s="11"/>
    </row>
    <row r="1907" spans="1:12" ht="11.15" customHeight="1">
      <c r="A1907" s="29" t="s">
        <v>2897</v>
      </c>
      <c r="B1907" s="185"/>
      <c r="C1907" s="147"/>
      <c r="D1907" s="161"/>
      <c r="E1907" s="34"/>
      <c r="F1907" s="178"/>
      <c r="G1907" s="496"/>
      <c r="H1907" s="36"/>
      <c r="I1907" s="11"/>
    </row>
    <row r="1908" spans="1:12" ht="11.15" customHeight="1">
      <c r="A1908" s="29" t="s">
        <v>2898</v>
      </c>
      <c r="B1908" s="90"/>
      <c r="C1908" s="147"/>
      <c r="D1908" s="161"/>
      <c r="E1908" s="34"/>
      <c r="F1908" s="178"/>
      <c r="G1908" s="496"/>
      <c r="H1908" s="36"/>
      <c r="I1908" s="11"/>
    </row>
    <row r="1909" spans="1:12" ht="11.15" customHeight="1">
      <c r="A1909" s="29" t="s">
        <v>2899</v>
      </c>
      <c r="B1909" s="90"/>
      <c r="C1909" s="147"/>
      <c r="D1909" s="161"/>
      <c r="E1909" s="34"/>
      <c r="F1909" s="178"/>
      <c r="G1909" s="496"/>
      <c r="H1909" s="36"/>
      <c r="I1909" s="11"/>
    </row>
    <row r="1910" spans="1:12" ht="11.15" customHeight="1">
      <c r="A1910" s="29" t="s">
        <v>2900</v>
      </c>
      <c r="B1910" s="90"/>
      <c r="C1910" s="147"/>
      <c r="D1910" s="161"/>
      <c r="E1910" s="34"/>
      <c r="F1910" s="178"/>
      <c r="G1910" s="496"/>
      <c r="H1910" s="36"/>
      <c r="I1910" s="11"/>
    </row>
    <row r="1911" spans="1:12">
      <c r="A1911" s="29" t="s">
        <v>2901</v>
      </c>
      <c r="B1911" s="286"/>
      <c r="C1911" s="147"/>
      <c r="D1911" s="66"/>
      <c r="E1911" s="178"/>
      <c r="F1911" s="178"/>
      <c r="G1911" s="60"/>
      <c r="H1911" s="178"/>
      <c r="I1911" s="11"/>
    </row>
    <row r="1912" spans="1:12" ht="11.15" customHeight="1">
      <c r="A1912" s="181" t="s">
        <v>2902</v>
      </c>
      <c r="B1912" s="90"/>
      <c r="C1912" s="147"/>
      <c r="D1912" s="161"/>
      <c r="E1912" s="36"/>
      <c r="F1912" s="178"/>
      <c r="G1912" s="496"/>
      <c r="H1912" s="36"/>
      <c r="I1912" s="11"/>
    </row>
    <row r="1913" spans="1:12" ht="11.15" customHeight="1">
      <c r="A1913" s="166" t="s">
        <v>2903</v>
      </c>
      <c r="B1913" s="90"/>
      <c r="C1913" s="147"/>
      <c r="D1913" s="161"/>
      <c r="E1913" s="34"/>
      <c r="F1913" s="178"/>
      <c r="G1913" s="496"/>
      <c r="H1913" s="36"/>
      <c r="I1913" s="11"/>
    </row>
    <row r="1914" spans="1:12" ht="11.15" customHeight="1" thickBot="1">
      <c r="A1914" s="29"/>
      <c r="B1914" s="185"/>
      <c r="C1914" s="147"/>
      <c r="D1914" s="185"/>
      <c r="E1914" s="185"/>
      <c r="F1914" s="185"/>
      <c r="G1914" s="185"/>
      <c r="H1914" s="185"/>
      <c r="I1914" s="11"/>
    </row>
    <row r="1915" spans="1:12" ht="11.15" customHeight="1" thickBot="1">
      <c r="A1915" s="184" t="s">
        <v>2904</v>
      </c>
      <c r="B1915" s="59" t="s">
        <v>20515</v>
      </c>
      <c r="C1915" s="147" t="s">
        <v>20221</v>
      </c>
      <c r="D1915" s="284" t="s">
        <v>897</v>
      </c>
      <c r="E1915" s="178">
        <v>2020</v>
      </c>
      <c r="F1915" s="178" t="s">
        <v>7168</v>
      </c>
      <c r="G1915" s="496"/>
      <c r="H1915" s="994" t="s">
        <v>20221</v>
      </c>
      <c r="I1915" s="12" t="s">
        <v>2905</v>
      </c>
      <c r="J1915" s="1285"/>
      <c r="K1915" s="1285"/>
      <c r="L1915" s="1285"/>
    </row>
    <row r="1916" spans="1:12" ht="12" customHeight="1">
      <c r="A1916" s="29" t="s">
        <v>2906</v>
      </c>
      <c r="B1916" s="59" t="s">
        <v>20516</v>
      </c>
      <c r="C1916" s="147" t="s">
        <v>20221</v>
      </c>
      <c r="D1916" s="284" t="s">
        <v>897</v>
      </c>
      <c r="E1916" s="178">
        <v>2019</v>
      </c>
      <c r="F1916" s="178" t="s">
        <v>4520</v>
      </c>
      <c r="G1916" s="496"/>
      <c r="H1916" s="994" t="s">
        <v>20221</v>
      </c>
      <c r="I1916" s="12" t="s">
        <v>2907</v>
      </c>
      <c r="J1916" s="1285"/>
      <c r="K1916" s="1285"/>
      <c r="L1916" s="1285"/>
    </row>
    <row r="1917" spans="1:12" ht="12" customHeight="1">
      <c r="A1917" s="29" t="s">
        <v>2908</v>
      </c>
      <c r="B1917" s="59" t="s">
        <v>20517</v>
      </c>
      <c r="C1917" s="147" t="s">
        <v>20221</v>
      </c>
      <c r="D1917" s="284" t="s">
        <v>897</v>
      </c>
      <c r="E1917" s="178">
        <v>2020</v>
      </c>
      <c r="F1917" s="178" t="s">
        <v>4520</v>
      </c>
      <c r="G1917" s="496"/>
      <c r="H1917" s="994" t="s">
        <v>20221</v>
      </c>
      <c r="I1917" s="12" t="s">
        <v>2909</v>
      </c>
      <c r="J1917" s="1285"/>
      <c r="K1917" s="1285"/>
      <c r="L1917" s="1285"/>
    </row>
    <row r="1918" spans="1:12" ht="11.15" customHeight="1">
      <c r="A1918" s="129" t="s">
        <v>2910</v>
      </c>
      <c r="B1918" s="59" t="s">
        <v>23299</v>
      </c>
      <c r="C1918" s="147" t="s">
        <v>20221</v>
      </c>
      <c r="D1918" s="284" t="s">
        <v>897</v>
      </c>
      <c r="E1918" s="178">
        <v>2020</v>
      </c>
      <c r="F1918" s="178" t="s">
        <v>11931</v>
      </c>
      <c r="G1918" s="496"/>
      <c r="H1918" s="994" t="s">
        <v>20221</v>
      </c>
      <c r="I1918" s="12" t="s">
        <v>2911</v>
      </c>
      <c r="J1918" s="1285"/>
      <c r="K1918" s="1285"/>
      <c r="L1918" s="1285"/>
    </row>
    <row r="1919" spans="1:12" ht="11.15" customHeight="1">
      <c r="A1919" s="162" t="s">
        <v>2912</v>
      </c>
      <c r="B1919" s="226"/>
      <c r="C1919" s="147"/>
      <c r="D1919" s="161"/>
      <c r="E1919" s="226"/>
      <c r="F1919" s="122"/>
      <c r="G1919" s="1209"/>
      <c r="H1919" s="226"/>
      <c r="I1919" s="11"/>
    </row>
    <row r="1920" spans="1:12" ht="11.15" customHeight="1">
      <c r="A1920" s="162" t="s">
        <v>2913</v>
      </c>
      <c r="B1920" s="226"/>
      <c r="C1920" s="147"/>
      <c r="D1920" s="161"/>
      <c r="E1920" s="226"/>
      <c r="F1920" s="122"/>
      <c r="G1920" s="1209"/>
      <c r="H1920" s="226"/>
      <c r="I1920" s="11"/>
    </row>
    <row r="1921" spans="1:9" ht="11.15" customHeight="1">
      <c r="A1921" s="162" t="s">
        <v>2914</v>
      </c>
      <c r="B1921" s="226"/>
      <c r="C1921" s="147"/>
      <c r="D1921" s="161"/>
      <c r="E1921" s="226"/>
      <c r="F1921" s="122"/>
      <c r="G1921" s="1209"/>
      <c r="H1921" s="226"/>
      <c r="I1921" s="11"/>
    </row>
    <row r="1922" spans="1:9" ht="11.15" customHeight="1">
      <c r="A1922" s="162" t="s">
        <v>2915</v>
      </c>
      <c r="B1922" s="226"/>
      <c r="C1922" s="147"/>
      <c r="D1922" s="161"/>
      <c r="E1922" s="226"/>
      <c r="F1922" s="122"/>
      <c r="G1922" s="1209"/>
      <c r="H1922" s="226"/>
      <c r="I1922" s="11"/>
    </row>
    <row r="1923" spans="1:9" ht="11.15" customHeight="1">
      <c r="A1923" s="162" t="s">
        <v>2916</v>
      </c>
      <c r="B1923" s="226"/>
      <c r="C1923" s="147"/>
      <c r="D1923" s="161"/>
      <c r="E1923" s="226"/>
      <c r="F1923" s="122"/>
      <c r="G1923" s="1209"/>
      <c r="H1923" s="226"/>
      <c r="I1923" s="11"/>
    </row>
    <row r="1924" spans="1:9" ht="11.15" customHeight="1">
      <c r="A1924" s="129" t="s">
        <v>1077</v>
      </c>
      <c r="B1924" s="226"/>
      <c r="C1924" s="147"/>
      <c r="D1924" s="161"/>
      <c r="E1924" s="226"/>
      <c r="F1924" s="122"/>
      <c r="G1924" s="1209"/>
      <c r="H1924" s="226"/>
      <c r="I1924" s="11"/>
    </row>
    <row r="1925" spans="1:9" ht="11.15" customHeight="1">
      <c r="A1925" s="162" t="s">
        <v>2917</v>
      </c>
      <c r="B1925" s="226"/>
      <c r="C1925" s="147"/>
      <c r="D1925" s="161"/>
      <c r="E1925" s="226"/>
      <c r="F1925" s="122"/>
      <c r="G1925" s="1209"/>
      <c r="H1925" s="226"/>
      <c r="I1925" s="11"/>
    </row>
    <row r="1926" spans="1:9" ht="11.15" customHeight="1">
      <c r="A1926" s="162" t="s">
        <v>2918</v>
      </c>
      <c r="B1926" s="226"/>
      <c r="C1926" s="147"/>
      <c r="D1926" s="161"/>
      <c r="E1926" s="226"/>
      <c r="F1926" s="122"/>
      <c r="G1926" s="1209"/>
      <c r="H1926" s="226"/>
      <c r="I1926" s="11"/>
    </row>
    <row r="1927" spans="1:9" ht="11.15" customHeight="1">
      <c r="A1927" s="162" t="s">
        <v>2919</v>
      </c>
      <c r="B1927" s="226"/>
      <c r="C1927" s="147"/>
      <c r="D1927" s="161"/>
      <c r="E1927" s="226"/>
      <c r="F1927" s="122"/>
      <c r="G1927" s="1209"/>
      <c r="H1927" s="226"/>
      <c r="I1927" s="11"/>
    </row>
    <row r="1928" spans="1:9" ht="11.15" customHeight="1">
      <c r="A1928" s="162" t="s">
        <v>2920</v>
      </c>
      <c r="B1928" s="226"/>
      <c r="C1928" s="147"/>
      <c r="D1928" s="161"/>
      <c r="E1928" s="226"/>
      <c r="F1928" s="122"/>
      <c r="G1928" s="1209"/>
      <c r="H1928" s="226"/>
      <c r="I1928" s="11"/>
    </row>
    <row r="1929" spans="1:9" ht="11.15" customHeight="1">
      <c r="A1929" s="162" t="s">
        <v>2921</v>
      </c>
      <c r="B1929" s="226"/>
      <c r="C1929" s="147"/>
      <c r="D1929" s="161"/>
      <c r="E1929" s="226"/>
      <c r="F1929" s="122"/>
      <c r="G1929" s="1209"/>
      <c r="H1929" s="226"/>
      <c r="I1929" s="11"/>
    </row>
    <row r="1930" spans="1:9" ht="11.15" customHeight="1">
      <c r="A1930" s="162" t="s">
        <v>2922</v>
      </c>
      <c r="B1930" s="226"/>
      <c r="C1930" s="147"/>
      <c r="D1930" s="161"/>
      <c r="E1930" s="226"/>
      <c r="F1930" s="122"/>
      <c r="G1930" s="1209"/>
      <c r="H1930" s="226"/>
      <c r="I1930" s="11"/>
    </row>
    <row r="1931" spans="1:9" ht="11.15" customHeight="1">
      <c r="A1931" s="162" t="s">
        <v>2923</v>
      </c>
      <c r="B1931" s="226"/>
      <c r="C1931" s="147"/>
      <c r="D1931" s="161"/>
      <c r="E1931" s="226"/>
      <c r="F1931" s="122"/>
      <c r="G1931" s="1209"/>
      <c r="H1931" s="226"/>
      <c r="I1931" s="11"/>
    </row>
    <row r="1932" spans="1:9" ht="11.15" customHeight="1">
      <c r="A1932" s="181" t="s">
        <v>1219</v>
      </c>
      <c r="B1932" s="129"/>
      <c r="C1932" s="147"/>
      <c r="D1932" s="129"/>
      <c r="E1932" s="129"/>
      <c r="F1932" s="129"/>
      <c r="G1932" s="129"/>
      <c r="H1932" s="129"/>
      <c r="I1932" s="11"/>
    </row>
    <row r="1933" spans="1:9" ht="11.15" customHeight="1">
      <c r="A1933" s="166" t="s">
        <v>2924</v>
      </c>
      <c r="B1933" s="129"/>
      <c r="C1933" s="147"/>
      <c r="D1933" s="129"/>
      <c r="E1933" s="129"/>
      <c r="F1933" s="129"/>
      <c r="G1933" s="129"/>
      <c r="H1933" s="129"/>
      <c r="I1933" s="11"/>
    </row>
    <row r="1934" spans="1:9" ht="11.15" customHeight="1">
      <c r="A1934" s="129" t="s">
        <v>2925</v>
      </c>
      <c r="B1934" s="185"/>
      <c r="C1934" s="147"/>
      <c r="D1934" s="185"/>
      <c r="E1934" s="185"/>
      <c r="F1934" s="185"/>
      <c r="G1934" s="185"/>
      <c r="H1934" s="185"/>
      <c r="I1934" s="11"/>
    </row>
    <row r="1935" spans="1:9" ht="11.15" customHeight="1" thickBot="1">
      <c r="A1935" s="29"/>
      <c r="B1935" s="90"/>
      <c r="C1935" s="147"/>
      <c r="D1935" s="161"/>
      <c r="E1935" s="36"/>
      <c r="F1935" s="183"/>
      <c r="G1935" s="496"/>
      <c r="H1935" s="34"/>
      <c r="I1935" s="11"/>
    </row>
    <row r="1936" spans="1:9" ht="11.15" customHeight="1" thickBot="1">
      <c r="A1936" s="184" t="s">
        <v>2926</v>
      </c>
      <c r="B1936" s="154" t="s">
        <v>2242</v>
      </c>
      <c r="C1936" s="147"/>
      <c r="D1936" s="129"/>
      <c r="E1936" s="185"/>
      <c r="F1936" s="185"/>
      <c r="G1936" s="185"/>
      <c r="H1936" s="185"/>
      <c r="I1936" s="11"/>
    </row>
    <row r="1937" spans="1:12" ht="11.15" customHeight="1">
      <c r="A1937" s="29" t="s">
        <v>2927</v>
      </c>
      <c r="B1937" s="59" t="s">
        <v>20518</v>
      </c>
      <c r="C1937" s="147" t="s">
        <v>23393</v>
      </c>
      <c r="D1937" s="701" t="s">
        <v>1129</v>
      </c>
      <c r="E1937" s="178">
        <v>2022</v>
      </c>
      <c r="F1937" s="178" t="s">
        <v>4520</v>
      </c>
      <c r="G1937" s="496"/>
      <c r="H1937" s="994" t="s">
        <v>20221</v>
      </c>
      <c r="I1937" s="11" t="s">
        <v>2928</v>
      </c>
      <c r="J1937" s="1285"/>
      <c r="K1937" s="1285"/>
      <c r="L1937" s="1285"/>
    </row>
    <row r="1938" spans="1:12" ht="11.15" customHeight="1">
      <c r="A1938" s="29" t="s">
        <v>2929</v>
      </c>
      <c r="B1938" s="154" t="s">
        <v>2930</v>
      </c>
      <c r="C1938" s="147"/>
      <c r="D1938" s="129"/>
      <c r="E1938" s="185"/>
      <c r="F1938" s="185"/>
      <c r="G1938" s="185"/>
      <c r="H1938" s="185"/>
      <c r="I1938" s="11"/>
    </row>
    <row r="1939" spans="1:12" ht="11.15" customHeight="1">
      <c r="A1939" s="29" t="s">
        <v>2931</v>
      </c>
      <c r="B1939" s="59" t="s">
        <v>20519</v>
      </c>
      <c r="C1939" s="147" t="s">
        <v>23393</v>
      </c>
      <c r="D1939" s="284" t="s">
        <v>897</v>
      </c>
      <c r="E1939" s="178">
        <v>2020</v>
      </c>
      <c r="F1939" s="178" t="s">
        <v>4520</v>
      </c>
      <c r="G1939" s="496"/>
      <c r="H1939" s="994" t="s">
        <v>20221</v>
      </c>
      <c r="I1939" s="11" t="s">
        <v>2932</v>
      </c>
      <c r="J1939" s="1285"/>
      <c r="K1939" s="1285"/>
      <c r="L1939" s="1285"/>
    </row>
    <row r="1940" spans="1:12" ht="11.15" customHeight="1">
      <c r="A1940" s="29" t="s">
        <v>2933</v>
      </c>
      <c r="B1940" s="59" t="s">
        <v>20519</v>
      </c>
      <c r="C1940" s="147" t="s">
        <v>23393</v>
      </c>
      <c r="D1940" s="284" t="s">
        <v>897</v>
      </c>
      <c r="E1940" s="178">
        <v>2019</v>
      </c>
      <c r="F1940" s="178" t="s">
        <v>4520</v>
      </c>
      <c r="G1940" s="496"/>
      <c r="H1940" s="994" t="s">
        <v>20221</v>
      </c>
      <c r="I1940" s="11" t="s">
        <v>2934</v>
      </c>
      <c r="J1940" s="1285"/>
      <c r="K1940" s="1285"/>
      <c r="L1940" s="1285"/>
    </row>
    <row r="1941" spans="1:12" ht="11.15" customHeight="1">
      <c r="A1941" s="29" t="s">
        <v>2935</v>
      </c>
      <c r="B1941" s="154" t="s">
        <v>2936</v>
      </c>
      <c r="C1941" s="147"/>
      <c r="D1941" s="129"/>
      <c r="E1941" s="185"/>
      <c r="F1941" s="185"/>
      <c r="G1941" s="185"/>
      <c r="H1941" s="185"/>
      <c r="I1941" s="11"/>
    </row>
    <row r="1942" spans="1:12" ht="11.15" customHeight="1">
      <c r="A1942" s="181" t="s">
        <v>1003</v>
      </c>
      <c r="B1942" s="59" t="s">
        <v>20520</v>
      </c>
      <c r="C1942" s="147" t="s">
        <v>23393</v>
      </c>
      <c r="D1942" s="284" t="s">
        <v>897</v>
      </c>
      <c r="E1942" s="178">
        <v>2016</v>
      </c>
      <c r="F1942" s="178" t="s">
        <v>4520</v>
      </c>
      <c r="G1942" s="496"/>
      <c r="H1942" s="994" t="s">
        <v>20221</v>
      </c>
      <c r="I1942" s="11" t="s">
        <v>2937</v>
      </c>
      <c r="J1942" s="1285"/>
      <c r="K1942" s="1285"/>
      <c r="L1942" s="1285"/>
    </row>
    <row r="1943" spans="1:12" ht="11.15" customHeight="1">
      <c r="A1943" s="181" t="s">
        <v>2938</v>
      </c>
      <c r="B1943" s="154" t="s">
        <v>2939</v>
      </c>
      <c r="C1943" s="147"/>
      <c r="D1943" s="129"/>
      <c r="E1943" s="185"/>
      <c r="F1943" s="185"/>
      <c r="G1943" s="185"/>
      <c r="H1943" s="185"/>
      <c r="I1943" s="11"/>
    </row>
    <row r="1944" spans="1:12" ht="11.15" customHeight="1">
      <c r="A1944" s="129" t="s">
        <v>2047</v>
      </c>
      <c r="B1944" s="59" t="s">
        <v>20521</v>
      </c>
      <c r="C1944" s="147" t="s">
        <v>23393</v>
      </c>
      <c r="D1944" s="284" t="s">
        <v>897</v>
      </c>
      <c r="E1944" s="178">
        <v>2019</v>
      </c>
      <c r="F1944" s="178" t="s">
        <v>4520</v>
      </c>
      <c r="G1944" s="496"/>
      <c r="H1944" s="994" t="s">
        <v>20221</v>
      </c>
      <c r="I1944" s="11" t="s">
        <v>2940</v>
      </c>
      <c r="J1944" s="1285"/>
      <c r="K1944" s="1285"/>
      <c r="L1944" s="1285"/>
    </row>
    <row r="1945" spans="1:12" ht="11.15" customHeight="1">
      <c r="A1945" s="162" t="s">
        <v>2941</v>
      </c>
      <c r="B1945" s="59" t="s">
        <v>20522</v>
      </c>
      <c r="C1945" s="147" t="s">
        <v>23393</v>
      </c>
      <c r="D1945" s="284" t="s">
        <v>897</v>
      </c>
      <c r="E1945" s="178">
        <v>2019</v>
      </c>
      <c r="F1945" s="178" t="s">
        <v>4520</v>
      </c>
      <c r="G1945" s="496"/>
      <c r="H1945" s="994" t="s">
        <v>20221</v>
      </c>
      <c r="I1945" s="11" t="s">
        <v>2942</v>
      </c>
      <c r="J1945" s="1285"/>
      <c r="K1945" s="1285"/>
      <c r="L1945" s="1285"/>
    </row>
    <row r="1946" spans="1:12" ht="11.15" customHeight="1">
      <c r="A1946" s="162" t="s">
        <v>2943</v>
      </c>
      <c r="B1946" s="59" t="s">
        <v>20523</v>
      </c>
      <c r="C1946" s="147" t="s">
        <v>23393</v>
      </c>
      <c r="D1946" s="284" t="s">
        <v>897</v>
      </c>
      <c r="E1946" s="178">
        <v>2019</v>
      </c>
      <c r="F1946" s="178" t="s">
        <v>4520</v>
      </c>
      <c r="G1946" s="496"/>
      <c r="H1946" s="994" t="s">
        <v>20221</v>
      </c>
      <c r="I1946" s="11" t="s">
        <v>2944</v>
      </c>
      <c r="J1946" s="1285"/>
      <c r="K1946" s="1285"/>
      <c r="L1946" s="1285"/>
    </row>
    <row r="1947" spans="1:12" ht="11.15" customHeight="1">
      <c r="A1947" s="162" t="s">
        <v>2945</v>
      </c>
      <c r="B1947" s="59" t="s">
        <v>20524</v>
      </c>
      <c r="C1947" s="147" t="s">
        <v>23393</v>
      </c>
      <c r="D1947" s="284" t="s">
        <v>897</v>
      </c>
      <c r="E1947" s="178">
        <v>2019</v>
      </c>
      <c r="F1947" s="178" t="s">
        <v>5257</v>
      </c>
      <c r="G1947" s="496"/>
      <c r="H1947" s="994" t="s">
        <v>20224</v>
      </c>
      <c r="I1947" s="11" t="s">
        <v>2946</v>
      </c>
      <c r="J1947" s="1285"/>
      <c r="K1947" s="1285"/>
      <c r="L1947" s="1285"/>
    </row>
    <row r="1948" spans="1:12" ht="11.15" customHeight="1">
      <c r="A1948" s="129" t="s">
        <v>2947</v>
      </c>
      <c r="B1948" s="59" t="s">
        <v>20525</v>
      </c>
      <c r="C1948" s="147" t="s">
        <v>23393</v>
      </c>
      <c r="D1948" s="284" t="s">
        <v>897</v>
      </c>
      <c r="E1948" s="178">
        <v>2019</v>
      </c>
      <c r="F1948" s="178" t="s">
        <v>5257</v>
      </c>
      <c r="G1948" s="496"/>
      <c r="H1948" s="994" t="s">
        <v>20224</v>
      </c>
      <c r="I1948" s="11" t="s">
        <v>2948</v>
      </c>
      <c r="J1948" s="1285"/>
      <c r="K1948" s="1285"/>
      <c r="L1948" s="1285"/>
    </row>
    <row r="1949" spans="1:12" ht="11.15" customHeight="1">
      <c r="A1949" s="355" t="s">
        <v>2949</v>
      </c>
      <c r="B1949" s="59" t="s">
        <v>20526</v>
      </c>
      <c r="C1949" s="147" t="s">
        <v>23393</v>
      </c>
      <c r="D1949" s="284" t="s">
        <v>897</v>
      </c>
      <c r="E1949" s="178">
        <v>2019</v>
      </c>
      <c r="F1949" s="178" t="s">
        <v>5257</v>
      </c>
      <c r="G1949" s="496"/>
      <c r="H1949" s="994" t="s">
        <v>20221</v>
      </c>
      <c r="I1949" s="11" t="s">
        <v>2950</v>
      </c>
      <c r="J1949" s="1285"/>
      <c r="K1949" s="1285"/>
      <c r="L1949" s="1285"/>
    </row>
    <row r="1950" spans="1:12" ht="11.15" customHeight="1">
      <c r="A1950" s="162" t="s">
        <v>2951</v>
      </c>
      <c r="B1950" s="154" t="s">
        <v>2952</v>
      </c>
      <c r="C1950" s="147"/>
      <c r="D1950" s="129"/>
      <c r="E1950" s="185"/>
      <c r="F1950" s="185"/>
      <c r="G1950" s="185"/>
      <c r="H1950" s="185"/>
      <c r="I1950" s="11"/>
    </row>
    <row r="1951" spans="1:12" ht="11.15" customHeight="1">
      <c r="A1951" s="162" t="s">
        <v>2953</v>
      </c>
      <c r="B1951" s="59" t="s">
        <v>20527</v>
      </c>
      <c r="C1951" s="147" t="s">
        <v>23393</v>
      </c>
      <c r="D1951" s="284" t="s">
        <v>897</v>
      </c>
      <c r="E1951" s="178">
        <v>2020</v>
      </c>
      <c r="F1951" s="178" t="s">
        <v>7168</v>
      </c>
      <c r="G1951" s="496"/>
      <c r="H1951" s="994" t="s">
        <v>20221</v>
      </c>
      <c r="I1951" s="11" t="s">
        <v>2954</v>
      </c>
      <c r="J1951" s="1285"/>
      <c r="K1951" s="1285"/>
      <c r="L1951" s="1285"/>
    </row>
    <row r="1952" spans="1:12" ht="11.15" customHeight="1">
      <c r="A1952" s="29" t="s">
        <v>2955</v>
      </c>
      <c r="B1952" s="154" t="s">
        <v>1691</v>
      </c>
      <c r="C1952" s="147"/>
      <c r="D1952" s="129"/>
      <c r="E1952" s="185"/>
      <c r="F1952" s="185"/>
      <c r="G1952" s="185"/>
      <c r="H1952" s="185"/>
      <c r="I1952" s="11"/>
    </row>
    <row r="1953" spans="1:12" ht="11.15" customHeight="1">
      <c r="A1953" s="162" t="s">
        <v>2956</v>
      </c>
      <c r="B1953" s="59" t="s">
        <v>20528</v>
      </c>
      <c r="C1953" s="147" t="s">
        <v>23393</v>
      </c>
      <c r="D1953" s="284" t="s">
        <v>897</v>
      </c>
      <c r="E1953" s="178">
        <v>2023</v>
      </c>
      <c r="F1953" s="178" t="s">
        <v>4520</v>
      </c>
      <c r="G1953" s="496"/>
      <c r="H1953" s="994" t="s">
        <v>20343</v>
      </c>
      <c r="I1953" s="11" t="s">
        <v>2957</v>
      </c>
      <c r="J1953" s="1285"/>
      <c r="K1953" s="1285"/>
      <c r="L1953" s="1285"/>
    </row>
    <row r="1954" spans="1:12" ht="11.15" customHeight="1">
      <c r="A1954" s="129" t="s">
        <v>2958</v>
      </c>
      <c r="B1954" s="59" t="s">
        <v>20528</v>
      </c>
      <c r="C1954" s="147" t="s">
        <v>23393</v>
      </c>
      <c r="D1954" s="284" t="s">
        <v>897</v>
      </c>
      <c r="E1954" s="178">
        <v>2022</v>
      </c>
      <c r="F1954" s="178" t="s">
        <v>4520</v>
      </c>
      <c r="G1954" s="496"/>
      <c r="H1954" s="994" t="s">
        <v>20221</v>
      </c>
      <c r="I1954" s="11" t="s">
        <v>2959</v>
      </c>
      <c r="J1954" s="1285"/>
      <c r="K1954" s="1285"/>
      <c r="L1954" s="1285"/>
    </row>
    <row r="1955" spans="1:12" ht="11.15" customHeight="1">
      <c r="A1955" s="162" t="s">
        <v>2960</v>
      </c>
      <c r="B1955" s="59" t="s">
        <v>20528</v>
      </c>
      <c r="C1955" s="147" t="s">
        <v>23393</v>
      </c>
      <c r="D1955" s="284" t="s">
        <v>897</v>
      </c>
      <c r="E1955" s="178">
        <v>2021</v>
      </c>
      <c r="F1955" s="178" t="s">
        <v>4520</v>
      </c>
      <c r="G1955" s="496"/>
      <c r="H1955" s="994" t="s">
        <v>20221</v>
      </c>
      <c r="I1955" s="12" t="s">
        <v>2961</v>
      </c>
      <c r="J1955" s="1285"/>
      <c r="K1955" s="1285"/>
      <c r="L1955" s="1285"/>
    </row>
    <row r="1956" spans="1:12" ht="11.15" customHeight="1">
      <c r="A1956" s="162" t="s">
        <v>2962</v>
      </c>
      <c r="B1956" s="59" t="s">
        <v>20528</v>
      </c>
      <c r="C1956" s="147" t="s">
        <v>23393</v>
      </c>
      <c r="D1956" s="284" t="s">
        <v>897</v>
      </c>
      <c r="E1956" s="178">
        <v>2020</v>
      </c>
      <c r="F1956" s="178" t="s">
        <v>4520</v>
      </c>
      <c r="G1956" s="496"/>
      <c r="H1956" s="994" t="s">
        <v>20221</v>
      </c>
      <c r="I1956" s="12" t="s">
        <v>2963</v>
      </c>
      <c r="J1956" s="1285"/>
      <c r="K1956" s="1285"/>
      <c r="L1956" s="1285"/>
    </row>
    <row r="1957" spans="1:12" ht="11.15" customHeight="1">
      <c r="A1957" s="162" t="s">
        <v>2964</v>
      </c>
      <c r="B1957" s="59" t="s">
        <v>20528</v>
      </c>
      <c r="C1957" s="147" t="s">
        <v>23393</v>
      </c>
      <c r="D1957" s="284" t="s">
        <v>897</v>
      </c>
      <c r="E1957" s="178">
        <v>2019</v>
      </c>
      <c r="F1957" s="178" t="s">
        <v>4520</v>
      </c>
      <c r="G1957" s="496"/>
      <c r="H1957" s="994" t="s">
        <v>20221</v>
      </c>
      <c r="I1957" s="11" t="s">
        <v>2965</v>
      </c>
      <c r="J1957" s="1285"/>
      <c r="K1957" s="1285"/>
      <c r="L1957" s="1285"/>
    </row>
    <row r="1958" spans="1:12" ht="11.15" customHeight="1">
      <c r="A1958" s="355" t="s">
        <v>2966</v>
      </c>
      <c r="B1958" s="59" t="s">
        <v>20528</v>
      </c>
      <c r="C1958" s="147" t="s">
        <v>23393</v>
      </c>
      <c r="D1958" s="284" t="s">
        <v>897</v>
      </c>
      <c r="E1958" s="178">
        <v>2018</v>
      </c>
      <c r="F1958" s="178" t="s">
        <v>23394</v>
      </c>
      <c r="G1958" s="496"/>
      <c r="H1958" s="994" t="s">
        <v>20224</v>
      </c>
      <c r="I1958" s="11" t="s">
        <v>2967</v>
      </c>
      <c r="J1958" s="1285"/>
      <c r="K1958" s="1285"/>
      <c r="L1958" s="1285"/>
    </row>
    <row r="1959" spans="1:12" ht="11.15" customHeight="1">
      <c r="A1959" s="162" t="s">
        <v>2968</v>
      </c>
      <c r="B1959" s="59" t="s">
        <v>20528</v>
      </c>
      <c r="C1959" s="147" t="s">
        <v>20221</v>
      </c>
      <c r="D1959" s="284" t="s">
        <v>897</v>
      </c>
      <c r="E1959" s="178">
        <v>2014</v>
      </c>
      <c r="F1959" s="178" t="s">
        <v>4520</v>
      </c>
      <c r="G1959" s="496"/>
      <c r="H1959" s="994" t="s">
        <v>20221</v>
      </c>
      <c r="I1959" s="11" t="s">
        <v>2969</v>
      </c>
      <c r="J1959" s="1285"/>
      <c r="K1959" s="1285"/>
      <c r="L1959" s="1285"/>
    </row>
    <row r="1960" spans="1:12" ht="11.15" customHeight="1">
      <c r="A1960" s="162" t="s">
        <v>2970</v>
      </c>
      <c r="B1960" s="59" t="s">
        <v>20528</v>
      </c>
      <c r="C1960" s="147" t="s">
        <v>20221</v>
      </c>
      <c r="D1960" s="284" t="s">
        <v>897</v>
      </c>
      <c r="E1960" s="178">
        <v>2010</v>
      </c>
      <c r="F1960" s="178" t="s">
        <v>4520</v>
      </c>
      <c r="G1960" s="496"/>
      <c r="H1960" s="994" t="s">
        <v>20221</v>
      </c>
      <c r="I1960" s="12" t="s">
        <v>2971</v>
      </c>
      <c r="J1960" s="1285"/>
      <c r="K1960" s="1285"/>
      <c r="L1960" s="1285"/>
    </row>
    <row r="1961" spans="1:12" ht="11.15" customHeight="1">
      <c r="A1961" s="162" t="s">
        <v>2972</v>
      </c>
      <c r="B1961" s="59" t="s">
        <v>20528</v>
      </c>
      <c r="C1961" s="147" t="s">
        <v>20221</v>
      </c>
      <c r="D1961" s="284" t="s">
        <v>897</v>
      </c>
      <c r="E1961" s="178">
        <v>2007</v>
      </c>
      <c r="F1961" s="178" t="s">
        <v>23395</v>
      </c>
      <c r="G1961" s="496"/>
      <c r="H1961" s="994" t="s">
        <v>20277</v>
      </c>
      <c r="I1961" s="12" t="s">
        <v>2973</v>
      </c>
      <c r="J1961" s="1285"/>
      <c r="K1961" s="1285"/>
      <c r="L1961" s="1285"/>
    </row>
    <row r="1962" spans="1:12" ht="11.15" customHeight="1">
      <c r="A1962" s="129" t="s">
        <v>1077</v>
      </c>
      <c r="B1962" s="154" t="s">
        <v>2974</v>
      </c>
      <c r="C1962" s="147"/>
      <c r="D1962" s="161"/>
      <c r="E1962" s="36"/>
      <c r="F1962" s="178"/>
      <c r="G1962" s="496"/>
      <c r="H1962" s="36"/>
      <c r="I1962" s="11"/>
    </row>
    <row r="1963" spans="1:12" ht="11.15" customHeight="1">
      <c r="A1963" s="162" t="s">
        <v>2975</v>
      </c>
      <c r="B1963" s="59" t="s">
        <v>20529</v>
      </c>
      <c r="C1963" s="147" t="s">
        <v>23393</v>
      </c>
      <c r="D1963" s="284" t="s">
        <v>897</v>
      </c>
      <c r="E1963" s="178">
        <v>2019</v>
      </c>
      <c r="F1963" s="178" t="s">
        <v>5257</v>
      </c>
      <c r="G1963" s="496"/>
      <c r="H1963" s="994" t="s">
        <v>20224</v>
      </c>
      <c r="I1963" s="12" t="s">
        <v>2976</v>
      </c>
      <c r="J1963" s="1285"/>
      <c r="K1963" s="1285"/>
      <c r="L1963" s="1285"/>
    </row>
    <row r="1964" spans="1:12" ht="11.15" customHeight="1">
      <c r="A1964" s="162" t="s">
        <v>2977</v>
      </c>
      <c r="B1964" s="59" t="s">
        <v>20530</v>
      </c>
      <c r="C1964" s="147" t="s">
        <v>23393</v>
      </c>
      <c r="D1964" s="284" t="s">
        <v>897</v>
      </c>
      <c r="E1964" s="178">
        <v>2019</v>
      </c>
      <c r="F1964" s="178" t="s">
        <v>11938</v>
      </c>
      <c r="G1964" s="496"/>
      <c r="H1964" s="994" t="s">
        <v>20224</v>
      </c>
      <c r="I1964" s="11" t="s">
        <v>2978</v>
      </c>
      <c r="J1964" s="1285"/>
      <c r="K1964" s="1285"/>
      <c r="L1964" s="1285"/>
    </row>
    <row r="1965" spans="1:12" ht="11.15" customHeight="1">
      <c r="A1965" s="162" t="s">
        <v>2979</v>
      </c>
      <c r="B1965" s="59" t="s">
        <v>20529</v>
      </c>
      <c r="C1965" s="147" t="s">
        <v>20221</v>
      </c>
      <c r="D1965" s="284" t="s">
        <v>897</v>
      </c>
      <c r="E1965" s="178">
        <v>2015</v>
      </c>
      <c r="F1965" s="178" t="s">
        <v>5257</v>
      </c>
      <c r="G1965" s="496"/>
      <c r="H1965" s="994" t="s">
        <v>20224</v>
      </c>
      <c r="I1965" s="11" t="s">
        <v>2980</v>
      </c>
      <c r="J1965" s="1285"/>
      <c r="K1965" s="1285"/>
      <c r="L1965" s="1285"/>
    </row>
    <row r="1966" spans="1:12" ht="11.15" customHeight="1">
      <c r="A1966" s="162" t="s">
        <v>2981</v>
      </c>
      <c r="B1966" s="59" t="s">
        <v>20529</v>
      </c>
      <c r="C1966" s="147" t="s">
        <v>20221</v>
      </c>
      <c r="D1966" s="284" t="s">
        <v>897</v>
      </c>
      <c r="E1966" s="178">
        <v>2009</v>
      </c>
      <c r="F1966" s="178" t="s">
        <v>5257</v>
      </c>
      <c r="G1966" s="496"/>
      <c r="H1966" s="994" t="s">
        <v>20224</v>
      </c>
      <c r="I1966" s="11" t="s">
        <v>2982</v>
      </c>
      <c r="J1966" s="1285"/>
      <c r="K1966" s="1285"/>
      <c r="L1966" s="1285"/>
    </row>
    <row r="1967" spans="1:12" ht="11.15" customHeight="1">
      <c r="A1967" s="162" t="s">
        <v>2983</v>
      </c>
      <c r="B1967" s="90"/>
      <c r="C1967" s="147"/>
      <c r="D1967" s="161"/>
      <c r="E1967" s="36"/>
      <c r="F1967" s="183"/>
      <c r="G1967" s="496"/>
      <c r="H1967" s="34"/>
      <c r="I1967" s="11"/>
    </row>
    <row r="1968" spans="1:12" ht="11.15" customHeight="1">
      <c r="A1968" s="162" t="s">
        <v>2984</v>
      </c>
      <c r="B1968" s="90"/>
      <c r="C1968" s="147"/>
      <c r="D1968" s="161"/>
      <c r="E1968" s="36"/>
      <c r="F1968" s="183"/>
      <c r="G1968" s="496"/>
      <c r="H1968" s="34"/>
      <c r="I1968" s="11"/>
    </row>
    <row r="1969" spans="1:9" ht="11.15" customHeight="1">
      <c r="A1969" s="162" t="s">
        <v>2985</v>
      </c>
      <c r="B1969" s="90"/>
      <c r="C1969" s="147"/>
      <c r="D1969" s="161"/>
      <c r="E1969" s="36"/>
      <c r="F1969" s="183"/>
      <c r="G1969" s="496"/>
      <c r="H1969" s="34"/>
      <c r="I1969" s="11"/>
    </row>
    <row r="1970" spans="1:9" ht="11.15" customHeight="1">
      <c r="A1970" s="162" t="s">
        <v>2986</v>
      </c>
      <c r="B1970" s="90"/>
      <c r="C1970" s="147"/>
      <c r="D1970" s="161"/>
      <c r="E1970" s="36"/>
      <c r="F1970" s="183"/>
      <c r="G1970" s="496"/>
      <c r="H1970" s="34"/>
      <c r="I1970" s="11"/>
    </row>
    <row r="1971" spans="1:9" ht="11.15" customHeight="1">
      <c r="A1971" s="162" t="s">
        <v>2987</v>
      </c>
      <c r="B1971" s="90"/>
      <c r="C1971" s="147"/>
      <c r="D1971" s="161"/>
      <c r="E1971" s="36"/>
      <c r="F1971" s="183"/>
      <c r="G1971" s="496"/>
      <c r="H1971" s="34"/>
      <c r="I1971" s="11"/>
    </row>
    <row r="1972" spans="1:9" ht="11.15" customHeight="1">
      <c r="A1972" s="162" t="s">
        <v>2988</v>
      </c>
      <c r="B1972" s="90"/>
      <c r="C1972" s="147"/>
      <c r="D1972" s="161"/>
      <c r="E1972" s="36"/>
      <c r="F1972" s="183"/>
      <c r="G1972" s="496"/>
      <c r="H1972" s="34"/>
      <c r="I1972" s="11"/>
    </row>
    <row r="1973" spans="1:9" ht="11.15" customHeight="1">
      <c r="A1973" s="162" t="s">
        <v>2989</v>
      </c>
      <c r="B1973" s="185"/>
      <c r="C1973" s="147"/>
      <c r="D1973" s="185"/>
      <c r="E1973" s="185"/>
      <c r="F1973" s="185"/>
      <c r="G1973" s="185"/>
      <c r="H1973" s="185"/>
      <c r="I1973" s="11"/>
    </row>
    <row r="1974" spans="1:9" ht="11.15" customHeight="1">
      <c r="A1974" s="162" t="s">
        <v>2990</v>
      </c>
      <c r="B1974" s="185"/>
      <c r="C1974" s="147"/>
      <c r="D1974" s="185"/>
      <c r="E1974" s="185"/>
      <c r="F1974" s="185"/>
      <c r="G1974" s="185"/>
      <c r="H1974" s="185"/>
      <c r="I1974" s="11"/>
    </row>
    <row r="1975" spans="1:9" ht="11.15" customHeight="1">
      <c r="A1975" s="162" t="s">
        <v>2991</v>
      </c>
      <c r="B1975" s="185"/>
      <c r="C1975" s="147"/>
      <c r="D1975" s="185"/>
      <c r="E1975" s="185"/>
      <c r="F1975" s="185"/>
      <c r="G1975" s="185"/>
      <c r="H1975" s="185"/>
      <c r="I1975" s="11"/>
    </row>
    <row r="1976" spans="1:9" ht="11.15" customHeight="1">
      <c r="A1976" s="162" t="s">
        <v>2992</v>
      </c>
      <c r="B1976" s="185"/>
      <c r="C1976" s="147"/>
      <c r="D1976" s="185"/>
      <c r="E1976" s="185"/>
      <c r="F1976" s="185"/>
      <c r="G1976" s="185"/>
      <c r="H1976" s="185"/>
      <c r="I1976" s="11"/>
    </row>
    <row r="1977" spans="1:9" ht="11.15" customHeight="1">
      <c r="A1977" s="162" t="s">
        <v>2993</v>
      </c>
      <c r="B1977" s="185"/>
      <c r="C1977" s="147"/>
      <c r="D1977" s="185"/>
      <c r="E1977" s="185"/>
      <c r="F1977" s="185"/>
      <c r="G1977" s="185"/>
      <c r="H1977" s="185"/>
      <c r="I1977" s="11"/>
    </row>
    <row r="1978" spans="1:9" ht="11.15" customHeight="1">
      <c r="A1978" s="162" t="s">
        <v>2994</v>
      </c>
      <c r="B1978" s="185"/>
      <c r="C1978" s="147"/>
      <c r="D1978" s="185"/>
      <c r="E1978" s="185"/>
      <c r="F1978" s="185"/>
      <c r="G1978" s="185"/>
      <c r="H1978" s="185"/>
      <c r="I1978" s="11"/>
    </row>
    <row r="1979" spans="1:9" ht="11.15" customHeight="1">
      <c r="A1979" s="162" t="s">
        <v>2995</v>
      </c>
      <c r="B1979" s="185"/>
      <c r="C1979" s="147"/>
      <c r="D1979" s="185"/>
      <c r="E1979" s="185"/>
      <c r="F1979" s="185"/>
      <c r="G1979" s="185"/>
      <c r="H1979" s="185"/>
      <c r="I1979" s="11"/>
    </row>
    <row r="1980" spans="1:9" ht="11.15" customHeight="1">
      <c r="A1980" s="162" t="s">
        <v>2996</v>
      </c>
      <c r="B1980" s="185"/>
      <c r="C1980" s="147"/>
      <c r="D1980" s="185"/>
      <c r="E1980" s="185"/>
      <c r="F1980" s="185"/>
      <c r="G1980" s="185"/>
      <c r="H1980" s="185"/>
      <c r="I1980" s="11"/>
    </row>
    <row r="1981" spans="1:9" ht="11.15" customHeight="1">
      <c r="A1981" s="29" t="s">
        <v>2997</v>
      </c>
      <c r="B1981" s="185"/>
      <c r="C1981" s="147"/>
      <c r="D1981" s="185"/>
      <c r="E1981" s="185"/>
      <c r="F1981" s="185"/>
      <c r="G1981" s="185"/>
      <c r="H1981" s="185"/>
      <c r="I1981" s="11"/>
    </row>
    <row r="1982" spans="1:9" ht="11.15" customHeight="1">
      <c r="A1982" s="166" t="s">
        <v>2998</v>
      </c>
      <c r="B1982" s="185"/>
      <c r="C1982" s="147"/>
      <c r="D1982" s="185"/>
      <c r="E1982" s="185"/>
      <c r="F1982" s="185"/>
      <c r="G1982" s="185"/>
      <c r="H1982" s="185"/>
      <c r="I1982" s="11"/>
    </row>
    <row r="1983" spans="1:9" ht="11.15" customHeight="1">
      <c r="A1983" s="169" t="s">
        <v>2999</v>
      </c>
      <c r="B1983" s="185"/>
      <c r="C1983" s="147"/>
      <c r="D1983" s="185"/>
      <c r="E1983" s="185"/>
      <c r="F1983" s="185"/>
      <c r="G1983" s="185"/>
      <c r="H1983" s="185"/>
      <c r="I1983" s="11"/>
    </row>
    <row r="1984" spans="1:9" ht="11.15" customHeight="1">
      <c r="A1984" s="129" t="s">
        <v>3000</v>
      </c>
      <c r="B1984" s="185"/>
      <c r="C1984" s="147"/>
      <c r="D1984" s="185"/>
      <c r="E1984" s="185"/>
      <c r="F1984" s="185"/>
      <c r="G1984" s="185"/>
      <c r="H1984" s="185"/>
      <c r="I1984" s="11"/>
    </row>
    <row r="1985" spans="1:12" ht="11.15" customHeight="1">
      <c r="A1985" s="129" t="s">
        <v>3001</v>
      </c>
      <c r="B1985" s="185"/>
      <c r="C1985" s="147"/>
      <c r="D1985" s="185"/>
      <c r="E1985" s="185"/>
      <c r="F1985" s="185"/>
      <c r="G1985" s="185"/>
      <c r="H1985" s="185"/>
      <c r="I1985" s="11"/>
    </row>
    <row r="1986" spans="1:12" ht="11.15" customHeight="1">
      <c r="A1986" s="129" t="s">
        <v>3002</v>
      </c>
      <c r="B1986" s="90"/>
      <c r="C1986" s="147"/>
      <c r="D1986" s="161"/>
      <c r="E1986" s="36"/>
      <c r="F1986" s="183"/>
      <c r="G1986" s="497"/>
      <c r="H1986" s="34"/>
      <c r="I1986" s="11"/>
    </row>
    <row r="1987" spans="1:12" ht="11.15" customHeight="1">
      <c r="A1987" s="129" t="s">
        <v>3003</v>
      </c>
      <c r="B1987" s="185"/>
      <c r="C1987" s="147"/>
      <c r="D1987" s="185"/>
      <c r="E1987" s="185"/>
      <c r="F1987" s="185"/>
      <c r="G1987" s="185"/>
      <c r="H1987" s="185"/>
      <c r="I1987" s="11"/>
    </row>
    <row r="1988" spans="1:12" ht="11.15" customHeight="1" thickBot="1">
      <c r="A1988" s="29"/>
      <c r="B1988" s="185"/>
      <c r="C1988" s="147"/>
      <c r="D1988" s="185"/>
      <c r="E1988" s="185"/>
      <c r="F1988" s="185"/>
      <c r="G1988" s="185"/>
      <c r="H1988" s="185"/>
      <c r="I1988" s="11"/>
    </row>
    <row r="1989" spans="1:12" ht="11.15" customHeight="1" thickBot="1">
      <c r="A1989" s="349" t="s">
        <v>3004</v>
      </c>
      <c r="B1989" s="59" t="s">
        <v>20532</v>
      </c>
      <c r="C1989" s="147" t="s">
        <v>23393</v>
      </c>
      <c r="D1989" s="284" t="s">
        <v>897</v>
      </c>
      <c r="E1989" s="178">
        <v>2019</v>
      </c>
      <c r="F1989" s="178" t="s">
        <v>7168</v>
      </c>
      <c r="G1989" s="496"/>
      <c r="H1989" s="994" t="s">
        <v>20221</v>
      </c>
      <c r="I1989" s="11" t="s">
        <v>3005</v>
      </c>
      <c r="J1989" s="1285"/>
      <c r="K1989" s="1285"/>
      <c r="L1989" s="1285"/>
    </row>
    <row r="1990" spans="1:12" ht="11.15" customHeight="1">
      <c r="A1990" s="29" t="s">
        <v>3006</v>
      </c>
      <c r="B1990" s="59" t="s">
        <v>20533</v>
      </c>
      <c r="C1990" s="147" t="s">
        <v>23393</v>
      </c>
      <c r="D1990" s="284" t="s">
        <v>897</v>
      </c>
      <c r="E1990" s="178">
        <v>2023</v>
      </c>
      <c r="F1990" s="178" t="s">
        <v>4520</v>
      </c>
      <c r="G1990" s="496"/>
      <c r="H1990" s="994" t="s">
        <v>20343</v>
      </c>
      <c r="I1990" s="11" t="s">
        <v>3007</v>
      </c>
      <c r="J1990" s="1285"/>
      <c r="K1990" s="1285"/>
      <c r="L1990" s="1285"/>
    </row>
    <row r="1991" spans="1:12" ht="11.15" customHeight="1">
      <c r="A1991" s="104" t="s">
        <v>3008</v>
      </c>
      <c r="B1991" s="59" t="s">
        <v>20533</v>
      </c>
      <c r="C1991" s="147" t="s">
        <v>23393</v>
      </c>
      <c r="D1991" s="284" t="s">
        <v>897</v>
      </c>
      <c r="E1991" s="178">
        <v>2022</v>
      </c>
      <c r="F1991" s="178" t="s">
        <v>4520</v>
      </c>
      <c r="G1991" s="496"/>
      <c r="H1991" s="994" t="s">
        <v>20343</v>
      </c>
      <c r="I1991" s="11" t="s">
        <v>3009</v>
      </c>
      <c r="J1991" s="1285"/>
      <c r="K1991" s="1285"/>
      <c r="L1991" s="1285"/>
    </row>
    <row r="1992" spans="1:12" ht="11.15" customHeight="1">
      <c r="A1992" s="29" t="s">
        <v>3010</v>
      </c>
      <c r="B1992" s="59" t="s">
        <v>20533</v>
      </c>
      <c r="C1992" s="147" t="s">
        <v>23393</v>
      </c>
      <c r="D1992" s="284" t="s">
        <v>897</v>
      </c>
      <c r="E1992" s="178">
        <v>2021</v>
      </c>
      <c r="F1992" s="178" t="s">
        <v>23395</v>
      </c>
      <c r="G1992" s="496"/>
      <c r="H1992" s="994" t="s">
        <v>20221</v>
      </c>
      <c r="I1992" s="11" t="s">
        <v>3011</v>
      </c>
      <c r="J1992" s="1285"/>
      <c r="K1992" s="1285"/>
      <c r="L1992" s="1285"/>
    </row>
    <row r="1993" spans="1:12" ht="11.15" customHeight="1">
      <c r="A1993" s="29" t="s">
        <v>3012</v>
      </c>
      <c r="B1993" s="59" t="s">
        <v>20533</v>
      </c>
      <c r="C1993" s="147" t="s">
        <v>23393</v>
      </c>
      <c r="D1993" s="284" t="s">
        <v>897</v>
      </c>
      <c r="E1993" s="178">
        <v>2020</v>
      </c>
      <c r="F1993" s="178" t="s">
        <v>4520</v>
      </c>
      <c r="G1993" s="496"/>
      <c r="H1993" s="994" t="s">
        <v>20221</v>
      </c>
      <c r="I1993" s="11" t="s">
        <v>3013</v>
      </c>
      <c r="J1993" s="1285"/>
      <c r="K1993" s="1285"/>
      <c r="L1993" s="1285"/>
    </row>
    <row r="1994" spans="1:12" ht="11.15" customHeight="1">
      <c r="A1994" s="29" t="s">
        <v>3014</v>
      </c>
      <c r="B1994" s="59" t="s">
        <v>20533</v>
      </c>
      <c r="C1994" s="147" t="s">
        <v>23393</v>
      </c>
      <c r="D1994" s="284" t="s">
        <v>897</v>
      </c>
      <c r="E1994" s="178">
        <v>2019</v>
      </c>
      <c r="F1994" s="178" t="s">
        <v>4520</v>
      </c>
      <c r="G1994" s="496"/>
      <c r="H1994" s="994" t="s">
        <v>20221</v>
      </c>
      <c r="I1994" s="11" t="s">
        <v>3015</v>
      </c>
      <c r="J1994" s="1285"/>
      <c r="K1994" s="1285"/>
      <c r="L1994" s="1285"/>
    </row>
    <row r="1995" spans="1:12" ht="11.15" customHeight="1">
      <c r="A1995" s="181" t="s">
        <v>1275</v>
      </c>
      <c r="B1995" s="59" t="s">
        <v>20533</v>
      </c>
      <c r="C1995" s="147" t="s">
        <v>20221</v>
      </c>
      <c r="D1995" s="284" t="s">
        <v>897</v>
      </c>
      <c r="E1995" s="178">
        <v>2009</v>
      </c>
      <c r="F1995" s="178" t="s">
        <v>23395</v>
      </c>
      <c r="G1995" s="496"/>
      <c r="H1995" s="994" t="s">
        <v>20221</v>
      </c>
      <c r="I1995" s="11" t="s">
        <v>3016</v>
      </c>
      <c r="J1995" s="1285"/>
      <c r="K1995" s="1285"/>
      <c r="L1995" s="1285"/>
    </row>
    <row r="1996" spans="1:12" ht="11.15" customHeight="1">
      <c r="A1996" s="181" t="s">
        <v>3017</v>
      </c>
      <c r="B1996" s="90"/>
      <c r="C1996" s="147"/>
      <c r="D1996" s="161"/>
      <c r="E1996" s="36"/>
      <c r="F1996" s="178"/>
      <c r="G1996" s="497"/>
      <c r="H1996" s="36"/>
      <c r="I1996" s="11"/>
    </row>
    <row r="1997" spans="1:12" ht="11.15" customHeight="1">
      <c r="A1997" s="29" t="s">
        <v>3018</v>
      </c>
      <c r="B1997" s="90"/>
      <c r="C1997" s="147"/>
      <c r="D1997" s="161"/>
      <c r="E1997" s="36"/>
      <c r="F1997" s="178"/>
      <c r="G1997" s="497"/>
      <c r="H1997" s="36"/>
      <c r="I1997" s="11"/>
    </row>
    <row r="1998" spans="1:12" ht="11.15" customHeight="1">
      <c r="A1998" s="29" t="s">
        <v>3019</v>
      </c>
      <c r="B1998" s="90"/>
      <c r="C1998" s="147"/>
      <c r="D1998" s="161"/>
      <c r="E1998" s="36"/>
      <c r="F1998" s="178"/>
      <c r="G1998" s="497"/>
      <c r="H1998" s="36"/>
      <c r="I1998" s="11"/>
    </row>
    <row r="1999" spans="1:12" ht="11.15" customHeight="1">
      <c r="A1999" s="29" t="s">
        <v>3020</v>
      </c>
      <c r="B1999" s="90"/>
      <c r="C1999" s="147"/>
      <c r="D1999" s="161"/>
      <c r="E1999" s="36"/>
      <c r="F1999" s="178"/>
      <c r="G1999" s="496"/>
      <c r="H1999" s="36"/>
      <c r="I1999" s="11"/>
    </row>
    <row r="2000" spans="1:12" ht="11.15" customHeight="1">
      <c r="A2000" s="29" t="s">
        <v>1778</v>
      </c>
      <c r="B2000" s="90"/>
      <c r="C2000" s="147"/>
      <c r="D2000" s="161"/>
      <c r="E2000" s="36"/>
      <c r="F2000" s="178"/>
      <c r="G2000" s="497"/>
      <c r="H2000" s="36"/>
      <c r="I2000" s="11"/>
    </row>
    <row r="2001" spans="1:12" ht="11.15" customHeight="1">
      <c r="A2001" s="166" t="s">
        <v>3021</v>
      </c>
      <c r="B2001" s="90"/>
      <c r="C2001" s="147"/>
      <c r="D2001" s="161"/>
      <c r="E2001" s="36"/>
      <c r="F2001" s="178"/>
      <c r="G2001" s="497"/>
      <c r="H2001" s="36"/>
      <c r="I2001" s="11"/>
    </row>
    <row r="2002" spans="1:12" ht="11.15" customHeight="1">
      <c r="A2002" s="166" t="s">
        <v>2028</v>
      </c>
      <c r="B2002" s="185"/>
      <c r="C2002" s="147"/>
      <c r="D2002" s="161"/>
      <c r="E2002" s="36"/>
      <c r="F2002" s="178"/>
      <c r="G2002" s="496"/>
      <c r="H2002" s="36"/>
      <c r="I2002" s="11"/>
    </row>
    <row r="2003" spans="1:12" ht="11.15" customHeight="1">
      <c r="A2003" s="335" t="s">
        <v>1022</v>
      </c>
      <c r="B2003" s="90"/>
      <c r="C2003" s="147"/>
      <c r="D2003" s="161"/>
      <c r="E2003" s="36"/>
      <c r="F2003" s="183"/>
      <c r="G2003" s="497"/>
      <c r="H2003" s="34"/>
      <c r="I2003" s="11"/>
    </row>
    <row r="2004" spans="1:12" ht="11.15" customHeight="1">
      <c r="A2004" s="129" t="s">
        <v>3022</v>
      </c>
      <c r="B2004" s="90"/>
      <c r="C2004" s="147"/>
      <c r="D2004" s="161"/>
      <c r="E2004" s="36"/>
      <c r="F2004" s="183"/>
      <c r="G2004" s="497"/>
      <c r="H2004" s="34"/>
      <c r="I2004" s="11"/>
    </row>
    <row r="2005" spans="1:12" ht="11.15" customHeight="1">
      <c r="A2005" s="129" t="s">
        <v>3001</v>
      </c>
      <c r="B2005" s="90"/>
      <c r="C2005" s="147"/>
      <c r="D2005" s="161"/>
      <c r="E2005" s="36"/>
      <c r="F2005" s="183"/>
      <c r="G2005" s="497"/>
      <c r="H2005" s="34"/>
      <c r="I2005" s="11"/>
    </row>
    <row r="2006" spans="1:12" ht="11.15" customHeight="1">
      <c r="A2006" s="129" t="s">
        <v>3002</v>
      </c>
      <c r="B2006" s="90"/>
      <c r="C2006" s="147"/>
      <c r="D2006" s="161"/>
      <c r="E2006" s="36"/>
      <c r="F2006" s="183"/>
      <c r="G2006" s="497"/>
      <c r="H2006" s="34"/>
      <c r="I2006" s="11"/>
    </row>
    <row r="2007" spans="1:12" ht="11.15" customHeight="1">
      <c r="A2007" s="129" t="s">
        <v>3023</v>
      </c>
      <c r="B2007" s="90"/>
      <c r="C2007" s="147"/>
      <c r="D2007" s="122"/>
      <c r="E2007" s="36"/>
      <c r="F2007" s="178"/>
      <c r="G2007" s="60"/>
      <c r="H2007" s="36"/>
      <c r="I2007" s="11"/>
    </row>
    <row r="2008" spans="1:12" ht="11.15" customHeight="1" thickBot="1">
      <c r="A2008" s="29"/>
      <c r="B2008" s="241"/>
      <c r="C2008" s="147"/>
      <c r="D2008" s="161"/>
      <c r="E2008" s="36"/>
      <c r="F2008" s="183"/>
      <c r="G2008" s="60"/>
      <c r="H2008" s="34"/>
      <c r="I2008" s="11"/>
    </row>
    <row r="2009" spans="1:12" ht="11.15" customHeight="1" thickBot="1">
      <c r="A2009" s="184" t="s">
        <v>3024</v>
      </c>
      <c r="B2009" s="59" t="s">
        <v>20534</v>
      </c>
      <c r="C2009" s="147" t="s">
        <v>20221</v>
      </c>
      <c r="D2009" s="284" t="s">
        <v>897</v>
      </c>
      <c r="E2009" s="178">
        <v>2022</v>
      </c>
      <c r="F2009" s="178" t="s">
        <v>4520</v>
      </c>
      <c r="G2009" s="496"/>
      <c r="H2009" s="994" t="s">
        <v>20343</v>
      </c>
      <c r="I2009" s="12" t="s">
        <v>3025</v>
      </c>
      <c r="J2009" s="1285"/>
      <c r="K2009" s="1285"/>
      <c r="L2009" s="1285"/>
    </row>
    <row r="2010" spans="1:12" ht="11.15" customHeight="1">
      <c r="A2010" s="29" t="s">
        <v>3026</v>
      </c>
      <c r="B2010" s="59" t="s">
        <v>20534</v>
      </c>
      <c r="C2010" s="147" t="s">
        <v>20221</v>
      </c>
      <c r="D2010" s="284" t="s">
        <v>897</v>
      </c>
      <c r="E2010" s="178">
        <v>2019</v>
      </c>
      <c r="F2010" s="178" t="s">
        <v>4520</v>
      </c>
      <c r="G2010" s="496"/>
      <c r="H2010" s="994" t="s">
        <v>20221</v>
      </c>
      <c r="I2010" s="12" t="s">
        <v>3027</v>
      </c>
      <c r="J2010" s="1285"/>
      <c r="K2010" s="1285"/>
      <c r="L2010" s="1285"/>
    </row>
    <row r="2011" spans="1:12" ht="11.15" customHeight="1">
      <c r="A2011" s="29" t="s">
        <v>3028</v>
      </c>
      <c r="B2011" s="59"/>
      <c r="C2011" s="147"/>
      <c r="D2011" s="161"/>
      <c r="E2011" s="36"/>
      <c r="F2011" s="178"/>
      <c r="G2011" s="497"/>
      <c r="H2011" s="36"/>
      <c r="I2011" s="11"/>
    </row>
    <row r="2012" spans="1:12" ht="11.15" customHeight="1">
      <c r="A2012" s="29" t="s">
        <v>3029</v>
      </c>
      <c r="B2012" s="59"/>
      <c r="C2012" s="147"/>
      <c r="D2012" s="161"/>
      <c r="E2012" s="36"/>
      <c r="F2012" s="178"/>
      <c r="G2012" s="497"/>
      <c r="H2012" s="36"/>
      <c r="I2012" s="11"/>
    </row>
    <row r="2013" spans="1:12" ht="11.15" customHeight="1">
      <c r="A2013" s="29" t="s">
        <v>3030</v>
      </c>
      <c r="B2013" s="59"/>
      <c r="C2013" s="147"/>
      <c r="D2013" s="161"/>
      <c r="E2013" s="36"/>
      <c r="F2013" s="178"/>
      <c r="G2013" s="497"/>
      <c r="H2013" s="36"/>
      <c r="I2013" s="11"/>
    </row>
    <row r="2014" spans="1:12" ht="11.15" customHeight="1">
      <c r="A2014" s="29" t="s">
        <v>3031</v>
      </c>
      <c r="B2014" s="59"/>
      <c r="C2014" s="147"/>
      <c r="D2014" s="161"/>
      <c r="E2014" s="36"/>
      <c r="F2014" s="178"/>
      <c r="G2014" s="497"/>
      <c r="H2014" s="36"/>
      <c r="I2014" s="11"/>
    </row>
    <row r="2015" spans="1:12" ht="11.15" customHeight="1">
      <c r="A2015" s="29" t="s">
        <v>3032</v>
      </c>
      <c r="B2015" s="59"/>
      <c r="C2015" s="147"/>
      <c r="D2015" s="161"/>
      <c r="E2015" s="36"/>
      <c r="F2015" s="178"/>
      <c r="G2015" s="497"/>
      <c r="H2015" s="36"/>
      <c r="I2015" s="11"/>
    </row>
    <row r="2016" spans="1:12" ht="11.15" customHeight="1">
      <c r="A2016" s="29" t="s">
        <v>3033</v>
      </c>
      <c r="B2016" s="59"/>
      <c r="C2016" s="147"/>
      <c r="D2016" s="161"/>
      <c r="E2016" s="36"/>
      <c r="F2016" s="178"/>
      <c r="G2016" s="497"/>
      <c r="H2016" s="36"/>
      <c r="I2016" s="11"/>
    </row>
    <row r="2017" spans="1:12" ht="11.15" customHeight="1">
      <c r="A2017" s="181" t="s">
        <v>3034</v>
      </c>
      <c r="B2017" s="59"/>
      <c r="C2017" s="147"/>
      <c r="D2017" s="161"/>
      <c r="E2017" s="36"/>
      <c r="F2017" s="178"/>
      <c r="G2017" s="497"/>
      <c r="H2017" s="36"/>
      <c r="I2017" s="11"/>
    </row>
    <row r="2018" spans="1:12" ht="11.15" customHeight="1">
      <c r="A2018" s="29" t="s">
        <v>3035</v>
      </c>
      <c r="B2018" s="59"/>
      <c r="C2018" s="147"/>
      <c r="D2018" s="161"/>
      <c r="E2018" s="36"/>
      <c r="F2018" s="178"/>
      <c r="G2018" s="497"/>
      <c r="H2018" s="36"/>
      <c r="I2018" s="11"/>
    </row>
    <row r="2019" spans="1:12" ht="11.15" customHeight="1">
      <c r="A2019" s="166" t="s">
        <v>3036</v>
      </c>
      <c r="B2019" s="90"/>
      <c r="C2019" s="147"/>
      <c r="D2019" s="161"/>
      <c r="E2019" s="36"/>
      <c r="F2019" s="178"/>
      <c r="G2019" s="496"/>
      <c r="H2019" s="36"/>
      <c r="I2019" s="11"/>
    </row>
    <row r="2020" spans="1:12" ht="11.15" customHeight="1">
      <c r="A2020" s="129" t="s">
        <v>3037</v>
      </c>
      <c r="B2020" s="90"/>
      <c r="C2020" s="147"/>
      <c r="D2020" s="122"/>
      <c r="E2020" s="36"/>
      <c r="F2020" s="178"/>
      <c r="G2020" s="60"/>
      <c r="H2020" s="36"/>
      <c r="I2020" s="11"/>
    </row>
    <row r="2021" spans="1:12" ht="11.15" customHeight="1" thickBot="1">
      <c r="A2021" s="29"/>
      <c r="B2021" s="90"/>
      <c r="C2021" s="147"/>
      <c r="D2021" s="161"/>
      <c r="E2021" s="36"/>
      <c r="F2021" s="183"/>
      <c r="G2021" s="496"/>
      <c r="H2021" s="34"/>
      <c r="I2021" s="11"/>
    </row>
    <row r="2022" spans="1:12" ht="11.15" customHeight="1" thickBot="1">
      <c r="A2022" s="184" t="s">
        <v>1987</v>
      </c>
      <c r="B2022" s="59" t="s">
        <v>20536</v>
      </c>
      <c r="C2022" s="147" t="s">
        <v>20221</v>
      </c>
      <c r="D2022" s="284" t="s">
        <v>897</v>
      </c>
      <c r="E2022" s="178">
        <v>2014</v>
      </c>
      <c r="F2022" s="178" t="s">
        <v>4520</v>
      </c>
      <c r="G2022" s="496"/>
      <c r="H2022" s="994" t="s">
        <v>20221</v>
      </c>
      <c r="I2022" s="12" t="s">
        <v>3038</v>
      </c>
      <c r="J2022" s="1285"/>
      <c r="K2022" s="1285"/>
      <c r="L2022" s="1285"/>
    </row>
    <row r="2023" spans="1:12" ht="11.15" customHeight="1">
      <c r="A2023" s="29" t="s">
        <v>3039</v>
      </c>
      <c r="B2023" s="59"/>
      <c r="C2023" s="147"/>
      <c r="D2023" s="161"/>
      <c r="E2023" s="36"/>
      <c r="F2023" s="178"/>
      <c r="G2023" s="497"/>
      <c r="H2023" s="36"/>
      <c r="I2023" s="11"/>
    </row>
    <row r="2024" spans="1:12" ht="11.15" customHeight="1">
      <c r="A2024" s="29" t="s">
        <v>3040</v>
      </c>
      <c r="B2024" s="59"/>
      <c r="C2024" s="147"/>
      <c r="D2024" s="161"/>
      <c r="E2024" s="36"/>
      <c r="F2024" s="178"/>
      <c r="G2024" s="497"/>
      <c r="H2024" s="36"/>
      <c r="I2024" s="11"/>
    </row>
    <row r="2025" spans="1:12" ht="11.15" customHeight="1">
      <c r="A2025" s="29" t="s">
        <v>3041</v>
      </c>
      <c r="B2025" s="59"/>
      <c r="C2025" s="147"/>
      <c r="D2025" s="161"/>
      <c r="E2025" s="36"/>
      <c r="F2025" s="178"/>
      <c r="G2025" s="497"/>
      <c r="H2025" s="36"/>
      <c r="I2025" s="11"/>
    </row>
    <row r="2026" spans="1:12" ht="11.15" customHeight="1">
      <c r="A2026" s="29" t="s">
        <v>3042</v>
      </c>
      <c r="B2026" s="90"/>
      <c r="C2026" s="147"/>
      <c r="D2026" s="161"/>
      <c r="E2026" s="36"/>
      <c r="F2026" s="178"/>
      <c r="G2026" s="496"/>
      <c r="H2026" s="36"/>
      <c r="I2026" s="11"/>
    </row>
    <row r="2027" spans="1:12" ht="11.15" customHeight="1">
      <c r="A2027" s="29" t="s">
        <v>3043</v>
      </c>
      <c r="B2027" s="90"/>
      <c r="C2027" s="147"/>
      <c r="D2027" s="161"/>
      <c r="E2027" s="36"/>
      <c r="F2027" s="178"/>
      <c r="G2027" s="496"/>
      <c r="H2027" s="36"/>
      <c r="I2027" s="11"/>
    </row>
    <row r="2028" spans="1:12" ht="11.15" customHeight="1">
      <c r="A2028" s="29" t="s">
        <v>3044</v>
      </c>
      <c r="B2028" s="90"/>
      <c r="C2028" s="147"/>
      <c r="D2028" s="161"/>
      <c r="E2028" s="36"/>
      <c r="F2028" s="178"/>
      <c r="G2028" s="496"/>
      <c r="H2028" s="36"/>
      <c r="I2028" s="11"/>
    </row>
    <row r="2029" spans="1:12" ht="11.15" customHeight="1">
      <c r="A2029" s="29" t="s">
        <v>3045</v>
      </c>
      <c r="B2029" s="90"/>
      <c r="C2029" s="147"/>
      <c r="D2029" s="161"/>
      <c r="E2029" s="36"/>
      <c r="F2029" s="178"/>
      <c r="G2029" s="496"/>
      <c r="H2029" s="36"/>
      <c r="I2029" s="11"/>
    </row>
    <row r="2030" spans="1:12" ht="11.15" customHeight="1">
      <c r="A2030" s="169" t="s">
        <v>3046</v>
      </c>
      <c r="B2030" s="90"/>
      <c r="C2030" s="147"/>
      <c r="D2030" s="161"/>
      <c r="E2030" s="36"/>
      <c r="F2030" s="178"/>
      <c r="G2030" s="496"/>
      <c r="H2030" s="36"/>
      <c r="I2030" s="11"/>
    </row>
    <row r="2031" spans="1:12" ht="11.15" customHeight="1">
      <c r="A2031" s="129" t="s">
        <v>3047</v>
      </c>
      <c r="B2031" s="90"/>
      <c r="C2031" s="147"/>
      <c r="D2031" s="122"/>
      <c r="E2031" s="36"/>
      <c r="F2031" s="178"/>
      <c r="G2031" s="60"/>
      <c r="H2031" s="36"/>
      <c r="I2031" s="11"/>
    </row>
    <row r="2032" spans="1:12" ht="11.15" customHeight="1">
      <c r="A2032" s="129" t="s">
        <v>1998</v>
      </c>
      <c r="B2032" s="90"/>
      <c r="C2032" s="147"/>
      <c r="D2032" s="122"/>
      <c r="E2032" s="36"/>
      <c r="F2032" s="178"/>
      <c r="G2032" s="60"/>
      <c r="H2032" s="36"/>
      <c r="I2032" s="11"/>
    </row>
    <row r="2033" spans="1:12" ht="11.15" customHeight="1" thickBot="1">
      <c r="A2033" s="29"/>
      <c r="B2033" s="150" t="s">
        <v>3048</v>
      </c>
      <c r="C2033" s="147"/>
      <c r="D2033" s="161"/>
      <c r="E2033" s="36"/>
      <c r="F2033" s="178"/>
      <c r="G2033" s="496"/>
      <c r="H2033" s="36"/>
      <c r="I2033" s="11"/>
    </row>
    <row r="2034" spans="1:12" ht="11.15" customHeight="1">
      <c r="A2034" s="153" t="s">
        <v>3049</v>
      </c>
      <c r="B2034" s="59" t="s">
        <v>20537</v>
      </c>
      <c r="C2034" s="147" t="s">
        <v>20221</v>
      </c>
      <c r="D2034" s="284" t="s">
        <v>897</v>
      </c>
      <c r="E2034" s="178">
        <v>2021</v>
      </c>
      <c r="F2034" s="178" t="s">
        <v>4520</v>
      </c>
      <c r="G2034" s="496"/>
      <c r="H2034" s="994" t="s">
        <v>20221</v>
      </c>
      <c r="I2034" s="12" t="s">
        <v>3050</v>
      </c>
      <c r="J2034" s="1285"/>
      <c r="K2034" s="1285"/>
      <c r="L2034" s="1285"/>
    </row>
    <row r="2035" spans="1:12" ht="11.15" customHeight="1" thickBot="1">
      <c r="A2035" s="230" t="s">
        <v>2760</v>
      </c>
      <c r="B2035" s="90"/>
      <c r="C2035" s="147"/>
      <c r="D2035" s="161"/>
      <c r="E2035" s="36"/>
      <c r="F2035" s="178"/>
      <c r="G2035" s="497"/>
      <c r="H2035" s="36"/>
      <c r="I2035" s="11"/>
    </row>
    <row r="2036" spans="1:12" ht="11.15" customHeight="1">
      <c r="A2036" s="29" t="s">
        <v>3051</v>
      </c>
      <c r="B2036" s="59"/>
      <c r="C2036" s="147"/>
      <c r="D2036" s="161"/>
      <c r="E2036" s="36"/>
      <c r="F2036" s="178"/>
      <c r="G2036" s="497"/>
      <c r="H2036" s="36"/>
      <c r="I2036" s="11"/>
    </row>
    <row r="2037" spans="1:12" ht="11.15" customHeight="1">
      <c r="A2037" s="29" t="s">
        <v>3052</v>
      </c>
      <c r="B2037" s="59"/>
      <c r="C2037" s="147"/>
      <c r="D2037" s="161"/>
      <c r="E2037" s="36"/>
      <c r="F2037" s="178"/>
      <c r="G2037" s="497"/>
      <c r="H2037" s="36"/>
      <c r="I2037" s="11"/>
    </row>
    <row r="2038" spans="1:12" ht="11.15" customHeight="1">
      <c r="A2038" s="29" t="s">
        <v>3053</v>
      </c>
      <c r="B2038" s="59"/>
      <c r="C2038" s="147"/>
      <c r="D2038" s="161"/>
      <c r="E2038" s="36"/>
      <c r="F2038" s="178"/>
      <c r="G2038" s="497"/>
      <c r="H2038" s="36"/>
      <c r="I2038" s="11"/>
    </row>
    <row r="2039" spans="1:12" ht="11.15" customHeight="1">
      <c r="A2039" s="29" t="s">
        <v>3054</v>
      </c>
      <c r="B2039" s="59"/>
      <c r="C2039" s="147"/>
      <c r="D2039" s="161"/>
      <c r="E2039" s="36"/>
      <c r="F2039" s="178"/>
      <c r="G2039" s="497"/>
      <c r="H2039" s="36"/>
      <c r="I2039" s="11"/>
    </row>
    <row r="2040" spans="1:12" ht="11.15" customHeight="1">
      <c r="A2040" s="166" t="s">
        <v>3055</v>
      </c>
      <c r="B2040" s="90"/>
      <c r="C2040" s="147"/>
      <c r="D2040" s="161"/>
      <c r="E2040" s="36"/>
      <c r="F2040" s="178"/>
      <c r="G2040" s="496"/>
      <c r="H2040" s="36"/>
      <c r="I2040" s="11"/>
    </row>
    <row r="2041" spans="1:12" ht="11.15" customHeight="1" thickBot="1">
      <c r="A2041" s="169"/>
      <c r="B2041" s="29"/>
      <c r="C2041" s="147"/>
      <c r="D2041" s="29"/>
      <c r="E2041" s="29"/>
      <c r="F2041" s="29"/>
      <c r="G2041" s="29"/>
      <c r="H2041" s="29"/>
      <c r="I2041" s="11"/>
    </row>
    <row r="2042" spans="1:12" ht="11.15" customHeight="1" thickBot="1">
      <c r="A2042" s="184" t="s">
        <v>3056</v>
      </c>
      <c r="B2042" s="177" t="s">
        <v>1491</v>
      </c>
      <c r="C2042" s="147"/>
      <c r="D2042" s="161"/>
      <c r="E2042" s="36"/>
      <c r="F2042" s="178"/>
      <c r="G2042" s="496"/>
      <c r="H2042" s="36"/>
      <c r="I2042" s="11"/>
    </row>
    <row r="2043" spans="1:12" ht="11.15" customHeight="1">
      <c r="A2043" s="29" t="s">
        <v>3057</v>
      </c>
      <c r="B2043" s="59" t="s">
        <v>20538</v>
      </c>
      <c r="C2043" s="147" t="s">
        <v>20221</v>
      </c>
      <c r="D2043" s="284" t="s">
        <v>897</v>
      </c>
      <c r="E2043" s="178">
        <v>2023</v>
      </c>
      <c r="F2043" s="178" t="s">
        <v>4520</v>
      </c>
      <c r="G2043" s="496"/>
      <c r="H2043" s="994" t="s">
        <v>20343</v>
      </c>
      <c r="I2043" s="12" t="s">
        <v>3058</v>
      </c>
      <c r="J2043" s="1285"/>
      <c r="K2043" s="1285"/>
      <c r="L2043" s="1285"/>
    </row>
    <row r="2044" spans="1:12" ht="11.15" customHeight="1">
      <c r="A2044" s="29" t="s">
        <v>3059</v>
      </c>
      <c r="B2044" s="59" t="s">
        <v>20538</v>
      </c>
      <c r="C2044" s="147" t="s">
        <v>20221</v>
      </c>
      <c r="D2044" s="284" t="s">
        <v>897</v>
      </c>
      <c r="E2044" s="178">
        <v>2022</v>
      </c>
      <c r="F2044" s="178" t="s">
        <v>4520</v>
      </c>
      <c r="G2044" s="496"/>
      <c r="H2044" s="994" t="s">
        <v>20343</v>
      </c>
      <c r="I2044" s="12" t="s">
        <v>3060</v>
      </c>
      <c r="J2044" s="1285"/>
      <c r="K2044" s="1285"/>
      <c r="L2044" s="1285"/>
    </row>
    <row r="2045" spans="1:12" ht="11.15" customHeight="1">
      <c r="A2045" s="29" t="s">
        <v>3061</v>
      </c>
      <c r="B2045" s="59" t="s">
        <v>20538</v>
      </c>
      <c r="C2045" s="147" t="s">
        <v>20221</v>
      </c>
      <c r="D2045" s="284" t="s">
        <v>897</v>
      </c>
      <c r="E2045" s="178">
        <v>2021</v>
      </c>
      <c r="F2045" s="178" t="s">
        <v>4520</v>
      </c>
      <c r="G2045" s="496"/>
      <c r="H2045" s="994" t="s">
        <v>20221</v>
      </c>
      <c r="I2045" s="12" t="s">
        <v>3062</v>
      </c>
      <c r="J2045" s="1285"/>
      <c r="K2045" s="1285"/>
      <c r="L2045" s="1285"/>
    </row>
    <row r="2046" spans="1:12" ht="11.15" customHeight="1">
      <c r="A2046" s="29" t="s">
        <v>3063</v>
      </c>
      <c r="B2046" s="59" t="s">
        <v>20538</v>
      </c>
      <c r="C2046" s="147" t="s">
        <v>20221</v>
      </c>
      <c r="D2046" s="284" t="s">
        <v>897</v>
      </c>
      <c r="E2046" s="178">
        <v>2020</v>
      </c>
      <c r="F2046" s="178" t="s">
        <v>4520</v>
      </c>
      <c r="G2046" s="496"/>
      <c r="H2046" s="994" t="s">
        <v>20221</v>
      </c>
      <c r="I2046" s="12" t="s">
        <v>3064</v>
      </c>
      <c r="J2046" s="1285"/>
      <c r="K2046" s="1285"/>
      <c r="L2046" s="1285"/>
    </row>
    <row r="2047" spans="1:12" ht="11.15" customHeight="1">
      <c r="A2047" s="29" t="s">
        <v>3065</v>
      </c>
      <c r="B2047" s="177" t="s">
        <v>1691</v>
      </c>
      <c r="C2047" s="147"/>
      <c r="D2047" s="29"/>
      <c r="E2047" s="29"/>
      <c r="F2047" s="29"/>
      <c r="G2047" s="29"/>
      <c r="H2047" s="29"/>
      <c r="I2047" s="11"/>
    </row>
    <row r="2048" spans="1:12" ht="11.15" customHeight="1">
      <c r="A2048" s="272" t="s">
        <v>3066</v>
      </c>
      <c r="B2048" s="59" t="s">
        <v>20539</v>
      </c>
      <c r="C2048" s="147" t="s">
        <v>20221</v>
      </c>
      <c r="D2048" s="284" t="s">
        <v>897</v>
      </c>
      <c r="E2048" s="178">
        <v>2023</v>
      </c>
      <c r="F2048" s="178" t="s">
        <v>4520</v>
      </c>
      <c r="G2048" s="496"/>
      <c r="H2048" s="994" t="s">
        <v>20343</v>
      </c>
      <c r="I2048" s="12" t="s">
        <v>3067</v>
      </c>
      <c r="J2048" s="1285"/>
      <c r="K2048" s="1285"/>
      <c r="L2048" s="1285"/>
    </row>
    <row r="2049" spans="1:12" ht="11.15" customHeight="1">
      <c r="A2049" s="272" t="s">
        <v>3068</v>
      </c>
      <c r="B2049" s="59" t="s">
        <v>20539</v>
      </c>
      <c r="C2049" s="147" t="s">
        <v>20221</v>
      </c>
      <c r="D2049" s="284" t="s">
        <v>897</v>
      </c>
      <c r="E2049" s="178">
        <v>2022</v>
      </c>
      <c r="F2049" s="178" t="s">
        <v>4520</v>
      </c>
      <c r="G2049" s="496"/>
      <c r="H2049" s="994" t="s">
        <v>20343</v>
      </c>
      <c r="I2049" s="12" t="s">
        <v>3069</v>
      </c>
      <c r="J2049" s="1285"/>
      <c r="K2049" s="1285"/>
      <c r="L2049" s="1285"/>
    </row>
    <row r="2050" spans="1:12" ht="11.15" customHeight="1">
      <c r="A2050" s="160" t="s">
        <v>3070</v>
      </c>
      <c r="B2050" s="59" t="s">
        <v>20539</v>
      </c>
      <c r="C2050" s="147" t="s">
        <v>20221</v>
      </c>
      <c r="D2050" s="284" t="s">
        <v>897</v>
      </c>
      <c r="E2050" s="178">
        <v>2021</v>
      </c>
      <c r="F2050" s="178" t="s">
        <v>23394</v>
      </c>
      <c r="G2050" s="496"/>
      <c r="H2050" s="994" t="s">
        <v>20224</v>
      </c>
      <c r="I2050" s="12" t="s">
        <v>3071</v>
      </c>
      <c r="J2050" s="1285"/>
      <c r="K2050" s="1285"/>
      <c r="L2050" s="1285"/>
    </row>
    <row r="2051" spans="1:12" ht="11.15" customHeight="1">
      <c r="A2051" s="58" t="s">
        <v>3072</v>
      </c>
      <c r="B2051" s="29"/>
      <c r="C2051" s="147"/>
      <c r="D2051" s="161"/>
      <c r="E2051" s="36"/>
      <c r="F2051" s="183"/>
      <c r="G2051" s="496"/>
      <c r="H2051" s="34"/>
      <c r="I2051" s="11"/>
    </row>
    <row r="2052" spans="1:12" ht="11.15" customHeight="1">
      <c r="A2052" s="58" t="s">
        <v>3073</v>
      </c>
      <c r="B2052" s="29"/>
      <c r="C2052" s="147"/>
      <c r="D2052" s="161"/>
      <c r="E2052" s="36"/>
      <c r="F2052" s="183"/>
      <c r="G2052" s="496"/>
      <c r="H2052" s="34"/>
      <c r="I2052" s="11"/>
    </row>
    <row r="2053" spans="1:12" ht="11.15" customHeight="1">
      <c r="A2053" s="58" t="s">
        <v>3074</v>
      </c>
      <c r="B2053" s="29"/>
      <c r="C2053" s="147"/>
      <c r="D2053" s="161"/>
      <c r="E2053" s="36"/>
      <c r="F2053" s="183"/>
      <c r="G2053" s="496"/>
      <c r="H2053" s="34"/>
      <c r="I2053" s="11"/>
    </row>
    <row r="2054" spans="1:12" ht="11.15" customHeight="1">
      <c r="A2054" s="272" t="s">
        <v>3075</v>
      </c>
      <c r="B2054" s="29"/>
      <c r="C2054" s="147"/>
      <c r="D2054" s="161"/>
      <c r="E2054" s="36"/>
      <c r="F2054" s="183"/>
      <c r="G2054" s="496"/>
      <c r="H2054" s="34"/>
      <c r="I2054" s="11"/>
    </row>
    <row r="2055" spans="1:12" ht="11.15" customHeight="1">
      <c r="A2055" s="168" t="s">
        <v>3076</v>
      </c>
      <c r="B2055" s="29"/>
      <c r="C2055" s="147"/>
      <c r="D2055" s="161"/>
      <c r="E2055" s="36"/>
      <c r="F2055" s="183"/>
      <c r="G2055" s="496"/>
      <c r="H2055" s="34"/>
      <c r="I2055" s="11"/>
    </row>
    <row r="2056" spans="1:12" ht="11.15" customHeight="1">
      <c r="A2056" s="129" t="s">
        <v>3077</v>
      </c>
      <c r="B2056" s="29"/>
      <c r="C2056" s="147"/>
      <c r="D2056" s="161"/>
      <c r="E2056" s="36"/>
      <c r="F2056" s="183"/>
      <c r="G2056" s="496"/>
      <c r="H2056" s="34"/>
      <c r="I2056" s="11"/>
    </row>
    <row r="2057" spans="1:12" ht="11.15" customHeight="1" thickBot="1">
      <c r="A2057" s="29"/>
      <c r="B2057" s="59"/>
      <c r="C2057" s="147"/>
      <c r="D2057" s="161"/>
      <c r="E2057" s="36"/>
      <c r="F2057" s="178"/>
      <c r="G2057" s="496"/>
      <c r="H2057" s="36"/>
      <c r="I2057" s="11"/>
    </row>
    <row r="2058" spans="1:12" ht="11.15" customHeight="1" thickBot="1">
      <c r="A2058" s="184" t="s">
        <v>3078</v>
      </c>
      <c r="B2058" s="59" t="s">
        <v>20540</v>
      </c>
      <c r="C2058" s="147" t="s">
        <v>23393</v>
      </c>
      <c r="D2058" s="284" t="s">
        <v>897</v>
      </c>
      <c r="E2058" s="178">
        <v>2022</v>
      </c>
      <c r="F2058" s="178" t="s">
        <v>4520</v>
      </c>
      <c r="G2058" s="496"/>
      <c r="H2058" s="994" t="s">
        <v>20343</v>
      </c>
      <c r="I2058" s="11" t="s">
        <v>3079</v>
      </c>
      <c r="J2058" s="1285"/>
      <c r="K2058" s="1285"/>
      <c r="L2058" s="1285"/>
    </row>
    <row r="2059" spans="1:12" ht="11.15" customHeight="1">
      <c r="A2059" s="29" t="s">
        <v>3080</v>
      </c>
      <c r="B2059" s="59" t="s">
        <v>20540</v>
      </c>
      <c r="C2059" s="147" t="s">
        <v>23393</v>
      </c>
      <c r="D2059" s="284" t="s">
        <v>897</v>
      </c>
      <c r="E2059" s="178">
        <v>2021</v>
      </c>
      <c r="F2059" s="178" t="s">
        <v>4520</v>
      </c>
      <c r="G2059" s="496"/>
      <c r="H2059" s="994" t="s">
        <v>20224</v>
      </c>
      <c r="I2059" s="11" t="s">
        <v>3081</v>
      </c>
      <c r="J2059" s="1285"/>
      <c r="K2059" s="1285"/>
      <c r="L2059" s="1285"/>
    </row>
    <row r="2060" spans="1:12" ht="11.15" customHeight="1">
      <c r="A2060" s="29" t="s">
        <v>3082</v>
      </c>
      <c r="B2060" s="59" t="s">
        <v>20541</v>
      </c>
      <c r="C2060" s="147" t="s">
        <v>23393</v>
      </c>
      <c r="D2060" s="284" t="s">
        <v>897</v>
      </c>
      <c r="E2060" s="178">
        <v>2022</v>
      </c>
      <c r="F2060" s="178" t="s">
        <v>4520</v>
      </c>
      <c r="G2060" s="496"/>
      <c r="H2060" s="994" t="s">
        <v>20343</v>
      </c>
      <c r="I2060" s="11" t="s">
        <v>3083</v>
      </c>
      <c r="J2060" s="1285"/>
      <c r="K2060" s="1285"/>
      <c r="L2060" s="1285"/>
    </row>
    <row r="2061" spans="1:12" ht="11.15" customHeight="1">
      <c r="A2061" s="29" t="s">
        <v>3084</v>
      </c>
      <c r="B2061" s="59" t="s">
        <v>20541</v>
      </c>
      <c r="C2061" s="147" t="s">
        <v>23393</v>
      </c>
      <c r="D2061" s="284" t="s">
        <v>897</v>
      </c>
      <c r="E2061" s="178">
        <v>2021</v>
      </c>
      <c r="F2061" s="178" t="s">
        <v>23394</v>
      </c>
      <c r="G2061" s="496"/>
      <c r="H2061" s="994" t="s">
        <v>20224</v>
      </c>
      <c r="I2061" s="11" t="s">
        <v>3085</v>
      </c>
      <c r="J2061" s="1285"/>
      <c r="K2061" s="1285"/>
      <c r="L2061" s="1285"/>
    </row>
    <row r="2062" spans="1:12" ht="11.15" customHeight="1">
      <c r="A2062" s="29" t="s">
        <v>3086</v>
      </c>
      <c r="B2062" s="59" t="s">
        <v>20541</v>
      </c>
      <c r="C2062" s="147" t="s">
        <v>23393</v>
      </c>
      <c r="D2062" s="284" t="s">
        <v>897</v>
      </c>
      <c r="E2062" s="178">
        <v>2020</v>
      </c>
      <c r="F2062" s="178" t="s">
        <v>4520</v>
      </c>
      <c r="G2062" s="496"/>
      <c r="H2062" s="994" t="s">
        <v>20221</v>
      </c>
      <c r="I2062" s="11" t="s">
        <v>3087</v>
      </c>
      <c r="J2062" s="1285"/>
      <c r="K2062" s="1285"/>
      <c r="L2062" s="1285"/>
    </row>
    <row r="2063" spans="1:12" ht="11.15" customHeight="1">
      <c r="A2063" s="29" t="s">
        <v>3088</v>
      </c>
      <c r="B2063" s="90"/>
      <c r="C2063" s="147"/>
      <c r="D2063" s="161"/>
      <c r="E2063" s="36"/>
      <c r="F2063" s="178"/>
      <c r="G2063" s="497"/>
      <c r="H2063" s="36"/>
      <c r="I2063" s="11"/>
    </row>
    <row r="2064" spans="1:12" ht="11.15" customHeight="1">
      <c r="A2064" s="29" t="s">
        <v>3089</v>
      </c>
      <c r="B2064" s="90"/>
      <c r="C2064" s="147"/>
      <c r="D2064" s="161"/>
      <c r="E2064" s="36"/>
      <c r="F2064" s="178"/>
      <c r="G2064" s="497"/>
      <c r="H2064" s="36"/>
      <c r="I2064" s="11"/>
    </row>
    <row r="2065" spans="1:12" ht="11.15" customHeight="1">
      <c r="A2065" s="29" t="s">
        <v>3090</v>
      </c>
      <c r="B2065" s="90"/>
      <c r="C2065" s="147"/>
      <c r="D2065" s="161"/>
      <c r="E2065" s="36"/>
      <c r="F2065" s="178"/>
      <c r="G2065" s="497"/>
      <c r="H2065" s="36"/>
      <c r="I2065" s="11"/>
    </row>
    <row r="2066" spans="1:12" ht="11.15" customHeight="1">
      <c r="A2066" s="181" t="s">
        <v>2722</v>
      </c>
      <c r="B2066" s="90"/>
      <c r="C2066" s="147"/>
      <c r="D2066" s="161"/>
      <c r="E2066" s="36"/>
      <c r="F2066" s="178"/>
      <c r="G2066" s="497"/>
      <c r="H2066" s="36"/>
      <c r="I2066" s="11"/>
    </row>
    <row r="2067" spans="1:12" ht="11.15" customHeight="1">
      <c r="A2067" s="181" t="s">
        <v>3091</v>
      </c>
      <c r="B2067" s="29"/>
      <c r="C2067" s="147"/>
      <c r="D2067" s="29"/>
      <c r="E2067" s="29"/>
      <c r="F2067" s="29"/>
      <c r="G2067" s="29"/>
      <c r="H2067" s="29"/>
      <c r="I2067" s="11"/>
    </row>
    <row r="2068" spans="1:12" ht="11.15" customHeight="1">
      <c r="A2068" s="166" t="s">
        <v>3092</v>
      </c>
      <c r="B2068" s="29"/>
      <c r="C2068" s="147"/>
      <c r="D2068" s="29"/>
      <c r="E2068" s="29"/>
      <c r="F2068" s="29"/>
      <c r="G2068" s="29"/>
      <c r="H2068" s="29"/>
      <c r="I2068" s="11"/>
    </row>
    <row r="2069" spans="1:12" ht="11.15" customHeight="1">
      <c r="A2069" s="166" t="s">
        <v>2028</v>
      </c>
      <c r="B2069" s="29"/>
      <c r="C2069" s="147"/>
      <c r="D2069" s="29"/>
      <c r="E2069" s="29"/>
      <c r="F2069" s="29"/>
      <c r="G2069" s="29"/>
      <c r="H2069" s="29"/>
      <c r="I2069" s="11"/>
    </row>
    <row r="2070" spans="1:12" ht="11.15" customHeight="1" thickBot="1">
      <c r="A2070" s="29"/>
      <c r="B2070" s="90"/>
      <c r="C2070" s="147"/>
      <c r="D2070" s="161"/>
      <c r="E2070" s="36"/>
      <c r="F2070" s="183"/>
      <c r="G2070" s="496"/>
      <c r="H2070" s="34"/>
      <c r="I2070" s="11"/>
    </row>
    <row r="2071" spans="1:12" ht="11.15" customHeight="1" thickBot="1">
      <c r="A2071" s="184" t="s">
        <v>3093</v>
      </c>
      <c r="B2071" s="59" t="s">
        <v>20542</v>
      </c>
      <c r="C2071" s="147" t="s">
        <v>20221</v>
      </c>
      <c r="D2071" s="284" t="s">
        <v>897</v>
      </c>
      <c r="E2071" s="178">
        <v>2022</v>
      </c>
      <c r="F2071" s="178" t="s">
        <v>4520</v>
      </c>
      <c r="G2071" s="496"/>
      <c r="H2071" s="994" t="s">
        <v>20343</v>
      </c>
      <c r="I2071" s="11" t="s">
        <v>3094</v>
      </c>
      <c r="J2071" s="1285"/>
      <c r="K2071" s="1285"/>
      <c r="L2071" s="1285"/>
    </row>
    <row r="2072" spans="1:12" ht="11.15" customHeight="1">
      <c r="A2072" s="29" t="s">
        <v>3095</v>
      </c>
      <c r="B2072" s="59" t="s">
        <v>20542</v>
      </c>
      <c r="C2072" s="147" t="s">
        <v>20221</v>
      </c>
      <c r="D2072" s="284" t="s">
        <v>897</v>
      </c>
      <c r="E2072" s="178">
        <v>2021</v>
      </c>
      <c r="F2072" s="178" t="s">
        <v>4520</v>
      </c>
      <c r="G2072" s="496"/>
      <c r="H2072" s="994" t="s">
        <v>20221</v>
      </c>
      <c r="I2072" s="11" t="s">
        <v>3096</v>
      </c>
      <c r="J2072" s="1285"/>
      <c r="K2072" s="1285"/>
      <c r="L2072" s="1285"/>
    </row>
    <row r="2073" spans="1:12" ht="11.15" customHeight="1">
      <c r="A2073" s="272" t="s">
        <v>3097</v>
      </c>
      <c r="B2073" s="59" t="s">
        <v>20542</v>
      </c>
      <c r="C2073" s="147" t="s">
        <v>20221</v>
      </c>
      <c r="D2073" s="284" t="s">
        <v>897</v>
      </c>
      <c r="E2073" s="178">
        <v>2020</v>
      </c>
      <c r="F2073" s="178" t="s">
        <v>4520</v>
      </c>
      <c r="G2073" s="496"/>
      <c r="H2073" s="994" t="s">
        <v>20221</v>
      </c>
      <c r="I2073" s="11" t="s">
        <v>3098</v>
      </c>
      <c r="J2073" s="1285"/>
      <c r="K2073" s="1285"/>
      <c r="L2073" s="1285"/>
    </row>
    <row r="2074" spans="1:12" ht="11.15" customHeight="1">
      <c r="A2074" s="181" t="s">
        <v>973</v>
      </c>
      <c r="B2074" s="59" t="s">
        <v>20542</v>
      </c>
      <c r="C2074" s="147" t="s">
        <v>20221</v>
      </c>
      <c r="D2074" s="284" t="s">
        <v>897</v>
      </c>
      <c r="E2074" s="178">
        <v>2019</v>
      </c>
      <c r="F2074" s="178" t="s">
        <v>4520</v>
      </c>
      <c r="G2074" s="496"/>
      <c r="H2074" s="994" t="s">
        <v>20221</v>
      </c>
      <c r="I2074" s="11" t="s">
        <v>3099</v>
      </c>
      <c r="J2074" s="1285"/>
      <c r="K2074" s="1285"/>
      <c r="L2074" s="1285"/>
    </row>
    <row r="2075" spans="1:12" ht="11.15" customHeight="1">
      <c r="A2075" s="129" t="s">
        <v>1077</v>
      </c>
      <c r="B2075" s="29"/>
      <c r="C2075" s="29"/>
      <c r="D2075" s="29"/>
      <c r="E2075" s="29"/>
      <c r="F2075" s="29"/>
      <c r="G2075" s="29"/>
      <c r="H2075" s="29"/>
      <c r="I2075" s="11"/>
    </row>
    <row r="2076" spans="1:12" ht="11.15" customHeight="1">
      <c r="A2076" s="283" t="s">
        <v>3100</v>
      </c>
      <c r="B2076" s="178"/>
      <c r="C2076" s="147"/>
      <c r="D2076" s="284"/>
      <c r="E2076" s="36"/>
      <c r="F2076" s="178"/>
      <c r="G2076" s="496"/>
      <c r="H2076" s="36"/>
      <c r="I2076" s="11"/>
    </row>
    <row r="2077" spans="1:12" ht="11.15" customHeight="1">
      <c r="A2077" s="283" t="s">
        <v>3101</v>
      </c>
      <c r="B2077" s="178"/>
      <c r="C2077" s="147"/>
      <c r="D2077" s="284"/>
      <c r="E2077" s="36"/>
      <c r="F2077" s="178"/>
      <c r="G2077" s="496"/>
      <c r="H2077" s="36"/>
      <c r="I2077" s="11"/>
    </row>
    <row r="2078" spans="1:12" ht="11.15" customHeight="1">
      <c r="A2078" s="291" t="s">
        <v>3102</v>
      </c>
      <c r="B2078" s="178"/>
      <c r="C2078" s="147"/>
      <c r="D2078" s="284"/>
      <c r="E2078" s="36"/>
      <c r="F2078" s="178"/>
      <c r="G2078" s="496"/>
      <c r="H2078" s="36"/>
      <c r="I2078" s="11"/>
    </row>
    <row r="2079" spans="1:12" ht="11.15" customHeight="1">
      <c r="A2079" s="291" t="s">
        <v>3103</v>
      </c>
      <c r="B2079" s="210"/>
      <c r="C2079" s="150"/>
      <c r="D2079" s="150"/>
      <c r="E2079" s="210"/>
      <c r="F2079" s="150"/>
      <c r="G2079" s="1190"/>
      <c r="H2079" s="210"/>
      <c r="I2079" s="11"/>
    </row>
    <row r="2080" spans="1:12" ht="11.15" customHeight="1">
      <c r="A2080" s="166" t="s">
        <v>3104</v>
      </c>
      <c r="B2080" s="210"/>
      <c r="C2080" s="150"/>
      <c r="D2080" s="150"/>
      <c r="E2080" s="210"/>
      <c r="F2080" s="150"/>
      <c r="G2080" s="1190"/>
      <c r="H2080" s="210"/>
      <c r="I2080" s="11"/>
    </row>
    <row r="2081" spans="1:12" ht="11.15" customHeight="1">
      <c r="A2081" s="129" t="s">
        <v>3105</v>
      </c>
      <c r="B2081" s="90"/>
      <c r="C2081" s="147"/>
      <c r="D2081" s="161"/>
      <c r="E2081" s="36"/>
      <c r="F2081" s="178"/>
      <c r="G2081" s="496"/>
      <c r="H2081" s="36"/>
      <c r="I2081" s="11"/>
    </row>
    <row r="2082" spans="1:12" ht="11.15" customHeight="1">
      <c r="A2082" s="129" t="s">
        <v>3106</v>
      </c>
      <c r="B2082" s="29"/>
      <c r="C2082" s="147"/>
      <c r="D2082" s="161"/>
      <c r="E2082" s="36"/>
      <c r="F2082" s="178"/>
      <c r="G2082" s="497"/>
      <c r="H2082" s="36"/>
      <c r="I2082" s="11"/>
    </row>
    <row r="2083" spans="1:12" ht="11.15" customHeight="1" thickBot="1">
      <c r="A2083" s="29"/>
      <c r="B2083" s="90"/>
      <c r="C2083" s="147"/>
      <c r="D2083" s="161"/>
      <c r="E2083" s="36"/>
      <c r="F2083" s="183"/>
      <c r="G2083" s="496"/>
      <c r="H2083" s="34"/>
      <c r="I2083" s="11"/>
    </row>
    <row r="2084" spans="1:12" ht="11.15" customHeight="1" thickBot="1">
      <c r="A2084" s="184" t="s">
        <v>3107</v>
      </c>
      <c r="B2084" s="59" t="s">
        <v>20543</v>
      </c>
      <c r="C2084" s="147" t="s">
        <v>20221</v>
      </c>
      <c r="D2084" s="284" t="s">
        <v>897</v>
      </c>
      <c r="E2084" s="178">
        <v>2020</v>
      </c>
      <c r="F2084" s="178" t="s">
        <v>4520</v>
      </c>
      <c r="G2084" s="496"/>
      <c r="H2084" s="994" t="s">
        <v>20221</v>
      </c>
      <c r="I2084" s="12" t="s">
        <v>3108</v>
      </c>
      <c r="J2084" s="1285"/>
      <c r="K2084" s="1285"/>
      <c r="L2084" s="1285"/>
    </row>
    <row r="2085" spans="1:12" ht="11.15" customHeight="1">
      <c r="A2085" s="29" t="s">
        <v>3109</v>
      </c>
      <c r="B2085" s="59" t="s">
        <v>20543</v>
      </c>
      <c r="C2085" s="147" t="s">
        <v>20221</v>
      </c>
      <c r="D2085" s="284" t="s">
        <v>897</v>
      </c>
      <c r="E2085" s="178">
        <v>2019</v>
      </c>
      <c r="F2085" s="178" t="s">
        <v>4520</v>
      </c>
      <c r="G2085" s="496"/>
      <c r="H2085" s="994" t="s">
        <v>20224</v>
      </c>
      <c r="I2085" s="12" t="s">
        <v>3110</v>
      </c>
      <c r="J2085" s="1285"/>
      <c r="K2085" s="1285"/>
      <c r="L2085" s="1285"/>
    </row>
    <row r="2086" spans="1:12" ht="11.15" customHeight="1">
      <c r="A2086" s="29" t="s">
        <v>3111</v>
      </c>
      <c r="B2086" s="59" t="s">
        <v>20543</v>
      </c>
      <c r="C2086" s="147" t="s">
        <v>20221</v>
      </c>
      <c r="D2086" s="284" t="s">
        <v>897</v>
      </c>
      <c r="E2086" s="178">
        <v>2016</v>
      </c>
      <c r="F2086" s="178" t="s">
        <v>4520</v>
      </c>
      <c r="G2086" s="496"/>
      <c r="H2086" s="994" t="s">
        <v>20221</v>
      </c>
      <c r="I2086" s="12" t="s">
        <v>3112</v>
      </c>
      <c r="J2086" s="1285"/>
      <c r="K2086" s="1285"/>
      <c r="L2086" s="1285"/>
    </row>
    <row r="2087" spans="1:12" ht="11.15" customHeight="1">
      <c r="A2087" s="181" t="s">
        <v>1595</v>
      </c>
      <c r="B2087" s="59" t="s">
        <v>20544</v>
      </c>
      <c r="C2087" s="147" t="s">
        <v>20221</v>
      </c>
      <c r="D2087" s="284" t="s">
        <v>897</v>
      </c>
      <c r="E2087" s="178">
        <v>2015</v>
      </c>
      <c r="F2087" s="178" t="s">
        <v>5257</v>
      </c>
      <c r="G2087" s="496"/>
      <c r="H2087" s="994" t="s">
        <v>20224</v>
      </c>
      <c r="I2087" s="12" t="s">
        <v>3113</v>
      </c>
      <c r="J2087" s="1285"/>
      <c r="K2087" s="1285"/>
      <c r="L2087" s="1285"/>
    </row>
    <row r="2088" spans="1:12" ht="11.15" customHeight="1">
      <c r="A2088" s="129" t="s">
        <v>1077</v>
      </c>
      <c r="B2088" s="210"/>
      <c r="C2088" s="147"/>
      <c r="D2088" s="149"/>
      <c r="E2088" s="210"/>
      <c r="F2088" s="150"/>
      <c r="G2088" s="1190"/>
      <c r="H2088" s="210"/>
      <c r="I2088" s="11"/>
    </row>
    <row r="2089" spans="1:12" ht="11.15" customHeight="1">
      <c r="A2089" s="162" t="s">
        <v>3114</v>
      </c>
      <c r="B2089" s="150"/>
      <c r="C2089" s="147"/>
      <c r="D2089" s="149"/>
      <c r="E2089" s="210"/>
      <c r="F2089" s="150"/>
      <c r="G2089" s="886"/>
      <c r="H2089" s="210"/>
      <c r="I2089" s="11"/>
    </row>
    <row r="2090" spans="1:12" ht="11.15" customHeight="1">
      <c r="A2090" s="162" t="s">
        <v>3115</v>
      </c>
      <c r="B2090" s="150"/>
      <c r="C2090" s="147"/>
      <c r="D2090" s="149"/>
      <c r="E2090" s="210"/>
      <c r="F2090" s="150"/>
      <c r="G2090" s="886"/>
      <c r="H2090" s="210"/>
      <c r="I2090" s="11"/>
    </row>
    <row r="2091" spans="1:12" ht="11.15" customHeight="1">
      <c r="A2091" s="162" t="s">
        <v>3116</v>
      </c>
      <c r="B2091" s="150"/>
      <c r="C2091" s="147"/>
      <c r="D2091" s="149"/>
      <c r="E2091" s="210"/>
      <c r="F2091" s="150"/>
      <c r="G2091" s="886"/>
      <c r="H2091" s="210"/>
      <c r="I2091" s="11"/>
    </row>
    <row r="2092" spans="1:12" ht="11.15" customHeight="1">
      <c r="A2092" s="162" t="s">
        <v>3117</v>
      </c>
      <c r="B2092" s="150"/>
      <c r="C2092" s="147"/>
      <c r="D2092" s="149"/>
      <c r="E2092" s="210"/>
      <c r="F2092" s="150"/>
      <c r="G2092" s="886"/>
      <c r="H2092" s="210"/>
      <c r="I2092" s="11"/>
    </row>
    <row r="2093" spans="1:12" ht="11.15" customHeight="1">
      <c r="A2093" s="168" t="s">
        <v>3118</v>
      </c>
      <c r="B2093" s="150"/>
      <c r="C2093" s="147"/>
      <c r="D2093" s="149"/>
      <c r="E2093" s="210"/>
      <c r="F2093" s="150"/>
      <c r="G2093" s="886"/>
      <c r="H2093" s="210"/>
      <c r="I2093" s="11"/>
    </row>
    <row r="2094" spans="1:12" ht="11.15" customHeight="1">
      <c r="A2094" s="129" t="s">
        <v>3119</v>
      </c>
      <c r="B2094" s="90"/>
      <c r="C2094" s="147"/>
      <c r="D2094" s="161"/>
      <c r="E2094" s="36"/>
      <c r="F2094" s="183"/>
      <c r="G2094" s="496"/>
      <c r="H2094" s="34"/>
      <c r="I2094" s="11"/>
    </row>
    <row r="2095" spans="1:12" ht="11.15" customHeight="1">
      <c r="A2095" s="29"/>
      <c r="B2095" s="90"/>
      <c r="C2095" s="147"/>
      <c r="D2095" s="122"/>
      <c r="E2095" s="36"/>
      <c r="F2095" s="178"/>
      <c r="G2095" s="60"/>
      <c r="H2095" s="36"/>
      <c r="I2095" s="11"/>
    </row>
    <row r="2096" spans="1:12" ht="24" customHeight="1" thickBot="1">
      <c r="A2096" s="309"/>
      <c r="B2096" s="310" t="s">
        <v>3120</v>
      </c>
      <c r="C2096" s="311"/>
      <c r="D2096" s="312"/>
      <c r="E2096" s="313"/>
      <c r="F2096" s="1070"/>
      <c r="G2096" s="1202"/>
      <c r="H2096" s="313"/>
      <c r="I2096" s="11"/>
    </row>
    <row r="2097" spans="1:12" ht="11.15" customHeight="1" thickBot="1">
      <c r="A2097" s="184" t="s">
        <v>3121</v>
      </c>
      <c r="B2097" s="59" t="s">
        <v>20545</v>
      </c>
      <c r="C2097" s="147" t="s">
        <v>20221</v>
      </c>
      <c r="D2097" s="701" t="s">
        <v>1129</v>
      </c>
      <c r="E2097" s="178">
        <v>2016</v>
      </c>
      <c r="F2097" s="178" t="s">
        <v>23395</v>
      </c>
      <c r="G2097" s="496"/>
      <c r="H2097" s="994" t="s">
        <v>20277</v>
      </c>
      <c r="I2097" s="12" t="s">
        <v>3122</v>
      </c>
      <c r="J2097" s="1285"/>
      <c r="K2097" s="1285"/>
      <c r="L2097" s="1285"/>
    </row>
    <row r="2098" spans="1:12" ht="11.15" customHeight="1">
      <c r="A2098" s="29" t="s">
        <v>3123</v>
      </c>
      <c r="B2098" s="90"/>
      <c r="C2098" s="147"/>
      <c r="D2098" s="159"/>
      <c r="E2098" s="36"/>
      <c r="F2098" s="178"/>
      <c r="G2098" s="496"/>
      <c r="H2098" s="36"/>
      <c r="I2098" s="11"/>
    </row>
    <row r="2099" spans="1:12" ht="11.15" customHeight="1">
      <c r="A2099" s="29" t="s">
        <v>3124</v>
      </c>
      <c r="B2099" s="90"/>
      <c r="C2099" s="147"/>
      <c r="D2099" s="159"/>
      <c r="E2099" s="36"/>
      <c r="F2099" s="178"/>
      <c r="G2099" s="496"/>
      <c r="H2099" s="36"/>
      <c r="I2099" s="11"/>
    </row>
    <row r="2100" spans="1:12" ht="11.15" customHeight="1">
      <c r="A2100" s="29" t="s">
        <v>3125</v>
      </c>
      <c r="B2100" s="90"/>
      <c r="C2100" s="147"/>
      <c r="D2100" s="159"/>
      <c r="E2100" s="36"/>
      <c r="F2100" s="178"/>
      <c r="G2100" s="496"/>
      <c r="H2100" s="36"/>
      <c r="I2100" s="11"/>
    </row>
    <row r="2101" spans="1:12" ht="11.15" customHeight="1">
      <c r="A2101" s="29" t="s">
        <v>3126</v>
      </c>
      <c r="B2101" s="90"/>
      <c r="C2101" s="147"/>
      <c r="D2101" s="159"/>
      <c r="E2101" s="36"/>
      <c r="F2101" s="178"/>
      <c r="G2101" s="496"/>
      <c r="H2101" s="36"/>
      <c r="I2101" s="11"/>
    </row>
    <row r="2102" spans="1:12" ht="11.15" customHeight="1">
      <c r="A2102" s="166" t="s">
        <v>3127</v>
      </c>
      <c r="B2102" s="90"/>
      <c r="C2102" s="147"/>
      <c r="D2102" s="159"/>
      <c r="E2102" s="36"/>
      <c r="F2102" s="178"/>
      <c r="G2102" s="496"/>
      <c r="H2102" s="36"/>
      <c r="I2102" s="11"/>
    </row>
    <row r="2103" spans="1:12" ht="11.15" customHeight="1">
      <c r="A2103" s="129" t="s">
        <v>3128</v>
      </c>
      <c r="B2103" s="90"/>
      <c r="C2103" s="147"/>
      <c r="D2103" s="122"/>
      <c r="E2103" s="36"/>
      <c r="F2103" s="178"/>
      <c r="G2103" s="60"/>
      <c r="H2103" s="36"/>
      <c r="I2103" s="11"/>
    </row>
    <row r="2104" spans="1:12" ht="11.15" customHeight="1" thickBot="1">
      <c r="A2104" s="29"/>
      <c r="B2104" s="90"/>
      <c r="C2104" s="147"/>
      <c r="D2104" s="122"/>
      <c r="E2104" s="36"/>
      <c r="F2104" s="183"/>
      <c r="G2104" s="60"/>
      <c r="H2104" s="34"/>
      <c r="I2104" s="11"/>
    </row>
    <row r="2105" spans="1:12" ht="11.15" customHeight="1" thickBot="1">
      <c r="A2105" s="184" t="s">
        <v>3129</v>
      </c>
      <c r="B2105" s="59" t="s">
        <v>20546</v>
      </c>
      <c r="C2105" s="147" t="s">
        <v>20221</v>
      </c>
      <c r="D2105" s="284" t="s">
        <v>897</v>
      </c>
      <c r="E2105" s="178">
        <v>2003</v>
      </c>
      <c r="F2105" s="178" t="s">
        <v>11931</v>
      </c>
      <c r="G2105" s="496"/>
      <c r="H2105" s="994" t="s">
        <v>20224</v>
      </c>
      <c r="I2105" s="12" t="s">
        <v>3130</v>
      </c>
      <c r="J2105" s="1285"/>
      <c r="K2105" s="1285"/>
      <c r="L2105" s="1285"/>
    </row>
    <row r="2106" spans="1:12" ht="11.15" customHeight="1">
      <c r="A2106" s="29" t="s">
        <v>3123</v>
      </c>
      <c r="B2106" s="185"/>
      <c r="C2106" s="147"/>
      <c r="D2106" s="185"/>
      <c r="E2106" s="185"/>
      <c r="F2106" s="185"/>
      <c r="G2106" s="185"/>
      <c r="H2106" s="185"/>
      <c r="I2106" s="11"/>
    </row>
    <row r="2107" spans="1:12" ht="11.15" customHeight="1" thickBot="1">
      <c r="A2107" s="185"/>
      <c r="B2107" s="90"/>
      <c r="C2107" s="147"/>
      <c r="D2107" s="122"/>
      <c r="E2107" s="36"/>
      <c r="F2107" s="183"/>
      <c r="G2107" s="60"/>
      <c r="H2107" s="34"/>
      <c r="I2107" s="11"/>
    </row>
    <row r="2108" spans="1:12" ht="11.15" customHeight="1">
      <c r="A2108" s="153" t="s">
        <v>3131</v>
      </c>
      <c r="B2108" s="59" t="s">
        <v>20547</v>
      </c>
      <c r="C2108" s="147" t="s">
        <v>20221</v>
      </c>
      <c r="D2108" s="284" t="s">
        <v>897</v>
      </c>
      <c r="E2108" s="178">
        <v>2023</v>
      </c>
      <c r="F2108" s="178" t="s">
        <v>4520</v>
      </c>
      <c r="G2108" s="496"/>
      <c r="H2108" s="994" t="s">
        <v>20343</v>
      </c>
      <c r="I2108" s="12" t="s">
        <v>3132</v>
      </c>
      <c r="J2108" s="1285"/>
      <c r="K2108" s="1285"/>
      <c r="L2108" s="1285"/>
    </row>
    <row r="2109" spans="1:12" ht="11.15" customHeight="1" thickBot="1">
      <c r="A2109" s="230" t="s">
        <v>3133</v>
      </c>
      <c r="B2109" s="59" t="s">
        <v>20547</v>
      </c>
      <c r="C2109" s="147" t="s">
        <v>20221</v>
      </c>
      <c r="D2109" s="284" t="s">
        <v>897</v>
      </c>
      <c r="E2109" s="178">
        <v>2022</v>
      </c>
      <c r="F2109" s="178" t="s">
        <v>4520</v>
      </c>
      <c r="G2109" s="496"/>
      <c r="H2109" s="994" t="s">
        <v>20221</v>
      </c>
      <c r="I2109" s="12" t="s">
        <v>3134</v>
      </c>
      <c r="J2109" s="1285"/>
      <c r="K2109" s="1285"/>
      <c r="L2109" s="1285"/>
    </row>
    <row r="2110" spans="1:12" ht="11.15" customHeight="1">
      <c r="A2110" s="29" t="s">
        <v>3135</v>
      </c>
      <c r="B2110" s="59" t="s">
        <v>20547</v>
      </c>
      <c r="C2110" s="147" t="s">
        <v>20221</v>
      </c>
      <c r="D2110" s="284" t="s">
        <v>897</v>
      </c>
      <c r="E2110" s="178">
        <v>2021</v>
      </c>
      <c r="F2110" s="178" t="s">
        <v>4520</v>
      </c>
      <c r="G2110" s="496"/>
      <c r="H2110" s="994" t="s">
        <v>20221</v>
      </c>
      <c r="I2110" s="12" t="s">
        <v>3136</v>
      </c>
      <c r="J2110" s="1285"/>
      <c r="K2110" s="1285"/>
      <c r="L2110" s="1285"/>
    </row>
    <row r="2111" spans="1:12" ht="11.15" customHeight="1">
      <c r="A2111" s="29" t="s">
        <v>3137</v>
      </c>
      <c r="B2111" s="59" t="s">
        <v>20547</v>
      </c>
      <c r="C2111" s="147" t="s">
        <v>20221</v>
      </c>
      <c r="D2111" s="284" t="s">
        <v>897</v>
      </c>
      <c r="E2111" s="178">
        <v>2020</v>
      </c>
      <c r="F2111" s="178" t="s">
        <v>4520</v>
      </c>
      <c r="G2111" s="496"/>
      <c r="H2111" s="994" t="s">
        <v>20221</v>
      </c>
      <c r="I2111" s="12" t="s">
        <v>3138</v>
      </c>
      <c r="J2111" s="1285"/>
      <c r="K2111" s="1285"/>
      <c r="L2111" s="1285"/>
    </row>
    <row r="2112" spans="1:12" ht="11.15" customHeight="1">
      <c r="A2112" s="272" t="s">
        <v>3139</v>
      </c>
      <c r="B2112" s="59" t="s">
        <v>20547</v>
      </c>
      <c r="C2112" s="147" t="s">
        <v>20221</v>
      </c>
      <c r="D2112" s="284" t="s">
        <v>897</v>
      </c>
      <c r="E2112" s="178">
        <v>2019</v>
      </c>
      <c r="F2112" s="178" t="s">
        <v>23395</v>
      </c>
      <c r="G2112" s="496"/>
      <c r="H2112" s="994" t="s">
        <v>20221</v>
      </c>
      <c r="I2112" s="12" t="s">
        <v>3140</v>
      </c>
      <c r="J2112" s="1285"/>
      <c r="K2112" s="1285"/>
      <c r="L2112" s="1285"/>
    </row>
    <row r="2113" spans="1:12" ht="11.15" customHeight="1">
      <c r="A2113" s="29" t="s">
        <v>3141</v>
      </c>
      <c r="B2113" s="59" t="s">
        <v>20547</v>
      </c>
      <c r="C2113" s="147" t="s">
        <v>20221</v>
      </c>
      <c r="D2113" s="284" t="s">
        <v>897</v>
      </c>
      <c r="E2113" s="178">
        <v>2016</v>
      </c>
      <c r="F2113" s="178" t="s">
        <v>23395</v>
      </c>
      <c r="G2113" s="496"/>
      <c r="H2113" s="994" t="s">
        <v>20221</v>
      </c>
      <c r="I2113" s="12" t="s">
        <v>3142</v>
      </c>
      <c r="J2113" s="1285"/>
      <c r="K2113" s="1285"/>
      <c r="L2113" s="1285"/>
    </row>
    <row r="2114" spans="1:12" ht="11.15" customHeight="1">
      <c r="A2114" s="166" t="s">
        <v>3143</v>
      </c>
      <c r="B2114" s="90"/>
      <c r="C2114" s="147"/>
      <c r="D2114" s="161"/>
      <c r="E2114" s="36"/>
      <c r="F2114" s="183"/>
      <c r="G2114" s="60"/>
      <c r="H2114" s="34"/>
      <c r="I2114" s="11"/>
    </row>
    <row r="2115" spans="1:12" ht="11.15" customHeight="1">
      <c r="A2115" s="129" t="s">
        <v>3144</v>
      </c>
      <c r="B2115" s="90"/>
      <c r="C2115" s="147"/>
      <c r="D2115" s="161"/>
      <c r="E2115" s="36"/>
      <c r="F2115" s="183"/>
      <c r="G2115" s="60"/>
      <c r="H2115" s="34"/>
      <c r="I2115" s="11"/>
    </row>
    <row r="2116" spans="1:12" ht="11.15" customHeight="1">
      <c r="A2116" s="129" t="s">
        <v>3145</v>
      </c>
      <c r="B2116" s="90"/>
      <c r="C2116" s="147"/>
      <c r="D2116" s="122"/>
      <c r="E2116" s="36"/>
      <c r="F2116" s="178"/>
      <c r="G2116" s="60"/>
      <c r="H2116" s="36"/>
      <c r="I2116" s="11"/>
    </row>
    <row r="2117" spans="1:12" ht="11.15" customHeight="1">
      <c r="A2117" s="129" t="s">
        <v>3146</v>
      </c>
      <c r="B2117" s="90"/>
      <c r="C2117" s="147"/>
      <c r="D2117" s="122"/>
      <c r="E2117" s="36"/>
      <c r="F2117" s="183"/>
      <c r="G2117" s="60"/>
      <c r="H2117" s="34"/>
      <c r="I2117" s="11"/>
    </row>
    <row r="2118" spans="1:12" ht="11.15" customHeight="1" thickBot="1">
      <c r="A2118" s="29"/>
      <c r="B2118" s="90"/>
      <c r="C2118" s="147"/>
      <c r="D2118" s="122"/>
      <c r="E2118" s="36"/>
      <c r="F2118" s="183"/>
      <c r="G2118" s="60"/>
      <c r="H2118" s="34"/>
      <c r="I2118" s="11"/>
    </row>
    <row r="2119" spans="1:12" ht="11.15" customHeight="1" thickBot="1">
      <c r="A2119" s="184" t="s">
        <v>3147</v>
      </c>
      <c r="B2119" s="59" t="s">
        <v>20548</v>
      </c>
      <c r="C2119" s="147" t="s">
        <v>20221</v>
      </c>
      <c r="D2119" s="284" t="s">
        <v>897</v>
      </c>
      <c r="E2119" s="178">
        <v>2019</v>
      </c>
      <c r="F2119" s="178" t="s">
        <v>4520</v>
      </c>
      <c r="G2119" s="496"/>
      <c r="H2119" s="994" t="s">
        <v>20221</v>
      </c>
      <c r="I2119" s="12" t="s">
        <v>3148</v>
      </c>
      <c r="J2119" s="1285"/>
      <c r="K2119" s="1285"/>
      <c r="L2119" s="1285"/>
    </row>
    <row r="2120" spans="1:12" ht="11.15" customHeight="1">
      <c r="A2120" s="29" t="s">
        <v>3123</v>
      </c>
      <c r="B2120" s="90"/>
      <c r="C2120" s="147"/>
      <c r="D2120" s="161"/>
      <c r="E2120" s="36"/>
      <c r="F2120" s="183"/>
      <c r="G2120" s="496"/>
      <c r="H2120" s="34"/>
      <c r="I2120" s="11"/>
    </row>
    <row r="2121" spans="1:12" ht="11.15" customHeight="1">
      <c r="A2121" s="29" t="s">
        <v>3149</v>
      </c>
      <c r="B2121" s="90"/>
      <c r="C2121" s="147"/>
      <c r="D2121" s="161"/>
      <c r="E2121" s="36"/>
      <c r="F2121" s="183"/>
      <c r="G2121" s="496"/>
      <c r="H2121" s="34"/>
      <c r="I2121" s="11"/>
    </row>
    <row r="2122" spans="1:12" ht="11.15" customHeight="1">
      <c r="A2122" s="29" t="s">
        <v>3150</v>
      </c>
      <c r="B2122" s="90"/>
      <c r="C2122" s="147"/>
      <c r="D2122" s="161"/>
      <c r="E2122" s="36"/>
      <c r="F2122" s="183"/>
      <c r="G2122" s="496"/>
      <c r="H2122" s="34"/>
      <c r="I2122" s="11"/>
    </row>
    <row r="2123" spans="1:12" ht="11.15" customHeight="1">
      <c r="A2123" s="29" t="s">
        <v>3151</v>
      </c>
      <c r="B2123" s="90"/>
      <c r="C2123" s="147"/>
      <c r="D2123" s="161"/>
      <c r="E2123" s="36"/>
      <c r="F2123" s="183"/>
      <c r="G2123" s="496"/>
      <c r="H2123" s="34"/>
      <c r="I2123" s="11"/>
    </row>
    <row r="2124" spans="1:12" ht="11.15" customHeight="1">
      <c r="A2124" s="29" t="s">
        <v>3152</v>
      </c>
      <c r="B2124" s="90"/>
      <c r="C2124" s="147"/>
      <c r="D2124" s="161"/>
      <c r="E2124" s="36"/>
      <c r="F2124" s="183"/>
      <c r="G2124" s="496"/>
      <c r="H2124" s="34"/>
      <c r="I2124" s="11"/>
    </row>
    <row r="2125" spans="1:12" ht="11.15" customHeight="1">
      <c r="A2125" s="166" t="s">
        <v>3153</v>
      </c>
      <c r="B2125" s="90"/>
      <c r="C2125" s="147"/>
      <c r="D2125" s="161"/>
      <c r="E2125" s="36"/>
      <c r="F2125" s="183"/>
      <c r="G2125" s="496"/>
      <c r="H2125" s="34"/>
      <c r="I2125" s="11"/>
    </row>
    <row r="2126" spans="1:12" ht="11.15" customHeight="1">
      <c r="A2126" s="129" t="s">
        <v>3154</v>
      </c>
      <c r="B2126" s="90"/>
      <c r="C2126" s="147"/>
      <c r="D2126" s="161"/>
      <c r="E2126" s="36"/>
      <c r="F2126" s="183"/>
      <c r="G2126" s="496"/>
      <c r="H2126" s="34"/>
      <c r="I2126" s="11"/>
    </row>
    <row r="2127" spans="1:12" ht="11.15" customHeight="1">
      <c r="A2127" s="129" t="s">
        <v>3155</v>
      </c>
      <c r="B2127" s="90"/>
      <c r="C2127" s="147"/>
      <c r="D2127" s="122"/>
      <c r="E2127" s="36"/>
      <c r="F2127" s="183"/>
      <c r="G2127" s="60"/>
      <c r="H2127" s="34"/>
      <c r="I2127" s="11"/>
    </row>
    <row r="2128" spans="1:12" ht="11.15" customHeight="1">
      <c r="A2128" s="357"/>
      <c r="B2128" s="90"/>
      <c r="C2128" s="147"/>
      <c r="D2128" s="122"/>
      <c r="E2128" s="36"/>
      <c r="F2128" s="183"/>
      <c r="G2128" s="60"/>
      <c r="H2128" s="34"/>
      <c r="I2128" s="11"/>
    </row>
    <row r="2129" spans="1:12" ht="24" customHeight="1" thickBot="1">
      <c r="A2129" s="309"/>
      <c r="B2129" s="310" t="s">
        <v>3156</v>
      </c>
      <c r="C2129" s="311"/>
      <c r="D2129" s="312"/>
      <c r="E2129" s="313"/>
      <c r="F2129" s="1070"/>
      <c r="G2129" s="1202"/>
      <c r="H2129" s="313"/>
      <c r="I2129" s="11"/>
    </row>
    <row r="2130" spans="1:12" ht="11.15" customHeight="1" thickBot="1">
      <c r="A2130" s="184" t="s">
        <v>3157</v>
      </c>
      <c r="B2130" s="59" t="s">
        <v>20549</v>
      </c>
      <c r="C2130" s="147" t="s">
        <v>20221</v>
      </c>
      <c r="D2130" s="284" t="s">
        <v>897</v>
      </c>
      <c r="E2130" s="178">
        <v>2022</v>
      </c>
      <c r="F2130" s="178" t="s">
        <v>4520</v>
      </c>
      <c r="G2130" s="496"/>
      <c r="H2130" s="994" t="s">
        <v>20224</v>
      </c>
      <c r="I2130" s="12" t="s">
        <v>23366</v>
      </c>
      <c r="J2130" s="1285"/>
      <c r="K2130" s="1285"/>
      <c r="L2130" s="1285"/>
    </row>
    <row r="2131" spans="1:12" ht="11.15" customHeight="1">
      <c r="A2131" s="29" t="s">
        <v>3158</v>
      </c>
      <c r="B2131" s="59" t="s">
        <v>20549</v>
      </c>
      <c r="C2131" s="147" t="s">
        <v>20221</v>
      </c>
      <c r="D2131" s="284" t="s">
        <v>897</v>
      </c>
      <c r="E2131" s="178">
        <v>2021</v>
      </c>
      <c r="F2131" s="178" t="s">
        <v>4520</v>
      </c>
      <c r="G2131" s="496"/>
      <c r="H2131" s="994" t="s">
        <v>20221</v>
      </c>
      <c r="I2131" s="12" t="s">
        <v>3159</v>
      </c>
      <c r="J2131" s="1285"/>
      <c r="K2131" s="1285"/>
      <c r="L2131" s="1285"/>
    </row>
    <row r="2132" spans="1:12" ht="11.15" customHeight="1">
      <c r="A2132" s="29" t="s">
        <v>3160</v>
      </c>
      <c r="B2132" s="90"/>
      <c r="C2132" s="147"/>
      <c r="D2132" s="161"/>
      <c r="E2132" s="36"/>
      <c r="F2132" s="178"/>
      <c r="G2132" s="496"/>
      <c r="H2132" s="36"/>
      <c r="I2132" s="12"/>
    </row>
    <row r="2133" spans="1:12" ht="11.15" customHeight="1">
      <c r="A2133" s="29" t="s">
        <v>3161</v>
      </c>
      <c r="B2133" s="90"/>
      <c r="C2133" s="147"/>
      <c r="D2133" s="161"/>
      <c r="E2133" s="36"/>
      <c r="F2133" s="178"/>
      <c r="G2133" s="496"/>
      <c r="H2133" s="36"/>
      <c r="I2133" s="11"/>
    </row>
    <row r="2134" spans="1:12" ht="11.15" customHeight="1">
      <c r="A2134" s="29" t="s">
        <v>3162</v>
      </c>
      <c r="B2134" s="90"/>
      <c r="C2134" s="147"/>
      <c r="D2134" s="161"/>
      <c r="E2134" s="36"/>
      <c r="F2134" s="183"/>
      <c r="G2134" s="496"/>
      <c r="H2134" s="34"/>
      <c r="I2134" s="11"/>
    </row>
    <row r="2135" spans="1:12" ht="11.15" customHeight="1">
      <c r="A2135" s="29" t="s">
        <v>3163</v>
      </c>
      <c r="B2135" s="185"/>
      <c r="C2135" s="147"/>
      <c r="D2135" s="129"/>
      <c r="E2135" s="185"/>
      <c r="F2135" s="185"/>
      <c r="G2135" s="185"/>
      <c r="H2135" s="185"/>
      <c r="I2135" s="11"/>
    </row>
    <row r="2136" spans="1:12" ht="11.15" customHeight="1">
      <c r="A2136" s="181" t="s">
        <v>3164</v>
      </c>
      <c r="B2136" s="185"/>
      <c r="C2136" s="147"/>
      <c r="D2136" s="129"/>
      <c r="E2136" s="185"/>
      <c r="F2136" s="185"/>
      <c r="G2136" s="185"/>
      <c r="H2136" s="185"/>
      <c r="I2136" s="11"/>
    </row>
    <row r="2137" spans="1:12" ht="11.15" customHeight="1">
      <c r="A2137" s="29" t="s">
        <v>3165</v>
      </c>
      <c r="B2137" s="90"/>
      <c r="C2137" s="147"/>
      <c r="D2137" s="161"/>
      <c r="E2137" s="36"/>
      <c r="F2137" s="183"/>
      <c r="G2137" s="60"/>
      <c r="H2137" s="34"/>
      <c r="I2137" s="11"/>
    </row>
    <row r="2138" spans="1:12" ht="11.15" customHeight="1">
      <c r="A2138" s="29" t="s">
        <v>3166</v>
      </c>
      <c r="B2138" s="90"/>
      <c r="C2138" s="147"/>
      <c r="D2138" s="161"/>
      <c r="E2138" s="36"/>
      <c r="F2138" s="183"/>
      <c r="G2138" s="60"/>
      <c r="H2138" s="34"/>
      <c r="I2138" s="11"/>
    </row>
    <row r="2139" spans="1:12" ht="11.15" customHeight="1">
      <c r="A2139" s="166" t="s">
        <v>3167</v>
      </c>
      <c r="B2139" s="185"/>
      <c r="C2139" s="147"/>
      <c r="D2139" s="161"/>
      <c r="E2139" s="36"/>
      <c r="F2139" s="183"/>
      <c r="G2139" s="60"/>
      <c r="H2139" s="34"/>
      <c r="I2139" s="11"/>
    </row>
    <row r="2140" spans="1:12" ht="11.15" customHeight="1">
      <c r="A2140" s="129" t="s">
        <v>3168</v>
      </c>
      <c r="B2140" s="90"/>
      <c r="C2140" s="147"/>
      <c r="D2140" s="122"/>
      <c r="E2140" s="36"/>
      <c r="F2140" s="183"/>
      <c r="G2140" s="60"/>
      <c r="H2140" s="34"/>
      <c r="I2140" s="11"/>
    </row>
    <row r="2141" spans="1:12" ht="11.15" customHeight="1" thickBot="1">
      <c r="A2141" s="185"/>
      <c r="B2141" s="90"/>
      <c r="C2141" s="147"/>
      <c r="D2141" s="161"/>
      <c r="E2141" s="36"/>
      <c r="F2141" s="183"/>
      <c r="G2141" s="60"/>
      <c r="H2141" s="34"/>
      <c r="I2141" s="11"/>
    </row>
    <row r="2142" spans="1:12" ht="11.15" customHeight="1" thickBot="1">
      <c r="A2142" s="184" t="s">
        <v>3169</v>
      </c>
      <c r="B2142" s="59" t="s">
        <v>20550</v>
      </c>
      <c r="C2142" s="147" t="s">
        <v>20221</v>
      </c>
      <c r="D2142" s="284" t="s">
        <v>897</v>
      </c>
      <c r="E2142" s="178">
        <v>2022</v>
      </c>
      <c r="F2142" s="178" t="s">
        <v>4520</v>
      </c>
      <c r="G2142" s="496"/>
      <c r="H2142" s="994" t="s">
        <v>20224</v>
      </c>
      <c r="I2142" s="12" t="s">
        <v>3170</v>
      </c>
      <c r="J2142" s="1285"/>
      <c r="K2142" s="1285"/>
      <c r="L2142" s="1285"/>
    </row>
    <row r="2143" spans="1:12" ht="11.15" customHeight="1">
      <c r="A2143" s="29" t="s">
        <v>3171</v>
      </c>
      <c r="B2143" s="59" t="s">
        <v>20550</v>
      </c>
      <c r="C2143" s="147" t="s">
        <v>20221</v>
      </c>
      <c r="D2143" s="284" t="s">
        <v>897</v>
      </c>
      <c r="E2143" s="178">
        <v>2021</v>
      </c>
      <c r="F2143" s="178" t="s">
        <v>23395</v>
      </c>
      <c r="G2143" s="496"/>
      <c r="H2143" s="994" t="s">
        <v>20221</v>
      </c>
      <c r="I2143" s="12" t="s">
        <v>3172</v>
      </c>
      <c r="J2143" s="1285"/>
      <c r="K2143" s="1285"/>
      <c r="L2143" s="1285"/>
    </row>
    <row r="2144" spans="1:12" ht="11.15" customHeight="1">
      <c r="A2144" s="29" t="s">
        <v>3173</v>
      </c>
      <c r="B2144" s="59" t="s">
        <v>20550</v>
      </c>
      <c r="C2144" s="147" t="s">
        <v>20221</v>
      </c>
      <c r="D2144" s="284" t="s">
        <v>897</v>
      </c>
      <c r="E2144" s="178">
        <v>2017</v>
      </c>
      <c r="F2144" s="178" t="s">
        <v>4520</v>
      </c>
      <c r="G2144" s="496"/>
      <c r="H2144" s="994" t="s">
        <v>20224</v>
      </c>
      <c r="I2144" s="12" t="s">
        <v>3174</v>
      </c>
      <c r="J2144" s="1285"/>
      <c r="K2144" s="1285"/>
      <c r="L2144" s="1285"/>
    </row>
    <row r="2145" spans="1:12" ht="11.15" customHeight="1">
      <c r="A2145" s="29" t="s">
        <v>3175</v>
      </c>
      <c r="B2145" s="59" t="s">
        <v>20551</v>
      </c>
      <c r="C2145" s="147" t="s">
        <v>20221</v>
      </c>
      <c r="D2145" s="284" t="s">
        <v>897</v>
      </c>
      <c r="E2145" s="178">
        <v>2011</v>
      </c>
      <c r="F2145" s="178" t="s">
        <v>11931</v>
      </c>
      <c r="G2145" s="496"/>
      <c r="H2145" s="994" t="s">
        <v>20224</v>
      </c>
      <c r="I2145" s="12" t="s">
        <v>3176</v>
      </c>
      <c r="J2145" s="1285"/>
      <c r="K2145" s="1285"/>
      <c r="L2145" s="1285"/>
    </row>
    <row r="2146" spans="1:12" ht="11.15" customHeight="1">
      <c r="A2146" s="29" t="s">
        <v>3177</v>
      </c>
      <c r="B2146" s="185"/>
      <c r="C2146" s="147"/>
      <c r="D2146" s="185"/>
      <c r="E2146" s="185"/>
      <c r="F2146" s="185"/>
      <c r="G2146" s="185"/>
      <c r="H2146" s="185"/>
      <c r="I2146" s="11"/>
    </row>
    <row r="2147" spans="1:12" ht="11.15" customHeight="1">
      <c r="A2147" s="212" t="s">
        <v>3178</v>
      </c>
      <c r="B2147" s="90"/>
      <c r="C2147" s="147"/>
      <c r="D2147" s="161"/>
      <c r="E2147" s="36"/>
      <c r="F2147" s="183"/>
      <c r="G2147" s="60"/>
      <c r="H2147" s="34"/>
      <c r="I2147" s="11"/>
    </row>
    <row r="2148" spans="1:12" ht="11.15" customHeight="1">
      <c r="A2148" s="129" t="s">
        <v>3179</v>
      </c>
      <c r="B2148" s="90"/>
      <c r="C2148" s="147"/>
      <c r="D2148" s="161"/>
      <c r="E2148" s="36"/>
      <c r="F2148" s="183"/>
      <c r="G2148" s="60"/>
      <c r="H2148" s="34"/>
      <c r="I2148" s="11"/>
    </row>
    <row r="2149" spans="1:12" ht="11.15" customHeight="1">
      <c r="A2149" s="129" t="s">
        <v>3180</v>
      </c>
      <c r="B2149" s="185"/>
      <c r="C2149" s="147"/>
      <c r="D2149" s="161"/>
      <c r="E2149" s="36"/>
      <c r="F2149" s="183"/>
      <c r="G2149" s="60"/>
      <c r="H2149" s="34"/>
      <c r="I2149" s="11"/>
    </row>
    <row r="2150" spans="1:12" ht="11.15" customHeight="1" thickBot="1">
      <c r="A2150" s="185"/>
      <c r="B2150" s="90"/>
      <c r="C2150" s="147"/>
      <c r="D2150" s="161"/>
      <c r="E2150" s="36"/>
      <c r="F2150" s="183"/>
      <c r="G2150" s="60"/>
      <c r="H2150" s="34"/>
      <c r="I2150" s="11"/>
    </row>
    <row r="2151" spans="1:12" ht="11.15" customHeight="1">
      <c r="A2151" s="353" t="s">
        <v>3181</v>
      </c>
      <c r="B2151" s="59" t="s">
        <v>148</v>
      </c>
      <c r="C2151" s="147" t="s">
        <v>20221</v>
      </c>
      <c r="D2151" s="284" t="s">
        <v>897</v>
      </c>
      <c r="E2151" s="178">
        <v>2019</v>
      </c>
      <c r="F2151" s="178" t="s">
        <v>4520</v>
      </c>
      <c r="G2151" s="496"/>
      <c r="H2151" s="994" t="s">
        <v>20277</v>
      </c>
      <c r="I2151" s="12" t="s">
        <v>3182</v>
      </c>
      <c r="J2151" s="1285"/>
      <c r="K2151" s="1285"/>
      <c r="L2151" s="1285"/>
    </row>
    <row r="2152" spans="1:12" ht="11.15" customHeight="1" thickBot="1">
      <c r="A2152" s="354" t="s">
        <v>3183</v>
      </c>
      <c r="B2152" s="90"/>
      <c r="C2152" s="147"/>
      <c r="D2152" s="161"/>
      <c r="E2152" s="36"/>
      <c r="F2152" s="178"/>
      <c r="G2152" s="497"/>
      <c r="H2152" s="36"/>
      <c r="I2152" s="11"/>
    </row>
    <row r="2153" spans="1:12" ht="11.15" customHeight="1">
      <c r="A2153" s="29" t="s">
        <v>3184</v>
      </c>
      <c r="B2153" s="90"/>
      <c r="C2153" s="147"/>
      <c r="D2153" s="161"/>
      <c r="E2153" s="36"/>
      <c r="F2153" s="178"/>
      <c r="G2153" s="496"/>
      <c r="H2153" s="36"/>
      <c r="I2153" s="11"/>
    </row>
    <row r="2154" spans="1:12" ht="11.15" customHeight="1">
      <c r="A2154" s="29" t="s">
        <v>3185</v>
      </c>
      <c r="B2154" s="90"/>
      <c r="C2154" s="147"/>
      <c r="D2154" s="161"/>
      <c r="E2154" s="36"/>
      <c r="F2154" s="178"/>
      <c r="G2154" s="496"/>
      <c r="H2154" s="36"/>
      <c r="I2154" s="11"/>
    </row>
    <row r="2155" spans="1:12" ht="11.15" customHeight="1">
      <c r="A2155" s="29" t="s">
        <v>3186</v>
      </c>
      <c r="B2155" s="90"/>
      <c r="C2155" s="147"/>
      <c r="D2155" s="161"/>
      <c r="E2155" s="36"/>
      <c r="F2155" s="178"/>
      <c r="G2155" s="496"/>
      <c r="H2155" s="36"/>
      <c r="I2155" s="11"/>
    </row>
    <row r="2156" spans="1:12" ht="11.15" customHeight="1">
      <c r="A2156" s="29" t="s">
        <v>3187</v>
      </c>
      <c r="B2156" s="90"/>
      <c r="C2156" s="147"/>
      <c r="D2156" s="161"/>
      <c r="E2156" s="36"/>
      <c r="F2156" s="178"/>
      <c r="G2156" s="496"/>
      <c r="H2156" s="36"/>
      <c r="I2156" s="11"/>
    </row>
    <row r="2157" spans="1:12" ht="11.15" customHeight="1">
      <c r="A2157" s="29" t="s">
        <v>3188</v>
      </c>
      <c r="B2157" s="90"/>
      <c r="C2157" s="147"/>
      <c r="D2157" s="161"/>
      <c r="E2157" s="36"/>
      <c r="F2157" s="178"/>
      <c r="G2157" s="496"/>
      <c r="H2157" s="36"/>
      <c r="I2157" s="11"/>
    </row>
    <row r="2158" spans="1:12" ht="11.15" customHeight="1">
      <c r="A2158" s="29" t="s">
        <v>3189</v>
      </c>
      <c r="B2158" s="90"/>
      <c r="C2158" s="147"/>
      <c r="D2158" s="161"/>
      <c r="E2158" s="36"/>
      <c r="F2158" s="178"/>
      <c r="G2158" s="496"/>
      <c r="H2158" s="36"/>
      <c r="I2158" s="11"/>
    </row>
    <row r="2159" spans="1:12" ht="11.15" customHeight="1">
      <c r="A2159" s="199" t="s">
        <v>3190</v>
      </c>
      <c r="B2159" s="90"/>
      <c r="C2159" s="147"/>
      <c r="D2159" s="161"/>
      <c r="E2159" s="36"/>
      <c r="F2159" s="183"/>
      <c r="G2159" s="60"/>
      <c r="H2159" s="34"/>
      <c r="I2159" s="11"/>
    </row>
    <row r="2160" spans="1:12" ht="11.15" customHeight="1">
      <c r="A2160" s="129" t="s">
        <v>3191</v>
      </c>
      <c r="B2160" s="90"/>
      <c r="C2160" s="147"/>
      <c r="D2160" s="161"/>
      <c r="E2160" s="36"/>
      <c r="F2160" s="183"/>
      <c r="G2160" s="60"/>
      <c r="H2160" s="34"/>
      <c r="I2160" s="11"/>
    </row>
    <row r="2161" spans="1:12" ht="11.15" customHeight="1">
      <c r="A2161" s="129" t="s">
        <v>3192</v>
      </c>
      <c r="B2161" s="90"/>
      <c r="C2161" s="147"/>
      <c r="D2161" s="161"/>
      <c r="E2161" s="36"/>
      <c r="F2161" s="183"/>
      <c r="G2161" s="60"/>
      <c r="H2161" s="34"/>
      <c r="I2161" s="11"/>
    </row>
    <row r="2162" spans="1:12" ht="11.15" customHeight="1">
      <c r="A2162" s="129" t="s">
        <v>3193</v>
      </c>
      <c r="B2162" s="90"/>
      <c r="C2162" s="147"/>
      <c r="D2162" s="122"/>
      <c r="E2162" s="36"/>
      <c r="F2162" s="178"/>
      <c r="G2162" s="60"/>
      <c r="H2162" s="36"/>
      <c r="I2162" s="11"/>
    </row>
    <row r="2163" spans="1:12" ht="11.15" customHeight="1" thickBot="1">
      <c r="A2163" s="29"/>
      <c r="B2163" s="90"/>
      <c r="C2163" s="147"/>
      <c r="D2163" s="161"/>
      <c r="E2163" s="36"/>
      <c r="F2163" s="183"/>
      <c r="G2163" s="60"/>
      <c r="H2163" s="34"/>
      <c r="I2163" s="11"/>
    </row>
    <row r="2164" spans="1:12" ht="11.15" customHeight="1" thickBot="1">
      <c r="A2164" s="273" t="s">
        <v>3194</v>
      </c>
      <c r="B2164" s="59" t="s">
        <v>20552</v>
      </c>
      <c r="C2164" s="147" t="s">
        <v>20221</v>
      </c>
      <c r="D2164" s="284" t="s">
        <v>897</v>
      </c>
      <c r="E2164" s="178">
        <v>2020</v>
      </c>
      <c r="F2164" s="178" t="s">
        <v>4520</v>
      </c>
      <c r="G2164" s="496"/>
      <c r="H2164" s="994" t="s">
        <v>20224</v>
      </c>
      <c r="I2164" s="12" t="s">
        <v>3195</v>
      </c>
      <c r="J2164" s="1285"/>
      <c r="K2164" s="1285"/>
      <c r="L2164" s="1285"/>
    </row>
    <row r="2165" spans="1:12" ht="11.15" customHeight="1">
      <c r="A2165" s="29" t="s">
        <v>145</v>
      </c>
      <c r="B2165" s="59"/>
      <c r="C2165" s="147"/>
      <c r="D2165" s="284"/>
      <c r="E2165" s="178"/>
      <c r="F2165" s="178"/>
      <c r="G2165" s="496"/>
      <c r="H2165" s="994"/>
      <c r="I2165" s="12"/>
      <c r="J2165" s="1285"/>
      <c r="K2165" s="1285"/>
      <c r="L2165" s="1285"/>
    </row>
    <row r="2166" spans="1:12" ht="11.15" customHeight="1">
      <c r="A2166" s="168" t="s">
        <v>3196</v>
      </c>
      <c r="B2166" s="90"/>
      <c r="C2166" s="147"/>
      <c r="D2166" s="161"/>
      <c r="E2166" s="36"/>
      <c r="F2166" s="178"/>
      <c r="G2166" s="496"/>
      <c r="H2166" s="36"/>
      <c r="I2166" s="11"/>
    </row>
    <row r="2167" spans="1:12" ht="11.15" customHeight="1" thickBot="1">
      <c r="A2167" s="185"/>
      <c r="B2167" s="90"/>
      <c r="C2167" s="147"/>
      <c r="D2167" s="161"/>
      <c r="E2167" s="36"/>
      <c r="F2167" s="183"/>
      <c r="G2167" s="60"/>
      <c r="H2167" s="34"/>
      <c r="I2167" s="11"/>
    </row>
    <row r="2168" spans="1:12" ht="11.15" customHeight="1" thickBot="1">
      <c r="A2168" s="184" t="s">
        <v>3197</v>
      </c>
      <c r="B2168" s="59" t="s">
        <v>20553</v>
      </c>
      <c r="C2168" s="147" t="s">
        <v>20221</v>
      </c>
      <c r="D2168" s="284" t="s">
        <v>897</v>
      </c>
      <c r="E2168" s="178">
        <v>2019</v>
      </c>
      <c r="F2168" s="178" t="s">
        <v>4520</v>
      </c>
      <c r="G2168" s="496"/>
      <c r="H2168" s="994" t="s">
        <v>20221</v>
      </c>
      <c r="I2168" s="11" t="s">
        <v>3198</v>
      </c>
      <c r="J2168" s="1285"/>
      <c r="K2168" s="1285"/>
      <c r="L2168" s="1285"/>
    </row>
    <row r="2169" spans="1:12" ht="11.15" customHeight="1">
      <c r="A2169" s="29" t="s">
        <v>3199</v>
      </c>
      <c r="B2169" s="90"/>
      <c r="C2169" s="147"/>
      <c r="D2169" s="161"/>
      <c r="E2169" s="36"/>
      <c r="F2169" s="178"/>
      <c r="G2169" s="496"/>
      <c r="H2169" s="36"/>
      <c r="I2169" s="11"/>
    </row>
    <row r="2170" spans="1:12" ht="11.15" customHeight="1">
      <c r="A2170" s="29" t="s">
        <v>3200</v>
      </c>
      <c r="B2170" s="90"/>
      <c r="C2170" s="147"/>
      <c r="D2170" s="161"/>
      <c r="E2170" s="36"/>
      <c r="F2170" s="178"/>
      <c r="G2170" s="496"/>
      <c r="H2170" s="36"/>
      <c r="I2170" s="11"/>
    </row>
    <row r="2171" spans="1:12" ht="11.15" customHeight="1">
      <c r="A2171" s="181" t="s">
        <v>3201</v>
      </c>
      <c r="B2171" s="90"/>
      <c r="C2171" s="147"/>
      <c r="D2171" s="161"/>
      <c r="E2171" s="36"/>
      <c r="F2171" s="178"/>
      <c r="G2171" s="496"/>
      <c r="H2171" s="36"/>
      <c r="I2171" s="11"/>
    </row>
    <row r="2172" spans="1:12" ht="11.15" customHeight="1">
      <c r="A2172" s="129" t="s">
        <v>1077</v>
      </c>
      <c r="B2172" s="90"/>
      <c r="C2172" s="147"/>
      <c r="D2172" s="161"/>
      <c r="E2172" s="36"/>
      <c r="F2172" s="178"/>
      <c r="G2172" s="496"/>
      <c r="H2172" s="36"/>
      <c r="I2172" s="11"/>
    </row>
    <row r="2173" spans="1:12" ht="11.15" customHeight="1">
      <c r="A2173" s="162" t="s">
        <v>3202</v>
      </c>
      <c r="B2173" s="90"/>
      <c r="C2173" s="147"/>
      <c r="D2173" s="161"/>
      <c r="E2173" s="36"/>
      <c r="F2173" s="178"/>
      <c r="G2173" s="496"/>
      <c r="H2173" s="36"/>
      <c r="I2173" s="11"/>
    </row>
    <row r="2174" spans="1:12" ht="10" customHeight="1">
      <c r="A2174" s="162" t="s">
        <v>3203</v>
      </c>
      <c r="B2174" s="90"/>
      <c r="C2174" s="147"/>
      <c r="D2174" s="161"/>
      <c r="E2174" s="36"/>
      <c r="F2174" s="178"/>
      <c r="G2174" s="496"/>
      <c r="H2174" s="36"/>
      <c r="I2174" s="11"/>
    </row>
    <row r="2175" spans="1:12" ht="10" customHeight="1">
      <c r="A2175" s="162" t="s">
        <v>3204</v>
      </c>
      <c r="B2175" s="90"/>
      <c r="C2175" s="147"/>
      <c r="D2175" s="161"/>
      <c r="E2175" s="36"/>
      <c r="F2175" s="178"/>
      <c r="G2175" s="496"/>
      <c r="H2175" s="36"/>
      <c r="I2175" s="11"/>
    </row>
    <row r="2176" spans="1:12" ht="10" customHeight="1">
      <c r="A2176" s="162" t="s">
        <v>3205</v>
      </c>
      <c r="B2176" s="90"/>
      <c r="C2176" s="147"/>
      <c r="D2176" s="161"/>
      <c r="E2176" s="36"/>
      <c r="F2176" s="178"/>
      <c r="G2176" s="496"/>
      <c r="H2176" s="36"/>
      <c r="I2176" s="11"/>
    </row>
    <row r="2177" spans="1:12" ht="10" customHeight="1">
      <c r="A2177" s="162" t="s">
        <v>3206</v>
      </c>
      <c r="B2177" s="90"/>
      <c r="C2177" s="147"/>
      <c r="D2177" s="161"/>
      <c r="E2177" s="36"/>
      <c r="F2177" s="178"/>
      <c r="G2177" s="496"/>
      <c r="H2177" s="36"/>
      <c r="I2177" s="11"/>
    </row>
    <row r="2178" spans="1:12" ht="11.15" customHeight="1">
      <c r="A2178" s="162" t="s">
        <v>3207</v>
      </c>
      <c r="B2178" s="90"/>
      <c r="C2178" s="147"/>
      <c r="D2178" s="161"/>
      <c r="E2178" s="36"/>
      <c r="F2178" s="178"/>
      <c r="G2178" s="496"/>
      <c r="H2178" s="36"/>
      <c r="I2178" s="11"/>
    </row>
    <row r="2179" spans="1:12" ht="11.15" customHeight="1">
      <c r="A2179" s="29" t="s">
        <v>3208</v>
      </c>
      <c r="B2179" s="90"/>
      <c r="C2179" s="147"/>
      <c r="D2179" s="161"/>
      <c r="E2179" s="36"/>
      <c r="F2179" s="178"/>
      <c r="G2179" s="496"/>
      <c r="H2179" s="36"/>
      <c r="I2179" s="11"/>
    </row>
    <row r="2180" spans="1:12" ht="11.15" customHeight="1">
      <c r="A2180" s="29" t="s">
        <v>3209</v>
      </c>
      <c r="B2180" s="90"/>
      <c r="C2180" s="147"/>
      <c r="D2180" s="161"/>
      <c r="E2180" s="36"/>
      <c r="F2180" s="178"/>
      <c r="G2180" s="496"/>
      <c r="H2180" s="36"/>
      <c r="I2180" s="11"/>
    </row>
    <row r="2181" spans="1:12" ht="11.15" customHeight="1">
      <c r="A2181" s="29" t="s">
        <v>3210</v>
      </c>
      <c r="B2181" s="90"/>
      <c r="C2181" s="147"/>
      <c r="D2181" s="161"/>
      <c r="E2181" s="36"/>
      <c r="F2181" s="178"/>
      <c r="G2181" s="496"/>
      <c r="H2181" s="36"/>
      <c r="I2181" s="11"/>
    </row>
    <row r="2182" spans="1:12" ht="11.15" customHeight="1">
      <c r="A2182" s="199" t="s">
        <v>3211</v>
      </c>
      <c r="B2182" s="275"/>
      <c r="C2182" s="147"/>
      <c r="D2182" s="161"/>
      <c r="E2182" s="36"/>
      <c r="F2182" s="178"/>
      <c r="G2182" s="496"/>
      <c r="H2182" s="36"/>
      <c r="I2182" s="11"/>
    </row>
    <row r="2183" spans="1:12" ht="11.15" customHeight="1">
      <c r="A2183" s="129" t="s">
        <v>3212</v>
      </c>
      <c r="B2183" s="90"/>
      <c r="C2183" s="147"/>
      <c r="D2183" s="161"/>
      <c r="E2183" s="36"/>
      <c r="F2183" s="183"/>
      <c r="G2183" s="497"/>
      <c r="H2183" s="34"/>
      <c r="I2183" s="11"/>
    </row>
    <row r="2184" spans="1:12" ht="11.15" customHeight="1">
      <c r="A2184" s="129" t="s">
        <v>3213</v>
      </c>
      <c r="B2184" s="90"/>
      <c r="C2184" s="147"/>
      <c r="D2184" s="122"/>
      <c r="E2184" s="36"/>
      <c r="F2184" s="178"/>
      <c r="G2184" s="60"/>
      <c r="H2184" s="36"/>
      <c r="I2184" s="11"/>
    </row>
    <row r="2185" spans="1:12" ht="11.15" customHeight="1" thickBot="1">
      <c r="A2185" s="29"/>
      <c r="B2185" s="185"/>
      <c r="C2185" s="147"/>
      <c r="D2185" s="185"/>
      <c r="E2185" s="185"/>
      <c r="F2185" s="185"/>
      <c r="G2185" s="185"/>
      <c r="H2185" s="185"/>
      <c r="I2185" s="11"/>
    </row>
    <row r="2186" spans="1:12" ht="11.15" customHeight="1" thickBot="1">
      <c r="A2186" s="184" t="s">
        <v>3214</v>
      </c>
      <c r="B2186" s="177" t="s">
        <v>1491</v>
      </c>
      <c r="C2186" s="147"/>
      <c r="D2186" s="161"/>
      <c r="E2186" s="36"/>
      <c r="F2186" s="183"/>
      <c r="G2186" s="60"/>
      <c r="H2186" s="34"/>
      <c r="I2186" s="11"/>
    </row>
    <row r="2187" spans="1:12" ht="11.15" customHeight="1">
      <c r="A2187" s="29" t="s">
        <v>3215</v>
      </c>
      <c r="B2187" s="59" t="s">
        <v>20554</v>
      </c>
      <c r="C2187" s="147" t="s">
        <v>23393</v>
      </c>
      <c r="D2187" s="284" t="s">
        <v>897</v>
      </c>
      <c r="E2187" s="178">
        <v>2022</v>
      </c>
      <c r="F2187" s="178" t="s">
        <v>4520</v>
      </c>
      <c r="G2187" s="496"/>
      <c r="H2187" s="994" t="s">
        <v>20221</v>
      </c>
      <c r="I2187" s="11" t="s">
        <v>3216</v>
      </c>
      <c r="J2187" s="1285"/>
      <c r="K2187" s="1285"/>
      <c r="L2187" s="1285"/>
    </row>
    <row r="2188" spans="1:12" ht="11.15" customHeight="1">
      <c r="A2188" s="358" t="s">
        <v>3217</v>
      </c>
      <c r="B2188" s="59" t="s">
        <v>20554</v>
      </c>
      <c r="C2188" s="147" t="s">
        <v>20221</v>
      </c>
      <c r="D2188" s="284" t="s">
        <v>897</v>
      </c>
      <c r="E2188" s="178">
        <v>2019</v>
      </c>
      <c r="F2188" s="178" t="s">
        <v>4520</v>
      </c>
      <c r="G2188" s="496"/>
      <c r="H2188" s="994" t="s">
        <v>20221</v>
      </c>
      <c r="I2188" s="11" t="s">
        <v>3218</v>
      </c>
      <c r="J2188" s="1285"/>
      <c r="K2188" s="1285"/>
      <c r="L2188" s="1285"/>
    </row>
    <row r="2189" spans="1:12" ht="11.15" customHeight="1">
      <c r="A2189" s="359" t="s">
        <v>3219</v>
      </c>
      <c r="B2189" s="177" t="s">
        <v>1691</v>
      </c>
      <c r="C2189" s="147"/>
      <c r="D2189" s="185"/>
      <c r="E2189" s="185"/>
      <c r="F2189" s="185"/>
      <c r="G2189" s="185"/>
      <c r="H2189" s="185"/>
      <c r="I2189" s="11"/>
    </row>
    <row r="2190" spans="1:12" ht="11.15" customHeight="1">
      <c r="A2190" s="359" t="s">
        <v>3220</v>
      </c>
      <c r="B2190" s="59" t="s">
        <v>20555</v>
      </c>
      <c r="C2190" s="147" t="s">
        <v>23393</v>
      </c>
      <c r="D2190" s="284" t="s">
        <v>897</v>
      </c>
      <c r="E2190" s="178">
        <v>2022</v>
      </c>
      <c r="F2190" s="178" t="s">
        <v>4520</v>
      </c>
      <c r="G2190" s="496"/>
      <c r="H2190" s="994" t="s">
        <v>20221</v>
      </c>
      <c r="I2190" s="11" t="s">
        <v>3221</v>
      </c>
      <c r="J2190" s="1285"/>
      <c r="K2190" s="1285"/>
      <c r="L2190" s="1285"/>
    </row>
    <row r="2191" spans="1:12" ht="11.15" customHeight="1">
      <c r="A2191" s="359" t="s">
        <v>3222</v>
      </c>
      <c r="B2191" s="59" t="s">
        <v>20555</v>
      </c>
      <c r="C2191" s="147" t="s">
        <v>20221</v>
      </c>
      <c r="D2191" s="284" t="s">
        <v>897</v>
      </c>
      <c r="E2191" s="178">
        <v>2021</v>
      </c>
      <c r="F2191" s="178" t="s">
        <v>4520</v>
      </c>
      <c r="G2191" s="496"/>
      <c r="H2191" s="994" t="s">
        <v>20221</v>
      </c>
      <c r="I2191" s="11" t="s">
        <v>3223</v>
      </c>
      <c r="J2191" s="1285"/>
      <c r="K2191" s="1285"/>
      <c r="L2191" s="1285"/>
    </row>
    <row r="2192" spans="1:12" ht="11.15" customHeight="1">
      <c r="A2192" s="199" t="s">
        <v>3224</v>
      </c>
      <c r="B2192" s="59" t="s">
        <v>20555</v>
      </c>
      <c r="C2192" s="147" t="s">
        <v>20221</v>
      </c>
      <c r="D2192" s="284" t="s">
        <v>897</v>
      </c>
      <c r="E2192" s="178">
        <v>2019</v>
      </c>
      <c r="F2192" s="178" t="s">
        <v>4520</v>
      </c>
      <c r="G2192" s="496"/>
      <c r="H2192" s="994" t="s">
        <v>20221</v>
      </c>
      <c r="I2192" s="11" t="s">
        <v>3225</v>
      </c>
      <c r="J2192" s="1285"/>
      <c r="K2192" s="1285"/>
      <c r="L2192" s="1285"/>
    </row>
    <row r="2193" spans="1:12" ht="11.15" customHeight="1">
      <c r="A2193" s="129" t="s">
        <v>3226</v>
      </c>
      <c r="B2193" s="185"/>
      <c r="C2193" s="185"/>
      <c r="D2193" s="185"/>
      <c r="E2193" s="185"/>
      <c r="F2193" s="185"/>
      <c r="G2193" s="185"/>
      <c r="H2193" s="185"/>
      <c r="I2193" s="11"/>
    </row>
    <row r="2194" spans="1:12" ht="11.15" customHeight="1" thickBot="1">
      <c r="A2194" s="29"/>
      <c r="B2194" s="59"/>
      <c r="C2194" s="147"/>
      <c r="D2194" s="284"/>
      <c r="E2194" s="178"/>
      <c r="F2194" s="178"/>
      <c r="G2194" s="496"/>
      <c r="H2194" s="994"/>
      <c r="I2194" s="12"/>
      <c r="J2194" s="1285"/>
      <c r="K2194" s="1285"/>
      <c r="L2194" s="1285"/>
    </row>
    <row r="2195" spans="1:12" ht="11.15" customHeight="1" thickBot="1">
      <c r="A2195" s="184" t="s">
        <v>3227</v>
      </c>
      <c r="B2195" s="59" t="s">
        <v>20556</v>
      </c>
      <c r="C2195" s="147" t="s">
        <v>20221</v>
      </c>
      <c r="D2195" s="284" t="s">
        <v>897</v>
      </c>
      <c r="E2195" s="178">
        <v>2022</v>
      </c>
      <c r="F2195" s="178" t="s">
        <v>4520</v>
      </c>
      <c r="G2195" s="496"/>
      <c r="H2195" s="994" t="s">
        <v>20343</v>
      </c>
      <c r="I2195" s="12" t="s">
        <v>3228</v>
      </c>
      <c r="J2195" s="1285"/>
      <c r="K2195" s="1285"/>
      <c r="L2195" s="1285"/>
    </row>
    <row r="2196" spans="1:12" ht="11.15" customHeight="1">
      <c r="A2196" s="29" t="s">
        <v>3229</v>
      </c>
      <c r="B2196" s="59" t="s">
        <v>20556</v>
      </c>
      <c r="C2196" s="147" t="s">
        <v>20221</v>
      </c>
      <c r="D2196" s="284" t="s">
        <v>897</v>
      </c>
      <c r="E2196" s="178">
        <v>2019</v>
      </c>
      <c r="F2196" s="178" t="s">
        <v>4520</v>
      </c>
      <c r="G2196" s="496"/>
      <c r="H2196" s="994" t="s">
        <v>20221</v>
      </c>
      <c r="I2196" s="12" t="s">
        <v>3230</v>
      </c>
      <c r="J2196" s="1285"/>
      <c r="K2196" s="1285"/>
      <c r="L2196" s="1285"/>
    </row>
    <row r="2197" spans="1:12" ht="11.15" customHeight="1">
      <c r="A2197" s="29" t="s">
        <v>3231</v>
      </c>
      <c r="B2197" s="90"/>
      <c r="C2197" s="147"/>
      <c r="D2197" s="161"/>
      <c r="E2197" s="36"/>
      <c r="F2197" s="178"/>
      <c r="G2197" s="496"/>
      <c r="H2197" s="36"/>
      <c r="I2197" s="11"/>
    </row>
    <row r="2198" spans="1:12" ht="11.15" customHeight="1">
      <c r="A2198" s="29" t="s">
        <v>3232</v>
      </c>
      <c r="B2198" s="90"/>
      <c r="C2198" s="147"/>
      <c r="D2198" s="161"/>
      <c r="E2198" s="36"/>
      <c r="F2198" s="178"/>
      <c r="G2198" s="496"/>
      <c r="H2198" s="36"/>
      <c r="I2198" s="11"/>
    </row>
    <row r="2199" spans="1:12" ht="11.15" customHeight="1">
      <c r="A2199" s="29" t="s">
        <v>3233</v>
      </c>
      <c r="B2199" s="275"/>
      <c r="C2199" s="147"/>
      <c r="D2199" s="161"/>
      <c r="E2199" s="36"/>
      <c r="F2199" s="178"/>
      <c r="G2199" s="496"/>
      <c r="H2199" s="36"/>
      <c r="I2199" s="11"/>
    </row>
    <row r="2200" spans="1:12" ht="11.15" customHeight="1">
      <c r="A2200" s="29" t="s">
        <v>3234</v>
      </c>
      <c r="B2200" s="275"/>
      <c r="C2200" s="147"/>
      <c r="D2200" s="161"/>
      <c r="E2200" s="36"/>
      <c r="F2200" s="178"/>
      <c r="G2200" s="496"/>
      <c r="H2200" s="36"/>
      <c r="I2200" s="11"/>
    </row>
    <row r="2201" spans="1:12" ht="11.15" customHeight="1">
      <c r="A2201" s="29" t="s">
        <v>3235</v>
      </c>
      <c r="B2201" s="275"/>
      <c r="C2201" s="147"/>
      <c r="D2201" s="161"/>
      <c r="E2201" s="36"/>
      <c r="F2201" s="178"/>
      <c r="G2201" s="496"/>
      <c r="H2201" s="36"/>
      <c r="I2201" s="11"/>
    </row>
    <row r="2202" spans="1:12" ht="11.15" customHeight="1">
      <c r="A2202" s="29" t="s">
        <v>3236</v>
      </c>
      <c r="B2202" s="275"/>
      <c r="C2202" s="147"/>
      <c r="D2202" s="161"/>
      <c r="E2202" s="36"/>
      <c r="F2202" s="178"/>
      <c r="G2202" s="496"/>
      <c r="H2202" s="36"/>
      <c r="I2202" s="11"/>
    </row>
    <row r="2203" spans="1:12" ht="11.15" customHeight="1">
      <c r="A2203" s="29" t="s">
        <v>3237</v>
      </c>
      <c r="B2203" s="275"/>
      <c r="C2203" s="147"/>
      <c r="D2203" s="161"/>
      <c r="E2203" s="36"/>
      <c r="F2203" s="178"/>
      <c r="G2203" s="496"/>
      <c r="H2203" s="36"/>
      <c r="I2203" s="11"/>
    </row>
    <row r="2204" spans="1:12" ht="11.15" customHeight="1">
      <c r="A2204" s="181" t="s">
        <v>3238</v>
      </c>
      <c r="B2204" s="275"/>
      <c r="C2204" s="147"/>
      <c r="D2204" s="161"/>
      <c r="E2204" s="36"/>
      <c r="F2204" s="178"/>
      <c r="G2204" s="496"/>
      <c r="H2204" s="36"/>
      <c r="I2204" s="11"/>
    </row>
    <row r="2205" spans="1:12" ht="11.15" customHeight="1">
      <c r="A2205" s="166" t="s">
        <v>3239</v>
      </c>
      <c r="B2205" s="90"/>
      <c r="C2205" s="147"/>
      <c r="D2205" s="161"/>
      <c r="E2205" s="36"/>
      <c r="F2205" s="183"/>
      <c r="G2205" s="497"/>
      <c r="H2205" s="34"/>
      <c r="I2205" s="11"/>
    </row>
    <row r="2206" spans="1:12" ht="11.15" customHeight="1">
      <c r="A2206" s="129" t="s">
        <v>3240</v>
      </c>
      <c r="B2206" s="90"/>
      <c r="C2206" s="147"/>
      <c r="D2206" s="161"/>
      <c r="E2206" s="36"/>
      <c r="F2206" s="183"/>
      <c r="G2206" s="60"/>
      <c r="H2206" s="34"/>
      <c r="I2206" s="11"/>
    </row>
    <row r="2207" spans="1:12" ht="10.5" customHeight="1" thickBot="1">
      <c r="A2207" s="29"/>
      <c r="B2207" s="185"/>
      <c r="C2207" s="147"/>
      <c r="D2207" s="161"/>
      <c r="E2207" s="36"/>
      <c r="F2207" s="183"/>
      <c r="G2207" s="60"/>
      <c r="H2207" s="34"/>
      <c r="I2207" s="11"/>
    </row>
    <row r="2208" spans="1:12" ht="11.15" customHeight="1">
      <c r="A2208" s="153" t="s">
        <v>3241</v>
      </c>
      <c r="B2208" s="59" t="s">
        <v>20557</v>
      </c>
      <c r="C2208" s="147" t="s">
        <v>20221</v>
      </c>
      <c r="D2208" s="284" t="s">
        <v>897</v>
      </c>
      <c r="E2208" s="178">
        <v>2023</v>
      </c>
      <c r="F2208" s="178" t="s">
        <v>4520</v>
      </c>
      <c r="G2208" s="496"/>
      <c r="H2208" s="994" t="s">
        <v>20343</v>
      </c>
      <c r="I2208" s="12" t="s">
        <v>3242</v>
      </c>
      <c r="J2208" s="1285"/>
      <c r="K2208" s="1285"/>
      <c r="L2208" s="1285"/>
    </row>
    <row r="2209" spans="1:12" ht="11.15" customHeight="1" thickBot="1">
      <c r="A2209" s="230" t="s">
        <v>3133</v>
      </c>
      <c r="B2209" s="59" t="s">
        <v>20557</v>
      </c>
      <c r="C2209" s="147" t="s">
        <v>20221</v>
      </c>
      <c r="D2209" s="284" t="s">
        <v>897</v>
      </c>
      <c r="E2209" s="178">
        <v>2022</v>
      </c>
      <c r="F2209" s="178" t="s">
        <v>4520</v>
      </c>
      <c r="G2209" s="496"/>
      <c r="H2209" s="994" t="s">
        <v>20221</v>
      </c>
      <c r="I2209" s="12" t="s">
        <v>3243</v>
      </c>
      <c r="J2209" s="1285"/>
      <c r="K2209" s="1285"/>
      <c r="L2209" s="1285"/>
    </row>
    <row r="2210" spans="1:12" ht="11.15" customHeight="1">
      <c r="A2210" s="29" t="s">
        <v>3244</v>
      </c>
      <c r="B2210" s="59" t="s">
        <v>20558</v>
      </c>
      <c r="C2210" s="147" t="s">
        <v>20221</v>
      </c>
      <c r="D2210" s="284" t="s">
        <v>897</v>
      </c>
      <c r="E2210" s="178">
        <v>2021</v>
      </c>
      <c r="F2210" s="178" t="s">
        <v>4520</v>
      </c>
      <c r="G2210" s="496"/>
      <c r="H2210" s="994" t="s">
        <v>20221</v>
      </c>
      <c r="I2210" s="12" t="s">
        <v>3245</v>
      </c>
      <c r="J2210" s="1285"/>
      <c r="K2210" s="1285"/>
      <c r="L2210" s="1285"/>
    </row>
    <row r="2211" spans="1:12" ht="11.15" customHeight="1">
      <c r="A2211" s="272" t="s">
        <v>3246</v>
      </c>
      <c r="B2211" s="59" t="s">
        <v>20557</v>
      </c>
      <c r="C2211" s="147" t="s">
        <v>20221</v>
      </c>
      <c r="D2211" s="284" t="s">
        <v>897</v>
      </c>
      <c r="E2211" s="178">
        <v>2019</v>
      </c>
      <c r="F2211" s="178" t="s">
        <v>4520</v>
      </c>
      <c r="G2211" s="496"/>
      <c r="H2211" s="994" t="s">
        <v>20221</v>
      </c>
      <c r="I2211" s="12" t="s">
        <v>3247</v>
      </c>
      <c r="J2211" s="1285"/>
      <c r="K2211" s="1285"/>
      <c r="L2211" s="1285"/>
    </row>
    <row r="2212" spans="1:12" ht="11.15" customHeight="1">
      <c r="A2212" s="29" t="s">
        <v>3248</v>
      </c>
      <c r="B2212" s="59" t="s">
        <v>20557</v>
      </c>
      <c r="C2212" s="147" t="s">
        <v>20221</v>
      </c>
      <c r="D2212" s="284" t="s">
        <v>897</v>
      </c>
      <c r="E2212" s="178">
        <v>2017</v>
      </c>
      <c r="F2212" s="178" t="s">
        <v>4520</v>
      </c>
      <c r="G2212" s="496"/>
      <c r="H2212" s="994" t="s">
        <v>20224</v>
      </c>
      <c r="I2212" s="12" t="s">
        <v>3250</v>
      </c>
      <c r="J2212" s="1285"/>
      <c r="K2212" s="1285"/>
      <c r="L2212" s="1285"/>
    </row>
    <row r="2213" spans="1:12" ht="11.15" customHeight="1">
      <c r="A2213" s="199" t="s">
        <v>3249</v>
      </c>
      <c r="B2213" s="90"/>
      <c r="C2213" s="147"/>
      <c r="D2213" s="161"/>
      <c r="E2213" s="36"/>
      <c r="F2213" s="183"/>
      <c r="G2213" s="60"/>
      <c r="H2213" s="34"/>
      <c r="I2213" s="11"/>
    </row>
    <row r="2214" spans="1:12" ht="11.15" customHeight="1">
      <c r="A2214" s="129" t="s">
        <v>3145</v>
      </c>
      <c r="B2214" s="90"/>
      <c r="C2214" s="147"/>
      <c r="D2214" s="161"/>
      <c r="E2214" s="36"/>
      <c r="F2214" s="183"/>
      <c r="G2214" s="60"/>
      <c r="H2214" s="34"/>
      <c r="I2214" s="11"/>
    </row>
    <row r="2215" spans="1:12" ht="11.15" customHeight="1">
      <c r="A2215" s="129" t="s">
        <v>3251</v>
      </c>
      <c r="B2215" s="90"/>
      <c r="C2215" s="147"/>
      <c r="D2215" s="122"/>
      <c r="E2215" s="36"/>
      <c r="F2215" s="178"/>
      <c r="G2215" s="60"/>
      <c r="H2215" s="36"/>
      <c r="I2215" s="11"/>
    </row>
    <row r="2216" spans="1:12" ht="11.15" customHeight="1">
      <c r="A2216" s="129" t="s">
        <v>3252</v>
      </c>
      <c r="B2216" s="90"/>
      <c r="C2216" s="147"/>
      <c r="D2216" s="122"/>
      <c r="E2216" s="36"/>
      <c r="F2216" s="178"/>
      <c r="G2216" s="60"/>
      <c r="H2216" s="36"/>
      <c r="I2216" s="11"/>
    </row>
    <row r="2217" spans="1:12" ht="11.15" customHeight="1" thickBot="1">
      <c r="A2217" s="29"/>
      <c r="B2217" s="90"/>
      <c r="C2217" s="147"/>
      <c r="D2217" s="161"/>
      <c r="E2217" s="36"/>
      <c r="F2217" s="183"/>
      <c r="G2217" s="60"/>
      <c r="H2217" s="34"/>
      <c r="I2217" s="11"/>
    </row>
    <row r="2218" spans="1:12" ht="11.15" customHeight="1">
      <c r="A2218" s="153" t="s">
        <v>3253</v>
      </c>
      <c r="B2218" s="59" t="s">
        <v>23368</v>
      </c>
      <c r="C2218" s="147" t="s">
        <v>20221</v>
      </c>
      <c r="D2218" s="284" t="s">
        <v>897</v>
      </c>
      <c r="E2218" s="178">
        <v>2022</v>
      </c>
      <c r="F2218" s="178" t="s">
        <v>4520</v>
      </c>
      <c r="G2218" s="496"/>
      <c r="H2218" s="994" t="s">
        <v>20221</v>
      </c>
      <c r="I2218" s="12" t="s">
        <v>3254</v>
      </c>
      <c r="J2218" s="1285"/>
      <c r="K2218" s="1285"/>
      <c r="L2218" s="1285"/>
    </row>
    <row r="2219" spans="1:12" ht="11.15" customHeight="1" thickBot="1">
      <c r="A2219" s="230" t="s">
        <v>3133</v>
      </c>
      <c r="B2219" s="59" t="s">
        <v>23368</v>
      </c>
      <c r="C2219" s="147" t="s">
        <v>20221</v>
      </c>
      <c r="D2219" s="284" t="s">
        <v>897</v>
      </c>
      <c r="E2219" s="178">
        <v>2021</v>
      </c>
      <c r="F2219" s="178" t="s">
        <v>4520</v>
      </c>
      <c r="G2219" s="496"/>
      <c r="H2219" s="994" t="s">
        <v>20221</v>
      </c>
      <c r="I2219" s="12" t="s">
        <v>3255</v>
      </c>
      <c r="J2219" s="1285"/>
      <c r="K2219" s="1285"/>
      <c r="L2219" s="1285"/>
    </row>
    <row r="2220" spans="1:12" ht="11.15" customHeight="1">
      <c r="A2220" s="29" t="s">
        <v>3244</v>
      </c>
      <c r="B2220" s="59" t="s">
        <v>23368</v>
      </c>
      <c r="C2220" s="147" t="s">
        <v>20221</v>
      </c>
      <c r="D2220" s="284" t="s">
        <v>897</v>
      </c>
      <c r="E2220" s="178">
        <v>2020</v>
      </c>
      <c r="F2220" s="178" t="s">
        <v>4520</v>
      </c>
      <c r="G2220" s="496"/>
      <c r="H2220" s="994" t="s">
        <v>20221</v>
      </c>
      <c r="I2220" s="12" t="s">
        <v>3256</v>
      </c>
      <c r="J2220" s="1285"/>
      <c r="K2220" s="1285"/>
      <c r="L2220" s="1285"/>
    </row>
    <row r="2221" spans="1:12" ht="11.15" customHeight="1">
      <c r="A2221" s="272" t="s">
        <v>3257</v>
      </c>
      <c r="B2221" s="59" t="s">
        <v>23368</v>
      </c>
      <c r="C2221" s="147" t="s">
        <v>20221</v>
      </c>
      <c r="D2221" s="284" t="s">
        <v>897</v>
      </c>
      <c r="E2221" s="178">
        <v>2019</v>
      </c>
      <c r="F2221" s="178" t="s">
        <v>4520</v>
      </c>
      <c r="G2221" s="496"/>
      <c r="H2221" s="994" t="s">
        <v>20224</v>
      </c>
      <c r="I2221" s="12" t="s">
        <v>3258</v>
      </c>
      <c r="J2221" s="1285"/>
      <c r="K2221" s="1285"/>
      <c r="L2221" s="1285"/>
    </row>
    <row r="2222" spans="1:12" ht="11.15" customHeight="1">
      <c r="A2222" s="181" t="s">
        <v>1595</v>
      </c>
      <c r="B2222" s="185"/>
      <c r="C2222" s="147"/>
      <c r="D2222" s="161"/>
      <c r="E2222" s="36"/>
      <c r="F2222" s="178"/>
      <c r="G2222" s="496"/>
      <c r="H2222" s="36"/>
      <c r="I2222" s="11"/>
    </row>
    <row r="2223" spans="1:12" ht="11.15" customHeight="1">
      <c r="A2223" s="199" t="s">
        <v>3259</v>
      </c>
      <c r="B2223" s="90"/>
      <c r="C2223" s="147"/>
      <c r="D2223" s="161"/>
      <c r="E2223" s="36"/>
      <c r="F2223" s="183"/>
      <c r="G2223" s="60"/>
      <c r="H2223" s="34"/>
      <c r="I2223" s="11"/>
    </row>
    <row r="2224" spans="1:12" ht="11.15" customHeight="1">
      <c r="A2224" s="129" t="s">
        <v>3144</v>
      </c>
      <c r="B2224" s="90"/>
      <c r="C2224" s="147"/>
      <c r="D2224" s="161"/>
      <c r="E2224" s="36"/>
      <c r="F2224" s="183"/>
      <c r="G2224" s="60"/>
      <c r="H2224" s="34"/>
      <c r="I2224" s="11"/>
    </row>
    <row r="2225" spans="1:12" ht="11.15" customHeight="1">
      <c r="A2225" s="129" t="s">
        <v>3251</v>
      </c>
      <c r="B2225" s="90"/>
      <c r="C2225" s="147"/>
      <c r="D2225" s="161"/>
      <c r="E2225" s="36"/>
      <c r="F2225" s="183"/>
      <c r="G2225" s="60"/>
      <c r="H2225" s="34"/>
      <c r="I2225" s="11"/>
    </row>
    <row r="2226" spans="1:12" ht="11.15" customHeight="1">
      <c r="A2226" s="129" t="s">
        <v>3260</v>
      </c>
      <c r="B2226" s="90"/>
      <c r="C2226" s="147"/>
      <c r="D2226" s="122"/>
      <c r="E2226" s="36"/>
      <c r="F2226" s="178"/>
      <c r="G2226" s="60"/>
      <c r="H2226" s="36"/>
      <c r="I2226" s="11"/>
    </row>
    <row r="2227" spans="1:12" ht="11.15" customHeight="1" thickBot="1">
      <c r="A2227" s="185"/>
      <c r="B2227" s="90"/>
      <c r="C2227" s="147"/>
      <c r="D2227" s="161"/>
      <c r="E2227" s="36"/>
      <c r="F2227" s="183"/>
      <c r="G2227" s="60"/>
      <c r="H2227" s="34"/>
      <c r="I2227" s="11"/>
    </row>
    <row r="2228" spans="1:12" ht="11.15" customHeight="1">
      <c r="A2228" s="353" t="s">
        <v>3261</v>
      </c>
      <c r="B2228" s="177" t="s">
        <v>1491</v>
      </c>
      <c r="C2228" s="147"/>
      <c r="D2228" s="185"/>
      <c r="E2228" s="185"/>
      <c r="F2228" s="185"/>
      <c r="G2228" s="185"/>
      <c r="H2228" s="185"/>
      <c r="I2228" s="11"/>
    </row>
    <row r="2229" spans="1:12" ht="11.15" customHeight="1">
      <c r="A2229" s="360" t="s">
        <v>3262</v>
      </c>
      <c r="B2229" s="59" t="s">
        <v>20560</v>
      </c>
      <c r="C2229" s="147" t="s">
        <v>20221</v>
      </c>
      <c r="D2229" s="284" t="s">
        <v>897</v>
      </c>
      <c r="E2229" s="178">
        <v>2019</v>
      </c>
      <c r="F2229" s="178" t="s">
        <v>4520</v>
      </c>
      <c r="G2229" s="496"/>
      <c r="H2229" s="994" t="s">
        <v>20221</v>
      </c>
      <c r="I2229" s="12" t="s">
        <v>3263</v>
      </c>
      <c r="J2229" s="1285"/>
      <c r="K2229" s="1285"/>
      <c r="L2229" s="1285"/>
    </row>
    <row r="2230" spans="1:12" ht="11.15" customHeight="1" thickBot="1">
      <c r="A2230" s="354" t="s">
        <v>3264</v>
      </c>
      <c r="B2230" s="177" t="s">
        <v>1691</v>
      </c>
      <c r="C2230" s="147"/>
      <c r="D2230" s="185"/>
      <c r="E2230" s="185"/>
      <c r="F2230" s="185"/>
      <c r="G2230" s="185"/>
      <c r="H2230" s="185"/>
      <c r="I2230" s="11"/>
    </row>
    <row r="2231" spans="1:12" ht="11.15" customHeight="1">
      <c r="A2231" s="29" t="s">
        <v>3184</v>
      </c>
      <c r="B2231" s="59" t="s">
        <v>20561</v>
      </c>
      <c r="C2231" s="147" t="s">
        <v>20221</v>
      </c>
      <c r="D2231" s="284" t="s">
        <v>897</v>
      </c>
      <c r="E2231" s="178">
        <v>2021</v>
      </c>
      <c r="F2231" s="178" t="s">
        <v>4520</v>
      </c>
      <c r="G2231" s="496"/>
      <c r="H2231" s="994" t="s">
        <v>20224</v>
      </c>
      <c r="I2231" s="12" t="s">
        <v>3265</v>
      </c>
      <c r="J2231" s="1285"/>
      <c r="K2231" s="1285"/>
      <c r="L2231" s="1285"/>
    </row>
    <row r="2232" spans="1:12" ht="11.15" customHeight="1">
      <c r="A2232" s="29" t="s">
        <v>3185</v>
      </c>
      <c r="B2232" s="59" t="s">
        <v>20561</v>
      </c>
      <c r="C2232" s="147" t="s">
        <v>20221</v>
      </c>
      <c r="D2232" s="284" t="s">
        <v>897</v>
      </c>
      <c r="E2232" s="178">
        <v>2020</v>
      </c>
      <c r="F2232" s="178" t="s">
        <v>4520</v>
      </c>
      <c r="G2232" s="496"/>
      <c r="H2232" s="994" t="s">
        <v>20221</v>
      </c>
      <c r="I2232" s="12" t="s">
        <v>3266</v>
      </c>
      <c r="J2232" s="1285"/>
      <c r="K2232" s="1285"/>
      <c r="L2232" s="1285"/>
    </row>
    <row r="2233" spans="1:12" ht="11.15" customHeight="1">
      <c r="A2233" s="29" t="s">
        <v>3267</v>
      </c>
      <c r="B2233" s="59" t="s">
        <v>20561</v>
      </c>
      <c r="C2233" s="147" t="s">
        <v>20221</v>
      </c>
      <c r="D2233" s="284" t="s">
        <v>897</v>
      </c>
      <c r="E2233" s="178">
        <v>2019</v>
      </c>
      <c r="F2233" s="178" t="s">
        <v>4520</v>
      </c>
      <c r="G2233" s="496"/>
      <c r="H2233" s="994" t="s">
        <v>20221</v>
      </c>
      <c r="I2233" s="12" t="s">
        <v>3268</v>
      </c>
      <c r="J2233" s="1285"/>
      <c r="K2233" s="1285"/>
      <c r="L2233" s="1285"/>
    </row>
    <row r="2234" spans="1:12" ht="11.15" customHeight="1">
      <c r="A2234" s="29" t="s">
        <v>3269</v>
      </c>
      <c r="B2234" s="36" t="s">
        <v>3270</v>
      </c>
      <c r="C2234" s="147"/>
      <c r="D2234" s="161"/>
      <c r="E2234" s="36"/>
      <c r="F2234" s="178"/>
      <c r="G2234" s="496"/>
      <c r="H2234" s="36"/>
      <c r="I2234" s="11"/>
    </row>
    <row r="2235" spans="1:12" ht="11.15" customHeight="1">
      <c r="A2235" s="29" t="s">
        <v>3271</v>
      </c>
      <c r="B2235" s="90"/>
      <c r="C2235" s="147"/>
      <c r="D2235" s="161"/>
      <c r="E2235" s="36"/>
      <c r="F2235" s="178"/>
      <c r="G2235" s="496"/>
      <c r="H2235" s="36"/>
      <c r="I2235" s="11"/>
    </row>
    <row r="2236" spans="1:12" ht="11.15" customHeight="1">
      <c r="A2236" s="29" t="s">
        <v>3272</v>
      </c>
      <c r="B2236" s="90"/>
      <c r="C2236" s="147"/>
      <c r="D2236" s="161"/>
      <c r="E2236" s="36"/>
      <c r="F2236" s="178"/>
      <c r="G2236" s="496"/>
      <c r="H2236" s="36"/>
      <c r="I2236" s="11"/>
    </row>
    <row r="2237" spans="1:12" ht="11.15" customHeight="1">
      <c r="A2237" s="29" t="s">
        <v>3273</v>
      </c>
      <c r="B2237" s="90"/>
      <c r="C2237" s="147"/>
      <c r="D2237" s="161"/>
      <c r="E2237" s="36"/>
      <c r="F2237" s="178"/>
      <c r="G2237" s="496"/>
      <c r="H2237" s="36"/>
      <c r="I2237" s="11"/>
    </row>
    <row r="2238" spans="1:12" ht="11.15" customHeight="1">
      <c r="A2238" s="29" t="s">
        <v>3274</v>
      </c>
      <c r="B2238" s="90"/>
      <c r="C2238" s="147"/>
      <c r="D2238" s="161"/>
      <c r="E2238" s="36"/>
      <c r="F2238" s="178"/>
      <c r="G2238" s="496"/>
      <c r="H2238" s="36"/>
      <c r="I2238" s="11"/>
    </row>
    <row r="2239" spans="1:12" ht="11.15" customHeight="1">
      <c r="A2239" s="199" t="s">
        <v>3190</v>
      </c>
      <c r="B2239" s="90"/>
      <c r="C2239" s="147"/>
      <c r="D2239" s="161"/>
      <c r="E2239" s="36"/>
      <c r="F2239" s="178"/>
      <c r="G2239" s="496"/>
      <c r="H2239" s="36"/>
      <c r="I2239" s="11"/>
    </row>
    <row r="2240" spans="1:12" ht="11.15" customHeight="1">
      <c r="A2240" s="129" t="s">
        <v>3275</v>
      </c>
      <c r="B2240" s="90"/>
      <c r="C2240" s="147"/>
      <c r="D2240" s="161"/>
      <c r="E2240" s="36"/>
      <c r="F2240" s="183"/>
      <c r="G2240" s="60"/>
      <c r="H2240" s="34"/>
      <c r="I2240" s="11"/>
    </row>
    <row r="2241" spans="1:12" ht="11.15" customHeight="1">
      <c r="A2241" s="129" t="s">
        <v>3192</v>
      </c>
      <c r="B2241" s="90"/>
      <c r="C2241" s="147"/>
      <c r="D2241" s="161"/>
      <c r="E2241" s="36"/>
      <c r="F2241" s="183"/>
      <c r="G2241" s="60"/>
      <c r="H2241" s="34"/>
      <c r="I2241" s="11"/>
    </row>
    <row r="2242" spans="1:12" ht="11.15" customHeight="1">
      <c r="A2242" s="129" t="s">
        <v>3276</v>
      </c>
      <c r="B2242" s="90"/>
      <c r="C2242" s="147"/>
      <c r="D2242" s="161"/>
      <c r="E2242" s="36"/>
      <c r="F2242" s="183"/>
      <c r="G2242" s="60"/>
      <c r="H2242" s="34"/>
      <c r="I2242" s="11"/>
    </row>
    <row r="2243" spans="1:12" ht="11.15" customHeight="1" thickBot="1">
      <c r="A2243" s="29"/>
      <c r="B2243" s="90"/>
      <c r="C2243" s="147"/>
      <c r="D2243" s="161"/>
      <c r="E2243" s="36"/>
      <c r="F2243" s="183"/>
      <c r="G2243" s="60"/>
      <c r="H2243" s="34"/>
      <c r="I2243" s="11"/>
    </row>
    <row r="2244" spans="1:12" ht="11.15" customHeight="1" thickBot="1">
      <c r="A2244" s="273" t="s">
        <v>3277</v>
      </c>
      <c r="B2244" s="59" t="s">
        <v>20563</v>
      </c>
      <c r="C2244" s="147" t="s">
        <v>20221</v>
      </c>
      <c r="D2244" s="284" t="s">
        <v>897</v>
      </c>
      <c r="E2244" s="178">
        <v>2023</v>
      </c>
      <c r="F2244" s="178" t="s">
        <v>4520</v>
      </c>
      <c r="G2244" s="496"/>
      <c r="H2244" s="994" t="s">
        <v>20343</v>
      </c>
      <c r="I2244" s="12" t="s">
        <v>3278</v>
      </c>
      <c r="J2244" s="1285"/>
      <c r="K2244" s="1285"/>
      <c r="L2244" s="1285"/>
    </row>
    <row r="2245" spans="1:12" ht="11.15" customHeight="1">
      <c r="A2245" s="29" t="s">
        <v>145</v>
      </c>
      <c r="B2245" s="59" t="s">
        <v>20563</v>
      </c>
      <c r="C2245" s="147" t="s">
        <v>20221</v>
      </c>
      <c r="D2245" s="284" t="s">
        <v>897</v>
      </c>
      <c r="E2245" s="178">
        <v>2020</v>
      </c>
      <c r="F2245" s="178" t="s">
        <v>4520</v>
      </c>
      <c r="G2245" s="496"/>
      <c r="H2245" s="994" t="s">
        <v>20221</v>
      </c>
      <c r="I2245" s="12" t="s">
        <v>3279</v>
      </c>
      <c r="J2245" s="1285"/>
      <c r="K2245" s="1285"/>
      <c r="L2245" s="1285"/>
    </row>
    <row r="2246" spans="1:12" ht="11.15" customHeight="1">
      <c r="A2246" s="181" t="s">
        <v>3280</v>
      </c>
      <c r="B2246" s="90"/>
      <c r="C2246" s="147"/>
      <c r="D2246" s="161"/>
      <c r="E2246" s="36"/>
      <c r="F2246" s="178"/>
      <c r="G2246" s="496"/>
      <c r="H2246" s="36"/>
      <c r="I2246" s="11"/>
    </row>
    <row r="2247" spans="1:12" ht="11.15" customHeight="1">
      <c r="A2247" s="199" t="s">
        <v>3281</v>
      </c>
      <c r="B2247" s="185"/>
      <c r="C2247" s="147"/>
      <c r="D2247" s="161"/>
      <c r="E2247" s="36"/>
      <c r="F2247" s="178"/>
      <c r="G2247" s="496"/>
      <c r="H2247" s="36"/>
      <c r="I2247" s="11"/>
    </row>
    <row r="2248" spans="1:12" ht="11.15" customHeight="1">
      <c r="A2248" s="129" t="s">
        <v>3282</v>
      </c>
      <c r="B2248" s="90"/>
      <c r="C2248" s="147"/>
      <c r="D2248" s="122"/>
      <c r="E2248" s="36"/>
      <c r="F2248" s="178"/>
      <c r="G2248" s="60"/>
      <c r="H2248" s="36"/>
      <c r="I2248" s="11"/>
    </row>
    <row r="2249" spans="1:12" ht="11.15" customHeight="1" thickBot="1">
      <c r="A2249" s="29"/>
      <c r="B2249" s="90"/>
      <c r="C2249" s="147"/>
      <c r="D2249" s="161"/>
      <c r="E2249" s="36"/>
      <c r="F2249" s="183"/>
      <c r="G2249" s="60"/>
      <c r="H2249" s="34"/>
      <c r="I2249" s="11"/>
    </row>
    <row r="2250" spans="1:12" ht="11.15" customHeight="1" thickBot="1">
      <c r="A2250" s="184" t="s">
        <v>3283</v>
      </c>
      <c r="B2250" s="59" t="s">
        <v>20564</v>
      </c>
      <c r="C2250" s="147" t="s">
        <v>20221</v>
      </c>
      <c r="D2250" s="284" t="s">
        <v>897</v>
      </c>
      <c r="E2250" s="178">
        <v>2019</v>
      </c>
      <c r="F2250" s="178" t="s">
        <v>4520</v>
      </c>
      <c r="G2250" s="496"/>
      <c r="H2250" s="994" t="s">
        <v>20221</v>
      </c>
      <c r="I2250" s="11" t="s">
        <v>3284</v>
      </c>
      <c r="J2250" s="1285"/>
      <c r="K2250" s="1285"/>
      <c r="L2250" s="1285"/>
    </row>
    <row r="2251" spans="1:12" ht="11.15" customHeight="1">
      <c r="A2251" s="29" t="s">
        <v>3285</v>
      </c>
      <c r="B2251" s="59" t="s">
        <v>20564</v>
      </c>
      <c r="C2251" s="147" t="s">
        <v>20221</v>
      </c>
      <c r="D2251" s="284" t="s">
        <v>897</v>
      </c>
      <c r="E2251" s="178">
        <v>2016</v>
      </c>
      <c r="F2251" s="178" t="s">
        <v>4520</v>
      </c>
      <c r="G2251" s="496"/>
      <c r="H2251" s="994" t="s">
        <v>20221</v>
      </c>
      <c r="I2251" s="11" t="s">
        <v>3286</v>
      </c>
      <c r="J2251" s="1285"/>
      <c r="K2251" s="1285"/>
      <c r="L2251" s="1285"/>
    </row>
    <row r="2252" spans="1:12" ht="11.15" customHeight="1">
      <c r="A2252" s="29" t="s">
        <v>3287</v>
      </c>
      <c r="B2252" s="90"/>
      <c r="C2252" s="147"/>
      <c r="D2252" s="161"/>
      <c r="E2252" s="36"/>
      <c r="F2252" s="178"/>
      <c r="G2252" s="496"/>
      <c r="H2252" s="36"/>
      <c r="I2252" s="11"/>
    </row>
    <row r="2253" spans="1:12" ht="11.15" customHeight="1">
      <c r="A2253" s="181" t="s">
        <v>3201</v>
      </c>
      <c r="B2253" s="90"/>
      <c r="C2253" s="147"/>
      <c r="D2253" s="161"/>
      <c r="E2253" s="36"/>
      <c r="F2253" s="178"/>
      <c r="G2253" s="496"/>
      <c r="H2253" s="36"/>
      <c r="I2253" s="11"/>
    </row>
    <row r="2254" spans="1:12" ht="11.15" customHeight="1">
      <c r="A2254" s="129" t="s">
        <v>1077</v>
      </c>
      <c r="B2254" s="90"/>
      <c r="C2254" s="147"/>
      <c r="D2254" s="161"/>
      <c r="E2254" s="36"/>
      <c r="F2254" s="178"/>
      <c r="G2254" s="496"/>
      <c r="H2254" s="36"/>
      <c r="I2254" s="11"/>
    </row>
    <row r="2255" spans="1:12" ht="11.15" customHeight="1">
      <c r="A2255" s="162" t="s">
        <v>3202</v>
      </c>
      <c r="B2255" s="90"/>
      <c r="C2255" s="147"/>
      <c r="D2255" s="161"/>
      <c r="E2255" s="36"/>
      <c r="F2255" s="178"/>
      <c r="G2255" s="496"/>
      <c r="H2255" s="36"/>
      <c r="I2255" s="11"/>
    </row>
    <row r="2256" spans="1:12" ht="10" customHeight="1">
      <c r="A2256" s="162" t="s">
        <v>3203</v>
      </c>
      <c r="B2256" s="90"/>
      <c r="C2256" s="147"/>
      <c r="D2256" s="161"/>
      <c r="E2256" s="36"/>
      <c r="F2256" s="178"/>
      <c r="G2256" s="496"/>
      <c r="H2256" s="36"/>
      <c r="I2256" s="11"/>
    </row>
    <row r="2257" spans="1:12" ht="10" customHeight="1">
      <c r="A2257" s="162" t="s">
        <v>3288</v>
      </c>
      <c r="B2257" s="90"/>
      <c r="C2257" s="147"/>
      <c r="D2257" s="161"/>
      <c r="E2257" s="36"/>
      <c r="F2257" s="178"/>
      <c r="G2257" s="496"/>
      <c r="H2257" s="36"/>
      <c r="I2257" s="11"/>
    </row>
    <row r="2258" spans="1:12" ht="10" customHeight="1">
      <c r="A2258" s="162" t="s">
        <v>3205</v>
      </c>
      <c r="B2258" s="90"/>
      <c r="C2258" s="147"/>
      <c r="D2258" s="161"/>
      <c r="E2258" s="36"/>
      <c r="F2258" s="178"/>
      <c r="G2258" s="496"/>
      <c r="H2258" s="36"/>
      <c r="I2258" s="11"/>
    </row>
    <row r="2259" spans="1:12" ht="10" customHeight="1">
      <c r="A2259" s="162" t="s">
        <v>3289</v>
      </c>
      <c r="B2259" s="90"/>
      <c r="C2259" s="147"/>
      <c r="D2259" s="161"/>
      <c r="E2259" s="36"/>
      <c r="F2259" s="178"/>
      <c r="G2259" s="496"/>
      <c r="H2259" s="36"/>
      <c r="I2259" s="11"/>
    </row>
    <row r="2260" spans="1:12" ht="11.15" customHeight="1">
      <c r="A2260" s="162" t="s">
        <v>3290</v>
      </c>
      <c r="B2260" s="90"/>
      <c r="C2260" s="147"/>
      <c r="D2260" s="161"/>
      <c r="E2260" s="36"/>
      <c r="F2260" s="178"/>
      <c r="G2260" s="496"/>
      <c r="H2260" s="36"/>
      <c r="I2260" s="11"/>
    </row>
    <row r="2261" spans="1:12" ht="11.15" customHeight="1">
      <c r="A2261" s="361" t="s">
        <v>3291</v>
      </c>
      <c r="B2261" s="90"/>
      <c r="C2261" s="147"/>
      <c r="D2261" s="161"/>
      <c r="E2261" s="36"/>
      <c r="F2261" s="178"/>
      <c r="G2261" s="496"/>
      <c r="H2261" s="36"/>
      <c r="I2261" s="11"/>
    </row>
    <row r="2262" spans="1:12" ht="11.15" customHeight="1">
      <c r="A2262" s="29" t="s">
        <v>3208</v>
      </c>
      <c r="B2262" s="90"/>
      <c r="C2262" s="147"/>
      <c r="D2262" s="161"/>
      <c r="E2262" s="36"/>
      <c r="F2262" s="178"/>
      <c r="G2262" s="496"/>
      <c r="H2262" s="36"/>
      <c r="I2262" s="11"/>
    </row>
    <row r="2263" spans="1:12" ht="11.15" customHeight="1">
      <c r="A2263" s="29" t="s">
        <v>3209</v>
      </c>
      <c r="B2263" s="90"/>
      <c r="C2263" s="147"/>
      <c r="D2263" s="161"/>
      <c r="E2263" s="36"/>
      <c r="F2263" s="178"/>
      <c r="G2263" s="496"/>
      <c r="H2263" s="36"/>
      <c r="I2263" s="11"/>
    </row>
    <row r="2264" spans="1:12" ht="11.15" customHeight="1">
      <c r="A2264" s="29" t="s">
        <v>3210</v>
      </c>
      <c r="B2264" s="90"/>
      <c r="C2264" s="147"/>
      <c r="D2264" s="161"/>
      <c r="E2264" s="36"/>
      <c r="F2264" s="178"/>
      <c r="G2264" s="496"/>
      <c r="H2264" s="36"/>
      <c r="I2264" s="11"/>
    </row>
    <row r="2265" spans="1:12" ht="11.15" customHeight="1">
      <c r="A2265" s="29" t="s">
        <v>1651</v>
      </c>
      <c r="B2265" s="275"/>
      <c r="C2265" s="147"/>
      <c r="D2265" s="161"/>
      <c r="E2265" s="36"/>
      <c r="F2265" s="178"/>
      <c r="G2265" s="496"/>
      <c r="H2265" s="36"/>
      <c r="I2265" s="11"/>
    </row>
    <row r="2266" spans="1:12" ht="11.15" customHeight="1">
      <c r="A2266" s="199" t="s">
        <v>3211</v>
      </c>
      <c r="B2266" s="275"/>
      <c r="C2266" s="147"/>
      <c r="D2266" s="161"/>
      <c r="E2266" s="36"/>
      <c r="F2266" s="178"/>
      <c r="G2266" s="496"/>
      <c r="H2266" s="36"/>
      <c r="I2266" s="11"/>
    </row>
    <row r="2267" spans="1:12" ht="11.15" customHeight="1">
      <c r="A2267" s="129" t="s">
        <v>3292</v>
      </c>
      <c r="B2267" s="90"/>
      <c r="C2267" s="147"/>
      <c r="D2267" s="161"/>
      <c r="E2267" s="36"/>
      <c r="F2267" s="183"/>
      <c r="G2267" s="497"/>
      <c r="H2267" s="34"/>
      <c r="I2267" s="11"/>
    </row>
    <row r="2268" spans="1:12" ht="11.15" customHeight="1">
      <c r="A2268" s="129" t="s">
        <v>3293</v>
      </c>
      <c r="B2268" s="90"/>
      <c r="C2268" s="147"/>
      <c r="D2268" s="122"/>
      <c r="E2268" s="36"/>
      <c r="F2268" s="178"/>
      <c r="G2268" s="60"/>
      <c r="H2268" s="36"/>
      <c r="I2268" s="11"/>
    </row>
    <row r="2269" spans="1:12" ht="11.15" customHeight="1" thickBot="1">
      <c r="A2269" s="29"/>
      <c r="B2269" s="185"/>
      <c r="C2269" s="147"/>
      <c r="D2269" s="161"/>
      <c r="E2269" s="36"/>
      <c r="F2269" s="183"/>
      <c r="G2269" s="60"/>
      <c r="H2269" s="34"/>
      <c r="I2269" s="11"/>
    </row>
    <row r="2270" spans="1:12" ht="11.15" customHeight="1" thickBot="1">
      <c r="A2270" s="184" t="s">
        <v>3294</v>
      </c>
      <c r="B2270" s="59" t="s">
        <v>20565</v>
      </c>
      <c r="C2270" s="147" t="s">
        <v>20221</v>
      </c>
      <c r="D2270" s="284" t="s">
        <v>897</v>
      </c>
      <c r="E2270" s="178">
        <v>2020</v>
      </c>
      <c r="F2270" s="178" t="s">
        <v>4520</v>
      </c>
      <c r="G2270" s="496"/>
      <c r="H2270" s="994" t="s">
        <v>20221</v>
      </c>
      <c r="I2270" s="12" t="s">
        <v>3295</v>
      </c>
      <c r="J2270" s="1285"/>
      <c r="K2270" s="1285"/>
      <c r="L2270" s="1285"/>
    </row>
    <row r="2271" spans="1:12" ht="11.15" customHeight="1">
      <c r="A2271" s="29" t="s">
        <v>3296</v>
      </c>
      <c r="B2271" s="90"/>
      <c r="C2271" s="147"/>
      <c r="D2271" s="161"/>
      <c r="E2271" s="36"/>
      <c r="F2271" s="178"/>
      <c r="G2271" s="496"/>
      <c r="H2271" s="36"/>
      <c r="I2271" s="11"/>
    </row>
    <row r="2272" spans="1:12" ht="11.15" customHeight="1">
      <c r="A2272" s="29" t="s">
        <v>3297</v>
      </c>
      <c r="B2272" s="90"/>
      <c r="C2272" s="147"/>
      <c r="D2272" s="161"/>
      <c r="E2272" s="36"/>
      <c r="F2272" s="178"/>
      <c r="G2272" s="496"/>
      <c r="H2272" s="36"/>
      <c r="I2272" s="11"/>
    </row>
    <row r="2273" spans="1:12" ht="11.15" customHeight="1">
      <c r="A2273" s="29" t="s">
        <v>3298</v>
      </c>
      <c r="B2273" s="90"/>
      <c r="C2273" s="147"/>
      <c r="D2273" s="161"/>
      <c r="E2273" s="36"/>
      <c r="F2273" s="178"/>
      <c r="G2273" s="496"/>
      <c r="H2273" s="36"/>
      <c r="I2273" s="11"/>
    </row>
    <row r="2274" spans="1:12" ht="11.15" customHeight="1">
      <c r="A2274" s="58" t="s">
        <v>3299</v>
      </c>
      <c r="B2274" s="90"/>
      <c r="C2274" s="147"/>
      <c r="D2274" s="161"/>
      <c r="E2274" s="36"/>
      <c r="F2274" s="178"/>
      <c r="G2274" s="496"/>
      <c r="H2274" s="36"/>
      <c r="I2274" s="11"/>
    </row>
    <row r="2275" spans="1:12" ht="11.15" customHeight="1">
      <c r="A2275" s="29" t="s">
        <v>3300</v>
      </c>
      <c r="B2275" s="90"/>
      <c r="C2275" s="147"/>
      <c r="D2275" s="161"/>
      <c r="E2275" s="36"/>
      <c r="F2275" s="178"/>
      <c r="G2275" s="496"/>
      <c r="H2275" s="36"/>
      <c r="I2275" s="11"/>
    </row>
    <row r="2276" spans="1:12" ht="11.15" customHeight="1">
      <c r="A2276" s="272" t="s">
        <v>3301</v>
      </c>
      <c r="B2276" s="90"/>
      <c r="C2276" s="147"/>
      <c r="D2276" s="161"/>
      <c r="E2276" s="36"/>
      <c r="F2276" s="178"/>
      <c r="G2276" s="496"/>
      <c r="H2276" s="36"/>
      <c r="I2276" s="11"/>
    </row>
    <row r="2277" spans="1:12" ht="11.15" customHeight="1">
      <c r="A2277" s="272" t="s">
        <v>3302</v>
      </c>
      <c r="B2277" s="90"/>
      <c r="C2277" s="147"/>
      <c r="D2277" s="161"/>
      <c r="E2277" s="36"/>
      <c r="F2277" s="178"/>
      <c r="G2277" s="496"/>
      <c r="H2277" s="36"/>
      <c r="I2277" s="11"/>
    </row>
    <row r="2278" spans="1:12" ht="11.15" customHeight="1">
      <c r="A2278" s="181" t="s">
        <v>1640</v>
      </c>
      <c r="B2278" s="275"/>
      <c r="C2278" s="147"/>
      <c r="D2278" s="161"/>
      <c r="E2278" s="36"/>
      <c r="F2278" s="178"/>
      <c r="G2278" s="496"/>
      <c r="H2278" s="36"/>
      <c r="I2278" s="11"/>
    </row>
    <row r="2279" spans="1:12" ht="11.15" customHeight="1">
      <c r="A2279" s="166" t="s">
        <v>3303</v>
      </c>
      <c r="B2279" s="275"/>
      <c r="C2279" s="147"/>
      <c r="D2279" s="161"/>
      <c r="E2279" s="36"/>
      <c r="F2279" s="178"/>
      <c r="G2279" s="496"/>
      <c r="H2279" s="36"/>
      <c r="I2279" s="11"/>
    </row>
    <row r="2280" spans="1:12" ht="11.15" customHeight="1">
      <c r="A2280" s="29"/>
      <c r="B2280" s="185"/>
      <c r="C2280" s="147"/>
      <c r="D2280" s="161"/>
      <c r="E2280" s="36"/>
      <c r="F2280" s="183"/>
      <c r="G2280" s="60"/>
      <c r="H2280" s="34"/>
      <c r="I2280" s="11"/>
    </row>
    <row r="2281" spans="1:12" ht="24" customHeight="1" thickBot="1">
      <c r="A2281" s="309"/>
      <c r="B2281" s="310" t="s">
        <v>3304</v>
      </c>
      <c r="C2281" s="311"/>
      <c r="D2281" s="312"/>
      <c r="E2281" s="313"/>
      <c r="F2281" s="1070"/>
      <c r="G2281" s="1202"/>
      <c r="H2281" s="313"/>
      <c r="I2281" s="11"/>
    </row>
    <row r="2282" spans="1:12" ht="11.15" customHeight="1" thickBot="1">
      <c r="A2282" s="184" t="s">
        <v>3305</v>
      </c>
      <c r="B2282" s="59" t="s">
        <v>20566</v>
      </c>
      <c r="C2282" s="147" t="s">
        <v>20221</v>
      </c>
      <c r="D2282" s="284" t="s">
        <v>897</v>
      </c>
      <c r="E2282" s="178">
        <v>2023</v>
      </c>
      <c r="F2282" s="178" t="s">
        <v>4520</v>
      </c>
      <c r="G2282" s="496"/>
      <c r="H2282" s="994" t="s">
        <v>20343</v>
      </c>
      <c r="I2282" s="12" t="s">
        <v>3306</v>
      </c>
      <c r="J2282" s="1285"/>
      <c r="K2282" s="1285"/>
      <c r="L2282" s="1285"/>
    </row>
    <row r="2283" spans="1:12" ht="11.15" customHeight="1">
      <c r="A2283" s="29" t="s">
        <v>3307</v>
      </c>
      <c r="B2283" s="59" t="s">
        <v>20566</v>
      </c>
      <c r="C2283" s="147" t="s">
        <v>20221</v>
      </c>
      <c r="D2283" s="284" t="s">
        <v>897</v>
      </c>
      <c r="E2283" s="178">
        <v>2022</v>
      </c>
      <c r="F2283" s="178" t="s">
        <v>4520</v>
      </c>
      <c r="G2283" s="496"/>
      <c r="H2283" s="994" t="s">
        <v>20224</v>
      </c>
      <c r="I2283" s="12" t="s">
        <v>3308</v>
      </c>
      <c r="J2283" s="1285"/>
      <c r="K2283" s="1285"/>
      <c r="L2283" s="1285"/>
    </row>
    <row r="2284" spans="1:12" ht="11.15" customHeight="1">
      <c r="A2284" s="58" t="s">
        <v>3309</v>
      </c>
      <c r="B2284" s="59" t="s">
        <v>20566</v>
      </c>
      <c r="C2284" s="147" t="s">
        <v>20221</v>
      </c>
      <c r="D2284" s="284" t="s">
        <v>897</v>
      </c>
      <c r="E2284" s="178">
        <v>2021</v>
      </c>
      <c r="F2284" s="178" t="s">
        <v>4520</v>
      </c>
      <c r="G2284" s="496"/>
      <c r="H2284" s="994" t="s">
        <v>20221</v>
      </c>
      <c r="I2284" s="12" t="s">
        <v>3310</v>
      </c>
      <c r="J2284" s="1285"/>
      <c r="K2284" s="1285"/>
      <c r="L2284" s="1285"/>
    </row>
    <row r="2285" spans="1:12" ht="11.15" customHeight="1">
      <c r="A2285" s="29" t="s">
        <v>3311</v>
      </c>
      <c r="B2285" s="59" t="s">
        <v>20566</v>
      </c>
      <c r="C2285" s="147" t="s">
        <v>20221</v>
      </c>
      <c r="D2285" s="284" t="s">
        <v>897</v>
      </c>
      <c r="E2285" s="178">
        <v>2020</v>
      </c>
      <c r="F2285" s="178" t="s">
        <v>4520</v>
      </c>
      <c r="G2285" s="496"/>
      <c r="H2285" s="994" t="s">
        <v>20221</v>
      </c>
      <c r="I2285" s="12" t="s">
        <v>3312</v>
      </c>
      <c r="J2285" s="1285"/>
      <c r="K2285" s="1285"/>
      <c r="L2285" s="1285"/>
    </row>
    <row r="2286" spans="1:12" ht="11.15" customHeight="1">
      <c r="A2286" s="166" t="s">
        <v>3313</v>
      </c>
      <c r="B2286" s="90"/>
      <c r="C2286" s="147"/>
      <c r="D2286" s="161"/>
      <c r="E2286" s="36"/>
      <c r="F2286" s="178"/>
      <c r="G2286" s="497"/>
      <c r="H2286" s="36"/>
      <c r="I2286" s="11"/>
    </row>
    <row r="2287" spans="1:12" ht="11.15" customHeight="1">
      <c r="A2287" s="166" t="s">
        <v>3314</v>
      </c>
      <c r="B2287" s="90"/>
      <c r="C2287" s="147"/>
      <c r="D2287" s="161"/>
      <c r="E2287" s="36"/>
      <c r="F2287" s="178"/>
      <c r="G2287" s="497"/>
      <c r="H2287" s="36"/>
      <c r="I2287" s="11"/>
    </row>
    <row r="2288" spans="1:12" ht="11.15" customHeight="1">
      <c r="A2288" s="129" t="s">
        <v>3315</v>
      </c>
      <c r="B2288" s="90"/>
      <c r="C2288" s="147"/>
      <c r="D2288" s="161"/>
      <c r="E2288" s="36"/>
      <c r="F2288" s="178"/>
      <c r="G2288" s="497"/>
      <c r="H2288" s="36"/>
      <c r="I2288" s="11"/>
    </row>
    <row r="2289" spans="1:12" ht="11.15" customHeight="1" thickBot="1">
      <c r="A2289" s="29"/>
      <c r="B2289" s="90"/>
      <c r="C2289" s="147"/>
      <c r="D2289" s="161"/>
      <c r="E2289" s="36"/>
      <c r="F2289" s="183"/>
      <c r="G2289" s="497"/>
      <c r="H2289" s="34"/>
      <c r="I2289" s="11"/>
    </row>
    <row r="2290" spans="1:12" ht="11.15" customHeight="1" thickBot="1">
      <c r="A2290" s="184" t="s">
        <v>3316</v>
      </c>
      <c r="B2290" s="59" t="s">
        <v>20567</v>
      </c>
      <c r="C2290" s="147" t="s">
        <v>20221</v>
      </c>
      <c r="D2290" s="284" t="s">
        <v>897</v>
      </c>
      <c r="E2290" s="178">
        <v>2022</v>
      </c>
      <c r="F2290" s="178" t="s">
        <v>4520</v>
      </c>
      <c r="G2290" s="496"/>
      <c r="H2290" s="994" t="s">
        <v>20224</v>
      </c>
      <c r="I2290" s="12" t="s">
        <v>3317</v>
      </c>
      <c r="J2290" s="1285"/>
      <c r="K2290" s="1285"/>
      <c r="L2290" s="1285"/>
    </row>
    <row r="2291" spans="1:12" ht="11.15" customHeight="1">
      <c r="A2291" s="29" t="s">
        <v>3307</v>
      </c>
      <c r="B2291" s="90"/>
      <c r="C2291" s="147"/>
      <c r="D2291" s="161"/>
      <c r="E2291" s="36"/>
      <c r="F2291" s="178"/>
      <c r="G2291" s="497"/>
      <c r="H2291" s="36"/>
      <c r="I2291" s="11"/>
    </row>
    <row r="2292" spans="1:12" ht="11.15" customHeight="1">
      <c r="A2292" s="58" t="s">
        <v>3318</v>
      </c>
      <c r="B2292" s="90"/>
      <c r="C2292" s="147"/>
      <c r="D2292" s="161"/>
      <c r="E2292" s="36"/>
      <c r="F2292" s="178"/>
      <c r="G2292" s="497"/>
      <c r="H2292" s="36"/>
      <c r="I2292" s="11"/>
    </row>
    <row r="2293" spans="1:12" ht="11.15" customHeight="1">
      <c r="A2293" s="29" t="s">
        <v>3319</v>
      </c>
      <c r="B2293" s="90"/>
      <c r="C2293" s="147"/>
      <c r="D2293" s="161"/>
      <c r="E2293" s="36"/>
      <c r="F2293" s="178"/>
      <c r="G2293" s="497"/>
      <c r="H2293" s="36"/>
      <c r="I2293" s="11"/>
    </row>
    <row r="2294" spans="1:12" ht="11.15" customHeight="1">
      <c r="A2294" s="29" t="s">
        <v>3320</v>
      </c>
      <c r="B2294" s="90"/>
      <c r="C2294" s="147"/>
      <c r="D2294" s="161"/>
      <c r="E2294" s="36"/>
      <c r="F2294" s="178"/>
      <c r="G2294" s="497"/>
      <c r="H2294" s="36"/>
      <c r="I2294" s="11"/>
    </row>
    <row r="2295" spans="1:12" ht="11.15" customHeight="1">
      <c r="A2295" s="29" t="s">
        <v>3321</v>
      </c>
      <c r="B2295" s="90"/>
      <c r="C2295" s="147"/>
      <c r="D2295" s="161"/>
      <c r="E2295" s="36"/>
      <c r="F2295" s="178"/>
      <c r="G2295" s="497"/>
      <c r="H2295" s="36"/>
      <c r="I2295" s="11"/>
    </row>
    <row r="2296" spans="1:12" ht="11.15" customHeight="1">
      <c r="A2296" s="29" t="s">
        <v>3322</v>
      </c>
      <c r="B2296" s="90"/>
      <c r="C2296" s="147"/>
      <c r="D2296" s="161"/>
      <c r="E2296" s="36"/>
      <c r="F2296" s="178"/>
      <c r="G2296" s="497"/>
      <c r="H2296" s="36"/>
      <c r="I2296" s="11"/>
    </row>
    <row r="2297" spans="1:12" ht="11.15" customHeight="1">
      <c r="A2297" s="29" t="s">
        <v>3323</v>
      </c>
      <c r="B2297" s="90"/>
      <c r="C2297" s="147"/>
      <c r="D2297" s="161"/>
      <c r="E2297" s="36"/>
      <c r="F2297" s="178"/>
      <c r="G2297" s="497"/>
      <c r="H2297" s="36"/>
      <c r="I2297" s="11"/>
    </row>
    <row r="2298" spans="1:12" ht="11.15" customHeight="1">
      <c r="A2298" s="166" t="s">
        <v>3324</v>
      </c>
      <c r="B2298" s="90"/>
      <c r="C2298" s="147"/>
      <c r="D2298" s="161"/>
      <c r="E2298" s="36"/>
      <c r="F2298" s="178"/>
      <c r="G2298" s="497"/>
      <c r="H2298" s="36"/>
      <c r="I2298" s="11"/>
    </row>
    <row r="2299" spans="1:12" ht="11.15" customHeight="1">
      <c r="A2299" s="166" t="s">
        <v>3314</v>
      </c>
      <c r="B2299" s="90"/>
      <c r="C2299" s="147"/>
      <c r="D2299" s="161"/>
      <c r="E2299" s="36"/>
      <c r="F2299" s="178"/>
      <c r="G2299" s="497"/>
      <c r="H2299" s="36"/>
      <c r="I2299" s="11"/>
    </row>
    <row r="2300" spans="1:12" ht="11.15" customHeight="1" thickBot="1">
      <c r="A2300" s="185"/>
      <c r="B2300" s="90"/>
      <c r="C2300" s="147"/>
      <c r="D2300" s="161"/>
      <c r="E2300" s="36"/>
      <c r="F2300" s="183"/>
      <c r="G2300" s="497"/>
      <c r="H2300" s="34"/>
      <c r="I2300" s="11"/>
    </row>
    <row r="2301" spans="1:12" ht="11.15" customHeight="1">
      <c r="A2301" s="153" t="s">
        <v>3325</v>
      </c>
      <c r="B2301" s="59" t="s">
        <v>20568</v>
      </c>
      <c r="C2301" s="147" t="s">
        <v>20221</v>
      </c>
      <c r="D2301" s="284" t="s">
        <v>897</v>
      </c>
      <c r="E2301" s="178">
        <v>2023</v>
      </c>
      <c r="F2301" s="178" t="s">
        <v>4520</v>
      </c>
      <c r="G2301" s="496"/>
      <c r="H2301" s="994" t="s">
        <v>20343</v>
      </c>
      <c r="I2301" s="11" t="s">
        <v>3326</v>
      </c>
      <c r="J2301" s="1285"/>
      <c r="K2301" s="1285"/>
      <c r="L2301" s="1285"/>
    </row>
    <row r="2302" spans="1:12" ht="11.15" customHeight="1" thickBot="1">
      <c r="A2302" s="230" t="s">
        <v>1535</v>
      </c>
      <c r="B2302" s="59" t="s">
        <v>20568</v>
      </c>
      <c r="C2302" s="147" t="s">
        <v>20221</v>
      </c>
      <c r="D2302" s="284" t="s">
        <v>897</v>
      </c>
      <c r="E2302" s="178">
        <v>2022</v>
      </c>
      <c r="F2302" s="178" t="s">
        <v>4520</v>
      </c>
      <c r="G2302" s="496"/>
      <c r="H2302" s="994" t="s">
        <v>20224</v>
      </c>
      <c r="I2302" s="11" t="s">
        <v>3327</v>
      </c>
      <c r="J2302" s="1285"/>
      <c r="K2302" s="1285"/>
      <c r="L2302" s="1285"/>
    </row>
    <row r="2303" spans="1:12" ht="11.15" customHeight="1">
      <c r="A2303" s="29" t="s">
        <v>3328</v>
      </c>
      <c r="B2303" s="59" t="s">
        <v>20568</v>
      </c>
      <c r="C2303" s="147" t="s">
        <v>20221</v>
      </c>
      <c r="D2303" s="284" t="s">
        <v>897</v>
      </c>
      <c r="E2303" s="178">
        <v>2021</v>
      </c>
      <c r="F2303" s="178" t="s">
        <v>4520</v>
      </c>
      <c r="G2303" s="496"/>
      <c r="H2303" s="994" t="s">
        <v>20221</v>
      </c>
      <c r="I2303" s="12" t="s">
        <v>3329</v>
      </c>
      <c r="J2303" s="1285"/>
      <c r="K2303" s="1285"/>
      <c r="L2303" s="1285"/>
    </row>
    <row r="2304" spans="1:12" ht="11.15" customHeight="1">
      <c r="A2304" s="29" t="s">
        <v>3330</v>
      </c>
      <c r="B2304" s="59" t="s">
        <v>20568</v>
      </c>
      <c r="C2304" s="147" t="s">
        <v>20221</v>
      </c>
      <c r="D2304" s="284" t="s">
        <v>897</v>
      </c>
      <c r="E2304" s="178">
        <v>2020</v>
      </c>
      <c r="F2304" s="178" t="s">
        <v>4520</v>
      </c>
      <c r="G2304" s="496"/>
      <c r="H2304" s="994" t="s">
        <v>20221</v>
      </c>
      <c r="I2304" s="11" t="s">
        <v>3331</v>
      </c>
      <c r="J2304" s="1285"/>
      <c r="K2304" s="1285"/>
      <c r="L2304" s="1285"/>
    </row>
    <row r="2305" spans="1:12" ht="11.15" customHeight="1">
      <c r="A2305" s="58" t="s">
        <v>3332</v>
      </c>
      <c r="B2305" s="90"/>
      <c r="C2305" s="147"/>
      <c r="D2305" s="161"/>
      <c r="E2305" s="36"/>
      <c r="F2305" s="178"/>
      <c r="G2305" s="497"/>
      <c r="H2305" s="36"/>
      <c r="I2305" s="11"/>
    </row>
    <row r="2306" spans="1:12" ht="11.15" customHeight="1">
      <c r="A2306" s="218" t="s">
        <v>3333</v>
      </c>
      <c r="B2306" s="59"/>
      <c r="C2306" s="147"/>
      <c r="D2306" s="159"/>
      <c r="E2306" s="36"/>
      <c r="F2306" s="178"/>
      <c r="G2306" s="496"/>
      <c r="H2306" s="36"/>
      <c r="I2306" s="11"/>
    </row>
    <row r="2307" spans="1:12" ht="11.15" customHeight="1">
      <c r="A2307" s="218" t="s">
        <v>973</v>
      </c>
      <c r="B2307" s="59"/>
      <c r="C2307" s="147"/>
      <c r="D2307" s="159"/>
      <c r="E2307" s="36"/>
      <c r="F2307" s="178"/>
      <c r="G2307" s="496"/>
      <c r="H2307" s="36"/>
      <c r="I2307" s="11"/>
    </row>
    <row r="2308" spans="1:12" ht="11.15" customHeight="1">
      <c r="A2308" s="218" t="s">
        <v>1543</v>
      </c>
      <c r="B2308" s="59"/>
      <c r="C2308" s="147"/>
      <c r="D2308" s="159"/>
      <c r="E2308" s="36"/>
      <c r="F2308" s="178"/>
      <c r="G2308" s="496"/>
      <c r="H2308" s="36"/>
      <c r="I2308" s="11"/>
    </row>
    <row r="2309" spans="1:12" ht="11.15" customHeight="1">
      <c r="A2309" s="166" t="s">
        <v>1544</v>
      </c>
      <c r="B2309" s="59"/>
      <c r="C2309" s="147"/>
      <c r="D2309" s="159"/>
      <c r="E2309" s="36"/>
      <c r="F2309" s="178"/>
      <c r="G2309" s="496"/>
      <c r="H2309" s="36"/>
      <c r="I2309" s="11"/>
    </row>
    <row r="2310" spans="1:12" ht="11.15" customHeight="1">
      <c r="A2310" s="129" t="s">
        <v>3334</v>
      </c>
      <c r="B2310" s="185"/>
      <c r="C2310" s="147"/>
      <c r="D2310" s="129"/>
      <c r="E2310" s="185"/>
      <c r="F2310" s="185"/>
      <c r="G2310" s="185"/>
      <c r="H2310" s="185"/>
      <c r="I2310" s="11"/>
    </row>
    <row r="2311" spans="1:12" ht="11.15" customHeight="1" thickBot="1">
      <c r="A2311" s="29"/>
      <c r="B2311" s="185"/>
      <c r="C2311" s="147"/>
      <c r="D2311" s="129"/>
      <c r="E2311" s="185"/>
      <c r="F2311" s="185"/>
      <c r="G2311" s="185"/>
      <c r="H2311" s="185"/>
      <c r="I2311" s="11"/>
    </row>
    <row r="2312" spans="1:12" ht="11.15" customHeight="1" thickBot="1">
      <c r="A2312" s="349" t="s">
        <v>3335</v>
      </c>
      <c r="B2312" s="177" t="s">
        <v>1491</v>
      </c>
      <c r="C2312" s="147"/>
      <c r="D2312" s="161"/>
      <c r="E2312" s="36"/>
      <c r="F2312" s="178"/>
      <c r="G2312" s="497"/>
      <c r="H2312" s="36"/>
      <c r="I2312" s="11"/>
    </row>
    <row r="2313" spans="1:12" ht="11.15" customHeight="1">
      <c r="A2313" s="29" t="s">
        <v>3336</v>
      </c>
      <c r="B2313" s="59" t="s">
        <v>20569</v>
      </c>
      <c r="C2313" s="147" t="s">
        <v>20221</v>
      </c>
      <c r="D2313" s="284" t="s">
        <v>897</v>
      </c>
      <c r="E2313" s="178">
        <v>2022</v>
      </c>
      <c r="F2313" s="178" t="s">
        <v>4520</v>
      </c>
      <c r="G2313" s="496"/>
      <c r="H2313" s="994" t="s">
        <v>20221</v>
      </c>
      <c r="I2313" s="12" t="s">
        <v>3337</v>
      </c>
      <c r="J2313" s="1285"/>
      <c r="K2313" s="1285"/>
      <c r="L2313" s="1285"/>
    </row>
    <row r="2314" spans="1:12" ht="11.15" customHeight="1">
      <c r="A2314" s="29" t="s">
        <v>3338</v>
      </c>
      <c r="B2314" s="59" t="s">
        <v>20569</v>
      </c>
      <c r="C2314" s="147" t="s">
        <v>20221</v>
      </c>
      <c r="D2314" s="284" t="s">
        <v>897</v>
      </c>
      <c r="E2314" s="178">
        <v>2020</v>
      </c>
      <c r="F2314" s="178" t="s">
        <v>4520</v>
      </c>
      <c r="G2314" s="496"/>
      <c r="H2314" s="994" t="s">
        <v>20221</v>
      </c>
      <c r="I2314" s="12" t="s">
        <v>3339</v>
      </c>
      <c r="J2314" s="1285"/>
      <c r="K2314" s="1285"/>
      <c r="L2314" s="1285"/>
    </row>
    <row r="2315" spans="1:12" ht="11.15" customHeight="1">
      <c r="A2315" s="29" t="s">
        <v>3340</v>
      </c>
      <c r="B2315" s="59" t="s">
        <v>20569</v>
      </c>
      <c r="C2315" s="147" t="s">
        <v>20221</v>
      </c>
      <c r="D2315" s="284" t="s">
        <v>897</v>
      </c>
      <c r="E2315" s="178">
        <v>2019</v>
      </c>
      <c r="F2315" s="178" t="s">
        <v>23395</v>
      </c>
      <c r="G2315" s="496"/>
      <c r="H2315" s="994" t="s">
        <v>20221</v>
      </c>
      <c r="I2315" s="12" t="s">
        <v>3341</v>
      </c>
      <c r="J2315" s="1285"/>
      <c r="K2315" s="1285"/>
      <c r="L2315" s="1285"/>
    </row>
    <row r="2316" spans="1:12" ht="11.15" customHeight="1">
      <c r="A2316" s="29" t="s">
        <v>3342</v>
      </c>
      <c r="B2316" s="177" t="s">
        <v>1691</v>
      </c>
      <c r="C2316" s="147"/>
      <c r="D2316" s="185"/>
      <c r="E2316" s="185"/>
      <c r="F2316" s="185"/>
      <c r="G2316" s="185"/>
      <c r="H2316" s="185"/>
      <c r="I2316" s="11"/>
    </row>
    <row r="2317" spans="1:12" ht="11.15" customHeight="1">
      <c r="A2317" s="29" t="s">
        <v>3343</v>
      </c>
      <c r="B2317" s="59" t="s">
        <v>20570</v>
      </c>
      <c r="C2317" s="147" t="s">
        <v>20221</v>
      </c>
      <c r="D2317" s="284" t="s">
        <v>897</v>
      </c>
      <c r="E2317" s="178">
        <v>2022</v>
      </c>
      <c r="F2317" s="178" t="s">
        <v>4520</v>
      </c>
      <c r="G2317" s="496"/>
      <c r="H2317" s="994" t="s">
        <v>20221</v>
      </c>
      <c r="I2317" s="12" t="s">
        <v>23369</v>
      </c>
      <c r="J2317" s="1285"/>
      <c r="K2317" s="1285"/>
      <c r="L2317" s="1285"/>
    </row>
    <row r="2318" spans="1:12" ht="11.15" customHeight="1">
      <c r="A2318" s="29" t="s">
        <v>3344</v>
      </c>
      <c r="B2318" s="59" t="s">
        <v>20570</v>
      </c>
      <c r="C2318" s="147" t="s">
        <v>20221</v>
      </c>
      <c r="D2318" s="284" t="s">
        <v>897</v>
      </c>
      <c r="E2318" s="178">
        <v>2021</v>
      </c>
      <c r="F2318" s="178" t="s">
        <v>4520</v>
      </c>
      <c r="G2318" s="496"/>
      <c r="H2318" s="994" t="s">
        <v>20221</v>
      </c>
      <c r="I2318" s="12" t="s">
        <v>3345</v>
      </c>
      <c r="J2318" s="1285"/>
      <c r="K2318" s="1285"/>
      <c r="L2318" s="1285"/>
    </row>
    <row r="2319" spans="1:12" ht="11.15" customHeight="1">
      <c r="A2319" s="166" t="s">
        <v>3346</v>
      </c>
      <c r="B2319" s="59" t="s">
        <v>20570</v>
      </c>
      <c r="C2319" s="147" t="s">
        <v>20221</v>
      </c>
      <c r="D2319" s="284" t="s">
        <v>897</v>
      </c>
      <c r="E2319" s="178">
        <v>2020</v>
      </c>
      <c r="F2319" s="178" t="s">
        <v>4520</v>
      </c>
      <c r="G2319" s="496"/>
      <c r="H2319" s="994" t="s">
        <v>20221</v>
      </c>
      <c r="I2319" s="12" t="s">
        <v>3347</v>
      </c>
      <c r="J2319" s="1285"/>
      <c r="K2319" s="1285"/>
      <c r="L2319" s="1285"/>
    </row>
    <row r="2320" spans="1:12" ht="11.15" customHeight="1">
      <c r="A2320" s="129" t="s">
        <v>3348</v>
      </c>
      <c r="B2320" s="59" t="s">
        <v>20570</v>
      </c>
      <c r="C2320" s="147" t="s">
        <v>20221</v>
      </c>
      <c r="D2320" s="284" t="s">
        <v>897</v>
      </c>
      <c r="E2320" s="178">
        <v>2019</v>
      </c>
      <c r="F2320" s="178" t="s">
        <v>4520</v>
      </c>
      <c r="G2320" s="496"/>
      <c r="H2320" s="994" t="s">
        <v>20221</v>
      </c>
      <c r="I2320" s="12" t="s">
        <v>3349</v>
      </c>
      <c r="J2320" s="1285"/>
      <c r="K2320" s="1285"/>
      <c r="L2320" s="1285"/>
    </row>
    <row r="2321" spans="1:12" ht="11.15" customHeight="1">
      <c r="A2321" s="29"/>
      <c r="B2321" s="177" t="s">
        <v>3350</v>
      </c>
      <c r="C2321" s="147"/>
      <c r="D2321" s="161"/>
      <c r="E2321" s="36"/>
      <c r="F2321" s="178"/>
      <c r="G2321" s="497"/>
      <c r="H2321" s="36"/>
      <c r="I2321" s="11"/>
    </row>
    <row r="2322" spans="1:12" ht="11.15" customHeight="1">
      <c r="A2322" s="29"/>
      <c r="B2322" s="59" t="s">
        <v>20571</v>
      </c>
      <c r="C2322" s="147" t="s">
        <v>20221</v>
      </c>
      <c r="D2322" s="284" t="s">
        <v>897</v>
      </c>
      <c r="E2322" s="178">
        <v>2020</v>
      </c>
      <c r="F2322" s="178" t="s">
        <v>23402</v>
      </c>
      <c r="G2322" s="496"/>
      <c r="H2322" s="994" t="s">
        <v>20221</v>
      </c>
      <c r="I2322" s="12" t="s">
        <v>3351</v>
      </c>
      <c r="J2322" s="1285"/>
      <c r="K2322" s="1285"/>
      <c r="L2322" s="1285"/>
    </row>
    <row r="2323" spans="1:12" ht="11.15" customHeight="1">
      <c r="A2323" s="29"/>
      <c r="B2323" s="59" t="s">
        <v>20573</v>
      </c>
      <c r="C2323" s="147" t="s">
        <v>20221</v>
      </c>
      <c r="D2323" s="284" t="s">
        <v>897</v>
      </c>
      <c r="E2323" s="178">
        <v>2020</v>
      </c>
      <c r="F2323" s="178" t="s">
        <v>23402</v>
      </c>
      <c r="G2323" s="496"/>
      <c r="H2323" s="994" t="s">
        <v>20221</v>
      </c>
      <c r="I2323" s="12" t="s">
        <v>3352</v>
      </c>
      <c r="J2323" s="1285"/>
      <c r="K2323" s="1285"/>
      <c r="L2323" s="1285"/>
    </row>
    <row r="2324" spans="1:12" ht="11.15" customHeight="1">
      <c r="A2324" s="29"/>
      <c r="B2324" s="90"/>
      <c r="C2324" s="147"/>
      <c r="D2324" s="161"/>
      <c r="E2324" s="36"/>
      <c r="F2324" s="183"/>
      <c r="G2324" s="497"/>
      <c r="H2324" s="183"/>
      <c r="I2324" s="11"/>
    </row>
    <row r="2325" spans="1:12" ht="11.15" customHeight="1" thickBot="1">
      <c r="A2325" s="29"/>
      <c r="B2325" s="1367" t="s">
        <v>23265</v>
      </c>
      <c r="C2325" s="147"/>
      <c r="D2325" s="161"/>
      <c r="E2325" s="36"/>
      <c r="F2325" s="183"/>
      <c r="G2325" s="497"/>
      <c r="H2325" s="34"/>
      <c r="I2325" s="11"/>
    </row>
    <row r="2326" spans="1:12" ht="11.15" customHeight="1" thickBot="1">
      <c r="A2326" s="349" t="s">
        <v>3353</v>
      </c>
      <c r="B2326" s="177" t="s">
        <v>3354</v>
      </c>
      <c r="C2326" s="147"/>
      <c r="D2326" s="185"/>
      <c r="E2326" s="185"/>
      <c r="F2326" s="185"/>
      <c r="G2326" s="185"/>
      <c r="H2326" s="185"/>
      <c r="I2326" s="11"/>
    </row>
    <row r="2327" spans="1:12" ht="11.15" customHeight="1">
      <c r="A2327" s="29" t="s">
        <v>3355</v>
      </c>
      <c r="B2327" s="59" t="s">
        <v>20575</v>
      </c>
      <c r="C2327" s="147" t="s">
        <v>23393</v>
      </c>
      <c r="D2327" s="284" t="s">
        <v>897</v>
      </c>
      <c r="E2327" s="178">
        <v>2021</v>
      </c>
      <c r="F2327" s="178" t="s">
        <v>4520</v>
      </c>
      <c r="G2327" s="496"/>
      <c r="H2327" s="994" t="s">
        <v>20221</v>
      </c>
      <c r="I2327" s="11" t="s">
        <v>3356</v>
      </c>
      <c r="J2327" s="1285"/>
      <c r="K2327" s="1285"/>
      <c r="L2327" s="1285"/>
    </row>
    <row r="2328" spans="1:12" ht="11.15" customHeight="1">
      <c r="A2328" s="29" t="s">
        <v>3357</v>
      </c>
      <c r="B2328" s="59" t="s">
        <v>20575</v>
      </c>
      <c r="C2328" s="147" t="s">
        <v>23393</v>
      </c>
      <c r="D2328" s="284" t="s">
        <v>897</v>
      </c>
      <c r="E2328" s="178">
        <v>2020</v>
      </c>
      <c r="F2328" s="178" t="s">
        <v>4520</v>
      </c>
      <c r="G2328" s="496"/>
      <c r="H2328" s="994" t="s">
        <v>20221</v>
      </c>
      <c r="I2328" s="11" t="s">
        <v>3358</v>
      </c>
      <c r="J2328" s="1285"/>
      <c r="K2328" s="1285"/>
      <c r="L2328" s="1285"/>
    </row>
    <row r="2329" spans="1:12" ht="11.15" customHeight="1">
      <c r="A2329" s="29" t="s">
        <v>3359</v>
      </c>
      <c r="B2329" s="59" t="s">
        <v>20576</v>
      </c>
      <c r="C2329" s="147" t="s">
        <v>20221</v>
      </c>
      <c r="D2329" s="284" t="s">
        <v>897</v>
      </c>
      <c r="E2329" s="178">
        <v>2016</v>
      </c>
      <c r="F2329" s="178" t="s">
        <v>4520</v>
      </c>
      <c r="G2329" s="496"/>
      <c r="H2329" s="994" t="s">
        <v>20221</v>
      </c>
      <c r="I2329" s="11" t="s">
        <v>3360</v>
      </c>
      <c r="J2329" s="1285"/>
      <c r="K2329" s="1285"/>
      <c r="L2329" s="1285"/>
    </row>
    <row r="2330" spans="1:12" ht="11.15" customHeight="1">
      <c r="A2330" s="29" t="s">
        <v>3361</v>
      </c>
      <c r="B2330" s="177" t="s">
        <v>1691</v>
      </c>
      <c r="C2330" s="147"/>
      <c r="D2330" s="185"/>
      <c r="E2330" s="185"/>
      <c r="F2330" s="185"/>
      <c r="G2330" s="185"/>
      <c r="H2330" s="185"/>
      <c r="I2330" s="11"/>
    </row>
    <row r="2331" spans="1:12" ht="11.15" customHeight="1">
      <c r="A2331" s="29" t="s">
        <v>3362</v>
      </c>
      <c r="B2331" s="59" t="s">
        <v>20577</v>
      </c>
      <c r="C2331" s="147" t="s">
        <v>23393</v>
      </c>
      <c r="D2331" s="284" t="s">
        <v>897</v>
      </c>
      <c r="E2331" s="178">
        <v>2023</v>
      </c>
      <c r="F2331" s="178" t="s">
        <v>4520</v>
      </c>
      <c r="G2331" s="496"/>
      <c r="H2331" s="994" t="s">
        <v>20343</v>
      </c>
      <c r="I2331" s="12" t="s">
        <v>3363</v>
      </c>
      <c r="J2331" s="1285"/>
      <c r="K2331" s="1285"/>
      <c r="L2331" s="1285"/>
    </row>
    <row r="2332" spans="1:12" ht="11.15" customHeight="1">
      <c r="A2332" s="181" t="s">
        <v>3364</v>
      </c>
      <c r="B2332" s="59" t="s">
        <v>20577</v>
      </c>
      <c r="C2332" s="147" t="s">
        <v>23393</v>
      </c>
      <c r="D2332" s="284" t="s">
        <v>897</v>
      </c>
      <c r="E2332" s="178">
        <v>2022</v>
      </c>
      <c r="F2332" s="178" t="s">
        <v>4520</v>
      </c>
      <c r="G2332" s="496"/>
      <c r="H2332" s="994" t="s">
        <v>20224</v>
      </c>
      <c r="I2332" s="11" t="s">
        <v>3365</v>
      </c>
      <c r="J2332" s="1285"/>
      <c r="K2332" s="1285"/>
      <c r="L2332" s="1285"/>
    </row>
    <row r="2333" spans="1:12" ht="11.15" customHeight="1">
      <c r="A2333" s="181" t="s">
        <v>3366</v>
      </c>
      <c r="B2333" s="59" t="s">
        <v>20577</v>
      </c>
      <c r="C2333" s="147" t="s">
        <v>23393</v>
      </c>
      <c r="D2333" s="284" t="s">
        <v>897</v>
      </c>
      <c r="E2333" s="178">
        <v>2021</v>
      </c>
      <c r="F2333" s="178" t="s">
        <v>23395</v>
      </c>
      <c r="G2333" s="496"/>
      <c r="H2333" s="994" t="s">
        <v>20221</v>
      </c>
      <c r="I2333" s="12" t="s">
        <v>3367</v>
      </c>
      <c r="J2333" s="1285"/>
      <c r="K2333" s="1285"/>
      <c r="L2333" s="1285"/>
    </row>
    <row r="2334" spans="1:12" ht="11.15" customHeight="1">
      <c r="A2334" s="29" t="s">
        <v>3368</v>
      </c>
      <c r="B2334" s="59" t="s">
        <v>20577</v>
      </c>
      <c r="C2334" s="147" t="s">
        <v>23393</v>
      </c>
      <c r="D2334" s="284" t="s">
        <v>897</v>
      </c>
      <c r="E2334" s="178">
        <v>2020</v>
      </c>
      <c r="F2334" s="178" t="s">
        <v>4520</v>
      </c>
      <c r="G2334" s="496"/>
      <c r="H2334" s="994" t="s">
        <v>20221</v>
      </c>
      <c r="I2334" s="12" t="s">
        <v>3369</v>
      </c>
      <c r="J2334" s="1285"/>
      <c r="K2334" s="1285"/>
      <c r="L2334" s="1285"/>
    </row>
    <row r="2335" spans="1:12" ht="11.15" customHeight="1">
      <c r="A2335" s="29" t="s">
        <v>3018</v>
      </c>
      <c r="B2335" s="59" t="s">
        <v>20577</v>
      </c>
      <c r="C2335" s="147" t="s">
        <v>20221</v>
      </c>
      <c r="D2335" s="284" t="s">
        <v>897</v>
      </c>
      <c r="E2335" s="178">
        <v>2019</v>
      </c>
      <c r="F2335" s="178" t="s">
        <v>4520</v>
      </c>
      <c r="G2335" s="496"/>
      <c r="H2335" s="994" t="s">
        <v>20221</v>
      </c>
      <c r="I2335" s="12" t="s">
        <v>3370</v>
      </c>
      <c r="J2335" s="1285"/>
      <c r="K2335" s="1285"/>
      <c r="L2335" s="1285"/>
    </row>
    <row r="2336" spans="1:12" ht="11.15" customHeight="1">
      <c r="A2336" s="29" t="s">
        <v>3371</v>
      </c>
      <c r="B2336" s="59" t="s">
        <v>20577</v>
      </c>
      <c r="C2336" s="147" t="s">
        <v>20221</v>
      </c>
      <c r="D2336" s="284" t="s">
        <v>897</v>
      </c>
      <c r="E2336" s="178">
        <v>1995</v>
      </c>
      <c r="F2336" s="178" t="s">
        <v>23395</v>
      </c>
      <c r="G2336" s="496"/>
      <c r="H2336" s="994" t="s">
        <v>20221</v>
      </c>
      <c r="I2336" s="11" t="s">
        <v>3372</v>
      </c>
      <c r="J2336" s="1285"/>
      <c r="K2336" s="1285"/>
      <c r="L2336" s="1285"/>
    </row>
    <row r="2337" spans="1:12" ht="11.15" customHeight="1">
      <c r="A2337" s="29" t="s">
        <v>3373</v>
      </c>
      <c r="B2337" s="177" t="s">
        <v>2305</v>
      </c>
      <c r="C2337" s="147"/>
      <c r="D2337" s="161"/>
      <c r="E2337" s="36"/>
      <c r="F2337" s="178"/>
      <c r="G2337" s="497"/>
      <c r="H2337" s="36"/>
      <c r="I2337" s="11"/>
    </row>
    <row r="2338" spans="1:12" ht="11.15" customHeight="1">
      <c r="A2338" s="129" t="s">
        <v>1077</v>
      </c>
      <c r="B2338" s="59" t="s">
        <v>20578</v>
      </c>
      <c r="C2338" s="147" t="s">
        <v>20221</v>
      </c>
      <c r="D2338" s="284" t="s">
        <v>897</v>
      </c>
      <c r="E2338" s="178">
        <v>2019</v>
      </c>
      <c r="F2338" s="178" t="s">
        <v>11931</v>
      </c>
      <c r="G2338" s="496"/>
      <c r="H2338" s="994" t="s">
        <v>20221</v>
      </c>
      <c r="I2338" s="11" t="s">
        <v>3374</v>
      </c>
      <c r="J2338" s="1285"/>
      <c r="K2338" s="1285"/>
      <c r="L2338" s="1285"/>
    </row>
    <row r="2339" spans="1:12" ht="11.15" customHeight="1">
      <c r="A2339" s="162" t="s">
        <v>3375</v>
      </c>
      <c r="B2339" s="59" t="s">
        <v>20578</v>
      </c>
      <c r="C2339" s="147" t="s">
        <v>20221</v>
      </c>
      <c r="D2339" s="284" t="s">
        <v>897</v>
      </c>
      <c r="E2339" s="178">
        <v>1995</v>
      </c>
      <c r="F2339" s="178" t="s">
        <v>11931</v>
      </c>
      <c r="G2339" s="496"/>
      <c r="H2339" s="994" t="s">
        <v>20224</v>
      </c>
      <c r="I2339" s="11" t="s">
        <v>3376</v>
      </c>
      <c r="J2339" s="1285"/>
      <c r="K2339" s="1285"/>
      <c r="L2339" s="1285"/>
    </row>
    <row r="2340" spans="1:12" ht="11.15" customHeight="1">
      <c r="A2340" s="162" t="s">
        <v>3377</v>
      </c>
      <c r="B2340" s="162"/>
      <c r="C2340" s="162"/>
      <c r="D2340" s="162"/>
      <c r="E2340" s="162"/>
      <c r="F2340" s="162"/>
      <c r="G2340" s="162"/>
      <c r="H2340" s="162"/>
      <c r="I2340" s="11"/>
    </row>
    <row r="2341" spans="1:12" ht="11.15" customHeight="1">
      <c r="A2341" s="162" t="s">
        <v>3378</v>
      </c>
      <c r="B2341" s="185"/>
      <c r="C2341" s="185"/>
      <c r="D2341" s="185"/>
      <c r="E2341" s="185"/>
      <c r="F2341" s="185"/>
      <c r="G2341" s="185"/>
      <c r="H2341" s="185"/>
      <c r="I2341" s="11"/>
    </row>
    <row r="2342" spans="1:12" ht="11.15" customHeight="1">
      <c r="A2342" s="162" t="s">
        <v>3020</v>
      </c>
      <c r="B2342" s="185"/>
      <c r="C2342" s="185"/>
      <c r="D2342" s="185"/>
      <c r="E2342" s="185"/>
      <c r="F2342" s="185"/>
      <c r="G2342" s="185"/>
      <c r="H2342" s="185"/>
      <c r="I2342" s="11"/>
    </row>
    <row r="2343" spans="1:12" ht="11.15" customHeight="1">
      <c r="A2343" s="162" t="s">
        <v>3379</v>
      </c>
      <c r="B2343" s="210"/>
      <c r="C2343" s="147"/>
      <c r="D2343" s="149"/>
      <c r="E2343" s="210"/>
      <c r="F2343" s="209"/>
      <c r="G2343" s="623"/>
      <c r="H2343" s="216"/>
      <c r="I2343" s="11"/>
    </row>
    <row r="2344" spans="1:12" ht="11.15" customHeight="1">
      <c r="A2344" s="162" t="s">
        <v>3380</v>
      </c>
      <c r="B2344" s="90"/>
      <c r="C2344" s="147"/>
      <c r="D2344" s="161"/>
      <c r="E2344" s="36"/>
      <c r="F2344" s="183"/>
      <c r="G2344" s="497"/>
      <c r="H2344" s="34"/>
      <c r="I2344" s="11"/>
    </row>
    <row r="2345" spans="1:12" ht="11.15" customHeight="1">
      <c r="A2345" s="169" t="s">
        <v>3381</v>
      </c>
      <c r="B2345" s="210"/>
      <c r="C2345" s="147"/>
      <c r="D2345" s="149"/>
      <c r="E2345" s="210"/>
      <c r="F2345" s="150"/>
      <c r="G2345" s="886"/>
      <c r="H2345" s="210"/>
      <c r="I2345" s="11"/>
    </row>
    <row r="2346" spans="1:12" ht="11.15" customHeight="1">
      <c r="A2346" s="335" t="s">
        <v>1022</v>
      </c>
      <c r="B2346" s="90"/>
      <c r="C2346" s="147"/>
      <c r="D2346" s="161"/>
      <c r="E2346" s="36"/>
      <c r="F2346" s="183"/>
      <c r="G2346" s="497"/>
      <c r="H2346" s="34"/>
      <c r="I2346" s="11"/>
    </row>
    <row r="2347" spans="1:12" ht="11.15" customHeight="1">
      <c r="A2347" s="129" t="s">
        <v>3022</v>
      </c>
      <c r="B2347" s="90"/>
      <c r="C2347" s="147"/>
      <c r="D2347" s="161"/>
      <c r="E2347" s="36"/>
      <c r="F2347" s="183"/>
      <c r="G2347" s="497"/>
      <c r="H2347" s="34"/>
      <c r="I2347" s="11"/>
    </row>
    <row r="2348" spans="1:12" ht="11.15" customHeight="1">
      <c r="A2348" s="129" t="s">
        <v>3000</v>
      </c>
      <c r="B2348" s="90"/>
      <c r="C2348" s="147"/>
      <c r="D2348" s="161"/>
      <c r="E2348" s="36"/>
      <c r="F2348" s="183"/>
      <c r="G2348" s="497"/>
      <c r="H2348" s="34"/>
      <c r="I2348" s="11"/>
    </row>
    <row r="2349" spans="1:12" ht="11.15" customHeight="1">
      <c r="A2349" s="129" t="s">
        <v>3002</v>
      </c>
      <c r="B2349" s="90"/>
      <c r="C2349" s="147"/>
      <c r="D2349" s="161"/>
      <c r="E2349" s="36"/>
      <c r="F2349" s="183"/>
      <c r="G2349" s="497"/>
      <c r="H2349" s="34"/>
      <c r="I2349" s="11"/>
    </row>
    <row r="2350" spans="1:12" ht="11.15" customHeight="1">
      <c r="A2350" s="129" t="s">
        <v>3382</v>
      </c>
      <c r="B2350" s="90"/>
      <c r="C2350" s="147"/>
      <c r="D2350" s="161"/>
      <c r="E2350" s="36"/>
      <c r="F2350" s="183"/>
      <c r="G2350" s="497"/>
      <c r="H2350" s="34"/>
      <c r="I2350" s="11"/>
    </row>
    <row r="2351" spans="1:12" ht="11.15" customHeight="1" thickBot="1">
      <c r="A2351" s="29"/>
      <c r="B2351" s="90"/>
      <c r="C2351" s="147"/>
      <c r="D2351" s="161"/>
      <c r="E2351" s="36"/>
      <c r="F2351" s="183"/>
      <c r="G2351" s="497"/>
      <c r="H2351" s="34"/>
      <c r="I2351" s="11"/>
    </row>
    <row r="2352" spans="1:12" ht="11.15" customHeight="1">
      <c r="A2352" s="153" t="s">
        <v>3383</v>
      </c>
      <c r="B2352" s="177" t="s">
        <v>1491</v>
      </c>
      <c r="C2352" s="147"/>
      <c r="D2352" s="161"/>
      <c r="E2352" s="36"/>
      <c r="F2352" s="178"/>
      <c r="G2352" s="497"/>
      <c r="H2352" s="36"/>
      <c r="I2352" s="11"/>
    </row>
    <row r="2353" spans="1:12" ht="11.15" customHeight="1" thickBot="1">
      <c r="A2353" s="230" t="s">
        <v>3384</v>
      </c>
      <c r="B2353" s="59" t="s">
        <v>20579</v>
      </c>
      <c r="C2353" s="147" t="s">
        <v>20221</v>
      </c>
      <c r="D2353" s="284" t="s">
        <v>897</v>
      </c>
      <c r="E2353" s="178">
        <v>2023</v>
      </c>
      <c r="F2353" s="178" t="s">
        <v>4520</v>
      </c>
      <c r="G2353" s="496"/>
      <c r="H2353" s="994" t="s">
        <v>20343</v>
      </c>
      <c r="I2353" s="12" t="s">
        <v>3385</v>
      </c>
      <c r="J2353" s="1285"/>
      <c r="K2353" s="1285"/>
      <c r="L2353" s="1285"/>
    </row>
    <row r="2354" spans="1:12" ht="11.15" customHeight="1">
      <c r="A2354" s="29" t="s">
        <v>3386</v>
      </c>
      <c r="B2354" s="59" t="s">
        <v>20579</v>
      </c>
      <c r="C2354" s="147" t="s">
        <v>20221</v>
      </c>
      <c r="D2354" s="284" t="s">
        <v>897</v>
      </c>
      <c r="E2354" s="178">
        <v>2022</v>
      </c>
      <c r="F2354" s="178" t="s">
        <v>4520</v>
      </c>
      <c r="G2354" s="496"/>
      <c r="H2354" s="994" t="s">
        <v>20224</v>
      </c>
      <c r="I2354" s="12" t="s">
        <v>3387</v>
      </c>
      <c r="J2354" s="1285"/>
      <c r="K2354" s="1285"/>
      <c r="L2354" s="1285"/>
    </row>
    <row r="2355" spans="1:12" ht="11.15" customHeight="1">
      <c r="A2355" s="29" t="s">
        <v>3388</v>
      </c>
      <c r="B2355" s="59" t="s">
        <v>20579</v>
      </c>
      <c r="C2355" s="147" t="s">
        <v>20221</v>
      </c>
      <c r="D2355" s="284" t="s">
        <v>897</v>
      </c>
      <c r="E2355" s="178">
        <v>2021</v>
      </c>
      <c r="F2355" s="178" t="s">
        <v>4520</v>
      </c>
      <c r="G2355" s="496"/>
      <c r="H2355" s="994" t="s">
        <v>20224</v>
      </c>
      <c r="I2355" s="12" t="s">
        <v>3389</v>
      </c>
      <c r="J2355" s="1285"/>
      <c r="K2355" s="1285"/>
      <c r="L2355" s="1285"/>
    </row>
    <row r="2356" spans="1:12" ht="11.15" customHeight="1">
      <c r="A2356" s="288" t="s">
        <v>3390</v>
      </c>
      <c r="B2356" s="59" t="s">
        <v>20579</v>
      </c>
      <c r="C2356" s="147" t="s">
        <v>20221</v>
      </c>
      <c r="D2356" s="284" t="s">
        <v>897</v>
      </c>
      <c r="E2356" s="178">
        <v>2020</v>
      </c>
      <c r="F2356" s="178" t="s">
        <v>4520</v>
      </c>
      <c r="G2356" s="496"/>
      <c r="H2356" s="994" t="s">
        <v>20224</v>
      </c>
      <c r="I2356" s="12" t="s">
        <v>3391</v>
      </c>
      <c r="J2356" s="1285"/>
      <c r="K2356" s="1285"/>
      <c r="L2356" s="1285"/>
    </row>
    <row r="2357" spans="1:12" ht="11.15" customHeight="1">
      <c r="A2357" s="288" t="s">
        <v>3392</v>
      </c>
      <c r="B2357" s="177" t="s">
        <v>1691</v>
      </c>
      <c r="C2357" s="147"/>
      <c r="D2357" s="185"/>
      <c r="E2357" s="185"/>
      <c r="F2357" s="185"/>
      <c r="G2357" s="185"/>
      <c r="H2357" s="185"/>
      <c r="I2357" s="11"/>
    </row>
    <row r="2358" spans="1:12" ht="11.15" customHeight="1">
      <c r="A2358" s="218" t="s">
        <v>3393</v>
      </c>
      <c r="B2358" s="59" t="s">
        <v>20580</v>
      </c>
      <c r="C2358" s="147" t="s">
        <v>20221</v>
      </c>
      <c r="D2358" s="284" t="s">
        <v>897</v>
      </c>
      <c r="E2358" s="178">
        <v>2023</v>
      </c>
      <c r="F2358" s="178" t="s">
        <v>4520</v>
      </c>
      <c r="G2358" s="496"/>
      <c r="H2358" s="994" t="s">
        <v>20343</v>
      </c>
      <c r="I2358" s="12" t="s">
        <v>3394</v>
      </c>
      <c r="J2358" s="1285"/>
      <c r="K2358" s="1285"/>
      <c r="L2358" s="1285"/>
    </row>
    <row r="2359" spans="1:12" ht="11.15" customHeight="1">
      <c r="A2359" s="218" t="s">
        <v>1543</v>
      </c>
      <c r="B2359" s="59" t="s">
        <v>20580</v>
      </c>
      <c r="C2359" s="147" t="s">
        <v>20221</v>
      </c>
      <c r="D2359" s="284" t="s">
        <v>897</v>
      </c>
      <c r="E2359" s="178">
        <v>2022</v>
      </c>
      <c r="F2359" s="178" t="s">
        <v>4520</v>
      </c>
      <c r="G2359" s="496"/>
      <c r="H2359" s="994" t="s">
        <v>20224</v>
      </c>
      <c r="I2359" s="12" t="s">
        <v>3395</v>
      </c>
      <c r="J2359" s="1285"/>
      <c r="K2359" s="1285"/>
      <c r="L2359" s="1285"/>
    </row>
    <row r="2360" spans="1:12" ht="11.15" customHeight="1">
      <c r="A2360" s="129" t="s">
        <v>1077</v>
      </c>
      <c r="B2360" s="59" t="s">
        <v>20580</v>
      </c>
      <c r="C2360" s="147" t="s">
        <v>20221</v>
      </c>
      <c r="D2360" s="284" t="s">
        <v>897</v>
      </c>
      <c r="E2360" s="178">
        <v>2021</v>
      </c>
      <c r="F2360" s="178" t="s">
        <v>4520</v>
      </c>
      <c r="G2360" s="496"/>
      <c r="H2360" s="994" t="s">
        <v>20221</v>
      </c>
      <c r="I2360" s="12" t="s">
        <v>3396</v>
      </c>
      <c r="J2360" s="1285"/>
      <c r="K2360" s="1285"/>
      <c r="L2360" s="1285"/>
    </row>
    <row r="2361" spans="1:12" ht="11.15" customHeight="1">
      <c r="A2361" s="162" t="s">
        <v>3397</v>
      </c>
      <c r="B2361" s="59" t="s">
        <v>20580</v>
      </c>
      <c r="C2361" s="147" t="s">
        <v>20221</v>
      </c>
      <c r="D2361" s="284" t="s">
        <v>897</v>
      </c>
      <c r="E2361" s="178">
        <v>2020</v>
      </c>
      <c r="F2361" s="178" t="s">
        <v>4520</v>
      </c>
      <c r="G2361" s="496"/>
      <c r="H2361" s="994" t="s">
        <v>20221</v>
      </c>
      <c r="I2361" s="12" t="s">
        <v>3398</v>
      </c>
      <c r="J2361" s="1285"/>
      <c r="K2361" s="1285"/>
      <c r="L2361" s="1285"/>
    </row>
    <row r="2362" spans="1:12" ht="11.15" customHeight="1">
      <c r="A2362" s="162" t="s">
        <v>3399</v>
      </c>
      <c r="B2362" s="59" t="s">
        <v>20580</v>
      </c>
      <c r="C2362" s="147" t="s">
        <v>20221</v>
      </c>
      <c r="D2362" s="284" t="s">
        <v>897</v>
      </c>
      <c r="E2362" s="178">
        <v>2017</v>
      </c>
      <c r="F2362" s="178" t="s">
        <v>4520</v>
      </c>
      <c r="G2362" s="496"/>
      <c r="H2362" s="994" t="s">
        <v>20224</v>
      </c>
      <c r="I2362" s="12" t="s">
        <v>3400</v>
      </c>
      <c r="J2362" s="1285"/>
      <c r="K2362" s="1285"/>
      <c r="L2362" s="1285"/>
    </row>
    <row r="2363" spans="1:12" ht="11.15" customHeight="1">
      <c r="A2363" s="162" t="s">
        <v>3401</v>
      </c>
      <c r="B2363" s="185"/>
      <c r="C2363" s="185"/>
      <c r="D2363" s="185"/>
      <c r="E2363" s="185"/>
      <c r="F2363" s="185"/>
      <c r="G2363" s="185"/>
      <c r="H2363" s="185"/>
      <c r="I2363" s="11"/>
    </row>
    <row r="2364" spans="1:12" ht="11.15" customHeight="1">
      <c r="A2364" s="162" t="s">
        <v>3402</v>
      </c>
      <c r="B2364" s="185"/>
      <c r="C2364" s="185"/>
      <c r="D2364" s="185"/>
      <c r="E2364" s="185"/>
      <c r="F2364" s="185"/>
      <c r="G2364" s="185"/>
      <c r="H2364" s="185"/>
      <c r="I2364" s="11"/>
    </row>
    <row r="2365" spans="1:12" ht="11.15" customHeight="1">
      <c r="A2365" s="162" t="s">
        <v>3403</v>
      </c>
      <c r="B2365" s="185"/>
      <c r="C2365" s="185"/>
      <c r="D2365" s="185"/>
      <c r="E2365" s="185"/>
      <c r="F2365" s="185"/>
      <c r="G2365" s="185"/>
      <c r="H2365" s="185"/>
      <c r="I2365" s="11"/>
    </row>
    <row r="2366" spans="1:12" ht="11.15" customHeight="1">
      <c r="A2366" s="129" t="s">
        <v>1630</v>
      </c>
      <c r="B2366" s="185"/>
      <c r="C2366" s="185"/>
      <c r="D2366" s="185"/>
      <c r="E2366" s="185"/>
      <c r="F2366" s="185"/>
      <c r="G2366" s="185"/>
      <c r="H2366" s="185"/>
      <c r="I2366" s="11"/>
    </row>
    <row r="2367" spans="1:12" ht="11.15" customHeight="1">
      <c r="A2367" s="1170" t="s">
        <v>3404</v>
      </c>
      <c r="B2367" s="275"/>
      <c r="C2367" s="147"/>
      <c r="D2367" s="161"/>
      <c r="E2367" s="36"/>
      <c r="F2367" s="178"/>
      <c r="G2367" s="496"/>
      <c r="H2367" s="36"/>
      <c r="I2367" s="11"/>
    </row>
    <row r="2368" spans="1:12" ht="11.15" customHeight="1">
      <c r="A2368" s="199" t="s">
        <v>1544</v>
      </c>
      <c r="B2368" s="275"/>
      <c r="C2368" s="147"/>
      <c r="D2368" s="161"/>
      <c r="E2368" s="36"/>
      <c r="F2368" s="178"/>
      <c r="G2368" s="496"/>
      <c r="H2368" s="36"/>
      <c r="I2368" s="11"/>
    </row>
    <row r="2369" spans="1:12" ht="11.15" customHeight="1">
      <c r="A2369" s="129" t="s">
        <v>3405</v>
      </c>
      <c r="B2369" s="275"/>
      <c r="C2369" s="147"/>
      <c r="D2369" s="161"/>
      <c r="E2369" s="36"/>
      <c r="F2369" s="178"/>
      <c r="G2369" s="496"/>
      <c r="H2369" s="36"/>
      <c r="I2369" s="11"/>
    </row>
    <row r="2370" spans="1:12" ht="11.15" customHeight="1" thickBot="1">
      <c r="A2370" s="185"/>
      <c r="B2370" s="241"/>
      <c r="C2370" s="147"/>
      <c r="D2370" s="161"/>
      <c r="E2370" s="36"/>
      <c r="F2370" s="183"/>
      <c r="G2370" s="60"/>
      <c r="H2370" s="34"/>
      <c r="I2370" s="11"/>
    </row>
    <row r="2371" spans="1:12" ht="11.15" customHeight="1">
      <c r="A2371" s="153" t="s">
        <v>3406</v>
      </c>
      <c r="B2371" s="59" t="s">
        <v>20581</v>
      </c>
      <c r="C2371" s="147" t="s">
        <v>20221</v>
      </c>
      <c r="D2371" s="701" t="s">
        <v>1129</v>
      </c>
      <c r="E2371" s="178">
        <v>2021</v>
      </c>
      <c r="F2371" s="178" t="s">
        <v>4520</v>
      </c>
      <c r="G2371" s="496"/>
      <c r="H2371" s="994" t="s">
        <v>20224</v>
      </c>
      <c r="I2371" s="12" t="s">
        <v>3407</v>
      </c>
      <c r="J2371" s="1285"/>
      <c r="K2371" s="1285"/>
      <c r="L2371" s="1285"/>
    </row>
    <row r="2372" spans="1:12" ht="11.15" customHeight="1" thickBot="1">
      <c r="A2372" s="230" t="s">
        <v>3408</v>
      </c>
      <c r="B2372" s="59" t="s">
        <v>20582</v>
      </c>
      <c r="C2372" s="147" t="s">
        <v>20221</v>
      </c>
      <c r="D2372" s="284" t="s">
        <v>897</v>
      </c>
      <c r="E2372" s="178">
        <v>2022</v>
      </c>
      <c r="F2372" s="178" t="s">
        <v>4520</v>
      </c>
      <c r="G2372" s="496"/>
      <c r="H2372" s="994" t="s">
        <v>20224</v>
      </c>
      <c r="I2372" s="12" t="s">
        <v>23370</v>
      </c>
      <c r="J2372" s="1285"/>
      <c r="K2372" s="1285"/>
      <c r="L2372" s="1285"/>
    </row>
    <row r="2373" spans="1:12" ht="11.15" customHeight="1">
      <c r="A2373" s="29" t="s">
        <v>23295</v>
      </c>
      <c r="B2373" s="59" t="s">
        <v>20582</v>
      </c>
      <c r="C2373" s="147" t="s">
        <v>20221</v>
      </c>
      <c r="D2373" s="284" t="s">
        <v>897</v>
      </c>
      <c r="E2373" s="178">
        <v>2021</v>
      </c>
      <c r="F2373" s="178" t="s">
        <v>4520</v>
      </c>
      <c r="G2373" s="496"/>
      <c r="H2373" s="994" t="s">
        <v>20221</v>
      </c>
      <c r="I2373" s="12" t="s">
        <v>3409</v>
      </c>
      <c r="J2373" s="1285"/>
      <c r="K2373" s="1285"/>
      <c r="L2373" s="1285"/>
    </row>
    <row r="2374" spans="1:12" ht="11.15" customHeight="1">
      <c r="A2374" s="29" t="s">
        <v>3410</v>
      </c>
      <c r="B2374" s="59" t="s">
        <v>20582</v>
      </c>
      <c r="C2374" s="147" t="s">
        <v>20221</v>
      </c>
      <c r="D2374" s="284" t="s">
        <v>897</v>
      </c>
      <c r="E2374" s="178">
        <v>2020</v>
      </c>
      <c r="F2374" s="178" t="s">
        <v>4520</v>
      </c>
      <c r="G2374" s="496"/>
      <c r="H2374" s="994" t="s">
        <v>20221</v>
      </c>
      <c r="I2374" s="12" t="s">
        <v>3411</v>
      </c>
      <c r="J2374" s="1285"/>
      <c r="K2374" s="1285"/>
      <c r="L2374" s="1285"/>
    </row>
    <row r="2375" spans="1:12" ht="11.15" customHeight="1">
      <c r="A2375" s="169" t="s">
        <v>3412</v>
      </c>
      <c r="B2375" s="185"/>
      <c r="C2375" s="147"/>
      <c r="D2375" s="129"/>
      <c r="E2375" s="185"/>
      <c r="F2375" s="185"/>
      <c r="G2375" s="185"/>
      <c r="H2375" s="185"/>
      <c r="I2375" s="11"/>
    </row>
    <row r="2376" spans="1:12" ht="11.15" customHeight="1">
      <c r="A2376" s="129" t="s">
        <v>3413</v>
      </c>
      <c r="B2376" s="185"/>
      <c r="C2376" s="147"/>
      <c r="D2376" s="129"/>
      <c r="E2376" s="185"/>
      <c r="F2376" s="185"/>
      <c r="G2376" s="185"/>
      <c r="H2376" s="185"/>
      <c r="I2376" s="11"/>
    </row>
    <row r="2377" spans="1:12" ht="11.15" customHeight="1">
      <c r="A2377" s="29"/>
      <c r="B2377" s="185"/>
      <c r="C2377" s="147"/>
      <c r="D2377" s="129"/>
      <c r="E2377" s="185"/>
      <c r="F2377" s="185"/>
      <c r="G2377" s="185"/>
      <c r="H2377" s="185"/>
      <c r="I2377" s="11"/>
    </row>
    <row r="2378" spans="1:12" ht="9" customHeight="1">
      <c r="A2378" s="137"/>
      <c r="B2378" s="150" t="s">
        <v>3414</v>
      </c>
      <c r="C2378" s="147"/>
      <c r="D2378" s="362"/>
      <c r="E2378" s="137"/>
      <c r="F2378" s="137"/>
      <c r="G2378" s="137"/>
      <c r="H2378" s="137"/>
      <c r="I2378" s="11"/>
    </row>
    <row r="2379" spans="1:12" ht="9" customHeight="1" thickBot="1">
      <c r="A2379" s="162"/>
      <c r="B2379" s="150" t="s">
        <v>3415</v>
      </c>
      <c r="C2379" s="147"/>
      <c r="D2379" s="355"/>
      <c r="E2379" s="162"/>
      <c r="F2379" s="162"/>
      <c r="G2379" s="162"/>
      <c r="H2379" s="162"/>
      <c r="I2379" s="11"/>
    </row>
    <row r="2380" spans="1:12" ht="11.15" customHeight="1">
      <c r="A2380" s="153" t="s">
        <v>3416</v>
      </c>
      <c r="B2380" s="177" t="s">
        <v>1491</v>
      </c>
      <c r="C2380" s="147"/>
      <c r="D2380" s="185"/>
      <c r="E2380" s="185"/>
      <c r="F2380" s="185"/>
      <c r="G2380" s="185"/>
      <c r="H2380" s="185"/>
      <c r="I2380" s="11"/>
    </row>
    <row r="2381" spans="1:12" ht="11.15" customHeight="1" thickBot="1">
      <c r="A2381" s="230" t="s">
        <v>3417</v>
      </c>
      <c r="B2381" s="59" t="s">
        <v>20584</v>
      </c>
      <c r="C2381" s="147" t="s">
        <v>20221</v>
      </c>
      <c r="D2381" s="284" t="s">
        <v>897</v>
      </c>
      <c r="E2381" s="178">
        <v>2023</v>
      </c>
      <c r="F2381" s="178" t="s">
        <v>4520</v>
      </c>
      <c r="G2381" s="496"/>
      <c r="H2381" s="994" t="s">
        <v>20343</v>
      </c>
      <c r="I2381" s="12" t="s">
        <v>3418</v>
      </c>
      <c r="J2381" s="1285"/>
      <c r="K2381" s="1285"/>
      <c r="L2381" s="1285"/>
    </row>
    <row r="2382" spans="1:12" ht="11.15" customHeight="1">
      <c r="A2382" s="29" t="s">
        <v>23266</v>
      </c>
      <c r="B2382" s="59" t="s">
        <v>20584</v>
      </c>
      <c r="C2382" s="147" t="s">
        <v>20221</v>
      </c>
      <c r="D2382" s="284" t="s">
        <v>897</v>
      </c>
      <c r="E2382" s="178">
        <v>2022</v>
      </c>
      <c r="F2382" s="178" t="s">
        <v>4520</v>
      </c>
      <c r="G2382" s="496"/>
      <c r="H2382" s="994" t="s">
        <v>20224</v>
      </c>
      <c r="I2382" s="12" t="s">
        <v>3419</v>
      </c>
      <c r="J2382" s="1285"/>
      <c r="K2382" s="1285"/>
      <c r="L2382" s="1285"/>
    </row>
    <row r="2383" spans="1:12" ht="11.15" customHeight="1">
      <c r="A2383" s="29" t="s">
        <v>3420</v>
      </c>
      <c r="B2383" s="59" t="s">
        <v>20584</v>
      </c>
      <c r="C2383" s="147" t="s">
        <v>20221</v>
      </c>
      <c r="D2383" s="284" t="s">
        <v>897</v>
      </c>
      <c r="E2383" s="178">
        <v>2021</v>
      </c>
      <c r="F2383" s="178" t="s">
        <v>4520</v>
      </c>
      <c r="G2383" s="496"/>
      <c r="H2383" s="994" t="s">
        <v>20224</v>
      </c>
      <c r="I2383" s="12" t="s">
        <v>3421</v>
      </c>
      <c r="J2383" s="1285"/>
      <c r="K2383" s="1285"/>
      <c r="L2383" s="1285"/>
    </row>
    <row r="2384" spans="1:12" ht="11.15" customHeight="1">
      <c r="A2384" s="129" t="s">
        <v>1077</v>
      </c>
      <c r="B2384" s="59" t="s">
        <v>20584</v>
      </c>
      <c r="C2384" s="147" t="s">
        <v>20221</v>
      </c>
      <c r="D2384" s="284" t="s">
        <v>897</v>
      </c>
      <c r="E2384" s="178">
        <v>2020</v>
      </c>
      <c r="F2384" s="178" t="s">
        <v>23394</v>
      </c>
      <c r="G2384" s="496"/>
      <c r="H2384" s="994" t="s">
        <v>20224</v>
      </c>
      <c r="I2384" s="12" t="s">
        <v>3422</v>
      </c>
      <c r="J2384" s="1285"/>
      <c r="K2384" s="1285"/>
      <c r="L2384" s="1285"/>
    </row>
    <row r="2385" spans="1:12" ht="11.15" customHeight="1">
      <c r="A2385" s="162" t="s">
        <v>3423</v>
      </c>
      <c r="B2385" s="177" t="s">
        <v>1691</v>
      </c>
      <c r="C2385" s="147"/>
      <c r="D2385" s="185"/>
      <c r="E2385" s="185"/>
      <c r="F2385" s="185"/>
      <c r="G2385" s="185"/>
      <c r="H2385" s="185"/>
      <c r="I2385" s="11"/>
    </row>
    <row r="2386" spans="1:12" ht="11.15" customHeight="1">
      <c r="A2386" s="162" t="s">
        <v>3424</v>
      </c>
      <c r="B2386" s="59" t="s">
        <v>20585</v>
      </c>
      <c r="C2386" s="147" t="s">
        <v>20221</v>
      </c>
      <c r="D2386" s="284" t="s">
        <v>897</v>
      </c>
      <c r="E2386" s="178">
        <v>2023</v>
      </c>
      <c r="F2386" s="178" t="s">
        <v>4520</v>
      </c>
      <c r="G2386" s="496"/>
      <c r="H2386" s="994" t="s">
        <v>20343</v>
      </c>
      <c r="I2386" s="12" t="s">
        <v>3425</v>
      </c>
      <c r="J2386" s="1285"/>
      <c r="K2386" s="1285"/>
      <c r="L2386" s="1285"/>
    </row>
    <row r="2387" spans="1:12" ht="11.15" customHeight="1">
      <c r="A2387" s="291" t="s">
        <v>3426</v>
      </c>
      <c r="B2387" s="59" t="s">
        <v>20585</v>
      </c>
      <c r="C2387" s="147" t="s">
        <v>20221</v>
      </c>
      <c r="D2387" s="284" t="s">
        <v>897</v>
      </c>
      <c r="E2387" s="178">
        <v>2022</v>
      </c>
      <c r="F2387" s="178" t="s">
        <v>4520</v>
      </c>
      <c r="G2387" s="496"/>
      <c r="H2387" s="994" t="s">
        <v>20224</v>
      </c>
      <c r="I2387" s="12" t="s">
        <v>3427</v>
      </c>
      <c r="J2387" s="1285"/>
      <c r="K2387" s="1285"/>
      <c r="L2387" s="1285"/>
    </row>
    <row r="2388" spans="1:12" ht="11.15" customHeight="1">
      <c r="A2388" s="291" t="s">
        <v>3428</v>
      </c>
      <c r="B2388" s="59" t="s">
        <v>20585</v>
      </c>
      <c r="C2388" s="147" t="s">
        <v>20221</v>
      </c>
      <c r="D2388" s="284" t="s">
        <v>897</v>
      </c>
      <c r="E2388" s="178">
        <v>2021</v>
      </c>
      <c r="F2388" s="178" t="s">
        <v>4520</v>
      </c>
      <c r="G2388" s="496"/>
      <c r="H2388" s="994" t="s">
        <v>20221</v>
      </c>
      <c r="I2388" s="12" t="s">
        <v>3429</v>
      </c>
      <c r="J2388" s="1285"/>
      <c r="K2388" s="1285"/>
      <c r="L2388" s="1285"/>
    </row>
    <row r="2389" spans="1:12" ht="11.15" customHeight="1">
      <c r="A2389" s="199" t="s">
        <v>3430</v>
      </c>
      <c r="B2389" s="59" t="s">
        <v>20585</v>
      </c>
      <c r="C2389" s="147" t="s">
        <v>20221</v>
      </c>
      <c r="D2389" s="284" t="s">
        <v>897</v>
      </c>
      <c r="E2389" s="178">
        <v>2020</v>
      </c>
      <c r="F2389" s="178" t="s">
        <v>4520</v>
      </c>
      <c r="G2389" s="496"/>
      <c r="H2389" s="994" t="s">
        <v>20221</v>
      </c>
      <c r="I2389" s="12" t="s">
        <v>3431</v>
      </c>
      <c r="J2389" s="1285"/>
      <c r="K2389" s="1285"/>
      <c r="L2389" s="1285"/>
    </row>
    <row r="2390" spans="1:12" ht="11.15" customHeight="1">
      <c r="A2390" s="166" t="s">
        <v>3314</v>
      </c>
      <c r="B2390" s="90"/>
      <c r="C2390" s="147"/>
      <c r="D2390" s="161"/>
      <c r="E2390" s="36"/>
      <c r="F2390" s="178"/>
      <c r="G2390" s="497"/>
      <c r="H2390" s="36"/>
      <c r="I2390" s="11"/>
    </row>
    <row r="2391" spans="1:12" ht="11.15" customHeight="1">
      <c r="A2391" s="129" t="s">
        <v>3432</v>
      </c>
      <c r="B2391" s="90"/>
      <c r="C2391" s="147"/>
      <c r="D2391" s="161"/>
      <c r="E2391" s="36"/>
      <c r="F2391" s="178"/>
      <c r="G2391" s="497"/>
      <c r="H2391" s="36"/>
      <c r="I2391" s="11"/>
    </row>
    <row r="2392" spans="1:12" ht="11.15" customHeight="1">
      <c r="A2392" s="129" t="s">
        <v>3433</v>
      </c>
      <c r="B2392" s="275"/>
      <c r="C2392" s="147"/>
      <c r="D2392" s="161"/>
      <c r="E2392" s="36"/>
      <c r="F2392" s="178"/>
      <c r="G2392" s="496"/>
      <c r="H2392" s="36"/>
      <c r="I2392" s="11"/>
    </row>
    <row r="2393" spans="1:12" ht="11.15" customHeight="1" thickBot="1">
      <c r="A2393" s="185"/>
      <c r="B2393" s="241"/>
      <c r="C2393" s="147"/>
      <c r="D2393" s="161"/>
      <c r="E2393" s="36"/>
      <c r="F2393" s="183"/>
      <c r="G2393" s="60"/>
      <c r="H2393" s="34"/>
      <c r="I2393" s="11"/>
    </row>
    <row r="2394" spans="1:12" ht="11.15" customHeight="1">
      <c r="A2394" s="153" t="s">
        <v>3434</v>
      </c>
      <c r="B2394" s="177" t="s">
        <v>1491</v>
      </c>
      <c r="C2394" s="147"/>
      <c r="D2394" s="185"/>
      <c r="E2394" s="185"/>
      <c r="F2394" s="185"/>
      <c r="G2394" s="185"/>
      <c r="H2394" s="185"/>
      <c r="I2394" s="11"/>
    </row>
    <row r="2395" spans="1:12" ht="11.15" customHeight="1">
      <c r="A2395" s="277" t="s">
        <v>3435</v>
      </c>
      <c r="B2395" s="59" t="s">
        <v>20587</v>
      </c>
      <c r="C2395" s="147" t="s">
        <v>20221</v>
      </c>
      <c r="D2395" s="284" t="s">
        <v>897</v>
      </c>
      <c r="E2395" s="178">
        <v>2022</v>
      </c>
      <c r="F2395" s="178" t="s">
        <v>4520</v>
      </c>
      <c r="G2395" s="496"/>
      <c r="H2395" s="994" t="s">
        <v>20221</v>
      </c>
      <c r="I2395" s="12" t="s">
        <v>3436</v>
      </c>
      <c r="J2395" s="1285"/>
      <c r="K2395" s="1285"/>
      <c r="L2395" s="1285"/>
    </row>
    <row r="2396" spans="1:12" ht="11.15" customHeight="1" thickBot="1">
      <c r="A2396" s="230" t="s">
        <v>3437</v>
      </c>
      <c r="B2396" s="59" t="s">
        <v>20587</v>
      </c>
      <c r="C2396" s="147" t="s">
        <v>20221</v>
      </c>
      <c r="D2396" s="284" t="s">
        <v>897</v>
      </c>
      <c r="E2396" s="178">
        <v>2021</v>
      </c>
      <c r="F2396" s="178" t="s">
        <v>23394</v>
      </c>
      <c r="G2396" s="496"/>
      <c r="H2396" s="994" t="s">
        <v>20224</v>
      </c>
      <c r="I2396" s="12" t="s">
        <v>3438</v>
      </c>
      <c r="J2396" s="1285"/>
      <c r="K2396" s="1285"/>
      <c r="L2396" s="1285"/>
    </row>
    <row r="2397" spans="1:12" ht="11.15" customHeight="1">
      <c r="A2397" s="29" t="s">
        <v>3439</v>
      </c>
      <c r="B2397" s="59" t="s">
        <v>20587</v>
      </c>
      <c r="C2397" s="147" t="s">
        <v>20221</v>
      </c>
      <c r="D2397" s="284" t="s">
        <v>897</v>
      </c>
      <c r="E2397" s="178">
        <v>2020</v>
      </c>
      <c r="F2397" s="178" t="s">
        <v>4520</v>
      </c>
      <c r="G2397" s="496"/>
      <c r="H2397" s="994" t="s">
        <v>20224</v>
      </c>
      <c r="I2397" s="12" t="s">
        <v>3440</v>
      </c>
      <c r="J2397" s="1285"/>
      <c r="K2397" s="1285"/>
      <c r="L2397" s="1285"/>
    </row>
    <row r="2398" spans="1:12" ht="11.15" customHeight="1">
      <c r="A2398" s="29" t="s">
        <v>3441</v>
      </c>
      <c r="B2398" s="59" t="s">
        <v>20587</v>
      </c>
      <c r="C2398" s="147" t="s">
        <v>20221</v>
      </c>
      <c r="D2398" s="284" t="s">
        <v>897</v>
      </c>
      <c r="E2398" s="178">
        <v>2019</v>
      </c>
      <c r="F2398" s="178" t="s">
        <v>4520</v>
      </c>
      <c r="G2398" s="496"/>
      <c r="H2398" s="994" t="s">
        <v>20221</v>
      </c>
      <c r="I2398" s="12" t="s">
        <v>3442</v>
      </c>
      <c r="J2398" s="1285"/>
      <c r="K2398" s="1285"/>
      <c r="L2398" s="1285"/>
    </row>
    <row r="2399" spans="1:12" ht="11.15" customHeight="1">
      <c r="A2399" s="272" t="s">
        <v>3443</v>
      </c>
      <c r="B2399" s="177" t="s">
        <v>1691</v>
      </c>
      <c r="C2399" s="147"/>
      <c r="D2399" s="185"/>
      <c r="E2399" s="185"/>
      <c r="F2399" s="185"/>
      <c r="G2399" s="185"/>
      <c r="H2399" s="185"/>
      <c r="I2399" s="11"/>
    </row>
    <row r="2400" spans="1:12" ht="11.15" customHeight="1">
      <c r="A2400" s="272" t="s">
        <v>3444</v>
      </c>
      <c r="B2400" s="59" t="s">
        <v>20588</v>
      </c>
      <c r="C2400" s="147" t="s">
        <v>20221</v>
      </c>
      <c r="D2400" s="284" t="s">
        <v>897</v>
      </c>
      <c r="E2400" s="178">
        <v>2023</v>
      </c>
      <c r="F2400" s="178" t="s">
        <v>4520</v>
      </c>
      <c r="G2400" s="496"/>
      <c r="H2400" s="994" t="s">
        <v>20343</v>
      </c>
      <c r="I2400" s="12" t="s">
        <v>3445</v>
      </c>
      <c r="J2400" s="1285"/>
      <c r="K2400" s="1285"/>
      <c r="L2400" s="1285"/>
    </row>
    <row r="2401" spans="1:12" ht="11.15" customHeight="1">
      <c r="A2401" s="181" t="s">
        <v>3446</v>
      </c>
      <c r="B2401" s="59" t="s">
        <v>20588</v>
      </c>
      <c r="C2401" s="147" t="s">
        <v>20221</v>
      </c>
      <c r="D2401" s="284" t="s">
        <v>897</v>
      </c>
      <c r="E2401" s="178">
        <v>2022</v>
      </c>
      <c r="F2401" s="178" t="s">
        <v>4520</v>
      </c>
      <c r="G2401" s="496"/>
      <c r="H2401" s="994" t="s">
        <v>20224</v>
      </c>
      <c r="I2401" s="12" t="s">
        <v>3447</v>
      </c>
      <c r="J2401" s="1285"/>
      <c r="K2401" s="1285"/>
      <c r="L2401" s="1285"/>
    </row>
    <row r="2402" spans="1:12" ht="11.15" customHeight="1">
      <c r="A2402" s="29" t="s">
        <v>1651</v>
      </c>
      <c r="B2402" s="59" t="s">
        <v>20588</v>
      </c>
      <c r="C2402" s="147" t="s">
        <v>20221</v>
      </c>
      <c r="D2402" s="284" t="s">
        <v>897</v>
      </c>
      <c r="E2402" s="178">
        <v>2021</v>
      </c>
      <c r="F2402" s="178" t="s">
        <v>4520</v>
      </c>
      <c r="G2402" s="496"/>
      <c r="H2402" s="994" t="s">
        <v>20224</v>
      </c>
      <c r="I2402" s="12" t="s">
        <v>3448</v>
      </c>
      <c r="J2402" s="1285"/>
      <c r="K2402" s="1285"/>
      <c r="L2402" s="1285"/>
    </row>
    <row r="2403" spans="1:12" ht="11.15" customHeight="1">
      <c r="A2403" s="129" t="s">
        <v>1630</v>
      </c>
      <c r="B2403" s="59" t="s">
        <v>20588</v>
      </c>
      <c r="C2403" s="147" t="s">
        <v>20221</v>
      </c>
      <c r="D2403" s="284" t="s">
        <v>897</v>
      </c>
      <c r="E2403" s="178">
        <v>2020</v>
      </c>
      <c r="F2403" s="178" t="s">
        <v>4520</v>
      </c>
      <c r="G2403" s="496"/>
      <c r="H2403" s="994" t="s">
        <v>20221</v>
      </c>
      <c r="I2403" s="12" t="s">
        <v>3449</v>
      </c>
      <c r="J2403" s="1285"/>
      <c r="K2403" s="1285"/>
      <c r="L2403" s="1285"/>
    </row>
    <row r="2404" spans="1:12" ht="11.15" customHeight="1">
      <c r="A2404" s="279" t="s">
        <v>3450</v>
      </c>
      <c r="B2404" s="59" t="s">
        <v>20588</v>
      </c>
      <c r="C2404" s="147" t="s">
        <v>20221</v>
      </c>
      <c r="D2404" s="284" t="s">
        <v>897</v>
      </c>
      <c r="E2404" s="178">
        <v>2019</v>
      </c>
      <c r="F2404" s="178" t="s">
        <v>4520</v>
      </c>
      <c r="G2404" s="496"/>
      <c r="H2404" s="994" t="s">
        <v>20224</v>
      </c>
      <c r="I2404" s="12" t="s">
        <v>3451</v>
      </c>
      <c r="J2404" s="1285"/>
      <c r="K2404" s="1285"/>
      <c r="L2404" s="1285"/>
    </row>
    <row r="2405" spans="1:12" ht="11.15" customHeight="1">
      <c r="A2405" s="166" t="s">
        <v>3452</v>
      </c>
      <c r="B2405" s="59" t="s">
        <v>20588</v>
      </c>
      <c r="C2405" s="147" t="s">
        <v>20221</v>
      </c>
      <c r="D2405" s="284" t="s">
        <v>897</v>
      </c>
      <c r="E2405" s="178">
        <v>2017</v>
      </c>
      <c r="F2405" s="178" t="s">
        <v>4520</v>
      </c>
      <c r="G2405" s="496"/>
      <c r="H2405" s="994" t="s">
        <v>20224</v>
      </c>
      <c r="I2405" s="12" t="s">
        <v>3453</v>
      </c>
      <c r="J2405" s="1285"/>
      <c r="K2405" s="1285"/>
      <c r="L2405" s="1285"/>
    </row>
    <row r="2406" spans="1:12" ht="11.15" customHeight="1">
      <c r="A2406" s="129" t="s">
        <v>3454</v>
      </c>
      <c r="B2406" s="59" t="s">
        <v>20588</v>
      </c>
      <c r="C2406" s="147" t="s">
        <v>20221</v>
      </c>
      <c r="D2406" s="284" t="s">
        <v>897</v>
      </c>
      <c r="E2406" s="178">
        <v>2013</v>
      </c>
      <c r="F2406" s="178" t="s">
        <v>23395</v>
      </c>
      <c r="G2406" s="496"/>
      <c r="H2406" s="994" t="s">
        <v>20221</v>
      </c>
      <c r="I2406" s="12" t="s">
        <v>3455</v>
      </c>
      <c r="J2406" s="1285"/>
      <c r="K2406" s="1285"/>
      <c r="L2406" s="1285"/>
    </row>
    <row r="2407" spans="1:12" ht="11.15" customHeight="1" thickBot="1">
      <c r="A2407" s="29"/>
      <c r="B2407" s="90"/>
      <c r="C2407" s="147"/>
      <c r="D2407" s="161"/>
      <c r="E2407" s="36"/>
      <c r="F2407" s="183"/>
      <c r="G2407" s="60"/>
      <c r="H2407" s="34"/>
      <c r="I2407" s="11"/>
    </row>
    <row r="2408" spans="1:12" ht="11.15" customHeight="1" thickBot="1">
      <c r="A2408" s="184" t="s">
        <v>3456</v>
      </c>
      <c r="B2408" s="59" t="s">
        <v>20589</v>
      </c>
      <c r="C2408" s="147" t="s">
        <v>23393</v>
      </c>
      <c r="D2408" s="284" t="s">
        <v>897</v>
      </c>
      <c r="E2408" s="178">
        <v>2020</v>
      </c>
      <c r="F2408" s="178" t="s">
        <v>4520</v>
      </c>
      <c r="G2408" s="496"/>
      <c r="H2408" s="994" t="s">
        <v>20221</v>
      </c>
      <c r="I2408" s="11" t="s">
        <v>3457</v>
      </c>
      <c r="J2408" s="1285"/>
      <c r="K2408" s="1285"/>
      <c r="L2408" s="1285"/>
    </row>
    <row r="2409" spans="1:12" ht="11.15" customHeight="1">
      <c r="A2409" s="29" t="s">
        <v>3458</v>
      </c>
      <c r="B2409" s="59" t="s">
        <v>20589</v>
      </c>
      <c r="C2409" s="147" t="s">
        <v>23393</v>
      </c>
      <c r="D2409" s="284" t="s">
        <v>897</v>
      </c>
      <c r="E2409" s="178">
        <v>2019</v>
      </c>
      <c r="F2409" s="178" t="s">
        <v>4520</v>
      </c>
      <c r="G2409" s="496"/>
      <c r="H2409" s="994" t="s">
        <v>20224</v>
      </c>
      <c r="I2409" s="11" t="s">
        <v>3459</v>
      </c>
      <c r="J2409" s="1285"/>
      <c r="K2409" s="1285"/>
      <c r="L2409" s="1285"/>
    </row>
    <row r="2410" spans="1:12" ht="11.15" customHeight="1">
      <c r="A2410" s="29" t="s">
        <v>3460</v>
      </c>
      <c r="B2410" s="59"/>
      <c r="C2410" s="147"/>
      <c r="D2410" s="284"/>
      <c r="E2410" s="178"/>
      <c r="F2410" s="178"/>
      <c r="G2410" s="496"/>
      <c r="H2410" s="994"/>
      <c r="I2410" s="11"/>
      <c r="J2410" s="1285"/>
      <c r="K2410" s="1285"/>
      <c r="L2410" s="1285"/>
    </row>
    <row r="2411" spans="1:12" ht="11.15" customHeight="1">
      <c r="A2411" s="29" t="s">
        <v>3461</v>
      </c>
      <c r="B2411" s="90"/>
      <c r="C2411" s="147"/>
      <c r="D2411" s="161"/>
      <c r="E2411" s="36"/>
      <c r="F2411" s="178"/>
      <c r="G2411" s="496"/>
      <c r="H2411" s="36"/>
      <c r="I2411" s="11"/>
    </row>
    <row r="2412" spans="1:12" ht="11.15" customHeight="1">
      <c r="A2412" s="29" t="s">
        <v>3462</v>
      </c>
      <c r="B2412" s="90"/>
      <c r="C2412" s="147"/>
      <c r="D2412" s="161"/>
      <c r="E2412" s="36"/>
      <c r="F2412" s="178"/>
      <c r="G2412" s="496"/>
      <c r="H2412" s="36"/>
      <c r="I2412" s="11"/>
    </row>
    <row r="2413" spans="1:12" ht="11.15" customHeight="1">
      <c r="A2413" s="29" t="s">
        <v>3463</v>
      </c>
      <c r="B2413" s="90"/>
      <c r="C2413" s="147"/>
      <c r="D2413" s="161"/>
      <c r="E2413" s="36"/>
      <c r="F2413" s="178"/>
      <c r="G2413" s="496"/>
      <c r="H2413" s="36"/>
      <c r="I2413" s="11"/>
    </row>
    <row r="2414" spans="1:12" ht="11.15" customHeight="1">
      <c r="A2414" s="181" t="s">
        <v>3464</v>
      </c>
      <c r="B2414" s="90"/>
      <c r="C2414" s="147"/>
      <c r="D2414" s="161"/>
      <c r="E2414" s="36"/>
      <c r="F2414" s="178"/>
      <c r="G2414" s="496"/>
      <c r="H2414" s="36"/>
      <c r="I2414" s="11"/>
    </row>
    <row r="2415" spans="1:12" ht="11.15" customHeight="1">
      <c r="A2415" s="181" t="s">
        <v>3465</v>
      </c>
      <c r="B2415" s="90" t="s">
        <v>1220</v>
      </c>
      <c r="C2415" s="147"/>
      <c r="D2415" s="161"/>
      <c r="E2415" s="36"/>
      <c r="F2415" s="183"/>
      <c r="G2415" s="60"/>
      <c r="H2415" s="34"/>
      <c r="I2415" s="11"/>
    </row>
    <row r="2416" spans="1:12" ht="11.15" customHeight="1">
      <c r="A2416" s="129" t="s">
        <v>1077</v>
      </c>
      <c r="B2416" s="90"/>
      <c r="C2416" s="147"/>
      <c r="D2416" s="161"/>
      <c r="E2416" s="36"/>
      <c r="F2416" s="183"/>
      <c r="G2416" s="60"/>
      <c r="H2416" s="34"/>
      <c r="I2416" s="11"/>
    </row>
    <row r="2417" spans="1:9" ht="11.15" customHeight="1">
      <c r="A2417" s="162" t="s">
        <v>3466</v>
      </c>
      <c r="B2417" s="90"/>
      <c r="C2417" s="147"/>
      <c r="D2417" s="161"/>
      <c r="E2417" s="36"/>
      <c r="F2417" s="183"/>
      <c r="G2417" s="60"/>
      <c r="H2417" s="34"/>
      <c r="I2417" s="11"/>
    </row>
    <row r="2418" spans="1:9" ht="11.15" customHeight="1">
      <c r="A2418" s="162" t="s">
        <v>3467</v>
      </c>
      <c r="B2418" s="90"/>
      <c r="C2418" s="147"/>
      <c r="D2418" s="161"/>
      <c r="E2418" s="36"/>
      <c r="F2418" s="183"/>
      <c r="G2418" s="60"/>
      <c r="H2418" s="34"/>
      <c r="I2418" s="11"/>
    </row>
    <row r="2419" spans="1:9" ht="11.15" customHeight="1">
      <c r="A2419" s="283" t="s">
        <v>3468</v>
      </c>
      <c r="B2419" s="36" t="s">
        <v>1220</v>
      </c>
      <c r="C2419" s="147"/>
      <c r="D2419" s="284"/>
      <c r="E2419" s="36"/>
      <c r="F2419" s="183"/>
      <c r="G2419" s="60"/>
      <c r="H2419" s="34"/>
      <c r="I2419" s="11"/>
    </row>
    <row r="2420" spans="1:9" ht="11.15" customHeight="1">
      <c r="A2420" s="162" t="s">
        <v>3469</v>
      </c>
      <c r="B2420" s="90"/>
      <c r="C2420" s="147"/>
      <c r="D2420" s="161"/>
      <c r="E2420" s="36"/>
      <c r="F2420" s="183"/>
      <c r="G2420" s="60"/>
      <c r="H2420" s="34"/>
      <c r="I2420" s="11"/>
    </row>
    <row r="2421" spans="1:9" ht="11.15" customHeight="1">
      <c r="A2421" s="162" t="s">
        <v>3470</v>
      </c>
      <c r="B2421" s="90"/>
      <c r="C2421" s="147"/>
      <c r="D2421" s="161"/>
      <c r="E2421" s="36"/>
      <c r="F2421" s="183"/>
      <c r="G2421" s="60"/>
      <c r="H2421" s="34"/>
      <c r="I2421" s="11"/>
    </row>
    <row r="2422" spans="1:9" ht="11.15" customHeight="1">
      <c r="A2422" s="162" t="s">
        <v>3471</v>
      </c>
      <c r="B2422" s="90"/>
      <c r="C2422" s="147"/>
      <c r="D2422" s="161"/>
      <c r="E2422" s="36"/>
      <c r="F2422" s="183"/>
      <c r="G2422" s="60"/>
      <c r="H2422" s="34"/>
      <c r="I2422" s="11"/>
    </row>
    <row r="2423" spans="1:9" ht="11.15" customHeight="1">
      <c r="A2423" s="162" t="s">
        <v>3472</v>
      </c>
      <c r="B2423" s="90"/>
      <c r="C2423" s="147"/>
      <c r="D2423" s="161"/>
      <c r="E2423" s="36"/>
      <c r="F2423" s="183"/>
      <c r="G2423" s="60"/>
      <c r="H2423" s="34"/>
      <c r="I2423" s="11"/>
    </row>
    <row r="2424" spans="1:9" ht="11.15" customHeight="1">
      <c r="A2424" s="162" t="s">
        <v>3473</v>
      </c>
      <c r="B2424" s="90"/>
      <c r="C2424" s="147"/>
      <c r="D2424" s="161"/>
      <c r="E2424" s="36"/>
      <c r="F2424" s="183"/>
      <c r="G2424" s="60"/>
      <c r="H2424" s="34"/>
      <c r="I2424" s="11"/>
    </row>
    <row r="2425" spans="1:9" ht="11.15" customHeight="1">
      <c r="A2425" s="162" t="s">
        <v>3474</v>
      </c>
      <c r="B2425" s="90"/>
      <c r="C2425" s="147"/>
      <c r="D2425" s="161"/>
      <c r="E2425" s="36"/>
      <c r="F2425" s="183"/>
      <c r="G2425" s="60"/>
      <c r="H2425" s="34"/>
      <c r="I2425" s="11"/>
    </row>
    <row r="2426" spans="1:9" ht="11.15" customHeight="1">
      <c r="A2426" s="29" t="s">
        <v>3475</v>
      </c>
      <c r="B2426" s="90"/>
      <c r="C2426" s="147"/>
      <c r="D2426" s="161"/>
      <c r="E2426" s="36"/>
      <c r="F2426" s="183"/>
      <c r="G2426" s="60"/>
      <c r="H2426" s="34"/>
      <c r="I2426" s="11"/>
    </row>
    <row r="2427" spans="1:9" ht="11.15" customHeight="1">
      <c r="A2427" s="212" t="s">
        <v>3476</v>
      </c>
      <c r="B2427" s="90"/>
      <c r="C2427" s="147"/>
      <c r="D2427" s="161"/>
      <c r="E2427" s="36"/>
      <c r="F2427" s="183"/>
      <c r="G2427" s="60"/>
      <c r="H2427" s="34"/>
      <c r="I2427" s="11"/>
    </row>
    <row r="2428" spans="1:9" ht="11.15" customHeight="1">
      <c r="A2428" s="166" t="s">
        <v>2028</v>
      </c>
      <c r="B2428" s="185"/>
      <c r="C2428" s="147"/>
      <c r="D2428" s="161"/>
      <c r="E2428" s="36"/>
      <c r="F2428" s="178"/>
      <c r="G2428" s="496"/>
      <c r="H2428" s="36"/>
      <c r="I2428" s="11"/>
    </row>
    <row r="2429" spans="1:9" ht="11.15" customHeight="1">
      <c r="A2429" s="129" t="s">
        <v>3477</v>
      </c>
      <c r="B2429" s="90"/>
      <c r="C2429" s="147"/>
      <c r="D2429" s="161"/>
      <c r="E2429" s="36"/>
      <c r="F2429" s="183"/>
      <c r="G2429" s="497"/>
      <c r="H2429" s="34"/>
      <c r="I2429" s="11"/>
    </row>
    <row r="2430" spans="1:9" ht="11.15" customHeight="1">
      <c r="A2430" s="29"/>
      <c r="B2430" s="90"/>
      <c r="C2430" s="147"/>
      <c r="D2430" s="161"/>
      <c r="E2430" s="36"/>
      <c r="F2430" s="178"/>
      <c r="G2430" s="60"/>
      <c r="H2430" s="36"/>
      <c r="I2430" s="11"/>
    </row>
    <row r="2431" spans="1:9" ht="11.15" customHeight="1">
      <c r="A2431" s="29"/>
      <c r="B2431" s="90"/>
      <c r="C2431" s="147"/>
      <c r="D2431" s="161"/>
      <c r="E2431" s="36"/>
      <c r="F2431" s="178"/>
      <c r="G2431" s="60"/>
      <c r="H2431" s="36"/>
      <c r="I2431" s="11"/>
    </row>
    <row r="2432" spans="1:9" ht="24" customHeight="1" thickBot="1">
      <c r="A2432" s="309"/>
      <c r="B2432" s="310" t="s">
        <v>3478</v>
      </c>
      <c r="C2432" s="311"/>
      <c r="D2432" s="312"/>
      <c r="E2432" s="313"/>
      <c r="F2432" s="1070"/>
      <c r="G2432" s="1202"/>
      <c r="H2432" s="313"/>
      <c r="I2432" s="11"/>
    </row>
    <row r="2433" spans="1:12" ht="11.15" customHeight="1" thickBot="1">
      <c r="A2433" s="184" t="s">
        <v>3479</v>
      </c>
      <c r="B2433" s="59" t="s">
        <v>20590</v>
      </c>
      <c r="C2433" s="147" t="s">
        <v>20221</v>
      </c>
      <c r="D2433" s="284" t="s">
        <v>897</v>
      </c>
      <c r="E2433" s="178">
        <v>2021</v>
      </c>
      <c r="F2433" s="178" t="s">
        <v>4520</v>
      </c>
      <c r="G2433" s="496"/>
      <c r="H2433" s="994" t="s">
        <v>20224</v>
      </c>
      <c r="I2433" s="12" t="s">
        <v>3480</v>
      </c>
      <c r="J2433" s="1285"/>
      <c r="K2433" s="1285"/>
      <c r="L2433" s="1285"/>
    </row>
    <row r="2434" spans="1:12" ht="11.15" customHeight="1">
      <c r="A2434" s="29" t="s">
        <v>3481</v>
      </c>
      <c r="B2434" s="59" t="s">
        <v>20590</v>
      </c>
      <c r="C2434" s="147" t="s">
        <v>20221</v>
      </c>
      <c r="D2434" s="284" t="s">
        <v>897</v>
      </c>
      <c r="E2434" s="178">
        <v>2020</v>
      </c>
      <c r="F2434" s="178" t="s">
        <v>4520</v>
      </c>
      <c r="G2434" s="496"/>
      <c r="H2434" s="994" t="s">
        <v>20224</v>
      </c>
      <c r="I2434" s="12" t="s">
        <v>3482</v>
      </c>
      <c r="J2434" s="1285"/>
      <c r="K2434" s="1285"/>
      <c r="L2434" s="1285"/>
    </row>
    <row r="2435" spans="1:12" ht="11.15" customHeight="1">
      <c r="A2435" s="58" t="s">
        <v>3483</v>
      </c>
      <c r="B2435" s="59"/>
      <c r="C2435" s="147"/>
      <c r="D2435" s="284"/>
      <c r="E2435" s="178"/>
      <c r="F2435" s="178"/>
      <c r="G2435" s="496"/>
      <c r="H2435" s="994"/>
      <c r="I2435" s="12"/>
      <c r="J2435" s="1285"/>
      <c r="K2435" s="1285"/>
      <c r="L2435" s="1285"/>
    </row>
    <row r="2436" spans="1:12" ht="11.15" customHeight="1">
      <c r="A2436" s="29" t="s">
        <v>1670</v>
      </c>
      <c r="B2436" s="185"/>
      <c r="C2436" s="147"/>
      <c r="D2436" s="161"/>
      <c r="E2436" s="36"/>
      <c r="F2436" s="178"/>
      <c r="G2436" s="496"/>
      <c r="H2436" s="36"/>
      <c r="I2436" s="11"/>
    </row>
    <row r="2437" spans="1:12" ht="11.15" customHeight="1">
      <c r="A2437" s="181" t="s">
        <v>1672</v>
      </c>
      <c r="B2437" s="90"/>
      <c r="C2437" s="147"/>
      <c r="D2437" s="161"/>
      <c r="E2437" s="36"/>
      <c r="F2437" s="178"/>
      <c r="G2437" s="496"/>
      <c r="H2437" s="36"/>
      <c r="I2437" s="11"/>
    </row>
    <row r="2438" spans="1:12" ht="11.15" customHeight="1">
      <c r="A2438" s="166" t="s">
        <v>3484</v>
      </c>
      <c r="B2438" s="90"/>
      <c r="C2438" s="147"/>
      <c r="D2438" s="161"/>
      <c r="E2438" s="36"/>
      <c r="F2438" s="178"/>
      <c r="G2438" s="671"/>
      <c r="H2438" s="36"/>
      <c r="I2438" s="11"/>
    </row>
    <row r="2439" spans="1:12" ht="11.15" customHeight="1" thickBot="1">
      <c r="A2439" s="162"/>
      <c r="B2439" s="90"/>
      <c r="C2439" s="147"/>
      <c r="D2439" s="161"/>
      <c r="E2439" s="36"/>
      <c r="F2439" s="178"/>
      <c r="G2439" s="496"/>
      <c r="H2439" s="36"/>
      <c r="I2439" s="11"/>
    </row>
    <row r="2440" spans="1:12" ht="11.15" customHeight="1">
      <c r="A2440" s="353" t="s">
        <v>3485</v>
      </c>
      <c r="B2440" s="59" t="s">
        <v>20592</v>
      </c>
      <c r="C2440" s="147" t="s">
        <v>20221</v>
      </c>
      <c r="D2440" s="284" t="s">
        <v>897</v>
      </c>
      <c r="E2440" s="178">
        <v>2006</v>
      </c>
      <c r="F2440" s="178" t="s">
        <v>7168</v>
      </c>
      <c r="G2440" s="496"/>
      <c r="H2440" s="994" t="s">
        <v>20277</v>
      </c>
      <c r="I2440" s="12" t="s">
        <v>3486</v>
      </c>
      <c r="J2440" s="1285"/>
      <c r="K2440" s="1285"/>
      <c r="L2440" s="1285"/>
    </row>
    <row r="2441" spans="1:12" ht="11.15" customHeight="1" thickBot="1">
      <c r="A2441" s="354" t="s">
        <v>3487</v>
      </c>
      <c r="B2441" s="59" t="s">
        <v>20593</v>
      </c>
      <c r="C2441" s="147" t="s">
        <v>20221</v>
      </c>
      <c r="D2441" s="284" t="s">
        <v>897</v>
      </c>
      <c r="E2441" s="178">
        <v>2021</v>
      </c>
      <c r="F2441" s="178" t="s">
        <v>4520</v>
      </c>
      <c r="G2441" s="496"/>
      <c r="H2441" s="994" t="s">
        <v>20343</v>
      </c>
      <c r="I2441" s="12" t="s">
        <v>3488</v>
      </c>
      <c r="J2441" s="1285"/>
      <c r="K2441" s="1285"/>
      <c r="L2441" s="1285"/>
    </row>
    <row r="2442" spans="1:12" ht="11.15" customHeight="1">
      <c r="A2442" s="29" t="s">
        <v>3489</v>
      </c>
      <c r="B2442" s="59" t="s">
        <v>20594</v>
      </c>
      <c r="C2442" s="147" t="s">
        <v>20221</v>
      </c>
      <c r="D2442" s="284" t="s">
        <v>897</v>
      </c>
      <c r="E2442" s="178">
        <v>2021</v>
      </c>
      <c r="F2442" s="178" t="s">
        <v>11931</v>
      </c>
      <c r="G2442" s="496"/>
      <c r="H2442" s="994" t="s">
        <v>20343</v>
      </c>
      <c r="I2442" s="12" t="s">
        <v>3490</v>
      </c>
      <c r="J2442" s="1285"/>
      <c r="K2442" s="1285"/>
      <c r="L2442" s="1285"/>
    </row>
    <row r="2443" spans="1:12" ht="11.15" customHeight="1">
      <c r="A2443" s="29" t="s">
        <v>3491</v>
      </c>
      <c r="B2443" s="90"/>
      <c r="C2443" s="147"/>
      <c r="D2443" s="161"/>
      <c r="E2443" s="36"/>
      <c r="F2443" s="178"/>
      <c r="G2443" s="496"/>
      <c r="H2443" s="36"/>
      <c r="I2443" s="11"/>
    </row>
    <row r="2444" spans="1:12" ht="11.15" customHeight="1">
      <c r="A2444" s="29" t="s">
        <v>3492</v>
      </c>
      <c r="B2444" s="90"/>
      <c r="C2444" s="147"/>
      <c r="D2444" s="161"/>
      <c r="E2444" s="36"/>
      <c r="F2444" s="178"/>
      <c r="G2444" s="496"/>
      <c r="H2444" s="36"/>
      <c r="I2444" s="11"/>
    </row>
    <row r="2445" spans="1:12" ht="11.15" customHeight="1">
      <c r="A2445" s="181" t="s">
        <v>1672</v>
      </c>
      <c r="B2445" s="90"/>
      <c r="C2445" s="147"/>
      <c r="D2445" s="161"/>
      <c r="E2445" s="36"/>
      <c r="F2445" s="178"/>
      <c r="G2445" s="671"/>
      <c r="H2445" s="36"/>
      <c r="I2445" s="11"/>
    </row>
    <row r="2446" spans="1:12" ht="11.15" customHeight="1">
      <c r="A2446" s="129" t="s">
        <v>1077</v>
      </c>
      <c r="B2446" s="90"/>
      <c r="C2446" s="147"/>
      <c r="D2446" s="161"/>
      <c r="E2446" s="36"/>
      <c r="F2446" s="178"/>
      <c r="G2446" s="496"/>
      <c r="H2446" s="36"/>
      <c r="I2446" s="11"/>
    </row>
    <row r="2447" spans="1:12" ht="11.15" customHeight="1">
      <c r="A2447" s="162" t="s">
        <v>3493</v>
      </c>
      <c r="B2447" s="210"/>
      <c r="C2447" s="150"/>
      <c r="D2447" s="150"/>
      <c r="E2447" s="210"/>
      <c r="F2447" s="150"/>
      <c r="G2447" s="1190"/>
      <c r="H2447" s="210"/>
      <c r="I2447" s="11"/>
    </row>
    <row r="2448" spans="1:12" ht="11.15" customHeight="1">
      <c r="A2448" s="162" t="s">
        <v>3494</v>
      </c>
      <c r="B2448" s="90"/>
      <c r="C2448" s="147"/>
      <c r="D2448" s="161"/>
      <c r="E2448" s="36"/>
      <c r="F2448" s="178"/>
      <c r="G2448" s="496"/>
      <c r="H2448" s="36"/>
      <c r="I2448" s="11"/>
    </row>
    <row r="2449" spans="1:12" ht="11.15" customHeight="1">
      <c r="A2449" s="162" t="s">
        <v>3495</v>
      </c>
      <c r="B2449" s="90"/>
      <c r="C2449" s="147"/>
      <c r="D2449" s="161"/>
      <c r="E2449" s="36"/>
      <c r="F2449" s="178"/>
      <c r="G2449" s="496"/>
      <c r="H2449" s="36"/>
      <c r="I2449" s="11"/>
    </row>
    <row r="2450" spans="1:12" ht="11.15" customHeight="1">
      <c r="A2450" s="162" t="s">
        <v>3496</v>
      </c>
      <c r="B2450" s="90"/>
      <c r="C2450" s="147"/>
      <c r="D2450" s="161"/>
      <c r="E2450" s="36"/>
      <c r="F2450" s="178"/>
      <c r="G2450" s="496"/>
      <c r="H2450" s="36"/>
      <c r="I2450" s="11"/>
    </row>
    <row r="2451" spans="1:12" ht="11.15" customHeight="1">
      <c r="A2451" s="162" t="s">
        <v>3497</v>
      </c>
      <c r="B2451" s="90"/>
      <c r="C2451" s="147"/>
      <c r="D2451" s="161"/>
      <c r="E2451" s="36"/>
      <c r="F2451" s="178"/>
      <c r="G2451" s="496"/>
      <c r="H2451" s="36"/>
      <c r="I2451" s="11"/>
    </row>
    <row r="2452" spans="1:12" ht="11.15" customHeight="1">
      <c r="A2452" s="129" t="s">
        <v>3498</v>
      </c>
      <c r="B2452" s="90"/>
      <c r="C2452" s="147"/>
      <c r="D2452" s="161"/>
      <c r="E2452" s="36"/>
      <c r="F2452" s="183"/>
      <c r="G2452" s="497"/>
      <c r="H2452" s="34"/>
      <c r="I2452" s="11"/>
    </row>
    <row r="2453" spans="1:12" ht="11.15" customHeight="1" thickBot="1">
      <c r="A2453" s="29"/>
      <c r="B2453" s="185"/>
      <c r="C2453" s="147"/>
      <c r="D2453" s="161"/>
      <c r="E2453" s="36"/>
      <c r="F2453" s="178"/>
      <c r="G2453" s="496"/>
      <c r="H2453" s="36"/>
      <c r="I2453" s="11"/>
    </row>
    <row r="2454" spans="1:12" ht="11.15" customHeight="1" thickBot="1">
      <c r="A2454" s="184" t="s">
        <v>3499</v>
      </c>
      <c r="B2454" s="59" t="s">
        <v>20595</v>
      </c>
      <c r="C2454" s="147" t="s">
        <v>20221</v>
      </c>
      <c r="D2454" s="284" t="s">
        <v>897</v>
      </c>
      <c r="E2454" s="178">
        <v>2021</v>
      </c>
      <c r="F2454" s="178" t="s">
        <v>4520</v>
      </c>
      <c r="G2454" s="496"/>
      <c r="H2454" s="994" t="s">
        <v>20221</v>
      </c>
      <c r="I2454" s="12" t="s">
        <v>3500</v>
      </c>
      <c r="J2454" s="1285"/>
      <c r="K2454" s="1285"/>
      <c r="L2454" s="1285"/>
    </row>
    <row r="2455" spans="1:12" ht="11.15" customHeight="1">
      <c r="A2455" s="29" t="s">
        <v>3501</v>
      </c>
      <c r="B2455" s="90"/>
      <c r="C2455" s="147"/>
      <c r="D2455" s="161"/>
      <c r="E2455" s="36"/>
      <c r="F2455" s="178"/>
      <c r="G2455" s="496"/>
      <c r="H2455" s="36"/>
      <c r="I2455" s="11"/>
    </row>
    <row r="2456" spans="1:12" ht="11.15" customHeight="1">
      <c r="A2456" s="29" t="s">
        <v>3502</v>
      </c>
      <c r="B2456" s="90"/>
      <c r="C2456" s="147"/>
      <c r="D2456" s="161"/>
      <c r="E2456" s="36"/>
      <c r="F2456" s="178"/>
      <c r="G2456" s="496"/>
      <c r="H2456" s="36"/>
      <c r="I2456" s="11"/>
    </row>
    <row r="2457" spans="1:12" ht="11.15" customHeight="1">
      <c r="A2457" s="29" t="s">
        <v>3503</v>
      </c>
      <c r="B2457" s="90"/>
      <c r="C2457" s="147"/>
      <c r="D2457" s="161"/>
      <c r="E2457" s="36"/>
      <c r="F2457" s="178"/>
      <c r="G2457" s="496"/>
      <c r="H2457" s="36"/>
      <c r="I2457" s="11"/>
    </row>
    <row r="2458" spans="1:12" ht="11.15" customHeight="1">
      <c r="A2458" s="29" t="s">
        <v>3504</v>
      </c>
      <c r="B2458" s="185"/>
      <c r="C2458" s="147"/>
      <c r="D2458" s="161"/>
      <c r="E2458" s="36"/>
      <c r="F2458" s="178"/>
      <c r="G2458" s="496"/>
      <c r="H2458" s="36"/>
      <c r="I2458" s="11"/>
    </row>
    <row r="2459" spans="1:12" ht="11.15" customHeight="1">
      <c r="A2459" s="29" t="s">
        <v>3505</v>
      </c>
      <c r="B2459" s="185"/>
      <c r="C2459" s="147"/>
      <c r="D2459" s="161"/>
      <c r="E2459" s="36"/>
      <c r="F2459" s="178"/>
      <c r="G2459" s="496"/>
      <c r="H2459" s="36"/>
      <c r="I2459" s="11"/>
    </row>
    <row r="2460" spans="1:12" ht="11.15" customHeight="1">
      <c r="A2460" s="166" t="s">
        <v>3506</v>
      </c>
      <c r="B2460" s="185"/>
      <c r="C2460" s="147"/>
      <c r="D2460" s="161"/>
      <c r="E2460" s="36"/>
      <c r="F2460" s="178"/>
      <c r="G2460" s="496"/>
      <c r="H2460" s="36"/>
      <c r="I2460" s="11"/>
    </row>
    <row r="2461" spans="1:12" ht="11.15" customHeight="1" thickBot="1">
      <c r="A2461" s="162"/>
      <c r="B2461" s="90"/>
      <c r="C2461" s="147"/>
      <c r="D2461" s="161"/>
      <c r="E2461" s="36"/>
      <c r="F2461" s="178"/>
      <c r="G2461" s="496"/>
      <c r="H2461" s="36"/>
      <c r="I2461" s="11"/>
    </row>
    <row r="2462" spans="1:12" ht="11.15" customHeight="1" thickBot="1">
      <c r="A2462" s="184" t="s">
        <v>3507</v>
      </c>
      <c r="B2462" s="59" t="s">
        <v>20596</v>
      </c>
      <c r="C2462" s="147" t="s">
        <v>20221</v>
      </c>
      <c r="D2462" s="284" t="s">
        <v>897</v>
      </c>
      <c r="E2462" s="178">
        <v>2012</v>
      </c>
      <c r="F2462" s="178" t="s">
        <v>4520</v>
      </c>
      <c r="G2462" s="496"/>
      <c r="H2462" s="994" t="s">
        <v>20221</v>
      </c>
      <c r="I2462" s="12" t="s">
        <v>3508</v>
      </c>
      <c r="J2462" s="1285"/>
      <c r="K2462" s="1285"/>
      <c r="L2462" s="1285"/>
    </row>
    <row r="2463" spans="1:12" ht="11.15" customHeight="1">
      <c r="A2463" s="29" t="s">
        <v>3509</v>
      </c>
      <c r="B2463" s="185"/>
      <c r="C2463" s="147"/>
      <c r="D2463" s="185"/>
      <c r="E2463" s="185"/>
      <c r="F2463" s="185"/>
      <c r="G2463" s="185"/>
      <c r="H2463" s="185"/>
      <c r="I2463" s="11"/>
    </row>
    <row r="2464" spans="1:12" ht="11.15" customHeight="1">
      <c r="A2464" s="29" t="s">
        <v>3510</v>
      </c>
      <c r="B2464" s="185"/>
      <c r="C2464" s="147"/>
      <c r="D2464" s="185"/>
      <c r="E2464" s="185"/>
      <c r="F2464" s="185"/>
      <c r="G2464" s="185"/>
      <c r="H2464" s="185"/>
      <c r="I2464" s="11"/>
    </row>
    <row r="2465" spans="1:12" ht="11.15" customHeight="1">
      <c r="A2465" s="29" t="s">
        <v>3511</v>
      </c>
      <c r="B2465" s="185"/>
      <c r="C2465" s="147"/>
      <c r="D2465" s="185"/>
      <c r="E2465" s="185"/>
      <c r="F2465" s="185"/>
      <c r="G2465" s="185"/>
      <c r="H2465" s="185"/>
      <c r="I2465" s="11"/>
    </row>
    <row r="2466" spans="1:12" ht="11.15" customHeight="1">
      <c r="A2466" s="29" t="s">
        <v>3512</v>
      </c>
      <c r="B2466" s="185"/>
      <c r="C2466" s="147"/>
      <c r="D2466" s="185"/>
      <c r="E2466" s="185"/>
      <c r="F2466" s="185"/>
      <c r="G2466" s="185"/>
      <c r="H2466" s="185"/>
      <c r="I2466" s="11"/>
    </row>
    <row r="2467" spans="1:12" ht="11.15" customHeight="1">
      <c r="A2467" s="169" t="s">
        <v>3513</v>
      </c>
      <c r="B2467" s="185"/>
      <c r="C2467" s="147"/>
      <c r="D2467" s="185"/>
      <c r="E2467" s="185"/>
      <c r="F2467" s="185"/>
      <c r="G2467" s="185"/>
      <c r="H2467" s="185"/>
      <c r="I2467" s="11"/>
    </row>
    <row r="2468" spans="1:12" ht="11.15" customHeight="1">
      <c r="A2468" s="363" t="s">
        <v>1327</v>
      </c>
      <c r="B2468" s="185"/>
      <c r="C2468" s="147"/>
      <c r="D2468" s="185"/>
      <c r="E2468" s="185"/>
      <c r="F2468" s="185"/>
      <c r="G2468" s="185"/>
      <c r="H2468" s="185"/>
      <c r="I2468" s="11"/>
    </row>
    <row r="2469" spans="1:12" ht="11.15" customHeight="1">
      <c r="A2469" s="129" t="s">
        <v>3022</v>
      </c>
      <c r="B2469" s="90"/>
      <c r="C2469" s="147"/>
      <c r="D2469" s="161"/>
      <c r="E2469" s="36"/>
      <c r="F2469" s="183"/>
      <c r="G2469" s="497"/>
      <c r="H2469" s="34"/>
      <c r="I2469" s="11"/>
    </row>
    <row r="2470" spans="1:12" ht="11.15" customHeight="1">
      <c r="A2470" s="129" t="s">
        <v>3000</v>
      </c>
      <c r="B2470" s="90"/>
      <c r="C2470" s="147"/>
      <c r="D2470" s="161"/>
      <c r="E2470" s="36"/>
      <c r="F2470" s="183"/>
      <c r="G2470" s="497"/>
      <c r="H2470" s="34"/>
      <c r="I2470" s="11"/>
    </row>
    <row r="2471" spans="1:12" ht="11.15" customHeight="1">
      <c r="A2471" s="129" t="s">
        <v>3514</v>
      </c>
      <c r="B2471" s="90"/>
      <c r="C2471" s="147"/>
      <c r="D2471" s="161"/>
      <c r="E2471" s="36"/>
      <c r="F2471" s="183"/>
      <c r="G2471" s="497"/>
      <c r="H2471" s="34"/>
      <c r="I2471" s="11"/>
    </row>
    <row r="2472" spans="1:12" ht="11.15" customHeight="1">
      <c r="A2472" s="129" t="s">
        <v>3515</v>
      </c>
      <c r="B2472" s="185"/>
      <c r="C2472" s="147"/>
      <c r="D2472" s="185"/>
      <c r="E2472" s="185"/>
      <c r="F2472" s="185"/>
      <c r="G2472" s="185"/>
      <c r="H2472" s="185"/>
      <c r="I2472" s="11"/>
    </row>
    <row r="2473" spans="1:12" ht="11.15" customHeight="1" thickBot="1">
      <c r="A2473" s="363"/>
      <c r="B2473" s="185"/>
      <c r="C2473" s="147"/>
      <c r="D2473" s="185"/>
      <c r="E2473" s="185"/>
      <c r="F2473" s="185"/>
      <c r="G2473" s="185"/>
      <c r="H2473" s="185"/>
      <c r="I2473" s="11"/>
    </row>
    <row r="2474" spans="1:12" ht="11.15" customHeight="1" thickBot="1">
      <c r="A2474" s="184" t="s">
        <v>3516</v>
      </c>
      <c r="B2474" s="59" t="s">
        <v>20597</v>
      </c>
      <c r="C2474" s="147" t="s">
        <v>20221</v>
      </c>
      <c r="D2474" s="284" t="s">
        <v>897</v>
      </c>
      <c r="E2474" s="178">
        <v>2020</v>
      </c>
      <c r="F2474" s="178" t="s">
        <v>4520</v>
      </c>
      <c r="G2474" s="496"/>
      <c r="H2474" s="994" t="s">
        <v>20221</v>
      </c>
      <c r="I2474" s="12" t="s">
        <v>3517</v>
      </c>
      <c r="J2474" s="1285"/>
      <c r="K2474" s="1285"/>
      <c r="L2474" s="1285"/>
    </row>
    <row r="2475" spans="1:12" ht="11.15" customHeight="1">
      <c r="A2475" s="29" t="s">
        <v>3518</v>
      </c>
      <c r="B2475" s="59" t="s">
        <v>20597</v>
      </c>
      <c r="C2475" s="147" t="s">
        <v>20221</v>
      </c>
      <c r="D2475" s="284" t="s">
        <v>897</v>
      </c>
      <c r="E2475" s="178">
        <v>2019</v>
      </c>
      <c r="F2475" s="178" t="s">
        <v>4520</v>
      </c>
      <c r="G2475" s="496"/>
      <c r="H2475" s="994" t="s">
        <v>20221</v>
      </c>
      <c r="I2475" s="11" t="s">
        <v>3519</v>
      </c>
      <c r="J2475" s="1285"/>
      <c r="K2475" s="1285"/>
      <c r="L2475" s="1285"/>
    </row>
    <row r="2476" spans="1:12" ht="11.15" customHeight="1">
      <c r="A2476" s="29" t="s">
        <v>3520</v>
      </c>
      <c r="B2476" s="59"/>
      <c r="C2476" s="147"/>
      <c r="D2476" s="284"/>
      <c r="E2476" s="178"/>
      <c r="F2476" s="178"/>
      <c r="G2476" s="496"/>
      <c r="H2476" s="994"/>
      <c r="I2476" s="11"/>
      <c r="J2476" s="1285"/>
      <c r="K2476" s="1285"/>
      <c r="L2476" s="1285"/>
    </row>
    <row r="2477" spans="1:12" ht="11.15" customHeight="1">
      <c r="A2477" s="181" t="s">
        <v>973</v>
      </c>
      <c r="B2477" s="29"/>
      <c r="C2477" s="147"/>
      <c r="D2477" s="129"/>
      <c r="E2477" s="29"/>
      <c r="F2477" s="29"/>
      <c r="G2477" s="29"/>
      <c r="H2477" s="29"/>
      <c r="I2477" s="11"/>
    </row>
    <row r="2478" spans="1:12" ht="11.15" customHeight="1">
      <c r="A2478" s="166" t="s">
        <v>3521</v>
      </c>
      <c r="B2478" s="90"/>
      <c r="C2478" s="147"/>
      <c r="D2478" s="161"/>
      <c r="E2478" s="36"/>
      <c r="F2478" s="178"/>
      <c r="G2478" s="496"/>
      <c r="H2478" s="36"/>
      <c r="I2478" s="11"/>
    </row>
    <row r="2479" spans="1:12" ht="11.15" customHeight="1">
      <c r="A2479" s="285" t="s">
        <v>3522</v>
      </c>
      <c r="B2479" s="90"/>
      <c r="C2479" s="147"/>
      <c r="D2479" s="161"/>
      <c r="E2479" s="36"/>
      <c r="F2479" s="178"/>
      <c r="G2479" s="496"/>
      <c r="H2479" s="36"/>
      <c r="I2479" s="11"/>
    </row>
    <row r="2480" spans="1:12" ht="11.15" customHeight="1">
      <c r="A2480" s="129" t="s">
        <v>3523</v>
      </c>
      <c r="B2480" s="90"/>
      <c r="C2480" s="147"/>
      <c r="D2480" s="161"/>
      <c r="E2480" s="36"/>
      <c r="F2480" s="178"/>
      <c r="G2480" s="496"/>
      <c r="H2480" s="36"/>
      <c r="I2480" s="11"/>
    </row>
    <row r="2481" spans="1:12" ht="11.15" customHeight="1" thickBot="1">
      <c r="A2481" s="185"/>
      <c r="B2481" s="185"/>
      <c r="C2481" s="147"/>
      <c r="D2481" s="161"/>
      <c r="E2481" s="36"/>
      <c r="F2481" s="183"/>
      <c r="G2481" s="60"/>
      <c r="H2481" s="34"/>
      <c r="I2481" s="11"/>
    </row>
    <row r="2482" spans="1:12" ht="11.15" customHeight="1" thickBot="1">
      <c r="A2482" s="184" t="s">
        <v>3524</v>
      </c>
      <c r="B2482" s="177" t="s">
        <v>1491</v>
      </c>
      <c r="C2482" s="147"/>
      <c r="D2482" s="161"/>
      <c r="E2482" s="36"/>
      <c r="F2482" s="178"/>
      <c r="G2482" s="496"/>
      <c r="H2482" s="36"/>
      <c r="I2482" s="11"/>
    </row>
    <row r="2483" spans="1:12" ht="11.15" customHeight="1">
      <c r="A2483" s="29" t="s">
        <v>3525</v>
      </c>
      <c r="B2483" s="59" t="s">
        <v>20598</v>
      </c>
      <c r="C2483" s="147" t="s">
        <v>20221</v>
      </c>
      <c r="D2483" s="284" t="s">
        <v>897</v>
      </c>
      <c r="E2483" s="178">
        <v>2017</v>
      </c>
      <c r="F2483" s="178" t="s">
        <v>4520</v>
      </c>
      <c r="G2483" s="496"/>
      <c r="H2483" s="994" t="s">
        <v>20221</v>
      </c>
      <c r="I2483" s="11" t="s">
        <v>3526</v>
      </c>
      <c r="J2483" s="1285"/>
      <c r="K2483" s="1285"/>
      <c r="L2483" s="1285"/>
    </row>
    <row r="2484" spans="1:12" ht="11.15" customHeight="1">
      <c r="A2484" s="29" t="s">
        <v>3527</v>
      </c>
      <c r="B2484" s="177" t="s">
        <v>1691</v>
      </c>
      <c r="C2484" s="147"/>
      <c r="D2484" s="185"/>
      <c r="E2484" s="185"/>
      <c r="F2484" s="185"/>
      <c r="G2484" s="185"/>
      <c r="H2484" s="185"/>
      <c r="I2484" s="11"/>
    </row>
    <row r="2485" spans="1:12" ht="11.15" customHeight="1">
      <c r="A2485" s="29" t="s">
        <v>3528</v>
      </c>
      <c r="B2485" s="59" t="s">
        <v>20599</v>
      </c>
      <c r="C2485" s="147" t="s">
        <v>20221</v>
      </c>
      <c r="D2485" s="284" t="s">
        <v>897</v>
      </c>
      <c r="E2485" s="178">
        <v>2022</v>
      </c>
      <c r="F2485" s="178" t="s">
        <v>4520</v>
      </c>
      <c r="G2485" s="496"/>
      <c r="H2485" s="994" t="s">
        <v>20221</v>
      </c>
      <c r="I2485" s="11" t="s">
        <v>3529</v>
      </c>
      <c r="J2485" s="1285"/>
      <c r="K2485" s="1285"/>
      <c r="L2485" s="1285"/>
    </row>
    <row r="2486" spans="1:12" ht="11.15" customHeight="1">
      <c r="A2486" s="29" t="s">
        <v>3530</v>
      </c>
      <c r="B2486" s="59" t="s">
        <v>20599</v>
      </c>
      <c r="C2486" s="147" t="s">
        <v>20221</v>
      </c>
      <c r="D2486" s="284" t="s">
        <v>897</v>
      </c>
      <c r="E2486" s="178">
        <v>2021</v>
      </c>
      <c r="F2486" s="178" t="s">
        <v>4520</v>
      </c>
      <c r="G2486" s="496"/>
      <c r="H2486" s="994" t="s">
        <v>20221</v>
      </c>
      <c r="I2486" s="11" t="s">
        <v>3531</v>
      </c>
      <c r="J2486" s="1285"/>
      <c r="K2486" s="1285"/>
      <c r="L2486" s="1285"/>
    </row>
    <row r="2487" spans="1:12" ht="11.15" customHeight="1">
      <c r="A2487" s="29" t="s">
        <v>3532</v>
      </c>
      <c r="B2487" s="59" t="s">
        <v>20599</v>
      </c>
      <c r="C2487" s="147" t="s">
        <v>20221</v>
      </c>
      <c r="D2487" s="284" t="s">
        <v>897</v>
      </c>
      <c r="E2487" s="178">
        <v>2020</v>
      </c>
      <c r="F2487" s="178" t="s">
        <v>4520</v>
      </c>
      <c r="G2487" s="496"/>
      <c r="H2487" s="994" t="s">
        <v>20221</v>
      </c>
      <c r="I2487" s="11" t="s">
        <v>3533</v>
      </c>
      <c r="J2487" s="1285"/>
      <c r="K2487" s="1285"/>
      <c r="L2487" s="1285"/>
    </row>
    <row r="2488" spans="1:12" ht="11.15" customHeight="1">
      <c r="A2488" s="181" t="s">
        <v>3534</v>
      </c>
      <c r="B2488" s="59" t="s">
        <v>20599</v>
      </c>
      <c r="C2488" s="147" t="s">
        <v>20221</v>
      </c>
      <c r="D2488" s="284" t="s">
        <v>897</v>
      </c>
      <c r="E2488" s="178">
        <v>2019</v>
      </c>
      <c r="F2488" s="178" t="s">
        <v>4520</v>
      </c>
      <c r="G2488" s="496"/>
      <c r="H2488" s="994" t="s">
        <v>20221</v>
      </c>
      <c r="I2488" s="11" t="s">
        <v>3535</v>
      </c>
      <c r="J2488" s="1285"/>
      <c r="K2488" s="1285"/>
      <c r="L2488" s="1285"/>
    </row>
    <row r="2489" spans="1:12" ht="11.15" customHeight="1">
      <c r="A2489" s="181" t="s">
        <v>1640</v>
      </c>
      <c r="B2489" s="59" t="s">
        <v>20599</v>
      </c>
      <c r="C2489" s="147" t="s">
        <v>20221</v>
      </c>
      <c r="D2489" s="284" t="s">
        <v>897</v>
      </c>
      <c r="E2489" s="178">
        <v>2016</v>
      </c>
      <c r="F2489" s="178" t="s">
        <v>4520</v>
      </c>
      <c r="G2489" s="496"/>
      <c r="H2489" s="994" t="s">
        <v>20224</v>
      </c>
      <c r="I2489" s="11" t="s">
        <v>23351</v>
      </c>
      <c r="J2489" s="1285"/>
      <c r="K2489" s="1285"/>
      <c r="L2489" s="1285"/>
    </row>
    <row r="2490" spans="1:12" ht="11.15" customHeight="1">
      <c r="A2490" s="166" t="s">
        <v>3537</v>
      </c>
      <c r="B2490" s="59" t="s">
        <v>20599</v>
      </c>
      <c r="C2490" s="147" t="s">
        <v>20221</v>
      </c>
      <c r="D2490" s="284" t="s">
        <v>897</v>
      </c>
      <c r="E2490" s="178">
        <v>2015</v>
      </c>
      <c r="F2490" s="178" t="s">
        <v>23395</v>
      </c>
      <c r="G2490" s="496"/>
      <c r="H2490" s="994" t="s">
        <v>20221</v>
      </c>
      <c r="I2490" s="11" t="s">
        <v>3536</v>
      </c>
      <c r="J2490" s="1285"/>
      <c r="K2490" s="1285"/>
      <c r="L2490" s="1285"/>
    </row>
    <row r="2491" spans="1:12" ht="11.15" customHeight="1">
      <c r="A2491" s="364" t="s">
        <v>3538</v>
      </c>
      <c r="B2491" s="90"/>
      <c r="C2491" s="147"/>
      <c r="D2491" s="161"/>
      <c r="E2491" s="36"/>
      <c r="F2491" s="178"/>
      <c r="G2491" s="496"/>
      <c r="H2491" s="36"/>
      <c r="I2491" s="11"/>
    </row>
    <row r="2492" spans="1:12" ht="11.15" customHeight="1">
      <c r="A2492" s="285" t="s">
        <v>3539</v>
      </c>
      <c r="B2492" s="185"/>
      <c r="C2492" s="147"/>
      <c r="D2492" s="129"/>
      <c r="E2492" s="185"/>
      <c r="F2492" s="185"/>
      <c r="G2492" s="185"/>
      <c r="H2492" s="185"/>
      <c r="I2492" s="11"/>
    </row>
    <row r="2493" spans="1:12" ht="11.15" customHeight="1">
      <c r="A2493" s="129" t="s">
        <v>3540</v>
      </c>
      <c r="B2493" s="90"/>
      <c r="C2493" s="147"/>
      <c r="D2493" s="161"/>
      <c r="E2493" s="36"/>
      <c r="F2493" s="183"/>
      <c r="G2493" s="497"/>
      <c r="H2493" s="34"/>
      <c r="I2493" s="11"/>
    </row>
    <row r="2494" spans="1:12" ht="11.15" customHeight="1" thickBot="1">
      <c r="A2494" s="185"/>
      <c r="B2494" s="90"/>
      <c r="C2494" s="147"/>
      <c r="D2494" s="161"/>
      <c r="E2494" s="36"/>
      <c r="F2494" s="178"/>
      <c r="G2494" s="496"/>
      <c r="H2494" s="36"/>
      <c r="I2494" s="11"/>
    </row>
    <row r="2495" spans="1:12" ht="11.15" customHeight="1" thickBot="1">
      <c r="A2495" s="184" t="s">
        <v>3541</v>
      </c>
      <c r="B2495" s="59" t="s">
        <v>20600</v>
      </c>
      <c r="C2495" s="147" t="s">
        <v>20221</v>
      </c>
      <c r="D2495" s="284" t="s">
        <v>897</v>
      </c>
      <c r="E2495" s="178">
        <v>2008</v>
      </c>
      <c r="F2495" s="178" t="s">
        <v>4520</v>
      </c>
      <c r="G2495" s="496"/>
      <c r="H2495" s="994" t="s">
        <v>20221</v>
      </c>
      <c r="I2495" s="12" t="s">
        <v>3542</v>
      </c>
      <c r="J2495" s="1285"/>
      <c r="K2495" s="1285"/>
      <c r="L2495" s="1285"/>
    </row>
    <row r="2496" spans="1:12" ht="11.15" customHeight="1">
      <c r="A2496" s="29" t="s">
        <v>3543</v>
      </c>
      <c r="B2496" s="90"/>
      <c r="C2496" s="147"/>
      <c r="D2496" s="161"/>
      <c r="E2496" s="36"/>
      <c r="F2496" s="178"/>
      <c r="G2496" s="497"/>
      <c r="H2496" s="36"/>
      <c r="I2496" s="11"/>
    </row>
    <row r="2497" spans="1:12" ht="11.15" customHeight="1">
      <c r="A2497" s="29" t="s">
        <v>3544</v>
      </c>
      <c r="B2497" s="29"/>
      <c r="C2497" s="147"/>
      <c r="D2497" s="129"/>
      <c r="E2497" s="29"/>
      <c r="F2497" s="29"/>
      <c r="G2497" s="29"/>
      <c r="H2497" s="29"/>
      <c r="I2497" s="11"/>
    </row>
    <row r="2498" spans="1:12" ht="11.15" customHeight="1">
      <c r="A2498" s="58" t="s">
        <v>3545</v>
      </c>
      <c r="B2498" s="90"/>
      <c r="C2498" s="147"/>
      <c r="D2498" s="161"/>
      <c r="E2498" s="36"/>
      <c r="F2498" s="178"/>
      <c r="G2498" s="496"/>
      <c r="H2498" s="36"/>
      <c r="I2498" s="11"/>
    </row>
    <row r="2499" spans="1:12" ht="11.15" customHeight="1">
      <c r="A2499" s="58" t="s">
        <v>3546</v>
      </c>
      <c r="B2499" s="90"/>
      <c r="C2499" s="147"/>
      <c r="D2499" s="161"/>
      <c r="E2499" s="36"/>
      <c r="F2499" s="178"/>
      <c r="G2499" s="496"/>
      <c r="H2499" s="36"/>
      <c r="I2499" s="11"/>
    </row>
    <row r="2500" spans="1:12" ht="11.15" customHeight="1">
      <c r="A2500" s="168" t="s">
        <v>3547</v>
      </c>
      <c r="B2500" s="185"/>
      <c r="C2500" s="147"/>
      <c r="D2500" s="185"/>
      <c r="E2500" s="185"/>
      <c r="F2500" s="185"/>
      <c r="G2500" s="185"/>
      <c r="H2500" s="185"/>
      <c r="I2500" s="11"/>
    </row>
    <row r="2501" spans="1:12" ht="11.15" customHeight="1" thickBot="1">
      <c r="A2501" s="185"/>
      <c r="B2501" s="185"/>
      <c r="C2501" s="147"/>
      <c r="D2501" s="185"/>
      <c r="E2501" s="185"/>
      <c r="F2501" s="185"/>
      <c r="G2501" s="185"/>
      <c r="H2501" s="185"/>
      <c r="I2501" s="11"/>
    </row>
    <row r="2502" spans="1:12" ht="11.15" customHeight="1" thickBot="1">
      <c r="A2502" s="184" t="s">
        <v>3548</v>
      </c>
      <c r="B2502" s="154" t="s">
        <v>1491</v>
      </c>
      <c r="C2502" s="147"/>
      <c r="D2502" s="185"/>
      <c r="E2502" s="185"/>
      <c r="F2502" s="185"/>
      <c r="G2502" s="185"/>
      <c r="H2502" s="185"/>
      <c r="I2502" s="11"/>
    </row>
    <row r="2503" spans="1:12" ht="11.15" customHeight="1">
      <c r="A2503" s="29" t="s">
        <v>3549</v>
      </c>
      <c r="B2503" s="59" t="s">
        <v>20601</v>
      </c>
      <c r="C2503" s="147" t="s">
        <v>20221</v>
      </c>
      <c r="D2503" s="284" t="s">
        <v>897</v>
      </c>
      <c r="E2503" s="178">
        <v>2022</v>
      </c>
      <c r="F2503" s="178" t="s">
        <v>4520</v>
      </c>
      <c r="G2503" s="496"/>
      <c r="H2503" s="994" t="s">
        <v>20221</v>
      </c>
      <c r="I2503" s="12" t="s">
        <v>3550</v>
      </c>
      <c r="J2503" s="1285"/>
      <c r="K2503" s="1285"/>
      <c r="L2503" s="1285"/>
    </row>
    <row r="2504" spans="1:12" ht="11.15" customHeight="1">
      <c r="A2504" s="166" t="s">
        <v>3551</v>
      </c>
      <c r="B2504" s="59" t="s">
        <v>20601</v>
      </c>
      <c r="C2504" s="147" t="s">
        <v>20221</v>
      </c>
      <c r="D2504" s="284" t="s">
        <v>897</v>
      </c>
      <c r="E2504" s="178">
        <v>2021</v>
      </c>
      <c r="F2504" s="178" t="s">
        <v>4520</v>
      </c>
      <c r="G2504" s="496"/>
      <c r="H2504" s="994" t="s">
        <v>20221</v>
      </c>
      <c r="I2504" s="12" t="s">
        <v>3552</v>
      </c>
      <c r="J2504" s="1285"/>
      <c r="K2504" s="1285"/>
      <c r="L2504" s="1285"/>
    </row>
    <row r="2505" spans="1:12" ht="11.15" customHeight="1">
      <c r="A2505" s="129" t="s">
        <v>3553</v>
      </c>
      <c r="B2505" s="59" t="s">
        <v>20601</v>
      </c>
      <c r="C2505" s="147" t="s">
        <v>20221</v>
      </c>
      <c r="D2505" s="284" t="s">
        <v>897</v>
      </c>
      <c r="E2505" s="178">
        <v>2020</v>
      </c>
      <c r="F2505" s="178" t="s">
        <v>4520</v>
      </c>
      <c r="G2505" s="496"/>
      <c r="H2505" s="994" t="s">
        <v>20221</v>
      </c>
      <c r="I2505" s="12" t="s">
        <v>3554</v>
      </c>
      <c r="J2505" s="1285"/>
      <c r="K2505" s="1285"/>
      <c r="L2505" s="1285"/>
    </row>
    <row r="2506" spans="1:12" ht="11.15" customHeight="1">
      <c r="A2506" s="29"/>
      <c r="B2506" s="59" t="s">
        <v>20601</v>
      </c>
      <c r="C2506" s="147" t="s">
        <v>20221</v>
      </c>
      <c r="D2506" s="284" t="s">
        <v>897</v>
      </c>
      <c r="E2506" s="178">
        <v>2019</v>
      </c>
      <c r="F2506" s="178" t="s">
        <v>4520</v>
      </c>
      <c r="G2506" s="496"/>
      <c r="H2506" s="994" t="s">
        <v>20221</v>
      </c>
      <c r="I2506" s="12" t="s">
        <v>3555</v>
      </c>
      <c r="J2506" s="1285"/>
      <c r="K2506" s="1285"/>
      <c r="L2506" s="1285"/>
    </row>
    <row r="2507" spans="1:12" ht="11.15" customHeight="1">
      <c r="A2507" s="29"/>
      <c r="B2507" s="154" t="s">
        <v>1691</v>
      </c>
      <c r="C2507" s="147"/>
      <c r="D2507" s="185"/>
      <c r="E2507" s="185"/>
      <c r="F2507" s="185"/>
      <c r="G2507" s="185"/>
      <c r="H2507" s="185"/>
      <c r="I2507" s="11"/>
    </row>
    <row r="2508" spans="1:12" ht="11.15" customHeight="1">
      <c r="A2508" s="29"/>
      <c r="B2508" s="59" t="s">
        <v>20602</v>
      </c>
      <c r="C2508" s="147" t="s">
        <v>20221</v>
      </c>
      <c r="D2508" s="284" t="s">
        <v>897</v>
      </c>
      <c r="E2508" s="178">
        <v>2023</v>
      </c>
      <c r="F2508" s="178" t="s">
        <v>4520</v>
      </c>
      <c r="G2508" s="496"/>
      <c r="H2508" s="994" t="s">
        <v>20343</v>
      </c>
      <c r="I2508" s="12" t="s">
        <v>3556</v>
      </c>
      <c r="J2508" s="1285"/>
      <c r="K2508" s="1285"/>
      <c r="L2508" s="1285"/>
    </row>
    <row r="2509" spans="1:12" ht="11.15" customHeight="1">
      <c r="A2509" s="29"/>
      <c r="B2509" s="59" t="s">
        <v>20602</v>
      </c>
      <c r="C2509" s="147" t="s">
        <v>20221</v>
      </c>
      <c r="D2509" s="284" t="s">
        <v>897</v>
      </c>
      <c r="E2509" s="178">
        <v>2022</v>
      </c>
      <c r="F2509" s="178" t="s">
        <v>4520</v>
      </c>
      <c r="G2509" s="496"/>
      <c r="H2509" s="994" t="s">
        <v>20343</v>
      </c>
      <c r="I2509" s="12" t="s">
        <v>3557</v>
      </c>
      <c r="J2509" s="1285"/>
      <c r="K2509" s="1285"/>
      <c r="L2509" s="1285"/>
    </row>
    <row r="2510" spans="1:12" ht="11.15" customHeight="1">
      <c r="A2510" s="29"/>
      <c r="B2510" s="59" t="s">
        <v>20602</v>
      </c>
      <c r="C2510" s="147" t="s">
        <v>20221</v>
      </c>
      <c r="D2510" s="284" t="s">
        <v>897</v>
      </c>
      <c r="E2510" s="178">
        <v>2021</v>
      </c>
      <c r="F2510" s="178" t="s">
        <v>4520</v>
      </c>
      <c r="G2510" s="496"/>
      <c r="H2510" s="994" t="s">
        <v>20221</v>
      </c>
      <c r="I2510" s="12" t="s">
        <v>3558</v>
      </c>
      <c r="J2510" s="1285"/>
      <c r="K2510" s="1285"/>
      <c r="L2510" s="1285"/>
    </row>
    <row r="2511" spans="1:12" ht="11.15" customHeight="1">
      <c r="A2511" s="29"/>
      <c r="B2511" s="59" t="s">
        <v>20602</v>
      </c>
      <c r="C2511" s="147" t="s">
        <v>20221</v>
      </c>
      <c r="D2511" s="284" t="s">
        <v>897</v>
      </c>
      <c r="E2511" s="178">
        <v>2020</v>
      </c>
      <c r="F2511" s="178" t="s">
        <v>4520</v>
      </c>
      <c r="G2511" s="496"/>
      <c r="H2511" s="994" t="s">
        <v>20221</v>
      </c>
      <c r="I2511" s="12" t="s">
        <v>3559</v>
      </c>
      <c r="J2511" s="1285"/>
      <c r="K2511" s="1285"/>
      <c r="L2511" s="1285"/>
    </row>
    <row r="2512" spans="1:12" ht="11.15" customHeight="1">
      <c r="A2512" s="29"/>
      <c r="B2512" s="59" t="s">
        <v>20602</v>
      </c>
      <c r="C2512" s="147" t="s">
        <v>20221</v>
      </c>
      <c r="D2512" s="284" t="s">
        <v>897</v>
      </c>
      <c r="E2512" s="178">
        <v>2019</v>
      </c>
      <c r="F2512" s="178" t="s">
        <v>4520</v>
      </c>
      <c r="G2512" s="496"/>
      <c r="H2512" s="994" t="s">
        <v>20224</v>
      </c>
      <c r="I2512" s="12" t="s">
        <v>3560</v>
      </c>
      <c r="J2512" s="1285"/>
      <c r="K2512" s="1285"/>
      <c r="L2512" s="1285"/>
    </row>
    <row r="2513" spans="1:12" ht="11.15" customHeight="1" thickBot="1">
      <c r="A2513" s="29"/>
      <c r="B2513" s="90"/>
      <c r="C2513" s="147"/>
      <c r="D2513" s="161"/>
      <c r="E2513" s="36"/>
      <c r="F2513" s="178"/>
      <c r="G2513" s="497"/>
      <c r="H2513" s="36"/>
      <c r="I2513" s="11"/>
    </row>
    <row r="2514" spans="1:12" ht="11.15" customHeight="1" thickBot="1">
      <c r="A2514" s="184" t="s">
        <v>3561</v>
      </c>
      <c r="B2514" s="59" t="s">
        <v>20603</v>
      </c>
      <c r="C2514" s="147" t="s">
        <v>20221</v>
      </c>
      <c r="D2514" s="284" t="s">
        <v>897</v>
      </c>
      <c r="E2514" s="178">
        <v>2022</v>
      </c>
      <c r="F2514" s="178" t="s">
        <v>4520</v>
      </c>
      <c r="G2514" s="496"/>
      <c r="H2514" s="994" t="s">
        <v>20343</v>
      </c>
      <c r="I2514" s="12" t="s">
        <v>3562</v>
      </c>
      <c r="J2514" s="1285"/>
      <c r="K2514" s="1285"/>
      <c r="L2514" s="1285"/>
    </row>
    <row r="2515" spans="1:12" ht="11.15" customHeight="1">
      <c r="A2515" s="29" t="s">
        <v>3563</v>
      </c>
      <c r="B2515" s="90"/>
      <c r="C2515" s="147"/>
      <c r="D2515" s="161"/>
      <c r="E2515" s="36"/>
      <c r="F2515" s="178"/>
      <c r="G2515" s="496"/>
      <c r="H2515" s="36"/>
      <c r="I2515" s="11"/>
    </row>
    <row r="2516" spans="1:12" ht="11.15" customHeight="1">
      <c r="A2516" s="29" t="s">
        <v>3564</v>
      </c>
      <c r="B2516" s="90"/>
      <c r="C2516" s="147"/>
      <c r="D2516" s="161"/>
      <c r="E2516" s="36"/>
      <c r="F2516" s="178"/>
      <c r="G2516" s="496"/>
      <c r="H2516" s="36"/>
      <c r="I2516" s="11"/>
    </row>
    <row r="2517" spans="1:12" ht="11.15" customHeight="1">
      <c r="A2517" s="29" t="s">
        <v>3565</v>
      </c>
      <c r="B2517" s="90"/>
      <c r="C2517" s="147"/>
      <c r="D2517" s="161"/>
      <c r="E2517" s="36"/>
      <c r="F2517" s="178"/>
      <c r="G2517" s="496"/>
      <c r="H2517" s="36"/>
      <c r="I2517" s="11"/>
    </row>
    <row r="2518" spans="1:12" ht="11.15" customHeight="1">
      <c r="A2518" s="166" t="s">
        <v>3566</v>
      </c>
      <c r="B2518" s="90"/>
      <c r="C2518" s="147"/>
      <c r="D2518" s="161"/>
      <c r="E2518" s="36"/>
      <c r="F2518" s="178"/>
      <c r="G2518" s="496"/>
      <c r="H2518" s="36"/>
      <c r="I2518" s="11"/>
    </row>
    <row r="2519" spans="1:12" ht="11.15" customHeight="1" thickBot="1">
      <c r="A2519" s="29"/>
      <c r="B2519" s="185"/>
      <c r="C2519" s="147"/>
      <c r="D2519" s="161"/>
      <c r="E2519" s="36"/>
      <c r="F2519" s="183"/>
      <c r="G2519" s="60"/>
      <c r="H2519" s="34"/>
      <c r="I2519" s="11"/>
    </row>
    <row r="2520" spans="1:12" ht="11.15" customHeight="1" thickBot="1">
      <c r="A2520" s="184" t="s">
        <v>3567</v>
      </c>
      <c r="B2520" s="59" t="s">
        <v>20604</v>
      </c>
      <c r="C2520" s="147" t="s">
        <v>20221</v>
      </c>
      <c r="D2520" s="284" t="s">
        <v>897</v>
      </c>
      <c r="E2520" s="178">
        <v>2020</v>
      </c>
      <c r="F2520" s="178" t="s">
        <v>4520</v>
      </c>
      <c r="G2520" s="496"/>
      <c r="H2520" s="994" t="s">
        <v>20221</v>
      </c>
      <c r="I2520" s="12" t="s">
        <v>3568</v>
      </c>
      <c r="J2520" s="1285"/>
      <c r="K2520" s="1285"/>
      <c r="L2520" s="1285"/>
    </row>
    <row r="2521" spans="1:12" ht="11.15" customHeight="1">
      <c r="A2521" s="29" t="s">
        <v>3549</v>
      </c>
      <c r="B2521" s="59" t="s">
        <v>20604</v>
      </c>
      <c r="C2521" s="147" t="s">
        <v>20221</v>
      </c>
      <c r="D2521" s="284" t="s">
        <v>897</v>
      </c>
      <c r="E2521" s="178">
        <v>2019</v>
      </c>
      <c r="F2521" s="178" t="s">
        <v>4520</v>
      </c>
      <c r="G2521" s="496"/>
      <c r="H2521" s="994" t="s">
        <v>20221</v>
      </c>
      <c r="I2521" s="12" t="s">
        <v>3569</v>
      </c>
      <c r="J2521" s="1285"/>
      <c r="K2521" s="1285"/>
      <c r="L2521" s="1285"/>
    </row>
    <row r="2522" spans="1:12" ht="11.15" customHeight="1">
      <c r="A2522" s="166" t="s">
        <v>3570</v>
      </c>
      <c r="B2522" s="90"/>
      <c r="C2522" s="147"/>
      <c r="D2522" s="161"/>
      <c r="E2522" s="36"/>
      <c r="F2522" s="178"/>
      <c r="G2522" s="496"/>
      <c r="H2522" s="36"/>
      <c r="I2522" s="11"/>
    </row>
    <row r="2523" spans="1:12" ht="11.15" customHeight="1">
      <c r="A2523" s="129" t="s">
        <v>3571</v>
      </c>
      <c r="B2523" s="185"/>
      <c r="C2523" s="147"/>
      <c r="D2523" s="185"/>
      <c r="E2523" s="36"/>
      <c r="F2523" s="178"/>
      <c r="G2523" s="496"/>
      <c r="H2523" s="36"/>
      <c r="I2523" s="11"/>
    </row>
    <row r="2524" spans="1:12" ht="11.15" customHeight="1">
      <c r="A2524" s="29"/>
      <c r="B2524" s="185"/>
      <c r="C2524" s="147"/>
      <c r="D2524" s="161"/>
      <c r="E2524" s="36"/>
      <c r="F2524" s="183"/>
      <c r="G2524" s="60"/>
      <c r="H2524" s="34"/>
      <c r="I2524" s="11"/>
    </row>
    <row r="2525" spans="1:12" ht="24" customHeight="1">
      <c r="A2525" s="309"/>
      <c r="B2525" s="310" t="s">
        <v>3572</v>
      </c>
      <c r="C2525" s="311"/>
      <c r="D2525" s="312"/>
      <c r="E2525" s="313"/>
      <c r="F2525" s="1070"/>
      <c r="G2525" s="1202"/>
      <c r="H2525" s="313"/>
      <c r="I2525" s="11"/>
    </row>
    <row r="2526" spans="1:12" ht="11.15" customHeight="1">
      <c r="A2526" s="79" t="s">
        <v>3573</v>
      </c>
      <c r="B2526" s="185"/>
      <c r="C2526" s="147"/>
      <c r="D2526" s="161"/>
      <c r="E2526" s="36"/>
      <c r="F2526" s="183"/>
      <c r="G2526" s="60"/>
      <c r="H2526" s="34"/>
      <c r="I2526" s="11"/>
    </row>
    <row r="2527" spans="1:12" ht="11.15" customHeight="1">
      <c r="A2527" s="29"/>
      <c r="B2527" s="146" t="s">
        <v>3574</v>
      </c>
      <c r="C2527" s="147"/>
      <c r="D2527" s="122"/>
      <c r="E2527" s="36"/>
      <c r="F2527" s="183"/>
      <c r="G2527" s="60"/>
      <c r="H2527" s="34"/>
      <c r="I2527" s="11"/>
    </row>
    <row r="2528" spans="1:12" ht="9" customHeight="1">
      <c r="A2528" s="185"/>
      <c r="B2528" s="150" t="s">
        <v>3575</v>
      </c>
      <c r="C2528" s="147"/>
      <c r="D2528" s="122"/>
      <c r="E2528" s="36"/>
      <c r="F2528" s="183"/>
      <c r="G2528" s="60"/>
      <c r="H2528" s="34"/>
      <c r="I2528" s="11"/>
    </row>
    <row r="2529" spans="1:12" ht="9" customHeight="1" thickBot="1">
      <c r="A2529" s="185"/>
      <c r="B2529" s="150" t="s">
        <v>3576</v>
      </c>
      <c r="C2529" s="147"/>
      <c r="D2529" s="122"/>
      <c r="E2529" s="36"/>
      <c r="F2529" s="183"/>
      <c r="G2529" s="60"/>
      <c r="H2529" s="34"/>
      <c r="I2529" s="11"/>
    </row>
    <row r="2530" spans="1:12" ht="11.15" customHeight="1" thickBot="1">
      <c r="A2530" s="273" t="s">
        <v>3577</v>
      </c>
      <c r="B2530" s="154" t="s">
        <v>1491</v>
      </c>
      <c r="C2530" s="147"/>
      <c r="D2530" s="185"/>
      <c r="E2530" s="185"/>
      <c r="F2530" s="185"/>
      <c r="G2530" s="185"/>
      <c r="H2530" s="185"/>
      <c r="I2530" s="11"/>
    </row>
    <row r="2531" spans="1:12" ht="11.15" customHeight="1">
      <c r="A2531" s="29" t="s">
        <v>3578</v>
      </c>
      <c r="B2531" s="59" t="s">
        <v>20605</v>
      </c>
      <c r="C2531" s="147" t="s">
        <v>20221</v>
      </c>
      <c r="D2531" s="284" t="s">
        <v>897</v>
      </c>
      <c r="E2531" s="178">
        <v>2022</v>
      </c>
      <c r="F2531" s="178" t="s">
        <v>4520</v>
      </c>
      <c r="G2531" s="496"/>
      <c r="H2531" s="994" t="s">
        <v>20221</v>
      </c>
      <c r="I2531" s="12" t="s">
        <v>3579</v>
      </c>
      <c r="J2531" s="1285"/>
      <c r="K2531" s="1285"/>
      <c r="L2531" s="1285"/>
    </row>
    <row r="2532" spans="1:12" ht="11.15" customHeight="1">
      <c r="A2532" s="29" t="s">
        <v>3580</v>
      </c>
      <c r="B2532" s="59" t="s">
        <v>20605</v>
      </c>
      <c r="C2532" s="147" t="s">
        <v>20221</v>
      </c>
      <c r="D2532" s="284" t="s">
        <v>897</v>
      </c>
      <c r="E2532" s="178">
        <v>2021</v>
      </c>
      <c r="F2532" s="178" t="s">
        <v>4520</v>
      </c>
      <c r="G2532" s="496"/>
      <c r="H2532" s="994" t="s">
        <v>20221</v>
      </c>
      <c r="I2532" s="12" t="s">
        <v>3581</v>
      </c>
      <c r="J2532" s="1285"/>
      <c r="K2532" s="1285"/>
      <c r="L2532" s="1285"/>
    </row>
    <row r="2533" spans="1:12" ht="11.15" customHeight="1">
      <c r="A2533" s="29" t="s">
        <v>3582</v>
      </c>
      <c r="B2533" s="154" t="s">
        <v>1691</v>
      </c>
      <c r="C2533" s="147"/>
      <c r="D2533" s="185"/>
      <c r="E2533" s="185"/>
      <c r="F2533" s="185"/>
      <c r="G2533" s="185"/>
      <c r="H2533" s="185"/>
      <c r="I2533" s="11"/>
    </row>
    <row r="2534" spans="1:12" ht="11.15" customHeight="1">
      <c r="A2534" s="29" t="s">
        <v>3583</v>
      </c>
      <c r="B2534" s="59" t="s">
        <v>182</v>
      </c>
      <c r="C2534" s="147" t="s">
        <v>20221</v>
      </c>
      <c r="D2534" s="284" t="s">
        <v>897</v>
      </c>
      <c r="E2534" s="178">
        <v>2022</v>
      </c>
      <c r="F2534" s="178" t="s">
        <v>23394</v>
      </c>
      <c r="G2534" s="496"/>
      <c r="H2534" s="994" t="s">
        <v>20343</v>
      </c>
      <c r="I2534" s="12" t="s">
        <v>3584</v>
      </c>
      <c r="J2534" s="1285"/>
      <c r="K2534" s="1285"/>
      <c r="L2534" s="1285"/>
    </row>
    <row r="2535" spans="1:12" ht="11.15" customHeight="1">
      <c r="A2535" s="29" t="s">
        <v>3585</v>
      </c>
      <c r="B2535" s="59" t="s">
        <v>182</v>
      </c>
      <c r="C2535" s="147" t="s">
        <v>20221</v>
      </c>
      <c r="D2535" s="284" t="s">
        <v>897</v>
      </c>
      <c r="E2535" s="178">
        <v>2021</v>
      </c>
      <c r="F2535" s="178" t="s">
        <v>4520</v>
      </c>
      <c r="G2535" s="496"/>
      <c r="H2535" s="994" t="s">
        <v>20221</v>
      </c>
      <c r="I2535" s="12" t="s">
        <v>3586</v>
      </c>
      <c r="J2535" s="1285"/>
      <c r="K2535" s="1285"/>
      <c r="L2535" s="1285"/>
    </row>
    <row r="2536" spans="1:12" ht="11.15" customHeight="1">
      <c r="A2536" s="29" t="s">
        <v>3587</v>
      </c>
      <c r="B2536" s="59" t="s">
        <v>182</v>
      </c>
      <c r="C2536" s="147" t="s">
        <v>20221</v>
      </c>
      <c r="D2536" s="284" t="s">
        <v>897</v>
      </c>
      <c r="E2536" s="178">
        <v>2020</v>
      </c>
      <c r="F2536" s="178" t="s">
        <v>4520</v>
      </c>
      <c r="G2536" s="496"/>
      <c r="H2536" s="994" t="s">
        <v>20221</v>
      </c>
      <c r="I2536" s="12" t="s">
        <v>3588</v>
      </c>
      <c r="J2536" s="1285"/>
      <c r="K2536" s="1285"/>
      <c r="L2536" s="1285"/>
    </row>
    <row r="2537" spans="1:12" ht="11.15" customHeight="1">
      <c r="A2537" s="29" t="s">
        <v>3589</v>
      </c>
      <c r="B2537" s="59" t="s">
        <v>182</v>
      </c>
      <c r="C2537" s="147" t="s">
        <v>20221</v>
      </c>
      <c r="D2537" s="284" t="s">
        <v>897</v>
      </c>
      <c r="E2537" s="178">
        <v>2019</v>
      </c>
      <c r="F2537" s="178" t="s">
        <v>4520</v>
      </c>
      <c r="G2537" s="496"/>
      <c r="H2537" s="994" t="s">
        <v>20221</v>
      </c>
      <c r="I2537" s="12" t="s">
        <v>3590</v>
      </c>
      <c r="J2537" s="1285"/>
      <c r="K2537" s="1285"/>
      <c r="L2537" s="1285"/>
    </row>
    <row r="2538" spans="1:12" ht="11.15" customHeight="1">
      <c r="A2538" s="29" t="s">
        <v>3591</v>
      </c>
      <c r="B2538" s="59" t="s">
        <v>182</v>
      </c>
      <c r="C2538" s="147" t="s">
        <v>20221</v>
      </c>
      <c r="D2538" s="284" t="s">
        <v>897</v>
      </c>
      <c r="E2538" s="178">
        <v>2012</v>
      </c>
      <c r="F2538" s="178" t="s">
        <v>23395</v>
      </c>
      <c r="G2538" s="496"/>
      <c r="H2538" s="994" t="s">
        <v>20221</v>
      </c>
      <c r="I2538" s="12" t="s">
        <v>3592</v>
      </c>
      <c r="J2538" s="1285"/>
      <c r="K2538" s="1285"/>
      <c r="L2538" s="1285"/>
    </row>
    <row r="2539" spans="1:12" ht="11.15" customHeight="1">
      <c r="A2539" s="162" t="s">
        <v>3593</v>
      </c>
      <c r="B2539" s="154" t="s">
        <v>3594</v>
      </c>
      <c r="C2539" s="147"/>
      <c r="D2539" s="185"/>
      <c r="E2539" s="185"/>
      <c r="F2539" s="185"/>
      <c r="G2539" s="185"/>
      <c r="H2539" s="185"/>
      <c r="I2539" s="11"/>
    </row>
    <row r="2540" spans="1:12" ht="11.15" customHeight="1">
      <c r="A2540" s="162" t="s">
        <v>3595</v>
      </c>
      <c r="B2540" s="59" t="s">
        <v>20607</v>
      </c>
      <c r="C2540" s="147" t="s">
        <v>20221</v>
      </c>
      <c r="D2540" s="284" t="s">
        <v>897</v>
      </c>
      <c r="E2540" s="178">
        <v>2022</v>
      </c>
      <c r="F2540" s="178" t="s">
        <v>23394</v>
      </c>
      <c r="G2540" s="496"/>
      <c r="H2540" s="994" t="s">
        <v>20343</v>
      </c>
      <c r="I2540" s="12" t="s">
        <v>3596</v>
      </c>
      <c r="J2540" s="1285"/>
      <c r="K2540" s="1285"/>
      <c r="L2540" s="1285"/>
    </row>
    <row r="2541" spans="1:12" ht="11.15" customHeight="1">
      <c r="A2541" s="162" t="s">
        <v>3597</v>
      </c>
      <c r="B2541" s="59" t="s">
        <v>20607</v>
      </c>
      <c r="C2541" s="147" t="s">
        <v>20221</v>
      </c>
      <c r="D2541" s="284" t="s">
        <v>897</v>
      </c>
      <c r="E2541" s="178">
        <v>2021</v>
      </c>
      <c r="F2541" s="178" t="s">
        <v>23403</v>
      </c>
      <c r="G2541" s="496"/>
      <c r="H2541" s="994" t="s">
        <v>20221</v>
      </c>
      <c r="I2541" s="12" t="s">
        <v>3598</v>
      </c>
      <c r="J2541" s="1285"/>
      <c r="K2541" s="1285"/>
      <c r="L2541" s="1285"/>
    </row>
    <row r="2542" spans="1:12" ht="11.15" customHeight="1">
      <c r="A2542" s="162" t="s">
        <v>3599</v>
      </c>
      <c r="B2542" s="59" t="s">
        <v>20607</v>
      </c>
      <c r="C2542" s="147" t="s">
        <v>20221</v>
      </c>
      <c r="D2542" s="284" t="s">
        <v>897</v>
      </c>
      <c r="E2542" s="178">
        <v>2020</v>
      </c>
      <c r="F2542" s="178" t="s">
        <v>23403</v>
      </c>
      <c r="G2542" s="496"/>
      <c r="H2542" s="994" t="s">
        <v>20221</v>
      </c>
      <c r="I2542" s="12" t="s">
        <v>3600</v>
      </c>
      <c r="J2542" s="1285"/>
      <c r="K2542" s="1285"/>
      <c r="L2542" s="1285"/>
    </row>
    <row r="2543" spans="1:12" ht="11.15" customHeight="1" thickBot="1">
      <c r="A2543" s="162" t="s">
        <v>3601</v>
      </c>
      <c r="B2543" s="90"/>
      <c r="C2543" s="147"/>
      <c r="D2543" s="122"/>
      <c r="E2543" s="36"/>
      <c r="F2543" s="183"/>
      <c r="G2543" s="60"/>
      <c r="H2543" s="34"/>
      <c r="I2543" s="11"/>
    </row>
    <row r="2544" spans="1:12" ht="11.15" customHeight="1">
      <c r="A2544" s="162" t="s">
        <v>3602</v>
      </c>
      <c r="B2544" s="365" t="s">
        <v>3603</v>
      </c>
      <c r="C2544" s="191"/>
      <c r="D2544" s="306"/>
      <c r="E2544" s="31"/>
      <c r="F2544" s="1073"/>
      <c r="G2544" s="60"/>
      <c r="H2544" s="34"/>
      <c r="I2544" s="11"/>
    </row>
    <row r="2545" spans="1:12" ht="11.15" customHeight="1">
      <c r="A2545" s="162" t="s">
        <v>3604</v>
      </c>
      <c r="B2545" s="366" t="s">
        <v>3605</v>
      </c>
      <c r="C2545" s="367"/>
      <c r="D2545" s="368" t="s">
        <v>3606</v>
      </c>
      <c r="E2545" s="36"/>
      <c r="F2545" s="1074"/>
      <c r="G2545" s="496"/>
      <c r="H2545" s="34"/>
      <c r="I2545" s="11"/>
    </row>
    <row r="2546" spans="1:12" ht="11.15" customHeight="1">
      <c r="A2546" s="29" t="s">
        <v>3607</v>
      </c>
      <c r="B2546" s="366" t="s">
        <v>3608</v>
      </c>
      <c r="C2546" s="367"/>
      <c r="D2546" s="368" t="s">
        <v>3609</v>
      </c>
      <c r="E2546" s="36"/>
      <c r="F2546" s="1074"/>
      <c r="G2546" s="496"/>
      <c r="H2546" s="34"/>
      <c r="I2546" s="11"/>
    </row>
    <row r="2547" spans="1:12" ht="11.15" customHeight="1">
      <c r="A2547" s="181" t="s">
        <v>1219</v>
      </c>
      <c r="B2547" s="369" t="s">
        <v>3610</v>
      </c>
      <c r="C2547" s="367"/>
      <c r="D2547" s="370" t="s">
        <v>3611</v>
      </c>
      <c r="E2547" s="185"/>
      <c r="F2547" s="1074"/>
      <c r="G2547" s="496"/>
      <c r="H2547" s="34"/>
      <c r="I2547" s="11"/>
    </row>
    <row r="2548" spans="1:12" ht="11.15" customHeight="1">
      <c r="A2548" s="166" t="s">
        <v>3612</v>
      </c>
      <c r="B2548" s="369" t="s">
        <v>3613</v>
      </c>
      <c r="C2548" s="367"/>
      <c r="D2548" s="370" t="s">
        <v>3614</v>
      </c>
      <c r="E2548" s="185"/>
      <c r="F2548" s="1074"/>
      <c r="G2548" s="496"/>
      <c r="H2548" s="34"/>
      <c r="I2548" s="11"/>
    </row>
    <row r="2549" spans="1:12" ht="11.15" customHeight="1">
      <c r="A2549" s="364" t="s">
        <v>3538</v>
      </c>
      <c r="B2549" s="366" t="s">
        <v>3615</v>
      </c>
      <c r="C2549" s="367"/>
      <c r="D2549" s="368" t="s">
        <v>3616</v>
      </c>
      <c r="E2549" s="36"/>
      <c r="F2549" s="1074"/>
      <c r="G2549" s="496"/>
      <c r="H2549" s="34"/>
      <c r="I2549" s="11"/>
    </row>
    <row r="2550" spans="1:12" ht="11.15" customHeight="1">
      <c r="A2550" s="129" t="s">
        <v>3617</v>
      </c>
      <c r="B2550" s="369" t="s">
        <v>3618</v>
      </c>
      <c r="C2550" s="367"/>
      <c r="D2550" s="368" t="s">
        <v>3619</v>
      </c>
      <c r="E2550" s="36"/>
      <c r="F2550" s="1074"/>
      <c r="G2550" s="496"/>
      <c r="H2550" s="34"/>
      <c r="I2550" s="11"/>
    </row>
    <row r="2551" spans="1:12" ht="11.15" customHeight="1">
      <c r="A2551" s="29"/>
      <c r="B2551" s="366" t="s">
        <v>3620</v>
      </c>
      <c r="C2551" s="367"/>
      <c r="D2551" s="368" t="s">
        <v>3621</v>
      </c>
      <c r="E2551" s="36"/>
      <c r="F2551" s="1074"/>
      <c r="G2551" s="496"/>
      <c r="H2551" s="34"/>
      <c r="I2551" s="11"/>
    </row>
    <row r="2552" spans="1:12" ht="11.15" customHeight="1">
      <c r="A2552" s="29"/>
      <c r="B2552" s="369" t="s">
        <v>3622</v>
      </c>
      <c r="C2552" s="367"/>
      <c r="D2552" s="368" t="s">
        <v>3621</v>
      </c>
      <c r="E2552" s="36"/>
      <c r="F2552" s="1074"/>
      <c r="G2552" s="496"/>
      <c r="H2552" s="34"/>
      <c r="I2552" s="11"/>
    </row>
    <row r="2553" spans="1:12" ht="11.15" customHeight="1" thickBot="1">
      <c r="A2553" s="29"/>
      <c r="B2553" s="371" t="s">
        <v>3623</v>
      </c>
      <c r="C2553" s="372"/>
      <c r="D2553" s="373" t="s">
        <v>3624</v>
      </c>
      <c r="E2553" s="374"/>
      <c r="F2553" s="1075"/>
      <c r="G2553" s="496"/>
      <c r="H2553" s="34"/>
      <c r="I2553" s="11"/>
    </row>
    <row r="2554" spans="1:12" ht="11.15" customHeight="1" thickBot="1">
      <c r="A2554" s="29"/>
      <c r="B2554" s="375"/>
      <c r="C2554" s="367"/>
      <c r="D2554" s="368"/>
      <c r="E2554" s="36"/>
      <c r="F2554" s="183"/>
      <c r="G2554" s="60"/>
      <c r="H2554" s="34"/>
      <c r="I2554" s="11"/>
    </row>
    <row r="2555" spans="1:12" ht="11.15" customHeight="1" thickBot="1">
      <c r="A2555" s="273" t="s">
        <v>3625</v>
      </c>
      <c r="B2555" s="59" t="s">
        <v>20608</v>
      </c>
      <c r="C2555" s="147" t="s">
        <v>20221</v>
      </c>
      <c r="D2555" s="284" t="s">
        <v>897</v>
      </c>
      <c r="E2555" s="178">
        <v>2020</v>
      </c>
      <c r="F2555" s="178" t="s">
        <v>4520</v>
      </c>
      <c r="G2555" s="496"/>
      <c r="H2555" s="994" t="s">
        <v>20221</v>
      </c>
      <c r="I2555" s="12" t="s">
        <v>3626</v>
      </c>
      <c r="J2555" s="1285"/>
      <c r="K2555" s="1285"/>
      <c r="L2555" s="1285"/>
    </row>
    <row r="2556" spans="1:12" ht="11.15" customHeight="1">
      <c r="A2556" s="29" t="s">
        <v>3627</v>
      </c>
      <c r="B2556" s="59" t="s">
        <v>20608</v>
      </c>
      <c r="C2556" s="147" t="s">
        <v>20221</v>
      </c>
      <c r="D2556" s="284" t="s">
        <v>897</v>
      </c>
      <c r="E2556" s="178">
        <v>2019</v>
      </c>
      <c r="F2556" s="178" t="s">
        <v>4520</v>
      </c>
      <c r="G2556" s="496"/>
      <c r="H2556" s="994" t="s">
        <v>20221</v>
      </c>
      <c r="I2556" s="12" t="s">
        <v>3628</v>
      </c>
      <c r="J2556" s="1285"/>
      <c r="K2556" s="1285"/>
      <c r="L2556" s="1285"/>
    </row>
    <row r="2557" spans="1:12" ht="11.15" customHeight="1">
      <c r="A2557" s="29" t="s">
        <v>3185</v>
      </c>
      <c r="B2557" s="90"/>
      <c r="C2557" s="147"/>
      <c r="D2557" s="161"/>
      <c r="E2557" s="36"/>
      <c r="F2557" s="178"/>
      <c r="G2557" s="496"/>
      <c r="H2557" s="36"/>
      <c r="I2557" s="11"/>
    </row>
    <row r="2558" spans="1:12" ht="11.15" customHeight="1">
      <c r="A2558" s="29" t="s">
        <v>3629</v>
      </c>
      <c r="B2558" s="90"/>
      <c r="C2558" s="147"/>
      <c r="D2558" s="161"/>
      <c r="E2558" s="36"/>
      <c r="F2558" s="178"/>
      <c r="G2558" s="496"/>
      <c r="H2558" s="36"/>
      <c r="I2558" s="11"/>
    </row>
    <row r="2559" spans="1:12" ht="11.15" customHeight="1">
      <c r="A2559" s="199" t="s">
        <v>3190</v>
      </c>
      <c r="B2559" s="90"/>
      <c r="C2559" s="147"/>
      <c r="D2559" s="161"/>
      <c r="E2559" s="36"/>
      <c r="F2559" s="183"/>
      <c r="G2559" s="60"/>
      <c r="H2559" s="34"/>
      <c r="I2559" s="11"/>
    </row>
    <row r="2560" spans="1:12" ht="11.15" customHeight="1">
      <c r="A2560" s="129" t="s">
        <v>3191</v>
      </c>
      <c r="B2560" s="90"/>
      <c r="C2560" s="147"/>
      <c r="D2560" s="161"/>
      <c r="E2560" s="36"/>
      <c r="F2560" s="183"/>
      <c r="G2560" s="60"/>
      <c r="H2560" s="34"/>
      <c r="I2560" s="11"/>
    </row>
    <row r="2561" spans="1:12" ht="11.15" customHeight="1">
      <c r="A2561" s="129" t="s">
        <v>3275</v>
      </c>
      <c r="B2561" s="90"/>
      <c r="C2561" s="147"/>
      <c r="D2561" s="161"/>
      <c r="E2561" s="36"/>
      <c r="F2561" s="183"/>
      <c r="G2561" s="60"/>
      <c r="H2561" s="34"/>
      <c r="I2561" s="11"/>
    </row>
    <row r="2562" spans="1:12" ht="11.15" customHeight="1">
      <c r="A2562" s="129" t="s">
        <v>3630</v>
      </c>
      <c r="B2562" s="375"/>
      <c r="C2562" s="367"/>
      <c r="D2562" s="368"/>
      <c r="E2562" s="36"/>
      <c r="F2562" s="183"/>
      <c r="G2562" s="60"/>
      <c r="H2562" s="34"/>
      <c r="I2562" s="11"/>
    </row>
    <row r="2563" spans="1:12" ht="11.15" customHeight="1" thickBot="1">
      <c r="A2563" s="29"/>
      <c r="B2563" s="90"/>
      <c r="C2563" s="147"/>
      <c r="D2563" s="161"/>
      <c r="E2563" s="36"/>
      <c r="F2563" s="183"/>
      <c r="G2563" s="60"/>
      <c r="H2563" s="34"/>
      <c r="I2563" s="11"/>
    </row>
    <row r="2564" spans="1:12" ht="11.15" customHeight="1">
      <c r="A2564" s="153" t="s">
        <v>3631</v>
      </c>
      <c r="B2564" s="59" t="s">
        <v>20610</v>
      </c>
      <c r="C2564" s="147" t="s">
        <v>20221</v>
      </c>
      <c r="D2564" s="284" t="s">
        <v>897</v>
      </c>
      <c r="E2564" s="178">
        <v>2012</v>
      </c>
      <c r="F2564" s="178" t="s">
        <v>4520</v>
      </c>
      <c r="G2564" s="496"/>
      <c r="H2564" s="994" t="s">
        <v>20221</v>
      </c>
      <c r="I2564" s="12" t="s">
        <v>3632</v>
      </c>
      <c r="J2564" s="1285"/>
      <c r="K2564" s="1285"/>
      <c r="L2564" s="1285"/>
    </row>
    <row r="2565" spans="1:12" ht="11.15" customHeight="1" thickBot="1">
      <c r="A2565" s="230" t="s">
        <v>3633</v>
      </c>
      <c r="B2565" s="59" t="s">
        <v>20610</v>
      </c>
      <c r="C2565" s="147" t="s">
        <v>20221</v>
      </c>
      <c r="D2565" s="284" t="s">
        <v>897</v>
      </c>
      <c r="E2565" s="178">
        <v>2011</v>
      </c>
      <c r="F2565" s="178" t="s">
        <v>4520</v>
      </c>
      <c r="G2565" s="496"/>
      <c r="H2565" s="994" t="s">
        <v>20221</v>
      </c>
      <c r="I2565" s="12" t="s">
        <v>3634</v>
      </c>
      <c r="J2565" s="1285"/>
      <c r="K2565" s="1285"/>
      <c r="L2565" s="1285"/>
    </row>
    <row r="2566" spans="1:12" ht="11.15" customHeight="1">
      <c r="A2566" s="29" t="s">
        <v>3635</v>
      </c>
      <c r="B2566" s="59" t="s">
        <v>20610</v>
      </c>
      <c r="C2566" s="147" t="s">
        <v>20221</v>
      </c>
      <c r="D2566" s="284" t="s">
        <v>897</v>
      </c>
      <c r="E2566" s="178">
        <v>2009</v>
      </c>
      <c r="F2566" s="178" t="s">
        <v>4520</v>
      </c>
      <c r="G2566" s="496"/>
      <c r="H2566" s="994" t="s">
        <v>20221</v>
      </c>
      <c r="I2566" s="12" t="s">
        <v>3636</v>
      </c>
      <c r="J2566" s="1285"/>
      <c r="K2566" s="1285"/>
      <c r="L2566" s="1285"/>
    </row>
    <row r="2567" spans="1:12" ht="11.15" customHeight="1">
      <c r="A2567" s="29" t="s">
        <v>3637</v>
      </c>
      <c r="B2567" s="59" t="s">
        <v>20610</v>
      </c>
      <c r="C2567" s="147" t="s">
        <v>20221</v>
      </c>
      <c r="D2567" s="284" t="s">
        <v>897</v>
      </c>
      <c r="E2567" s="178">
        <v>2008</v>
      </c>
      <c r="F2567" s="178" t="s">
        <v>4520</v>
      </c>
      <c r="G2567" s="496"/>
      <c r="H2567" s="994" t="s">
        <v>20221</v>
      </c>
      <c r="I2567" s="12" t="s">
        <v>3638</v>
      </c>
      <c r="J2567" s="1285"/>
      <c r="K2567" s="1285"/>
      <c r="L2567" s="1285"/>
    </row>
    <row r="2568" spans="1:12" ht="11.15" customHeight="1">
      <c r="A2568" s="29" t="s">
        <v>3639</v>
      </c>
      <c r="B2568" s="59" t="s">
        <v>20610</v>
      </c>
      <c r="C2568" s="147" t="s">
        <v>20221</v>
      </c>
      <c r="D2568" s="284" t="s">
        <v>897</v>
      </c>
      <c r="E2568" s="178">
        <v>2004</v>
      </c>
      <c r="F2568" s="178" t="s">
        <v>4520</v>
      </c>
      <c r="G2568" s="496"/>
      <c r="H2568" s="994" t="s">
        <v>20277</v>
      </c>
      <c r="I2568" s="12" t="s">
        <v>3640</v>
      </c>
      <c r="J2568" s="1285"/>
      <c r="K2568" s="1285"/>
      <c r="L2568" s="1285"/>
    </row>
    <row r="2569" spans="1:12" ht="11.15" customHeight="1">
      <c r="A2569" s="29" t="s">
        <v>3641</v>
      </c>
      <c r="B2569" s="59" t="s">
        <v>20610</v>
      </c>
      <c r="C2569" s="147" t="s">
        <v>20221</v>
      </c>
      <c r="D2569" s="284" t="s">
        <v>897</v>
      </c>
      <c r="E2569" s="178">
        <v>2002</v>
      </c>
      <c r="F2569" s="178" t="s">
        <v>4520</v>
      </c>
      <c r="G2569" s="496"/>
      <c r="H2569" s="994" t="s">
        <v>20224</v>
      </c>
      <c r="I2569" s="12" t="s">
        <v>3642</v>
      </c>
      <c r="J2569" s="1285"/>
      <c r="K2569" s="1285"/>
      <c r="L2569" s="1285"/>
    </row>
    <row r="2570" spans="1:12" ht="11.15" customHeight="1">
      <c r="A2570" s="29" t="s">
        <v>3643</v>
      </c>
      <c r="B2570" s="59" t="s">
        <v>20612</v>
      </c>
      <c r="C2570" s="147" t="s">
        <v>20221</v>
      </c>
      <c r="D2570" s="284" t="s">
        <v>897</v>
      </c>
      <c r="E2570" s="178">
        <v>2010</v>
      </c>
      <c r="F2570" s="178" t="s">
        <v>11931</v>
      </c>
      <c r="G2570" s="496"/>
      <c r="H2570" s="994" t="s">
        <v>20277</v>
      </c>
      <c r="I2570" s="12" t="s">
        <v>3644</v>
      </c>
      <c r="J2570" s="1285"/>
      <c r="K2570" s="1285"/>
      <c r="L2570" s="1285"/>
    </row>
    <row r="2571" spans="1:12" ht="11.15" customHeight="1">
      <c r="A2571" s="29" t="s">
        <v>3645</v>
      </c>
      <c r="B2571" s="104"/>
      <c r="C2571" s="147"/>
      <c r="D2571" s="29"/>
      <c r="E2571" s="29"/>
      <c r="F2571" s="29"/>
      <c r="G2571" s="29"/>
      <c r="H2571" s="29"/>
      <c r="I2571" s="11"/>
    </row>
    <row r="2572" spans="1:12" ht="11.15" customHeight="1">
      <c r="A2572" s="29" t="s">
        <v>3646</v>
      </c>
      <c r="B2572" s="29"/>
      <c r="C2572" s="147"/>
      <c r="D2572" s="29"/>
      <c r="E2572" s="29"/>
      <c r="F2572" s="29"/>
      <c r="G2572" s="29"/>
      <c r="H2572" s="29"/>
      <c r="I2572" s="11"/>
    </row>
    <row r="2573" spans="1:12" ht="11.15" customHeight="1">
      <c r="A2573" s="29" t="s">
        <v>3647</v>
      </c>
      <c r="B2573" s="90"/>
      <c r="C2573" s="147"/>
      <c r="D2573" s="161"/>
      <c r="E2573" s="36"/>
      <c r="F2573" s="183"/>
      <c r="G2573" s="496"/>
      <c r="H2573" s="34"/>
      <c r="I2573" s="11"/>
    </row>
    <row r="2574" spans="1:12" ht="11.15" customHeight="1">
      <c r="A2574" s="129" t="s">
        <v>903</v>
      </c>
      <c r="B2574" s="29"/>
      <c r="C2574" s="147"/>
      <c r="D2574" s="129"/>
      <c r="E2574" s="29"/>
      <c r="F2574" s="29"/>
      <c r="G2574" s="29"/>
      <c r="H2574" s="29"/>
      <c r="I2574" s="11"/>
    </row>
    <row r="2575" spans="1:12" ht="9" customHeight="1">
      <c r="A2575" s="162" t="s">
        <v>3648</v>
      </c>
      <c r="B2575" s="90"/>
      <c r="C2575" s="147"/>
      <c r="D2575" s="161"/>
      <c r="E2575" s="36"/>
      <c r="F2575" s="178"/>
      <c r="G2575" s="496"/>
      <c r="H2575" s="36"/>
      <c r="I2575" s="11"/>
    </row>
    <row r="2576" spans="1:12" ht="9" customHeight="1">
      <c r="A2576" s="162" t="s">
        <v>3649</v>
      </c>
      <c r="B2576" s="90"/>
      <c r="C2576" s="147"/>
      <c r="D2576" s="161"/>
      <c r="E2576" s="36"/>
      <c r="F2576" s="178"/>
      <c r="G2576" s="496"/>
      <c r="H2576" s="36"/>
      <c r="I2576" s="11"/>
    </row>
    <row r="2577" spans="1:9" ht="9" customHeight="1">
      <c r="A2577" s="162" t="s">
        <v>3650</v>
      </c>
      <c r="B2577" s="90"/>
      <c r="C2577" s="147"/>
      <c r="D2577" s="161"/>
      <c r="E2577" s="36"/>
      <c r="F2577" s="178"/>
      <c r="G2577" s="496"/>
      <c r="H2577" s="36"/>
      <c r="I2577" s="11"/>
    </row>
    <row r="2578" spans="1:9" ht="9" customHeight="1">
      <c r="A2578" s="162" t="s">
        <v>3651</v>
      </c>
      <c r="B2578" s="90"/>
      <c r="C2578" s="147"/>
      <c r="D2578" s="161"/>
      <c r="E2578" s="36"/>
      <c r="F2578" s="178"/>
      <c r="G2578" s="496"/>
      <c r="H2578" s="36"/>
      <c r="I2578" s="11"/>
    </row>
    <row r="2579" spans="1:9" ht="9" customHeight="1">
      <c r="A2579" s="162" t="s">
        <v>3652</v>
      </c>
      <c r="B2579" s="90"/>
      <c r="C2579" s="147"/>
      <c r="D2579" s="161"/>
      <c r="E2579" s="36"/>
      <c r="F2579" s="178"/>
      <c r="G2579" s="496"/>
      <c r="H2579" s="36"/>
      <c r="I2579" s="11"/>
    </row>
    <row r="2580" spans="1:9" ht="9" customHeight="1">
      <c r="A2580" s="162" t="s">
        <v>3653</v>
      </c>
      <c r="B2580" s="90"/>
      <c r="C2580" s="147"/>
      <c r="D2580" s="161"/>
      <c r="E2580" s="36"/>
      <c r="F2580" s="178"/>
      <c r="G2580" s="496"/>
      <c r="H2580" s="36"/>
      <c r="I2580" s="11"/>
    </row>
    <row r="2581" spans="1:9" ht="9" customHeight="1">
      <c r="A2581" s="162" t="s">
        <v>3654</v>
      </c>
      <c r="B2581" s="90"/>
      <c r="C2581" s="147"/>
      <c r="D2581" s="161"/>
      <c r="E2581" s="36"/>
      <c r="F2581" s="178"/>
      <c r="G2581" s="496"/>
      <c r="H2581" s="36"/>
      <c r="I2581" s="11"/>
    </row>
    <row r="2582" spans="1:9" ht="9" customHeight="1">
      <c r="A2582" s="162" t="s">
        <v>3655</v>
      </c>
      <c r="B2582" s="90"/>
      <c r="C2582" s="147"/>
      <c r="D2582" s="161"/>
      <c r="E2582" s="36"/>
      <c r="F2582" s="178"/>
      <c r="G2582" s="496"/>
      <c r="H2582" s="36"/>
      <c r="I2582" s="11"/>
    </row>
    <row r="2583" spans="1:9" ht="9" customHeight="1">
      <c r="A2583" s="162" t="s">
        <v>3656</v>
      </c>
      <c r="B2583" s="90"/>
      <c r="C2583" s="147"/>
      <c r="D2583" s="161"/>
      <c r="E2583" s="36"/>
      <c r="F2583" s="178"/>
      <c r="G2583" s="496"/>
      <c r="H2583" s="36"/>
      <c r="I2583" s="11"/>
    </row>
    <row r="2584" spans="1:9" ht="9" customHeight="1">
      <c r="A2584" s="162" t="s">
        <v>3657</v>
      </c>
      <c r="B2584" s="90"/>
      <c r="C2584" s="147"/>
      <c r="D2584" s="161"/>
      <c r="E2584" s="36"/>
      <c r="F2584" s="178"/>
      <c r="G2584" s="496"/>
      <c r="H2584" s="36"/>
      <c r="I2584" s="11"/>
    </row>
    <row r="2585" spans="1:9" ht="9" customHeight="1">
      <c r="A2585" s="162" t="s">
        <v>3658</v>
      </c>
      <c r="B2585" s="90"/>
      <c r="C2585" s="147"/>
      <c r="D2585" s="161"/>
      <c r="E2585" s="36"/>
      <c r="F2585" s="178"/>
      <c r="G2585" s="496"/>
      <c r="H2585" s="36"/>
      <c r="I2585" s="11"/>
    </row>
    <row r="2586" spans="1:9" ht="11.15" customHeight="1">
      <c r="A2586" s="129" t="s">
        <v>3659</v>
      </c>
      <c r="B2586" s="90"/>
      <c r="C2586" s="147"/>
      <c r="D2586" s="182"/>
      <c r="E2586" s="36"/>
      <c r="F2586" s="183"/>
      <c r="G2586" s="496"/>
      <c r="H2586" s="34"/>
      <c r="I2586" s="11"/>
    </row>
    <row r="2587" spans="1:9" ht="9" customHeight="1">
      <c r="A2587" s="162" t="s">
        <v>3660</v>
      </c>
      <c r="B2587" s="90"/>
      <c r="C2587" s="147"/>
      <c r="D2587" s="161"/>
      <c r="E2587" s="36"/>
      <c r="F2587" s="178"/>
      <c r="G2587" s="496"/>
      <c r="H2587" s="36"/>
      <c r="I2587" s="11"/>
    </row>
    <row r="2588" spans="1:9" ht="9" customHeight="1">
      <c r="A2588" s="162" t="s">
        <v>3661</v>
      </c>
      <c r="B2588" s="90"/>
      <c r="C2588" s="147"/>
      <c r="D2588" s="161"/>
      <c r="E2588" s="36"/>
      <c r="F2588" s="178"/>
      <c r="G2588" s="496"/>
      <c r="H2588" s="36"/>
      <c r="I2588" s="11"/>
    </row>
    <row r="2589" spans="1:9" ht="9" customHeight="1">
      <c r="A2589" s="162" t="s">
        <v>3662</v>
      </c>
      <c r="B2589" s="90"/>
      <c r="C2589" s="147"/>
      <c r="D2589" s="122"/>
      <c r="E2589" s="36"/>
      <c r="F2589" s="178"/>
      <c r="G2589" s="60"/>
      <c r="H2589" s="36"/>
      <c r="I2589" s="11"/>
    </row>
    <row r="2590" spans="1:9" ht="11.15" customHeight="1">
      <c r="A2590" s="166" t="s">
        <v>3663</v>
      </c>
      <c r="B2590" s="90"/>
      <c r="C2590" s="147"/>
      <c r="D2590" s="122"/>
      <c r="E2590" s="36"/>
      <c r="F2590" s="178"/>
      <c r="G2590" s="60"/>
      <c r="H2590" s="36"/>
      <c r="I2590" s="11"/>
    </row>
    <row r="2591" spans="1:9" ht="11.15" customHeight="1">
      <c r="A2591" s="129" t="s">
        <v>3664</v>
      </c>
      <c r="B2591" s="375"/>
      <c r="C2591" s="367"/>
      <c r="D2591" s="368"/>
      <c r="E2591" s="36"/>
      <c r="F2591" s="183"/>
      <c r="G2591" s="60"/>
      <c r="H2591" s="34"/>
      <c r="I2591" s="11"/>
    </row>
    <row r="2592" spans="1:9" ht="11.15" customHeight="1" thickBot="1">
      <c r="A2592" s="29"/>
      <c r="B2592" s="375"/>
      <c r="C2592" s="367"/>
      <c r="D2592" s="368"/>
      <c r="E2592" s="36"/>
      <c r="F2592" s="183"/>
      <c r="G2592" s="60"/>
      <c r="H2592" s="34"/>
      <c r="I2592" s="11"/>
    </row>
    <row r="2593" spans="1:12" ht="11.15" customHeight="1" thickBot="1">
      <c r="A2593" s="273" t="s">
        <v>3665</v>
      </c>
      <c r="B2593" s="59" t="s">
        <v>20609</v>
      </c>
      <c r="C2593" s="147" t="s">
        <v>20221</v>
      </c>
      <c r="D2593" s="284" t="s">
        <v>897</v>
      </c>
      <c r="E2593" s="178">
        <v>1996</v>
      </c>
      <c r="F2593" s="178" t="s">
        <v>23395</v>
      </c>
      <c r="G2593" s="496"/>
      <c r="H2593" s="994" t="s">
        <v>20221</v>
      </c>
      <c r="I2593" s="12" t="s">
        <v>3666</v>
      </c>
      <c r="J2593" s="1285"/>
      <c r="K2593" s="1285"/>
      <c r="L2593" s="1285"/>
    </row>
    <row r="2594" spans="1:12" ht="11.15" customHeight="1">
      <c r="A2594" s="29" t="s">
        <v>3667</v>
      </c>
      <c r="B2594" s="90"/>
      <c r="C2594" s="147"/>
      <c r="D2594" s="161"/>
      <c r="E2594" s="36"/>
      <c r="F2594" s="178"/>
      <c r="G2594" s="496"/>
      <c r="H2594" s="36"/>
      <c r="I2594" s="12"/>
    </row>
    <row r="2595" spans="1:12" ht="11.15" customHeight="1">
      <c r="A2595" s="29" t="s">
        <v>3668</v>
      </c>
      <c r="B2595" s="90"/>
      <c r="C2595" s="147"/>
      <c r="D2595" s="161"/>
      <c r="E2595" s="36"/>
      <c r="F2595" s="178"/>
      <c r="G2595" s="496"/>
      <c r="H2595" s="36"/>
      <c r="I2595" s="11"/>
    </row>
    <row r="2596" spans="1:12" ht="11.15" customHeight="1">
      <c r="A2596" s="29" t="s">
        <v>3669</v>
      </c>
      <c r="B2596" s="90"/>
      <c r="C2596" s="147"/>
      <c r="D2596" s="161"/>
      <c r="E2596" s="36"/>
      <c r="F2596" s="178"/>
      <c r="G2596" s="496"/>
      <c r="H2596" s="36"/>
      <c r="I2596" s="11"/>
    </row>
    <row r="2597" spans="1:12" ht="11.15" customHeight="1">
      <c r="A2597" s="29" t="s">
        <v>3670</v>
      </c>
      <c r="B2597" s="90"/>
      <c r="C2597" s="147"/>
      <c r="D2597" s="161"/>
      <c r="E2597" s="36"/>
      <c r="F2597" s="183"/>
      <c r="G2597" s="60"/>
      <c r="H2597" s="34"/>
      <c r="I2597" s="11"/>
    </row>
    <row r="2598" spans="1:12" ht="11.15" customHeight="1">
      <c r="A2598" s="29" t="s">
        <v>3671</v>
      </c>
      <c r="B2598" s="90"/>
      <c r="C2598" s="147"/>
      <c r="D2598" s="161"/>
      <c r="E2598" s="36"/>
      <c r="F2598" s="183"/>
      <c r="G2598" s="60"/>
      <c r="H2598" s="34"/>
      <c r="I2598" s="11"/>
    </row>
    <row r="2599" spans="1:12" ht="11.15" customHeight="1">
      <c r="A2599" s="29" t="s">
        <v>3672</v>
      </c>
      <c r="B2599" s="90"/>
      <c r="C2599" s="147"/>
      <c r="D2599" s="161"/>
      <c r="E2599" s="36"/>
      <c r="F2599" s="183"/>
      <c r="G2599" s="60"/>
      <c r="H2599" s="34"/>
      <c r="I2599" s="11"/>
    </row>
    <row r="2600" spans="1:12" ht="11.15" customHeight="1">
      <c r="A2600" s="29" t="s">
        <v>3673</v>
      </c>
      <c r="B2600" s="90"/>
      <c r="C2600" s="147"/>
      <c r="D2600" s="161"/>
      <c r="E2600" s="36"/>
      <c r="F2600" s="183"/>
      <c r="G2600" s="60"/>
      <c r="H2600" s="34"/>
      <c r="I2600" s="11"/>
    </row>
    <row r="2601" spans="1:12" ht="11.15" customHeight="1">
      <c r="A2601" s="29" t="s">
        <v>3674</v>
      </c>
      <c r="B2601" s="90"/>
      <c r="C2601" s="147"/>
      <c r="D2601" s="161"/>
      <c r="E2601" s="36"/>
      <c r="F2601" s="183"/>
      <c r="G2601" s="60"/>
      <c r="H2601" s="34"/>
      <c r="I2601" s="11"/>
    </row>
    <row r="2602" spans="1:12" ht="11.15" customHeight="1">
      <c r="A2602" s="166" t="s">
        <v>3675</v>
      </c>
      <c r="B2602" s="375"/>
      <c r="C2602" s="367"/>
      <c r="D2602" s="368"/>
      <c r="E2602" s="36"/>
      <c r="F2602" s="183"/>
      <c r="G2602" s="60"/>
      <c r="H2602" s="34"/>
      <c r="I2602" s="11"/>
    </row>
    <row r="2603" spans="1:12" ht="11.15" customHeight="1" thickBot="1">
      <c r="A2603" s="29"/>
      <c r="B2603" s="90"/>
      <c r="C2603" s="147"/>
      <c r="D2603" s="161"/>
      <c r="E2603" s="36"/>
      <c r="F2603" s="178"/>
      <c r="G2603" s="497"/>
      <c r="H2603" s="36"/>
      <c r="I2603" s="11"/>
    </row>
    <row r="2604" spans="1:12" ht="24" customHeight="1" thickBot="1">
      <c r="A2604" s="243"/>
      <c r="B2604" s="64" t="s">
        <v>3676</v>
      </c>
      <c r="C2604" s="170"/>
      <c r="D2604" s="139"/>
      <c r="E2604" s="235"/>
      <c r="F2604" s="383"/>
      <c r="G2604" s="1210"/>
      <c r="H2604" s="516"/>
      <c r="I2604" s="11"/>
    </row>
    <row r="2605" spans="1:12" ht="11.15" customHeight="1">
      <c r="A2605" s="256" t="s">
        <v>1441</v>
      </c>
      <c r="B2605" s="257"/>
      <c r="C2605" s="258"/>
      <c r="D2605" s="259"/>
      <c r="E2605" s="260"/>
      <c r="F2605" s="257"/>
      <c r="G2605" s="1195"/>
      <c r="H2605" s="1159"/>
      <c r="I2605" s="11"/>
    </row>
    <row r="2606" spans="1:12" ht="11.15" customHeight="1">
      <c r="A2606" s="261" t="s">
        <v>1442</v>
      </c>
      <c r="B2606" s="262"/>
      <c r="C2606" s="263"/>
      <c r="D2606" s="264"/>
      <c r="E2606" s="265"/>
      <c r="F2606" s="262"/>
      <c r="G2606" s="1196"/>
      <c r="H2606" s="1160"/>
      <c r="I2606" s="11"/>
    </row>
    <row r="2607" spans="1:12" ht="11.15" customHeight="1">
      <c r="A2607" s="261" t="s">
        <v>1443</v>
      </c>
      <c r="B2607" s="262"/>
      <c r="C2607" s="263"/>
      <c r="D2607" s="264"/>
      <c r="E2607" s="265"/>
      <c r="F2607" s="262"/>
      <c r="G2607" s="1196"/>
      <c r="H2607" s="1160"/>
      <c r="I2607" s="11"/>
    </row>
    <row r="2608" spans="1:12" ht="11.15" customHeight="1" thickBot="1">
      <c r="A2608" s="266" t="s">
        <v>1444</v>
      </c>
      <c r="B2608" s="267"/>
      <c r="C2608" s="268"/>
      <c r="D2608" s="269"/>
      <c r="E2608" s="270"/>
      <c r="F2608" s="1066"/>
      <c r="G2608" s="1197"/>
      <c r="H2608" s="1161"/>
      <c r="I2608" s="11"/>
    </row>
    <row r="2609" spans="1:12" ht="11.15" customHeight="1" thickBot="1">
      <c r="A2609" s="376"/>
      <c r="B2609" s="122"/>
      <c r="C2609" s="147"/>
      <c r="D2609" s="161"/>
      <c r="E2609" s="36"/>
      <c r="F2609" s="183"/>
      <c r="G2609" s="496"/>
      <c r="H2609" s="34"/>
      <c r="I2609" s="11"/>
    </row>
    <row r="2610" spans="1:12" ht="11.15" customHeight="1">
      <c r="A2610" s="153" t="s">
        <v>3677</v>
      </c>
      <c r="B2610" s="154" t="s">
        <v>2566</v>
      </c>
      <c r="C2610" s="147"/>
      <c r="D2610" s="182"/>
      <c r="E2610" s="36"/>
      <c r="F2610" s="178"/>
      <c r="G2610" s="496"/>
      <c r="H2610" s="36"/>
      <c r="I2610" s="11"/>
    </row>
    <row r="2611" spans="1:12" ht="11.15" customHeight="1" thickBot="1">
      <c r="A2611" s="230" t="s">
        <v>3678</v>
      </c>
      <c r="B2611" s="59" t="s">
        <v>20614</v>
      </c>
      <c r="C2611" s="147" t="s">
        <v>23393</v>
      </c>
      <c r="D2611" s="701" t="s">
        <v>1129</v>
      </c>
      <c r="E2611" s="178">
        <v>2020</v>
      </c>
      <c r="F2611" s="178" t="s">
        <v>23395</v>
      </c>
      <c r="G2611" s="496"/>
      <c r="H2611" s="994" t="s">
        <v>20221</v>
      </c>
      <c r="I2611" s="11" t="s">
        <v>3679</v>
      </c>
      <c r="J2611" s="1285"/>
      <c r="K2611" s="1285"/>
      <c r="L2611" s="1285"/>
    </row>
    <row r="2612" spans="1:12" ht="11.15" customHeight="1">
      <c r="A2612" s="29" t="s">
        <v>3680</v>
      </c>
      <c r="B2612" s="154"/>
      <c r="C2612" s="147"/>
      <c r="D2612" s="129"/>
      <c r="E2612" s="185"/>
      <c r="F2612" s="185"/>
      <c r="G2612" s="185"/>
      <c r="H2612" s="185"/>
      <c r="I2612" s="11"/>
    </row>
    <row r="2613" spans="1:12" ht="11.15" customHeight="1">
      <c r="A2613" s="29" t="s">
        <v>3681</v>
      </c>
      <c r="B2613" s="154"/>
      <c r="C2613" s="147"/>
      <c r="D2613" s="129"/>
      <c r="E2613" s="185"/>
      <c r="F2613" s="185"/>
      <c r="G2613" s="185"/>
      <c r="H2613" s="185"/>
      <c r="I2613" s="11"/>
    </row>
    <row r="2614" spans="1:12" ht="11.15" customHeight="1">
      <c r="A2614" s="29" t="s">
        <v>3682</v>
      </c>
      <c r="B2614" s="154"/>
      <c r="C2614" s="147"/>
      <c r="D2614" s="129"/>
      <c r="E2614" s="185"/>
      <c r="F2614" s="185"/>
      <c r="G2614" s="185"/>
      <c r="H2614" s="185"/>
      <c r="I2614" s="11"/>
    </row>
    <row r="2615" spans="1:12" ht="11.15" customHeight="1">
      <c r="A2615" s="29" t="s">
        <v>3683</v>
      </c>
      <c r="B2615" s="154"/>
      <c r="C2615" s="147"/>
      <c r="D2615" s="129"/>
      <c r="E2615" s="185"/>
      <c r="F2615" s="185"/>
      <c r="G2615" s="185"/>
      <c r="H2615" s="185"/>
      <c r="I2615" s="11"/>
    </row>
    <row r="2616" spans="1:12" ht="11.15" customHeight="1">
      <c r="A2616" s="29" t="s">
        <v>3684</v>
      </c>
      <c r="B2616" s="154"/>
      <c r="C2616" s="147"/>
      <c r="D2616" s="129"/>
      <c r="E2616" s="185"/>
      <c r="F2616" s="185"/>
      <c r="G2616" s="185"/>
      <c r="H2616" s="185"/>
      <c r="I2616" s="11"/>
    </row>
    <row r="2617" spans="1:12" ht="11.15" customHeight="1">
      <c r="A2617" s="181" t="s">
        <v>3685</v>
      </c>
      <c r="B2617" s="154"/>
      <c r="C2617" s="147"/>
      <c r="D2617" s="129"/>
      <c r="E2617" s="185"/>
      <c r="F2617" s="185"/>
      <c r="G2617" s="185"/>
      <c r="H2617" s="185"/>
      <c r="I2617" s="11"/>
    </row>
    <row r="2618" spans="1:12" ht="11.15" customHeight="1" thickBot="1">
      <c r="A2618" s="129"/>
      <c r="B2618" s="90"/>
      <c r="C2618" s="147"/>
      <c r="D2618" s="182"/>
      <c r="E2618" s="36"/>
      <c r="F2618" s="178"/>
      <c r="G2618" s="496"/>
      <c r="H2618" s="36"/>
      <c r="I2618" s="11"/>
    </row>
    <row r="2619" spans="1:12" ht="11.15" customHeight="1" thickBot="1">
      <c r="A2619" s="184" t="s">
        <v>3686</v>
      </c>
      <c r="B2619" s="154" t="s">
        <v>2566</v>
      </c>
      <c r="C2619" s="147"/>
      <c r="D2619" s="182"/>
      <c r="E2619" s="36"/>
      <c r="F2619" s="178"/>
      <c r="G2619" s="496"/>
      <c r="H2619" s="36"/>
      <c r="I2619" s="11"/>
    </row>
    <row r="2620" spans="1:12" ht="11.15" customHeight="1">
      <c r="A2620" s="29" t="s">
        <v>3687</v>
      </c>
      <c r="B2620" s="59" t="s">
        <v>20615</v>
      </c>
      <c r="C2620" s="147" t="s">
        <v>23393</v>
      </c>
      <c r="D2620" s="701" t="s">
        <v>1129</v>
      </c>
      <c r="E2620" s="178">
        <v>2020</v>
      </c>
      <c r="F2620" s="178" t="s">
        <v>4520</v>
      </c>
      <c r="G2620" s="496"/>
      <c r="H2620" s="994" t="s">
        <v>20221</v>
      </c>
      <c r="I2620" s="11" t="s">
        <v>1431</v>
      </c>
      <c r="J2620" s="1285"/>
      <c r="K2620" s="1285"/>
      <c r="L2620" s="1285"/>
    </row>
    <row r="2621" spans="1:12" ht="11.15" customHeight="1">
      <c r="A2621" s="29" t="s">
        <v>3688</v>
      </c>
      <c r="B2621" s="154"/>
      <c r="C2621" s="147"/>
      <c r="D2621" s="129"/>
      <c r="E2621" s="185"/>
      <c r="F2621" s="185"/>
      <c r="G2621" s="185"/>
      <c r="H2621" s="185"/>
      <c r="I2621" s="11"/>
    </row>
    <row r="2622" spans="1:12" ht="11.15" customHeight="1">
      <c r="A2622" s="181" t="s">
        <v>3689</v>
      </c>
      <c r="B2622" s="154"/>
      <c r="C2622" s="147"/>
      <c r="D2622" s="129"/>
      <c r="E2622" s="185"/>
      <c r="F2622" s="185"/>
      <c r="G2622" s="185"/>
      <c r="H2622" s="185"/>
      <c r="I2622" s="11"/>
    </row>
    <row r="2623" spans="1:12" ht="11.15" customHeight="1">
      <c r="A2623" s="181" t="s">
        <v>950</v>
      </c>
      <c r="B2623" s="90"/>
      <c r="C2623" s="147"/>
      <c r="D2623" s="182"/>
      <c r="E2623" s="90"/>
      <c r="F2623" s="59"/>
      <c r="G2623" s="74"/>
      <c r="H2623" s="90"/>
      <c r="I2623" s="11"/>
    </row>
    <row r="2624" spans="1:12" ht="11.15" customHeight="1">
      <c r="A2624" s="129" t="s">
        <v>3690</v>
      </c>
      <c r="B2624" s="90"/>
      <c r="C2624" s="147"/>
      <c r="D2624" s="182"/>
      <c r="E2624" s="36"/>
      <c r="F2624" s="178"/>
      <c r="G2624" s="496"/>
      <c r="H2624" s="36"/>
      <c r="I2624" s="11"/>
    </row>
    <row r="2625" spans="1:9" ht="11.15" customHeight="1">
      <c r="A2625" s="162" t="s">
        <v>3691</v>
      </c>
      <c r="B2625" s="90"/>
      <c r="C2625" s="147"/>
      <c r="D2625" s="182"/>
      <c r="E2625" s="36"/>
      <c r="F2625" s="178"/>
      <c r="G2625" s="496"/>
      <c r="H2625" s="36"/>
      <c r="I2625" s="11"/>
    </row>
    <row r="2626" spans="1:9" ht="11.15" customHeight="1">
      <c r="A2626" s="162" t="s">
        <v>3692</v>
      </c>
      <c r="B2626" s="377"/>
      <c r="C2626" s="147"/>
      <c r="D2626" s="182"/>
      <c r="E2626" s="178"/>
      <c r="F2626" s="178"/>
      <c r="G2626" s="60"/>
      <c r="H2626" s="178"/>
      <c r="I2626" s="11"/>
    </row>
    <row r="2627" spans="1:9" ht="11.15" customHeight="1">
      <c r="A2627" s="162" t="s">
        <v>3693</v>
      </c>
      <c r="B2627" s="377"/>
      <c r="C2627" s="147"/>
      <c r="D2627" s="182"/>
      <c r="E2627" s="178"/>
      <c r="F2627" s="178"/>
      <c r="G2627" s="60"/>
      <c r="H2627" s="178"/>
      <c r="I2627" s="11"/>
    </row>
    <row r="2628" spans="1:9" ht="11.15" customHeight="1">
      <c r="A2628" s="162" t="s">
        <v>3694</v>
      </c>
      <c r="B2628" s="377"/>
      <c r="C2628" s="147"/>
      <c r="D2628" s="182"/>
      <c r="E2628" s="178"/>
      <c r="F2628" s="178"/>
      <c r="G2628" s="60"/>
      <c r="H2628" s="178"/>
      <c r="I2628" s="11"/>
    </row>
    <row r="2629" spans="1:9" ht="11.15" customHeight="1">
      <c r="A2629" s="162" t="s">
        <v>3695</v>
      </c>
      <c r="B2629" s="377"/>
      <c r="C2629" s="147"/>
      <c r="D2629" s="182"/>
      <c r="E2629" s="178"/>
      <c r="F2629" s="178"/>
      <c r="G2629" s="60"/>
      <c r="H2629" s="178"/>
      <c r="I2629" s="11"/>
    </row>
    <row r="2630" spans="1:9" ht="11.15" customHeight="1">
      <c r="A2630" s="162" t="s">
        <v>3696</v>
      </c>
      <c r="B2630" s="377"/>
      <c r="C2630" s="147"/>
      <c r="D2630" s="182"/>
      <c r="E2630" s="178"/>
      <c r="F2630" s="178"/>
      <c r="G2630" s="60"/>
      <c r="H2630" s="178"/>
      <c r="I2630" s="11"/>
    </row>
    <row r="2631" spans="1:9" ht="11.15" customHeight="1">
      <c r="A2631" s="162" t="s">
        <v>3697</v>
      </c>
      <c r="B2631" s="377"/>
      <c r="C2631" s="147"/>
      <c r="D2631" s="182"/>
      <c r="E2631" s="178"/>
      <c r="F2631" s="178"/>
      <c r="G2631" s="60"/>
      <c r="H2631" s="178"/>
      <c r="I2631" s="11"/>
    </row>
    <row r="2632" spans="1:9" ht="11.15" customHeight="1">
      <c r="A2632" s="162" t="s">
        <v>3698</v>
      </c>
      <c r="B2632" s="377"/>
      <c r="C2632" s="147"/>
      <c r="D2632" s="182"/>
      <c r="E2632" s="178"/>
      <c r="F2632" s="178"/>
      <c r="G2632" s="60"/>
      <c r="H2632" s="178"/>
      <c r="I2632" s="11"/>
    </row>
    <row r="2633" spans="1:9" ht="11.15" customHeight="1">
      <c r="A2633" s="129" t="s">
        <v>3659</v>
      </c>
      <c r="B2633" s="377"/>
      <c r="C2633" s="147"/>
      <c r="D2633" s="182"/>
      <c r="E2633" s="178"/>
      <c r="F2633" s="178"/>
      <c r="G2633" s="60"/>
      <c r="H2633" s="178"/>
      <c r="I2633" s="11"/>
    </row>
    <row r="2634" spans="1:9" ht="11.15" customHeight="1">
      <c r="A2634" s="162" t="s">
        <v>3699</v>
      </c>
      <c r="B2634" s="90"/>
      <c r="C2634" s="147"/>
      <c r="D2634" s="182"/>
      <c r="E2634" s="36"/>
      <c r="F2634" s="178"/>
      <c r="G2634" s="60"/>
      <c r="H2634" s="36"/>
      <c r="I2634" s="11"/>
    </row>
    <row r="2635" spans="1:9" ht="11.15" customHeight="1">
      <c r="A2635" s="162" t="s">
        <v>2686</v>
      </c>
      <c r="B2635" s="185"/>
      <c r="C2635" s="147"/>
      <c r="D2635" s="182"/>
      <c r="E2635" s="36"/>
      <c r="F2635" s="178"/>
      <c r="G2635" s="60"/>
      <c r="H2635" s="36"/>
      <c r="I2635" s="11"/>
    </row>
    <row r="2636" spans="1:9" ht="11.15" customHeight="1">
      <c r="A2636" s="162" t="s">
        <v>3700</v>
      </c>
      <c r="B2636" s="185"/>
      <c r="C2636" s="147"/>
      <c r="D2636" s="182"/>
      <c r="E2636" s="36"/>
      <c r="F2636" s="178"/>
      <c r="G2636" s="60"/>
      <c r="H2636" s="36"/>
      <c r="I2636" s="11"/>
    </row>
    <row r="2637" spans="1:9" ht="11.15" customHeight="1">
      <c r="A2637" s="162" t="s">
        <v>1513</v>
      </c>
      <c r="B2637" s="185"/>
      <c r="C2637" s="147"/>
      <c r="D2637" s="182"/>
      <c r="E2637" s="36"/>
      <c r="F2637" s="178"/>
      <c r="G2637" s="60"/>
      <c r="H2637" s="36"/>
      <c r="I2637" s="11"/>
    </row>
    <row r="2638" spans="1:9" ht="11.15" customHeight="1">
      <c r="A2638" s="162" t="s">
        <v>3701</v>
      </c>
      <c r="B2638" s="29"/>
      <c r="C2638" s="147"/>
      <c r="D2638" s="182"/>
      <c r="E2638" s="90"/>
      <c r="F2638" s="59"/>
      <c r="G2638" s="74"/>
      <c r="H2638" s="90"/>
      <c r="I2638" s="11"/>
    </row>
    <row r="2639" spans="1:9" ht="11.15" customHeight="1">
      <c r="A2639" s="162" t="s">
        <v>3702</v>
      </c>
      <c r="B2639" s="90"/>
      <c r="C2639" s="147"/>
      <c r="D2639" s="182"/>
      <c r="E2639" s="90"/>
      <c r="F2639" s="59"/>
      <c r="G2639" s="74"/>
      <c r="H2639" s="90"/>
      <c r="I2639" s="11"/>
    </row>
    <row r="2640" spans="1:9" ht="11.15" customHeight="1">
      <c r="A2640" s="166" t="s">
        <v>3703</v>
      </c>
      <c r="B2640" s="90"/>
      <c r="C2640" s="147"/>
      <c r="D2640" s="182"/>
      <c r="E2640" s="90"/>
      <c r="F2640" s="59"/>
      <c r="G2640" s="74"/>
      <c r="H2640" s="90"/>
      <c r="I2640" s="11"/>
    </row>
    <row r="2641" spans="1:12" ht="11.15" customHeight="1">
      <c r="A2641" s="129" t="s">
        <v>3704</v>
      </c>
      <c r="B2641" s="375"/>
      <c r="C2641" s="367"/>
      <c r="D2641" s="368"/>
      <c r="E2641" s="36"/>
      <c r="F2641" s="183"/>
      <c r="G2641" s="60"/>
      <c r="H2641" s="34"/>
      <c r="I2641" s="11"/>
    </row>
    <row r="2642" spans="1:12" ht="11.15" customHeight="1" thickBot="1">
      <c r="A2642" s="185"/>
      <c r="B2642" s="90"/>
      <c r="C2642" s="147"/>
      <c r="D2642" s="182"/>
      <c r="E2642" s="36"/>
      <c r="F2642" s="183"/>
      <c r="G2642" s="60"/>
      <c r="H2642" s="34"/>
      <c r="I2642" s="11"/>
    </row>
    <row r="2643" spans="1:12" ht="11.15" customHeight="1" thickBot="1">
      <c r="A2643" s="184" t="s">
        <v>3705</v>
      </c>
      <c r="B2643" s="59" t="s">
        <v>20618</v>
      </c>
      <c r="C2643" s="147" t="s">
        <v>20221</v>
      </c>
      <c r="D2643" s="739" t="s">
        <v>1410</v>
      </c>
      <c r="E2643" s="178">
        <v>2020</v>
      </c>
      <c r="F2643" s="178" t="s">
        <v>4520</v>
      </c>
      <c r="G2643" s="496"/>
      <c r="H2643" s="994" t="s">
        <v>20224</v>
      </c>
      <c r="I2643" s="12" t="s">
        <v>3706</v>
      </c>
      <c r="J2643" s="1285"/>
      <c r="K2643" s="1285"/>
      <c r="L2643" s="1285"/>
    </row>
    <row r="2644" spans="1:12" ht="11.15" customHeight="1">
      <c r="A2644" s="29" t="s">
        <v>3707</v>
      </c>
      <c r="B2644" s="90"/>
      <c r="C2644" s="147"/>
      <c r="D2644" s="182"/>
      <c r="E2644" s="36"/>
      <c r="F2644" s="183"/>
      <c r="G2644" s="60"/>
      <c r="H2644" s="34"/>
      <c r="I2644" s="11"/>
    </row>
    <row r="2645" spans="1:12" ht="11.15" customHeight="1">
      <c r="A2645" s="29" t="s">
        <v>3708</v>
      </c>
      <c r="B2645" s="90"/>
      <c r="C2645" s="147"/>
      <c r="D2645" s="182"/>
      <c r="E2645" s="36"/>
      <c r="F2645" s="183"/>
      <c r="G2645" s="60"/>
      <c r="H2645" s="34"/>
      <c r="I2645" s="11"/>
    </row>
    <row r="2646" spans="1:12" ht="11.15" customHeight="1">
      <c r="A2646" s="29" t="s">
        <v>3709</v>
      </c>
      <c r="B2646" s="90"/>
      <c r="C2646" s="147"/>
      <c r="D2646" s="182"/>
      <c r="E2646" s="36"/>
      <c r="F2646" s="183"/>
      <c r="G2646" s="60"/>
      <c r="H2646" s="34"/>
      <c r="I2646" s="11"/>
    </row>
    <row r="2647" spans="1:12" ht="11.15" customHeight="1">
      <c r="A2647" s="166" t="s">
        <v>3710</v>
      </c>
      <c r="B2647" s="90"/>
      <c r="C2647" s="147"/>
      <c r="D2647" s="182"/>
      <c r="E2647" s="36"/>
      <c r="F2647" s="183"/>
      <c r="G2647" s="60"/>
      <c r="H2647" s="34"/>
      <c r="I2647" s="11"/>
    </row>
    <row r="2648" spans="1:12" ht="11.15" customHeight="1">
      <c r="A2648" s="129" t="s">
        <v>3711</v>
      </c>
      <c r="B2648" s="375"/>
      <c r="C2648" s="367"/>
      <c r="D2648" s="368"/>
      <c r="E2648" s="36"/>
      <c r="F2648" s="183"/>
      <c r="G2648" s="60"/>
      <c r="H2648" s="34"/>
      <c r="I2648" s="11"/>
    </row>
    <row r="2649" spans="1:12" ht="11.15" customHeight="1" thickBot="1">
      <c r="A2649" s="29"/>
      <c r="B2649" s="122"/>
      <c r="C2649" s="147"/>
      <c r="D2649" s="182"/>
      <c r="E2649" s="90"/>
      <c r="F2649" s="59"/>
      <c r="G2649" s="74"/>
      <c r="H2649" s="90"/>
      <c r="I2649" s="11"/>
    </row>
    <row r="2650" spans="1:12" ht="11.15" customHeight="1" thickBot="1">
      <c r="A2650" s="184" t="s">
        <v>3712</v>
      </c>
      <c r="B2650" s="59" t="s">
        <v>20619</v>
      </c>
      <c r="C2650" s="147" t="s">
        <v>20221</v>
      </c>
      <c r="D2650" s="739" t="s">
        <v>1410</v>
      </c>
      <c r="E2650" s="178">
        <v>2003</v>
      </c>
      <c r="F2650" s="178" t="s">
        <v>23395</v>
      </c>
      <c r="G2650" s="496"/>
      <c r="H2650" s="994" t="s">
        <v>20221</v>
      </c>
      <c r="I2650" s="12" t="s">
        <v>3713</v>
      </c>
      <c r="J2650" s="1285"/>
      <c r="K2650" s="1285"/>
      <c r="L2650" s="1285"/>
    </row>
    <row r="2651" spans="1:12" ht="11.15" customHeight="1">
      <c r="A2651" s="29" t="s">
        <v>3714</v>
      </c>
      <c r="B2651" s="185"/>
      <c r="C2651" s="147"/>
      <c r="D2651" s="185"/>
      <c r="E2651" s="185"/>
      <c r="F2651" s="185"/>
      <c r="G2651" s="185"/>
      <c r="H2651" s="185"/>
      <c r="I2651" s="11"/>
    </row>
    <row r="2652" spans="1:12" ht="11.15" customHeight="1">
      <c r="A2652" s="29" t="s">
        <v>3715</v>
      </c>
      <c r="B2652" s="90"/>
      <c r="C2652" s="147"/>
      <c r="D2652" s="182"/>
      <c r="E2652" s="36"/>
      <c r="F2652" s="183"/>
      <c r="G2652" s="60"/>
      <c r="H2652" s="34"/>
      <c r="I2652" s="11"/>
    </row>
    <row r="2653" spans="1:12" ht="11.15" customHeight="1">
      <c r="A2653" s="29" t="s">
        <v>3716</v>
      </c>
      <c r="B2653" s="90"/>
      <c r="C2653" s="147"/>
      <c r="D2653" s="182"/>
      <c r="E2653" s="36"/>
      <c r="F2653" s="183"/>
      <c r="G2653" s="60"/>
      <c r="H2653" s="34"/>
      <c r="I2653" s="11"/>
    </row>
    <row r="2654" spans="1:12" ht="11.15" customHeight="1">
      <c r="A2654" s="166" t="s">
        <v>3717</v>
      </c>
      <c r="B2654" s="90"/>
      <c r="C2654" s="147"/>
      <c r="D2654" s="182"/>
      <c r="E2654" s="36"/>
      <c r="F2654" s="183"/>
      <c r="G2654" s="60"/>
      <c r="H2654" s="34"/>
      <c r="I2654" s="11"/>
    </row>
    <row r="2655" spans="1:12" ht="11.15" customHeight="1">
      <c r="A2655" s="129" t="s">
        <v>3718</v>
      </c>
      <c r="B2655" s="375"/>
      <c r="C2655" s="367"/>
      <c r="D2655" s="368"/>
      <c r="E2655" s="36"/>
      <c r="F2655" s="183"/>
      <c r="G2655" s="60"/>
      <c r="H2655" s="34"/>
      <c r="I2655" s="11"/>
    </row>
    <row r="2656" spans="1:12" ht="11.15" customHeight="1" thickBot="1">
      <c r="A2656" s="29"/>
      <c r="B2656" s="90"/>
      <c r="C2656" s="147"/>
      <c r="D2656" s="182"/>
      <c r="E2656" s="36"/>
      <c r="F2656" s="183"/>
      <c r="G2656" s="60"/>
      <c r="H2656" s="34"/>
      <c r="I2656" s="11"/>
    </row>
    <row r="2657" spans="1:12" ht="11.15" customHeight="1" thickBot="1">
      <c r="A2657" s="378" t="s">
        <v>3719</v>
      </c>
      <c r="B2657" s="59" t="s">
        <v>20620</v>
      </c>
      <c r="C2657" s="147" t="s">
        <v>23393</v>
      </c>
      <c r="D2657" s="739" t="s">
        <v>1410</v>
      </c>
      <c r="E2657" s="178">
        <v>2020</v>
      </c>
      <c r="F2657" s="178" t="s">
        <v>4520</v>
      </c>
      <c r="G2657" s="496"/>
      <c r="H2657" s="994" t="s">
        <v>20221</v>
      </c>
      <c r="I2657" s="11" t="s">
        <v>3720</v>
      </c>
      <c r="J2657" s="1285"/>
      <c r="K2657" s="1285"/>
      <c r="L2657" s="1285"/>
    </row>
    <row r="2658" spans="1:12" ht="11.15" customHeight="1">
      <c r="A2658" s="29" t="s">
        <v>3721</v>
      </c>
      <c r="B2658" s="59" t="s">
        <v>20620</v>
      </c>
      <c r="C2658" s="147" t="s">
        <v>20221</v>
      </c>
      <c r="D2658" s="739" t="s">
        <v>1410</v>
      </c>
      <c r="E2658" s="178">
        <v>2009</v>
      </c>
      <c r="F2658" s="178" t="s">
        <v>4520</v>
      </c>
      <c r="G2658" s="496"/>
      <c r="H2658" s="994" t="s">
        <v>20221</v>
      </c>
      <c r="I2658" s="11" t="s">
        <v>3722</v>
      </c>
      <c r="J2658" s="1285"/>
      <c r="K2658" s="1285"/>
      <c r="L2658" s="1285"/>
    </row>
    <row r="2659" spans="1:12" ht="11.15" customHeight="1">
      <c r="A2659" s="29" t="s">
        <v>3723</v>
      </c>
      <c r="B2659" s="90"/>
      <c r="C2659" s="147"/>
      <c r="D2659" s="182"/>
      <c r="E2659" s="36"/>
      <c r="F2659" s="178"/>
      <c r="G2659" s="496"/>
      <c r="H2659" s="36"/>
      <c r="I2659" s="11"/>
    </row>
    <row r="2660" spans="1:12" ht="11.15" customHeight="1">
      <c r="A2660" s="29" t="s">
        <v>3724</v>
      </c>
      <c r="B2660" s="90"/>
      <c r="C2660" s="147"/>
      <c r="D2660" s="182"/>
      <c r="E2660" s="36"/>
      <c r="F2660" s="178"/>
      <c r="G2660" s="496"/>
      <c r="H2660" s="36"/>
      <c r="I2660" s="11"/>
    </row>
    <row r="2661" spans="1:12" ht="11.15" customHeight="1">
      <c r="A2661" s="29" t="s">
        <v>3725</v>
      </c>
      <c r="B2661" s="90"/>
      <c r="C2661" s="147"/>
      <c r="D2661" s="182"/>
      <c r="E2661" s="36"/>
      <c r="F2661" s="178"/>
      <c r="G2661" s="496"/>
      <c r="H2661" s="36"/>
      <c r="I2661" s="11"/>
    </row>
    <row r="2662" spans="1:12" ht="11.15" customHeight="1">
      <c r="A2662" s="29" t="s">
        <v>3726</v>
      </c>
      <c r="B2662" s="90"/>
      <c r="C2662" s="147"/>
      <c r="D2662" s="182"/>
      <c r="E2662" s="36"/>
      <c r="F2662" s="178"/>
      <c r="G2662" s="496"/>
      <c r="H2662" s="36"/>
      <c r="I2662" s="11"/>
    </row>
    <row r="2663" spans="1:12" ht="11.15" customHeight="1">
      <c r="A2663" s="181" t="s">
        <v>3727</v>
      </c>
      <c r="B2663" s="90"/>
      <c r="C2663" s="147"/>
      <c r="D2663" s="182"/>
      <c r="E2663" s="36"/>
      <c r="F2663" s="178"/>
      <c r="G2663" s="496"/>
      <c r="H2663" s="36"/>
      <c r="I2663" s="11"/>
    </row>
    <row r="2664" spans="1:12" ht="11.15" customHeight="1">
      <c r="A2664" s="181" t="s">
        <v>3728</v>
      </c>
      <c r="B2664" s="90"/>
      <c r="C2664" s="147"/>
      <c r="D2664" s="182"/>
      <c r="E2664" s="36"/>
      <c r="F2664" s="178"/>
      <c r="G2664" s="496"/>
      <c r="H2664" s="36"/>
      <c r="I2664" s="11"/>
    </row>
    <row r="2665" spans="1:12" ht="11.15" customHeight="1">
      <c r="A2665" s="129" t="s">
        <v>1077</v>
      </c>
      <c r="B2665" s="379"/>
      <c r="C2665" s="147"/>
      <c r="D2665" s="182"/>
      <c r="E2665" s="36"/>
      <c r="F2665" s="178"/>
      <c r="G2665" s="60"/>
      <c r="H2665" s="36"/>
      <c r="I2665" s="11"/>
    </row>
    <row r="2666" spans="1:12" ht="11.15" customHeight="1">
      <c r="A2666" s="162" t="s">
        <v>3729</v>
      </c>
      <c r="B2666" s="379"/>
      <c r="C2666" s="147"/>
      <c r="D2666" s="182"/>
      <c r="E2666" s="36"/>
      <c r="F2666" s="178"/>
      <c r="G2666" s="60"/>
      <c r="H2666" s="36"/>
      <c r="I2666" s="11"/>
    </row>
    <row r="2667" spans="1:12" ht="11.15" customHeight="1">
      <c r="A2667" s="162" t="s">
        <v>3730</v>
      </c>
      <c r="B2667" s="379"/>
      <c r="C2667" s="147"/>
      <c r="D2667" s="182"/>
      <c r="E2667" s="36"/>
      <c r="F2667" s="178"/>
      <c r="G2667" s="60"/>
      <c r="H2667" s="36"/>
      <c r="I2667" s="11"/>
    </row>
    <row r="2668" spans="1:12" ht="11.15" customHeight="1">
      <c r="A2668" s="162" t="s">
        <v>3731</v>
      </c>
      <c r="B2668" s="379"/>
      <c r="C2668" s="147"/>
      <c r="D2668" s="182"/>
      <c r="E2668" s="36"/>
      <c r="F2668" s="178"/>
      <c r="G2668" s="60"/>
      <c r="H2668" s="36"/>
      <c r="I2668" s="11"/>
    </row>
    <row r="2669" spans="1:12" ht="11.15" customHeight="1">
      <c r="A2669" s="162" t="s">
        <v>3732</v>
      </c>
      <c r="B2669" s="379"/>
      <c r="C2669" s="147"/>
      <c r="D2669" s="182"/>
      <c r="E2669" s="36"/>
      <c r="F2669" s="178"/>
      <c r="G2669" s="60"/>
      <c r="H2669" s="36"/>
      <c r="I2669" s="11"/>
    </row>
    <row r="2670" spans="1:12" ht="11.15" customHeight="1">
      <c r="A2670" s="162" t="s">
        <v>3733</v>
      </c>
      <c r="B2670" s="379"/>
      <c r="C2670" s="147"/>
      <c r="D2670" s="182"/>
      <c r="E2670" s="36"/>
      <c r="F2670" s="178"/>
      <c r="G2670" s="60"/>
      <c r="H2670" s="36"/>
      <c r="I2670" s="11"/>
    </row>
    <row r="2671" spans="1:12" ht="11.15" customHeight="1">
      <c r="A2671" s="162" t="s">
        <v>3734</v>
      </c>
      <c r="B2671" s="379"/>
      <c r="C2671" s="147"/>
      <c r="D2671" s="182"/>
      <c r="E2671" s="36"/>
      <c r="F2671" s="178"/>
      <c r="G2671" s="60"/>
      <c r="H2671" s="36"/>
      <c r="I2671" s="11"/>
    </row>
    <row r="2672" spans="1:12" ht="11.15" customHeight="1">
      <c r="A2672" s="162" t="s">
        <v>3735</v>
      </c>
      <c r="B2672" s="379"/>
      <c r="C2672" s="147"/>
      <c r="D2672" s="182"/>
      <c r="E2672" s="36"/>
      <c r="F2672" s="178"/>
      <c r="G2672" s="60"/>
      <c r="H2672" s="36"/>
      <c r="I2672" s="11"/>
    </row>
    <row r="2673" spans="1:12" ht="11.15" customHeight="1">
      <c r="A2673" s="162" t="s">
        <v>3736</v>
      </c>
      <c r="B2673" s="379"/>
      <c r="C2673" s="147"/>
      <c r="D2673" s="182"/>
      <c r="E2673" s="36"/>
      <c r="F2673" s="178"/>
      <c r="G2673" s="60"/>
      <c r="H2673" s="36"/>
      <c r="I2673" s="11"/>
    </row>
    <row r="2674" spans="1:12" ht="11.15" customHeight="1">
      <c r="A2674" s="162" t="s">
        <v>3737</v>
      </c>
      <c r="B2674" s="379"/>
      <c r="C2674" s="147"/>
      <c r="D2674" s="182"/>
      <c r="E2674" s="36"/>
      <c r="F2674" s="178"/>
      <c r="G2674" s="60"/>
      <c r="H2674" s="36"/>
      <c r="I2674" s="11"/>
    </row>
    <row r="2675" spans="1:12" ht="11.15" customHeight="1">
      <c r="A2675" s="380" t="s">
        <v>3738</v>
      </c>
      <c r="B2675" s="379"/>
      <c r="C2675" s="147"/>
      <c r="D2675" s="182"/>
      <c r="E2675" s="36"/>
      <c r="F2675" s="178"/>
      <c r="G2675" s="60"/>
      <c r="H2675" s="36"/>
      <c r="I2675" s="11"/>
    </row>
    <row r="2676" spans="1:12" ht="11.15" customHeight="1">
      <c r="A2676" s="29" t="s">
        <v>3739</v>
      </c>
      <c r="B2676" s="379"/>
      <c r="C2676" s="147"/>
      <c r="D2676" s="182"/>
      <c r="E2676" s="36"/>
      <c r="F2676" s="178"/>
      <c r="G2676" s="60"/>
      <c r="H2676" s="36"/>
      <c r="I2676" s="11"/>
    </row>
    <row r="2677" spans="1:12" ht="11.15" customHeight="1">
      <c r="A2677" s="166" t="s">
        <v>3740</v>
      </c>
      <c r="B2677" s="379"/>
      <c r="C2677" s="147"/>
      <c r="D2677" s="182"/>
      <c r="E2677" s="36"/>
      <c r="F2677" s="178"/>
      <c r="G2677" s="60"/>
      <c r="H2677" s="36"/>
      <c r="I2677" s="11"/>
    </row>
    <row r="2678" spans="1:12" ht="11.15" customHeight="1">
      <c r="A2678" s="129" t="s">
        <v>3741</v>
      </c>
      <c r="B2678" s="375"/>
      <c r="C2678" s="367"/>
      <c r="D2678" s="368"/>
      <c r="E2678" s="36"/>
      <c r="F2678" s="183"/>
      <c r="G2678" s="60"/>
      <c r="H2678" s="34"/>
      <c r="I2678" s="11"/>
    </row>
    <row r="2679" spans="1:12" ht="11.15" customHeight="1" thickBot="1">
      <c r="A2679" s="29"/>
      <c r="B2679" s="90"/>
      <c r="C2679" s="147"/>
      <c r="D2679" s="182"/>
      <c r="E2679" s="36"/>
      <c r="F2679" s="183"/>
      <c r="G2679" s="60"/>
      <c r="H2679" s="34"/>
      <c r="I2679" s="11"/>
    </row>
    <row r="2680" spans="1:12" ht="11.15" customHeight="1" thickBot="1">
      <c r="A2680" s="184" t="s">
        <v>3742</v>
      </c>
      <c r="B2680" s="59" t="s">
        <v>20622</v>
      </c>
      <c r="C2680" s="147" t="s">
        <v>20221</v>
      </c>
      <c r="D2680" s="739" t="s">
        <v>1410</v>
      </c>
      <c r="E2680" s="178">
        <v>2022</v>
      </c>
      <c r="F2680" s="178" t="s">
        <v>4520</v>
      </c>
      <c r="G2680" s="496"/>
      <c r="H2680" s="994" t="s">
        <v>20221</v>
      </c>
      <c r="I2680" s="12" t="s">
        <v>3743</v>
      </c>
      <c r="J2680" s="1285"/>
      <c r="K2680" s="1285"/>
      <c r="L2680" s="1285"/>
    </row>
    <row r="2681" spans="1:12" ht="11.15" customHeight="1">
      <c r="A2681" s="29" t="s">
        <v>3744</v>
      </c>
      <c r="B2681" s="29"/>
      <c r="C2681" s="147"/>
      <c r="D2681" s="129"/>
      <c r="E2681" s="29"/>
      <c r="F2681" s="29"/>
      <c r="G2681" s="29"/>
      <c r="H2681" s="29"/>
      <c r="I2681" s="11"/>
    </row>
    <row r="2682" spans="1:12" ht="11.15" customHeight="1">
      <c r="A2682" s="29" t="s">
        <v>3745</v>
      </c>
      <c r="B2682" s="181"/>
      <c r="C2682" s="147"/>
      <c r="D2682" s="181"/>
      <c r="E2682" s="181"/>
      <c r="F2682" s="181"/>
      <c r="G2682" s="181"/>
      <c r="H2682" s="181"/>
      <c r="I2682" s="11"/>
    </row>
    <row r="2683" spans="1:12" ht="11.15" customHeight="1">
      <c r="A2683" s="29" t="s">
        <v>3746</v>
      </c>
      <c r="B2683" s="29"/>
      <c r="C2683" s="147"/>
      <c r="D2683" s="129"/>
      <c r="E2683" s="29"/>
      <c r="F2683" s="29"/>
      <c r="G2683" s="29"/>
      <c r="H2683" s="29"/>
      <c r="I2683" s="11"/>
    </row>
    <row r="2684" spans="1:12" ht="11.15" customHeight="1">
      <c r="A2684" s="129" t="s">
        <v>3747</v>
      </c>
      <c r="B2684" s="90"/>
      <c r="C2684" s="147"/>
      <c r="D2684" s="156"/>
      <c r="E2684" s="36"/>
      <c r="F2684" s="178"/>
      <c r="G2684" s="496"/>
      <c r="H2684" s="36"/>
      <c r="I2684" s="11"/>
    </row>
    <row r="2685" spans="1:12" ht="11.15" customHeight="1" thickBot="1">
      <c r="A2685" s="129"/>
      <c r="B2685" s="375"/>
      <c r="C2685" s="367"/>
      <c r="D2685" s="368"/>
      <c r="E2685" s="36"/>
      <c r="F2685" s="183"/>
      <c r="G2685" s="60"/>
      <c r="H2685" s="34"/>
      <c r="I2685" s="11"/>
    </row>
    <row r="2686" spans="1:12" ht="11.15" customHeight="1" thickBot="1">
      <c r="A2686" s="184" t="s">
        <v>2590</v>
      </c>
      <c r="B2686" s="59" t="s">
        <v>20478</v>
      </c>
      <c r="C2686" s="147" t="s">
        <v>20221</v>
      </c>
      <c r="D2686" s="739" t="s">
        <v>1410</v>
      </c>
      <c r="E2686" s="178">
        <v>2005</v>
      </c>
      <c r="F2686" s="178" t="s">
        <v>23398</v>
      </c>
      <c r="G2686" s="496"/>
      <c r="H2686" s="994" t="s">
        <v>20224</v>
      </c>
      <c r="I2686" s="12" t="s">
        <v>2611</v>
      </c>
      <c r="J2686" s="1285"/>
      <c r="K2686" s="1285"/>
      <c r="L2686" s="1285"/>
    </row>
    <row r="2687" spans="1:12" ht="11.15" customHeight="1">
      <c r="A2687" s="29" t="s">
        <v>3748</v>
      </c>
      <c r="B2687" s="29"/>
      <c r="C2687" s="147"/>
      <c r="D2687" s="129"/>
      <c r="E2687" s="29"/>
      <c r="F2687" s="29"/>
      <c r="G2687" s="29"/>
      <c r="H2687" s="29"/>
      <c r="I2687" s="11"/>
    </row>
    <row r="2688" spans="1:12" ht="11.15" customHeight="1">
      <c r="A2688" s="29" t="s">
        <v>3749</v>
      </c>
      <c r="B2688" s="181"/>
      <c r="C2688" s="147"/>
      <c r="D2688" s="181"/>
      <c r="E2688" s="181"/>
      <c r="F2688" s="181"/>
      <c r="G2688" s="181"/>
      <c r="H2688" s="181"/>
      <c r="I2688" s="11"/>
    </row>
    <row r="2689" spans="1:12" ht="11.15" customHeight="1">
      <c r="A2689" s="181" t="s">
        <v>1219</v>
      </c>
      <c r="B2689" s="29"/>
      <c r="C2689" s="147"/>
      <c r="D2689" s="129"/>
      <c r="E2689" s="29"/>
      <c r="F2689" s="29"/>
      <c r="G2689" s="29"/>
      <c r="H2689" s="29"/>
      <c r="I2689" s="11"/>
    </row>
    <row r="2690" spans="1:12" ht="11.15" customHeight="1">
      <c r="A2690" s="218" t="s">
        <v>950</v>
      </c>
      <c r="B2690" s="90"/>
      <c r="C2690" s="147"/>
      <c r="D2690" s="156"/>
      <c r="E2690" s="36"/>
      <c r="F2690" s="178"/>
      <c r="G2690" s="496"/>
      <c r="H2690" s="36"/>
      <c r="I2690" s="11"/>
    </row>
    <row r="2691" spans="1:12" ht="11.15" customHeight="1">
      <c r="A2691" s="129" t="s">
        <v>3750</v>
      </c>
      <c r="B2691" s="90"/>
      <c r="C2691" s="147"/>
      <c r="D2691" s="156"/>
      <c r="E2691" s="36"/>
      <c r="F2691" s="178"/>
      <c r="G2691" s="496"/>
      <c r="H2691" s="36"/>
      <c r="I2691" s="11"/>
    </row>
    <row r="2692" spans="1:12" ht="11.15" customHeight="1">
      <c r="A2692" s="129" t="s">
        <v>2610</v>
      </c>
      <c r="B2692" s="375"/>
      <c r="C2692" s="367"/>
      <c r="D2692" s="368"/>
      <c r="E2692" s="36"/>
      <c r="F2692" s="183"/>
      <c r="G2692" s="60"/>
      <c r="H2692" s="34"/>
      <c r="I2692" s="11"/>
    </row>
    <row r="2693" spans="1:12" ht="11.15" customHeight="1" thickBot="1">
      <c r="A2693" s="162"/>
      <c r="B2693" s="90"/>
      <c r="C2693" s="147"/>
      <c r="D2693" s="182"/>
      <c r="E2693" s="36"/>
      <c r="F2693" s="183"/>
      <c r="G2693" s="496"/>
      <c r="H2693" s="34"/>
      <c r="I2693" s="11"/>
    </row>
    <row r="2694" spans="1:12" ht="11.15" customHeight="1" thickBot="1">
      <c r="A2694" s="184" t="s">
        <v>3751</v>
      </c>
      <c r="B2694" s="59" t="s">
        <v>20623</v>
      </c>
      <c r="C2694" s="147" t="s">
        <v>20221</v>
      </c>
      <c r="D2694" s="739" t="s">
        <v>1410</v>
      </c>
      <c r="E2694" s="178">
        <v>2020</v>
      </c>
      <c r="F2694" s="178" t="s">
        <v>4520</v>
      </c>
      <c r="G2694" s="496"/>
      <c r="H2694" s="994" t="s">
        <v>20221</v>
      </c>
      <c r="I2694" s="12" t="s">
        <v>3752</v>
      </c>
      <c r="J2694" s="1285"/>
      <c r="K2694" s="1285"/>
      <c r="L2694" s="1285"/>
    </row>
    <row r="2695" spans="1:12" ht="11.15" customHeight="1">
      <c r="A2695" s="29" t="s">
        <v>3753</v>
      </c>
      <c r="B2695" s="59"/>
      <c r="C2695" s="147"/>
      <c r="D2695" s="739"/>
      <c r="E2695" s="178"/>
      <c r="F2695" s="178"/>
      <c r="G2695" s="496"/>
      <c r="H2695" s="994"/>
      <c r="I2695" s="12"/>
      <c r="J2695" s="1285"/>
      <c r="K2695" s="1285"/>
      <c r="L2695" s="1285"/>
    </row>
    <row r="2696" spans="1:12" ht="11.15" customHeight="1">
      <c r="A2696" s="29" t="s">
        <v>3754</v>
      </c>
      <c r="B2696" s="90"/>
      <c r="C2696" s="147"/>
      <c r="D2696" s="182"/>
      <c r="E2696" s="36"/>
      <c r="F2696" s="178"/>
      <c r="G2696" s="496"/>
      <c r="H2696" s="36"/>
      <c r="I2696" s="11"/>
    </row>
    <row r="2697" spans="1:12" ht="11.15" customHeight="1">
      <c r="A2697" s="181" t="s">
        <v>1219</v>
      </c>
      <c r="B2697" s="29"/>
      <c r="C2697" s="147"/>
      <c r="D2697" s="129"/>
      <c r="E2697" s="29"/>
      <c r="F2697" s="29"/>
      <c r="G2697" s="29"/>
      <c r="H2697" s="29"/>
      <c r="I2697" s="11"/>
    </row>
    <row r="2698" spans="1:12" ht="11.15" customHeight="1">
      <c r="A2698" s="166" t="s">
        <v>3755</v>
      </c>
      <c r="B2698" s="29"/>
      <c r="C2698" s="147"/>
      <c r="D2698" s="129"/>
      <c r="E2698" s="29"/>
      <c r="F2698" s="29"/>
      <c r="G2698" s="29"/>
      <c r="H2698" s="29"/>
      <c r="I2698" s="11"/>
    </row>
    <row r="2699" spans="1:12" ht="11.15" customHeight="1">
      <c r="A2699" s="129" t="s">
        <v>3756</v>
      </c>
      <c r="B2699" s="375"/>
      <c r="C2699" s="367"/>
      <c r="D2699" s="368"/>
      <c r="E2699" s="36"/>
      <c r="F2699" s="183"/>
      <c r="G2699" s="60"/>
      <c r="H2699" s="34"/>
      <c r="I2699" s="11"/>
    </row>
    <row r="2700" spans="1:12" ht="11.15" customHeight="1" thickBot="1">
      <c r="A2700" s="29"/>
      <c r="B2700" s="181"/>
      <c r="C2700" s="147"/>
      <c r="D2700" s="181"/>
      <c r="E2700" s="181"/>
      <c r="F2700" s="181"/>
      <c r="G2700" s="181"/>
      <c r="H2700" s="181"/>
      <c r="I2700" s="11"/>
    </row>
    <row r="2701" spans="1:12" ht="11.15" customHeight="1" thickBot="1">
      <c r="A2701" s="184" t="s">
        <v>3757</v>
      </c>
      <c r="B2701" s="59" t="s">
        <v>20624</v>
      </c>
      <c r="C2701" s="147" t="s">
        <v>20221</v>
      </c>
      <c r="D2701" s="739" t="s">
        <v>1410</v>
      </c>
      <c r="E2701" s="178">
        <v>2021</v>
      </c>
      <c r="F2701" s="178" t="s">
        <v>4520</v>
      </c>
      <c r="G2701" s="496"/>
      <c r="H2701" s="994" t="s">
        <v>20221</v>
      </c>
      <c r="I2701" s="12" t="s">
        <v>3758</v>
      </c>
      <c r="J2701" s="1285"/>
      <c r="K2701" s="1285"/>
      <c r="L2701" s="1285"/>
    </row>
    <row r="2702" spans="1:12" ht="11.15" customHeight="1">
      <c r="A2702" s="29" t="s">
        <v>3759</v>
      </c>
      <c r="B2702" s="185"/>
      <c r="C2702" s="147"/>
      <c r="D2702" s="185"/>
      <c r="E2702" s="185"/>
      <c r="F2702" s="185"/>
      <c r="G2702" s="185"/>
      <c r="H2702" s="185"/>
      <c r="I2702" s="11"/>
    </row>
    <row r="2703" spans="1:12" ht="11.15" customHeight="1">
      <c r="A2703" s="1171" t="s">
        <v>3760</v>
      </c>
      <c r="B2703" s="185"/>
      <c r="C2703" s="147"/>
      <c r="D2703" s="185"/>
      <c r="E2703" s="185"/>
      <c r="F2703" s="185"/>
      <c r="G2703" s="185"/>
      <c r="H2703" s="185"/>
      <c r="I2703" s="11"/>
    </row>
    <row r="2704" spans="1:12" ht="11.15" customHeight="1">
      <c r="A2704" s="129" t="s">
        <v>3761</v>
      </c>
      <c r="B2704" s="375"/>
      <c r="C2704" s="367"/>
      <c r="D2704" s="368"/>
      <c r="E2704" s="36"/>
      <c r="F2704" s="183"/>
      <c r="G2704" s="60"/>
      <c r="H2704" s="34"/>
      <c r="I2704" s="11"/>
    </row>
    <row r="2705" spans="1:12" ht="11.15" customHeight="1" thickBot="1">
      <c r="A2705" s="29"/>
      <c r="B2705" s="90"/>
      <c r="C2705" s="147"/>
      <c r="D2705" s="182"/>
      <c r="E2705" s="36"/>
      <c r="F2705" s="183"/>
      <c r="G2705" s="60"/>
      <c r="H2705" s="34"/>
      <c r="I2705" s="11"/>
    </row>
    <row r="2706" spans="1:12" ht="11.15" customHeight="1">
      <c r="A2706" s="153" t="s">
        <v>3762</v>
      </c>
      <c r="B2706" s="59" t="s">
        <v>20625</v>
      </c>
      <c r="C2706" s="147" t="s">
        <v>20221</v>
      </c>
      <c r="D2706" s="739" t="s">
        <v>1410</v>
      </c>
      <c r="E2706" s="178">
        <v>2019</v>
      </c>
      <c r="F2706" s="178" t="s">
        <v>23403</v>
      </c>
      <c r="G2706" s="496"/>
      <c r="H2706" s="994" t="s">
        <v>20224</v>
      </c>
      <c r="I2706" s="12" t="s">
        <v>3763</v>
      </c>
      <c r="J2706" s="1285"/>
      <c r="K2706" s="1285"/>
      <c r="L2706" s="1285"/>
    </row>
    <row r="2707" spans="1:12" ht="11.15" customHeight="1" thickBot="1">
      <c r="A2707" s="230" t="s">
        <v>1535</v>
      </c>
      <c r="B2707" s="185"/>
      <c r="C2707" s="185"/>
      <c r="D2707" s="185"/>
      <c r="E2707" s="185"/>
      <c r="F2707" s="185"/>
      <c r="G2707" s="185"/>
      <c r="H2707" s="185"/>
      <c r="I2707" s="11"/>
    </row>
    <row r="2708" spans="1:12" ht="11.15" customHeight="1">
      <c r="A2708" s="29" t="s">
        <v>3764</v>
      </c>
      <c r="B2708" s="185"/>
      <c r="C2708" s="185"/>
      <c r="D2708" s="185"/>
      <c r="E2708" s="185"/>
      <c r="F2708" s="185"/>
      <c r="G2708" s="185"/>
      <c r="H2708" s="185"/>
      <c r="I2708" s="11"/>
    </row>
    <row r="2709" spans="1:12" ht="11.15" customHeight="1">
      <c r="A2709" s="29" t="s">
        <v>1539</v>
      </c>
      <c r="B2709" s="185"/>
      <c r="C2709" s="185"/>
      <c r="D2709" s="185"/>
      <c r="E2709" s="185"/>
      <c r="F2709" s="185"/>
      <c r="G2709" s="185"/>
      <c r="H2709" s="185"/>
      <c r="I2709" s="11"/>
    </row>
    <row r="2710" spans="1:12" ht="11.15" customHeight="1">
      <c r="A2710" s="58" t="s">
        <v>3765</v>
      </c>
      <c r="B2710" s="90"/>
      <c r="C2710" s="147"/>
      <c r="D2710" s="182"/>
      <c r="E2710" s="36"/>
      <c r="F2710" s="178"/>
      <c r="G2710" s="496"/>
      <c r="H2710" s="36"/>
      <c r="I2710" s="11"/>
    </row>
    <row r="2711" spans="1:12" ht="11.15" customHeight="1">
      <c r="A2711" s="129" t="s">
        <v>3766</v>
      </c>
      <c r="B2711" s="90"/>
      <c r="C2711" s="147"/>
      <c r="D2711" s="182"/>
      <c r="E2711" s="36"/>
      <c r="F2711" s="178"/>
      <c r="G2711" s="496"/>
      <c r="H2711" s="36"/>
      <c r="I2711" s="11"/>
    </row>
    <row r="2712" spans="1:12" ht="11.15" customHeight="1">
      <c r="A2712" s="218" t="s">
        <v>3767</v>
      </c>
      <c r="B2712" s="59"/>
      <c r="C2712" s="147"/>
      <c r="D2712" s="159"/>
      <c r="E2712" s="36"/>
      <c r="F2712" s="178"/>
      <c r="G2712" s="496"/>
      <c r="H2712" s="36"/>
      <c r="I2712" s="11"/>
    </row>
    <row r="2713" spans="1:12" ht="11.15" customHeight="1">
      <c r="A2713" s="218" t="s">
        <v>1543</v>
      </c>
      <c r="B2713" s="59"/>
      <c r="C2713" s="147"/>
      <c r="D2713" s="159"/>
      <c r="E2713" s="36"/>
      <c r="F2713" s="178"/>
      <c r="G2713" s="496"/>
      <c r="H2713" s="36"/>
      <c r="I2713" s="11"/>
    </row>
    <row r="2714" spans="1:12" ht="11.15" customHeight="1">
      <c r="A2714" s="166" t="s">
        <v>1544</v>
      </c>
      <c r="B2714" s="185"/>
      <c r="C2714" s="147"/>
      <c r="D2714" s="185"/>
      <c r="E2714" s="185"/>
      <c r="F2714" s="185"/>
      <c r="G2714" s="185"/>
      <c r="H2714" s="185"/>
      <c r="I2714" s="11"/>
    </row>
    <row r="2715" spans="1:12" ht="11.15" customHeight="1">
      <c r="A2715" s="129" t="s">
        <v>3768</v>
      </c>
      <c r="B2715" s="185"/>
      <c r="C2715" s="147"/>
      <c r="D2715" s="185"/>
      <c r="E2715" s="185"/>
      <c r="F2715" s="185"/>
      <c r="G2715" s="185"/>
      <c r="H2715" s="185"/>
      <c r="I2715" s="11"/>
    </row>
    <row r="2716" spans="1:12" ht="11.15" customHeight="1" thickBot="1">
      <c r="A2716" s="185"/>
      <c r="B2716" s="90"/>
      <c r="C2716" s="147"/>
      <c r="D2716" s="182"/>
      <c r="E2716" s="36"/>
      <c r="F2716" s="178"/>
      <c r="G2716" s="496"/>
      <c r="H2716" s="36"/>
      <c r="I2716" s="11"/>
    </row>
    <row r="2717" spans="1:12" ht="11.15" customHeight="1" thickBot="1">
      <c r="A2717" s="184" t="s">
        <v>3769</v>
      </c>
      <c r="B2717" s="59" t="s">
        <v>20626</v>
      </c>
      <c r="C2717" s="147" t="s">
        <v>20221</v>
      </c>
      <c r="D2717" s="739" t="s">
        <v>1410</v>
      </c>
      <c r="E2717" s="178">
        <v>2022</v>
      </c>
      <c r="F2717" s="178" t="s">
        <v>4520</v>
      </c>
      <c r="G2717" s="496"/>
      <c r="H2717" s="994" t="s">
        <v>20343</v>
      </c>
      <c r="I2717" s="12" t="s">
        <v>3770</v>
      </c>
      <c r="J2717" s="1285"/>
      <c r="K2717" s="1285"/>
      <c r="L2717" s="1285"/>
    </row>
    <row r="2718" spans="1:12" ht="11.15" customHeight="1">
      <c r="A2718" s="29" t="s">
        <v>3771</v>
      </c>
      <c r="B2718" s="59" t="s">
        <v>20626</v>
      </c>
      <c r="C2718" s="147" t="s">
        <v>20221</v>
      </c>
      <c r="D2718" s="739" t="s">
        <v>1410</v>
      </c>
      <c r="E2718" s="178">
        <v>2021</v>
      </c>
      <c r="F2718" s="178" t="s">
        <v>23394</v>
      </c>
      <c r="G2718" s="496"/>
      <c r="H2718" s="994" t="s">
        <v>20224</v>
      </c>
      <c r="I2718" s="12" t="s">
        <v>3772</v>
      </c>
      <c r="J2718" s="1285"/>
      <c r="K2718" s="1285"/>
      <c r="L2718" s="1285"/>
    </row>
    <row r="2719" spans="1:12" ht="11.15" customHeight="1">
      <c r="A2719" s="29" t="s">
        <v>3773</v>
      </c>
      <c r="B2719" s="90"/>
      <c r="C2719" s="147"/>
      <c r="D2719" s="182"/>
      <c r="E2719" s="36"/>
      <c r="F2719" s="178"/>
      <c r="G2719" s="496"/>
      <c r="H2719" s="36"/>
      <c r="I2719" s="11"/>
    </row>
    <row r="2720" spans="1:12" ht="11.15" customHeight="1">
      <c r="A2720" s="181" t="s">
        <v>1219</v>
      </c>
      <c r="B2720" s="90"/>
      <c r="C2720" s="147"/>
      <c r="D2720" s="182"/>
      <c r="E2720" s="36"/>
      <c r="F2720" s="178"/>
      <c r="G2720" s="496"/>
      <c r="H2720" s="36"/>
      <c r="I2720" s="11"/>
    </row>
    <row r="2721" spans="1:12" ht="11.15" customHeight="1">
      <c r="A2721" s="166" t="s">
        <v>3774</v>
      </c>
      <c r="B2721" s="90"/>
      <c r="C2721" s="147"/>
      <c r="D2721" s="182"/>
      <c r="E2721" s="36"/>
      <c r="F2721" s="178"/>
      <c r="G2721" s="496"/>
      <c r="H2721" s="36"/>
      <c r="I2721" s="11"/>
    </row>
    <row r="2722" spans="1:12" ht="11.15" customHeight="1">
      <c r="A2722" s="129" t="s">
        <v>3775</v>
      </c>
      <c r="B2722" s="90"/>
      <c r="C2722" s="147"/>
      <c r="D2722" s="182"/>
      <c r="E2722" s="36"/>
      <c r="F2722" s="178"/>
      <c r="G2722" s="496"/>
      <c r="H2722" s="36"/>
      <c r="I2722" s="11"/>
    </row>
    <row r="2723" spans="1:12" ht="11.15" customHeight="1" thickBot="1">
      <c r="A2723" s="29"/>
      <c r="B2723" s="226"/>
      <c r="C2723" s="147"/>
      <c r="D2723" s="182"/>
      <c r="E2723" s="36"/>
      <c r="F2723" s="183"/>
      <c r="G2723" s="671"/>
      <c r="H2723" s="34"/>
      <c r="I2723" s="11"/>
    </row>
    <row r="2724" spans="1:12" ht="11.15" customHeight="1" thickBot="1">
      <c r="A2724" s="184" t="s">
        <v>3776</v>
      </c>
      <c r="B2724" s="90" t="s">
        <v>3777</v>
      </c>
      <c r="C2724" s="147" t="s">
        <v>20221</v>
      </c>
      <c r="D2724" s="739" t="s">
        <v>1410</v>
      </c>
      <c r="E2724" s="178">
        <v>2016</v>
      </c>
      <c r="F2724" s="178" t="s">
        <v>23400</v>
      </c>
      <c r="G2724" s="496"/>
      <c r="H2724" s="994" t="s">
        <v>20224</v>
      </c>
      <c r="I2724" s="11" t="s">
        <v>3778</v>
      </c>
      <c r="J2724" s="1285"/>
      <c r="K2724" s="1285"/>
      <c r="L2724" s="1285"/>
    </row>
    <row r="2725" spans="1:12" ht="11.15" customHeight="1">
      <c r="A2725" s="29" t="s">
        <v>3779</v>
      </c>
      <c r="B2725" s="36"/>
      <c r="C2725" s="147"/>
      <c r="D2725" s="129"/>
      <c r="E2725" s="185"/>
      <c r="F2725" s="185"/>
      <c r="G2725" s="185"/>
      <c r="H2725" s="185"/>
      <c r="I2725" s="11"/>
    </row>
    <row r="2726" spans="1:12" ht="11.15" customHeight="1">
      <c r="A2726" s="29" t="s">
        <v>3780</v>
      </c>
      <c r="B2726" s="36"/>
      <c r="C2726" s="147"/>
      <c r="D2726" s="182"/>
      <c r="E2726" s="183"/>
      <c r="F2726" s="178"/>
      <c r="G2726" s="671"/>
      <c r="H2726" s="36"/>
      <c r="I2726" s="11"/>
    </row>
    <row r="2727" spans="1:12" ht="11.15" customHeight="1">
      <c r="A2727" s="29" t="s">
        <v>3781</v>
      </c>
      <c r="B2727" s="185"/>
      <c r="C2727" s="147"/>
      <c r="D2727" s="185"/>
      <c r="E2727" s="185"/>
      <c r="F2727" s="185"/>
      <c r="G2727" s="185"/>
      <c r="H2727" s="185"/>
      <c r="I2727" s="11"/>
    </row>
    <row r="2728" spans="1:12" ht="11.15" customHeight="1">
      <c r="A2728" s="29" t="s">
        <v>3782</v>
      </c>
      <c r="B2728" s="185"/>
      <c r="C2728" s="147"/>
      <c r="D2728" s="185"/>
      <c r="E2728" s="185"/>
      <c r="F2728" s="185"/>
      <c r="G2728" s="185"/>
      <c r="H2728" s="185"/>
      <c r="I2728" s="11"/>
    </row>
    <row r="2729" spans="1:12" ht="11.15" customHeight="1">
      <c r="A2729" s="181" t="s">
        <v>3783</v>
      </c>
      <c r="B2729" s="59"/>
      <c r="C2729" s="147"/>
      <c r="D2729" s="182"/>
      <c r="E2729" s="183"/>
      <c r="F2729" s="178"/>
      <c r="G2729" s="671"/>
      <c r="H2729" s="36"/>
      <c r="I2729" s="11"/>
    </row>
    <row r="2730" spans="1:12" ht="11.15" customHeight="1">
      <c r="A2730" s="29" t="s">
        <v>3784</v>
      </c>
      <c r="B2730" s="59"/>
      <c r="C2730" s="147"/>
      <c r="D2730" s="182"/>
      <c r="E2730" s="183"/>
      <c r="F2730" s="178"/>
      <c r="G2730" s="671"/>
      <c r="H2730" s="36"/>
      <c r="I2730" s="11"/>
    </row>
    <row r="2731" spans="1:12" ht="11.15" customHeight="1">
      <c r="A2731" s="29" t="s">
        <v>3785</v>
      </c>
      <c r="B2731" s="185"/>
      <c r="C2731" s="147"/>
      <c r="D2731" s="182"/>
      <c r="E2731" s="183"/>
      <c r="F2731" s="178"/>
      <c r="G2731" s="671"/>
      <c r="H2731" s="36"/>
      <c r="I2731" s="11"/>
    </row>
    <row r="2732" spans="1:12" ht="11.15" customHeight="1">
      <c r="A2732" s="29" t="s">
        <v>3786</v>
      </c>
      <c r="B2732" s="36"/>
      <c r="C2732" s="147"/>
      <c r="D2732" s="182"/>
      <c r="E2732" s="183"/>
      <c r="F2732" s="178"/>
      <c r="G2732" s="671"/>
      <c r="H2732" s="36"/>
      <c r="I2732" s="11"/>
    </row>
    <row r="2733" spans="1:12" ht="11.15" customHeight="1">
      <c r="A2733" s="29" t="s">
        <v>3787</v>
      </c>
      <c r="B2733" s="36"/>
      <c r="C2733" s="147"/>
      <c r="D2733" s="182"/>
      <c r="E2733" s="183"/>
      <c r="F2733" s="178"/>
      <c r="G2733" s="671"/>
      <c r="H2733" s="36"/>
      <c r="I2733" s="11"/>
    </row>
    <row r="2734" spans="1:12" ht="11.15" customHeight="1">
      <c r="A2734" s="29" t="s">
        <v>3788</v>
      </c>
      <c r="B2734" s="36"/>
      <c r="C2734" s="147"/>
      <c r="D2734" s="182"/>
      <c r="E2734" s="183"/>
      <c r="F2734" s="178"/>
      <c r="G2734" s="671"/>
      <c r="H2734" s="36"/>
      <c r="I2734" s="11"/>
    </row>
    <row r="2735" spans="1:12" ht="11.15" customHeight="1">
      <c r="A2735" s="29" t="s">
        <v>3789</v>
      </c>
      <c r="B2735" s="36"/>
      <c r="C2735" s="147"/>
      <c r="D2735" s="182"/>
      <c r="E2735" s="183"/>
      <c r="F2735" s="178"/>
      <c r="G2735" s="671"/>
      <c r="H2735" s="36"/>
      <c r="I2735" s="11"/>
    </row>
    <row r="2736" spans="1:12" ht="11.15" customHeight="1">
      <c r="A2736" s="29" t="s">
        <v>3790</v>
      </c>
      <c r="B2736" s="36"/>
      <c r="C2736" s="147"/>
      <c r="D2736" s="182"/>
      <c r="E2736" s="183"/>
      <c r="F2736" s="178"/>
      <c r="G2736" s="671"/>
      <c r="H2736" s="36"/>
      <c r="I2736" s="11"/>
    </row>
    <row r="2737" spans="1:9" ht="11.25" customHeight="1">
      <c r="A2737" s="29" t="s">
        <v>3791</v>
      </c>
      <c r="B2737" s="59"/>
      <c r="C2737" s="147"/>
      <c r="D2737" s="182"/>
      <c r="E2737" s="183"/>
      <c r="F2737" s="178"/>
      <c r="G2737" s="671"/>
      <c r="H2737" s="36"/>
      <c r="I2737" s="11"/>
    </row>
    <row r="2738" spans="1:9" ht="11.15" customHeight="1">
      <c r="A2738" s="29" t="s">
        <v>3792</v>
      </c>
      <c r="B2738" s="36"/>
      <c r="C2738" s="147"/>
      <c r="D2738" s="182"/>
      <c r="E2738" s="183"/>
      <c r="F2738" s="178"/>
      <c r="G2738" s="671"/>
      <c r="H2738" s="36"/>
      <c r="I2738" s="11"/>
    </row>
    <row r="2739" spans="1:9" ht="11.15" customHeight="1">
      <c r="A2739" s="166" t="s">
        <v>3793</v>
      </c>
      <c r="B2739" s="185"/>
      <c r="C2739" s="147"/>
      <c r="D2739" s="182"/>
      <c r="E2739" s="36"/>
      <c r="F2739" s="178"/>
      <c r="G2739" s="671"/>
      <c r="H2739" s="36"/>
      <c r="I2739" s="11"/>
    </row>
    <row r="2740" spans="1:9" ht="11.15" customHeight="1">
      <c r="A2740" s="129" t="s">
        <v>3794</v>
      </c>
      <c r="B2740" s="90"/>
      <c r="C2740" s="147"/>
      <c r="D2740" s="182"/>
      <c r="E2740" s="36"/>
      <c r="F2740" s="178"/>
      <c r="G2740" s="496"/>
      <c r="H2740" s="36"/>
      <c r="I2740" s="11"/>
    </row>
    <row r="2741" spans="1:9" ht="11.15" customHeight="1" thickBot="1">
      <c r="A2741" s="29"/>
      <c r="B2741" s="90"/>
      <c r="C2741" s="147"/>
      <c r="D2741" s="129"/>
      <c r="E2741" s="36"/>
      <c r="F2741" s="178"/>
      <c r="G2741" s="671"/>
      <c r="H2741" s="36"/>
      <c r="I2741" s="11"/>
    </row>
    <row r="2742" spans="1:9" ht="24" customHeight="1" thickBot="1">
      <c r="A2742" s="381"/>
      <c r="B2742" s="64" t="s">
        <v>3795</v>
      </c>
      <c r="C2742" s="170"/>
      <c r="D2742" s="382"/>
      <c r="E2742" s="383"/>
      <c r="F2742" s="383"/>
      <c r="G2742" s="1210"/>
      <c r="H2742" s="516"/>
      <c r="I2742" s="11"/>
    </row>
    <row r="2743" spans="1:9" ht="11.15" customHeight="1">
      <c r="A2743" s="29"/>
      <c r="B2743" s="146" t="s">
        <v>3796</v>
      </c>
      <c r="C2743" s="147"/>
      <c r="D2743" s="122"/>
      <c r="E2743" s="36"/>
      <c r="F2743" s="178"/>
      <c r="G2743" s="60"/>
      <c r="H2743" s="36"/>
      <c r="I2743" s="11"/>
    </row>
    <row r="2744" spans="1:9" ht="9" customHeight="1">
      <c r="A2744" s="29"/>
      <c r="B2744" s="150" t="s">
        <v>3797</v>
      </c>
      <c r="C2744" s="147"/>
      <c r="D2744" s="122"/>
      <c r="E2744" s="36"/>
      <c r="F2744" s="178"/>
      <c r="G2744" s="60"/>
      <c r="H2744" s="36"/>
      <c r="I2744" s="11"/>
    </row>
    <row r="2745" spans="1:9" ht="9" customHeight="1">
      <c r="A2745" s="29"/>
      <c r="B2745" s="150" t="s">
        <v>3798</v>
      </c>
      <c r="C2745" s="147"/>
      <c r="D2745" s="122"/>
      <c r="E2745" s="36"/>
      <c r="F2745" s="178"/>
      <c r="G2745" s="60"/>
      <c r="H2745" s="36"/>
      <c r="I2745" s="11"/>
    </row>
    <row r="2746" spans="1:9" ht="9" customHeight="1">
      <c r="A2746" s="29"/>
      <c r="B2746" s="150" t="s">
        <v>3799</v>
      </c>
      <c r="C2746" s="147"/>
      <c r="D2746" s="122"/>
      <c r="E2746" s="36"/>
      <c r="F2746" s="178"/>
      <c r="G2746" s="60"/>
      <c r="H2746" s="36"/>
      <c r="I2746" s="11"/>
    </row>
    <row r="2747" spans="1:9" ht="9" customHeight="1">
      <c r="A2747" s="29"/>
      <c r="B2747" s="150" t="s">
        <v>3800</v>
      </c>
      <c r="C2747" s="147"/>
      <c r="D2747" s="122"/>
      <c r="E2747" s="36"/>
      <c r="F2747" s="178"/>
      <c r="G2747" s="60"/>
      <c r="H2747" s="36"/>
      <c r="I2747" s="11"/>
    </row>
    <row r="2748" spans="1:9" ht="9" customHeight="1">
      <c r="A2748" s="29"/>
      <c r="B2748" s="150" t="s">
        <v>3801</v>
      </c>
      <c r="C2748" s="147"/>
      <c r="D2748" s="122"/>
      <c r="E2748" s="36"/>
      <c r="F2748" s="178"/>
      <c r="G2748" s="60"/>
      <c r="H2748" s="36"/>
      <c r="I2748" s="11"/>
    </row>
    <row r="2749" spans="1:9" ht="9" customHeight="1">
      <c r="A2749" s="29"/>
      <c r="B2749" s="150" t="s">
        <v>3802</v>
      </c>
      <c r="C2749" s="147"/>
      <c r="D2749" s="122"/>
      <c r="E2749" s="36"/>
      <c r="F2749" s="178"/>
      <c r="G2749" s="60"/>
      <c r="H2749" s="36"/>
      <c r="I2749" s="11"/>
    </row>
    <row r="2750" spans="1:9" ht="9" customHeight="1">
      <c r="A2750" s="29"/>
      <c r="B2750" s="209" t="s">
        <v>3803</v>
      </c>
      <c r="C2750" s="147"/>
      <c r="D2750" s="122"/>
      <c r="E2750" s="36"/>
      <c r="F2750" s="178"/>
      <c r="G2750" s="60"/>
      <c r="H2750" s="36"/>
      <c r="I2750" s="11"/>
    </row>
    <row r="2751" spans="1:9" ht="9" customHeight="1">
      <c r="A2751" s="29"/>
      <c r="B2751" s="209" t="s">
        <v>3804</v>
      </c>
      <c r="C2751" s="147"/>
      <c r="D2751" s="122"/>
      <c r="E2751" s="36"/>
      <c r="F2751" s="178"/>
      <c r="G2751" s="60"/>
      <c r="H2751" s="36"/>
      <c r="I2751" s="11"/>
    </row>
    <row r="2752" spans="1:9" ht="9" customHeight="1">
      <c r="A2752" s="29"/>
      <c r="B2752" s="209" t="s">
        <v>3805</v>
      </c>
      <c r="C2752" s="147"/>
      <c r="D2752" s="122"/>
      <c r="E2752" s="36"/>
      <c r="F2752" s="178"/>
      <c r="G2752" s="60"/>
      <c r="H2752" s="36"/>
      <c r="I2752" s="11"/>
    </row>
    <row r="2753" spans="1:12" ht="9" customHeight="1">
      <c r="A2753" s="29"/>
      <c r="B2753" s="150" t="s">
        <v>3806</v>
      </c>
      <c r="C2753" s="147"/>
      <c r="D2753" s="122"/>
      <c r="E2753" s="36"/>
      <c r="F2753" s="178"/>
      <c r="G2753" s="60"/>
      <c r="H2753" s="36"/>
      <c r="I2753" s="11"/>
    </row>
    <row r="2754" spans="1:12" ht="9" customHeight="1">
      <c r="A2754" s="185"/>
      <c r="B2754" s="150" t="s">
        <v>3807</v>
      </c>
      <c r="C2754" s="147"/>
      <c r="D2754" s="122"/>
      <c r="E2754" s="36"/>
      <c r="F2754" s="178"/>
      <c r="G2754" s="60"/>
      <c r="H2754" s="36"/>
      <c r="I2754" s="11"/>
    </row>
    <row r="2755" spans="1:12" ht="9" customHeight="1">
      <c r="A2755" s="185"/>
      <c r="B2755" s="150" t="s">
        <v>3808</v>
      </c>
      <c r="C2755" s="147"/>
      <c r="D2755" s="122"/>
      <c r="E2755" s="36"/>
      <c r="F2755" s="178"/>
      <c r="G2755" s="60"/>
      <c r="H2755" s="36"/>
      <c r="I2755" s="11"/>
    </row>
    <row r="2756" spans="1:12" ht="9" customHeight="1">
      <c r="A2756" s="185"/>
      <c r="B2756" s="150" t="s">
        <v>3809</v>
      </c>
      <c r="C2756" s="147"/>
      <c r="D2756" s="122"/>
      <c r="E2756" s="36"/>
      <c r="F2756" s="178"/>
      <c r="G2756" s="60"/>
      <c r="H2756" s="36"/>
      <c r="I2756" s="11"/>
    </row>
    <row r="2757" spans="1:12" ht="9" customHeight="1">
      <c r="A2757" s="185"/>
      <c r="B2757" s="150" t="s">
        <v>3810</v>
      </c>
      <c r="C2757" s="147"/>
      <c r="D2757" s="122"/>
      <c r="E2757" s="36"/>
      <c r="F2757" s="178"/>
      <c r="G2757" s="60"/>
      <c r="H2757" s="36"/>
      <c r="I2757" s="11"/>
    </row>
    <row r="2758" spans="1:12" ht="9" customHeight="1" thickBot="1">
      <c r="A2758" s="185"/>
      <c r="B2758" s="150" t="s">
        <v>3811</v>
      </c>
      <c r="C2758" s="147"/>
      <c r="D2758" s="122"/>
      <c r="E2758" s="36"/>
      <c r="F2758" s="178"/>
      <c r="G2758" s="60"/>
      <c r="H2758" s="36"/>
      <c r="I2758" s="11"/>
    </row>
    <row r="2759" spans="1:12" ht="11.15" customHeight="1">
      <c r="A2759" s="153" t="s">
        <v>3812</v>
      </c>
      <c r="B2759" s="154" t="s">
        <v>2566</v>
      </c>
      <c r="C2759" s="147"/>
      <c r="D2759" s="129"/>
      <c r="E2759" s="185"/>
      <c r="F2759" s="185"/>
      <c r="G2759" s="185"/>
      <c r="H2759" s="185"/>
      <c r="I2759" s="11"/>
    </row>
    <row r="2760" spans="1:12" ht="11.15" customHeight="1" thickBot="1">
      <c r="A2760" s="480" t="s">
        <v>3813</v>
      </c>
      <c r="B2760" s="59" t="s">
        <v>20629</v>
      </c>
      <c r="C2760" s="147" t="s">
        <v>23393</v>
      </c>
      <c r="D2760" s="701" t="s">
        <v>1129</v>
      </c>
      <c r="E2760" s="178">
        <v>2008</v>
      </c>
      <c r="F2760" s="178" t="s">
        <v>4520</v>
      </c>
      <c r="G2760" s="496"/>
      <c r="H2760" s="994" t="s">
        <v>20465</v>
      </c>
      <c r="I2760" s="11" t="s">
        <v>3814</v>
      </c>
      <c r="J2760" s="1285"/>
      <c r="K2760" s="1285"/>
      <c r="L2760" s="1285"/>
    </row>
    <row r="2761" spans="1:12" ht="11.15" customHeight="1">
      <c r="A2761" s="29" t="s">
        <v>3815</v>
      </c>
      <c r="B2761" s="177" t="s">
        <v>3816</v>
      </c>
      <c r="C2761" s="147"/>
      <c r="D2761" s="159"/>
      <c r="E2761" s="36"/>
      <c r="F2761" s="178"/>
      <c r="G2761" s="496"/>
      <c r="H2761" s="36"/>
      <c r="I2761" s="11"/>
    </row>
    <row r="2762" spans="1:12" ht="11.15" customHeight="1">
      <c r="A2762" s="181" t="s">
        <v>1236</v>
      </c>
      <c r="B2762" s="59" t="s">
        <v>20631</v>
      </c>
      <c r="C2762" s="147" t="s">
        <v>23393</v>
      </c>
      <c r="D2762" s="739" t="s">
        <v>1410</v>
      </c>
      <c r="E2762" s="178">
        <v>2022</v>
      </c>
      <c r="F2762" s="178" t="s">
        <v>23404</v>
      </c>
      <c r="G2762" s="496"/>
      <c r="H2762" s="994" t="s">
        <v>20221</v>
      </c>
      <c r="I2762" s="11" t="s">
        <v>3817</v>
      </c>
      <c r="J2762" s="1285"/>
      <c r="K2762" s="1285"/>
      <c r="L2762" s="1285"/>
    </row>
    <row r="2763" spans="1:12" ht="11.15" customHeight="1">
      <c r="A2763" s="181" t="s">
        <v>950</v>
      </c>
      <c r="B2763" s="59" t="s">
        <v>20631</v>
      </c>
      <c r="C2763" s="147" t="s">
        <v>23393</v>
      </c>
      <c r="D2763" s="739" t="s">
        <v>1410</v>
      </c>
      <c r="E2763" s="178">
        <v>2021</v>
      </c>
      <c r="F2763" s="178" t="s">
        <v>23404</v>
      </c>
      <c r="G2763" s="496"/>
      <c r="H2763" s="994" t="s">
        <v>20221</v>
      </c>
      <c r="I2763" s="11" t="s">
        <v>3818</v>
      </c>
      <c r="J2763" s="1285"/>
      <c r="K2763" s="1285"/>
      <c r="L2763" s="1285"/>
    </row>
    <row r="2764" spans="1:12" ht="11.15" customHeight="1">
      <c r="A2764" s="29" t="s">
        <v>3819</v>
      </c>
      <c r="B2764" s="59" t="s">
        <v>20632</v>
      </c>
      <c r="C2764" s="147" t="s">
        <v>23393</v>
      </c>
      <c r="D2764" s="739" t="s">
        <v>1410</v>
      </c>
      <c r="E2764" s="178">
        <v>2021</v>
      </c>
      <c r="F2764" s="178" t="s">
        <v>23404</v>
      </c>
      <c r="G2764" s="496"/>
      <c r="H2764" s="994" t="s">
        <v>20221</v>
      </c>
      <c r="I2764" s="11" t="s">
        <v>3820</v>
      </c>
      <c r="J2764" s="1285"/>
      <c r="K2764" s="1285"/>
      <c r="L2764" s="1285"/>
    </row>
    <row r="2765" spans="1:12" ht="11.15" customHeight="1">
      <c r="A2765" s="29" t="s">
        <v>3821</v>
      </c>
      <c r="B2765" s="59" t="s">
        <v>20633</v>
      </c>
      <c r="C2765" s="147" t="s">
        <v>20221</v>
      </c>
      <c r="D2765" s="739" t="s">
        <v>1410</v>
      </c>
      <c r="E2765" s="178">
        <v>2003</v>
      </c>
      <c r="F2765" s="178" t="s">
        <v>23404</v>
      </c>
      <c r="G2765" s="496"/>
      <c r="H2765" s="994" t="s">
        <v>20221</v>
      </c>
      <c r="I2765" s="11" t="s">
        <v>3823</v>
      </c>
      <c r="J2765" s="1285"/>
      <c r="K2765" s="1285"/>
      <c r="L2765" s="1285"/>
    </row>
    <row r="2766" spans="1:12" ht="11.15" customHeight="1">
      <c r="A2766" s="129" t="s">
        <v>3822</v>
      </c>
      <c r="B2766" s="59" t="s">
        <v>20633</v>
      </c>
      <c r="C2766" s="147" t="s">
        <v>20221</v>
      </c>
      <c r="D2766" s="739" t="s">
        <v>1410</v>
      </c>
      <c r="E2766" s="178">
        <v>2001</v>
      </c>
      <c r="F2766" s="178" t="s">
        <v>23404</v>
      </c>
      <c r="G2766" s="496"/>
      <c r="H2766" s="994" t="s">
        <v>20221</v>
      </c>
      <c r="I2766" s="11" t="s">
        <v>3825</v>
      </c>
      <c r="J2766" s="1285"/>
      <c r="K2766" s="1285"/>
      <c r="L2766" s="1285"/>
    </row>
    <row r="2767" spans="1:12" ht="11.15" customHeight="1">
      <c r="A2767" s="162" t="s">
        <v>3824</v>
      </c>
      <c r="B2767" s="59"/>
      <c r="C2767" s="147"/>
      <c r="D2767" s="739"/>
      <c r="E2767" s="178"/>
      <c r="F2767" s="178"/>
      <c r="G2767" s="496"/>
      <c r="H2767" s="994"/>
      <c r="I2767" s="11"/>
    </row>
    <row r="2768" spans="1:12" ht="11.15" customHeight="1">
      <c r="A2768" s="162" t="s">
        <v>3826</v>
      </c>
      <c r="B2768" s="185"/>
      <c r="C2768" s="147"/>
      <c r="D2768" s="185"/>
      <c r="E2768" s="185"/>
      <c r="F2768" s="185"/>
      <c r="G2768" s="185"/>
      <c r="H2768" s="185"/>
      <c r="I2768" s="11"/>
    </row>
    <row r="2769" spans="1:9" ht="11.15" customHeight="1">
      <c r="A2769" s="162" t="s">
        <v>3827</v>
      </c>
      <c r="B2769" s="185"/>
      <c r="C2769" s="147"/>
      <c r="D2769" s="185"/>
      <c r="E2769" s="185"/>
      <c r="F2769" s="185"/>
      <c r="G2769" s="185"/>
      <c r="H2769" s="185"/>
      <c r="I2769" s="11"/>
    </row>
    <row r="2770" spans="1:9" ht="11.15" customHeight="1">
      <c r="A2770" s="129" t="s">
        <v>951</v>
      </c>
      <c r="B2770" s="185"/>
      <c r="C2770" s="147"/>
      <c r="D2770" s="129"/>
      <c r="E2770" s="185"/>
      <c r="F2770" s="185"/>
      <c r="G2770" s="185"/>
      <c r="H2770" s="185"/>
      <c r="I2770" s="11"/>
    </row>
    <row r="2771" spans="1:9" ht="11.15" customHeight="1">
      <c r="A2771" s="162" t="s">
        <v>3828</v>
      </c>
      <c r="B2771" s="185"/>
      <c r="C2771" s="147"/>
      <c r="D2771" s="129"/>
      <c r="E2771" s="185"/>
      <c r="F2771" s="185"/>
      <c r="G2771" s="185"/>
      <c r="H2771" s="185"/>
      <c r="I2771" s="11"/>
    </row>
    <row r="2772" spans="1:9" ht="11.15" customHeight="1">
      <c r="A2772" s="162" t="s">
        <v>3829</v>
      </c>
      <c r="B2772" s="185"/>
      <c r="C2772" s="147"/>
      <c r="D2772" s="129"/>
      <c r="E2772" s="185"/>
      <c r="F2772" s="185"/>
      <c r="G2772" s="185"/>
      <c r="H2772" s="185"/>
      <c r="I2772" s="11"/>
    </row>
    <row r="2773" spans="1:9" ht="11.15" customHeight="1">
      <c r="A2773" s="162" t="s">
        <v>3830</v>
      </c>
      <c r="B2773" s="185"/>
      <c r="C2773" s="147"/>
      <c r="D2773" s="129"/>
      <c r="E2773" s="185"/>
      <c r="F2773" s="185"/>
      <c r="G2773" s="185"/>
      <c r="H2773" s="185"/>
      <c r="I2773" s="11"/>
    </row>
    <row r="2774" spans="1:9" ht="11.15" customHeight="1">
      <c r="A2774" s="162" t="s">
        <v>3831</v>
      </c>
      <c r="B2774" s="185"/>
      <c r="C2774" s="147"/>
      <c r="D2774" s="129"/>
      <c r="E2774" s="185"/>
      <c r="F2774" s="185"/>
      <c r="G2774" s="185"/>
      <c r="H2774" s="185"/>
      <c r="I2774" s="11"/>
    </row>
    <row r="2775" spans="1:9" ht="11.15" customHeight="1">
      <c r="A2775" s="162" t="s">
        <v>3832</v>
      </c>
      <c r="B2775" s="185"/>
      <c r="C2775" s="147"/>
      <c r="D2775" s="129"/>
      <c r="E2775" s="185"/>
      <c r="F2775" s="185"/>
      <c r="G2775" s="185"/>
      <c r="H2775" s="185"/>
      <c r="I2775" s="11"/>
    </row>
    <row r="2776" spans="1:9" ht="11.15" customHeight="1">
      <c r="A2776" s="162" t="s">
        <v>3833</v>
      </c>
      <c r="B2776" s="90"/>
      <c r="C2776" s="147"/>
      <c r="D2776" s="182"/>
      <c r="E2776" s="36"/>
      <c r="F2776" s="183"/>
      <c r="G2776" s="496"/>
      <c r="H2776" s="34"/>
      <c r="I2776" s="11"/>
    </row>
    <row r="2777" spans="1:9" ht="9" customHeight="1">
      <c r="A2777" s="129" t="s">
        <v>3834</v>
      </c>
      <c r="B2777" s="90"/>
      <c r="C2777" s="147"/>
      <c r="D2777" s="182"/>
      <c r="E2777" s="36"/>
      <c r="F2777" s="183"/>
      <c r="G2777" s="496"/>
      <c r="H2777" s="34"/>
      <c r="I2777" s="11"/>
    </row>
    <row r="2778" spans="1:9" ht="9" customHeight="1">
      <c r="A2778" s="162" t="s">
        <v>3835</v>
      </c>
      <c r="B2778" s="90"/>
      <c r="C2778" s="147"/>
      <c r="D2778" s="182"/>
      <c r="E2778" s="36"/>
      <c r="F2778" s="183"/>
      <c r="G2778" s="496"/>
      <c r="H2778" s="34"/>
      <c r="I2778" s="11"/>
    </row>
    <row r="2779" spans="1:9" ht="9" customHeight="1">
      <c r="A2779" s="162" t="s">
        <v>3836</v>
      </c>
      <c r="B2779" s="90"/>
      <c r="C2779" s="147"/>
      <c r="D2779" s="182"/>
      <c r="E2779" s="36"/>
      <c r="F2779" s="183"/>
      <c r="G2779" s="496"/>
      <c r="H2779" s="34"/>
      <c r="I2779" s="11"/>
    </row>
    <row r="2780" spans="1:9" ht="9" customHeight="1">
      <c r="A2780" s="162" t="s">
        <v>3837</v>
      </c>
      <c r="B2780" s="90"/>
      <c r="C2780" s="147"/>
      <c r="D2780" s="182"/>
      <c r="E2780" s="36"/>
      <c r="F2780" s="183"/>
      <c r="G2780" s="496"/>
      <c r="H2780" s="34"/>
      <c r="I2780" s="11"/>
    </row>
    <row r="2781" spans="1:9" ht="9" customHeight="1">
      <c r="A2781" s="162" t="s">
        <v>3838</v>
      </c>
      <c r="B2781" s="90"/>
      <c r="C2781" s="147"/>
      <c r="D2781" s="182"/>
      <c r="E2781" s="36"/>
      <c r="F2781" s="183"/>
      <c r="G2781" s="496"/>
      <c r="H2781" s="34"/>
      <c r="I2781" s="11"/>
    </row>
    <row r="2782" spans="1:9" ht="9" customHeight="1">
      <c r="A2782" s="162" t="s">
        <v>3839</v>
      </c>
      <c r="B2782" s="90"/>
      <c r="C2782" s="147"/>
      <c r="D2782" s="182"/>
      <c r="E2782" s="36"/>
      <c r="F2782" s="183"/>
      <c r="G2782" s="496"/>
      <c r="H2782" s="34"/>
      <c r="I2782" s="11"/>
    </row>
    <row r="2783" spans="1:9" ht="9" customHeight="1">
      <c r="A2783" s="162" t="s">
        <v>3840</v>
      </c>
      <c r="B2783" s="90"/>
      <c r="C2783" s="147"/>
      <c r="D2783" s="182"/>
      <c r="E2783" s="36"/>
      <c r="F2783" s="183"/>
      <c r="G2783" s="496"/>
      <c r="H2783" s="34"/>
      <c r="I2783" s="11"/>
    </row>
    <row r="2784" spans="1:9" ht="11.15" customHeight="1">
      <c r="A2784" s="162" t="s">
        <v>3841</v>
      </c>
      <c r="B2784" s="90"/>
      <c r="C2784" s="147"/>
      <c r="D2784" s="182"/>
      <c r="E2784" s="36"/>
      <c r="F2784" s="183"/>
      <c r="G2784" s="496"/>
      <c r="H2784" s="34"/>
      <c r="I2784" s="11"/>
    </row>
    <row r="2785" spans="1:12" ht="9" customHeight="1">
      <c r="A2785" s="129" t="s">
        <v>3842</v>
      </c>
      <c r="B2785" s="90"/>
      <c r="C2785" s="147"/>
      <c r="D2785" s="182"/>
      <c r="E2785" s="36"/>
      <c r="F2785" s="183"/>
      <c r="G2785" s="496"/>
      <c r="H2785" s="34"/>
      <c r="I2785" s="11"/>
    </row>
    <row r="2786" spans="1:12" ht="9" customHeight="1">
      <c r="A2786" s="162" t="s">
        <v>3843</v>
      </c>
      <c r="B2786" s="90"/>
      <c r="C2786" s="147"/>
      <c r="D2786" s="182"/>
      <c r="E2786" s="36"/>
      <c r="F2786" s="183"/>
      <c r="G2786" s="496"/>
      <c r="H2786" s="34"/>
      <c r="I2786" s="11"/>
    </row>
    <row r="2787" spans="1:12" ht="9" customHeight="1">
      <c r="A2787" s="162" t="s">
        <v>3844</v>
      </c>
      <c r="B2787" s="90"/>
      <c r="C2787" s="147"/>
      <c r="D2787" s="182"/>
      <c r="E2787" s="36"/>
      <c r="F2787" s="183"/>
      <c r="G2787" s="496"/>
      <c r="H2787" s="34"/>
      <c r="I2787" s="11"/>
    </row>
    <row r="2788" spans="1:12" ht="9" customHeight="1">
      <c r="A2788" s="162" t="s">
        <v>3845</v>
      </c>
      <c r="B2788" s="90"/>
      <c r="C2788" s="147"/>
      <c r="D2788" s="182"/>
      <c r="E2788" s="36"/>
      <c r="F2788" s="183"/>
      <c r="G2788" s="496"/>
      <c r="H2788" s="34"/>
      <c r="I2788" s="11"/>
    </row>
    <row r="2789" spans="1:12" ht="9" customHeight="1">
      <c r="A2789" s="162" t="s">
        <v>3846</v>
      </c>
      <c r="B2789" s="90"/>
      <c r="C2789" s="147"/>
      <c r="D2789" s="182"/>
      <c r="E2789" s="36"/>
      <c r="F2789" s="183"/>
      <c r="G2789" s="496"/>
      <c r="H2789" s="34"/>
      <c r="I2789" s="11"/>
    </row>
    <row r="2790" spans="1:12" ht="9" customHeight="1">
      <c r="A2790" s="162" t="s">
        <v>3847</v>
      </c>
      <c r="B2790" s="379"/>
      <c r="C2790" s="147"/>
      <c r="D2790" s="122"/>
      <c r="E2790" s="36"/>
      <c r="F2790" s="183"/>
      <c r="G2790" s="60"/>
      <c r="H2790" s="34"/>
      <c r="I2790" s="11"/>
    </row>
    <row r="2791" spans="1:12" ht="11.15" customHeight="1">
      <c r="A2791" s="162" t="s">
        <v>3848</v>
      </c>
      <c r="B2791" s="90"/>
      <c r="C2791" s="147"/>
      <c r="D2791" s="122"/>
      <c r="E2791" s="36"/>
      <c r="F2791" s="183"/>
      <c r="G2791" s="60"/>
      <c r="H2791" s="34"/>
      <c r="I2791" s="11"/>
    </row>
    <row r="2792" spans="1:12" ht="11.15" customHeight="1">
      <c r="A2792" s="29" t="s">
        <v>3175</v>
      </c>
      <c r="B2792" s="90"/>
      <c r="C2792" s="147"/>
      <c r="D2792" s="122"/>
      <c r="E2792" s="36"/>
      <c r="F2792" s="183"/>
      <c r="G2792" s="60"/>
      <c r="H2792" s="34"/>
      <c r="I2792" s="11"/>
    </row>
    <row r="2793" spans="1:12" ht="11.15" customHeight="1">
      <c r="A2793" s="166" t="s">
        <v>3849</v>
      </c>
      <c r="B2793" s="90"/>
      <c r="C2793" s="147"/>
      <c r="D2793" s="122"/>
      <c r="E2793" s="36"/>
      <c r="F2793" s="183"/>
      <c r="G2793" s="60"/>
      <c r="H2793" s="34"/>
      <c r="I2793" s="11"/>
    </row>
    <row r="2794" spans="1:12" ht="11.15" customHeight="1">
      <c r="A2794" s="166" t="s">
        <v>3850</v>
      </c>
      <c r="B2794" s="90"/>
      <c r="C2794" s="147"/>
      <c r="D2794" s="182"/>
      <c r="E2794" s="36"/>
      <c r="F2794" s="178"/>
      <c r="G2794" s="496"/>
      <c r="H2794" s="36"/>
      <c r="I2794" s="11"/>
    </row>
    <row r="2795" spans="1:12" ht="11.15" customHeight="1">
      <c r="A2795" s="129" t="s">
        <v>3851</v>
      </c>
      <c r="B2795" s="90"/>
      <c r="C2795" s="147"/>
      <c r="D2795" s="122"/>
      <c r="E2795" s="36"/>
      <c r="F2795" s="183"/>
      <c r="G2795" s="60"/>
      <c r="H2795" s="34"/>
      <c r="I2795" s="11"/>
    </row>
    <row r="2796" spans="1:12" ht="11.15" customHeight="1" thickBot="1">
      <c r="A2796" s="185"/>
      <c r="B2796" s="274" t="s">
        <v>3852</v>
      </c>
      <c r="C2796" s="147"/>
      <c r="D2796" s="122"/>
      <c r="E2796" s="36"/>
      <c r="F2796" s="178"/>
      <c r="G2796" s="671"/>
      <c r="H2796" s="36"/>
      <c r="I2796" s="11"/>
    </row>
    <row r="2797" spans="1:12" ht="11.15" customHeight="1">
      <c r="A2797" s="153" t="s">
        <v>3853</v>
      </c>
      <c r="B2797" s="154" t="s">
        <v>3854</v>
      </c>
      <c r="C2797" s="147"/>
      <c r="D2797" s="185"/>
      <c r="E2797" s="185"/>
      <c r="F2797" s="185"/>
      <c r="G2797" s="185"/>
      <c r="H2797" s="185"/>
      <c r="I2797" s="11"/>
    </row>
    <row r="2798" spans="1:12" ht="11.15" customHeight="1" thickBot="1">
      <c r="A2798" s="230" t="s">
        <v>3855</v>
      </c>
      <c r="B2798" s="59" t="s">
        <v>20634</v>
      </c>
      <c r="C2798" s="147" t="s">
        <v>20221</v>
      </c>
      <c r="D2798" s="284" t="s">
        <v>897</v>
      </c>
      <c r="E2798" s="178">
        <v>2015</v>
      </c>
      <c r="F2798" s="178" t="s">
        <v>4520</v>
      </c>
      <c r="G2798" s="496"/>
      <c r="H2798" s="994" t="s">
        <v>20221</v>
      </c>
      <c r="I2798" s="12" t="s">
        <v>3856</v>
      </c>
      <c r="J2798" s="1285"/>
      <c r="K2798" s="1285"/>
      <c r="L2798" s="1285"/>
    </row>
    <row r="2799" spans="1:12" ht="11.15" customHeight="1">
      <c r="A2799" s="29" t="s">
        <v>3857</v>
      </c>
      <c r="B2799" s="59" t="s">
        <v>20635</v>
      </c>
      <c r="C2799" s="147" t="s">
        <v>20221</v>
      </c>
      <c r="D2799" s="284" t="s">
        <v>897</v>
      </c>
      <c r="E2799" s="178">
        <v>2019</v>
      </c>
      <c r="F2799" s="178" t="s">
        <v>4520</v>
      </c>
      <c r="G2799" s="496"/>
      <c r="H2799" s="994" t="s">
        <v>20221</v>
      </c>
      <c r="I2799" s="12" t="s">
        <v>3858</v>
      </c>
      <c r="J2799" s="1285"/>
      <c r="K2799" s="1285"/>
      <c r="L2799" s="1285"/>
    </row>
    <row r="2800" spans="1:12" ht="11.15" customHeight="1">
      <c r="A2800" s="29" t="s">
        <v>3859</v>
      </c>
      <c r="B2800" s="59" t="s">
        <v>20636</v>
      </c>
      <c r="C2800" s="147" t="s">
        <v>20221</v>
      </c>
      <c r="D2800" s="284" t="s">
        <v>897</v>
      </c>
      <c r="E2800" s="178">
        <v>2019</v>
      </c>
      <c r="F2800" s="178" t="s">
        <v>11931</v>
      </c>
      <c r="G2800" s="496"/>
      <c r="H2800" s="994" t="s">
        <v>20224</v>
      </c>
      <c r="I2800" s="12" t="s">
        <v>3860</v>
      </c>
      <c r="J2800" s="1285"/>
      <c r="K2800" s="1285"/>
      <c r="L2800" s="1285"/>
    </row>
    <row r="2801" spans="1:12" ht="11.15" customHeight="1">
      <c r="A2801" s="29" t="s">
        <v>3861</v>
      </c>
      <c r="B2801" s="59" t="s">
        <v>20637</v>
      </c>
      <c r="C2801" s="147" t="s">
        <v>20221</v>
      </c>
      <c r="D2801" s="284" t="s">
        <v>897</v>
      </c>
      <c r="E2801" s="178">
        <v>2018</v>
      </c>
      <c r="F2801" s="178" t="s">
        <v>4520</v>
      </c>
      <c r="G2801" s="496"/>
      <c r="H2801" s="994" t="s">
        <v>20221</v>
      </c>
      <c r="I2801" s="12" t="s">
        <v>3862</v>
      </c>
      <c r="J2801" s="1285"/>
      <c r="K2801" s="1285"/>
      <c r="L2801" s="1285"/>
    </row>
    <row r="2802" spans="1:12" ht="11.15" customHeight="1">
      <c r="A2802" s="160" t="s">
        <v>1253</v>
      </c>
      <c r="B2802" s="59" t="s">
        <v>20638</v>
      </c>
      <c r="C2802" s="147" t="s">
        <v>20221</v>
      </c>
      <c r="D2802" s="284" t="s">
        <v>897</v>
      </c>
      <c r="E2802" s="178">
        <v>2001</v>
      </c>
      <c r="F2802" s="178" t="s">
        <v>4520</v>
      </c>
      <c r="G2802" s="496"/>
      <c r="H2802" s="994" t="s">
        <v>20221</v>
      </c>
      <c r="I2802" s="12" t="s">
        <v>3863</v>
      </c>
      <c r="J2802" s="1285"/>
      <c r="K2802" s="1285"/>
      <c r="L2802" s="1285"/>
    </row>
    <row r="2803" spans="1:12" ht="11.15" customHeight="1">
      <c r="A2803" s="129" t="s">
        <v>896</v>
      </c>
      <c r="B2803" s="59" t="s">
        <v>20638</v>
      </c>
      <c r="C2803" s="147" t="s">
        <v>20221</v>
      </c>
      <c r="D2803" s="284" t="s">
        <v>897</v>
      </c>
      <c r="E2803" s="178">
        <v>2000</v>
      </c>
      <c r="F2803" s="178" t="s">
        <v>4520</v>
      </c>
      <c r="G2803" s="496"/>
      <c r="H2803" s="994" t="s">
        <v>20221</v>
      </c>
      <c r="I2803" s="12" t="s">
        <v>3864</v>
      </c>
      <c r="J2803" s="1285"/>
      <c r="K2803" s="1285"/>
      <c r="L2803" s="1285"/>
    </row>
    <row r="2804" spans="1:12" ht="11.15" customHeight="1">
      <c r="A2804" s="162" t="s">
        <v>3865</v>
      </c>
      <c r="B2804" s="90"/>
      <c r="C2804" s="147"/>
      <c r="D2804" s="122"/>
      <c r="E2804" s="36"/>
      <c r="F2804" s="178"/>
      <c r="G2804" s="60"/>
      <c r="H2804" s="36"/>
      <c r="I2804" s="11"/>
    </row>
    <row r="2805" spans="1:12" ht="11.15" customHeight="1">
      <c r="A2805" s="162" t="s">
        <v>3866</v>
      </c>
      <c r="B2805" s="90"/>
      <c r="C2805" s="147"/>
      <c r="D2805" s="122"/>
      <c r="E2805" s="36"/>
      <c r="F2805" s="178"/>
      <c r="G2805" s="60"/>
      <c r="H2805" s="36"/>
      <c r="I2805" s="11"/>
    </row>
    <row r="2806" spans="1:12" ht="11.15" customHeight="1">
      <c r="A2806" s="162" t="s">
        <v>3867</v>
      </c>
      <c r="B2806" s="90"/>
      <c r="C2806" s="147"/>
      <c r="D2806" s="122"/>
      <c r="E2806" s="36"/>
      <c r="F2806" s="178"/>
      <c r="G2806" s="60"/>
      <c r="H2806" s="36"/>
      <c r="I2806" s="11"/>
    </row>
    <row r="2807" spans="1:12" ht="11.15" customHeight="1">
      <c r="A2807" s="162" t="s">
        <v>3868</v>
      </c>
      <c r="B2807" s="90"/>
      <c r="C2807" s="147"/>
      <c r="D2807" s="122"/>
      <c r="E2807" s="36"/>
      <c r="F2807" s="178"/>
      <c r="G2807" s="671"/>
      <c r="H2807" s="36"/>
      <c r="I2807" s="11"/>
    </row>
    <row r="2808" spans="1:12" ht="11.15" customHeight="1">
      <c r="A2808" s="162" t="s">
        <v>3869</v>
      </c>
      <c r="B2808" s="185"/>
      <c r="C2808" s="147"/>
      <c r="D2808" s="122"/>
      <c r="E2808" s="36"/>
      <c r="F2808" s="178"/>
      <c r="G2808" s="60"/>
      <c r="H2808" s="36"/>
      <c r="I2808" s="11"/>
    </row>
    <row r="2809" spans="1:12" ht="11.15" customHeight="1">
      <c r="A2809" s="162" t="s">
        <v>3870</v>
      </c>
      <c r="B2809" s="185"/>
      <c r="C2809" s="147"/>
      <c r="D2809" s="122"/>
      <c r="E2809" s="36"/>
      <c r="F2809" s="178"/>
      <c r="G2809" s="60"/>
      <c r="H2809" s="36"/>
      <c r="I2809" s="11"/>
    </row>
    <row r="2810" spans="1:12" ht="11.15" customHeight="1">
      <c r="A2810" s="162" t="s">
        <v>3871</v>
      </c>
      <c r="B2810" s="90"/>
      <c r="C2810" s="147"/>
      <c r="D2810" s="122"/>
      <c r="E2810" s="36"/>
      <c r="F2810" s="178"/>
      <c r="G2810" s="60"/>
      <c r="H2810" s="36"/>
      <c r="I2810" s="11"/>
    </row>
    <row r="2811" spans="1:12" ht="11.15" customHeight="1">
      <c r="A2811" s="162" t="s">
        <v>3872</v>
      </c>
      <c r="B2811" s="90"/>
      <c r="C2811" s="147"/>
      <c r="D2811" s="122"/>
      <c r="E2811" s="36"/>
      <c r="F2811" s="178"/>
      <c r="G2811" s="60"/>
      <c r="H2811" s="36"/>
      <c r="I2811" s="11"/>
    </row>
    <row r="2812" spans="1:12" ht="11.15" customHeight="1">
      <c r="A2812" s="162" t="s">
        <v>3871</v>
      </c>
      <c r="B2812" s="90"/>
      <c r="C2812" s="147"/>
      <c r="D2812" s="122"/>
      <c r="E2812" s="36"/>
      <c r="F2812" s="178"/>
      <c r="G2812" s="60"/>
      <c r="H2812" s="36"/>
      <c r="I2812" s="11"/>
    </row>
    <row r="2813" spans="1:12" ht="11.15" customHeight="1">
      <c r="A2813" s="29" t="s">
        <v>3873</v>
      </c>
      <c r="B2813" s="185"/>
      <c r="C2813" s="147"/>
      <c r="D2813" s="122"/>
      <c r="E2813" s="36"/>
      <c r="F2813" s="178"/>
      <c r="G2813" s="60"/>
      <c r="H2813" s="36"/>
      <c r="I2813" s="11"/>
    </row>
    <row r="2814" spans="1:12" ht="11.15" customHeight="1">
      <c r="A2814" s="212" t="s">
        <v>3874</v>
      </c>
      <c r="B2814" s="185"/>
      <c r="C2814" s="147"/>
      <c r="D2814" s="122"/>
      <c r="E2814" s="36"/>
      <c r="F2814" s="178"/>
      <c r="G2814" s="60"/>
      <c r="H2814" s="36"/>
      <c r="I2814" s="11"/>
    </row>
    <row r="2815" spans="1:12" ht="11.15" customHeight="1">
      <c r="A2815" s="129" t="s">
        <v>3875</v>
      </c>
      <c r="B2815" s="90"/>
      <c r="C2815" s="147"/>
      <c r="D2815" s="182"/>
      <c r="E2815" s="36"/>
      <c r="F2815" s="178"/>
      <c r="G2815" s="496"/>
      <c r="H2815" s="36"/>
      <c r="I2815" s="11"/>
    </row>
    <row r="2816" spans="1:12" ht="11.15" customHeight="1" thickBot="1">
      <c r="A2816" s="58"/>
      <c r="B2816" s="226"/>
      <c r="C2816" s="147"/>
      <c r="D2816" s="122"/>
      <c r="E2816" s="36"/>
      <c r="F2816" s="178"/>
      <c r="G2816" s="60"/>
      <c r="H2816" s="36"/>
      <c r="I2816" s="11"/>
    </row>
    <row r="2817" spans="1:12" ht="24" customHeight="1" thickBot="1">
      <c r="A2817" s="243"/>
      <c r="B2817" s="64" t="s">
        <v>3876</v>
      </c>
      <c r="C2817" s="170"/>
      <c r="D2817" s="139"/>
      <c r="E2817" s="235"/>
      <c r="F2817" s="383"/>
      <c r="G2817" s="1210"/>
      <c r="H2817" s="516"/>
      <c r="I2817" s="1131"/>
    </row>
    <row r="2818" spans="1:12" ht="11.15" customHeight="1">
      <c r="A2818" s="129" t="s">
        <v>3877</v>
      </c>
      <c r="B2818" s="385"/>
      <c r="C2818" s="147"/>
      <c r="D2818" s="87"/>
      <c r="E2818" s="36"/>
      <c r="F2818" s="178"/>
      <c r="G2818" s="453"/>
      <c r="H2818" s="36"/>
      <c r="I2818" s="11"/>
    </row>
    <row r="2819" spans="1:12" ht="11.15" customHeight="1">
      <c r="A2819" s="271" t="s">
        <v>3878</v>
      </c>
      <c r="B2819" s="90" t="s">
        <v>3879</v>
      </c>
      <c r="C2819" s="147"/>
      <c r="D2819" s="122"/>
      <c r="E2819" s="36"/>
      <c r="F2819" s="178"/>
      <c r="G2819" s="60"/>
      <c r="H2819" s="36"/>
      <c r="I2819" s="11"/>
    </row>
    <row r="2820" spans="1:12" ht="11.15" customHeight="1">
      <c r="A2820" s="185"/>
      <c r="B2820" s="379"/>
      <c r="C2820" s="147"/>
      <c r="D2820" s="122"/>
      <c r="E2820" s="36"/>
      <c r="F2820" s="178"/>
      <c r="G2820" s="60"/>
      <c r="H2820" s="36"/>
      <c r="I2820" s="11"/>
    </row>
    <row r="2821" spans="1:12" ht="9" customHeight="1">
      <c r="A2821" s="185"/>
      <c r="B2821" s="150" t="s">
        <v>3880</v>
      </c>
      <c r="C2821" s="147"/>
      <c r="D2821" s="122"/>
      <c r="E2821" s="36"/>
      <c r="F2821" s="178"/>
      <c r="G2821" s="60"/>
      <c r="H2821" s="36"/>
      <c r="I2821" s="11"/>
    </row>
    <row r="2822" spans="1:12" ht="9" customHeight="1" thickBot="1">
      <c r="A2822" s="29"/>
      <c r="B2822" s="150" t="s">
        <v>3881</v>
      </c>
      <c r="C2822" s="147"/>
      <c r="D2822" s="122"/>
      <c r="E2822" s="36"/>
      <c r="F2822" s="178"/>
      <c r="G2822" s="60"/>
      <c r="H2822" s="36"/>
      <c r="I2822" s="11"/>
    </row>
    <row r="2823" spans="1:12" ht="11.15" customHeight="1">
      <c r="A2823" s="153" t="s">
        <v>3882</v>
      </c>
      <c r="B2823" s="59" t="s">
        <v>20640</v>
      </c>
      <c r="C2823" s="147" t="s">
        <v>20221</v>
      </c>
      <c r="D2823" s="701" t="s">
        <v>1129</v>
      </c>
      <c r="E2823" s="178">
        <v>2021</v>
      </c>
      <c r="F2823" s="178" t="s">
        <v>23395</v>
      </c>
      <c r="G2823" s="496"/>
      <c r="H2823" s="994" t="s">
        <v>20221</v>
      </c>
      <c r="I2823" s="12" t="s">
        <v>3883</v>
      </c>
      <c r="J2823" s="1285"/>
      <c r="K2823" s="1285"/>
      <c r="L2823" s="1285"/>
    </row>
    <row r="2824" spans="1:12" ht="11.15" customHeight="1" thickBot="1">
      <c r="A2824" s="230" t="s">
        <v>3884</v>
      </c>
      <c r="B2824" s="59" t="s">
        <v>204</v>
      </c>
      <c r="C2824" s="147" t="s">
        <v>20221</v>
      </c>
      <c r="D2824" s="701" t="s">
        <v>1129</v>
      </c>
      <c r="E2824" s="178">
        <v>2023</v>
      </c>
      <c r="F2824" s="178" t="s">
        <v>23395</v>
      </c>
      <c r="G2824" s="496"/>
      <c r="H2824" s="994" t="s">
        <v>20221</v>
      </c>
      <c r="I2824" s="12" t="s">
        <v>3885</v>
      </c>
      <c r="J2824" s="1285"/>
      <c r="K2824" s="1285"/>
      <c r="L2824" s="1285"/>
    </row>
    <row r="2825" spans="1:12" ht="11.15" customHeight="1">
      <c r="A2825" s="29" t="s">
        <v>3886</v>
      </c>
      <c r="B2825" s="59" t="s">
        <v>204</v>
      </c>
      <c r="C2825" s="147" t="s">
        <v>20221</v>
      </c>
      <c r="D2825" s="701" t="s">
        <v>1129</v>
      </c>
      <c r="E2825" s="178">
        <v>2018</v>
      </c>
      <c r="F2825" s="178" t="s">
        <v>23395</v>
      </c>
      <c r="G2825" s="496"/>
      <c r="H2825" s="994" t="s">
        <v>20221</v>
      </c>
      <c r="I2825" s="12" t="s">
        <v>3887</v>
      </c>
      <c r="J2825" s="1285"/>
      <c r="K2825" s="1285"/>
      <c r="L2825" s="1285"/>
    </row>
    <row r="2826" spans="1:12" ht="11.15" customHeight="1">
      <c r="A2826" s="29" t="s">
        <v>3888</v>
      </c>
      <c r="B2826" s="59" t="s">
        <v>20641</v>
      </c>
      <c r="C2826" s="147" t="s">
        <v>20221</v>
      </c>
      <c r="D2826" s="701" t="s">
        <v>1129</v>
      </c>
      <c r="E2826" s="178">
        <v>2022</v>
      </c>
      <c r="F2826" s="178" t="s">
        <v>4520</v>
      </c>
      <c r="G2826" s="496"/>
      <c r="H2826" s="994" t="s">
        <v>20221</v>
      </c>
      <c r="I2826" s="12" t="s">
        <v>3889</v>
      </c>
      <c r="J2826" s="1285"/>
      <c r="K2826" s="1285"/>
      <c r="L2826" s="1285"/>
    </row>
    <row r="2827" spans="1:12" ht="11.15" customHeight="1">
      <c r="A2827" s="29" t="s">
        <v>3890</v>
      </c>
      <c r="B2827" s="59" t="s">
        <v>20641</v>
      </c>
      <c r="C2827" s="147" t="s">
        <v>20221</v>
      </c>
      <c r="D2827" s="701" t="s">
        <v>1129</v>
      </c>
      <c r="E2827" s="178">
        <v>2021</v>
      </c>
      <c r="F2827" s="178" t="s">
        <v>23395</v>
      </c>
      <c r="G2827" s="496"/>
      <c r="H2827" s="994" t="s">
        <v>20221</v>
      </c>
      <c r="I2827" s="12" t="s">
        <v>3891</v>
      </c>
      <c r="J2827" s="1285"/>
      <c r="K2827" s="1285"/>
      <c r="L2827" s="1285"/>
    </row>
    <row r="2828" spans="1:12" ht="11.15" customHeight="1">
      <c r="A2828" s="29" t="s">
        <v>3892</v>
      </c>
      <c r="B2828" s="59" t="s">
        <v>20642</v>
      </c>
      <c r="C2828" s="147" t="s">
        <v>20221</v>
      </c>
      <c r="D2828" s="701" t="s">
        <v>1129</v>
      </c>
      <c r="E2828" s="178">
        <v>2020</v>
      </c>
      <c r="F2828" s="178" t="s">
        <v>23395</v>
      </c>
      <c r="G2828" s="496"/>
      <c r="H2828" s="994" t="s">
        <v>20221</v>
      </c>
      <c r="I2828" s="11" t="s">
        <v>3893</v>
      </c>
      <c r="J2828" s="1285"/>
      <c r="K2828" s="1285"/>
      <c r="L2828" s="1285"/>
    </row>
    <row r="2829" spans="1:12" ht="11.15" customHeight="1">
      <c r="A2829" s="58" t="s">
        <v>3894</v>
      </c>
      <c r="B2829" s="185"/>
      <c r="C2829" s="185"/>
      <c r="D2829" s="185"/>
      <c r="E2829" s="185"/>
      <c r="F2829" s="185"/>
      <c r="G2829" s="185"/>
      <c r="H2829" s="185"/>
      <c r="I2829" s="11"/>
    </row>
    <row r="2830" spans="1:12" ht="11.15" customHeight="1">
      <c r="A2830" s="181" t="s">
        <v>3895</v>
      </c>
      <c r="B2830" s="185"/>
      <c r="C2830" s="185"/>
      <c r="D2830" s="185"/>
      <c r="E2830" s="185"/>
      <c r="F2830" s="185"/>
      <c r="G2830" s="185"/>
      <c r="H2830" s="185"/>
      <c r="I2830" s="11"/>
    </row>
    <row r="2831" spans="1:12" ht="11.15" customHeight="1">
      <c r="A2831" s="166" t="s">
        <v>3896</v>
      </c>
      <c r="B2831" s="185"/>
      <c r="C2831" s="147"/>
      <c r="D2831" s="185"/>
      <c r="E2831" s="185"/>
      <c r="F2831" s="185"/>
      <c r="G2831" s="185"/>
      <c r="H2831" s="185"/>
      <c r="I2831" s="11"/>
    </row>
    <row r="2832" spans="1:12" ht="11.15" customHeight="1">
      <c r="A2832" s="169" t="s">
        <v>3897</v>
      </c>
      <c r="B2832" s="185"/>
      <c r="C2832" s="147"/>
      <c r="D2832" s="185"/>
      <c r="E2832" s="185"/>
      <c r="F2832" s="185"/>
      <c r="G2832" s="185"/>
      <c r="H2832" s="185"/>
      <c r="I2832" s="11"/>
    </row>
    <row r="2833" spans="1:12" ht="11.15" customHeight="1">
      <c r="A2833" s="169" t="s">
        <v>3898</v>
      </c>
      <c r="B2833" s="90"/>
      <c r="C2833" s="147"/>
      <c r="D2833" s="159"/>
      <c r="E2833" s="36"/>
      <c r="F2833" s="178"/>
      <c r="G2833" s="671"/>
      <c r="H2833" s="36"/>
      <c r="I2833" s="11"/>
    </row>
    <row r="2834" spans="1:12" ht="11.15" customHeight="1">
      <c r="A2834" s="129" t="s">
        <v>3899</v>
      </c>
      <c r="B2834" s="185"/>
      <c r="C2834" s="147"/>
      <c r="D2834" s="159"/>
      <c r="E2834" s="36"/>
      <c r="F2834" s="178"/>
      <c r="G2834" s="671"/>
      <c r="H2834" s="36"/>
      <c r="I2834" s="11"/>
    </row>
    <row r="2835" spans="1:12" ht="11.15" customHeight="1">
      <c r="A2835" s="29"/>
      <c r="B2835" s="90"/>
      <c r="C2835" s="147"/>
      <c r="D2835" s="182"/>
      <c r="E2835" s="36"/>
      <c r="F2835" s="178"/>
      <c r="G2835" s="496"/>
      <c r="H2835" s="36"/>
      <c r="I2835" s="11"/>
    </row>
    <row r="2836" spans="1:12" ht="11.15" customHeight="1" thickBot="1">
      <c r="A2836" s="185"/>
      <c r="B2836" s="150" t="s">
        <v>3900</v>
      </c>
      <c r="C2836" s="147"/>
      <c r="D2836" s="159"/>
      <c r="E2836" s="36"/>
      <c r="F2836" s="183"/>
      <c r="G2836" s="60"/>
      <c r="H2836" s="34"/>
      <c r="I2836" s="11"/>
    </row>
    <row r="2837" spans="1:12" ht="11.15" customHeight="1">
      <c r="A2837" s="153" t="s">
        <v>3901</v>
      </c>
      <c r="B2837" s="59" t="s">
        <v>204</v>
      </c>
      <c r="C2837" s="147" t="s">
        <v>20221</v>
      </c>
      <c r="D2837" s="701" t="s">
        <v>1129</v>
      </c>
      <c r="E2837" s="178">
        <v>2020</v>
      </c>
      <c r="F2837" s="178" t="s">
        <v>23395</v>
      </c>
      <c r="G2837" s="496"/>
      <c r="H2837" s="994" t="s">
        <v>20221</v>
      </c>
      <c r="I2837" s="12" t="s">
        <v>3902</v>
      </c>
      <c r="J2837" s="1285"/>
      <c r="K2837" s="1285"/>
      <c r="L2837" s="1285"/>
    </row>
    <row r="2838" spans="1:12" ht="11.15" customHeight="1" thickBot="1">
      <c r="A2838" s="230" t="s">
        <v>3903</v>
      </c>
      <c r="B2838" s="59" t="s">
        <v>20644</v>
      </c>
      <c r="C2838" s="147" t="s">
        <v>20221</v>
      </c>
      <c r="D2838" s="701" t="s">
        <v>1129</v>
      </c>
      <c r="E2838" s="178">
        <v>2020</v>
      </c>
      <c r="F2838" s="178" t="s">
        <v>23395</v>
      </c>
      <c r="G2838" s="496"/>
      <c r="H2838" s="994" t="s">
        <v>20277</v>
      </c>
      <c r="I2838" s="12" t="s">
        <v>3904</v>
      </c>
      <c r="J2838" s="1285"/>
      <c r="K2838" s="1285"/>
      <c r="L2838" s="1285"/>
    </row>
    <row r="2839" spans="1:12" ht="11.15" customHeight="1">
      <c r="A2839" s="29" t="s">
        <v>3905</v>
      </c>
      <c r="B2839" s="90" t="s">
        <v>3906</v>
      </c>
      <c r="C2839" s="147"/>
      <c r="D2839" s="701" t="s">
        <v>1129</v>
      </c>
      <c r="E2839" s="36"/>
      <c r="F2839" s="178"/>
      <c r="G2839" s="496"/>
      <c r="H2839" s="996" t="s">
        <v>3907</v>
      </c>
      <c r="I2839" s="11"/>
    </row>
    <row r="2840" spans="1:12" ht="11.15" customHeight="1">
      <c r="A2840" s="181" t="s">
        <v>3908</v>
      </c>
      <c r="B2840" s="185"/>
      <c r="C2840" s="147"/>
      <c r="D2840" s="185"/>
      <c r="E2840" s="185"/>
      <c r="F2840" s="185"/>
      <c r="G2840" s="185"/>
      <c r="H2840" s="185"/>
      <c r="I2840" s="11"/>
    </row>
    <row r="2841" spans="1:12" ht="11.15" customHeight="1">
      <c r="A2841" s="29" t="s">
        <v>3909</v>
      </c>
    </row>
    <row r="2842" spans="1:12" ht="11.15" customHeight="1">
      <c r="A2842" s="129" t="s">
        <v>1077</v>
      </c>
      <c r="B2842" s="185"/>
      <c r="C2842" s="147"/>
      <c r="D2842" s="185"/>
      <c r="E2842" s="185"/>
      <c r="F2842" s="185"/>
      <c r="G2842" s="185"/>
      <c r="H2842" s="185"/>
      <c r="I2842" s="11"/>
    </row>
    <row r="2843" spans="1:12" ht="11.15" customHeight="1">
      <c r="A2843" s="162" t="s">
        <v>3910</v>
      </c>
      <c r="B2843" s="185"/>
      <c r="C2843" s="147"/>
      <c r="D2843" s="129"/>
      <c r="E2843" s="185"/>
      <c r="F2843" s="185"/>
      <c r="G2843" s="185"/>
      <c r="H2843" s="185"/>
      <c r="I2843" s="11"/>
    </row>
    <row r="2844" spans="1:12" ht="11.15" customHeight="1">
      <c r="A2844" s="162" t="s">
        <v>3911</v>
      </c>
      <c r="B2844" s="185"/>
      <c r="C2844" s="147"/>
      <c r="D2844" s="129"/>
      <c r="E2844" s="185"/>
      <c r="F2844" s="185"/>
      <c r="G2844" s="185"/>
      <c r="H2844" s="185"/>
      <c r="I2844" s="11"/>
    </row>
    <row r="2845" spans="1:12" ht="11.15" customHeight="1">
      <c r="A2845" s="162" t="s">
        <v>3912</v>
      </c>
      <c r="B2845" s="185"/>
      <c r="C2845" s="147"/>
      <c r="D2845" s="129"/>
      <c r="E2845" s="185"/>
      <c r="F2845" s="185"/>
      <c r="G2845" s="185"/>
      <c r="H2845" s="185"/>
      <c r="I2845" s="11"/>
    </row>
    <row r="2846" spans="1:12" ht="11.15" customHeight="1">
      <c r="A2846" s="129" t="s">
        <v>896</v>
      </c>
      <c r="B2846" s="90"/>
      <c r="C2846" s="147"/>
      <c r="D2846" s="159"/>
      <c r="E2846" s="36"/>
      <c r="F2846" s="183"/>
      <c r="G2846" s="496"/>
      <c r="H2846" s="34"/>
      <c r="I2846" s="11"/>
    </row>
    <row r="2847" spans="1:12" ht="9" customHeight="1">
      <c r="A2847" s="162" t="s">
        <v>3913</v>
      </c>
      <c r="B2847" s="185"/>
      <c r="C2847" s="147"/>
      <c r="D2847" s="129"/>
      <c r="E2847" s="185"/>
      <c r="F2847" s="185"/>
      <c r="G2847" s="185"/>
      <c r="H2847" s="185"/>
      <c r="I2847" s="11"/>
    </row>
    <row r="2848" spans="1:12" ht="9" customHeight="1">
      <c r="A2848" s="162" t="s">
        <v>3914</v>
      </c>
      <c r="B2848" s="90"/>
      <c r="C2848" s="147"/>
      <c r="D2848" s="159"/>
      <c r="E2848" s="36"/>
      <c r="F2848" s="178"/>
      <c r="G2848" s="496"/>
      <c r="H2848" s="36"/>
      <c r="I2848" s="11"/>
    </row>
    <row r="2849" spans="1:12" ht="9" customHeight="1">
      <c r="A2849" s="162" t="s">
        <v>3915</v>
      </c>
      <c r="B2849" s="226"/>
      <c r="C2849" s="147"/>
      <c r="D2849" s="159"/>
      <c r="E2849" s="36"/>
      <c r="F2849" s="178"/>
      <c r="G2849" s="496"/>
      <c r="H2849" s="36"/>
      <c r="I2849" s="11"/>
    </row>
    <row r="2850" spans="1:12" ht="9" customHeight="1">
      <c r="A2850" s="162" t="s">
        <v>3916</v>
      </c>
      <c r="B2850" s="90"/>
      <c r="C2850" s="147"/>
      <c r="D2850" s="159"/>
      <c r="E2850" s="36"/>
      <c r="F2850" s="178"/>
      <c r="G2850" s="496"/>
      <c r="H2850" s="36"/>
      <c r="I2850" s="11"/>
    </row>
    <row r="2851" spans="1:12" ht="9" customHeight="1">
      <c r="A2851" s="162" t="s">
        <v>3917</v>
      </c>
      <c r="B2851" s="90"/>
      <c r="C2851" s="147"/>
      <c r="D2851" s="159"/>
      <c r="E2851" s="36"/>
      <c r="F2851" s="178"/>
      <c r="G2851" s="496"/>
      <c r="H2851" s="36"/>
      <c r="I2851" s="11"/>
    </row>
    <row r="2852" spans="1:12" ht="9" customHeight="1">
      <c r="A2852" s="162" t="s">
        <v>3918</v>
      </c>
      <c r="B2852" s="185"/>
      <c r="C2852" s="147"/>
      <c r="D2852" s="159"/>
      <c r="E2852" s="36"/>
      <c r="F2852" s="178"/>
      <c r="G2852" s="496"/>
      <c r="H2852" s="36"/>
      <c r="I2852" s="11"/>
    </row>
    <row r="2853" spans="1:12" ht="9" customHeight="1">
      <c r="A2853" s="162" t="s">
        <v>3919</v>
      </c>
      <c r="B2853" s="185"/>
      <c r="C2853" s="147"/>
      <c r="D2853" s="159"/>
      <c r="E2853" s="36"/>
      <c r="F2853" s="178"/>
      <c r="G2853" s="496"/>
      <c r="H2853" s="36"/>
      <c r="I2853" s="11"/>
    </row>
    <row r="2854" spans="1:12" ht="9" customHeight="1">
      <c r="A2854" s="162" t="s">
        <v>3920</v>
      </c>
      <c r="B2854" s="90"/>
      <c r="C2854" s="147"/>
      <c r="D2854" s="159"/>
      <c r="E2854" s="36"/>
      <c r="F2854" s="178"/>
      <c r="G2854" s="671"/>
      <c r="H2854" s="36"/>
      <c r="I2854" s="11"/>
    </row>
    <row r="2855" spans="1:12" ht="9" customHeight="1">
      <c r="A2855" s="162" t="s">
        <v>3921</v>
      </c>
      <c r="B2855" s="90"/>
      <c r="C2855" s="147"/>
      <c r="D2855" s="159"/>
      <c r="E2855" s="36"/>
      <c r="F2855" s="178"/>
      <c r="G2855" s="671"/>
      <c r="H2855" s="36"/>
      <c r="I2855" s="11"/>
    </row>
    <row r="2856" spans="1:12" ht="9" customHeight="1">
      <c r="A2856" s="162" t="s">
        <v>3922</v>
      </c>
      <c r="B2856" s="90"/>
      <c r="C2856" s="147"/>
      <c r="D2856" s="159"/>
      <c r="E2856" s="36"/>
      <c r="F2856" s="178"/>
      <c r="G2856" s="671"/>
      <c r="H2856" s="36"/>
      <c r="I2856" s="11"/>
    </row>
    <row r="2857" spans="1:12" ht="11.15" customHeight="1">
      <c r="A2857" s="212" t="s">
        <v>3923</v>
      </c>
      <c r="B2857" s="90"/>
      <c r="C2857" s="147"/>
      <c r="D2857" s="159"/>
      <c r="E2857" s="36"/>
      <c r="F2857" s="178"/>
      <c r="G2857" s="671"/>
      <c r="H2857" s="36"/>
      <c r="I2857" s="11"/>
    </row>
    <row r="2858" spans="1:12" ht="11.15" customHeight="1">
      <c r="A2858" s="166" t="s">
        <v>3924</v>
      </c>
      <c r="B2858" s="90"/>
      <c r="C2858" s="147"/>
      <c r="D2858" s="159"/>
      <c r="E2858" s="36"/>
      <c r="F2858" s="178"/>
      <c r="G2858" s="671"/>
      <c r="H2858" s="36"/>
      <c r="I2858" s="11"/>
    </row>
    <row r="2859" spans="1:12" ht="11.15" customHeight="1">
      <c r="A2859" s="129" t="s">
        <v>3925</v>
      </c>
      <c r="B2859" s="90"/>
      <c r="C2859" s="147"/>
      <c r="D2859" s="182"/>
      <c r="E2859" s="36"/>
      <c r="F2859" s="178"/>
      <c r="G2859" s="496"/>
      <c r="H2859" s="36"/>
      <c r="I2859" s="11"/>
    </row>
    <row r="2860" spans="1:12" ht="11.15" customHeight="1" thickBot="1">
      <c r="A2860" s="29"/>
      <c r="B2860" s="90"/>
      <c r="C2860" s="147"/>
      <c r="D2860" s="159"/>
      <c r="E2860" s="36"/>
      <c r="F2860" s="178"/>
      <c r="G2860" s="671"/>
      <c r="H2860" s="36"/>
      <c r="I2860" s="11"/>
    </row>
    <row r="2861" spans="1:12" ht="11.15" customHeight="1" thickBot="1">
      <c r="A2861" s="184" t="s">
        <v>3926</v>
      </c>
      <c r="B2861" s="177" t="s">
        <v>3927</v>
      </c>
      <c r="C2861" s="147"/>
      <c r="D2861" s="122"/>
      <c r="E2861" s="36"/>
      <c r="F2861" s="178"/>
      <c r="G2861" s="496"/>
      <c r="H2861" s="36"/>
      <c r="I2861" s="11"/>
    </row>
    <row r="2862" spans="1:12" ht="11.15" customHeight="1">
      <c r="A2862" s="29" t="s">
        <v>3928</v>
      </c>
      <c r="B2862" s="59" t="s">
        <v>20645</v>
      </c>
      <c r="C2862" s="147" t="s">
        <v>20221</v>
      </c>
      <c r="D2862" s="701" t="s">
        <v>1129</v>
      </c>
      <c r="E2862" s="178">
        <v>2021</v>
      </c>
      <c r="F2862" s="178" t="s">
        <v>4520</v>
      </c>
      <c r="G2862" s="496"/>
      <c r="H2862" s="994" t="s">
        <v>20221</v>
      </c>
      <c r="I2862" s="12" t="s">
        <v>3929</v>
      </c>
      <c r="J2862" s="1285"/>
      <c r="K2862" s="1285"/>
      <c r="L2862" s="1285"/>
    </row>
    <row r="2863" spans="1:12" ht="11.15" customHeight="1">
      <c r="A2863" s="29" t="s">
        <v>3930</v>
      </c>
      <c r="B2863" s="177" t="s">
        <v>3931</v>
      </c>
      <c r="C2863" s="147"/>
      <c r="D2863" s="122"/>
      <c r="E2863" s="36"/>
      <c r="F2863" s="178"/>
      <c r="G2863" s="496"/>
      <c r="H2863" s="36"/>
      <c r="I2863" s="11"/>
    </row>
    <row r="2864" spans="1:12" ht="11.15" customHeight="1">
      <c r="A2864" s="29" t="s">
        <v>3932</v>
      </c>
      <c r="B2864" s="59" t="s">
        <v>20646</v>
      </c>
      <c r="C2864" s="147" t="s">
        <v>20221</v>
      </c>
      <c r="D2864" s="701" t="s">
        <v>1129</v>
      </c>
      <c r="E2864" s="178">
        <v>2022</v>
      </c>
      <c r="F2864" s="178" t="s">
        <v>4520</v>
      </c>
      <c r="G2864" s="496"/>
      <c r="H2864" s="994" t="s">
        <v>20221</v>
      </c>
      <c r="I2864" s="12" t="s">
        <v>3933</v>
      </c>
      <c r="J2864" s="1285"/>
      <c r="K2864" s="1285"/>
      <c r="L2864" s="1285"/>
    </row>
    <row r="2865" spans="1:12" ht="11.15" customHeight="1">
      <c r="A2865" s="29" t="s">
        <v>3934</v>
      </c>
      <c r="B2865" s="59" t="s">
        <v>20647</v>
      </c>
      <c r="C2865" s="147" t="s">
        <v>20221</v>
      </c>
      <c r="D2865" s="701" t="s">
        <v>1129</v>
      </c>
      <c r="E2865" s="178">
        <v>2022</v>
      </c>
      <c r="F2865" s="178" t="s">
        <v>4520</v>
      </c>
      <c r="G2865" s="496"/>
      <c r="H2865" s="994" t="s">
        <v>20221</v>
      </c>
      <c r="I2865" s="12" t="s">
        <v>3935</v>
      </c>
      <c r="J2865" s="1285"/>
      <c r="K2865" s="1285"/>
      <c r="L2865" s="1285"/>
    </row>
    <row r="2866" spans="1:12" ht="11.15" customHeight="1">
      <c r="A2866" s="29" t="s">
        <v>3936</v>
      </c>
      <c r="B2866" s="59" t="s">
        <v>20648</v>
      </c>
      <c r="C2866" s="147" t="s">
        <v>20221</v>
      </c>
      <c r="D2866" s="701" t="s">
        <v>1129</v>
      </c>
      <c r="E2866" s="178">
        <v>2019</v>
      </c>
      <c r="F2866" s="178" t="s">
        <v>4520</v>
      </c>
      <c r="G2866" s="496"/>
      <c r="H2866" s="994" t="s">
        <v>20221</v>
      </c>
      <c r="I2866" s="12" t="s">
        <v>3937</v>
      </c>
      <c r="J2866" s="1285"/>
      <c r="K2866" s="1285"/>
      <c r="L2866" s="1285"/>
    </row>
    <row r="2867" spans="1:12" ht="11.15" customHeight="1">
      <c r="A2867" s="181" t="s">
        <v>890</v>
      </c>
      <c r="B2867" s="177" t="s">
        <v>3938</v>
      </c>
      <c r="C2867" s="147"/>
      <c r="D2867" s="159"/>
      <c r="E2867" s="36"/>
      <c r="F2867" s="178"/>
      <c r="G2867" s="496"/>
      <c r="H2867" s="36"/>
      <c r="I2867" s="11"/>
    </row>
    <row r="2868" spans="1:12" ht="11.15" customHeight="1">
      <c r="A2868" s="29" t="s">
        <v>3939</v>
      </c>
      <c r="B2868" s="59" t="s">
        <v>20649</v>
      </c>
      <c r="C2868" s="147" t="s">
        <v>20221</v>
      </c>
      <c r="D2868" s="701" t="s">
        <v>1129</v>
      </c>
      <c r="E2868" s="178">
        <v>2022</v>
      </c>
      <c r="F2868" s="178" t="s">
        <v>4520</v>
      </c>
      <c r="G2868" s="496"/>
      <c r="H2868" s="994" t="s">
        <v>20221</v>
      </c>
      <c r="I2868" s="12" t="s">
        <v>3940</v>
      </c>
      <c r="J2868" s="1285"/>
      <c r="K2868" s="1285"/>
      <c r="L2868" s="1285"/>
    </row>
    <row r="2869" spans="1:12" ht="11.15" customHeight="1">
      <c r="A2869" s="29" t="s">
        <v>3941</v>
      </c>
      <c r="B2869" s="59" t="s">
        <v>20649</v>
      </c>
      <c r="C2869" s="147" t="s">
        <v>20221</v>
      </c>
      <c r="D2869" s="701" t="s">
        <v>1129</v>
      </c>
      <c r="E2869" s="178">
        <v>2021</v>
      </c>
      <c r="F2869" s="178" t="s">
        <v>4520</v>
      </c>
      <c r="G2869" s="496"/>
      <c r="H2869" s="994" t="s">
        <v>20221</v>
      </c>
      <c r="I2869" s="12" t="s">
        <v>3942</v>
      </c>
      <c r="J2869" s="1285"/>
      <c r="K2869" s="1285"/>
      <c r="L2869" s="1285"/>
    </row>
    <row r="2870" spans="1:12" ht="11.15" customHeight="1">
      <c r="A2870" s="386" t="s">
        <v>3943</v>
      </c>
      <c r="B2870" s="59" t="s">
        <v>20649</v>
      </c>
      <c r="C2870" s="147" t="s">
        <v>20221</v>
      </c>
      <c r="D2870" s="701" t="s">
        <v>1129</v>
      </c>
      <c r="E2870" s="178">
        <v>2020</v>
      </c>
      <c r="F2870" s="178" t="s">
        <v>4520</v>
      </c>
      <c r="G2870" s="496"/>
      <c r="H2870" s="994" t="s">
        <v>20224</v>
      </c>
      <c r="I2870" s="12" t="s">
        <v>3944</v>
      </c>
      <c r="J2870" s="1285"/>
      <c r="K2870" s="1285"/>
      <c r="L2870" s="1285"/>
    </row>
    <row r="2871" spans="1:12" ht="11.15" customHeight="1">
      <c r="A2871" s="129" t="s">
        <v>3945</v>
      </c>
      <c r="B2871" s="59" t="s">
        <v>20650</v>
      </c>
      <c r="C2871" s="147" t="s">
        <v>20221</v>
      </c>
      <c r="D2871" s="701" t="s">
        <v>1129</v>
      </c>
      <c r="E2871" s="178">
        <v>2018</v>
      </c>
      <c r="F2871" s="178" t="s">
        <v>4520</v>
      </c>
      <c r="G2871" s="496"/>
      <c r="H2871" s="994" t="s">
        <v>20221</v>
      </c>
      <c r="I2871" s="12" t="s">
        <v>3946</v>
      </c>
      <c r="J2871" s="1285"/>
      <c r="K2871" s="1285"/>
      <c r="L2871" s="1285"/>
    </row>
    <row r="2872" spans="1:12" ht="11.15" customHeight="1">
      <c r="A2872" s="29"/>
      <c r="B2872" s="59" t="s">
        <v>20650</v>
      </c>
      <c r="C2872" s="147" t="s">
        <v>20221</v>
      </c>
      <c r="D2872" s="701" t="s">
        <v>1129</v>
      </c>
      <c r="E2872" s="178">
        <v>2017</v>
      </c>
      <c r="F2872" s="178" t="s">
        <v>4520</v>
      </c>
      <c r="G2872" s="496"/>
      <c r="H2872" s="994" t="s">
        <v>20277</v>
      </c>
      <c r="I2872" s="12" t="s">
        <v>3947</v>
      </c>
      <c r="J2872" s="1285"/>
      <c r="K2872" s="1285"/>
      <c r="L2872" s="1285"/>
    </row>
    <row r="2873" spans="1:12" ht="11.15" customHeight="1">
      <c r="A2873" s="29"/>
      <c r="B2873" s="59" t="s">
        <v>20650</v>
      </c>
      <c r="C2873" s="147" t="s">
        <v>20221</v>
      </c>
      <c r="D2873" s="701" t="s">
        <v>1129</v>
      </c>
      <c r="E2873" s="178">
        <v>2015</v>
      </c>
      <c r="F2873" s="178" t="s">
        <v>4520</v>
      </c>
      <c r="G2873" s="496"/>
      <c r="H2873" s="994" t="s">
        <v>20277</v>
      </c>
      <c r="I2873" s="12" t="s">
        <v>3948</v>
      </c>
      <c r="J2873" s="1285"/>
      <c r="K2873" s="1285"/>
      <c r="L2873" s="1285"/>
    </row>
    <row r="2874" spans="1:12" ht="11.15" customHeight="1">
      <c r="A2874" s="29"/>
      <c r="B2874" s="185"/>
      <c r="C2874" s="147"/>
      <c r="D2874" s="185"/>
      <c r="E2874" s="185"/>
      <c r="F2874" s="185"/>
      <c r="G2874" s="185"/>
      <c r="H2874" s="185"/>
      <c r="I2874" s="11"/>
    </row>
    <row r="2875" spans="1:12" ht="11.15" customHeight="1">
      <c r="A2875" s="29"/>
      <c r="B2875" s="146" t="s">
        <v>3949</v>
      </c>
      <c r="C2875" s="147"/>
      <c r="D2875" s="159"/>
      <c r="E2875" s="36"/>
      <c r="F2875" s="178"/>
      <c r="G2875" s="671"/>
      <c r="H2875" s="36"/>
      <c r="I2875" s="11"/>
    </row>
    <row r="2876" spans="1:12" ht="9" customHeight="1">
      <c r="A2876" s="137"/>
      <c r="B2876" s="209" t="s">
        <v>3950</v>
      </c>
      <c r="C2876" s="147"/>
      <c r="D2876" s="161"/>
      <c r="E2876" s="36"/>
      <c r="F2876" s="178"/>
      <c r="G2876" s="496"/>
      <c r="H2876" s="36"/>
      <c r="I2876" s="11"/>
    </row>
    <row r="2877" spans="1:12" ht="9" customHeight="1">
      <c r="A2877" s="137"/>
      <c r="B2877" s="150" t="s">
        <v>3951</v>
      </c>
      <c r="C2877" s="147"/>
      <c r="D2877" s="161"/>
      <c r="E2877" s="36"/>
      <c r="F2877" s="178"/>
      <c r="G2877" s="496"/>
      <c r="H2877" s="36"/>
      <c r="I2877" s="11"/>
    </row>
    <row r="2878" spans="1:12" ht="9" customHeight="1">
      <c r="A2878" s="137"/>
      <c r="B2878" s="209" t="s">
        <v>3952</v>
      </c>
      <c r="C2878" s="147"/>
      <c r="D2878" s="161"/>
      <c r="E2878" s="36"/>
      <c r="F2878" s="178"/>
      <c r="G2878" s="496"/>
      <c r="H2878" s="36"/>
      <c r="I2878" s="11"/>
    </row>
    <row r="2879" spans="1:12" ht="9" customHeight="1">
      <c r="A2879" s="137"/>
      <c r="B2879" s="209" t="s">
        <v>3953</v>
      </c>
      <c r="C2879" s="147"/>
      <c r="D2879" s="161"/>
      <c r="E2879" s="36"/>
      <c r="F2879" s="178"/>
      <c r="G2879" s="496"/>
      <c r="H2879" s="36"/>
      <c r="I2879" s="11"/>
    </row>
    <row r="2880" spans="1:12" ht="9" customHeight="1">
      <c r="A2880" s="137"/>
      <c r="B2880" s="150" t="s">
        <v>3954</v>
      </c>
      <c r="C2880" s="147"/>
      <c r="D2880" s="161"/>
      <c r="E2880" s="36"/>
      <c r="F2880" s="178"/>
      <c r="G2880" s="496"/>
      <c r="H2880" s="36"/>
      <c r="I2880" s="11"/>
    </row>
    <row r="2881" spans="1:9" ht="9" customHeight="1">
      <c r="A2881" s="137"/>
      <c r="B2881" s="150" t="s">
        <v>3955</v>
      </c>
      <c r="C2881" s="147"/>
      <c r="D2881" s="161"/>
      <c r="E2881" s="36"/>
      <c r="F2881" s="178"/>
      <c r="G2881" s="496"/>
      <c r="H2881" s="36"/>
      <c r="I2881" s="11"/>
    </row>
    <row r="2882" spans="1:9" ht="11.15" customHeight="1">
      <c r="A2882" s="29"/>
      <c r="B2882" s="146" t="s">
        <v>3956</v>
      </c>
      <c r="C2882" s="147"/>
      <c r="D2882" s="159"/>
      <c r="E2882" s="36"/>
      <c r="F2882" s="178"/>
      <c r="G2882" s="671"/>
      <c r="H2882" s="36"/>
      <c r="I2882" s="11"/>
    </row>
    <row r="2883" spans="1:9" ht="9" customHeight="1">
      <c r="A2883" s="137"/>
      <c r="B2883" s="209" t="s">
        <v>3957</v>
      </c>
      <c r="C2883" s="147"/>
      <c r="D2883" s="161"/>
      <c r="E2883" s="36"/>
      <c r="F2883" s="178"/>
      <c r="G2883" s="496"/>
      <c r="H2883" s="36"/>
      <c r="I2883" s="11"/>
    </row>
    <row r="2884" spans="1:9" ht="9" customHeight="1">
      <c r="A2884" s="29"/>
      <c r="B2884" s="150" t="s">
        <v>3958</v>
      </c>
      <c r="C2884" s="147"/>
      <c r="D2884" s="159"/>
      <c r="E2884" s="36"/>
      <c r="F2884" s="178"/>
      <c r="G2884" s="671"/>
      <c r="H2884" s="36"/>
      <c r="I2884" s="11"/>
    </row>
    <row r="2885" spans="1:9" ht="9" customHeight="1">
      <c r="A2885" s="29"/>
      <c r="B2885" s="150" t="s">
        <v>3959</v>
      </c>
      <c r="C2885" s="147"/>
      <c r="D2885" s="159"/>
      <c r="E2885" s="36"/>
      <c r="F2885" s="178"/>
      <c r="G2885" s="671"/>
      <c r="H2885" s="36"/>
      <c r="I2885" s="11"/>
    </row>
    <row r="2886" spans="1:9" ht="9" customHeight="1">
      <c r="A2886" s="29"/>
      <c r="B2886" s="150" t="s">
        <v>3960</v>
      </c>
      <c r="C2886" s="147"/>
      <c r="D2886" s="159"/>
      <c r="E2886" s="36"/>
      <c r="F2886" s="178"/>
      <c r="G2886" s="671"/>
      <c r="H2886" s="36"/>
      <c r="I2886" s="11"/>
    </row>
    <row r="2887" spans="1:9" ht="9" customHeight="1">
      <c r="A2887" s="29"/>
      <c r="B2887" s="150" t="s">
        <v>3961</v>
      </c>
      <c r="C2887" s="147"/>
      <c r="D2887" s="159"/>
      <c r="E2887" s="36"/>
      <c r="F2887" s="178"/>
      <c r="G2887" s="671"/>
      <c r="H2887" s="36"/>
      <c r="I2887" s="11"/>
    </row>
    <row r="2888" spans="1:9" ht="9" customHeight="1">
      <c r="A2888" s="29"/>
      <c r="B2888" s="150" t="s">
        <v>3962</v>
      </c>
      <c r="C2888" s="147"/>
      <c r="D2888" s="159"/>
      <c r="E2888" s="36"/>
      <c r="F2888" s="178"/>
      <c r="G2888" s="671"/>
      <c r="H2888" s="36"/>
      <c r="I2888" s="11"/>
    </row>
    <row r="2889" spans="1:9" ht="9" customHeight="1">
      <c r="A2889" s="29"/>
      <c r="B2889" s="150" t="s">
        <v>3963</v>
      </c>
      <c r="C2889" s="147"/>
      <c r="D2889" s="159"/>
      <c r="E2889" s="36"/>
      <c r="F2889" s="178"/>
      <c r="G2889" s="671"/>
      <c r="H2889" s="36"/>
      <c r="I2889" s="11"/>
    </row>
    <row r="2890" spans="1:9" ht="9" customHeight="1">
      <c r="A2890" s="29"/>
      <c r="B2890" s="150" t="s">
        <v>3964</v>
      </c>
      <c r="C2890" s="147"/>
      <c r="D2890" s="159"/>
      <c r="E2890" s="36"/>
      <c r="F2890" s="178"/>
      <c r="G2890" s="671"/>
      <c r="H2890" s="36"/>
      <c r="I2890" s="11"/>
    </row>
    <row r="2891" spans="1:9" ht="9" customHeight="1">
      <c r="A2891" s="29"/>
      <c r="B2891" s="150" t="s">
        <v>3965</v>
      </c>
      <c r="C2891" s="147"/>
      <c r="D2891" s="159"/>
      <c r="E2891" s="36"/>
      <c r="F2891" s="178"/>
      <c r="G2891" s="671"/>
      <c r="H2891" s="36"/>
      <c r="I2891" s="11"/>
    </row>
    <row r="2892" spans="1:9" ht="9" customHeight="1">
      <c r="A2892" s="29"/>
      <c r="B2892" s="150" t="s">
        <v>3966</v>
      </c>
      <c r="C2892" s="147"/>
      <c r="D2892" s="159"/>
      <c r="E2892" s="36"/>
      <c r="F2892" s="178"/>
      <c r="G2892" s="671"/>
      <c r="H2892" s="36"/>
      <c r="I2892" s="11"/>
    </row>
    <row r="2893" spans="1:9" ht="9" customHeight="1">
      <c r="A2893" s="150"/>
      <c r="B2893" s="150" t="s">
        <v>3967</v>
      </c>
      <c r="C2893" s="147"/>
      <c r="D2893" s="150"/>
      <c r="E2893" s="150"/>
      <c r="F2893" s="150"/>
      <c r="G2893" s="150"/>
      <c r="H2893" s="150"/>
      <c r="I2893" s="11"/>
    </row>
    <row r="2894" spans="1:9" ht="9" customHeight="1">
      <c r="A2894" s="150"/>
      <c r="B2894" s="150" t="s">
        <v>3968</v>
      </c>
      <c r="C2894" s="147"/>
      <c r="D2894" s="150"/>
      <c r="E2894" s="150"/>
      <c r="F2894" s="150"/>
      <c r="G2894" s="150"/>
      <c r="H2894" s="150"/>
      <c r="I2894" s="11"/>
    </row>
    <row r="2895" spans="1:9" ht="9" customHeight="1">
      <c r="A2895" s="29"/>
      <c r="B2895" s="150" t="s">
        <v>3969</v>
      </c>
      <c r="C2895" s="147"/>
      <c r="D2895" s="159"/>
      <c r="E2895" s="36"/>
      <c r="F2895" s="178"/>
      <c r="G2895" s="671"/>
      <c r="H2895" s="36"/>
      <c r="I2895" s="11"/>
    </row>
    <row r="2896" spans="1:9" ht="9" customHeight="1">
      <c r="A2896" s="137"/>
      <c r="B2896" s="209" t="s">
        <v>3970</v>
      </c>
      <c r="C2896" s="147"/>
      <c r="D2896" s="161"/>
      <c r="E2896" s="36"/>
      <c r="F2896" s="178"/>
      <c r="G2896" s="496"/>
      <c r="H2896" s="36"/>
      <c r="I2896" s="11"/>
    </row>
    <row r="2897" spans="1:9" ht="9" customHeight="1">
      <c r="A2897" s="137"/>
      <c r="B2897" s="209" t="s">
        <v>3971</v>
      </c>
      <c r="C2897" s="147"/>
      <c r="D2897" s="161"/>
      <c r="E2897" s="36"/>
      <c r="F2897" s="178"/>
      <c r="G2897" s="496"/>
      <c r="H2897" s="36"/>
      <c r="I2897" s="11"/>
    </row>
    <row r="2898" spans="1:9" ht="9" customHeight="1">
      <c r="A2898" s="137"/>
      <c r="B2898" s="209" t="s">
        <v>3972</v>
      </c>
      <c r="C2898" s="147"/>
      <c r="D2898" s="161"/>
      <c r="E2898" s="36"/>
      <c r="F2898" s="178"/>
      <c r="G2898" s="496"/>
      <c r="H2898" s="36"/>
      <c r="I2898" s="11"/>
    </row>
    <row r="2899" spans="1:9" ht="9" customHeight="1">
      <c r="A2899" s="137"/>
      <c r="B2899" s="209" t="s">
        <v>3973</v>
      </c>
      <c r="C2899" s="147"/>
      <c r="D2899" s="161"/>
      <c r="E2899" s="36"/>
      <c r="F2899" s="178"/>
      <c r="G2899" s="496"/>
      <c r="H2899" s="36"/>
      <c r="I2899" s="11"/>
    </row>
    <row r="2900" spans="1:9" ht="9" customHeight="1">
      <c r="A2900" s="137"/>
      <c r="B2900" s="209" t="s">
        <v>3974</v>
      </c>
      <c r="C2900" s="147"/>
      <c r="D2900" s="161"/>
      <c r="E2900" s="36"/>
      <c r="F2900" s="178"/>
      <c r="G2900" s="496"/>
      <c r="H2900" s="36"/>
      <c r="I2900" s="11"/>
    </row>
    <row r="2901" spans="1:9" ht="9" customHeight="1">
      <c r="A2901" s="137"/>
      <c r="B2901" s="209" t="s">
        <v>3975</v>
      </c>
      <c r="C2901" s="147"/>
      <c r="D2901" s="161"/>
      <c r="E2901" s="36"/>
      <c r="F2901" s="178"/>
      <c r="G2901" s="496"/>
      <c r="H2901" s="36"/>
      <c r="I2901" s="11"/>
    </row>
    <row r="2902" spans="1:9" ht="9" customHeight="1">
      <c r="A2902" s="29"/>
      <c r="B2902" s="150" t="s">
        <v>3976</v>
      </c>
      <c r="C2902" s="147"/>
      <c r="D2902" s="159"/>
      <c r="E2902" s="36"/>
      <c r="F2902" s="178"/>
      <c r="G2902" s="671"/>
      <c r="H2902" s="36"/>
      <c r="I2902" s="11"/>
    </row>
    <row r="2903" spans="1:9" ht="11.15" customHeight="1">
      <c r="A2903" s="29"/>
      <c r="B2903" s="146" t="s">
        <v>3977</v>
      </c>
      <c r="C2903" s="147"/>
      <c r="D2903" s="159"/>
      <c r="E2903" s="36"/>
      <c r="F2903" s="178"/>
      <c r="G2903" s="671"/>
      <c r="H2903" s="36"/>
      <c r="I2903" s="11"/>
    </row>
    <row r="2904" spans="1:9" ht="9" customHeight="1">
      <c r="A2904" s="137"/>
      <c r="B2904" s="209" t="s">
        <v>3978</v>
      </c>
      <c r="C2904" s="147"/>
      <c r="D2904" s="161"/>
      <c r="E2904" s="36"/>
      <c r="F2904" s="178"/>
      <c r="G2904" s="496"/>
      <c r="H2904" s="36"/>
      <c r="I2904" s="11"/>
    </row>
    <row r="2905" spans="1:9" ht="9" customHeight="1">
      <c r="A2905" s="137"/>
      <c r="B2905" s="209" t="s">
        <v>3979</v>
      </c>
      <c r="C2905" s="147"/>
      <c r="D2905" s="161"/>
      <c r="E2905" s="36"/>
      <c r="F2905" s="178"/>
      <c r="G2905" s="496"/>
      <c r="H2905" s="36"/>
      <c r="I2905" s="11"/>
    </row>
    <row r="2906" spans="1:9" ht="9" customHeight="1">
      <c r="A2906" s="137"/>
      <c r="B2906" s="209" t="s">
        <v>3980</v>
      </c>
      <c r="C2906" s="147"/>
      <c r="D2906" s="161"/>
      <c r="E2906" s="36"/>
      <c r="F2906" s="178"/>
      <c r="G2906" s="496"/>
      <c r="H2906" s="36"/>
      <c r="I2906" s="11"/>
    </row>
    <row r="2907" spans="1:9" ht="9" customHeight="1">
      <c r="A2907" s="166"/>
      <c r="B2907" s="150" t="s">
        <v>3981</v>
      </c>
      <c r="C2907" s="147"/>
      <c r="D2907" s="161"/>
      <c r="E2907" s="36"/>
      <c r="F2907" s="178"/>
      <c r="G2907" s="496"/>
      <c r="H2907" s="36"/>
      <c r="I2907" s="11"/>
    </row>
    <row r="2908" spans="1:9" ht="9" customHeight="1">
      <c r="A2908" s="166"/>
      <c r="B2908" s="150" t="s">
        <v>3982</v>
      </c>
      <c r="C2908" s="147"/>
      <c r="D2908" s="161"/>
      <c r="E2908" s="36"/>
      <c r="F2908" s="178"/>
      <c r="G2908" s="496"/>
      <c r="H2908" s="36"/>
      <c r="I2908" s="11"/>
    </row>
    <row r="2909" spans="1:9" ht="9" customHeight="1">
      <c r="A2909" s="129"/>
      <c r="B2909" s="150" t="s">
        <v>3983</v>
      </c>
      <c r="C2909" s="147"/>
      <c r="D2909" s="161"/>
      <c r="E2909" s="36"/>
      <c r="F2909" s="178"/>
      <c r="G2909" s="496"/>
      <c r="H2909" s="36"/>
      <c r="I2909" s="11"/>
    </row>
    <row r="2910" spans="1:9" ht="9" customHeight="1">
      <c r="A2910" s="29"/>
      <c r="B2910" s="150" t="s">
        <v>3984</v>
      </c>
      <c r="C2910" s="147"/>
      <c r="D2910" s="161"/>
      <c r="E2910" s="36"/>
      <c r="F2910" s="178"/>
      <c r="G2910" s="496"/>
      <c r="H2910" s="36"/>
      <c r="I2910" s="11"/>
    </row>
    <row r="2911" spans="1:9" ht="9" customHeight="1">
      <c r="A2911" s="185"/>
      <c r="B2911" s="150" t="s">
        <v>3985</v>
      </c>
      <c r="C2911" s="147"/>
      <c r="D2911" s="161"/>
      <c r="E2911" s="36"/>
      <c r="F2911" s="178"/>
      <c r="G2911" s="496"/>
      <c r="H2911" s="36"/>
      <c r="I2911" s="11"/>
    </row>
    <row r="2912" spans="1:9" ht="9" customHeight="1">
      <c r="A2912" s="137"/>
      <c r="B2912" s="150" t="s">
        <v>3986</v>
      </c>
      <c r="C2912" s="147"/>
      <c r="D2912" s="161"/>
      <c r="E2912" s="36"/>
      <c r="F2912" s="178"/>
      <c r="G2912" s="496"/>
      <c r="H2912" s="36"/>
      <c r="I2912" s="11"/>
    </row>
    <row r="2913" spans="1:12" ht="9" customHeight="1">
      <c r="A2913" s="137"/>
      <c r="B2913" s="150" t="s">
        <v>3987</v>
      </c>
      <c r="C2913" s="147"/>
      <c r="D2913" s="161"/>
      <c r="E2913" s="36"/>
      <c r="F2913" s="178"/>
      <c r="G2913" s="496"/>
      <c r="H2913" s="36"/>
      <c r="I2913" s="11"/>
    </row>
    <row r="2914" spans="1:12" ht="9" customHeight="1" thickBot="1">
      <c r="A2914" s="137"/>
      <c r="B2914" s="209" t="s">
        <v>3988</v>
      </c>
      <c r="C2914" s="147"/>
      <c r="D2914" s="161"/>
      <c r="E2914" s="36"/>
      <c r="F2914" s="178"/>
      <c r="G2914" s="496"/>
      <c r="H2914" s="36"/>
      <c r="I2914" s="11"/>
    </row>
    <row r="2915" spans="1:12" ht="11.15" customHeight="1">
      <c r="A2915" s="153" t="s">
        <v>3989</v>
      </c>
      <c r="B2915" s="154" t="s">
        <v>3990</v>
      </c>
      <c r="C2915" s="147"/>
      <c r="D2915" s="159"/>
      <c r="E2915" s="36"/>
      <c r="F2915" s="178"/>
      <c r="G2915" s="671"/>
      <c r="H2915" s="36"/>
      <c r="I2915" s="11"/>
    </row>
    <row r="2916" spans="1:12" ht="11.15" customHeight="1" thickBot="1">
      <c r="A2916" s="155" t="s">
        <v>3991</v>
      </c>
      <c r="B2916" s="59" t="s">
        <v>20652</v>
      </c>
      <c r="C2916" s="147" t="s">
        <v>23393</v>
      </c>
      <c r="D2916" s="701" t="s">
        <v>1129</v>
      </c>
      <c r="E2916" s="178">
        <v>2022</v>
      </c>
      <c r="F2916" s="178" t="s">
        <v>23395</v>
      </c>
      <c r="G2916" s="496"/>
      <c r="H2916" s="994" t="s">
        <v>20277</v>
      </c>
      <c r="I2916" s="11" t="s">
        <v>3992</v>
      </c>
      <c r="J2916" s="1285"/>
      <c r="K2916" s="1285"/>
      <c r="L2916" s="1285"/>
    </row>
    <row r="2917" spans="1:12" ht="11.15" customHeight="1">
      <c r="A2917" s="29" t="s">
        <v>3993</v>
      </c>
      <c r="B2917" s="59" t="s">
        <v>20654</v>
      </c>
      <c r="C2917" s="147" t="s">
        <v>23393</v>
      </c>
      <c r="D2917" s="701" t="s">
        <v>1129</v>
      </c>
      <c r="E2917" s="178">
        <v>2018</v>
      </c>
      <c r="F2917" s="178" t="s">
        <v>23395</v>
      </c>
      <c r="G2917" s="496"/>
      <c r="H2917" s="994" t="s">
        <v>20221</v>
      </c>
      <c r="I2917" s="11" t="s">
        <v>3994</v>
      </c>
      <c r="J2917" s="1285"/>
      <c r="K2917" s="1285"/>
      <c r="L2917" s="1285"/>
    </row>
    <row r="2918" spans="1:12" ht="11.15" customHeight="1">
      <c r="A2918" s="29" t="s">
        <v>3995</v>
      </c>
      <c r="B2918" s="59" t="s">
        <v>20654</v>
      </c>
      <c r="C2918" s="147" t="s">
        <v>20221</v>
      </c>
      <c r="D2918" s="701" t="s">
        <v>1129</v>
      </c>
      <c r="E2918" s="178">
        <v>2017</v>
      </c>
      <c r="F2918" s="178" t="s">
        <v>23395</v>
      </c>
      <c r="G2918" s="496"/>
      <c r="H2918" s="994" t="s">
        <v>20277</v>
      </c>
      <c r="I2918" s="11" t="s">
        <v>3996</v>
      </c>
      <c r="J2918" s="1285"/>
      <c r="K2918" s="1285"/>
      <c r="L2918" s="1285"/>
    </row>
    <row r="2919" spans="1:12" ht="11.15" customHeight="1">
      <c r="A2919" s="181" t="s">
        <v>3997</v>
      </c>
      <c r="B2919" s="59" t="s">
        <v>20655</v>
      </c>
      <c r="C2919" s="147" t="s">
        <v>20221</v>
      </c>
      <c r="D2919" s="701" t="s">
        <v>1129</v>
      </c>
      <c r="E2919" s="178">
        <v>2017</v>
      </c>
      <c r="F2919" s="178" t="s">
        <v>23395</v>
      </c>
      <c r="G2919" s="496"/>
      <c r="H2919" s="994" t="s">
        <v>20221</v>
      </c>
      <c r="I2919" s="11" t="s">
        <v>3998</v>
      </c>
      <c r="J2919" s="1285"/>
      <c r="K2919" s="1285"/>
      <c r="L2919" s="1285"/>
    </row>
    <row r="2920" spans="1:12" ht="11.15" customHeight="1">
      <c r="A2920" s="181" t="s">
        <v>3999</v>
      </c>
      <c r="B2920" s="154" t="s">
        <v>4000</v>
      </c>
      <c r="C2920" s="147"/>
      <c r="D2920" s="159"/>
      <c r="E2920" s="36"/>
      <c r="F2920" s="183"/>
      <c r="G2920" s="496"/>
      <c r="H2920" s="34"/>
      <c r="I2920" s="11"/>
    </row>
    <row r="2921" spans="1:12" ht="11.15" customHeight="1">
      <c r="A2921" s="29" t="s">
        <v>4001</v>
      </c>
      <c r="B2921" s="59" t="s">
        <v>20656</v>
      </c>
      <c r="C2921" s="147" t="s">
        <v>23393</v>
      </c>
      <c r="D2921" s="701" t="s">
        <v>1129</v>
      </c>
      <c r="E2921" s="178">
        <v>2022</v>
      </c>
      <c r="F2921" s="178" t="s">
        <v>23395</v>
      </c>
      <c r="G2921" s="496"/>
      <c r="H2921" s="994" t="s">
        <v>20221</v>
      </c>
      <c r="I2921" s="11" t="s">
        <v>4002</v>
      </c>
      <c r="J2921" s="1285"/>
      <c r="K2921" s="1285"/>
      <c r="L2921" s="1285"/>
    </row>
    <row r="2922" spans="1:12" ht="11.15" customHeight="1">
      <c r="A2922" s="29" t="s">
        <v>4003</v>
      </c>
      <c r="B2922" s="154" t="s">
        <v>4005</v>
      </c>
      <c r="C2922" s="147"/>
      <c r="D2922" s="159"/>
      <c r="E2922" s="36"/>
      <c r="F2922" s="183"/>
      <c r="G2922" s="496"/>
      <c r="H2922" s="34"/>
      <c r="I2922" s="11"/>
    </row>
    <row r="2923" spans="1:12" ht="11.15" customHeight="1">
      <c r="A2923" s="29" t="s">
        <v>4004</v>
      </c>
      <c r="B2923" s="59" t="s">
        <v>20657</v>
      </c>
      <c r="C2923" s="147" t="s">
        <v>23393</v>
      </c>
      <c r="D2923" s="701" t="s">
        <v>1129</v>
      </c>
      <c r="E2923" s="178">
        <v>2020</v>
      </c>
      <c r="F2923" s="178" t="s">
        <v>23395</v>
      </c>
      <c r="G2923" s="496"/>
      <c r="H2923" s="994" t="s">
        <v>20221</v>
      </c>
      <c r="I2923" s="11" t="s">
        <v>4007</v>
      </c>
      <c r="J2923" s="1285"/>
      <c r="K2923" s="1285"/>
      <c r="L2923" s="1285"/>
    </row>
    <row r="2924" spans="1:12" ht="11.15" customHeight="1">
      <c r="A2924" s="129" t="s">
        <v>4006</v>
      </c>
      <c r="B2924" s="59" t="s">
        <v>20658</v>
      </c>
      <c r="C2924" s="147" t="s">
        <v>23393</v>
      </c>
      <c r="D2924" s="701" t="s">
        <v>1129</v>
      </c>
      <c r="E2924" s="178">
        <v>2020</v>
      </c>
      <c r="F2924" s="178" t="s">
        <v>23395</v>
      </c>
      <c r="G2924" s="496"/>
      <c r="H2924" s="994" t="s">
        <v>20221</v>
      </c>
      <c r="I2924" s="11" t="s">
        <v>4009</v>
      </c>
      <c r="J2924" s="1285"/>
      <c r="K2924" s="1285"/>
      <c r="L2924" s="1285"/>
    </row>
    <row r="2925" spans="1:12" ht="11.15" customHeight="1">
      <c r="A2925" s="162" t="s">
        <v>4008</v>
      </c>
      <c r="B2925" s="59" t="s">
        <v>20658</v>
      </c>
      <c r="C2925" s="147" t="s">
        <v>20221</v>
      </c>
      <c r="D2925" s="701" t="s">
        <v>1129</v>
      </c>
      <c r="E2925" s="178">
        <v>2015</v>
      </c>
      <c r="F2925" s="178" t="s">
        <v>23395</v>
      </c>
      <c r="G2925" s="496"/>
      <c r="H2925" s="994" t="s">
        <v>20221</v>
      </c>
      <c r="I2925" s="11" t="s">
        <v>4011</v>
      </c>
      <c r="J2925" s="1285"/>
      <c r="K2925" s="1285"/>
      <c r="L2925" s="1285"/>
    </row>
    <row r="2926" spans="1:12" ht="11.15" customHeight="1">
      <c r="A2926" s="355" t="s">
        <v>4010</v>
      </c>
      <c r="B2926" s="59" t="s">
        <v>20659</v>
      </c>
      <c r="C2926" s="147" t="s">
        <v>23393</v>
      </c>
      <c r="D2926" s="701" t="s">
        <v>1129</v>
      </c>
      <c r="E2926" s="178">
        <v>2020</v>
      </c>
      <c r="F2926" s="178" t="s">
        <v>23395</v>
      </c>
      <c r="G2926" s="496"/>
      <c r="H2926" s="994" t="s">
        <v>20221</v>
      </c>
      <c r="I2926" s="11" t="s">
        <v>4013</v>
      </c>
      <c r="J2926" s="1285"/>
      <c r="K2926" s="1285"/>
      <c r="L2926" s="1285"/>
    </row>
    <row r="2927" spans="1:12" ht="11.15" customHeight="1">
      <c r="A2927" s="387" t="s">
        <v>4012</v>
      </c>
      <c r="B2927" s="59" t="s">
        <v>20659</v>
      </c>
      <c r="C2927" s="147" t="s">
        <v>20221</v>
      </c>
      <c r="D2927" s="701" t="s">
        <v>1129</v>
      </c>
      <c r="E2927" s="178">
        <v>2017</v>
      </c>
      <c r="F2927" s="178" t="s">
        <v>23395</v>
      </c>
      <c r="G2927" s="496"/>
      <c r="H2927" s="994" t="s">
        <v>20221</v>
      </c>
      <c r="I2927" s="11" t="s">
        <v>4015</v>
      </c>
      <c r="J2927" s="1285"/>
      <c r="K2927" s="1285"/>
      <c r="L2927" s="1285"/>
    </row>
    <row r="2928" spans="1:12" ht="11.15" customHeight="1">
      <c r="A2928" s="162" t="s">
        <v>4014</v>
      </c>
      <c r="B2928" s="59" t="s">
        <v>20659</v>
      </c>
      <c r="C2928" s="147" t="s">
        <v>20221</v>
      </c>
      <c r="D2928" s="701" t="s">
        <v>1129</v>
      </c>
      <c r="E2928" s="178">
        <v>2015</v>
      </c>
      <c r="F2928" s="178" t="s">
        <v>23395</v>
      </c>
      <c r="G2928" s="496"/>
      <c r="H2928" s="994" t="s">
        <v>20221</v>
      </c>
      <c r="I2928" s="11" t="s">
        <v>4017</v>
      </c>
      <c r="J2928" s="1285"/>
      <c r="K2928" s="1285"/>
      <c r="L2928" s="1285"/>
    </row>
    <row r="2929" spans="1:12" ht="11.15" customHeight="1">
      <c r="A2929" s="162" t="s">
        <v>4016</v>
      </c>
      <c r="B2929" s="59" t="s">
        <v>20660</v>
      </c>
      <c r="C2929" s="147" t="s">
        <v>23393</v>
      </c>
      <c r="D2929" s="701" t="s">
        <v>1129</v>
      </c>
      <c r="E2929" s="178">
        <v>2021</v>
      </c>
      <c r="F2929" s="178" t="s">
        <v>23395</v>
      </c>
      <c r="G2929" s="496"/>
      <c r="H2929" s="994" t="s">
        <v>20221</v>
      </c>
      <c r="I2929" s="11" t="s">
        <v>4018</v>
      </c>
      <c r="J2929" s="1285"/>
      <c r="K2929" s="1285"/>
      <c r="L2929" s="1285"/>
    </row>
    <row r="2930" spans="1:12" ht="11.15" customHeight="1">
      <c r="A2930" s="129" t="s">
        <v>903</v>
      </c>
      <c r="B2930" s="154" t="s">
        <v>4020</v>
      </c>
      <c r="C2930" s="147"/>
      <c r="D2930" s="159"/>
      <c r="E2930" s="36"/>
      <c r="F2930" s="178"/>
      <c r="G2930" s="496"/>
      <c r="H2930" s="36"/>
      <c r="I2930" s="11"/>
    </row>
    <row r="2931" spans="1:12" ht="11.15" customHeight="1">
      <c r="A2931" s="162" t="s">
        <v>4019</v>
      </c>
      <c r="B2931" s="59" t="s">
        <v>20661</v>
      </c>
      <c r="C2931" s="147" t="s">
        <v>23393</v>
      </c>
      <c r="D2931" s="284" t="s">
        <v>897</v>
      </c>
      <c r="E2931" s="178">
        <v>2021</v>
      </c>
      <c r="F2931" s="178" t="s">
        <v>23395</v>
      </c>
      <c r="G2931" s="496"/>
      <c r="H2931" s="994" t="s">
        <v>20221</v>
      </c>
      <c r="I2931" s="11" t="s">
        <v>4022</v>
      </c>
      <c r="J2931" s="1285"/>
      <c r="K2931" s="1285"/>
      <c r="L2931" s="1285"/>
    </row>
    <row r="2932" spans="1:12" ht="11.15" customHeight="1">
      <c r="A2932" s="162" t="s">
        <v>4021</v>
      </c>
      <c r="B2932" s="59" t="s">
        <v>20661</v>
      </c>
      <c r="C2932" s="147" t="s">
        <v>20221</v>
      </c>
      <c r="D2932" s="284" t="s">
        <v>897</v>
      </c>
      <c r="E2932" s="178">
        <v>2014</v>
      </c>
      <c r="F2932" s="178" t="s">
        <v>23395</v>
      </c>
      <c r="G2932" s="496"/>
      <c r="H2932" s="994" t="s">
        <v>20277</v>
      </c>
      <c r="I2932" s="11" t="s">
        <v>4024</v>
      </c>
      <c r="J2932" s="1285"/>
      <c r="K2932" s="1285"/>
      <c r="L2932" s="1285"/>
    </row>
    <row r="2933" spans="1:12" ht="11.15" customHeight="1">
      <c r="A2933" s="162" t="s">
        <v>4023</v>
      </c>
      <c r="B2933" s="154" t="s">
        <v>4027</v>
      </c>
      <c r="C2933" s="147"/>
      <c r="D2933" s="159"/>
      <c r="E2933" s="36"/>
      <c r="F2933" s="178"/>
      <c r="G2933" s="496"/>
      <c r="H2933" s="36"/>
      <c r="I2933" s="11"/>
    </row>
    <row r="2934" spans="1:12" ht="11.15" customHeight="1">
      <c r="A2934" s="162" t="s">
        <v>4025</v>
      </c>
      <c r="B2934" s="59" t="s">
        <v>20662</v>
      </c>
      <c r="C2934" s="147" t="s">
        <v>23393</v>
      </c>
      <c r="D2934" s="284" t="s">
        <v>897</v>
      </c>
      <c r="E2934" s="178">
        <v>2019</v>
      </c>
      <c r="F2934" s="178" t="s">
        <v>23395</v>
      </c>
      <c r="G2934" s="496"/>
      <c r="H2934" s="994" t="s">
        <v>20221</v>
      </c>
      <c r="I2934" s="11" t="s">
        <v>4029</v>
      </c>
      <c r="J2934" s="1285"/>
      <c r="K2934" s="1285"/>
      <c r="L2934" s="1285"/>
    </row>
    <row r="2935" spans="1:12" ht="11.15" customHeight="1">
      <c r="A2935" s="162" t="s">
        <v>4026</v>
      </c>
      <c r="B2935" s="59" t="s">
        <v>20662</v>
      </c>
      <c r="C2935" s="147" t="s">
        <v>20221</v>
      </c>
      <c r="D2935" s="284" t="s">
        <v>897</v>
      </c>
      <c r="E2935" s="178">
        <v>2017</v>
      </c>
      <c r="F2935" s="178" t="s">
        <v>23395</v>
      </c>
      <c r="G2935" s="496"/>
      <c r="H2935" s="994" t="s">
        <v>20221</v>
      </c>
      <c r="I2935" s="11" t="s">
        <v>4031</v>
      </c>
      <c r="J2935" s="1285"/>
      <c r="K2935" s="1285"/>
      <c r="L2935" s="1285"/>
    </row>
    <row r="2936" spans="1:12" ht="11.15" customHeight="1">
      <c r="A2936" s="162" t="s">
        <v>4028</v>
      </c>
      <c r="B2936" s="59" t="s">
        <v>20663</v>
      </c>
      <c r="C2936" s="147" t="s">
        <v>20221</v>
      </c>
      <c r="D2936" s="284" t="s">
        <v>897</v>
      </c>
      <c r="E2936" s="178">
        <v>2011</v>
      </c>
      <c r="F2936" s="178" t="s">
        <v>23395</v>
      </c>
      <c r="G2936" s="496"/>
      <c r="H2936" s="994" t="s">
        <v>20221</v>
      </c>
      <c r="I2936" s="11" t="s">
        <v>4033</v>
      </c>
      <c r="J2936" s="1285"/>
      <c r="K2936" s="1285"/>
      <c r="L2936" s="1285"/>
    </row>
    <row r="2937" spans="1:12" ht="11.15" customHeight="1">
      <c r="A2937" s="162" t="s">
        <v>4030</v>
      </c>
      <c r="B2937" s="59" t="s">
        <v>20664</v>
      </c>
      <c r="C2937" s="147" t="s">
        <v>23393</v>
      </c>
      <c r="D2937" s="284" t="s">
        <v>897</v>
      </c>
      <c r="E2937" s="178">
        <v>2020</v>
      </c>
      <c r="F2937" s="178" t="s">
        <v>23395</v>
      </c>
      <c r="G2937" s="496"/>
      <c r="H2937" s="994" t="s">
        <v>20221</v>
      </c>
      <c r="I2937" s="11" t="s">
        <v>4035</v>
      </c>
      <c r="J2937" s="1285"/>
      <c r="K2937" s="1285"/>
      <c r="L2937" s="1285"/>
    </row>
    <row r="2938" spans="1:12" ht="11.15" customHeight="1">
      <c r="A2938" s="162" t="s">
        <v>4032</v>
      </c>
      <c r="B2938" s="59" t="s">
        <v>20665</v>
      </c>
      <c r="C2938" s="147" t="s">
        <v>23393</v>
      </c>
      <c r="D2938" s="284" t="s">
        <v>897</v>
      </c>
      <c r="E2938" s="178">
        <v>2021</v>
      </c>
      <c r="F2938" s="178" t="s">
        <v>23395</v>
      </c>
      <c r="G2938" s="496"/>
      <c r="H2938" s="994" t="s">
        <v>20221</v>
      </c>
      <c r="I2938" s="11" t="s">
        <v>4037</v>
      </c>
      <c r="J2938" s="1285"/>
      <c r="K2938" s="1285"/>
      <c r="L2938" s="1285"/>
    </row>
    <row r="2939" spans="1:12" ht="11.15" customHeight="1">
      <c r="A2939" s="162" t="s">
        <v>4034</v>
      </c>
      <c r="B2939" s="59" t="s">
        <v>20665</v>
      </c>
      <c r="C2939" s="147" t="s">
        <v>20221</v>
      </c>
      <c r="D2939" s="284" t="s">
        <v>897</v>
      </c>
      <c r="E2939" s="178">
        <v>2017</v>
      </c>
      <c r="F2939" s="178" t="s">
        <v>23395</v>
      </c>
      <c r="G2939" s="496"/>
      <c r="H2939" s="994" t="s">
        <v>20221</v>
      </c>
      <c r="I2939" s="11" t="s">
        <v>4039</v>
      </c>
      <c r="J2939" s="1285"/>
      <c r="K2939" s="1285"/>
      <c r="L2939" s="1285"/>
    </row>
    <row r="2940" spans="1:12" ht="11.15" customHeight="1">
      <c r="A2940" s="162" t="s">
        <v>4036</v>
      </c>
      <c r="B2940" s="59" t="s">
        <v>20665</v>
      </c>
      <c r="C2940" s="147" t="s">
        <v>20221</v>
      </c>
      <c r="D2940" s="284" t="s">
        <v>897</v>
      </c>
      <c r="E2940" s="178">
        <v>2016</v>
      </c>
      <c r="F2940" s="178" t="s">
        <v>23395</v>
      </c>
      <c r="G2940" s="496"/>
      <c r="H2940" s="994" t="s">
        <v>20277</v>
      </c>
      <c r="I2940" s="11" t="s">
        <v>4041</v>
      </c>
      <c r="J2940" s="1285"/>
      <c r="K2940" s="1285"/>
      <c r="L2940" s="1285"/>
    </row>
    <row r="2941" spans="1:12" ht="11.15" customHeight="1">
      <c r="A2941" s="162" t="s">
        <v>4038</v>
      </c>
      <c r="B2941" s="59" t="s">
        <v>20665</v>
      </c>
      <c r="C2941" s="147" t="s">
        <v>20221</v>
      </c>
      <c r="D2941" s="284" t="s">
        <v>897</v>
      </c>
      <c r="E2941" s="178">
        <v>2011</v>
      </c>
      <c r="F2941" s="178" t="s">
        <v>23395</v>
      </c>
      <c r="G2941" s="496"/>
      <c r="H2941" s="994" t="s">
        <v>20221</v>
      </c>
      <c r="I2941" s="11" t="s">
        <v>4043</v>
      </c>
      <c r="J2941" s="1285"/>
      <c r="K2941" s="1285"/>
      <c r="L2941" s="1285"/>
    </row>
    <row r="2942" spans="1:12" ht="11.15" customHeight="1">
      <c r="A2942" s="162" t="s">
        <v>4040</v>
      </c>
      <c r="B2942" s="185"/>
      <c r="C2942" s="147"/>
      <c r="D2942" s="185"/>
      <c r="E2942" s="185"/>
      <c r="F2942" s="185"/>
      <c r="G2942" s="185"/>
      <c r="H2942" s="185"/>
      <c r="I2942" s="11"/>
    </row>
    <row r="2943" spans="1:12" ht="11.15" customHeight="1">
      <c r="A2943" s="129" t="s">
        <v>4042</v>
      </c>
      <c r="B2943" s="185"/>
      <c r="C2943" s="147"/>
      <c r="D2943" s="185"/>
      <c r="E2943" s="185"/>
      <c r="F2943" s="185"/>
      <c r="G2943" s="185"/>
      <c r="H2943" s="185"/>
      <c r="I2943" s="11"/>
    </row>
    <row r="2944" spans="1:12" ht="11.15" customHeight="1">
      <c r="A2944" s="162" t="s">
        <v>4044</v>
      </c>
      <c r="B2944" s="185"/>
      <c r="C2944" s="147"/>
      <c r="D2944" s="185"/>
      <c r="E2944" s="185"/>
      <c r="F2944" s="185"/>
      <c r="G2944" s="185"/>
      <c r="H2944" s="185"/>
      <c r="I2944" s="11"/>
    </row>
    <row r="2945" spans="1:9" ht="11.15" customHeight="1">
      <c r="A2945" s="162" t="s">
        <v>4045</v>
      </c>
      <c r="B2945" s="185"/>
      <c r="C2945" s="147"/>
      <c r="D2945" s="185"/>
      <c r="E2945" s="185"/>
      <c r="F2945" s="185"/>
      <c r="G2945" s="185"/>
      <c r="H2945" s="185"/>
      <c r="I2945" s="11"/>
    </row>
    <row r="2946" spans="1:9" ht="11.15" customHeight="1">
      <c r="A2946" s="162" t="s">
        <v>4046</v>
      </c>
      <c r="B2946" s="185"/>
      <c r="C2946" s="147"/>
      <c r="D2946" s="185"/>
      <c r="E2946" s="185"/>
      <c r="F2946" s="185"/>
      <c r="G2946" s="185"/>
      <c r="H2946" s="185"/>
      <c r="I2946" s="11"/>
    </row>
    <row r="2947" spans="1:9" ht="11.15" customHeight="1">
      <c r="A2947" s="162" t="s">
        <v>4047</v>
      </c>
      <c r="B2947" s="185"/>
      <c r="C2947" s="147"/>
      <c r="D2947" s="185"/>
      <c r="E2947" s="185"/>
      <c r="F2947" s="185"/>
      <c r="G2947" s="185"/>
      <c r="H2947" s="185"/>
      <c r="I2947" s="11"/>
    </row>
    <row r="2948" spans="1:9" ht="11.15" customHeight="1">
      <c r="A2948" s="162" t="s">
        <v>4048</v>
      </c>
      <c r="B2948" s="185"/>
      <c r="C2948" s="147"/>
      <c r="D2948" s="185"/>
      <c r="E2948" s="185"/>
      <c r="F2948" s="185"/>
      <c r="G2948" s="185"/>
      <c r="H2948" s="185"/>
      <c r="I2948" s="11"/>
    </row>
    <row r="2949" spans="1:9" ht="11.15" customHeight="1">
      <c r="A2949" s="162" t="s">
        <v>4049</v>
      </c>
      <c r="B2949" s="185"/>
      <c r="C2949" s="147"/>
      <c r="D2949" s="185"/>
      <c r="E2949" s="185"/>
      <c r="F2949" s="185"/>
      <c r="G2949" s="185"/>
      <c r="H2949" s="185"/>
      <c r="I2949" s="11"/>
    </row>
    <row r="2950" spans="1:9" ht="11.15" customHeight="1">
      <c r="A2950" s="162" t="s">
        <v>4050</v>
      </c>
      <c r="B2950" s="185"/>
      <c r="C2950" s="147"/>
      <c r="D2950" s="185"/>
      <c r="E2950" s="185"/>
      <c r="F2950" s="185"/>
      <c r="G2950" s="185"/>
      <c r="H2950" s="185"/>
      <c r="I2950" s="11"/>
    </row>
    <row r="2951" spans="1:9" ht="11.15" customHeight="1">
      <c r="A2951" s="162" t="s">
        <v>4051</v>
      </c>
      <c r="B2951" s="185"/>
      <c r="C2951" s="147"/>
      <c r="D2951" s="129"/>
      <c r="E2951" s="185"/>
      <c r="F2951" s="185"/>
      <c r="G2951" s="185"/>
      <c r="H2951" s="185"/>
      <c r="I2951" s="11"/>
    </row>
    <row r="2952" spans="1:9" ht="11.15" customHeight="1">
      <c r="A2952" s="162" t="s">
        <v>4052</v>
      </c>
      <c r="B2952" s="185"/>
      <c r="C2952" s="147"/>
      <c r="D2952" s="129"/>
      <c r="E2952" s="185"/>
      <c r="F2952" s="185"/>
      <c r="G2952" s="185"/>
      <c r="H2952" s="185"/>
      <c r="I2952" s="11"/>
    </row>
    <row r="2953" spans="1:9" ht="11.15" customHeight="1">
      <c r="A2953" s="162" t="s">
        <v>4053</v>
      </c>
      <c r="B2953" s="90"/>
      <c r="C2953" s="147"/>
      <c r="D2953" s="161"/>
      <c r="E2953" s="36"/>
      <c r="F2953" s="183"/>
      <c r="G2953" s="496"/>
      <c r="H2953" s="34"/>
      <c r="I2953" s="11"/>
    </row>
    <row r="2954" spans="1:9" ht="11.15" customHeight="1">
      <c r="A2954" s="162" t="s">
        <v>4054</v>
      </c>
      <c r="B2954" s="185"/>
      <c r="C2954" s="147"/>
      <c r="D2954" s="129"/>
      <c r="E2954" s="185"/>
      <c r="F2954" s="185"/>
      <c r="G2954" s="185"/>
      <c r="H2954" s="185"/>
      <c r="I2954" s="11"/>
    </row>
    <row r="2955" spans="1:9" ht="11.15" customHeight="1">
      <c r="A2955" s="162" t="s">
        <v>4055</v>
      </c>
      <c r="B2955" s="185"/>
      <c r="C2955" s="147"/>
      <c r="D2955" s="129"/>
      <c r="E2955" s="185"/>
      <c r="F2955" s="185"/>
      <c r="G2955" s="185"/>
      <c r="H2955" s="185"/>
      <c r="I2955" s="11"/>
    </row>
    <row r="2956" spans="1:9" ht="11.15" customHeight="1">
      <c r="A2956" s="162" t="s">
        <v>4056</v>
      </c>
      <c r="B2956" s="185"/>
      <c r="C2956" s="147"/>
      <c r="D2956" s="129"/>
      <c r="E2956" s="185"/>
      <c r="F2956" s="185"/>
      <c r="G2956" s="185"/>
      <c r="H2956" s="185"/>
      <c r="I2956" s="11"/>
    </row>
    <row r="2957" spans="1:9" ht="11.15" customHeight="1">
      <c r="A2957" s="162" t="s">
        <v>4057</v>
      </c>
      <c r="B2957" s="285"/>
      <c r="C2957" s="147"/>
      <c r="D2957" s="161"/>
      <c r="E2957" s="36"/>
      <c r="F2957" s="178"/>
      <c r="G2957" s="496"/>
      <c r="H2957" s="36"/>
      <c r="I2957" s="11"/>
    </row>
    <row r="2958" spans="1:9" ht="11.15" customHeight="1">
      <c r="A2958" s="162" t="s">
        <v>4058</v>
      </c>
      <c r="B2958" s="61"/>
      <c r="C2958" s="147"/>
      <c r="D2958" s="161"/>
      <c r="E2958" s="36"/>
      <c r="F2958" s="178"/>
      <c r="G2958" s="496"/>
      <c r="H2958" s="36"/>
      <c r="I2958" s="11"/>
    </row>
    <row r="2959" spans="1:9" ht="11.15" customHeight="1">
      <c r="A2959" s="162" t="s">
        <v>4059</v>
      </c>
      <c r="B2959" s="61"/>
      <c r="C2959" s="147"/>
      <c r="D2959" s="161"/>
      <c r="E2959" s="36"/>
      <c r="F2959" s="178"/>
      <c r="G2959" s="496"/>
      <c r="H2959" s="36"/>
      <c r="I2959" s="11"/>
    </row>
    <row r="2960" spans="1:9" ht="11.15" customHeight="1">
      <c r="A2960" s="162" t="s">
        <v>4060</v>
      </c>
      <c r="B2960" s="285"/>
      <c r="C2960" s="147"/>
      <c r="D2960" s="161"/>
      <c r="E2960" s="36"/>
      <c r="F2960" s="178"/>
      <c r="G2960" s="496"/>
      <c r="H2960" s="36"/>
      <c r="I2960" s="11"/>
    </row>
    <row r="2961" spans="1:9" ht="11.15" customHeight="1">
      <c r="A2961" s="129" t="s">
        <v>4061</v>
      </c>
      <c r="B2961" s="388"/>
      <c r="C2961" s="147"/>
      <c r="D2961" s="161"/>
      <c r="E2961" s="36"/>
      <c r="F2961" s="178"/>
      <c r="G2961" s="496"/>
      <c r="H2961" s="36"/>
      <c r="I2961" s="11"/>
    </row>
    <row r="2962" spans="1:9" ht="11.15" customHeight="1">
      <c r="A2962" s="162" t="s">
        <v>4062</v>
      </c>
      <c r="B2962" s="389"/>
      <c r="C2962" s="147"/>
      <c r="D2962" s="161"/>
      <c r="E2962" s="36"/>
      <c r="F2962" s="178"/>
      <c r="G2962" s="496"/>
      <c r="H2962" s="36"/>
      <c r="I2962" s="11"/>
    </row>
    <row r="2963" spans="1:9" ht="11.15" customHeight="1">
      <c r="A2963" s="162" t="s">
        <v>4063</v>
      </c>
      <c r="B2963" s="285"/>
      <c r="C2963" s="147"/>
      <c r="D2963" s="161"/>
      <c r="E2963" s="36"/>
      <c r="F2963" s="178"/>
      <c r="G2963" s="496"/>
      <c r="H2963" s="36"/>
      <c r="I2963" s="11"/>
    </row>
    <row r="2964" spans="1:9" ht="11.15" customHeight="1">
      <c r="A2964" s="162" t="s">
        <v>4064</v>
      </c>
      <c r="B2964" s="90"/>
      <c r="C2964" s="147"/>
      <c r="D2964" s="161"/>
      <c r="E2964" s="36"/>
      <c r="F2964" s="178"/>
      <c r="G2964" s="496"/>
      <c r="H2964" s="36"/>
      <c r="I2964" s="11"/>
    </row>
    <row r="2965" spans="1:9" ht="11.15" customHeight="1">
      <c r="A2965" s="162" t="s">
        <v>4065</v>
      </c>
      <c r="B2965" s="285"/>
      <c r="C2965" s="147"/>
      <c r="D2965" s="161"/>
      <c r="E2965" s="36"/>
      <c r="F2965" s="178"/>
      <c r="G2965" s="496"/>
      <c r="H2965" s="36"/>
      <c r="I2965" s="11"/>
    </row>
    <row r="2966" spans="1:9" ht="11.15" customHeight="1">
      <c r="A2966" s="162" t="s">
        <v>4066</v>
      </c>
      <c r="B2966" s="285"/>
      <c r="C2966" s="147"/>
      <c r="D2966" s="161"/>
      <c r="E2966" s="36"/>
      <c r="F2966" s="178"/>
      <c r="G2966" s="496"/>
      <c r="H2966" s="36"/>
      <c r="I2966" s="11"/>
    </row>
    <row r="2967" spans="1:9" ht="11.15" customHeight="1">
      <c r="A2967" s="162" t="s">
        <v>4067</v>
      </c>
      <c r="B2967" s="285"/>
      <c r="C2967" s="147"/>
      <c r="D2967" s="161"/>
      <c r="E2967" s="36"/>
      <c r="F2967" s="178"/>
      <c r="G2967" s="496"/>
      <c r="H2967" s="36"/>
      <c r="I2967" s="11"/>
    </row>
    <row r="2968" spans="1:9" ht="11.15" customHeight="1">
      <c r="A2968" s="162" t="s">
        <v>4058</v>
      </c>
      <c r="B2968" s="388"/>
      <c r="C2968" s="147"/>
      <c r="D2968" s="161"/>
      <c r="E2968" s="36"/>
      <c r="F2968" s="178"/>
      <c r="G2968" s="496"/>
      <c r="H2968" s="36"/>
      <c r="I2968" s="11"/>
    </row>
    <row r="2969" spans="1:9" ht="11.15" customHeight="1">
      <c r="A2969" s="162" t="s">
        <v>4068</v>
      </c>
      <c r="B2969" s="285"/>
      <c r="C2969" s="147"/>
      <c r="D2969" s="161"/>
      <c r="E2969" s="36"/>
      <c r="F2969" s="178"/>
      <c r="G2969" s="496"/>
      <c r="H2969" s="36"/>
      <c r="I2969" s="11"/>
    </row>
    <row r="2970" spans="1:9" ht="11.15" customHeight="1">
      <c r="A2970" s="162" t="s">
        <v>4069</v>
      </c>
      <c r="B2970" s="285"/>
      <c r="C2970" s="147"/>
      <c r="D2970" s="161"/>
      <c r="E2970" s="36"/>
      <c r="F2970" s="178"/>
      <c r="G2970" s="496"/>
      <c r="H2970" s="36"/>
      <c r="I2970" s="11"/>
    </row>
    <row r="2971" spans="1:9" ht="11.15" customHeight="1">
      <c r="A2971" s="162" t="s">
        <v>4070</v>
      </c>
      <c r="B2971" s="388"/>
      <c r="C2971" s="147"/>
      <c r="D2971" s="161"/>
      <c r="E2971" s="36"/>
      <c r="F2971" s="178"/>
      <c r="G2971" s="496"/>
      <c r="H2971" s="36"/>
      <c r="I2971" s="11"/>
    </row>
    <row r="2972" spans="1:9" ht="11.15" customHeight="1">
      <c r="A2972" s="29" t="s">
        <v>3647</v>
      </c>
      <c r="B2972" s="388"/>
      <c r="C2972" s="147"/>
      <c r="D2972" s="161"/>
      <c r="E2972" s="36"/>
      <c r="F2972" s="178"/>
      <c r="G2972" s="496"/>
      <c r="H2972" s="36"/>
      <c r="I2972" s="11"/>
    </row>
    <row r="2973" spans="1:9" ht="11.15" customHeight="1">
      <c r="A2973" s="29" t="s">
        <v>4071</v>
      </c>
      <c r="B2973" s="388"/>
      <c r="C2973" s="147"/>
      <c r="D2973" s="161"/>
      <c r="E2973" s="36"/>
      <c r="F2973" s="178"/>
      <c r="G2973" s="496"/>
      <c r="H2973" s="36"/>
      <c r="I2973" s="11"/>
    </row>
    <row r="2974" spans="1:9" ht="11.15" customHeight="1">
      <c r="A2974" s="166" t="s">
        <v>4072</v>
      </c>
      <c r="B2974" s="388"/>
      <c r="C2974" s="147"/>
      <c r="D2974" s="161"/>
      <c r="E2974" s="36"/>
      <c r="F2974" s="178"/>
      <c r="G2974" s="496"/>
      <c r="H2974" s="36"/>
      <c r="I2974" s="11"/>
    </row>
    <row r="2975" spans="1:9" ht="11.15" customHeight="1">
      <c r="A2975" s="166" t="s">
        <v>4073</v>
      </c>
      <c r="B2975" s="390"/>
      <c r="C2975" s="147"/>
      <c r="D2975" s="161"/>
      <c r="E2975" s="36"/>
      <c r="F2975" s="178"/>
      <c r="G2975" s="496"/>
      <c r="H2975" s="36"/>
      <c r="I2975" s="11"/>
    </row>
    <row r="2976" spans="1:9" ht="11.15" customHeight="1">
      <c r="A2976" s="166" t="s">
        <v>4074</v>
      </c>
      <c r="B2976" s="58"/>
      <c r="C2976" s="147"/>
      <c r="D2976" s="161"/>
      <c r="E2976" s="36"/>
      <c r="F2976" s="178"/>
      <c r="G2976" s="496"/>
      <c r="H2976" s="36"/>
      <c r="I2976" s="11"/>
    </row>
    <row r="2977" spans="1:9" ht="11.15" customHeight="1">
      <c r="A2977" s="166" t="s">
        <v>4075</v>
      </c>
      <c r="B2977" s="185"/>
      <c r="C2977" s="147"/>
      <c r="D2977" s="161"/>
      <c r="E2977" s="36"/>
      <c r="F2977" s="178"/>
      <c r="G2977" s="496"/>
      <c r="H2977" s="36"/>
      <c r="I2977" s="11"/>
    </row>
    <row r="2978" spans="1:9" ht="11.15" customHeight="1">
      <c r="A2978" s="129" t="s">
        <v>4076</v>
      </c>
      <c r="B2978" s="185"/>
      <c r="C2978" s="147"/>
      <c r="D2978" s="161"/>
      <c r="E2978" s="36"/>
      <c r="F2978" s="178"/>
      <c r="G2978" s="496"/>
      <c r="H2978" s="36"/>
      <c r="I2978" s="11"/>
    </row>
    <row r="2979" spans="1:9" ht="11.15" customHeight="1">
      <c r="A2979" s="29" t="s">
        <v>4077</v>
      </c>
      <c r="B2979" s="391"/>
      <c r="C2979" s="147"/>
      <c r="D2979" s="122"/>
      <c r="E2979" s="36"/>
      <c r="F2979" s="178"/>
      <c r="G2979" s="496"/>
      <c r="H2979" s="36"/>
      <c r="I2979" s="11"/>
    </row>
    <row r="2980" spans="1:9" ht="11.15" customHeight="1" thickBot="1">
      <c r="A2980" s="29"/>
      <c r="B2980" s="185"/>
      <c r="C2980" s="147"/>
      <c r="D2980" s="185"/>
      <c r="E2980" s="185"/>
      <c r="F2980" s="185"/>
      <c r="G2980" s="185"/>
      <c r="H2980" s="185"/>
      <c r="I2980" s="11"/>
    </row>
    <row r="2981" spans="1:9" ht="24" customHeight="1" thickBot="1">
      <c r="A2981" s="392" t="s">
        <v>4078</v>
      </c>
      <c r="B2981" s="393"/>
      <c r="C2981" s="170"/>
      <c r="D2981" s="139"/>
      <c r="E2981" s="394"/>
      <c r="F2981" s="1076"/>
      <c r="G2981" s="1211"/>
      <c r="H2981" s="394"/>
      <c r="I2981" s="1131"/>
    </row>
    <row r="2982" spans="1:9" ht="11.15" customHeight="1">
      <c r="A2982" s="239" t="s">
        <v>3877</v>
      </c>
      <c r="B2982" s="395"/>
      <c r="C2982" s="147"/>
      <c r="D2982" s="87"/>
      <c r="E2982" s="36"/>
      <c r="F2982" s="178"/>
      <c r="G2982" s="453"/>
      <c r="H2982" s="36"/>
      <c r="I2982" s="11"/>
    </row>
    <row r="2983" spans="1:9" ht="11.15" customHeight="1">
      <c r="A2983" s="271" t="s">
        <v>4079</v>
      </c>
      <c r="B2983" s="90" t="s">
        <v>4080</v>
      </c>
      <c r="C2983" s="147"/>
      <c r="D2983" s="122"/>
      <c r="E2983" s="36"/>
      <c r="F2983" s="178"/>
      <c r="G2983" s="453"/>
      <c r="H2983" s="36"/>
      <c r="I2983" s="11"/>
    </row>
    <row r="2984" spans="1:9" ht="11.15" customHeight="1">
      <c r="A2984" s="271" t="s">
        <v>4081</v>
      </c>
      <c r="B2984" s="90" t="s">
        <v>4082</v>
      </c>
      <c r="C2984" s="147"/>
      <c r="D2984" s="122"/>
      <c r="E2984" s="36"/>
      <c r="F2984" s="178"/>
      <c r="G2984" s="453"/>
      <c r="H2984" s="36"/>
      <c r="I2984" s="11"/>
    </row>
    <row r="2985" spans="1:9" ht="11.15" customHeight="1">
      <c r="A2985" s="271" t="s">
        <v>4083</v>
      </c>
      <c r="B2985" s="90" t="s">
        <v>4082</v>
      </c>
      <c r="C2985" s="147"/>
      <c r="D2985" s="122"/>
      <c r="E2985" s="36"/>
      <c r="F2985" s="178"/>
      <c r="G2985" s="453"/>
      <c r="H2985" s="36"/>
      <c r="I2985" s="11"/>
    </row>
    <row r="2986" spans="1:9" ht="11.15" customHeight="1">
      <c r="A2986" s="271" t="s">
        <v>4084</v>
      </c>
      <c r="B2986" s="90" t="s">
        <v>4082</v>
      </c>
      <c r="C2986" s="147"/>
      <c r="D2986" s="122"/>
      <c r="E2986" s="36"/>
      <c r="F2986" s="178"/>
      <c r="G2986" s="453"/>
      <c r="H2986" s="36"/>
      <c r="I2986" s="11"/>
    </row>
    <row r="2987" spans="1:9" ht="11.15" customHeight="1">
      <c r="A2987" s="271" t="s">
        <v>4085</v>
      </c>
      <c r="B2987" s="90" t="s">
        <v>4082</v>
      </c>
      <c r="C2987" s="147"/>
      <c r="D2987" s="122"/>
      <c r="E2987" s="36"/>
      <c r="F2987" s="178"/>
      <c r="G2987" s="453"/>
      <c r="H2987" s="36"/>
      <c r="I2987" s="11"/>
    </row>
    <row r="2988" spans="1:9" ht="11.15" customHeight="1">
      <c r="A2988" s="271" t="s">
        <v>4086</v>
      </c>
      <c r="B2988" s="90" t="s">
        <v>4082</v>
      </c>
      <c r="C2988" s="147"/>
      <c r="D2988" s="122"/>
      <c r="E2988" s="36"/>
      <c r="F2988" s="178"/>
      <c r="G2988" s="453"/>
      <c r="H2988" s="36"/>
      <c r="I2988" s="11"/>
    </row>
    <row r="2989" spans="1:9" ht="11.15" customHeight="1">
      <c r="A2989" s="271" t="s">
        <v>4087</v>
      </c>
      <c r="B2989" s="90" t="s">
        <v>4082</v>
      </c>
      <c r="C2989" s="147"/>
      <c r="D2989" s="122"/>
      <c r="E2989" s="36"/>
      <c r="F2989" s="178"/>
      <c r="G2989" s="453"/>
      <c r="H2989" s="36"/>
      <c r="I2989" s="11"/>
    </row>
    <row r="2990" spans="1:9" ht="11.15" customHeight="1">
      <c r="A2990" s="271" t="s">
        <v>4088</v>
      </c>
      <c r="B2990" s="90" t="s">
        <v>4082</v>
      </c>
      <c r="C2990" s="147"/>
      <c r="D2990" s="122"/>
      <c r="E2990" s="36"/>
      <c r="F2990" s="178"/>
      <c r="G2990" s="453"/>
      <c r="H2990" s="36"/>
      <c r="I2990" s="11"/>
    </row>
    <row r="2991" spans="1:9" ht="11.15" customHeight="1">
      <c r="A2991" s="271" t="s">
        <v>4089</v>
      </c>
      <c r="B2991" s="90" t="s">
        <v>4082</v>
      </c>
      <c r="C2991" s="147"/>
      <c r="D2991" s="122"/>
      <c r="E2991" s="36"/>
      <c r="F2991" s="178"/>
      <c r="G2991" s="453"/>
      <c r="H2991" s="36"/>
      <c r="I2991" s="11"/>
    </row>
    <row r="2992" spans="1:9" ht="11.15" customHeight="1">
      <c r="A2992" s="271" t="s">
        <v>4090</v>
      </c>
      <c r="B2992" s="90" t="s">
        <v>4082</v>
      </c>
      <c r="C2992" s="147"/>
      <c r="D2992" s="122"/>
      <c r="E2992" s="36"/>
      <c r="F2992" s="178"/>
      <c r="G2992" s="453"/>
      <c r="H2992" s="36"/>
      <c r="I2992" s="11"/>
    </row>
    <row r="2993" spans="1:12" ht="11.15" customHeight="1">
      <c r="A2993" s="271" t="s">
        <v>4091</v>
      </c>
      <c r="B2993" s="90" t="s">
        <v>4082</v>
      </c>
      <c r="C2993" s="147"/>
      <c r="D2993" s="122"/>
      <c r="E2993" s="36"/>
      <c r="F2993" s="178"/>
      <c r="G2993" s="453"/>
      <c r="H2993" s="36"/>
      <c r="I2993" s="11"/>
    </row>
    <row r="2994" spans="1:12" ht="11.15" customHeight="1" thickBot="1">
      <c r="A2994" s="271"/>
      <c r="B2994" s="90"/>
      <c r="C2994" s="147"/>
      <c r="D2994" s="122"/>
      <c r="E2994" s="36"/>
      <c r="F2994" s="178"/>
      <c r="G2994" s="453"/>
      <c r="H2994" s="36"/>
      <c r="I2994" s="11"/>
    </row>
    <row r="2995" spans="1:12" ht="24" customHeight="1">
      <c r="A2995" s="396" t="s">
        <v>4092</v>
      </c>
      <c r="B2995" s="397" t="s">
        <v>4093</v>
      </c>
      <c r="C2995" s="398"/>
      <c r="D2995" s="399"/>
      <c r="E2995" s="400"/>
      <c r="F2995" s="401"/>
      <c r="G2995" s="1212"/>
      <c r="H2995" s="1148"/>
      <c r="I2995" s="11"/>
    </row>
    <row r="2996" spans="1:12" ht="217" customHeight="1">
      <c r="A2996" s="402"/>
      <c r="B2996" s="403"/>
      <c r="C2996" s="403"/>
      <c r="D2996" s="403"/>
      <c r="E2996" s="403"/>
      <c r="F2996" s="1077"/>
      <c r="G2996" s="1077"/>
      <c r="H2996" s="404"/>
      <c r="I2996" s="11"/>
    </row>
    <row r="2997" spans="1:12" ht="12" customHeight="1">
      <c r="A2997" s="405" t="s">
        <v>4094</v>
      </c>
      <c r="B2997" s="406" t="s">
        <v>4095</v>
      </c>
      <c r="C2997" s="407"/>
      <c r="D2997" s="408"/>
      <c r="E2997" s="1043"/>
      <c r="F2997" s="409"/>
      <c r="G2997" s="1213"/>
      <c r="H2997" s="1149"/>
      <c r="I2997" s="12"/>
    </row>
    <row r="2998" spans="1:12" ht="11.15" customHeight="1">
      <c r="A2998" s="410" t="s">
        <v>4096</v>
      </c>
      <c r="B2998" s="1299" t="s">
        <v>20890</v>
      </c>
      <c r="C2998" s="407" t="s">
        <v>20221</v>
      </c>
      <c r="D2998" s="1300" t="s">
        <v>1129</v>
      </c>
      <c r="E2998" s="1044">
        <v>2017</v>
      </c>
      <c r="F2998" s="1044" t="s">
        <v>4520</v>
      </c>
      <c r="G2998" s="1214"/>
      <c r="H2998" s="1163" t="s">
        <v>20221</v>
      </c>
      <c r="I2998" s="12" t="s">
        <v>4097</v>
      </c>
      <c r="J2998" s="1285"/>
      <c r="K2998" s="1285"/>
      <c r="L2998" s="1285"/>
    </row>
    <row r="2999" spans="1:12" ht="11.15" customHeight="1">
      <c r="A2999" s="410" t="s">
        <v>4098</v>
      </c>
      <c r="B2999" s="1299" t="s">
        <v>20806</v>
      </c>
      <c r="C2999" s="407" t="s">
        <v>23393</v>
      </c>
      <c r="D2999" s="1300" t="s">
        <v>1129</v>
      </c>
      <c r="E2999" s="1044">
        <v>2014</v>
      </c>
      <c r="F2999" s="1044" t="s">
        <v>4520</v>
      </c>
      <c r="G2999" s="1214"/>
      <c r="H2999" s="1163" t="s">
        <v>20221</v>
      </c>
      <c r="I2999" s="12" t="s">
        <v>4099</v>
      </c>
      <c r="J2999" s="1285"/>
      <c r="K2999" s="1285"/>
      <c r="L2999" s="1285"/>
    </row>
    <row r="3000" spans="1:12" ht="11.15" customHeight="1">
      <c r="A3000" s="410" t="s">
        <v>4098</v>
      </c>
      <c r="B3000" s="1299" t="s">
        <v>20807</v>
      </c>
      <c r="C3000" s="407" t="s">
        <v>23393</v>
      </c>
      <c r="D3000" s="1300" t="s">
        <v>1129</v>
      </c>
      <c r="E3000" s="1044">
        <v>2014</v>
      </c>
      <c r="F3000" s="1044" t="s">
        <v>4520</v>
      </c>
      <c r="G3000" s="1214"/>
      <c r="H3000" s="1163" t="s">
        <v>20221</v>
      </c>
      <c r="I3000" s="12" t="s">
        <v>4100</v>
      </c>
      <c r="J3000" s="1285"/>
      <c r="K3000" s="1285"/>
      <c r="L3000" s="1285"/>
    </row>
    <row r="3001" spans="1:12" ht="11.15" customHeight="1">
      <c r="A3001" s="410" t="s">
        <v>4101</v>
      </c>
      <c r="B3001" s="1299" t="s">
        <v>20978</v>
      </c>
      <c r="C3001" s="407" t="s">
        <v>20221</v>
      </c>
      <c r="D3001" s="1300" t="s">
        <v>1129</v>
      </c>
      <c r="E3001" s="1044">
        <v>2015</v>
      </c>
      <c r="F3001" s="1044" t="s">
        <v>4520</v>
      </c>
      <c r="G3001" s="1214"/>
      <c r="H3001" s="1163" t="s">
        <v>20221</v>
      </c>
      <c r="I3001" s="12" t="s">
        <v>4102</v>
      </c>
      <c r="J3001" s="1285"/>
      <c r="K3001" s="1285"/>
      <c r="L3001" s="1285"/>
    </row>
    <row r="3002" spans="1:12" ht="11.15" customHeight="1">
      <c r="A3002" s="410" t="s">
        <v>4083</v>
      </c>
      <c r="B3002" s="1299" t="s">
        <v>20752</v>
      </c>
      <c r="C3002" s="407" t="s">
        <v>20221</v>
      </c>
      <c r="D3002" s="1300" t="s">
        <v>1129</v>
      </c>
      <c r="E3002" s="1044">
        <v>2022</v>
      </c>
      <c r="F3002" s="1044" t="s">
        <v>4520</v>
      </c>
      <c r="G3002" s="1214"/>
      <c r="H3002" s="1163" t="s">
        <v>20221</v>
      </c>
      <c r="I3002" s="12" t="s">
        <v>4103</v>
      </c>
      <c r="J3002" s="1285"/>
      <c r="K3002" s="1285"/>
      <c r="L3002" s="1285"/>
    </row>
    <row r="3003" spans="1:12" ht="11.15" customHeight="1">
      <c r="A3003" s="410" t="s">
        <v>4104</v>
      </c>
      <c r="B3003" s="1299" t="s">
        <v>20946</v>
      </c>
      <c r="C3003" s="407" t="s">
        <v>23393</v>
      </c>
      <c r="D3003" s="1300" t="s">
        <v>1129</v>
      </c>
      <c r="E3003" s="1044">
        <v>2018</v>
      </c>
      <c r="F3003" s="1044" t="s">
        <v>23395</v>
      </c>
      <c r="G3003" s="1214"/>
      <c r="H3003" s="1163" t="s">
        <v>20221</v>
      </c>
      <c r="I3003" s="12" t="s">
        <v>4105</v>
      </c>
      <c r="J3003" s="1285"/>
      <c r="K3003" s="1285"/>
      <c r="L3003" s="1285"/>
    </row>
    <row r="3004" spans="1:12" ht="11.15" customHeight="1">
      <c r="A3004" s="410" t="s">
        <v>4106</v>
      </c>
      <c r="B3004" s="1299" t="s">
        <v>20839</v>
      </c>
      <c r="C3004" s="407" t="s">
        <v>20221</v>
      </c>
      <c r="D3004" s="1300" t="s">
        <v>1129</v>
      </c>
      <c r="E3004" s="1044">
        <v>2016</v>
      </c>
      <c r="F3004" s="1044" t="s">
        <v>4520</v>
      </c>
      <c r="G3004" s="1214"/>
      <c r="H3004" s="1163" t="s">
        <v>20221</v>
      </c>
      <c r="I3004" s="12" t="s">
        <v>4107</v>
      </c>
      <c r="J3004" s="1285"/>
      <c r="K3004" s="1285"/>
      <c r="L3004" s="1285"/>
    </row>
    <row r="3005" spans="1:12" ht="12" customHeight="1">
      <c r="A3005" s="405"/>
      <c r="B3005" s="406" t="s">
        <v>4108</v>
      </c>
      <c r="C3005" s="407"/>
      <c r="D3005" s="408"/>
      <c r="E3005" s="411"/>
      <c r="F3005" s="409"/>
      <c r="G3005" s="1214"/>
      <c r="H3005" s="1149"/>
      <c r="I3005" s="11"/>
    </row>
    <row r="3006" spans="1:12" ht="11.15" customHeight="1">
      <c r="A3006" s="410" t="s">
        <v>4104</v>
      </c>
      <c r="B3006" s="1299" t="s">
        <v>20947</v>
      </c>
      <c r="C3006" s="407" t="s">
        <v>23393</v>
      </c>
      <c r="D3006" s="1300" t="s">
        <v>1129</v>
      </c>
      <c r="E3006" s="1044">
        <v>2016</v>
      </c>
      <c r="F3006" s="1044" t="s">
        <v>23395</v>
      </c>
      <c r="G3006" s="1214"/>
      <c r="H3006" s="1163" t="s">
        <v>20221</v>
      </c>
      <c r="I3006" s="12" t="s">
        <v>4109</v>
      </c>
      <c r="J3006" s="1285"/>
      <c r="K3006" s="1285"/>
      <c r="L3006" s="1285"/>
    </row>
    <row r="3007" spans="1:12" ht="11.15" customHeight="1">
      <c r="A3007" s="410" t="s">
        <v>4110</v>
      </c>
      <c r="B3007" s="1299" t="s">
        <v>20815</v>
      </c>
      <c r="C3007" s="407" t="s">
        <v>20221</v>
      </c>
      <c r="D3007" s="1300" t="s">
        <v>1129</v>
      </c>
      <c r="E3007" s="1044">
        <v>2012</v>
      </c>
      <c r="F3007" s="1044" t="s">
        <v>4520</v>
      </c>
      <c r="G3007" s="1214"/>
      <c r="H3007" s="1301" t="s">
        <v>20224</v>
      </c>
      <c r="I3007" s="12" t="s">
        <v>4111</v>
      </c>
      <c r="J3007" s="1285"/>
      <c r="K3007" s="1285"/>
      <c r="L3007" s="1285"/>
    </row>
    <row r="3008" spans="1:12" ht="11.15" customHeight="1" thickBot="1">
      <c r="A3008" s="1283"/>
      <c r="B3008" s="1302"/>
      <c r="C3008" s="412"/>
      <c r="D3008" s="1303"/>
      <c r="E3008" s="1109"/>
      <c r="F3008" s="1109"/>
      <c r="G3008" s="1215"/>
      <c r="H3008" s="1304"/>
      <c r="I3008" s="12"/>
      <c r="J3008" s="1285"/>
      <c r="K3008" s="1285"/>
      <c r="L3008" s="1285"/>
    </row>
    <row r="3009" spans="1:12" ht="11.15" customHeight="1" thickBot="1">
      <c r="A3009" s="445"/>
      <c r="B3009" s="90"/>
      <c r="C3009" s="147"/>
      <c r="D3009" s="701"/>
      <c r="E3009" s="178"/>
      <c r="F3009" s="178"/>
      <c r="G3009" s="671"/>
      <c r="H3009" s="994"/>
      <c r="I3009" s="12"/>
      <c r="J3009" s="1285"/>
      <c r="K3009" s="1285"/>
      <c r="L3009" s="1285"/>
    </row>
    <row r="3010" spans="1:12" ht="11.25" customHeight="1" thickBot="1">
      <c r="A3010" s="769" t="s">
        <v>4112</v>
      </c>
      <c r="B3010" s="59" t="s">
        <v>20667</v>
      </c>
      <c r="C3010" s="147" t="s">
        <v>23393</v>
      </c>
      <c r="D3010" s="284" t="s">
        <v>897</v>
      </c>
      <c r="E3010" s="178">
        <v>2022</v>
      </c>
      <c r="F3010" s="178" t="s">
        <v>23395</v>
      </c>
      <c r="G3010" s="496"/>
      <c r="H3010" s="994" t="s">
        <v>20221</v>
      </c>
      <c r="I3010" s="11" t="s">
        <v>4113</v>
      </c>
      <c r="J3010" s="1285"/>
      <c r="K3010" s="1285"/>
      <c r="L3010" s="1285"/>
    </row>
    <row r="3011" spans="1:12" ht="11.15" customHeight="1">
      <c r="A3011" s="29" t="s">
        <v>4114</v>
      </c>
      <c r="B3011" s="59" t="s">
        <v>20668</v>
      </c>
      <c r="C3011" s="147" t="s">
        <v>23393</v>
      </c>
      <c r="D3011" s="284" t="s">
        <v>897</v>
      </c>
      <c r="E3011" s="178">
        <v>2022</v>
      </c>
      <c r="F3011" s="178" t="s">
        <v>23395</v>
      </c>
      <c r="G3011" s="496"/>
      <c r="H3011" s="994" t="s">
        <v>20221</v>
      </c>
      <c r="I3011" s="11" t="s">
        <v>4115</v>
      </c>
      <c r="J3011" s="1285"/>
      <c r="K3011" s="1285"/>
      <c r="L3011" s="1285"/>
    </row>
    <row r="3012" spans="1:12" ht="11.15" customHeight="1">
      <c r="A3012" s="29" t="s">
        <v>4116</v>
      </c>
      <c r="B3012" s="59" t="s">
        <v>20669</v>
      </c>
      <c r="C3012" s="147" t="s">
        <v>23393</v>
      </c>
      <c r="D3012" s="284" t="s">
        <v>897</v>
      </c>
      <c r="E3012" s="178">
        <v>2022</v>
      </c>
      <c r="F3012" s="178" t="s">
        <v>4520</v>
      </c>
      <c r="G3012" s="496"/>
      <c r="H3012" s="994" t="s">
        <v>20221</v>
      </c>
      <c r="I3012" s="11" t="s">
        <v>4117</v>
      </c>
      <c r="J3012" s="1285"/>
      <c r="K3012" s="1285"/>
      <c r="L3012" s="1285"/>
    </row>
    <row r="3013" spans="1:12" ht="11.15" customHeight="1">
      <c r="A3013" s="181" t="s">
        <v>4118</v>
      </c>
      <c r="B3013" s="59" t="s">
        <v>20670</v>
      </c>
      <c r="C3013" s="147" t="s">
        <v>23393</v>
      </c>
      <c r="D3013" s="284" t="s">
        <v>897</v>
      </c>
      <c r="E3013" s="178">
        <v>2022</v>
      </c>
      <c r="F3013" s="178" t="s">
        <v>4520</v>
      </c>
      <c r="G3013" s="496"/>
      <c r="H3013" s="994" t="s">
        <v>20221</v>
      </c>
      <c r="I3013" s="11" t="s">
        <v>4119</v>
      </c>
      <c r="J3013" s="1285"/>
      <c r="K3013" s="1285"/>
      <c r="L3013" s="1285"/>
    </row>
    <row r="3014" spans="1:12" ht="11.15" customHeight="1">
      <c r="A3014" s="218" t="s">
        <v>4120</v>
      </c>
      <c r="B3014" s="59"/>
      <c r="C3014" s="147"/>
      <c r="D3014" s="284"/>
      <c r="E3014" s="178"/>
      <c r="F3014" s="178"/>
      <c r="G3014" s="496"/>
      <c r="H3014" s="994"/>
      <c r="I3014" s="11"/>
      <c r="J3014" s="1285"/>
      <c r="K3014" s="1285"/>
      <c r="L3014" s="1285"/>
    </row>
    <row r="3015" spans="1:12" ht="11.15" customHeight="1">
      <c r="A3015" s="29" t="s">
        <v>4121</v>
      </c>
      <c r="B3015" s="59"/>
      <c r="C3015" s="147"/>
      <c r="D3015" s="284"/>
      <c r="E3015" s="178"/>
      <c r="F3015" s="178"/>
      <c r="G3015" s="496"/>
      <c r="H3015" s="994"/>
      <c r="I3015" s="11"/>
      <c r="J3015" s="1285"/>
      <c r="K3015" s="1285"/>
      <c r="L3015" s="1285"/>
    </row>
    <row r="3016" spans="1:12" ht="11.15" customHeight="1">
      <c r="A3016" s="29" t="s">
        <v>4122</v>
      </c>
      <c r="B3016" s="59"/>
      <c r="C3016" s="147"/>
      <c r="D3016" s="284"/>
      <c r="E3016" s="178"/>
      <c r="F3016" s="178"/>
      <c r="G3016" s="496"/>
      <c r="H3016" s="994"/>
      <c r="I3016" s="11"/>
      <c r="J3016" s="1285"/>
      <c r="K3016" s="1285"/>
      <c r="L3016" s="1285"/>
    </row>
    <row r="3017" spans="1:12" ht="11.15" customHeight="1">
      <c r="A3017" s="29" t="s">
        <v>4123</v>
      </c>
      <c r="B3017" s="59"/>
      <c r="C3017" s="147"/>
      <c r="D3017" s="284"/>
      <c r="E3017" s="178"/>
      <c r="F3017" s="178"/>
      <c r="G3017" s="496"/>
      <c r="H3017" s="994"/>
      <c r="I3017" s="11"/>
      <c r="J3017" s="1285"/>
      <c r="K3017" s="1285"/>
      <c r="L3017" s="1285"/>
    </row>
    <row r="3018" spans="1:12" ht="11.15" customHeight="1">
      <c r="A3018" s="1345" t="s">
        <v>4124</v>
      </c>
      <c r="B3018" s="59"/>
      <c r="C3018" s="147"/>
      <c r="D3018" s="284"/>
      <c r="E3018" s="178"/>
      <c r="F3018" s="178"/>
      <c r="G3018" s="496"/>
      <c r="H3018" s="994"/>
      <c r="I3018" s="11"/>
      <c r="J3018" s="1285"/>
      <c r="K3018" s="1285"/>
      <c r="L3018" s="1285"/>
    </row>
    <row r="3019" spans="1:12" ht="11.15" customHeight="1">
      <c r="A3019" s="164" t="s">
        <v>4125</v>
      </c>
      <c r="B3019" s="59"/>
      <c r="C3019" s="147"/>
      <c r="D3019" s="284"/>
      <c r="E3019" s="178"/>
      <c r="F3019" s="178"/>
      <c r="G3019" s="496"/>
      <c r="H3019" s="994"/>
      <c r="I3019" s="11"/>
      <c r="J3019" s="1285"/>
      <c r="K3019" s="1285"/>
      <c r="L3019" s="1285"/>
    </row>
    <row r="3020" spans="1:12" ht="11.15" customHeight="1">
      <c r="A3020" s="162" t="s">
        <v>4126</v>
      </c>
      <c r="B3020" s="59"/>
      <c r="C3020" s="147"/>
      <c r="D3020" s="284"/>
      <c r="E3020" s="178"/>
      <c r="F3020" s="178"/>
      <c r="G3020" s="496"/>
      <c r="H3020" s="994"/>
      <c r="I3020" s="11"/>
      <c r="J3020" s="1285"/>
      <c r="K3020" s="1285"/>
      <c r="L3020" s="1285"/>
    </row>
    <row r="3021" spans="1:12" ht="11.15" customHeight="1">
      <c r="A3021" s="638" t="s">
        <v>4127</v>
      </c>
      <c r="B3021" s="59"/>
      <c r="C3021" s="147"/>
      <c r="D3021" s="284"/>
      <c r="E3021" s="178"/>
      <c r="F3021" s="178"/>
      <c r="G3021" s="496"/>
      <c r="H3021" s="994"/>
      <c r="I3021" s="11"/>
      <c r="J3021" s="1285"/>
      <c r="K3021" s="1285"/>
      <c r="L3021" s="1285"/>
    </row>
    <row r="3022" spans="1:12" ht="11.15" customHeight="1">
      <c r="A3022" s="638" t="s">
        <v>4128</v>
      </c>
      <c r="B3022" s="59"/>
      <c r="C3022" s="147"/>
      <c r="D3022" s="284"/>
      <c r="E3022" s="178"/>
      <c r="F3022" s="178"/>
      <c r="G3022" s="496"/>
      <c r="H3022" s="994"/>
      <c r="I3022" s="11"/>
      <c r="J3022" s="1285"/>
      <c r="K3022" s="1285"/>
      <c r="L3022" s="1285"/>
    </row>
    <row r="3023" spans="1:12" ht="11.15" customHeight="1">
      <c r="A3023" s="638" t="s">
        <v>4129</v>
      </c>
      <c r="B3023" s="59"/>
      <c r="C3023" s="147"/>
      <c r="D3023" s="284"/>
      <c r="E3023" s="178"/>
      <c r="F3023" s="178"/>
      <c r="G3023" s="496"/>
      <c r="H3023" s="994"/>
      <c r="I3023" s="11"/>
      <c r="J3023" s="1285"/>
      <c r="K3023" s="1285"/>
      <c r="L3023" s="1285"/>
    </row>
    <row r="3024" spans="1:12" ht="11.15" customHeight="1">
      <c r="A3024" s="164" t="s">
        <v>4130</v>
      </c>
      <c r="B3024" s="59"/>
      <c r="C3024" s="147"/>
      <c r="D3024" s="284"/>
      <c r="E3024" s="178"/>
      <c r="F3024" s="178"/>
      <c r="G3024" s="496"/>
      <c r="H3024" s="994"/>
      <c r="I3024" s="11"/>
      <c r="J3024" s="1285"/>
      <c r="K3024" s="1285"/>
      <c r="L3024" s="1285"/>
    </row>
    <row r="3025" spans="1:12" ht="11.15" customHeight="1">
      <c r="A3025" s="1171" t="s">
        <v>4131</v>
      </c>
      <c r="B3025" s="59"/>
      <c r="C3025" s="147"/>
      <c r="D3025" s="284"/>
      <c r="E3025" s="178"/>
      <c r="F3025" s="178"/>
      <c r="G3025" s="496"/>
      <c r="H3025" s="994"/>
      <c r="I3025" s="11"/>
      <c r="J3025" s="1285"/>
      <c r="K3025" s="1285"/>
      <c r="L3025" s="1285"/>
    </row>
    <row r="3026" spans="1:12" ht="10.5" customHeight="1">
      <c r="A3026" s="588" t="s">
        <v>4132</v>
      </c>
      <c r="B3026" s="589"/>
      <c r="C3026" s="147"/>
      <c r="D3026" s="161"/>
      <c r="E3026" s="36"/>
      <c r="F3026" s="183"/>
      <c r="G3026" s="60"/>
      <c r="H3026" s="34"/>
      <c r="I3026" s="11"/>
    </row>
    <row r="3027" spans="1:12" ht="11.15" customHeight="1">
      <c r="A3027" s="129" t="s">
        <v>4133</v>
      </c>
      <c r="B3027" s="59"/>
      <c r="C3027" s="147"/>
      <c r="D3027" s="284"/>
      <c r="E3027" s="178"/>
      <c r="F3027" s="178"/>
      <c r="G3027" s="496"/>
      <c r="H3027" s="994"/>
      <c r="I3027" s="11"/>
      <c r="J3027" s="1285"/>
      <c r="K3027" s="1285"/>
      <c r="L3027" s="1285"/>
    </row>
    <row r="3028" spans="1:12" ht="11.15" customHeight="1">
      <c r="A3028" s="129" t="s">
        <v>4134</v>
      </c>
      <c r="B3028" s="59"/>
      <c r="C3028" s="147"/>
      <c r="D3028" s="284"/>
      <c r="E3028" s="178"/>
      <c r="F3028" s="178"/>
      <c r="G3028" s="496"/>
      <c r="H3028" s="994"/>
      <c r="I3028" s="11"/>
      <c r="J3028" s="1285"/>
      <c r="K3028" s="1285"/>
      <c r="L3028" s="1285"/>
    </row>
    <row r="3029" spans="1:12" ht="11.15" customHeight="1">
      <c r="A3029" s="29"/>
      <c r="B3029" s="59"/>
      <c r="C3029" s="147"/>
      <c r="D3029" s="284"/>
      <c r="E3029" s="178"/>
      <c r="F3029" s="178"/>
      <c r="G3029" s="496"/>
      <c r="H3029" s="994"/>
      <c r="I3029" s="11"/>
      <c r="J3029" s="1285"/>
      <c r="K3029" s="1285"/>
      <c r="L3029" s="1285"/>
    </row>
    <row r="3030" spans="1:12" ht="11.15" customHeight="1">
      <c r="A3030" s="271" t="s">
        <v>1220</v>
      </c>
      <c r="B3030" s="413" t="s">
        <v>4135</v>
      </c>
      <c r="C3030" s="147"/>
      <c r="D3030" s="122"/>
      <c r="E3030" s="36"/>
      <c r="F3030" s="178"/>
      <c r="G3030" s="453"/>
      <c r="H3030" s="36"/>
      <c r="I3030" s="11"/>
    </row>
    <row r="3031" spans="1:12" ht="9" customHeight="1">
      <c r="B3031" s="150" t="s">
        <v>4136</v>
      </c>
      <c r="C3031" s="147"/>
      <c r="D3031" s="66"/>
      <c r="E3031" s="178"/>
      <c r="F3031" s="178"/>
      <c r="G3031" s="60"/>
      <c r="H3031" s="178"/>
      <c r="I3031" s="11"/>
    </row>
    <row r="3032" spans="1:12" ht="9" customHeight="1">
      <c r="B3032" s="150" t="s">
        <v>4137</v>
      </c>
      <c r="C3032" s="147"/>
      <c r="D3032" s="66"/>
      <c r="E3032" s="178"/>
      <c r="F3032" s="178"/>
      <c r="G3032" s="60"/>
      <c r="H3032" s="178"/>
      <c r="I3032" s="11"/>
    </row>
    <row r="3033" spans="1:12" ht="9" customHeight="1">
      <c r="A3033" s="122"/>
      <c r="B3033" s="209" t="s">
        <v>4138</v>
      </c>
      <c r="C3033" s="147"/>
      <c r="D3033" s="122"/>
      <c r="E3033" s="90"/>
      <c r="F3033" s="59"/>
      <c r="G3033" s="1216"/>
      <c r="H3033" s="90"/>
      <c r="I3033" s="11"/>
    </row>
    <row r="3034" spans="1:12" ht="9" customHeight="1">
      <c r="A3034" s="59"/>
      <c r="B3034" s="150" t="s">
        <v>4139</v>
      </c>
      <c r="C3034" s="147"/>
      <c r="D3034" s="122"/>
      <c r="E3034" s="90"/>
      <c r="F3034" s="59"/>
      <c r="G3034" s="59"/>
      <c r="H3034" s="90"/>
      <c r="I3034" s="11"/>
    </row>
    <row r="3035" spans="1:12" ht="9" customHeight="1">
      <c r="A3035" s="58"/>
      <c r="B3035" s="150" t="s">
        <v>4140</v>
      </c>
      <c r="C3035" s="147"/>
      <c r="D3035" s="122"/>
      <c r="E3035" s="90"/>
      <c r="F3035" s="59"/>
      <c r="G3035" s="59"/>
      <c r="H3035" s="90"/>
      <c r="I3035" s="11"/>
    </row>
    <row r="3036" spans="1:12" ht="9" customHeight="1">
      <c r="A3036" s="59"/>
      <c r="B3036" s="150" t="s">
        <v>4141</v>
      </c>
      <c r="C3036" s="147"/>
      <c r="D3036" s="122"/>
      <c r="E3036" s="90"/>
      <c r="F3036" s="59"/>
      <c r="G3036" s="1216"/>
      <c r="H3036" s="90"/>
      <c r="I3036" s="11"/>
    </row>
    <row r="3037" spans="1:12" ht="9" customHeight="1">
      <c r="A3037" s="59"/>
      <c r="B3037" s="150" t="s">
        <v>4142</v>
      </c>
      <c r="C3037" s="147"/>
      <c r="D3037" s="122"/>
      <c r="E3037" s="90"/>
      <c r="F3037" s="59"/>
      <c r="G3037" s="1216"/>
      <c r="H3037" s="90"/>
      <c r="I3037" s="11"/>
    </row>
    <row r="3038" spans="1:12" ht="9" customHeight="1">
      <c r="A3038" s="59"/>
      <c r="B3038" s="150" t="s">
        <v>4143</v>
      </c>
      <c r="C3038" s="147"/>
      <c r="D3038" s="122"/>
      <c r="E3038" s="90"/>
      <c r="F3038" s="59"/>
      <c r="G3038" s="1216"/>
      <c r="H3038" s="90"/>
      <c r="I3038" s="11"/>
    </row>
    <row r="3039" spans="1:12" ht="9" customHeight="1">
      <c r="A3039" s="59"/>
      <c r="B3039" s="150" t="s">
        <v>4144</v>
      </c>
      <c r="C3039" s="147"/>
      <c r="D3039" s="122"/>
      <c r="E3039" s="90"/>
      <c r="F3039" s="59"/>
      <c r="G3039" s="59"/>
      <c r="H3039" s="90"/>
      <c r="I3039" s="11"/>
    </row>
    <row r="3040" spans="1:12" ht="9" customHeight="1">
      <c r="A3040" s="59"/>
      <c r="B3040" s="150" t="s">
        <v>4145</v>
      </c>
      <c r="C3040" s="147"/>
      <c r="D3040" s="122"/>
      <c r="E3040" s="90"/>
      <c r="F3040" s="59"/>
      <c r="G3040" s="59"/>
      <c r="H3040" s="90"/>
      <c r="I3040" s="11"/>
    </row>
    <row r="3041" spans="1:12" ht="9" customHeight="1">
      <c r="A3041" s="59"/>
      <c r="B3041" s="150" t="s">
        <v>4146</v>
      </c>
      <c r="C3041" s="147"/>
      <c r="D3041" s="122"/>
      <c r="E3041" s="90"/>
      <c r="F3041" s="59"/>
      <c r="G3041" s="59"/>
      <c r="H3041" s="90"/>
      <c r="I3041" s="11"/>
    </row>
    <row r="3042" spans="1:12" ht="9" customHeight="1">
      <c r="A3042" s="59"/>
      <c r="B3042" s="150" t="s">
        <v>4147</v>
      </c>
      <c r="C3042" s="147"/>
      <c r="D3042" s="122"/>
      <c r="E3042" s="90"/>
      <c r="F3042" s="59"/>
      <c r="G3042" s="59"/>
      <c r="H3042" s="90"/>
      <c r="I3042" s="11"/>
    </row>
    <row r="3043" spans="1:12" ht="9" customHeight="1">
      <c r="A3043" s="122"/>
      <c r="B3043" s="150" t="s">
        <v>4148</v>
      </c>
      <c r="C3043" s="147"/>
      <c r="D3043" s="122"/>
      <c r="E3043" s="90"/>
      <c r="F3043" s="59"/>
      <c r="G3043" s="1216"/>
      <c r="H3043" s="90"/>
      <c r="I3043" s="11"/>
    </row>
    <row r="3044" spans="1:12" ht="9" customHeight="1">
      <c r="A3044" s="122"/>
      <c r="B3044" s="150" t="s">
        <v>4149</v>
      </c>
      <c r="C3044" s="147"/>
      <c r="D3044" s="122"/>
      <c r="E3044" s="90"/>
      <c r="F3044" s="59"/>
      <c r="G3044" s="1216"/>
      <c r="H3044" s="90"/>
      <c r="I3044" s="11"/>
    </row>
    <row r="3045" spans="1:12" ht="9" customHeight="1" thickBot="1">
      <c r="A3045" s="122"/>
      <c r="B3045" s="150" t="s">
        <v>4150</v>
      </c>
      <c r="C3045" s="147"/>
      <c r="D3045" s="122"/>
      <c r="E3045" s="90"/>
      <c r="F3045" s="59"/>
      <c r="G3045" s="1216"/>
      <c r="H3045" s="90"/>
      <c r="I3045" s="11"/>
    </row>
    <row r="3046" spans="1:12" ht="11.15" customHeight="1">
      <c r="A3046" s="153" t="s">
        <v>4151</v>
      </c>
      <c r="B3046" s="154" t="s">
        <v>2242</v>
      </c>
      <c r="C3046" s="147"/>
      <c r="D3046" s="122"/>
      <c r="E3046" s="90"/>
      <c r="F3046" s="59"/>
      <c r="G3046" s="1216"/>
      <c r="H3046" s="90"/>
      <c r="I3046" s="11"/>
    </row>
    <row r="3047" spans="1:12" ht="11.15" customHeight="1" thickBot="1">
      <c r="A3047" s="230" t="s">
        <v>4152</v>
      </c>
      <c r="B3047" s="59" t="s">
        <v>20671</v>
      </c>
      <c r="C3047" s="147" t="s">
        <v>23393</v>
      </c>
      <c r="D3047" s="284" t="s">
        <v>897</v>
      </c>
      <c r="E3047" s="178">
        <v>2022</v>
      </c>
      <c r="F3047" s="178" t="s">
        <v>4520</v>
      </c>
      <c r="G3047" s="496"/>
      <c r="H3047" s="994" t="s">
        <v>20221</v>
      </c>
      <c r="I3047" s="11" t="s">
        <v>4153</v>
      </c>
      <c r="J3047" s="1285"/>
      <c r="K3047" s="1285"/>
      <c r="L3047" s="1285"/>
    </row>
    <row r="3048" spans="1:12" ht="11.15" customHeight="1">
      <c r="A3048" s="29" t="s">
        <v>4154</v>
      </c>
      <c r="B3048" s="154" t="s">
        <v>4155</v>
      </c>
      <c r="C3048" s="147"/>
      <c r="D3048" s="122"/>
      <c r="E3048" s="90"/>
      <c r="F3048" s="59"/>
      <c r="G3048" s="1216"/>
      <c r="H3048" s="90"/>
      <c r="I3048" s="18"/>
    </row>
    <row r="3049" spans="1:12" ht="11.15" customHeight="1">
      <c r="A3049" s="29" t="s">
        <v>4156</v>
      </c>
      <c r="B3049" s="59" t="s">
        <v>20672</v>
      </c>
      <c r="C3049" s="147" t="s">
        <v>20221</v>
      </c>
      <c r="D3049" s="284" t="s">
        <v>897</v>
      </c>
      <c r="E3049" s="178">
        <v>2022</v>
      </c>
      <c r="F3049" s="178" t="s">
        <v>4520</v>
      </c>
      <c r="G3049" s="496"/>
      <c r="H3049" s="994" t="s">
        <v>20221</v>
      </c>
      <c r="I3049" s="11" t="s">
        <v>4157</v>
      </c>
      <c r="J3049" s="1285"/>
      <c r="K3049" s="1285"/>
      <c r="L3049" s="1285"/>
    </row>
    <row r="3050" spans="1:12" ht="11.15" customHeight="1">
      <c r="A3050" s="29" t="s">
        <v>4158</v>
      </c>
      <c r="B3050" s="59" t="s">
        <v>20672</v>
      </c>
      <c r="C3050" s="147" t="s">
        <v>23393</v>
      </c>
      <c r="D3050" s="284" t="s">
        <v>897</v>
      </c>
      <c r="E3050" s="178">
        <v>2021</v>
      </c>
      <c r="F3050" s="178" t="s">
        <v>4520</v>
      </c>
      <c r="G3050" s="496"/>
      <c r="H3050" s="994" t="s">
        <v>20221</v>
      </c>
      <c r="I3050" s="11" t="s">
        <v>4159</v>
      </c>
      <c r="J3050" s="1285"/>
      <c r="K3050" s="1285"/>
      <c r="L3050" s="1285"/>
    </row>
    <row r="3051" spans="1:12" ht="11.15" customHeight="1">
      <c r="A3051" s="29" t="s">
        <v>4160</v>
      </c>
      <c r="B3051" s="59" t="s">
        <v>20672</v>
      </c>
      <c r="C3051" s="147" t="s">
        <v>23393</v>
      </c>
      <c r="D3051" s="284" t="s">
        <v>897</v>
      </c>
      <c r="E3051" s="178">
        <v>2020</v>
      </c>
      <c r="F3051" s="178" t="s">
        <v>4520</v>
      </c>
      <c r="G3051" s="496"/>
      <c r="H3051" s="994" t="s">
        <v>20221</v>
      </c>
      <c r="I3051" s="11" t="s">
        <v>4161</v>
      </c>
      <c r="J3051" s="1285"/>
      <c r="K3051" s="1285"/>
      <c r="L3051" s="1285"/>
    </row>
    <row r="3052" spans="1:12" ht="11.15" customHeight="1">
      <c r="A3052" s="29" t="s">
        <v>4162</v>
      </c>
      <c r="B3052" s="59" t="s">
        <v>20672</v>
      </c>
      <c r="C3052" s="147" t="s">
        <v>23393</v>
      </c>
      <c r="D3052" s="284" t="s">
        <v>897</v>
      </c>
      <c r="E3052" s="178">
        <v>2019</v>
      </c>
      <c r="F3052" s="178" t="s">
        <v>4520</v>
      </c>
      <c r="G3052" s="496"/>
      <c r="H3052" s="994" t="s">
        <v>20221</v>
      </c>
      <c r="I3052" s="11" t="s">
        <v>4163</v>
      </c>
      <c r="J3052" s="1285"/>
      <c r="K3052" s="1285"/>
      <c r="L3052" s="1285"/>
    </row>
    <row r="3053" spans="1:12" ht="11.15" customHeight="1">
      <c r="A3053" s="181" t="s">
        <v>4164</v>
      </c>
      <c r="B3053" s="59" t="s">
        <v>20674</v>
      </c>
      <c r="C3053" s="147" t="s">
        <v>23393</v>
      </c>
      <c r="D3053" s="284" t="s">
        <v>897</v>
      </c>
      <c r="E3053" s="178">
        <v>2018</v>
      </c>
      <c r="F3053" s="178" t="s">
        <v>4520</v>
      </c>
      <c r="G3053" s="496"/>
      <c r="H3053" s="994" t="s">
        <v>20221</v>
      </c>
      <c r="I3053" s="11" t="s">
        <v>4165</v>
      </c>
      <c r="J3053" s="1285"/>
      <c r="K3053" s="1285"/>
      <c r="L3053" s="1285"/>
    </row>
    <row r="3054" spans="1:12" ht="11.15" customHeight="1">
      <c r="A3054" s="218" t="s">
        <v>4166</v>
      </c>
      <c r="B3054" s="59" t="s">
        <v>20674</v>
      </c>
      <c r="C3054" s="147" t="s">
        <v>23393</v>
      </c>
      <c r="D3054" s="284" t="s">
        <v>897</v>
      </c>
      <c r="E3054" s="178">
        <v>2017</v>
      </c>
      <c r="F3054" s="178" t="s">
        <v>4520</v>
      </c>
      <c r="G3054" s="496"/>
      <c r="H3054" s="994" t="s">
        <v>20221</v>
      </c>
      <c r="I3054" s="11" t="s">
        <v>4167</v>
      </c>
      <c r="J3054" s="1285"/>
      <c r="K3054" s="1285"/>
      <c r="L3054" s="1285"/>
    </row>
    <row r="3055" spans="1:12" ht="11.15" customHeight="1">
      <c r="A3055" s="181" t="s">
        <v>4168</v>
      </c>
      <c r="B3055" s="59" t="s">
        <v>20674</v>
      </c>
      <c r="C3055" s="147" t="s">
        <v>20221</v>
      </c>
      <c r="D3055" s="284" t="s">
        <v>897</v>
      </c>
      <c r="E3055" s="178">
        <v>2016</v>
      </c>
      <c r="F3055" s="178" t="s">
        <v>4520</v>
      </c>
      <c r="G3055" s="496"/>
      <c r="H3055" s="994" t="s">
        <v>20277</v>
      </c>
      <c r="I3055" s="11" t="s">
        <v>4169</v>
      </c>
      <c r="J3055" s="1285"/>
      <c r="K3055" s="1285"/>
      <c r="L3055" s="1285"/>
    </row>
    <row r="3056" spans="1:12" ht="11.15" customHeight="1">
      <c r="A3056" s="181" t="s">
        <v>2536</v>
      </c>
      <c r="B3056" s="59" t="s">
        <v>20675</v>
      </c>
      <c r="C3056" s="147" t="s">
        <v>23393</v>
      </c>
      <c r="D3056" s="284" t="s">
        <v>897</v>
      </c>
      <c r="E3056" s="178">
        <v>2022</v>
      </c>
      <c r="F3056" s="178" t="s">
        <v>4520</v>
      </c>
      <c r="G3056" s="496"/>
      <c r="H3056" s="994" t="s">
        <v>20221</v>
      </c>
      <c r="I3056" s="11" t="s">
        <v>4170</v>
      </c>
      <c r="J3056" s="1285"/>
      <c r="K3056" s="1285"/>
      <c r="L3056" s="1285"/>
    </row>
    <row r="3057" spans="1:12" ht="11.15" customHeight="1">
      <c r="A3057" s="129" t="s">
        <v>1308</v>
      </c>
      <c r="B3057" s="59" t="s">
        <v>20675</v>
      </c>
      <c r="C3057" s="147" t="s">
        <v>23393</v>
      </c>
      <c r="D3057" s="284" t="s">
        <v>897</v>
      </c>
      <c r="E3057" s="178">
        <v>2021</v>
      </c>
      <c r="F3057" s="178" t="s">
        <v>4520</v>
      </c>
      <c r="G3057" s="496"/>
      <c r="H3057" s="994" t="s">
        <v>20221</v>
      </c>
      <c r="I3057" s="11" t="s">
        <v>4171</v>
      </c>
      <c r="J3057" s="1285"/>
      <c r="K3057" s="1285"/>
      <c r="L3057" s="1285"/>
    </row>
    <row r="3058" spans="1:12" ht="11.15" customHeight="1">
      <c r="A3058" s="162" t="s">
        <v>4172</v>
      </c>
      <c r="B3058" s="59" t="s">
        <v>20675</v>
      </c>
      <c r="C3058" s="147" t="s">
        <v>23393</v>
      </c>
      <c r="D3058" s="284" t="s">
        <v>897</v>
      </c>
      <c r="E3058" s="178">
        <v>2020</v>
      </c>
      <c r="F3058" s="178" t="s">
        <v>4520</v>
      </c>
      <c r="G3058" s="496"/>
      <c r="H3058" s="994" t="s">
        <v>20221</v>
      </c>
      <c r="I3058" s="11" t="s">
        <v>4173</v>
      </c>
      <c r="J3058" s="1285"/>
      <c r="K3058" s="1285"/>
      <c r="L3058" s="1285"/>
    </row>
    <row r="3059" spans="1:12" ht="11.15" customHeight="1">
      <c r="A3059" s="162" t="s">
        <v>4174</v>
      </c>
      <c r="B3059" s="59" t="s">
        <v>20676</v>
      </c>
      <c r="C3059" s="147" t="s">
        <v>23393</v>
      </c>
      <c r="D3059" s="284" t="s">
        <v>897</v>
      </c>
      <c r="E3059" s="178">
        <v>2019</v>
      </c>
      <c r="F3059" s="178" t="s">
        <v>4520</v>
      </c>
      <c r="G3059" s="496"/>
      <c r="H3059" s="994" t="s">
        <v>20221</v>
      </c>
      <c r="I3059" s="11" t="s">
        <v>4175</v>
      </c>
      <c r="J3059" s="1285"/>
      <c r="K3059" s="1285"/>
      <c r="L3059" s="1285"/>
    </row>
    <row r="3060" spans="1:12" ht="11.15" customHeight="1">
      <c r="A3060" s="162" t="s">
        <v>4176</v>
      </c>
      <c r="B3060" s="59" t="s">
        <v>20676</v>
      </c>
      <c r="C3060" s="147" t="s">
        <v>20221</v>
      </c>
      <c r="D3060" s="284" t="s">
        <v>897</v>
      </c>
      <c r="E3060" s="178">
        <v>2018</v>
      </c>
      <c r="F3060" s="178" t="s">
        <v>4520</v>
      </c>
      <c r="G3060" s="496"/>
      <c r="H3060" s="994" t="s">
        <v>20221</v>
      </c>
      <c r="I3060" s="11" t="s">
        <v>4177</v>
      </c>
      <c r="J3060" s="1285"/>
      <c r="K3060" s="1285"/>
      <c r="L3060" s="1285"/>
    </row>
    <row r="3061" spans="1:12" ht="11.15" customHeight="1">
      <c r="A3061" s="162" t="s">
        <v>4178</v>
      </c>
      <c r="B3061" s="59" t="s">
        <v>20676</v>
      </c>
      <c r="C3061" s="147" t="s">
        <v>20221</v>
      </c>
      <c r="D3061" s="284" t="s">
        <v>897</v>
      </c>
      <c r="E3061" s="178">
        <v>2017</v>
      </c>
      <c r="F3061" s="178" t="s">
        <v>4520</v>
      </c>
      <c r="G3061" s="496"/>
      <c r="H3061" s="994" t="s">
        <v>20221</v>
      </c>
      <c r="I3061" s="11" t="s">
        <v>4179</v>
      </c>
      <c r="J3061" s="1285"/>
      <c r="K3061" s="1285"/>
      <c r="L3061" s="1285"/>
    </row>
    <row r="3062" spans="1:12" ht="11.15" customHeight="1">
      <c r="A3062" s="162" t="s">
        <v>4180</v>
      </c>
      <c r="B3062" s="59" t="s">
        <v>20676</v>
      </c>
      <c r="C3062" s="147" t="s">
        <v>20221</v>
      </c>
      <c r="D3062" s="284" t="s">
        <v>897</v>
      </c>
      <c r="E3062" s="178">
        <v>2016</v>
      </c>
      <c r="F3062" s="178" t="s">
        <v>4520</v>
      </c>
      <c r="G3062" s="496"/>
      <c r="H3062" s="994" t="s">
        <v>20221</v>
      </c>
      <c r="I3062" s="11" t="s">
        <v>4181</v>
      </c>
      <c r="J3062" s="1285"/>
      <c r="K3062" s="1285"/>
      <c r="L3062" s="1285"/>
    </row>
    <row r="3063" spans="1:12" ht="11.15" customHeight="1">
      <c r="A3063" s="162" t="s">
        <v>4182</v>
      </c>
      <c r="B3063" s="59" t="s">
        <v>20676</v>
      </c>
      <c r="C3063" s="147" t="s">
        <v>20221</v>
      </c>
      <c r="D3063" s="284" t="s">
        <v>897</v>
      </c>
      <c r="E3063" s="178">
        <v>2015</v>
      </c>
      <c r="F3063" s="178" t="s">
        <v>4520</v>
      </c>
      <c r="G3063" s="496"/>
      <c r="H3063" s="994" t="s">
        <v>20221</v>
      </c>
      <c r="I3063" s="11" t="s">
        <v>4183</v>
      </c>
      <c r="J3063" s="1285"/>
      <c r="K3063" s="1285"/>
      <c r="L3063" s="1285"/>
    </row>
    <row r="3064" spans="1:12" ht="11.15" customHeight="1">
      <c r="A3064" s="162" t="s">
        <v>4184</v>
      </c>
      <c r="B3064" s="59" t="s">
        <v>20676</v>
      </c>
      <c r="C3064" s="147" t="s">
        <v>20221</v>
      </c>
      <c r="D3064" s="284" t="s">
        <v>897</v>
      </c>
      <c r="E3064" s="178">
        <v>2014</v>
      </c>
      <c r="F3064" s="178" t="s">
        <v>4520</v>
      </c>
      <c r="G3064" s="496"/>
      <c r="H3064" s="994" t="s">
        <v>20221</v>
      </c>
      <c r="I3064" s="11" t="s">
        <v>4185</v>
      </c>
      <c r="J3064" s="1285"/>
      <c r="K3064" s="1285"/>
      <c r="L3064" s="1285"/>
    </row>
    <row r="3065" spans="1:12" ht="11.15" customHeight="1">
      <c r="A3065" s="162" t="s">
        <v>4186</v>
      </c>
      <c r="B3065" s="59" t="s">
        <v>20678</v>
      </c>
      <c r="C3065" s="147" t="s">
        <v>23393</v>
      </c>
      <c r="D3065" s="284" t="s">
        <v>897</v>
      </c>
      <c r="E3065" s="178">
        <v>2022</v>
      </c>
      <c r="F3065" s="178" t="s">
        <v>4520</v>
      </c>
      <c r="G3065" s="496"/>
      <c r="H3065" s="994" t="s">
        <v>20221</v>
      </c>
      <c r="I3065" s="11" t="s">
        <v>4187</v>
      </c>
      <c r="J3065" s="1285"/>
      <c r="K3065" s="1285"/>
      <c r="L3065" s="1285"/>
    </row>
    <row r="3066" spans="1:12" ht="11.15" customHeight="1">
      <c r="A3066" s="162" t="s">
        <v>4188</v>
      </c>
      <c r="B3066" s="59" t="s">
        <v>20678</v>
      </c>
      <c r="C3066" s="147" t="s">
        <v>23393</v>
      </c>
      <c r="D3066" s="284" t="s">
        <v>897</v>
      </c>
      <c r="E3066" s="178">
        <v>2021</v>
      </c>
      <c r="F3066" s="178" t="s">
        <v>4520</v>
      </c>
      <c r="G3066" s="496"/>
      <c r="H3066" s="994" t="s">
        <v>20221</v>
      </c>
      <c r="I3066" s="11" t="s">
        <v>4189</v>
      </c>
      <c r="J3066" s="1285"/>
      <c r="K3066" s="1285"/>
      <c r="L3066" s="1285"/>
    </row>
    <row r="3067" spans="1:12" ht="11.15" customHeight="1">
      <c r="A3067" s="162" t="s">
        <v>4190</v>
      </c>
      <c r="B3067" s="59" t="s">
        <v>20678</v>
      </c>
      <c r="C3067" s="147" t="s">
        <v>23393</v>
      </c>
      <c r="D3067" s="284" t="s">
        <v>897</v>
      </c>
      <c r="E3067" s="178">
        <v>2019</v>
      </c>
      <c r="F3067" s="178" t="s">
        <v>23395</v>
      </c>
      <c r="G3067" s="496"/>
      <c r="H3067" s="994" t="s">
        <v>20221</v>
      </c>
      <c r="I3067" s="11" t="s">
        <v>4191</v>
      </c>
      <c r="J3067" s="1285"/>
      <c r="K3067" s="1285"/>
      <c r="L3067" s="1285"/>
    </row>
    <row r="3068" spans="1:12" ht="11.15" customHeight="1">
      <c r="A3068" s="162" t="s">
        <v>4192</v>
      </c>
      <c r="B3068" s="59" t="s">
        <v>20678</v>
      </c>
      <c r="C3068" s="147" t="s">
        <v>23393</v>
      </c>
      <c r="D3068" s="284" t="s">
        <v>897</v>
      </c>
      <c r="E3068" s="178">
        <v>2018</v>
      </c>
      <c r="F3068" s="178" t="s">
        <v>4520</v>
      </c>
      <c r="G3068" s="496"/>
      <c r="H3068" s="994" t="s">
        <v>20221</v>
      </c>
      <c r="I3068" s="11" t="s">
        <v>4193</v>
      </c>
      <c r="J3068" s="1285"/>
      <c r="K3068" s="1285"/>
      <c r="L3068" s="1285"/>
    </row>
    <row r="3069" spans="1:12" ht="11.15" customHeight="1">
      <c r="A3069" s="162" t="s">
        <v>4194</v>
      </c>
      <c r="B3069" s="154" t="s">
        <v>4195</v>
      </c>
      <c r="C3069" s="147"/>
      <c r="D3069" s="161"/>
      <c r="E3069" s="36"/>
      <c r="F3069" s="178"/>
      <c r="G3069" s="496"/>
      <c r="H3069" s="36"/>
      <c r="I3069" s="11"/>
    </row>
    <row r="3070" spans="1:12" ht="11.15" customHeight="1">
      <c r="A3070" s="162" t="s">
        <v>4196</v>
      </c>
      <c r="B3070" s="59" t="s">
        <v>20679</v>
      </c>
      <c r="C3070" s="147" t="s">
        <v>23393</v>
      </c>
      <c r="D3070" s="284" t="s">
        <v>897</v>
      </c>
      <c r="E3070" s="178">
        <v>2022</v>
      </c>
      <c r="F3070" s="178" t="s">
        <v>4520</v>
      </c>
      <c r="G3070" s="496"/>
      <c r="H3070" s="994" t="s">
        <v>20221</v>
      </c>
      <c r="I3070" s="11" t="s">
        <v>4197</v>
      </c>
      <c r="J3070" s="1285"/>
      <c r="K3070" s="1285"/>
      <c r="L3070" s="1285"/>
    </row>
    <row r="3071" spans="1:12" ht="11.15" customHeight="1">
      <c r="A3071" s="162" t="s">
        <v>4198</v>
      </c>
      <c r="B3071" s="59" t="s">
        <v>20680</v>
      </c>
      <c r="C3071" s="147" t="s">
        <v>20221</v>
      </c>
      <c r="D3071" s="284" t="s">
        <v>897</v>
      </c>
      <c r="E3071" s="178">
        <v>2022</v>
      </c>
      <c r="F3071" s="178" t="s">
        <v>4520</v>
      </c>
      <c r="G3071" s="496"/>
      <c r="H3071" s="994" t="s">
        <v>20221</v>
      </c>
      <c r="I3071" s="11" t="s">
        <v>4199</v>
      </c>
      <c r="J3071" s="1285"/>
      <c r="K3071" s="1285"/>
      <c r="L3071" s="1285"/>
    </row>
    <row r="3072" spans="1:12" ht="11.15" customHeight="1">
      <c r="A3072" s="162" t="s">
        <v>4200</v>
      </c>
      <c r="B3072" s="59" t="s">
        <v>20681</v>
      </c>
      <c r="C3072" s="147" t="s">
        <v>20221</v>
      </c>
      <c r="D3072" s="284" t="s">
        <v>897</v>
      </c>
      <c r="E3072" s="178">
        <v>2019</v>
      </c>
      <c r="F3072" s="178" t="s">
        <v>4520</v>
      </c>
      <c r="G3072" s="496"/>
      <c r="H3072" s="994" t="s">
        <v>20224</v>
      </c>
      <c r="I3072" s="11" t="s">
        <v>4201</v>
      </c>
      <c r="J3072" s="1285"/>
      <c r="K3072" s="1285"/>
      <c r="L3072" s="1285"/>
    </row>
    <row r="3073" spans="1:12" ht="11.15" customHeight="1">
      <c r="A3073" s="162" t="s">
        <v>4202</v>
      </c>
      <c r="B3073" s="59" t="s">
        <v>20681</v>
      </c>
      <c r="C3073" s="147" t="s">
        <v>20221</v>
      </c>
      <c r="D3073" s="284" t="s">
        <v>897</v>
      </c>
      <c r="E3073" s="178">
        <v>2018</v>
      </c>
      <c r="F3073" s="178" t="s">
        <v>4520</v>
      </c>
      <c r="G3073" s="496"/>
      <c r="H3073" s="994" t="s">
        <v>20221</v>
      </c>
      <c r="I3073" s="11" t="s">
        <v>4203</v>
      </c>
      <c r="J3073" s="1285"/>
      <c r="K3073" s="1285"/>
      <c r="L3073" s="1285"/>
    </row>
    <row r="3074" spans="1:12" ht="11.15" customHeight="1">
      <c r="A3074" s="162" t="s">
        <v>4204</v>
      </c>
      <c r="B3074" s="59" t="s">
        <v>20681</v>
      </c>
      <c r="C3074" s="147" t="s">
        <v>20221</v>
      </c>
      <c r="D3074" s="284" t="s">
        <v>897</v>
      </c>
      <c r="E3074" s="178">
        <v>2016</v>
      </c>
      <c r="F3074" s="178" t="s">
        <v>4520</v>
      </c>
      <c r="G3074" s="496"/>
      <c r="H3074" s="994" t="s">
        <v>20224</v>
      </c>
      <c r="I3074" s="11" t="s">
        <v>4205</v>
      </c>
      <c r="J3074" s="1285"/>
      <c r="K3074" s="1285"/>
      <c r="L3074" s="1285"/>
    </row>
    <row r="3075" spans="1:12" ht="11.15" customHeight="1">
      <c r="A3075" s="129" t="s">
        <v>4206</v>
      </c>
      <c r="B3075" s="59" t="s">
        <v>20681</v>
      </c>
      <c r="C3075" s="147" t="s">
        <v>20221</v>
      </c>
      <c r="D3075" s="284" t="s">
        <v>897</v>
      </c>
      <c r="E3075" s="178">
        <v>2013</v>
      </c>
      <c r="F3075" s="178" t="s">
        <v>23395</v>
      </c>
      <c r="G3075" s="496"/>
      <c r="H3075" s="994" t="s">
        <v>20224</v>
      </c>
      <c r="I3075" s="11" t="s">
        <v>4207</v>
      </c>
      <c r="J3075" s="1285"/>
      <c r="K3075" s="1285"/>
      <c r="L3075" s="1285"/>
    </row>
    <row r="3076" spans="1:12" ht="11.15" customHeight="1">
      <c r="A3076" s="291" t="s">
        <v>4208</v>
      </c>
      <c r="B3076" s="59" t="s">
        <v>20682</v>
      </c>
      <c r="C3076" s="147" t="s">
        <v>23393</v>
      </c>
      <c r="D3076" s="284" t="s">
        <v>897</v>
      </c>
      <c r="E3076" s="178">
        <v>2022</v>
      </c>
      <c r="F3076" s="178" t="s">
        <v>4520</v>
      </c>
      <c r="G3076" s="496"/>
      <c r="H3076" s="994" t="s">
        <v>20221</v>
      </c>
      <c r="I3076" s="11" t="s">
        <v>4209</v>
      </c>
      <c r="J3076" s="1285"/>
      <c r="K3076" s="1285"/>
      <c r="L3076" s="1285"/>
    </row>
    <row r="3077" spans="1:12" ht="11.15" customHeight="1">
      <c r="A3077" s="291" t="s">
        <v>4210</v>
      </c>
      <c r="B3077" s="59" t="s">
        <v>20682</v>
      </c>
      <c r="C3077" s="147" t="s">
        <v>23393</v>
      </c>
      <c r="D3077" s="284" t="s">
        <v>897</v>
      </c>
      <c r="E3077" s="178">
        <v>2020</v>
      </c>
      <c r="F3077" s="178" t="s">
        <v>4520</v>
      </c>
      <c r="G3077" s="496"/>
      <c r="H3077" s="994" t="s">
        <v>20224</v>
      </c>
      <c r="I3077" s="11" t="s">
        <v>4211</v>
      </c>
      <c r="J3077" s="1285"/>
      <c r="K3077" s="1285"/>
      <c r="L3077" s="1285"/>
    </row>
    <row r="3078" spans="1:12" ht="11.15" customHeight="1">
      <c r="A3078" s="291" t="s">
        <v>4212</v>
      </c>
      <c r="B3078" s="59" t="s">
        <v>20683</v>
      </c>
      <c r="C3078" s="147" t="s">
        <v>20221</v>
      </c>
      <c r="D3078" s="284" t="s">
        <v>897</v>
      </c>
      <c r="E3078" s="178">
        <v>2018</v>
      </c>
      <c r="F3078" s="178" t="s">
        <v>4520</v>
      </c>
      <c r="G3078" s="496"/>
      <c r="H3078" s="994" t="s">
        <v>20277</v>
      </c>
      <c r="I3078" s="11" t="s">
        <v>4213</v>
      </c>
      <c r="J3078" s="1285"/>
      <c r="K3078" s="1285"/>
      <c r="L3078" s="1285"/>
    </row>
    <row r="3079" spans="1:12" ht="11.15" customHeight="1">
      <c r="A3079" s="291" t="s">
        <v>4214</v>
      </c>
      <c r="B3079" s="59" t="s">
        <v>20684</v>
      </c>
      <c r="C3079" s="147" t="s">
        <v>23393</v>
      </c>
      <c r="D3079" s="284" t="s">
        <v>897</v>
      </c>
      <c r="E3079" s="178">
        <v>2022</v>
      </c>
      <c r="F3079" s="178" t="s">
        <v>4520</v>
      </c>
      <c r="G3079" s="496"/>
      <c r="H3079" s="994" t="s">
        <v>20221</v>
      </c>
      <c r="I3079" s="11" t="s">
        <v>4215</v>
      </c>
      <c r="J3079" s="1285"/>
      <c r="K3079" s="1285"/>
      <c r="L3079" s="1285"/>
    </row>
    <row r="3080" spans="1:12" ht="11.15" customHeight="1">
      <c r="A3080" s="291" t="s">
        <v>4216</v>
      </c>
      <c r="B3080" s="59" t="s">
        <v>20684</v>
      </c>
      <c r="C3080" s="147" t="s">
        <v>23393</v>
      </c>
      <c r="D3080" s="284" t="s">
        <v>897</v>
      </c>
      <c r="E3080" s="178">
        <v>2021</v>
      </c>
      <c r="F3080" s="178" t="s">
        <v>4520</v>
      </c>
      <c r="G3080" s="496"/>
      <c r="H3080" s="994" t="s">
        <v>20221</v>
      </c>
      <c r="I3080" s="11" t="s">
        <v>4217</v>
      </c>
      <c r="J3080" s="1285"/>
      <c r="K3080" s="1285"/>
      <c r="L3080" s="1285"/>
    </row>
    <row r="3081" spans="1:12" ht="11.15" customHeight="1">
      <c r="A3081" s="291" t="s">
        <v>4218</v>
      </c>
      <c r="B3081" s="59" t="s">
        <v>20684</v>
      </c>
      <c r="C3081" s="147" t="s">
        <v>23393</v>
      </c>
      <c r="D3081" s="284" t="s">
        <v>897</v>
      </c>
      <c r="E3081" s="178">
        <v>2020</v>
      </c>
      <c r="F3081" s="178" t="s">
        <v>4520</v>
      </c>
      <c r="G3081" s="496"/>
      <c r="H3081" s="994" t="s">
        <v>20224</v>
      </c>
      <c r="I3081" s="11" t="s">
        <v>4219</v>
      </c>
      <c r="J3081" s="1285"/>
      <c r="K3081" s="1285"/>
      <c r="L3081" s="1285"/>
    </row>
    <row r="3082" spans="1:12" ht="11.15" customHeight="1">
      <c r="A3082" s="29" t="s">
        <v>4220</v>
      </c>
      <c r="B3082" s="59" t="s">
        <v>20685</v>
      </c>
      <c r="C3082" s="147" t="s">
        <v>23393</v>
      </c>
      <c r="D3082" s="284" t="s">
        <v>897</v>
      </c>
      <c r="E3082" s="178">
        <v>2019</v>
      </c>
      <c r="F3082" s="178" t="s">
        <v>4520</v>
      </c>
      <c r="G3082" s="496"/>
      <c r="H3082" s="994" t="s">
        <v>20221</v>
      </c>
      <c r="I3082" s="11" t="s">
        <v>4221</v>
      </c>
      <c r="J3082" s="1285"/>
      <c r="K3082" s="1285"/>
      <c r="L3082" s="1285"/>
    </row>
    <row r="3083" spans="1:12" ht="11.15" customHeight="1">
      <c r="A3083" s="29" t="s">
        <v>4222</v>
      </c>
      <c r="B3083" s="59" t="s">
        <v>20685</v>
      </c>
      <c r="C3083" s="147" t="s">
        <v>20221</v>
      </c>
      <c r="D3083" s="284" t="s">
        <v>897</v>
      </c>
      <c r="E3083" s="178">
        <v>2018</v>
      </c>
      <c r="F3083" s="178" t="s">
        <v>4520</v>
      </c>
      <c r="G3083" s="496"/>
      <c r="H3083" s="994" t="s">
        <v>20221</v>
      </c>
      <c r="I3083" s="11" t="s">
        <v>4223</v>
      </c>
      <c r="J3083" s="1285"/>
      <c r="K3083" s="1285"/>
      <c r="L3083" s="1285"/>
    </row>
    <row r="3084" spans="1:12" ht="11.15" customHeight="1">
      <c r="A3084" s="217" t="s">
        <v>4224</v>
      </c>
      <c r="B3084" s="59" t="s">
        <v>20685</v>
      </c>
      <c r="C3084" s="147" t="s">
        <v>20221</v>
      </c>
      <c r="D3084" s="284" t="s">
        <v>897</v>
      </c>
      <c r="E3084" s="178">
        <v>2017</v>
      </c>
      <c r="F3084" s="178" t="s">
        <v>4520</v>
      </c>
      <c r="G3084" s="496"/>
      <c r="H3084" s="994" t="s">
        <v>20277</v>
      </c>
      <c r="I3084" s="11" t="s">
        <v>4225</v>
      </c>
      <c r="J3084" s="1285"/>
      <c r="K3084" s="1285"/>
      <c r="L3084" s="1285"/>
    </row>
    <row r="3085" spans="1:12" ht="11.15" customHeight="1">
      <c r="A3085" s="217" t="s">
        <v>4226</v>
      </c>
      <c r="B3085" s="59" t="s">
        <v>20685</v>
      </c>
      <c r="C3085" s="147" t="s">
        <v>20221</v>
      </c>
      <c r="D3085" s="284" t="s">
        <v>897</v>
      </c>
      <c r="E3085" s="178">
        <v>2014</v>
      </c>
      <c r="F3085" s="178" t="s">
        <v>4520</v>
      </c>
      <c r="G3085" s="496"/>
      <c r="H3085" s="994" t="s">
        <v>20277</v>
      </c>
      <c r="I3085" s="11" t="s">
        <v>4227</v>
      </c>
      <c r="J3085" s="1285"/>
      <c r="K3085" s="1285"/>
      <c r="L3085" s="1285"/>
    </row>
    <row r="3086" spans="1:12" ht="11.15" customHeight="1">
      <c r="A3086" s="29" t="s">
        <v>4228</v>
      </c>
      <c r="B3086" s="59" t="s">
        <v>20685</v>
      </c>
      <c r="C3086" s="147" t="s">
        <v>20221</v>
      </c>
      <c r="D3086" s="284" t="s">
        <v>897</v>
      </c>
      <c r="E3086" s="178">
        <v>2013</v>
      </c>
      <c r="F3086" s="178" t="s">
        <v>4520</v>
      </c>
      <c r="G3086" s="496"/>
      <c r="H3086" s="994" t="s">
        <v>20224</v>
      </c>
      <c r="I3086" s="11" t="s">
        <v>4229</v>
      </c>
      <c r="J3086" s="1285"/>
      <c r="K3086" s="1285"/>
      <c r="L3086" s="1285"/>
    </row>
    <row r="3087" spans="1:12" ht="11.15" customHeight="1">
      <c r="A3087" s="29" t="s">
        <v>4230</v>
      </c>
      <c r="B3087" s="177" t="s">
        <v>4231</v>
      </c>
      <c r="C3087" s="147"/>
      <c r="D3087" s="161"/>
      <c r="E3087" s="36"/>
      <c r="F3087" s="178"/>
      <c r="G3087" s="496"/>
      <c r="H3087" s="36"/>
      <c r="I3087" s="11"/>
    </row>
    <row r="3088" spans="1:12" ht="11.15" customHeight="1">
      <c r="A3088" s="166" t="s">
        <v>4232</v>
      </c>
      <c r="B3088" s="59" t="s">
        <v>20686</v>
      </c>
      <c r="C3088" s="147" t="s">
        <v>23393</v>
      </c>
      <c r="D3088" s="284" t="s">
        <v>897</v>
      </c>
      <c r="E3088" s="178">
        <v>2022</v>
      </c>
      <c r="F3088" s="178" t="s">
        <v>4520</v>
      </c>
      <c r="G3088" s="496"/>
      <c r="H3088" s="994" t="s">
        <v>20221</v>
      </c>
      <c r="I3088" s="11" t="s">
        <v>4233</v>
      </c>
      <c r="J3088" s="1285"/>
      <c r="K3088" s="1285"/>
      <c r="L3088" s="1285"/>
    </row>
    <row r="3089" spans="1:12" ht="11.15" customHeight="1">
      <c r="A3089" s="166" t="s">
        <v>2028</v>
      </c>
      <c r="B3089" s="59" t="s">
        <v>20686</v>
      </c>
      <c r="C3089" s="147" t="s">
        <v>23393</v>
      </c>
      <c r="D3089" s="284" t="s">
        <v>897</v>
      </c>
      <c r="E3089" s="178">
        <v>2020</v>
      </c>
      <c r="F3089" s="178" t="s">
        <v>4520</v>
      </c>
      <c r="G3089" s="496"/>
      <c r="H3089" s="994" t="s">
        <v>20224</v>
      </c>
      <c r="I3089" s="11" t="s">
        <v>4234</v>
      </c>
      <c r="J3089" s="1285"/>
      <c r="K3089" s="1285"/>
      <c r="L3089" s="1285"/>
    </row>
    <row r="3090" spans="1:12" ht="11.15" customHeight="1">
      <c r="A3090" s="169" t="s">
        <v>4235</v>
      </c>
      <c r="B3090" s="59" t="s">
        <v>20686</v>
      </c>
      <c r="C3090" s="147" t="s">
        <v>23393</v>
      </c>
      <c r="D3090" s="284" t="s">
        <v>897</v>
      </c>
      <c r="E3090" s="178">
        <v>2018</v>
      </c>
      <c r="F3090" s="178" t="s">
        <v>4520</v>
      </c>
      <c r="G3090" s="496"/>
      <c r="H3090" s="994" t="s">
        <v>20224</v>
      </c>
      <c r="I3090" s="11" t="s">
        <v>4236</v>
      </c>
      <c r="J3090" s="1285"/>
      <c r="K3090" s="1285"/>
      <c r="L3090" s="1285"/>
    </row>
    <row r="3091" spans="1:12" ht="11.15" customHeight="1">
      <c r="A3091" s="129" t="s">
        <v>4237</v>
      </c>
      <c r="B3091" s="59" t="s">
        <v>20686</v>
      </c>
      <c r="C3091" s="147" t="s">
        <v>23393</v>
      </c>
      <c r="D3091" s="284" t="s">
        <v>897</v>
      </c>
      <c r="E3091" s="178">
        <v>2017</v>
      </c>
      <c r="F3091" s="178" t="s">
        <v>4520</v>
      </c>
      <c r="G3091" s="496"/>
      <c r="H3091" s="994" t="s">
        <v>20224</v>
      </c>
      <c r="I3091" s="11" t="s">
        <v>4238</v>
      </c>
      <c r="J3091" s="1285"/>
      <c r="K3091" s="1285"/>
      <c r="L3091" s="1285"/>
    </row>
    <row r="3092" spans="1:12" ht="11.15" customHeight="1">
      <c r="A3092" s="185"/>
      <c r="B3092" s="59" t="s">
        <v>20687</v>
      </c>
      <c r="C3092" s="147" t="s">
        <v>23393</v>
      </c>
      <c r="D3092" s="284" t="s">
        <v>897</v>
      </c>
      <c r="E3092" s="178">
        <v>2022</v>
      </c>
      <c r="F3092" s="178" t="s">
        <v>4520</v>
      </c>
      <c r="G3092" s="496"/>
      <c r="H3092" s="994" t="s">
        <v>20221</v>
      </c>
      <c r="I3092" s="11" t="s">
        <v>4239</v>
      </c>
      <c r="J3092" s="1285"/>
      <c r="K3092" s="1285"/>
      <c r="L3092" s="1285"/>
    </row>
    <row r="3093" spans="1:12" ht="11.15" customHeight="1">
      <c r="A3093" s="185"/>
      <c r="B3093" s="59" t="s">
        <v>20687</v>
      </c>
      <c r="C3093" s="147" t="s">
        <v>23393</v>
      </c>
      <c r="D3093" s="284" t="s">
        <v>897</v>
      </c>
      <c r="E3093" s="178">
        <v>2021</v>
      </c>
      <c r="F3093" s="178" t="s">
        <v>4520</v>
      </c>
      <c r="G3093" s="496"/>
      <c r="H3093" s="994" t="s">
        <v>20224</v>
      </c>
      <c r="I3093" s="11" t="s">
        <v>4240</v>
      </c>
      <c r="J3093" s="1285"/>
      <c r="K3093" s="1285"/>
      <c r="L3093" s="1285"/>
    </row>
    <row r="3094" spans="1:12" ht="11.15" customHeight="1">
      <c r="A3094" s="185"/>
      <c r="B3094" s="59" t="s">
        <v>20687</v>
      </c>
      <c r="C3094" s="147" t="s">
        <v>23393</v>
      </c>
      <c r="D3094" s="284" t="s">
        <v>897</v>
      </c>
      <c r="E3094" s="178">
        <v>2017</v>
      </c>
      <c r="F3094" s="178" t="s">
        <v>4520</v>
      </c>
      <c r="G3094" s="496"/>
      <c r="H3094" s="994" t="s">
        <v>20224</v>
      </c>
      <c r="I3094" s="11" t="s">
        <v>4241</v>
      </c>
      <c r="J3094" s="1285"/>
      <c r="K3094" s="1285"/>
      <c r="L3094" s="1285"/>
    </row>
    <row r="3095" spans="1:12" ht="11.15" customHeight="1">
      <c r="A3095" s="185"/>
      <c r="B3095" s="59" t="s">
        <v>20687</v>
      </c>
      <c r="C3095" s="147" t="s">
        <v>23393</v>
      </c>
      <c r="D3095" s="284" t="s">
        <v>897</v>
      </c>
      <c r="E3095" s="178">
        <v>2014</v>
      </c>
      <c r="F3095" s="178" t="s">
        <v>4520</v>
      </c>
      <c r="G3095" s="496"/>
      <c r="H3095" s="994" t="s">
        <v>20224</v>
      </c>
      <c r="I3095" s="11" t="s">
        <v>4242</v>
      </c>
      <c r="J3095" s="1285"/>
      <c r="K3095" s="1285"/>
      <c r="L3095" s="1285"/>
    </row>
    <row r="3096" spans="1:12" ht="11.15" customHeight="1">
      <c r="A3096" s="185"/>
      <c r="B3096" s="59" t="s">
        <v>20688</v>
      </c>
      <c r="C3096" s="147" t="s">
        <v>23393</v>
      </c>
      <c r="D3096" s="284" t="s">
        <v>897</v>
      </c>
      <c r="E3096" s="178">
        <v>2022</v>
      </c>
      <c r="F3096" s="178" t="s">
        <v>4520</v>
      </c>
      <c r="G3096" s="496"/>
      <c r="H3096" s="994" t="s">
        <v>20221</v>
      </c>
      <c r="I3096" s="11" t="s">
        <v>4243</v>
      </c>
      <c r="J3096" s="1285"/>
      <c r="K3096" s="1285"/>
      <c r="L3096" s="1285"/>
    </row>
    <row r="3097" spans="1:12" ht="11.15" customHeight="1">
      <c r="A3097" s="185"/>
      <c r="B3097" s="59" t="s">
        <v>20688</v>
      </c>
      <c r="C3097" s="147" t="s">
        <v>23393</v>
      </c>
      <c r="D3097" s="284" t="s">
        <v>897</v>
      </c>
      <c r="E3097" s="178">
        <v>2021</v>
      </c>
      <c r="F3097" s="178" t="s">
        <v>4520</v>
      </c>
      <c r="G3097" s="496"/>
      <c r="H3097" s="994" t="s">
        <v>20224</v>
      </c>
      <c r="I3097" s="11" t="s">
        <v>4244</v>
      </c>
      <c r="J3097" s="1285"/>
      <c r="K3097" s="1285"/>
      <c r="L3097" s="1285"/>
    </row>
    <row r="3098" spans="1:12" ht="11.15" customHeight="1">
      <c r="A3098" s="185"/>
      <c r="B3098" s="59" t="s">
        <v>20689</v>
      </c>
      <c r="C3098" s="147" t="s">
        <v>20221</v>
      </c>
      <c r="D3098" s="284" t="s">
        <v>897</v>
      </c>
      <c r="E3098" s="178" t="s">
        <v>20221</v>
      </c>
      <c r="F3098" s="178" t="s">
        <v>4520</v>
      </c>
      <c r="G3098" s="496" t="s">
        <v>20221</v>
      </c>
      <c r="H3098" s="994" t="s">
        <v>3907</v>
      </c>
      <c r="I3098" s="11" t="s">
        <v>4245</v>
      </c>
      <c r="J3098" s="1285"/>
      <c r="K3098" s="1285"/>
      <c r="L3098" s="1285"/>
    </row>
    <row r="3099" spans="1:12" ht="11.15" customHeight="1">
      <c r="A3099" s="185"/>
      <c r="B3099" s="59" t="s">
        <v>20690</v>
      </c>
      <c r="C3099" s="147" t="s">
        <v>23393</v>
      </c>
      <c r="D3099" s="284" t="s">
        <v>897</v>
      </c>
      <c r="E3099" s="178">
        <v>2022</v>
      </c>
      <c r="F3099" s="178" t="s">
        <v>23394</v>
      </c>
      <c r="G3099" s="496"/>
      <c r="H3099" s="994" t="s">
        <v>20224</v>
      </c>
      <c r="I3099" s="11" t="s">
        <v>4246</v>
      </c>
      <c r="J3099" s="1285"/>
      <c r="K3099" s="1285"/>
      <c r="L3099" s="1285"/>
    </row>
    <row r="3100" spans="1:12" ht="11.15" customHeight="1">
      <c r="A3100" s="185"/>
      <c r="B3100" s="59" t="s">
        <v>20690</v>
      </c>
      <c r="C3100" s="147" t="s">
        <v>23393</v>
      </c>
      <c r="D3100" s="284" t="s">
        <v>897</v>
      </c>
      <c r="E3100" s="178">
        <v>2021</v>
      </c>
      <c r="F3100" s="178" t="s">
        <v>23394</v>
      </c>
      <c r="G3100" s="496"/>
      <c r="H3100" s="994" t="s">
        <v>20224</v>
      </c>
      <c r="I3100" s="11" t="s">
        <v>4247</v>
      </c>
      <c r="J3100" s="1285"/>
      <c r="K3100" s="1285"/>
      <c r="L3100" s="1285"/>
    </row>
    <row r="3101" spans="1:12" ht="11.15" customHeight="1">
      <c r="A3101" s="185"/>
      <c r="B3101" s="59" t="s">
        <v>20691</v>
      </c>
      <c r="C3101" s="147" t="s">
        <v>23393</v>
      </c>
      <c r="D3101" s="284" t="s">
        <v>897</v>
      </c>
      <c r="E3101" s="178">
        <v>2022</v>
      </c>
      <c r="F3101" s="178" t="s">
        <v>4520</v>
      </c>
      <c r="G3101" s="496"/>
      <c r="H3101" s="994" t="s">
        <v>20224</v>
      </c>
      <c r="I3101" s="11" t="s">
        <v>4248</v>
      </c>
      <c r="J3101" s="1285"/>
      <c r="K3101" s="1285"/>
      <c r="L3101" s="1285"/>
    </row>
    <row r="3102" spans="1:12" ht="11.15" customHeight="1">
      <c r="A3102" s="185"/>
      <c r="B3102" s="59" t="s">
        <v>20691</v>
      </c>
      <c r="C3102" s="147" t="s">
        <v>23393</v>
      </c>
      <c r="D3102" s="284" t="s">
        <v>897</v>
      </c>
      <c r="E3102" s="178">
        <v>2021</v>
      </c>
      <c r="F3102" s="178" t="s">
        <v>4520</v>
      </c>
      <c r="G3102" s="496"/>
      <c r="H3102" s="994" t="s">
        <v>20224</v>
      </c>
      <c r="I3102" s="11" t="s">
        <v>4249</v>
      </c>
      <c r="J3102" s="1285"/>
      <c r="K3102" s="1285"/>
      <c r="L3102" s="1285"/>
    </row>
    <row r="3103" spans="1:12" ht="11.15" customHeight="1">
      <c r="A3103" s="185"/>
      <c r="B3103" s="59" t="s">
        <v>20692</v>
      </c>
      <c r="C3103" s="147" t="s">
        <v>20221</v>
      </c>
      <c r="D3103" s="284" t="s">
        <v>897</v>
      </c>
      <c r="E3103" s="178">
        <v>2018</v>
      </c>
      <c r="F3103" s="178" t="s">
        <v>4520</v>
      </c>
      <c r="G3103" s="496"/>
      <c r="H3103" s="994" t="s">
        <v>20224</v>
      </c>
      <c r="I3103" s="11" t="s">
        <v>4250</v>
      </c>
      <c r="J3103" s="1285"/>
      <c r="K3103" s="1285"/>
      <c r="L3103" s="1285"/>
    </row>
    <row r="3104" spans="1:12" ht="11.15" customHeight="1">
      <c r="A3104" s="185"/>
      <c r="B3104" s="59" t="s">
        <v>20693</v>
      </c>
      <c r="C3104" s="147" t="s">
        <v>20221</v>
      </c>
      <c r="D3104" s="284" t="s">
        <v>897</v>
      </c>
      <c r="E3104" s="178">
        <v>2022</v>
      </c>
      <c r="F3104" s="178" t="s">
        <v>4520</v>
      </c>
      <c r="G3104" s="496"/>
      <c r="H3104" s="994" t="s">
        <v>20221</v>
      </c>
      <c r="I3104" s="11" t="s">
        <v>4251</v>
      </c>
      <c r="J3104" s="1285"/>
      <c r="K3104" s="1285"/>
      <c r="L3104" s="1285"/>
    </row>
    <row r="3105" spans="1:12" ht="11.15" customHeight="1">
      <c r="A3105" s="185"/>
      <c r="B3105" s="59" t="s">
        <v>20693</v>
      </c>
      <c r="C3105" s="147" t="s">
        <v>20221</v>
      </c>
      <c r="D3105" s="284" t="s">
        <v>897</v>
      </c>
      <c r="E3105" s="178">
        <v>2021</v>
      </c>
      <c r="F3105" s="178" t="s">
        <v>4520</v>
      </c>
      <c r="G3105" s="496"/>
      <c r="H3105" s="994" t="s">
        <v>20221</v>
      </c>
      <c r="I3105" s="11" t="s">
        <v>4252</v>
      </c>
      <c r="J3105" s="1285"/>
      <c r="K3105" s="1285"/>
      <c r="L3105" s="1285"/>
    </row>
    <row r="3106" spans="1:12" ht="11.15" customHeight="1">
      <c r="A3106" s="185"/>
      <c r="B3106" s="59" t="s">
        <v>20693</v>
      </c>
      <c r="C3106" s="147" t="s">
        <v>20221</v>
      </c>
      <c r="D3106" s="284" t="s">
        <v>897</v>
      </c>
      <c r="E3106" s="178">
        <v>2020</v>
      </c>
      <c r="F3106" s="178" t="s">
        <v>4520</v>
      </c>
      <c r="G3106" s="496"/>
      <c r="H3106" s="994" t="s">
        <v>20221</v>
      </c>
      <c r="I3106" s="11" t="s">
        <v>4253</v>
      </c>
      <c r="J3106" s="1285"/>
      <c r="K3106" s="1285"/>
      <c r="L3106" s="1285"/>
    </row>
    <row r="3107" spans="1:12" ht="11.15" customHeight="1">
      <c r="A3107" s="185"/>
      <c r="B3107" s="59" t="s">
        <v>20694</v>
      </c>
      <c r="C3107" s="147" t="s">
        <v>20221</v>
      </c>
      <c r="D3107" s="284" t="s">
        <v>897</v>
      </c>
      <c r="E3107" s="178">
        <v>2019</v>
      </c>
      <c r="F3107" s="178" t="s">
        <v>4520</v>
      </c>
      <c r="G3107" s="496"/>
      <c r="H3107" s="994" t="s">
        <v>20221</v>
      </c>
      <c r="I3107" s="11" t="s">
        <v>4254</v>
      </c>
      <c r="J3107" s="1285"/>
      <c r="K3107" s="1285"/>
      <c r="L3107" s="1285"/>
    </row>
    <row r="3108" spans="1:12" ht="11.15" customHeight="1">
      <c r="A3108" s="185"/>
      <c r="B3108" s="177" t="s">
        <v>4255</v>
      </c>
      <c r="C3108" s="147"/>
      <c r="D3108" s="161"/>
      <c r="E3108" s="36"/>
      <c r="F3108" s="178"/>
      <c r="G3108" s="496"/>
      <c r="H3108" s="36"/>
      <c r="I3108" s="11"/>
    </row>
    <row r="3109" spans="1:12" ht="11.15" customHeight="1">
      <c r="A3109" s="185"/>
      <c r="B3109" s="59" t="s">
        <v>20695</v>
      </c>
      <c r="C3109" s="147" t="s">
        <v>23393</v>
      </c>
      <c r="D3109" s="284" t="s">
        <v>897</v>
      </c>
      <c r="E3109" s="178">
        <v>2022</v>
      </c>
      <c r="F3109" s="178" t="s">
        <v>4520</v>
      </c>
      <c r="G3109" s="496"/>
      <c r="H3109" s="994" t="s">
        <v>20221</v>
      </c>
      <c r="I3109" s="11" t="s">
        <v>4256</v>
      </c>
      <c r="J3109" s="1285"/>
      <c r="K3109" s="1285"/>
      <c r="L3109" s="1285"/>
    </row>
    <row r="3110" spans="1:12" ht="11.15" customHeight="1">
      <c r="A3110" s="185"/>
      <c r="B3110" s="59" t="s">
        <v>20695</v>
      </c>
      <c r="C3110" s="147" t="s">
        <v>23393</v>
      </c>
      <c r="D3110" s="284" t="s">
        <v>897</v>
      </c>
      <c r="E3110" s="178">
        <v>2021</v>
      </c>
      <c r="F3110" s="178" t="s">
        <v>4520</v>
      </c>
      <c r="G3110" s="496"/>
      <c r="H3110" s="994" t="s">
        <v>20224</v>
      </c>
      <c r="I3110" s="11" t="s">
        <v>4257</v>
      </c>
      <c r="J3110" s="1285"/>
      <c r="K3110" s="1285"/>
      <c r="L3110" s="1285"/>
    </row>
    <row r="3111" spans="1:12" ht="11.15" customHeight="1">
      <c r="A3111" s="185"/>
      <c r="B3111" s="59" t="s">
        <v>20695</v>
      </c>
      <c r="C3111" s="147" t="s">
        <v>23393</v>
      </c>
      <c r="D3111" s="284" t="s">
        <v>897</v>
      </c>
      <c r="E3111" s="178">
        <v>2018</v>
      </c>
      <c r="F3111" s="178" t="s">
        <v>4520</v>
      </c>
      <c r="G3111" s="496"/>
      <c r="H3111" s="994" t="s">
        <v>20221</v>
      </c>
      <c r="I3111" s="11" t="s">
        <v>4258</v>
      </c>
      <c r="J3111" s="1285"/>
      <c r="K3111" s="1285"/>
      <c r="L3111" s="1285"/>
    </row>
    <row r="3112" spans="1:12" ht="11.15" customHeight="1">
      <c r="A3112" s="185"/>
      <c r="B3112" s="59" t="s">
        <v>20695</v>
      </c>
      <c r="C3112" s="147" t="s">
        <v>23393</v>
      </c>
      <c r="D3112" s="284" t="s">
        <v>897</v>
      </c>
      <c r="E3112" s="178">
        <v>2017</v>
      </c>
      <c r="F3112" s="178" t="s">
        <v>4520</v>
      </c>
      <c r="G3112" s="496"/>
      <c r="H3112" s="994" t="s">
        <v>20224</v>
      </c>
      <c r="I3112" s="11" t="s">
        <v>4259</v>
      </c>
      <c r="J3112" s="1285"/>
      <c r="K3112" s="1285"/>
      <c r="L3112" s="1285"/>
    </row>
    <row r="3113" spans="1:12" ht="11.15" customHeight="1">
      <c r="A3113" s="185"/>
      <c r="B3113" s="59" t="s">
        <v>20695</v>
      </c>
      <c r="C3113" s="147" t="s">
        <v>23393</v>
      </c>
      <c r="D3113" s="284" t="s">
        <v>897</v>
      </c>
      <c r="E3113" s="178">
        <v>2014</v>
      </c>
      <c r="F3113" s="178" t="s">
        <v>4520</v>
      </c>
      <c r="G3113" s="496"/>
      <c r="H3113" s="994" t="s">
        <v>20224</v>
      </c>
      <c r="I3113" s="11" t="s">
        <v>4260</v>
      </c>
      <c r="J3113" s="1285"/>
      <c r="K3113" s="1285"/>
      <c r="L3113" s="1285"/>
    </row>
    <row r="3114" spans="1:12" ht="11.15" customHeight="1">
      <c r="A3114" s="185"/>
      <c r="B3114" s="59" t="s">
        <v>20695</v>
      </c>
      <c r="C3114" s="147" t="s">
        <v>23393</v>
      </c>
      <c r="D3114" s="284" t="s">
        <v>897</v>
      </c>
      <c r="E3114" s="178">
        <v>2013</v>
      </c>
      <c r="F3114" s="178" t="s">
        <v>4520</v>
      </c>
      <c r="G3114" s="496"/>
      <c r="H3114" s="994" t="s">
        <v>20224</v>
      </c>
      <c r="I3114" s="11" t="s">
        <v>4261</v>
      </c>
      <c r="J3114" s="1285"/>
      <c r="K3114" s="1285"/>
      <c r="L3114" s="1285"/>
    </row>
    <row r="3115" spans="1:12" ht="11.15" customHeight="1">
      <c r="A3115" s="185"/>
      <c r="B3115" s="59" t="s">
        <v>20696</v>
      </c>
      <c r="C3115" s="147" t="s">
        <v>23393</v>
      </c>
      <c r="D3115" s="284" t="s">
        <v>897</v>
      </c>
      <c r="E3115" s="178">
        <v>2022</v>
      </c>
      <c r="F3115" s="178" t="s">
        <v>23394</v>
      </c>
      <c r="G3115" s="496"/>
      <c r="H3115" s="994" t="s">
        <v>20224</v>
      </c>
      <c r="I3115" s="11" t="s">
        <v>4262</v>
      </c>
      <c r="J3115" s="1285"/>
      <c r="K3115" s="1285"/>
      <c r="L3115" s="1285"/>
    </row>
    <row r="3116" spans="1:12" ht="11.15" customHeight="1">
      <c r="A3116" s="185"/>
      <c r="B3116" s="59" t="s">
        <v>20696</v>
      </c>
      <c r="C3116" s="147" t="s">
        <v>23393</v>
      </c>
      <c r="D3116" s="284" t="s">
        <v>897</v>
      </c>
      <c r="E3116" s="178">
        <v>2021</v>
      </c>
      <c r="F3116" s="178" t="s">
        <v>23394</v>
      </c>
      <c r="G3116" s="496"/>
      <c r="H3116" s="994" t="s">
        <v>20224</v>
      </c>
      <c r="I3116" s="11" t="s">
        <v>4263</v>
      </c>
      <c r="J3116" s="1285"/>
      <c r="K3116" s="1285"/>
      <c r="L3116" s="1285"/>
    </row>
    <row r="3117" spans="1:12" ht="11.15" customHeight="1">
      <c r="A3117" s="185"/>
      <c r="B3117" s="59" t="s">
        <v>20697</v>
      </c>
      <c r="C3117" s="147" t="s">
        <v>23393</v>
      </c>
      <c r="D3117" s="284" t="s">
        <v>897</v>
      </c>
      <c r="E3117" s="178">
        <v>2022</v>
      </c>
      <c r="F3117" s="178" t="s">
        <v>23394</v>
      </c>
      <c r="G3117" s="496"/>
      <c r="H3117" s="994" t="s">
        <v>20224</v>
      </c>
      <c r="I3117" s="11" t="s">
        <v>4264</v>
      </c>
      <c r="J3117" s="1285"/>
      <c r="K3117" s="1285"/>
      <c r="L3117" s="1285"/>
    </row>
    <row r="3118" spans="1:12" ht="11.15" customHeight="1">
      <c r="A3118" s="185"/>
      <c r="B3118" s="59" t="s">
        <v>20697</v>
      </c>
      <c r="C3118" s="147" t="s">
        <v>23393</v>
      </c>
      <c r="D3118" s="284" t="s">
        <v>897</v>
      </c>
      <c r="E3118" s="178">
        <v>2021</v>
      </c>
      <c r="F3118" s="178" t="s">
        <v>23394</v>
      </c>
      <c r="G3118" s="496"/>
      <c r="H3118" s="994" t="s">
        <v>20224</v>
      </c>
      <c r="I3118" s="11" t="s">
        <v>4265</v>
      </c>
      <c r="J3118" s="1285"/>
      <c r="K3118" s="1285"/>
      <c r="L3118" s="1285"/>
    </row>
    <row r="3119" spans="1:12" ht="11.15" customHeight="1">
      <c r="A3119" s="185"/>
      <c r="B3119" s="59" t="s">
        <v>20698</v>
      </c>
      <c r="C3119" s="147" t="s">
        <v>23393</v>
      </c>
      <c r="D3119" s="284" t="s">
        <v>897</v>
      </c>
      <c r="E3119" s="178" t="s">
        <v>20221</v>
      </c>
      <c r="F3119" s="178" t="s">
        <v>23394</v>
      </c>
      <c r="G3119" s="496" t="s">
        <v>20221</v>
      </c>
      <c r="H3119" s="994" t="s">
        <v>3907</v>
      </c>
      <c r="I3119" s="11" t="s">
        <v>4266</v>
      </c>
      <c r="J3119" s="1285"/>
      <c r="K3119" s="1285"/>
      <c r="L3119" s="1285"/>
    </row>
    <row r="3120" spans="1:12" ht="11.15" customHeight="1">
      <c r="A3120" s="185"/>
      <c r="B3120" s="59" t="s">
        <v>20699</v>
      </c>
      <c r="C3120" s="147" t="s">
        <v>20221</v>
      </c>
      <c r="D3120" s="284" t="s">
        <v>897</v>
      </c>
      <c r="E3120" s="178">
        <v>2022</v>
      </c>
      <c r="F3120" s="178" t="s">
        <v>23394</v>
      </c>
      <c r="G3120" s="496"/>
      <c r="H3120" s="994" t="s">
        <v>20224</v>
      </c>
      <c r="I3120" s="11" t="s">
        <v>4267</v>
      </c>
      <c r="J3120" s="1285"/>
      <c r="K3120" s="1285"/>
      <c r="L3120" s="1285"/>
    </row>
    <row r="3121" spans="1:12" ht="11.15" customHeight="1">
      <c r="A3121" s="185"/>
      <c r="B3121" s="59" t="s">
        <v>20700</v>
      </c>
      <c r="C3121" s="147" t="s">
        <v>23393</v>
      </c>
      <c r="D3121" s="284" t="s">
        <v>897</v>
      </c>
      <c r="E3121" s="178">
        <v>2022</v>
      </c>
      <c r="F3121" s="178" t="s">
        <v>23394</v>
      </c>
      <c r="G3121" s="496"/>
      <c r="H3121" s="994" t="s">
        <v>20224</v>
      </c>
      <c r="I3121" s="11" t="s">
        <v>4268</v>
      </c>
      <c r="J3121" s="1285"/>
      <c r="K3121" s="1285"/>
      <c r="L3121" s="1285"/>
    </row>
    <row r="3122" spans="1:12" ht="11.15" customHeight="1">
      <c r="A3122" s="185"/>
      <c r="B3122" s="59" t="s">
        <v>20700</v>
      </c>
      <c r="C3122" s="147" t="s">
        <v>23393</v>
      </c>
      <c r="D3122" s="284" t="s">
        <v>897</v>
      </c>
      <c r="E3122" s="178">
        <v>2019</v>
      </c>
      <c r="F3122" s="178" t="s">
        <v>4520</v>
      </c>
      <c r="G3122" s="496"/>
      <c r="H3122" s="994" t="s">
        <v>20224</v>
      </c>
      <c r="I3122" s="11" t="s">
        <v>4269</v>
      </c>
      <c r="J3122" s="1285"/>
      <c r="K3122" s="1285"/>
      <c r="L3122" s="1285"/>
    </row>
    <row r="3123" spans="1:12" ht="11.15" customHeight="1">
      <c r="A3123" s="185"/>
      <c r="B3123" s="59" t="s">
        <v>20700</v>
      </c>
      <c r="C3123" s="147" t="s">
        <v>20221</v>
      </c>
      <c r="D3123" s="284" t="s">
        <v>897</v>
      </c>
      <c r="E3123" s="178">
        <v>2018</v>
      </c>
      <c r="F3123" s="178" t="s">
        <v>4520</v>
      </c>
      <c r="G3123" s="496"/>
      <c r="H3123" s="994" t="s">
        <v>20224</v>
      </c>
      <c r="I3123" s="11" t="s">
        <v>4270</v>
      </c>
      <c r="J3123" s="1285"/>
      <c r="K3123" s="1285"/>
      <c r="L3123" s="1285"/>
    </row>
    <row r="3124" spans="1:12" ht="11.15" customHeight="1">
      <c r="A3124" s="185"/>
      <c r="B3124" s="177" t="s">
        <v>4271</v>
      </c>
      <c r="C3124" s="147"/>
      <c r="D3124" s="161"/>
      <c r="E3124" s="36"/>
      <c r="F3124" s="178"/>
      <c r="G3124" s="496"/>
      <c r="H3124" s="36"/>
      <c r="I3124" s="11"/>
    </row>
    <row r="3125" spans="1:12" ht="11.15" customHeight="1">
      <c r="A3125" s="185"/>
      <c r="B3125" s="59" t="s">
        <v>20701</v>
      </c>
      <c r="C3125" s="147" t="s">
        <v>23393</v>
      </c>
      <c r="D3125" s="284" t="s">
        <v>897</v>
      </c>
      <c r="E3125" s="178">
        <v>2022</v>
      </c>
      <c r="F3125" s="178" t="s">
        <v>5257</v>
      </c>
      <c r="G3125" s="496"/>
      <c r="H3125" s="994" t="s">
        <v>20224</v>
      </c>
      <c r="I3125" s="11" t="s">
        <v>4272</v>
      </c>
      <c r="J3125" s="1285"/>
      <c r="K3125" s="1285"/>
      <c r="L3125" s="1285"/>
    </row>
    <row r="3126" spans="1:12" ht="11.15" customHeight="1">
      <c r="A3126" s="185"/>
      <c r="B3126" s="59" t="s">
        <v>20702</v>
      </c>
      <c r="C3126" s="147" t="s">
        <v>23393</v>
      </c>
      <c r="D3126" s="284" t="s">
        <v>897</v>
      </c>
      <c r="E3126" s="178">
        <v>2014</v>
      </c>
      <c r="F3126" s="178" t="s">
        <v>5257</v>
      </c>
      <c r="G3126" s="496"/>
      <c r="H3126" s="994" t="s">
        <v>20224</v>
      </c>
      <c r="I3126" s="11" t="s">
        <v>4273</v>
      </c>
      <c r="J3126" s="1285"/>
      <c r="K3126" s="1285"/>
      <c r="L3126" s="1285"/>
    </row>
    <row r="3127" spans="1:12" ht="11.15" customHeight="1">
      <c r="A3127" s="185"/>
      <c r="B3127" s="59" t="s">
        <v>20703</v>
      </c>
      <c r="C3127" s="147" t="s">
        <v>23393</v>
      </c>
      <c r="D3127" s="284" t="s">
        <v>897</v>
      </c>
      <c r="E3127" s="178">
        <v>2022</v>
      </c>
      <c r="F3127" s="178" t="s">
        <v>5257</v>
      </c>
      <c r="G3127" s="496"/>
      <c r="H3127" s="994" t="s">
        <v>20224</v>
      </c>
      <c r="I3127" s="11" t="s">
        <v>4274</v>
      </c>
      <c r="J3127" s="1285"/>
      <c r="K3127" s="1285"/>
      <c r="L3127" s="1285"/>
    </row>
    <row r="3128" spans="1:12" ht="11.15" customHeight="1">
      <c r="A3128" s="185"/>
      <c r="B3128" s="59" t="s">
        <v>20704</v>
      </c>
      <c r="C3128" s="147" t="s">
        <v>20221</v>
      </c>
      <c r="D3128" s="284" t="s">
        <v>897</v>
      </c>
      <c r="E3128" s="178">
        <v>2022</v>
      </c>
      <c r="F3128" s="178" t="s">
        <v>5257</v>
      </c>
      <c r="G3128" s="496"/>
      <c r="H3128" s="994" t="s">
        <v>20221</v>
      </c>
      <c r="I3128" s="11" t="s">
        <v>4275</v>
      </c>
      <c r="J3128" s="1285"/>
      <c r="K3128" s="1285"/>
      <c r="L3128" s="1285"/>
    </row>
    <row r="3129" spans="1:12" ht="11.15" customHeight="1">
      <c r="A3129" s="185"/>
      <c r="B3129" s="59" t="s">
        <v>20704</v>
      </c>
      <c r="C3129" s="147" t="s">
        <v>20221</v>
      </c>
      <c r="D3129" s="284" t="s">
        <v>897</v>
      </c>
      <c r="E3129" s="178">
        <v>2021</v>
      </c>
      <c r="F3129" s="178" t="s">
        <v>5257</v>
      </c>
      <c r="G3129" s="496"/>
      <c r="H3129" s="994" t="s">
        <v>20224</v>
      </c>
      <c r="I3129" s="11" t="s">
        <v>4276</v>
      </c>
      <c r="J3129" s="1285"/>
      <c r="K3129" s="1285"/>
      <c r="L3129" s="1285"/>
    </row>
    <row r="3130" spans="1:12" ht="11.15" customHeight="1">
      <c r="A3130" s="185"/>
      <c r="B3130" s="59" t="s">
        <v>20704</v>
      </c>
      <c r="C3130" s="147" t="s">
        <v>20221</v>
      </c>
      <c r="D3130" s="284" t="s">
        <v>897</v>
      </c>
      <c r="E3130" s="178">
        <v>2020</v>
      </c>
      <c r="F3130" s="178" t="s">
        <v>5257</v>
      </c>
      <c r="G3130" s="496"/>
      <c r="H3130" s="994" t="s">
        <v>20224</v>
      </c>
      <c r="I3130" s="11" t="s">
        <v>4277</v>
      </c>
      <c r="J3130" s="1285"/>
      <c r="K3130" s="1285"/>
      <c r="L3130" s="1285"/>
    </row>
    <row r="3131" spans="1:12" ht="9.75" customHeight="1">
      <c r="A3131" s="185"/>
      <c r="B3131" s="59" t="s">
        <v>20705</v>
      </c>
      <c r="C3131" s="147" t="s">
        <v>20221</v>
      </c>
      <c r="D3131" s="284" t="s">
        <v>897</v>
      </c>
      <c r="E3131" s="178">
        <v>2019</v>
      </c>
      <c r="F3131" s="178" t="s">
        <v>5257</v>
      </c>
      <c r="G3131" s="496"/>
      <c r="H3131" s="994" t="s">
        <v>20224</v>
      </c>
      <c r="I3131" s="11" t="s">
        <v>4278</v>
      </c>
      <c r="J3131" s="1285"/>
      <c r="K3131" s="1285"/>
      <c r="L3131" s="1285"/>
    </row>
    <row r="3132" spans="1:12" ht="11.15" customHeight="1">
      <c r="A3132" s="185"/>
      <c r="B3132" s="59" t="s">
        <v>20706</v>
      </c>
      <c r="C3132" s="147" t="s">
        <v>23393</v>
      </c>
      <c r="D3132" s="284" t="s">
        <v>897</v>
      </c>
      <c r="E3132" s="178">
        <v>2022</v>
      </c>
      <c r="F3132" s="178" t="s">
        <v>5257</v>
      </c>
      <c r="G3132" s="496"/>
      <c r="H3132" s="994" t="s">
        <v>20224</v>
      </c>
      <c r="I3132" s="11" t="s">
        <v>4279</v>
      </c>
      <c r="J3132" s="1285"/>
      <c r="K3132" s="1285"/>
      <c r="L3132" s="1285"/>
    </row>
    <row r="3133" spans="1:12" ht="11.15" customHeight="1">
      <c r="A3133" s="185"/>
      <c r="B3133" s="59" t="s">
        <v>20707</v>
      </c>
      <c r="C3133" s="147" t="s">
        <v>23393</v>
      </c>
      <c r="D3133" s="284" t="s">
        <v>897</v>
      </c>
      <c r="E3133" s="178">
        <v>2022</v>
      </c>
      <c r="F3133" s="178" t="s">
        <v>5257</v>
      </c>
      <c r="G3133" s="496"/>
      <c r="H3133" s="994" t="s">
        <v>20224</v>
      </c>
      <c r="I3133" s="11" t="s">
        <v>4280</v>
      </c>
      <c r="J3133" s="1285"/>
      <c r="K3133" s="1285"/>
      <c r="L3133" s="1285"/>
    </row>
    <row r="3134" spans="1:12" ht="11.15" customHeight="1">
      <c r="A3134" s="415"/>
      <c r="B3134" s="154" t="s">
        <v>4281</v>
      </c>
      <c r="C3134" s="147"/>
      <c r="D3134" s="161"/>
      <c r="E3134" s="36"/>
      <c r="F3134" s="183"/>
      <c r="G3134" s="496"/>
      <c r="H3134" s="34"/>
      <c r="I3134" s="11"/>
    </row>
    <row r="3135" spans="1:12" ht="11.15" customHeight="1">
      <c r="A3135" s="185"/>
      <c r="B3135" s="59" t="s">
        <v>20708</v>
      </c>
      <c r="C3135" s="147" t="s">
        <v>20221</v>
      </c>
      <c r="D3135" s="284" t="s">
        <v>897</v>
      </c>
      <c r="E3135" s="178">
        <v>2019</v>
      </c>
      <c r="F3135" s="178" t="s">
        <v>11938</v>
      </c>
      <c r="G3135" s="496"/>
      <c r="H3135" s="994" t="s">
        <v>20224</v>
      </c>
      <c r="I3135" s="11" t="s">
        <v>4282</v>
      </c>
      <c r="J3135" s="1285"/>
      <c r="K3135" s="1285"/>
      <c r="L3135" s="1285"/>
    </row>
    <row r="3136" spans="1:12" ht="11.15" customHeight="1">
      <c r="A3136" s="185"/>
      <c r="B3136" s="59" t="s">
        <v>20709</v>
      </c>
      <c r="C3136" s="147" t="s">
        <v>20221</v>
      </c>
      <c r="D3136" s="284" t="s">
        <v>897</v>
      </c>
      <c r="E3136" s="178">
        <v>2018</v>
      </c>
      <c r="F3136" s="178" t="s">
        <v>11938</v>
      </c>
      <c r="G3136" s="496"/>
      <c r="H3136" s="994" t="s">
        <v>20224</v>
      </c>
      <c r="I3136" s="11" t="s">
        <v>4283</v>
      </c>
      <c r="J3136" s="1285"/>
      <c r="K3136" s="1285"/>
      <c r="L3136" s="1285"/>
    </row>
    <row r="3137" spans="1:12" ht="11.15" customHeight="1">
      <c r="A3137" s="185"/>
      <c r="B3137" s="59" t="s">
        <v>20709</v>
      </c>
      <c r="C3137" s="147" t="s">
        <v>20221</v>
      </c>
      <c r="D3137" s="284" t="s">
        <v>897</v>
      </c>
      <c r="E3137" s="178">
        <v>2017</v>
      </c>
      <c r="F3137" s="178" t="s">
        <v>11938</v>
      </c>
      <c r="G3137" s="496"/>
      <c r="H3137" s="994" t="s">
        <v>20224</v>
      </c>
      <c r="I3137" s="11" t="s">
        <v>4284</v>
      </c>
      <c r="J3137" s="1285"/>
      <c r="K3137" s="1285"/>
      <c r="L3137" s="1285"/>
    </row>
    <row r="3138" spans="1:12" ht="11.15" customHeight="1">
      <c r="A3138" s="185"/>
      <c r="B3138" s="59" t="s">
        <v>20709</v>
      </c>
      <c r="C3138" s="147" t="s">
        <v>20221</v>
      </c>
      <c r="D3138" s="284" t="s">
        <v>897</v>
      </c>
      <c r="E3138" s="178">
        <v>2015</v>
      </c>
      <c r="F3138" s="178" t="s">
        <v>11938</v>
      </c>
      <c r="G3138" s="496"/>
      <c r="H3138" s="994" t="s">
        <v>20224</v>
      </c>
      <c r="I3138" s="11" t="s">
        <v>4285</v>
      </c>
      <c r="J3138" s="1285"/>
      <c r="K3138" s="1285"/>
      <c r="L3138" s="1285"/>
    </row>
    <row r="3139" spans="1:12" ht="11.15" customHeight="1">
      <c r="A3139" s="185"/>
      <c r="B3139" s="59" t="s">
        <v>20709</v>
      </c>
      <c r="C3139" s="147" t="s">
        <v>20221</v>
      </c>
      <c r="D3139" s="284" t="s">
        <v>897</v>
      </c>
      <c r="E3139" s="178">
        <v>2014</v>
      </c>
      <c r="F3139" s="178" t="s">
        <v>11938</v>
      </c>
      <c r="G3139" s="496"/>
      <c r="H3139" s="994" t="s">
        <v>20224</v>
      </c>
      <c r="I3139" s="11" t="s">
        <v>4286</v>
      </c>
      <c r="J3139" s="1285"/>
      <c r="K3139" s="1285"/>
      <c r="L3139" s="1285"/>
    </row>
    <row r="3140" spans="1:12" ht="11.15" customHeight="1">
      <c r="A3140" s="185"/>
      <c r="B3140" s="59" t="s">
        <v>20710</v>
      </c>
      <c r="C3140" s="147" t="s">
        <v>23393</v>
      </c>
      <c r="D3140" s="284" t="s">
        <v>897</v>
      </c>
      <c r="E3140" s="178">
        <v>2019</v>
      </c>
      <c r="F3140" s="178" t="s">
        <v>11938</v>
      </c>
      <c r="G3140" s="496"/>
      <c r="H3140" s="994" t="s">
        <v>20224</v>
      </c>
      <c r="I3140" s="11" t="s">
        <v>4287</v>
      </c>
      <c r="J3140" s="1285"/>
      <c r="K3140" s="1285"/>
      <c r="L3140" s="1285"/>
    </row>
    <row r="3141" spans="1:12" ht="11.15" customHeight="1">
      <c r="A3141" s="185"/>
      <c r="B3141" s="59" t="s">
        <v>20710</v>
      </c>
      <c r="C3141" s="147" t="s">
        <v>20221</v>
      </c>
      <c r="D3141" s="284" t="s">
        <v>897</v>
      </c>
      <c r="E3141" s="178">
        <v>2018</v>
      </c>
      <c r="F3141" s="178" t="s">
        <v>11938</v>
      </c>
      <c r="G3141" s="496"/>
      <c r="H3141" s="994" t="s">
        <v>20224</v>
      </c>
      <c r="I3141" s="11" t="s">
        <v>4288</v>
      </c>
      <c r="J3141" s="1285"/>
      <c r="K3141" s="1285"/>
      <c r="L3141" s="1285"/>
    </row>
    <row r="3142" spans="1:12" ht="11.15" customHeight="1">
      <c r="A3142" s="185"/>
      <c r="B3142" s="59" t="s">
        <v>20710</v>
      </c>
      <c r="C3142" s="147" t="s">
        <v>20221</v>
      </c>
      <c r="D3142" s="284" t="s">
        <v>897</v>
      </c>
      <c r="E3142" s="178">
        <v>2017</v>
      </c>
      <c r="F3142" s="178" t="s">
        <v>11938</v>
      </c>
      <c r="G3142" s="496"/>
      <c r="H3142" s="994" t="s">
        <v>20224</v>
      </c>
      <c r="I3142" s="11" t="s">
        <v>4289</v>
      </c>
      <c r="J3142" s="1285"/>
      <c r="K3142" s="1285"/>
      <c r="L3142" s="1285"/>
    </row>
    <row r="3143" spans="1:12" ht="11.15" customHeight="1">
      <c r="A3143" s="185"/>
      <c r="B3143" s="59" t="s">
        <v>20710</v>
      </c>
      <c r="C3143" s="147" t="s">
        <v>20221</v>
      </c>
      <c r="D3143" s="284" t="s">
        <v>897</v>
      </c>
      <c r="E3143" s="178">
        <v>2015</v>
      </c>
      <c r="F3143" s="178" t="s">
        <v>11938</v>
      </c>
      <c r="G3143" s="496"/>
      <c r="H3143" s="994" t="s">
        <v>20224</v>
      </c>
      <c r="I3143" s="11" t="s">
        <v>4290</v>
      </c>
      <c r="J3143" s="1285"/>
      <c r="K3143" s="1285"/>
      <c r="L3143" s="1285"/>
    </row>
    <row r="3144" spans="1:12" ht="11.15" customHeight="1">
      <c r="A3144" s="185"/>
      <c r="B3144" s="59" t="s">
        <v>20710</v>
      </c>
      <c r="C3144" s="147" t="s">
        <v>20221</v>
      </c>
      <c r="D3144" s="284" t="s">
        <v>897</v>
      </c>
      <c r="E3144" s="178">
        <v>2014</v>
      </c>
      <c r="F3144" s="178" t="s">
        <v>11938</v>
      </c>
      <c r="G3144" s="496"/>
      <c r="H3144" s="994" t="s">
        <v>20224</v>
      </c>
      <c r="I3144" s="11" t="s">
        <v>4291</v>
      </c>
      <c r="J3144" s="1285"/>
      <c r="K3144" s="1285"/>
      <c r="L3144" s="1285"/>
    </row>
    <row r="3145" spans="1:12" ht="11.15" customHeight="1">
      <c r="A3145" s="185"/>
      <c r="B3145" s="59" t="s">
        <v>20710</v>
      </c>
      <c r="C3145" s="147" t="s">
        <v>20221</v>
      </c>
      <c r="D3145" s="284" t="s">
        <v>897</v>
      </c>
      <c r="E3145" s="178">
        <v>2013</v>
      </c>
      <c r="F3145" s="178" t="s">
        <v>11938</v>
      </c>
      <c r="G3145" s="496"/>
      <c r="H3145" s="994" t="s">
        <v>20224</v>
      </c>
      <c r="I3145" s="11" t="s">
        <v>4292</v>
      </c>
      <c r="J3145" s="1285"/>
      <c r="K3145" s="1285"/>
      <c r="L3145" s="1285"/>
    </row>
    <row r="3146" spans="1:12" ht="11.15" customHeight="1" thickBot="1">
      <c r="A3146" s="271"/>
      <c r="B3146" s="185"/>
      <c r="C3146" s="147"/>
      <c r="D3146" s="129"/>
      <c r="E3146" s="185"/>
      <c r="F3146" s="185"/>
      <c r="G3146" s="185"/>
      <c r="H3146" s="185"/>
      <c r="I3146" s="11"/>
    </row>
    <row r="3147" spans="1:12" ht="11.15" customHeight="1" thickBot="1">
      <c r="A3147" s="184" t="s">
        <v>4293</v>
      </c>
      <c r="B3147" s="59" t="s">
        <v>20712</v>
      </c>
      <c r="C3147" s="147" t="s">
        <v>20221</v>
      </c>
      <c r="D3147" s="284" t="s">
        <v>897</v>
      </c>
      <c r="E3147" s="178">
        <v>2023</v>
      </c>
      <c r="F3147" s="178" t="s">
        <v>4520</v>
      </c>
      <c r="G3147" s="496"/>
      <c r="H3147" s="994" t="s">
        <v>20221</v>
      </c>
      <c r="I3147" s="12" t="s">
        <v>4294</v>
      </c>
      <c r="J3147" s="1285"/>
      <c r="K3147" s="1285"/>
      <c r="L3147" s="1285"/>
    </row>
    <row r="3148" spans="1:12" ht="11.15" customHeight="1">
      <c r="A3148" s="29" t="s">
        <v>4295</v>
      </c>
      <c r="B3148" s="59" t="s">
        <v>20712</v>
      </c>
      <c r="C3148" s="147" t="s">
        <v>20221</v>
      </c>
      <c r="D3148" s="284" t="s">
        <v>897</v>
      </c>
      <c r="E3148" s="178">
        <v>2022</v>
      </c>
      <c r="F3148" s="178" t="s">
        <v>4520</v>
      </c>
      <c r="G3148" s="496"/>
      <c r="H3148" s="994" t="s">
        <v>20221</v>
      </c>
      <c r="I3148" s="12" t="s">
        <v>4296</v>
      </c>
      <c r="J3148" s="1285"/>
      <c r="K3148" s="1285"/>
      <c r="L3148" s="1285"/>
    </row>
    <row r="3149" spans="1:12" ht="11.15" customHeight="1">
      <c r="A3149" s="29" t="s">
        <v>4297</v>
      </c>
      <c r="B3149" s="59" t="s">
        <v>20712</v>
      </c>
      <c r="C3149" s="147" t="s">
        <v>20221</v>
      </c>
      <c r="D3149" s="284" t="s">
        <v>897</v>
      </c>
      <c r="E3149" s="178">
        <v>2021</v>
      </c>
      <c r="F3149" s="178" t="s">
        <v>4520</v>
      </c>
      <c r="G3149" s="496"/>
      <c r="H3149" s="994" t="s">
        <v>20221</v>
      </c>
      <c r="I3149" s="12" t="s">
        <v>4298</v>
      </c>
      <c r="J3149" s="1285"/>
      <c r="K3149" s="1285"/>
      <c r="L3149" s="1285"/>
    </row>
    <row r="3150" spans="1:12" ht="11.15" customHeight="1">
      <c r="A3150" s="29" t="s">
        <v>4299</v>
      </c>
      <c r="B3150" s="59" t="s">
        <v>20712</v>
      </c>
      <c r="C3150" s="147" t="s">
        <v>20221</v>
      </c>
      <c r="D3150" s="284" t="s">
        <v>897</v>
      </c>
      <c r="E3150" s="178">
        <v>2020</v>
      </c>
      <c r="F3150" s="178" t="s">
        <v>23395</v>
      </c>
      <c r="G3150" s="496"/>
      <c r="H3150" s="994" t="s">
        <v>20221</v>
      </c>
      <c r="I3150" s="12" t="s">
        <v>4300</v>
      </c>
      <c r="J3150" s="1285"/>
      <c r="K3150" s="1285"/>
      <c r="L3150" s="1285"/>
    </row>
    <row r="3151" spans="1:12" ht="11.15" customHeight="1">
      <c r="A3151" s="29" t="s">
        <v>4301</v>
      </c>
      <c r="B3151" s="59" t="s">
        <v>20713</v>
      </c>
      <c r="C3151" s="147" t="s">
        <v>20221</v>
      </c>
      <c r="D3151" s="284" t="s">
        <v>897</v>
      </c>
      <c r="E3151" s="178">
        <v>2023</v>
      </c>
      <c r="F3151" s="178" t="s">
        <v>4520</v>
      </c>
      <c r="G3151" s="496"/>
      <c r="H3151" s="994" t="s">
        <v>20224</v>
      </c>
      <c r="I3151" s="12" t="s">
        <v>4302</v>
      </c>
      <c r="J3151" s="1285"/>
      <c r="K3151" s="1285"/>
      <c r="L3151" s="1285"/>
    </row>
    <row r="3152" spans="1:12" ht="11.15" customHeight="1">
      <c r="A3152" s="29" t="s">
        <v>4303</v>
      </c>
      <c r="B3152" s="59" t="s">
        <v>20713</v>
      </c>
      <c r="C3152" s="147" t="s">
        <v>20221</v>
      </c>
      <c r="D3152" s="284" t="s">
        <v>897</v>
      </c>
      <c r="E3152" s="178">
        <v>2022</v>
      </c>
      <c r="F3152" s="178" t="s">
        <v>4520</v>
      </c>
      <c r="G3152" s="496"/>
      <c r="H3152" s="994" t="s">
        <v>20224</v>
      </c>
      <c r="I3152" s="12" t="s">
        <v>4304</v>
      </c>
      <c r="J3152" s="1285"/>
      <c r="K3152" s="1285"/>
      <c r="L3152" s="1285"/>
    </row>
    <row r="3153" spans="1:12" ht="11.15" customHeight="1">
      <c r="A3153" s="29" t="s">
        <v>4305</v>
      </c>
      <c r="B3153" s="59" t="s">
        <v>20713</v>
      </c>
      <c r="C3153" s="147" t="s">
        <v>20221</v>
      </c>
      <c r="D3153" s="284" t="s">
        <v>897</v>
      </c>
      <c r="E3153" s="178">
        <v>2021</v>
      </c>
      <c r="F3153" s="178" t="s">
        <v>4520</v>
      </c>
      <c r="G3153" s="496"/>
      <c r="H3153" s="994" t="s">
        <v>20224</v>
      </c>
      <c r="I3153" s="12" t="s">
        <v>4306</v>
      </c>
      <c r="J3153" s="1285"/>
      <c r="K3153" s="1285"/>
      <c r="L3153" s="1285"/>
    </row>
    <row r="3154" spans="1:12" ht="11.15" customHeight="1">
      <c r="A3154" s="29" t="s">
        <v>4307</v>
      </c>
      <c r="B3154" s="59" t="s">
        <v>20714</v>
      </c>
      <c r="C3154" s="147" t="s">
        <v>20221</v>
      </c>
      <c r="D3154" s="284" t="s">
        <v>897</v>
      </c>
      <c r="E3154" s="178">
        <v>2023</v>
      </c>
      <c r="F3154" s="178" t="s">
        <v>4520</v>
      </c>
      <c r="G3154" s="496"/>
      <c r="H3154" s="994" t="s">
        <v>20221</v>
      </c>
      <c r="I3154" s="12" t="s">
        <v>4308</v>
      </c>
      <c r="J3154" s="1285"/>
      <c r="K3154" s="1285"/>
      <c r="L3154" s="1285"/>
    </row>
    <row r="3155" spans="1:12" ht="11.15" customHeight="1">
      <c r="A3155" s="29" t="s">
        <v>4309</v>
      </c>
      <c r="B3155" s="59" t="s">
        <v>20714</v>
      </c>
      <c r="C3155" s="147" t="s">
        <v>20221</v>
      </c>
      <c r="D3155" s="284" t="s">
        <v>897</v>
      </c>
      <c r="E3155" s="178">
        <v>2022</v>
      </c>
      <c r="F3155" s="178" t="s">
        <v>4520</v>
      </c>
      <c r="G3155" s="496"/>
      <c r="H3155" s="994" t="s">
        <v>20221</v>
      </c>
      <c r="I3155" s="12" t="s">
        <v>4310</v>
      </c>
      <c r="J3155" s="1285"/>
      <c r="K3155" s="1285"/>
      <c r="L3155" s="1285"/>
    </row>
    <row r="3156" spans="1:12" ht="11.15" customHeight="1">
      <c r="A3156" s="129" t="s">
        <v>1077</v>
      </c>
      <c r="B3156" s="59" t="s">
        <v>20714</v>
      </c>
      <c r="C3156" s="147" t="s">
        <v>20221</v>
      </c>
      <c r="D3156" s="284" t="s">
        <v>897</v>
      </c>
      <c r="E3156" s="178">
        <v>2021</v>
      </c>
      <c r="F3156" s="178" t="s">
        <v>4520</v>
      </c>
      <c r="G3156" s="496"/>
      <c r="H3156" s="994" t="s">
        <v>20221</v>
      </c>
      <c r="I3156" s="12" t="s">
        <v>4311</v>
      </c>
      <c r="J3156" s="1285"/>
      <c r="K3156" s="1285"/>
      <c r="L3156" s="1285"/>
    </row>
    <row r="3157" spans="1:12" ht="11.15" customHeight="1">
      <c r="A3157" s="162" t="s">
        <v>4312</v>
      </c>
      <c r="B3157" s="59" t="s">
        <v>20714</v>
      </c>
      <c r="C3157" s="147" t="s">
        <v>20221</v>
      </c>
      <c r="D3157" s="284" t="s">
        <v>897</v>
      </c>
      <c r="E3157" s="178">
        <v>2020</v>
      </c>
      <c r="F3157" s="178" t="s">
        <v>23395</v>
      </c>
      <c r="G3157" s="496"/>
      <c r="H3157" s="994" t="s">
        <v>20221</v>
      </c>
      <c r="I3157" s="12" t="s">
        <v>4313</v>
      </c>
      <c r="J3157" s="1285"/>
      <c r="K3157" s="1285"/>
      <c r="L3157" s="1285"/>
    </row>
    <row r="3158" spans="1:12" ht="11.15" customHeight="1">
      <c r="A3158" s="162" t="s">
        <v>4314</v>
      </c>
      <c r="B3158" s="59" t="s">
        <v>20715</v>
      </c>
      <c r="C3158" s="147" t="s">
        <v>20221</v>
      </c>
      <c r="D3158" s="284" t="s">
        <v>897</v>
      </c>
      <c r="E3158" s="178">
        <v>2023</v>
      </c>
      <c r="F3158" s="178" t="s">
        <v>4520</v>
      </c>
      <c r="G3158" s="496"/>
      <c r="H3158" s="994" t="s">
        <v>20224</v>
      </c>
      <c r="I3158" s="12" t="s">
        <v>4315</v>
      </c>
      <c r="J3158" s="1285"/>
      <c r="K3158" s="1285"/>
      <c r="L3158" s="1285"/>
    </row>
    <row r="3159" spans="1:12" ht="11.15" customHeight="1">
      <c r="A3159" s="162" t="s">
        <v>4316</v>
      </c>
      <c r="B3159" s="59" t="s">
        <v>20715</v>
      </c>
      <c r="C3159" s="147" t="s">
        <v>20221</v>
      </c>
      <c r="D3159" s="284" t="s">
        <v>897</v>
      </c>
      <c r="E3159" s="178">
        <v>2022</v>
      </c>
      <c r="F3159" s="178" t="s">
        <v>4520</v>
      </c>
      <c r="G3159" s="496"/>
      <c r="H3159" s="994" t="s">
        <v>20221</v>
      </c>
      <c r="I3159" s="12" t="s">
        <v>4317</v>
      </c>
      <c r="J3159" s="1285"/>
      <c r="K3159" s="1285"/>
      <c r="L3159" s="1285"/>
    </row>
    <row r="3160" spans="1:12" ht="11.15" customHeight="1">
      <c r="A3160" s="162" t="s">
        <v>4318</v>
      </c>
      <c r="B3160" s="59" t="s">
        <v>20715</v>
      </c>
      <c r="C3160" s="147" t="s">
        <v>20221</v>
      </c>
      <c r="D3160" s="284" t="s">
        <v>897</v>
      </c>
      <c r="E3160" s="178">
        <v>2021</v>
      </c>
      <c r="F3160" s="178" t="s">
        <v>4520</v>
      </c>
      <c r="G3160" s="496"/>
      <c r="H3160" s="994" t="s">
        <v>20221</v>
      </c>
      <c r="I3160" s="12" t="s">
        <v>4319</v>
      </c>
      <c r="J3160" s="1285"/>
      <c r="K3160" s="1285"/>
      <c r="L3160" s="1285"/>
    </row>
    <row r="3161" spans="1:12" ht="11.15" customHeight="1">
      <c r="A3161" s="162" t="s">
        <v>4320</v>
      </c>
      <c r="B3161" s="59" t="s">
        <v>20715</v>
      </c>
      <c r="C3161" s="147" t="s">
        <v>20221</v>
      </c>
      <c r="D3161" s="284" t="s">
        <v>897</v>
      </c>
      <c r="E3161" s="178">
        <v>2020</v>
      </c>
      <c r="F3161" s="178" t="s">
        <v>23395</v>
      </c>
      <c r="G3161" s="496"/>
      <c r="H3161" s="994" t="s">
        <v>20221</v>
      </c>
      <c r="I3161" s="12" t="s">
        <v>4321</v>
      </c>
      <c r="J3161" s="1285"/>
      <c r="K3161" s="1285"/>
      <c r="L3161" s="1285"/>
    </row>
    <row r="3162" spans="1:12" ht="11.15" customHeight="1">
      <c r="A3162" s="166" t="s">
        <v>4322</v>
      </c>
      <c r="B3162" s="59" t="s">
        <v>20716</v>
      </c>
      <c r="C3162" s="147" t="s">
        <v>20221</v>
      </c>
      <c r="D3162" s="284" t="s">
        <v>897</v>
      </c>
      <c r="E3162" s="178">
        <v>2023</v>
      </c>
      <c r="F3162" s="178" t="s">
        <v>4520</v>
      </c>
      <c r="G3162" s="496"/>
      <c r="H3162" s="994" t="s">
        <v>20221</v>
      </c>
      <c r="I3162" s="12" t="s">
        <v>4323</v>
      </c>
      <c r="J3162" s="1285"/>
      <c r="K3162" s="1285"/>
      <c r="L3162" s="1285"/>
    </row>
    <row r="3163" spans="1:12" ht="11.15" customHeight="1">
      <c r="A3163" s="166" t="s">
        <v>4324</v>
      </c>
      <c r="B3163" s="59" t="s">
        <v>20716</v>
      </c>
      <c r="C3163" s="147" t="s">
        <v>20221</v>
      </c>
      <c r="D3163" s="284" t="s">
        <v>897</v>
      </c>
      <c r="E3163" s="178">
        <v>2022</v>
      </c>
      <c r="F3163" s="178" t="s">
        <v>4520</v>
      </c>
      <c r="G3163" s="496"/>
      <c r="H3163" s="994" t="s">
        <v>20224</v>
      </c>
      <c r="I3163" s="12" t="s">
        <v>4325</v>
      </c>
      <c r="J3163" s="1285"/>
      <c r="K3163" s="1285"/>
      <c r="L3163" s="1285"/>
    </row>
    <row r="3164" spans="1:12" ht="11.15" customHeight="1">
      <c r="A3164" s="335" t="s">
        <v>1022</v>
      </c>
      <c r="B3164" s="59" t="s">
        <v>20716</v>
      </c>
      <c r="C3164" s="147" t="s">
        <v>20221</v>
      </c>
      <c r="D3164" s="284" t="s">
        <v>897</v>
      </c>
      <c r="E3164" s="178">
        <v>2021</v>
      </c>
      <c r="F3164" s="178" t="s">
        <v>4520</v>
      </c>
      <c r="G3164" s="496"/>
      <c r="H3164" s="994" t="s">
        <v>20224</v>
      </c>
      <c r="I3164" s="12" t="s">
        <v>4326</v>
      </c>
      <c r="J3164" s="1285"/>
      <c r="K3164" s="1285"/>
      <c r="L3164" s="1285"/>
    </row>
    <row r="3165" spans="1:12" ht="11.15" customHeight="1">
      <c r="A3165" s="129" t="s">
        <v>4327</v>
      </c>
      <c r="B3165" s="59" t="s">
        <v>20670</v>
      </c>
      <c r="C3165" s="147" t="s">
        <v>20221</v>
      </c>
      <c r="D3165" s="284" t="s">
        <v>897</v>
      </c>
      <c r="E3165" s="178">
        <v>2023</v>
      </c>
      <c r="F3165" s="178" t="s">
        <v>4520</v>
      </c>
      <c r="G3165" s="496"/>
      <c r="H3165" s="994" t="s">
        <v>20224</v>
      </c>
      <c r="I3165" s="12" t="s">
        <v>4328</v>
      </c>
      <c r="J3165" s="1285"/>
      <c r="K3165" s="1285"/>
      <c r="L3165" s="1285"/>
    </row>
    <row r="3166" spans="1:12" ht="11.15" customHeight="1">
      <c r="A3166" s="29"/>
      <c r="B3166" s="154" t="s">
        <v>4329</v>
      </c>
      <c r="C3166" s="147"/>
      <c r="D3166" s="161"/>
      <c r="E3166" s="36"/>
      <c r="F3166" s="178"/>
      <c r="G3166" s="497"/>
      <c r="H3166" s="36"/>
      <c r="I3166" s="11"/>
    </row>
    <row r="3167" spans="1:12" ht="11.15" customHeight="1">
      <c r="A3167" s="29"/>
      <c r="B3167" s="59" t="s">
        <v>20717</v>
      </c>
      <c r="C3167" s="147" t="s">
        <v>20221</v>
      </c>
      <c r="D3167" s="284" t="s">
        <v>897</v>
      </c>
      <c r="E3167" s="178">
        <v>2023</v>
      </c>
      <c r="F3167" s="178" t="s">
        <v>9678</v>
      </c>
      <c r="G3167" s="496"/>
      <c r="H3167" s="994" t="s">
        <v>20224</v>
      </c>
      <c r="I3167" s="12" t="s">
        <v>4330</v>
      </c>
      <c r="J3167" s="1285"/>
      <c r="K3167" s="1285"/>
      <c r="L3167" s="1285"/>
    </row>
    <row r="3168" spans="1:12" ht="11.15" customHeight="1">
      <c r="A3168" s="29"/>
      <c r="B3168" s="59" t="s">
        <v>20717</v>
      </c>
      <c r="C3168" s="147" t="s">
        <v>20221</v>
      </c>
      <c r="D3168" s="284" t="s">
        <v>897</v>
      </c>
      <c r="E3168" s="178">
        <v>2022</v>
      </c>
      <c r="F3168" s="178" t="s">
        <v>9678</v>
      </c>
      <c r="G3168" s="496"/>
      <c r="H3168" s="994" t="s">
        <v>20224</v>
      </c>
      <c r="I3168" s="12" t="s">
        <v>4331</v>
      </c>
      <c r="J3168" s="1285"/>
      <c r="K3168" s="1285"/>
      <c r="L3168" s="1285"/>
    </row>
    <row r="3169" spans="1:12" ht="11.15" customHeight="1">
      <c r="A3169" s="29"/>
      <c r="B3169" s="59" t="s">
        <v>20718</v>
      </c>
      <c r="C3169" s="147" t="s">
        <v>20221</v>
      </c>
      <c r="D3169" s="284" t="s">
        <v>897</v>
      </c>
      <c r="E3169" s="178">
        <v>2023</v>
      </c>
      <c r="F3169" s="178" t="s">
        <v>9678</v>
      </c>
      <c r="G3169" s="496"/>
      <c r="H3169" s="994" t="s">
        <v>20224</v>
      </c>
      <c r="I3169" s="12" t="s">
        <v>4332</v>
      </c>
      <c r="J3169" s="1285"/>
      <c r="K3169" s="1285"/>
      <c r="L3169" s="1285"/>
    </row>
    <row r="3170" spans="1:12" ht="11.15" customHeight="1">
      <c r="A3170" s="29"/>
      <c r="B3170" s="59" t="s">
        <v>20718</v>
      </c>
      <c r="C3170" s="147" t="s">
        <v>20221</v>
      </c>
      <c r="D3170" s="284" t="s">
        <v>897</v>
      </c>
      <c r="E3170" s="178">
        <v>2022</v>
      </c>
      <c r="F3170" s="178" t="s">
        <v>9678</v>
      </c>
      <c r="G3170" s="496"/>
      <c r="H3170" s="994" t="s">
        <v>20224</v>
      </c>
      <c r="I3170" s="12" t="s">
        <v>4333</v>
      </c>
      <c r="J3170" s="1285"/>
      <c r="K3170" s="1285"/>
      <c r="L3170" s="1285"/>
    </row>
    <row r="3171" spans="1:12" ht="11.15" customHeight="1">
      <c r="A3171" s="29"/>
      <c r="B3171" s="59" t="s">
        <v>20718</v>
      </c>
      <c r="C3171" s="147" t="s">
        <v>20221</v>
      </c>
      <c r="D3171" s="284" t="s">
        <v>897</v>
      </c>
      <c r="E3171" s="178">
        <v>2021</v>
      </c>
      <c r="F3171" s="178" t="s">
        <v>9678</v>
      </c>
      <c r="G3171" s="496"/>
      <c r="H3171" s="994" t="s">
        <v>20224</v>
      </c>
      <c r="I3171" s="12" t="s">
        <v>4334</v>
      </c>
      <c r="J3171" s="1285"/>
      <c r="K3171" s="1285"/>
      <c r="L3171" s="1285"/>
    </row>
    <row r="3172" spans="1:12" ht="11.15" customHeight="1">
      <c r="A3172" s="29"/>
      <c r="B3172" s="59" t="s">
        <v>20719</v>
      </c>
      <c r="C3172" s="147" t="s">
        <v>20221</v>
      </c>
      <c r="D3172" s="284" t="s">
        <v>897</v>
      </c>
      <c r="E3172" s="178">
        <v>2023</v>
      </c>
      <c r="F3172" s="178" t="s">
        <v>9678</v>
      </c>
      <c r="G3172" s="496"/>
      <c r="H3172" s="994" t="s">
        <v>20224</v>
      </c>
      <c r="I3172" s="12" t="s">
        <v>4335</v>
      </c>
      <c r="J3172" s="1285"/>
      <c r="K3172" s="1285"/>
      <c r="L3172" s="1285"/>
    </row>
    <row r="3173" spans="1:12" ht="11.15" customHeight="1">
      <c r="A3173" s="29"/>
      <c r="B3173" s="59" t="s">
        <v>20719</v>
      </c>
      <c r="C3173" s="147" t="s">
        <v>20221</v>
      </c>
      <c r="D3173" s="284" t="s">
        <v>897</v>
      </c>
      <c r="E3173" s="178">
        <v>2022</v>
      </c>
      <c r="F3173" s="178" t="s">
        <v>9678</v>
      </c>
      <c r="G3173" s="496"/>
      <c r="H3173" s="994" t="s">
        <v>20224</v>
      </c>
      <c r="I3173" s="12" t="s">
        <v>4336</v>
      </c>
      <c r="J3173" s="1285"/>
      <c r="K3173" s="1285"/>
      <c r="L3173" s="1285"/>
    </row>
    <row r="3174" spans="1:12" ht="11.15" customHeight="1">
      <c r="A3174" s="29"/>
      <c r="B3174" s="59" t="s">
        <v>20719</v>
      </c>
      <c r="C3174" s="147" t="s">
        <v>20221</v>
      </c>
      <c r="D3174" s="284" t="s">
        <v>897</v>
      </c>
      <c r="E3174" s="178">
        <v>2021</v>
      </c>
      <c r="F3174" s="178" t="s">
        <v>9678</v>
      </c>
      <c r="G3174" s="496"/>
      <c r="H3174" s="994" t="s">
        <v>20224</v>
      </c>
      <c r="I3174" s="12" t="s">
        <v>4337</v>
      </c>
      <c r="J3174" s="1285"/>
      <c r="K3174" s="1285"/>
      <c r="L3174" s="1285"/>
    </row>
    <row r="3175" spans="1:12" ht="11.15" customHeight="1">
      <c r="A3175" s="29"/>
      <c r="B3175" s="59" t="s">
        <v>20720</v>
      </c>
      <c r="C3175" s="147" t="s">
        <v>20221</v>
      </c>
      <c r="D3175" s="284" t="s">
        <v>897</v>
      </c>
      <c r="E3175" s="178">
        <v>2023</v>
      </c>
      <c r="F3175" s="178" t="s">
        <v>9678</v>
      </c>
      <c r="G3175" s="496"/>
      <c r="H3175" s="994" t="s">
        <v>20224</v>
      </c>
      <c r="I3175" s="12" t="s">
        <v>4338</v>
      </c>
      <c r="J3175" s="1285"/>
      <c r="K3175" s="1285"/>
      <c r="L3175" s="1285"/>
    </row>
    <row r="3176" spans="1:12" ht="11.15" customHeight="1">
      <c r="A3176" s="29"/>
      <c r="B3176" s="59" t="s">
        <v>20720</v>
      </c>
      <c r="C3176" s="147" t="s">
        <v>20221</v>
      </c>
      <c r="D3176" s="284" t="s">
        <v>897</v>
      </c>
      <c r="E3176" s="178">
        <v>2022</v>
      </c>
      <c r="F3176" s="178" t="s">
        <v>9678</v>
      </c>
      <c r="G3176" s="496"/>
      <c r="H3176" s="994" t="s">
        <v>20224</v>
      </c>
      <c r="I3176" s="12" t="s">
        <v>4339</v>
      </c>
      <c r="J3176" s="1285"/>
      <c r="K3176" s="1285"/>
      <c r="L3176" s="1285"/>
    </row>
    <row r="3177" spans="1:12" ht="11.15" customHeight="1">
      <c r="A3177" s="29"/>
      <c r="B3177" s="59" t="s">
        <v>20720</v>
      </c>
      <c r="C3177" s="147" t="s">
        <v>20221</v>
      </c>
      <c r="D3177" s="284" t="s">
        <v>897</v>
      </c>
      <c r="E3177" s="178">
        <v>2021</v>
      </c>
      <c r="F3177" s="178" t="s">
        <v>9678</v>
      </c>
      <c r="G3177" s="496"/>
      <c r="H3177" s="994" t="s">
        <v>20224</v>
      </c>
      <c r="I3177" s="12" t="s">
        <v>4340</v>
      </c>
      <c r="J3177" s="1285"/>
      <c r="K3177" s="1285"/>
      <c r="L3177" s="1285"/>
    </row>
    <row r="3178" spans="1:12" ht="11.15" customHeight="1">
      <c r="A3178" s="29"/>
      <c r="B3178" s="59" t="s">
        <v>20721</v>
      </c>
      <c r="C3178" s="147" t="s">
        <v>20221</v>
      </c>
      <c r="D3178" s="284" t="s">
        <v>897</v>
      </c>
      <c r="E3178" s="178">
        <v>2023</v>
      </c>
      <c r="F3178" s="178" t="s">
        <v>9678</v>
      </c>
      <c r="G3178" s="496"/>
      <c r="H3178" s="994" t="s">
        <v>20224</v>
      </c>
      <c r="I3178" s="12" t="s">
        <v>4341</v>
      </c>
      <c r="J3178" s="1285"/>
      <c r="K3178" s="1285"/>
      <c r="L3178" s="1285"/>
    </row>
    <row r="3179" spans="1:12" ht="11.15" customHeight="1">
      <c r="A3179" s="29"/>
      <c r="B3179" s="59" t="s">
        <v>20722</v>
      </c>
      <c r="C3179" s="147" t="s">
        <v>20221</v>
      </c>
      <c r="D3179" s="284" t="s">
        <v>897</v>
      </c>
      <c r="E3179" s="178">
        <v>2023</v>
      </c>
      <c r="F3179" s="178" t="s">
        <v>9678</v>
      </c>
      <c r="G3179" s="496"/>
      <c r="H3179" s="994" t="s">
        <v>20224</v>
      </c>
      <c r="I3179" s="12" t="s">
        <v>4342</v>
      </c>
      <c r="J3179" s="1285"/>
      <c r="K3179" s="1285"/>
      <c r="L3179" s="1285"/>
    </row>
    <row r="3180" spans="1:12" ht="11.15" customHeight="1">
      <c r="A3180" s="29"/>
      <c r="B3180" s="59" t="s">
        <v>20722</v>
      </c>
      <c r="C3180" s="147" t="s">
        <v>20221</v>
      </c>
      <c r="D3180" s="284" t="s">
        <v>897</v>
      </c>
      <c r="E3180" s="178">
        <v>2022</v>
      </c>
      <c r="F3180" s="178" t="s">
        <v>9678</v>
      </c>
      <c r="G3180" s="496"/>
      <c r="H3180" s="994" t="s">
        <v>20224</v>
      </c>
      <c r="I3180" s="12" t="s">
        <v>4343</v>
      </c>
      <c r="J3180" s="1285"/>
      <c r="K3180" s="1285"/>
      <c r="L3180" s="1285"/>
    </row>
    <row r="3181" spans="1:12" ht="11.15" customHeight="1">
      <c r="A3181" s="29"/>
      <c r="B3181" s="59" t="s">
        <v>20722</v>
      </c>
      <c r="C3181" s="147" t="s">
        <v>20221</v>
      </c>
      <c r="D3181" s="284" t="s">
        <v>897</v>
      </c>
      <c r="E3181" s="178">
        <v>2021</v>
      </c>
      <c r="F3181" s="178" t="s">
        <v>9678</v>
      </c>
      <c r="G3181" s="496"/>
      <c r="H3181" s="994" t="s">
        <v>20224</v>
      </c>
      <c r="I3181" s="12" t="s">
        <v>4344</v>
      </c>
      <c r="J3181" s="1285"/>
      <c r="K3181" s="1285"/>
      <c r="L3181" s="1285"/>
    </row>
    <row r="3182" spans="1:12" ht="11.15" customHeight="1" thickBot="1">
      <c r="A3182" s="162"/>
      <c r="B3182" s="185"/>
      <c r="C3182" s="147"/>
      <c r="D3182" s="129"/>
      <c r="E3182" s="185"/>
      <c r="F3182" s="185"/>
      <c r="G3182" s="185"/>
      <c r="H3182" s="185"/>
      <c r="I3182" s="11"/>
    </row>
    <row r="3183" spans="1:12" ht="11.15" customHeight="1">
      <c r="A3183" s="153" t="s">
        <v>4345</v>
      </c>
      <c r="B3183" s="59" t="s">
        <v>20724</v>
      </c>
      <c r="C3183" s="147" t="s">
        <v>20221</v>
      </c>
      <c r="D3183" s="701" t="s">
        <v>1129</v>
      </c>
      <c r="E3183" s="178">
        <v>2020</v>
      </c>
      <c r="F3183" s="178" t="s">
        <v>23395</v>
      </c>
      <c r="G3183" s="496"/>
      <c r="H3183" s="994" t="s">
        <v>20221</v>
      </c>
      <c r="I3183" s="12" t="s">
        <v>4346</v>
      </c>
      <c r="J3183" s="1285"/>
      <c r="K3183" s="1285"/>
      <c r="L3183" s="1285"/>
    </row>
    <row r="3184" spans="1:12" ht="11.15" customHeight="1" thickBot="1">
      <c r="A3184" s="230" t="s">
        <v>4347</v>
      </c>
      <c r="B3184" s="59" t="s">
        <v>6176</v>
      </c>
      <c r="C3184" s="147" t="s">
        <v>20221</v>
      </c>
      <c r="D3184" s="284" t="s">
        <v>897</v>
      </c>
      <c r="E3184" s="178">
        <v>2022</v>
      </c>
      <c r="F3184" s="178" t="s">
        <v>4520</v>
      </c>
      <c r="G3184" s="496"/>
      <c r="H3184" s="994" t="s">
        <v>20221</v>
      </c>
      <c r="I3184" s="12" t="s">
        <v>4348</v>
      </c>
      <c r="J3184" s="1285"/>
      <c r="K3184" s="1285"/>
      <c r="L3184" s="1285"/>
    </row>
    <row r="3185" spans="1:12" ht="11.15" customHeight="1">
      <c r="A3185" s="29" t="s">
        <v>4349</v>
      </c>
      <c r="B3185" s="59" t="s">
        <v>6176</v>
      </c>
      <c r="C3185" s="147" t="s">
        <v>20221</v>
      </c>
      <c r="D3185" s="284" t="s">
        <v>897</v>
      </c>
      <c r="E3185" s="178">
        <v>2021</v>
      </c>
      <c r="F3185" s="178" t="s">
        <v>4520</v>
      </c>
      <c r="G3185" s="496"/>
      <c r="H3185" s="994" t="s">
        <v>20224</v>
      </c>
      <c r="I3185" s="12" t="s">
        <v>4350</v>
      </c>
      <c r="J3185" s="1285"/>
      <c r="K3185" s="1285"/>
      <c r="L3185" s="1285"/>
    </row>
    <row r="3186" spans="1:12" ht="11.15" customHeight="1">
      <c r="A3186" s="29" t="s">
        <v>4351</v>
      </c>
      <c r="B3186" s="59" t="s">
        <v>20725</v>
      </c>
      <c r="C3186" s="147" t="s">
        <v>20221</v>
      </c>
      <c r="D3186" s="284" t="s">
        <v>897</v>
      </c>
      <c r="E3186" s="178">
        <v>2022</v>
      </c>
      <c r="F3186" s="178" t="s">
        <v>4520</v>
      </c>
      <c r="G3186" s="496"/>
      <c r="H3186" s="994" t="s">
        <v>20224</v>
      </c>
      <c r="I3186" s="11" t="s">
        <v>4352</v>
      </c>
      <c r="J3186" s="1285"/>
      <c r="K3186" s="1285"/>
      <c r="L3186" s="1285"/>
    </row>
    <row r="3187" spans="1:12" ht="11.15" customHeight="1">
      <c r="A3187" s="181" t="s">
        <v>1595</v>
      </c>
      <c r="B3187" s="59" t="s">
        <v>20726</v>
      </c>
      <c r="C3187" s="147" t="s">
        <v>20221</v>
      </c>
      <c r="D3187" s="284" t="s">
        <v>897</v>
      </c>
      <c r="E3187" s="178">
        <v>2022</v>
      </c>
      <c r="F3187" s="178" t="s">
        <v>23394</v>
      </c>
      <c r="G3187" s="496"/>
      <c r="H3187" s="994" t="s">
        <v>20224</v>
      </c>
      <c r="I3187" s="11" t="s">
        <v>4353</v>
      </c>
      <c r="J3187" s="1285"/>
      <c r="K3187" s="1285"/>
      <c r="L3187" s="1285"/>
    </row>
    <row r="3188" spans="1:12" ht="11.15" customHeight="1">
      <c r="A3188" s="29" t="s">
        <v>4354</v>
      </c>
      <c r="B3188" s="59" t="s">
        <v>20690</v>
      </c>
      <c r="C3188" s="147" t="s">
        <v>20221</v>
      </c>
      <c r="D3188" s="284" t="s">
        <v>897</v>
      </c>
      <c r="E3188" s="178">
        <v>2022</v>
      </c>
      <c r="F3188" s="178" t="s">
        <v>23394</v>
      </c>
      <c r="G3188" s="496"/>
      <c r="H3188" s="994" t="s">
        <v>20221</v>
      </c>
      <c r="I3188" s="11" t="s">
        <v>4355</v>
      </c>
      <c r="J3188" s="1285"/>
      <c r="K3188" s="1285"/>
      <c r="L3188" s="1285"/>
    </row>
    <row r="3189" spans="1:12" ht="11.15" customHeight="1">
      <c r="A3189" s="229" t="s">
        <v>4356</v>
      </c>
      <c r="B3189" s="59" t="s">
        <v>20727</v>
      </c>
      <c r="C3189" s="147" t="s">
        <v>20221</v>
      </c>
      <c r="D3189" s="284" t="s">
        <v>897</v>
      </c>
      <c r="E3189" s="178">
        <v>2022</v>
      </c>
      <c r="F3189" s="178" t="s">
        <v>23394</v>
      </c>
      <c r="G3189" s="496"/>
      <c r="H3189" s="994" t="s">
        <v>20224</v>
      </c>
      <c r="I3189" s="11" t="s">
        <v>4357</v>
      </c>
      <c r="J3189" s="1285"/>
      <c r="K3189" s="1285"/>
      <c r="L3189" s="1285"/>
    </row>
    <row r="3190" spans="1:12" ht="11.15" customHeight="1">
      <c r="A3190" s="29" t="s">
        <v>4358</v>
      </c>
      <c r="B3190" s="59" t="s">
        <v>20728</v>
      </c>
      <c r="C3190" s="147" t="s">
        <v>20221</v>
      </c>
      <c r="D3190" s="284" t="s">
        <v>897</v>
      </c>
      <c r="E3190" s="178" t="s">
        <v>20221</v>
      </c>
      <c r="F3190" s="178" t="s">
        <v>4520</v>
      </c>
      <c r="G3190" s="496" t="s">
        <v>20221</v>
      </c>
      <c r="H3190" s="994" t="s">
        <v>3907</v>
      </c>
      <c r="I3190" s="11" t="s">
        <v>4359</v>
      </c>
      <c r="J3190" s="1285"/>
      <c r="K3190" s="1285"/>
      <c r="L3190" s="1285"/>
    </row>
    <row r="3191" spans="1:12" ht="11.15" customHeight="1">
      <c r="A3191" s="181" t="s">
        <v>2536</v>
      </c>
      <c r="B3191" s="59" t="s">
        <v>20729</v>
      </c>
      <c r="C3191" s="147" t="s">
        <v>20221</v>
      </c>
      <c r="D3191" s="284" t="s">
        <v>897</v>
      </c>
      <c r="E3191" s="178" t="s">
        <v>20221</v>
      </c>
      <c r="F3191" s="178" t="s">
        <v>4520</v>
      </c>
      <c r="G3191" s="496" t="s">
        <v>20221</v>
      </c>
      <c r="H3191" s="994" t="s">
        <v>3907</v>
      </c>
      <c r="I3191" s="11" t="s">
        <v>4360</v>
      </c>
      <c r="J3191" s="1285"/>
      <c r="K3191" s="1285"/>
      <c r="L3191" s="1285"/>
    </row>
    <row r="3192" spans="1:12" ht="11.15" customHeight="1">
      <c r="A3192" s="129" t="s">
        <v>1308</v>
      </c>
      <c r="B3192" s="59" t="s">
        <v>20730</v>
      </c>
      <c r="C3192" s="147" t="s">
        <v>20221</v>
      </c>
      <c r="D3192" s="284" t="s">
        <v>897</v>
      </c>
      <c r="E3192" s="178" t="s">
        <v>20221</v>
      </c>
      <c r="F3192" s="178" t="s">
        <v>4520</v>
      </c>
      <c r="G3192" s="496" t="s">
        <v>20221</v>
      </c>
      <c r="H3192" s="994" t="s">
        <v>3907</v>
      </c>
      <c r="I3192" s="11" t="s">
        <v>4361</v>
      </c>
      <c r="J3192" s="1285"/>
      <c r="K3192" s="1285"/>
      <c r="L3192" s="1285"/>
    </row>
    <row r="3193" spans="1:12" ht="11.15" customHeight="1">
      <c r="A3193" s="162" t="s">
        <v>4362</v>
      </c>
      <c r="B3193" s="90"/>
      <c r="C3193" s="147"/>
      <c r="D3193" s="161"/>
      <c r="E3193" s="36"/>
      <c r="F3193" s="178"/>
      <c r="G3193" s="496"/>
      <c r="H3193" s="36"/>
      <c r="I3193" s="11"/>
    </row>
    <row r="3194" spans="1:12" ht="9.75" customHeight="1">
      <c r="A3194" s="162" t="s">
        <v>4363</v>
      </c>
      <c r="B3194" s="185"/>
      <c r="C3194" s="147"/>
      <c r="D3194" s="129"/>
      <c r="E3194" s="185"/>
      <c r="F3194" s="185"/>
      <c r="G3194" s="185"/>
      <c r="H3194" s="185"/>
      <c r="I3194" s="11"/>
    </row>
    <row r="3195" spans="1:12" ht="11.15" customHeight="1">
      <c r="A3195" s="162" t="s">
        <v>4364</v>
      </c>
      <c r="B3195" s="90"/>
      <c r="C3195" s="147"/>
      <c r="D3195" s="161"/>
      <c r="E3195" s="36"/>
      <c r="F3195" s="178"/>
      <c r="G3195" s="496"/>
      <c r="H3195" s="36"/>
      <c r="I3195" s="11"/>
    </row>
    <row r="3196" spans="1:12" ht="11.15" customHeight="1">
      <c r="A3196" s="162" t="s">
        <v>4365</v>
      </c>
      <c r="B3196" s="185"/>
      <c r="C3196" s="147"/>
      <c r="D3196" s="129"/>
      <c r="E3196" s="185"/>
      <c r="F3196" s="185"/>
      <c r="G3196" s="185"/>
      <c r="H3196" s="185"/>
      <c r="I3196" s="11"/>
    </row>
    <row r="3197" spans="1:12" ht="11.15" customHeight="1">
      <c r="A3197" s="162" t="s">
        <v>4366</v>
      </c>
      <c r="B3197" s="185"/>
      <c r="C3197" s="147"/>
      <c r="D3197" s="129"/>
      <c r="E3197" s="185"/>
      <c r="F3197" s="185"/>
      <c r="G3197" s="185"/>
      <c r="H3197" s="185"/>
      <c r="I3197" s="11"/>
    </row>
    <row r="3198" spans="1:12" ht="11.15" customHeight="1">
      <c r="A3198" s="162" t="s">
        <v>4367</v>
      </c>
      <c r="B3198" s="185"/>
      <c r="C3198" s="147"/>
      <c r="D3198" s="129"/>
      <c r="E3198" s="185"/>
      <c r="F3198" s="185"/>
      <c r="G3198" s="185"/>
      <c r="H3198" s="185"/>
      <c r="I3198" s="11"/>
    </row>
    <row r="3199" spans="1:12" ht="11.15" customHeight="1">
      <c r="A3199" s="162" t="s">
        <v>4368</v>
      </c>
      <c r="B3199" s="185"/>
      <c r="C3199" s="147"/>
      <c r="D3199" s="129"/>
      <c r="E3199" s="185"/>
      <c r="F3199" s="185"/>
      <c r="G3199" s="185"/>
      <c r="H3199" s="185"/>
      <c r="I3199" s="11"/>
    </row>
    <row r="3200" spans="1:12" ht="11.15" customHeight="1">
      <c r="A3200" s="162" t="s">
        <v>4369</v>
      </c>
      <c r="B3200" s="185"/>
      <c r="C3200" s="147"/>
      <c r="D3200" s="161"/>
      <c r="E3200" s="36"/>
      <c r="F3200" s="183"/>
      <c r="G3200" s="496"/>
      <c r="H3200" s="34"/>
      <c r="I3200" s="11"/>
    </row>
    <row r="3201" spans="1:9" ht="11.15" customHeight="1">
      <c r="A3201" s="162" t="s">
        <v>4370</v>
      </c>
      <c r="B3201" s="185"/>
      <c r="C3201" s="147"/>
      <c r="D3201" s="129"/>
      <c r="E3201" s="185"/>
      <c r="F3201" s="185"/>
      <c r="G3201" s="185"/>
      <c r="H3201" s="185"/>
      <c r="I3201" s="11"/>
    </row>
    <row r="3202" spans="1:9" ht="11.15" customHeight="1">
      <c r="A3202" s="162" t="s">
        <v>4371</v>
      </c>
      <c r="B3202" s="185"/>
      <c r="C3202" s="147"/>
      <c r="D3202" s="129"/>
      <c r="E3202" s="185"/>
      <c r="F3202" s="185"/>
      <c r="G3202" s="185"/>
      <c r="H3202" s="185"/>
      <c r="I3202" s="11"/>
    </row>
    <row r="3203" spans="1:9" ht="11.15" customHeight="1">
      <c r="A3203" s="162" t="s">
        <v>4372</v>
      </c>
      <c r="B3203" s="185"/>
      <c r="C3203" s="147"/>
      <c r="D3203" s="122"/>
      <c r="E3203" s="185"/>
      <c r="F3203" s="185"/>
      <c r="G3203" s="185"/>
      <c r="H3203" s="185"/>
      <c r="I3203" s="11"/>
    </row>
    <row r="3204" spans="1:9" ht="11.15" customHeight="1">
      <c r="A3204" s="162" t="s">
        <v>4373</v>
      </c>
      <c r="B3204" s="185"/>
      <c r="C3204" s="147"/>
      <c r="D3204" s="122"/>
      <c r="E3204" s="185"/>
      <c r="F3204" s="185"/>
      <c r="G3204" s="185"/>
      <c r="H3204" s="185"/>
      <c r="I3204" s="11"/>
    </row>
    <row r="3205" spans="1:9" ht="11.15" customHeight="1">
      <c r="A3205" s="162" t="s">
        <v>4374</v>
      </c>
      <c r="B3205" s="185"/>
      <c r="C3205" s="147"/>
      <c r="D3205" s="122"/>
      <c r="E3205" s="185"/>
      <c r="F3205" s="185"/>
      <c r="G3205" s="416"/>
      <c r="H3205" s="185"/>
      <c r="I3205" s="11"/>
    </row>
    <row r="3206" spans="1:9" ht="11.15" customHeight="1">
      <c r="A3206" s="162" t="s">
        <v>4375</v>
      </c>
      <c r="B3206" s="185"/>
      <c r="C3206" s="147"/>
      <c r="D3206" s="122"/>
      <c r="E3206" s="185"/>
      <c r="F3206" s="185"/>
      <c r="G3206" s="417"/>
      <c r="H3206" s="185"/>
      <c r="I3206" s="11"/>
    </row>
    <row r="3207" spans="1:9" ht="11.15" customHeight="1" thickBot="1">
      <c r="A3207" s="29" t="s">
        <v>4376</v>
      </c>
      <c r="B3207" s="185"/>
      <c r="C3207" s="147"/>
      <c r="D3207" s="122"/>
      <c r="E3207" s="185"/>
      <c r="F3207" s="185"/>
      <c r="G3207" s="417"/>
      <c r="H3207" s="185"/>
      <c r="I3207" s="11"/>
    </row>
    <row r="3208" spans="1:9" ht="11.15" customHeight="1">
      <c r="A3208" s="418" t="s">
        <v>4377</v>
      </c>
      <c r="B3208" s="185"/>
      <c r="C3208" s="147"/>
      <c r="D3208" s="122"/>
      <c r="E3208" s="185"/>
      <c r="F3208" s="185"/>
      <c r="G3208" s="417"/>
      <c r="H3208" s="185"/>
      <c r="I3208" s="11"/>
    </row>
    <row r="3209" spans="1:9" ht="11.15" customHeight="1" thickBot="1">
      <c r="A3209" s="294" t="s">
        <v>4378</v>
      </c>
      <c r="B3209" s="185"/>
      <c r="C3209" s="147"/>
      <c r="D3209" s="122"/>
      <c r="E3209" s="185"/>
      <c r="F3209" s="185"/>
      <c r="G3209" s="417"/>
      <c r="H3209" s="185"/>
      <c r="I3209" s="11"/>
    </row>
    <row r="3210" spans="1:9" ht="11.15" customHeight="1">
      <c r="A3210" s="129" t="s">
        <v>4379</v>
      </c>
      <c r="B3210" s="90"/>
      <c r="C3210" s="147"/>
      <c r="D3210" s="161"/>
      <c r="E3210" s="36"/>
      <c r="F3210" s="178"/>
      <c r="G3210" s="496"/>
      <c r="H3210" s="36"/>
      <c r="I3210" s="11"/>
    </row>
    <row r="3211" spans="1:9" ht="11.15" customHeight="1">
      <c r="A3211" s="29"/>
      <c r="B3211" s="185"/>
      <c r="C3211" s="147"/>
      <c r="D3211" s="122"/>
      <c r="E3211" s="185"/>
      <c r="F3211" s="185"/>
      <c r="G3211" s="417"/>
      <c r="H3211" s="185"/>
      <c r="I3211" s="11"/>
    </row>
    <row r="3212" spans="1:9" ht="11.15" customHeight="1">
      <c r="A3212" s="185"/>
      <c r="B3212" s="413" t="s">
        <v>4380</v>
      </c>
      <c r="C3212" s="147"/>
      <c r="D3212" s="122"/>
      <c r="E3212" s="185"/>
      <c r="F3212" s="185"/>
      <c r="G3212" s="417"/>
      <c r="H3212" s="185"/>
      <c r="I3212" s="11"/>
    </row>
    <row r="3213" spans="1:9" ht="9" customHeight="1">
      <c r="A3213" s="185"/>
      <c r="B3213" s="150" t="s">
        <v>4381</v>
      </c>
      <c r="C3213" s="147"/>
      <c r="D3213" s="122"/>
      <c r="E3213" s="185"/>
      <c r="F3213" s="185"/>
      <c r="G3213" s="417"/>
      <c r="H3213" s="185"/>
      <c r="I3213" s="11"/>
    </row>
    <row r="3214" spans="1:9" ht="9" customHeight="1">
      <c r="A3214" s="185"/>
      <c r="B3214" s="150" t="s">
        <v>4382</v>
      </c>
      <c r="C3214" s="147"/>
      <c r="D3214" s="122"/>
      <c r="E3214" s="185"/>
      <c r="F3214" s="185"/>
      <c r="G3214" s="417"/>
      <c r="H3214" s="185"/>
      <c r="I3214" s="11"/>
    </row>
    <row r="3215" spans="1:9" ht="9" customHeight="1">
      <c r="A3215" s="185"/>
      <c r="B3215" s="150" t="s">
        <v>4383</v>
      </c>
      <c r="C3215" s="147"/>
      <c r="D3215" s="122"/>
      <c r="E3215" s="185"/>
      <c r="F3215" s="185"/>
      <c r="G3215" s="417"/>
      <c r="H3215" s="185"/>
      <c r="I3215" s="11"/>
    </row>
    <row r="3216" spans="1:9" ht="9" customHeight="1">
      <c r="A3216" s="185"/>
      <c r="B3216" s="150" t="s">
        <v>4384</v>
      </c>
      <c r="C3216" s="147"/>
      <c r="D3216" s="122"/>
      <c r="E3216" s="185"/>
      <c r="F3216" s="185"/>
      <c r="G3216" s="417"/>
      <c r="H3216" s="185"/>
      <c r="I3216" s="11"/>
    </row>
    <row r="3217" spans="1:9" ht="9" customHeight="1">
      <c r="A3217" s="185"/>
      <c r="B3217" s="150" t="s">
        <v>4385</v>
      </c>
      <c r="C3217" s="147"/>
      <c r="D3217" s="122"/>
      <c r="E3217" s="185"/>
      <c r="F3217" s="185"/>
      <c r="G3217" s="417"/>
      <c r="H3217" s="185"/>
      <c r="I3217" s="11"/>
    </row>
    <row r="3218" spans="1:9" ht="9" customHeight="1">
      <c r="A3218" s="185"/>
      <c r="B3218" s="150" t="s">
        <v>4386</v>
      </c>
      <c r="C3218" s="147"/>
      <c r="D3218" s="122"/>
      <c r="E3218" s="185"/>
      <c r="F3218" s="185"/>
      <c r="G3218" s="417"/>
      <c r="H3218" s="185"/>
      <c r="I3218" s="11"/>
    </row>
    <row r="3219" spans="1:9" ht="9" customHeight="1">
      <c r="A3219" s="185"/>
      <c r="B3219" s="150" t="s">
        <v>4387</v>
      </c>
      <c r="C3219" s="147"/>
      <c r="D3219" s="122"/>
      <c r="E3219" s="185"/>
      <c r="F3219" s="185"/>
      <c r="G3219" s="417"/>
      <c r="H3219" s="185"/>
      <c r="I3219" s="11"/>
    </row>
    <row r="3220" spans="1:9" ht="9" customHeight="1">
      <c r="A3220" s="29"/>
      <c r="B3220" s="150" t="s">
        <v>4388</v>
      </c>
      <c r="C3220" s="147"/>
      <c r="D3220" s="122"/>
      <c r="E3220" s="185"/>
      <c r="F3220" s="185"/>
      <c r="G3220" s="417"/>
      <c r="H3220" s="185"/>
      <c r="I3220" s="11"/>
    </row>
    <row r="3221" spans="1:9" ht="9" customHeight="1">
      <c r="A3221" s="29"/>
      <c r="B3221" s="150" t="s">
        <v>4389</v>
      </c>
      <c r="C3221" s="147"/>
      <c r="D3221" s="122"/>
      <c r="E3221" s="185"/>
      <c r="F3221" s="185"/>
      <c r="G3221" s="417"/>
      <c r="H3221" s="185"/>
      <c r="I3221" s="11"/>
    </row>
    <row r="3222" spans="1:9" ht="9" customHeight="1">
      <c r="A3222" s="29"/>
      <c r="B3222" s="150" t="s">
        <v>4390</v>
      </c>
      <c r="C3222" s="147"/>
      <c r="D3222" s="122"/>
      <c r="E3222" s="185"/>
      <c r="F3222" s="185"/>
      <c r="G3222" s="417"/>
      <c r="H3222" s="185"/>
      <c r="I3222" s="11"/>
    </row>
    <row r="3223" spans="1:9" ht="9" customHeight="1">
      <c r="A3223" s="29"/>
      <c r="B3223" s="150" t="s">
        <v>4391</v>
      </c>
      <c r="C3223" s="147"/>
      <c r="D3223" s="122"/>
      <c r="E3223" s="185"/>
      <c r="F3223" s="185"/>
      <c r="G3223" s="417"/>
      <c r="H3223" s="185"/>
      <c r="I3223" s="11"/>
    </row>
    <row r="3224" spans="1:9" ht="9" customHeight="1">
      <c r="A3224" s="29"/>
      <c r="B3224" s="150" t="s">
        <v>4392</v>
      </c>
      <c r="C3224" s="147"/>
      <c r="D3224" s="122"/>
      <c r="E3224" s="185"/>
      <c r="F3224" s="185"/>
      <c r="G3224" s="417"/>
      <c r="H3224" s="185"/>
      <c r="I3224" s="11"/>
    </row>
    <row r="3225" spans="1:9" ht="9" customHeight="1">
      <c r="A3225" s="29"/>
      <c r="B3225" s="150" t="s">
        <v>4393</v>
      </c>
      <c r="C3225" s="147"/>
      <c r="D3225" s="122"/>
      <c r="E3225" s="185"/>
      <c r="F3225" s="185"/>
      <c r="G3225" s="417"/>
      <c r="H3225" s="185"/>
      <c r="I3225" s="11"/>
    </row>
    <row r="3226" spans="1:9" ht="9" customHeight="1">
      <c r="A3226" s="185"/>
      <c r="B3226" s="150" t="s">
        <v>4394</v>
      </c>
      <c r="C3226" s="147"/>
      <c r="D3226" s="122"/>
      <c r="E3226" s="185"/>
      <c r="F3226" s="185"/>
      <c r="G3226" s="417"/>
      <c r="H3226" s="185"/>
      <c r="I3226" s="11"/>
    </row>
    <row r="3227" spans="1:9" ht="9" customHeight="1">
      <c r="A3227" s="185"/>
      <c r="B3227" s="150" t="s">
        <v>4395</v>
      </c>
      <c r="C3227" s="147"/>
      <c r="D3227" s="122"/>
      <c r="E3227" s="185"/>
      <c r="F3227" s="185"/>
      <c r="G3227" s="417"/>
      <c r="H3227" s="185"/>
      <c r="I3227" s="11"/>
    </row>
    <row r="3228" spans="1:9" ht="9" customHeight="1">
      <c r="A3228" s="185"/>
      <c r="B3228" s="150" t="s">
        <v>4396</v>
      </c>
      <c r="C3228" s="147"/>
      <c r="D3228" s="122"/>
      <c r="E3228" s="185"/>
      <c r="F3228" s="185"/>
      <c r="G3228" s="417"/>
      <c r="H3228" s="185"/>
      <c r="I3228" s="11"/>
    </row>
    <row r="3229" spans="1:9" ht="9" customHeight="1">
      <c r="A3229" s="185"/>
      <c r="B3229" s="150" t="s">
        <v>4397</v>
      </c>
      <c r="C3229" s="147"/>
      <c r="D3229" s="122"/>
      <c r="E3229" s="185"/>
      <c r="F3229" s="185"/>
      <c r="G3229" s="417"/>
      <c r="H3229" s="185"/>
      <c r="I3229" s="11"/>
    </row>
    <row r="3230" spans="1:9" ht="9" customHeight="1">
      <c r="A3230" s="185"/>
      <c r="B3230" s="150" t="s">
        <v>4398</v>
      </c>
      <c r="C3230" s="147"/>
      <c r="D3230" s="122"/>
      <c r="E3230" s="185"/>
      <c r="F3230" s="185"/>
      <c r="G3230" s="417"/>
      <c r="H3230" s="185"/>
      <c r="I3230" s="11"/>
    </row>
    <row r="3231" spans="1:9" ht="9" customHeight="1">
      <c r="A3231" s="185"/>
      <c r="B3231" s="150" t="s">
        <v>4399</v>
      </c>
      <c r="C3231" s="147"/>
      <c r="D3231" s="122"/>
      <c r="E3231" s="185"/>
      <c r="F3231" s="185"/>
      <c r="G3231" s="417"/>
      <c r="H3231" s="185"/>
      <c r="I3231" s="11"/>
    </row>
    <row r="3232" spans="1:9" ht="9" customHeight="1">
      <c r="A3232" s="185"/>
      <c r="B3232" s="150" t="s">
        <v>4400</v>
      </c>
      <c r="C3232" s="147"/>
      <c r="D3232" s="122"/>
      <c r="E3232" s="185"/>
      <c r="F3232" s="185"/>
      <c r="G3232" s="417"/>
      <c r="H3232" s="185"/>
      <c r="I3232" s="11"/>
    </row>
    <row r="3233" spans="1:12" ht="9" customHeight="1">
      <c r="A3233" s="185"/>
      <c r="B3233" s="150" t="s">
        <v>4401</v>
      </c>
      <c r="C3233" s="147"/>
      <c r="D3233" s="122"/>
      <c r="E3233" s="185"/>
      <c r="F3233" s="185"/>
      <c r="G3233" s="417"/>
      <c r="H3233" s="185"/>
      <c r="I3233" s="11"/>
    </row>
    <row r="3234" spans="1:12" ht="9" customHeight="1" thickBot="1">
      <c r="A3234" s="185"/>
      <c r="B3234" s="150" t="s">
        <v>4402</v>
      </c>
      <c r="C3234" s="147"/>
      <c r="D3234" s="122"/>
      <c r="E3234" s="185"/>
      <c r="F3234" s="185"/>
      <c r="G3234" s="417"/>
      <c r="H3234" s="185"/>
      <c r="I3234" s="11"/>
    </row>
    <row r="3235" spans="1:12" ht="11.15" customHeight="1">
      <c r="A3235" s="153" t="s">
        <v>4403</v>
      </c>
      <c r="B3235" s="154" t="s">
        <v>4404</v>
      </c>
      <c r="C3235" s="147"/>
      <c r="D3235" s="161"/>
      <c r="E3235" s="36"/>
      <c r="F3235" s="178"/>
      <c r="G3235" s="496"/>
      <c r="H3235" s="36"/>
      <c r="I3235" s="11"/>
    </row>
    <row r="3236" spans="1:12" ht="11.15" customHeight="1" thickBot="1">
      <c r="A3236" s="230" t="s">
        <v>4347</v>
      </c>
      <c r="B3236" s="59" t="s">
        <v>20732</v>
      </c>
      <c r="C3236" s="147" t="s">
        <v>20221</v>
      </c>
      <c r="D3236" s="284" t="s">
        <v>897</v>
      </c>
      <c r="E3236" s="178">
        <v>2022</v>
      </c>
      <c r="F3236" s="178" t="s">
        <v>4520</v>
      </c>
      <c r="G3236" s="496"/>
      <c r="H3236" s="994" t="s">
        <v>20221</v>
      </c>
      <c r="I3236" s="12" t="s">
        <v>4405</v>
      </c>
      <c r="J3236" s="1285"/>
      <c r="K3236" s="1285"/>
      <c r="L3236" s="1285"/>
    </row>
    <row r="3237" spans="1:12" ht="11.15" customHeight="1">
      <c r="A3237" s="29" t="s">
        <v>4406</v>
      </c>
      <c r="B3237" s="59" t="s">
        <v>20732</v>
      </c>
      <c r="C3237" s="147" t="s">
        <v>20221</v>
      </c>
      <c r="D3237" s="284" t="s">
        <v>897</v>
      </c>
      <c r="E3237" s="178">
        <v>2021</v>
      </c>
      <c r="F3237" s="178" t="s">
        <v>4520</v>
      </c>
      <c r="G3237" s="496"/>
      <c r="H3237" s="994" t="s">
        <v>20221</v>
      </c>
      <c r="I3237" s="12" t="s">
        <v>4407</v>
      </c>
      <c r="J3237" s="1285"/>
      <c r="K3237" s="1285"/>
      <c r="L3237" s="1285"/>
    </row>
    <row r="3238" spans="1:12" ht="11.15" customHeight="1">
      <c r="A3238" s="29" t="s">
        <v>4408</v>
      </c>
      <c r="B3238" s="59" t="s">
        <v>20732</v>
      </c>
      <c r="C3238" s="147" t="s">
        <v>20221</v>
      </c>
      <c r="D3238" s="284" t="s">
        <v>897</v>
      </c>
      <c r="E3238" s="178">
        <v>2020</v>
      </c>
      <c r="F3238" s="178" t="s">
        <v>4520</v>
      </c>
      <c r="G3238" s="496"/>
      <c r="H3238" s="994" t="s">
        <v>20221</v>
      </c>
      <c r="I3238" s="12" t="s">
        <v>4409</v>
      </c>
      <c r="J3238" s="1285"/>
      <c r="K3238" s="1285"/>
      <c r="L3238" s="1285"/>
    </row>
    <row r="3239" spans="1:12" ht="11.15" customHeight="1">
      <c r="A3239" s="29" t="s">
        <v>4410</v>
      </c>
      <c r="B3239" s="59" t="s">
        <v>20732</v>
      </c>
      <c r="C3239" s="147" t="s">
        <v>20221</v>
      </c>
      <c r="D3239" s="284" t="s">
        <v>897</v>
      </c>
      <c r="E3239" s="178">
        <v>2019</v>
      </c>
      <c r="F3239" s="178" t="s">
        <v>4520</v>
      </c>
      <c r="G3239" s="496"/>
      <c r="H3239" s="994" t="s">
        <v>20221</v>
      </c>
      <c r="I3239" s="12" t="s">
        <v>4411</v>
      </c>
      <c r="J3239" s="1285"/>
      <c r="K3239" s="1285"/>
      <c r="L3239" s="1285"/>
    </row>
    <row r="3240" spans="1:12" ht="11.15" customHeight="1">
      <c r="A3240" s="181" t="s">
        <v>1595</v>
      </c>
      <c r="B3240" s="59" t="s">
        <v>20732</v>
      </c>
      <c r="C3240" s="147" t="s">
        <v>20221</v>
      </c>
      <c r="D3240" s="284" t="s">
        <v>897</v>
      </c>
      <c r="E3240" s="178">
        <v>2018</v>
      </c>
      <c r="F3240" s="178" t="s">
        <v>4520</v>
      </c>
      <c r="G3240" s="496"/>
      <c r="H3240" s="994" t="s">
        <v>20221</v>
      </c>
      <c r="I3240" s="12" t="s">
        <v>4412</v>
      </c>
      <c r="J3240" s="1285"/>
      <c r="K3240" s="1285"/>
      <c r="L3240" s="1285"/>
    </row>
    <row r="3241" spans="1:12" ht="11.15" customHeight="1">
      <c r="A3241" s="29" t="s">
        <v>4413</v>
      </c>
      <c r="B3241" s="59" t="s">
        <v>20732</v>
      </c>
      <c r="C3241" s="147" t="s">
        <v>20221</v>
      </c>
      <c r="D3241" s="284" t="s">
        <v>897</v>
      </c>
      <c r="E3241" s="178">
        <v>2017</v>
      </c>
      <c r="F3241" s="178" t="s">
        <v>4520</v>
      </c>
      <c r="G3241" s="496"/>
      <c r="H3241" s="994" t="s">
        <v>20221</v>
      </c>
      <c r="I3241" s="12" t="s">
        <v>4414</v>
      </c>
      <c r="J3241" s="1285"/>
      <c r="K3241" s="1285"/>
      <c r="L3241" s="1285"/>
    </row>
    <row r="3242" spans="1:12" ht="11.15" customHeight="1">
      <c r="A3242" s="29" t="s">
        <v>4415</v>
      </c>
      <c r="B3242" s="59" t="s">
        <v>20732</v>
      </c>
      <c r="C3242" s="147" t="s">
        <v>20221</v>
      </c>
      <c r="D3242" s="284" t="s">
        <v>897</v>
      </c>
      <c r="E3242" s="178">
        <v>2016</v>
      </c>
      <c r="F3242" s="178" t="s">
        <v>4520</v>
      </c>
      <c r="G3242" s="496"/>
      <c r="H3242" s="994" t="s">
        <v>20224</v>
      </c>
      <c r="I3242" s="12" t="s">
        <v>4416</v>
      </c>
      <c r="J3242" s="1285"/>
      <c r="K3242" s="1285"/>
      <c r="L3242" s="1285"/>
    </row>
    <row r="3243" spans="1:12" ht="11.15" customHeight="1">
      <c r="A3243" s="29" t="s">
        <v>4417</v>
      </c>
      <c r="B3243" s="59" t="s">
        <v>20732</v>
      </c>
      <c r="C3243" s="147" t="s">
        <v>20221</v>
      </c>
      <c r="D3243" s="284" t="s">
        <v>897</v>
      </c>
      <c r="E3243" s="178">
        <v>2013</v>
      </c>
      <c r="F3243" s="178" t="s">
        <v>4520</v>
      </c>
      <c r="G3243" s="496"/>
      <c r="H3243" s="994" t="s">
        <v>20221</v>
      </c>
      <c r="I3243" s="12" t="s">
        <v>4418</v>
      </c>
      <c r="J3243" s="1285"/>
      <c r="K3243" s="1285"/>
      <c r="L3243" s="1285"/>
    </row>
    <row r="3244" spans="1:12" ht="11.15" customHeight="1">
      <c r="A3244" s="29" t="s">
        <v>4419</v>
      </c>
      <c r="B3244" s="59" t="s">
        <v>20732</v>
      </c>
      <c r="C3244" s="147" t="s">
        <v>20221</v>
      </c>
      <c r="D3244" s="284" t="s">
        <v>897</v>
      </c>
      <c r="E3244" s="178">
        <v>2011</v>
      </c>
      <c r="F3244" s="178" t="s">
        <v>4520</v>
      </c>
      <c r="G3244" s="496"/>
      <c r="H3244" s="994" t="s">
        <v>20221</v>
      </c>
      <c r="I3244" s="12" t="s">
        <v>4420</v>
      </c>
      <c r="J3244" s="1285"/>
      <c r="K3244" s="1285"/>
      <c r="L3244" s="1285"/>
    </row>
    <row r="3245" spans="1:12" ht="11.15" customHeight="1">
      <c r="A3245" s="29" t="s">
        <v>4421</v>
      </c>
      <c r="B3245" s="59" t="s">
        <v>20732</v>
      </c>
      <c r="C3245" s="147" t="s">
        <v>20221</v>
      </c>
      <c r="D3245" s="284" t="s">
        <v>897</v>
      </c>
      <c r="E3245" s="178">
        <v>2010</v>
      </c>
      <c r="F3245" s="178" t="s">
        <v>4520</v>
      </c>
      <c r="G3245" s="496"/>
      <c r="H3245" s="994" t="s">
        <v>20277</v>
      </c>
      <c r="I3245" s="12" t="s">
        <v>4422</v>
      </c>
      <c r="J3245" s="1285"/>
      <c r="K3245" s="1285"/>
      <c r="L3245" s="1285"/>
    </row>
    <row r="3246" spans="1:12" ht="11.15" customHeight="1">
      <c r="A3246" s="181" t="s">
        <v>2536</v>
      </c>
      <c r="B3246" s="59" t="s">
        <v>20733</v>
      </c>
      <c r="C3246" s="147" t="s">
        <v>20221</v>
      </c>
      <c r="D3246" s="284" t="s">
        <v>897</v>
      </c>
      <c r="E3246" s="178">
        <v>2022</v>
      </c>
      <c r="F3246" s="178" t="s">
        <v>4520</v>
      </c>
      <c r="G3246" s="496"/>
      <c r="H3246" s="994" t="s">
        <v>20221</v>
      </c>
      <c r="I3246" s="12" t="s">
        <v>4423</v>
      </c>
      <c r="J3246" s="1285"/>
      <c r="K3246" s="1285"/>
      <c r="L3246" s="1285"/>
    </row>
    <row r="3247" spans="1:12" ht="11.15" customHeight="1">
      <c r="A3247" s="129" t="s">
        <v>1308</v>
      </c>
      <c r="B3247" s="59" t="s">
        <v>20733</v>
      </c>
      <c r="C3247" s="147" t="s">
        <v>20221</v>
      </c>
      <c r="D3247" s="284" t="s">
        <v>897</v>
      </c>
      <c r="E3247" s="178">
        <v>2020</v>
      </c>
      <c r="F3247" s="178" t="s">
        <v>4520</v>
      </c>
      <c r="G3247" s="496"/>
      <c r="H3247" s="994" t="s">
        <v>20221</v>
      </c>
      <c r="I3247" s="12" t="s">
        <v>4424</v>
      </c>
      <c r="J3247" s="1285"/>
      <c r="K3247" s="1285"/>
      <c r="L3247" s="1285"/>
    </row>
    <row r="3248" spans="1:12" ht="11.15" customHeight="1">
      <c r="A3248" s="162" t="s">
        <v>4425</v>
      </c>
      <c r="B3248" s="59" t="s">
        <v>20733</v>
      </c>
      <c r="C3248" s="147" t="s">
        <v>20221</v>
      </c>
      <c r="D3248" s="284" t="s">
        <v>897</v>
      </c>
      <c r="E3248" s="178">
        <v>2019</v>
      </c>
      <c r="F3248" s="178" t="s">
        <v>4520</v>
      </c>
      <c r="G3248" s="496"/>
      <c r="H3248" s="994" t="s">
        <v>20221</v>
      </c>
      <c r="I3248" s="12" t="s">
        <v>4426</v>
      </c>
      <c r="J3248" s="1285"/>
      <c r="K3248" s="1285"/>
      <c r="L3248" s="1285"/>
    </row>
    <row r="3249" spans="1:12" ht="11.15" customHeight="1">
      <c r="A3249" s="162" t="s">
        <v>4427</v>
      </c>
      <c r="B3249" s="59" t="s">
        <v>20733</v>
      </c>
      <c r="C3249" s="147" t="s">
        <v>20221</v>
      </c>
      <c r="D3249" s="284" t="s">
        <v>897</v>
      </c>
      <c r="E3249" s="178">
        <v>2018</v>
      </c>
      <c r="F3249" s="178" t="s">
        <v>4520</v>
      </c>
      <c r="G3249" s="496"/>
      <c r="H3249" s="994" t="s">
        <v>20221</v>
      </c>
      <c r="I3249" s="12" t="s">
        <v>4428</v>
      </c>
      <c r="J3249" s="1285"/>
      <c r="K3249" s="1285"/>
      <c r="L3249" s="1285"/>
    </row>
    <row r="3250" spans="1:12" ht="11.15" customHeight="1">
      <c r="A3250" s="162" t="s">
        <v>4364</v>
      </c>
      <c r="B3250" s="59" t="s">
        <v>20733</v>
      </c>
      <c r="C3250" s="147" t="s">
        <v>20221</v>
      </c>
      <c r="D3250" s="284" t="s">
        <v>897</v>
      </c>
      <c r="E3250" s="178">
        <v>2017</v>
      </c>
      <c r="F3250" s="178" t="s">
        <v>4520</v>
      </c>
      <c r="G3250" s="496"/>
      <c r="H3250" s="994" t="s">
        <v>20221</v>
      </c>
      <c r="I3250" s="12" t="s">
        <v>4429</v>
      </c>
      <c r="J3250" s="1285"/>
      <c r="K3250" s="1285"/>
      <c r="L3250" s="1285"/>
    </row>
    <row r="3251" spans="1:12" ht="11.15" customHeight="1">
      <c r="A3251" s="291" t="s">
        <v>4430</v>
      </c>
      <c r="B3251" s="59" t="s">
        <v>20733</v>
      </c>
      <c r="C3251" s="147" t="s">
        <v>20221</v>
      </c>
      <c r="D3251" s="284" t="s">
        <v>897</v>
      </c>
      <c r="E3251" s="178">
        <v>2016</v>
      </c>
      <c r="F3251" s="178" t="s">
        <v>4520</v>
      </c>
      <c r="G3251" s="496"/>
      <c r="H3251" s="994" t="s">
        <v>20221</v>
      </c>
      <c r="I3251" s="12" t="s">
        <v>4431</v>
      </c>
      <c r="J3251" s="1285"/>
      <c r="K3251" s="1285"/>
      <c r="L3251" s="1285"/>
    </row>
    <row r="3252" spans="1:12" ht="11.15" customHeight="1">
      <c r="A3252" s="291" t="s">
        <v>4432</v>
      </c>
      <c r="B3252" s="59" t="s">
        <v>20733</v>
      </c>
      <c r="C3252" s="147" t="s">
        <v>20221</v>
      </c>
      <c r="D3252" s="284" t="s">
        <v>897</v>
      </c>
      <c r="E3252" s="178">
        <v>2015</v>
      </c>
      <c r="F3252" s="178" t="s">
        <v>4520</v>
      </c>
      <c r="G3252" s="496"/>
      <c r="H3252" s="994" t="s">
        <v>20221</v>
      </c>
      <c r="I3252" s="12" t="s">
        <v>4433</v>
      </c>
      <c r="J3252" s="1285"/>
      <c r="K3252" s="1285"/>
      <c r="L3252" s="1285"/>
    </row>
    <row r="3253" spans="1:12" ht="11.15" customHeight="1">
      <c r="A3253" s="291" t="s">
        <v>4434</v>
      </c>
      <c r="B3253" s="59" t="s">
        <v>20733</v>
      </c>
      <c r="C3253" s="147" t="s">
        <v>20221</v>
      </c>
      <c r="D3253" s="284" t="s">
        <v>897</v>
      </c>
      <c r="E3253" s="178">
        <v>2014</v>
      </c>
      <c r="F3253" s="178" t="s">
        <v>4520</v>
      </c>
      <c r="G3253" s="496"/>
      <c r="H3253" s="994" t="s">
        <v>20221</v>
      </c>
      <c r="I3253" s="12" t="s">
        <v>4435</v>
      </c>
      <c r="J3253" s="1285"/>
      <c r="K3253" s="1285"/>
      <c r="L3253" s="1285"/>
    </row>
    <row r="3254" spans="1:12" ht="11.15" customHeight="1">
      <c r="A3254" s="291" t="s">
        <v>4436</v>
      </c>
      <c r="B3254" s="59" t="s">
        <v>20733</v>
      </c>
      <c r="C3254" s="147" t="s">
        <v>20221</v>
      </c>
      <c r="D3254" s="284" t="s">
        <v>897</v>
      </c>
      <c r="E3254" s="178">
        <v>2013</v>
      </c>
      <c r="F3254" s="178" t="s">
        <v>4520</v>
      </c>
      <c r="G3254" s="496"/>
      <c r="H3254" s="994" t="s">
        <v>20221</v>
      </c>
      <c r="I3254" s="12" t="s">
        <v>4437</v>
      </c>
      <c r="J3254" s="1285"/>
      <c r="K3254" s="1285"/>
      <c r="L3254" s="1285"/>
    </row>
    <row r="3255" spans="1:12" ht="11.15" customHeight="1">
      <c r="A3255" s="291" t="s">
        <v>4438</v>
      </c>
      <c r="B3255" s="59" t="s">
        <v>20733</v>
      </c>
      <c r="C3255" s="147" t="s">
        <v>20221</v>
      </c>
      <c r="D3255" s="284" t="s">
        <v>897</v>
      </c>
      <c r="E3255" s="178">
        <v>2012</v>
      </c>
      <c r="F3255" s="178" t="s">
        <v>4520</v>
      </c>
      <c r="G3255" s="496"/>
      <c r="H3255" s="994" t="s">
        <v>20224</v>
      </c>
      <c r="I3255" s="12" t="s">
        <v>4439</v>
      </c>
      <c r="J3255" s="1285"/>
      <c r="K3255" s="1285"/>
      <c r="L3255" s="1285"/>
    </row>
    <row r="3256" spans="1:12" ht="11.15" customHeight="1">
      <c r="A3256" s="129" t="s">
        <v>4440</v>
      </c>
      <c r="B3256" s="59" t="s">
        <v>20733</v>
      </c>
      <c r="C3256" s="147" t="s">
        <v>20221</v>
      </c>
      <c r="D3256" s="284" t="s">
        <v>897</v>
      </c>
      <c r="E3256" s="178">
        <v>2011</v>
      </c>
      <c r="F3256" s="178" t="s">
        <v>4520</v>
      </c>
      <c r="G3256" s="496"/>
      <c r="H3256" s="994" t="s">
        <v>20221</v>
      </c>
      <c r="I3256" s="12" t="s">
        <v>4441</v>
      </c>
      <c r="J3256" s="1285"/>
      <c r="K3256" s="1285"/>
      <c r="L3256" s="1285"/>
    </row>
    <row r="3257" spans="1:12" ht="11.15" customHeight="1">
      <c r="A3257" s="162" t="s">
        <v>4442</v>
      </c>
      <c r="B3257" s="154" t="s">
        <v>4443</v>
      </c>
      <c r="C3257" s="147"/>
      <c r="D3257" s="161"/>
      <c r="E3257" s="36"/>
      <c r="F3257" s="178"/>
      <c r="G3257" s="496"/>
      <c r="H3257" s="36"/>
      <c r="I3257" s="11"/>
    </row>
    <row r="3258" spans="1:12" ht="11.15" customHeight="1">
      <c r="A3258" s="162" t="s">
        <v>4444</v>
      </c>
      <c r="B3258" s="59" t="s">
        <v>20734</v>
      </c>
      <c r="C3258" s="147" t="s">
        <v>20221</v>
      </c>
      <c r="D3258" s="284" t="s">
        <v>897</v>
      </c>
      <c r="E3258" s="178">
        <v>2017</v>
      </c>
      <c r="F3258" s="178" t="s">
        <v>4520</v>
      </c>
      <c r="G3258" s="496"/>
      <c r="H3258" s="994" t="s">
        <v>20221</v>
      </c>
      <c r="I3258" s="12" t="s">
        <v>4445</v>
      </c>
      <c r="J3258" s="1285"/>
      <c r="K3258" s="1285"/>
      <c r="L3258" s="1285"/>
    </row>
    <row r="3259" spans="1:12" ht="11.15" customHeight="1">
      <c r="A3259" s="291" t="s">
        <v>4446</v>
      </c>
      <c r="B3259" s="59" t="s">
        <v>20734</v>
      </c>
      <c r="C3259" s="147" t="s">
        <v>20221</v>
      </c>
      <c r="D3259" s="284" t="s">
        <v>897</v>
      </c>
      <c r="E3259" s="178">
        <v>2014</v>
      </c>
      <c r="F3259" s="178" t="s">
        <v>4520</v>
      </c>
      <c r="G3259" s="496"/>
      <c r="H3259" s="994" t="s">
        <v>20224</v>
      </c>
      <c r="I3259" s="12" t="s">
        <v>4447</v>
      </c>
      <c r="J3259" s="1285"/>
      <c r="K3259" s="1285"/>
      <c r="L3259" s="1285"/>
    </row>
    <row r="3260" spans="1:12" ht="11.15" customHeight="1">
      <c r="A3260" s="162" t="s">
        <v>4448</v>
      </c>
      <c r="B3260" s="59" t="s">
        <v>20734</v>
      </c>
      <c r="C3260" s="147" t="s">
        <v>20221</v>
      </c>
      <c r="D3260" s="284" t="s">
        <v>897</v>
      </c>
      <c r="E3260" s="178">
        <v>2007</v>
      </c>
      <c r="F3260" s="178" t="s">
        <v>4520</v>
      </c>
      <c r="G3260" s="496"/>
      <c r="H3260" s="994" t="s">
        <v>20221</v>
      </c>
      <c r="I3260" s="12" t="s">
        <v>4449</v>
      </c>
      <c r="J3260" s="1285"/>
      <c r="K3260" s="1285"/>
      <c r="L3260" s="1285"/>
    </row>
    <row r="3261" spans="1:12" ht="11.15" customHeight="1">
      <c r="A3261" s="291" t="s">
        <v>4450</v>
      </c>
      <c r="B3261" s="59" t="s">
        <v>20735</v>
      </c>
      <c r="C3261" s="147" t="s">
        <v>20221</v>
      </c>
      <c r="D3261" s="284" t="s">
        <v>897</v>
      </c>
      <c r="E3261" s="178">
        <v>2017</v>
      </c>
      <c r="F3261" s="178" t="s">
        <v>4520</v>
      </c>
      <c r="G3261" s="496"/>
      <c r="H3261" s="994" t="s">
        <v>20221</v>
      </c>
      <c r="I3261" s="12" t="s">
        <v>4451</v>
      </c>
      <c r="J3261" s="1285"/>
      <c r="K3261" s="1285"/>
      <c r="L3261" s="1285"/>
    </row>
    <row r="3262" spans="1:12" ht="11.15" customHeight="1">
      <c r="A3262" s="291" t="s">
        <v>4452</v>
      </c>
      <c r="B3262" s="59" t="s">
        <v>20735</v>
      </c>
      <c r="C3262" s="147" t="s">
        <v>20221</v>
      </c>
      <c r="D3262" s="284" t="s">
        <v>897</v>
      </c>
      <c r="E3262" s="178">
        <v>2013</v>
      </c>
      <c r="F3262" s="178" t="s">
        <v>4520</v>
      </c>
      <c r="G3262" s="496"/>
      <c r="H3262" s="994" t="s">
        <v>20221</v>
      </c>
      <c r="I3262" s="12" t="s">
        <v>4453</v>
      </c>
      <c r="J3262" s="1285"/>
      <c r="K3262" s="1285"/>
      <c r="L3262" s="1285"/>
    </row>
    <row r="3263" spans="1:12" ht="11.15" customHeight="1">
      <c r="A3263" s="291" t="s">
        <v>4454</v>
      </c>
      <c r="B3263" s="59" t="s">
        <v>20736</v>
      </c>
      <c r="C3263" s="147" t="s">
        <v>20221</v>
      </c>
      <c r="D3263" s="284" t="s">
        <v>897</v>
      </c>
      <c r="E3263" s="178">
        <v>2022</v>
      </c>
      <c r="F3263" s="178" t="s">
        <v>4520</v>
      </c>
      <c r="G3263" s="496"/>
      <c r="H3263" s="994" t="s">
        <v>20224</v>
      </c>
      <c r="I3263" s="12" t="s">
        <v>4455</v>
      </c>
      <c r="J3263" s="1285"/>
      <c r="K3263" s="1285"/>
      <c r="L3263" s="1285"/>
    </row>
    <row r="3264" spans="1:12" ht="11.15" customHeight="1">
      <c r="A3264" s="291" t="s">
        <v>4456</v>
      </c>
      <c r="B3264" s="59" t="s">
        <v>20736</v>
      </c>
      <c r="C3264" s="147" t="s">
        <v>20221</v>
      </c>
      <c r="D3264" s="284" t="s">
        <v>897</v>
      </c>
      <c r="E3264" s="178">
        <v>2018</v>
      </c>
      <c r="F3264" s="178" t="s">
        <v>4520</v>
      </c>
      <c r="G3264" s="496"/>
      <c r="H3264" s="994" t="s">
        <v>20224</v>
      </c>
      <c r="I3264" s="12" t="s">
        <v>4457</v>
      </c>
      <c r="J3264" s="1285"/>
      <c r="K3264" s="1285"/>
      <c r="L3264" s="1285"/>
    </row>
    <row r="3265" spans="1:12" ht="11.15" customHeight="1">
      <c r="A3265" s="291" t="s">
        <v>4458</v>
      </c>
      <c r="B3265" s="59" t="s">
        <v>20736</v>
      </c>
      <c r="C3265" s="147" t="s">
        <v>20221</v>
      </c>
      <c r="D3265" s="284" t="s">
        <v>897</v>
      </c>
      <c r="E3265" s="178">
        <v>2017</v>
      </c>
      <c r="F3265" s="178" t="s">
        <v>4520</v>
      </c>
      <c r="G3265" s="496"/>
      <c r="H3265" s="994" t="s">
        <v>20221</v>
      </c>
      <c r="I3265" s="12" t="s">
        <v>4459</v>
      </c>
      <c r="J3265" s="1285"/>
      <c r="K3265" s="1285"/>
      <c r="L3265" s="1285"/>
    </row>
    <row r="3266" spans="1:12" ht="11.15" customHeight="1">
      <c r="A3266" s="291" t="s">
        <v>4460</v>
      </c>
      <c r="B3266" s="59" t="s">
        <v>20737</v>
      </c>
      <c r="C3266" s="147" t="s">
        <v>20221</v>
      </c>
      <c r="D3266" s="284" t="s">
        <v>897</v>
      </c>
      <c r="E3266" s="178">
        <v>2016</v>
      </c>
      <c r="F3266" s="178" t="s">
        <v>4520</v>
      </c>
      <c r="G3266" s="496"/>
      <c r="H3266" s="994" t="s">
        <v>20224</v>
      </c>
      <c r="I3266" s="12" t="s">
        <v>4461</v>
      </c>
      <c r="J3266" s="1285"/>
      <c r="K3266" s="1285"/>
      <c r="L3266" s="1285"/>
    </row>
    <row r="3267" spans="1:12" ht="11.15" customHeight="1">
      <c r="A3267" s="291" t="s">
        <v>4462</v>
      </c>
      <c r="B3267" s="59" t="s">
        <v>20736</v>
      </c>
      <c r="C3267" s="147" t="s">
        <v>20221</v>
      </c>
      <c r="D3267" s="284" t="s">
        <v>897</v>
      </c>
      <c r="E3267" s="178">
        <v>2013</v>
      </c>
      <c r="F3267" s="178" t="s">
        <v>4520</v>
      </c>
      <c r="G3267" s="496"/>
      <c r="H3267" s="994" t="s">
        <v>20224</v>
      </c>
      <c r="I3267" s="12" t="s">
        <v>4463</v>
      </c>
      <c r="J3267" s="1285"/>
      <c r="K3267" s="1285"/>
      <c r="L3267" s="1285"/>
    </row>
    <row r="3268" spans="1:12" ht="11.15" customHeight="1">
      <c r="A3268" s="291" t="s">
        <v>4464</v>
      </c>
      <c r="B3268" s="59" t="s">
        <v>20738</v>
      </c>
      <c r="C3268" s="147" t="s">
        <v>20221</v>
      </c>
      <c r="D3268" s="284" t="s">
        <v>897</v>
      </c>
      <c r="E3268" s="178">
        <v>2012</v>
      </c>
      <c r="F3268" s="178" t="s">
        <v>4520</v>
      </c>
      <c r="G3268" s="496"/>
      <c r="H3268" s="994" t="s">
        <v>20224</v>
      </c>
      <c r="I3268" s="12" t="s">
        <v>4465</v>
      </c>
      <c r="J3268" s="1285"/>
      <c r="K3268" s="1285"/>
      <c r="L3268" s="1285"/>
    </row>
    <row r="3269" spans="1:12" ht="11.15" customHeight="1">
      <c r="A3269" s="29" t="s">
        <v>4466</v>
      </c>
      <c r="B3269" s="59" t="s">
        <v>20736</v>
      </c>
      <c r="C3269" s="147" t="s">
        <v>20221</v>
      </c>
      <c r="D3269" s="284" t="s">
        <v>897</v>
      </c>
      <c r="E3269" s="178">
        <v>2011</v>
      </c>
      <c r="F3269" s="178" t="s">
        <v>4520</v>
      </c>
      <c r="G3269" s="496"/>
      <c r="H3269" s="994" t="s">
        <v>20221</v>
      </c>
      <c r="I3269" s="12" t="s">
        <v>4467</v>
      </c>
      <c r="J3269" s="1285"/>
      <c r="K3269" s="1285"/>
      <c r="L3269" s="1285"/>
    </row>
    <row r="3270" spans="1:12" ht="11.15" customHeight="1">
      <c r="A3270" s="169" t="s">
        <v>4468</v>
      </c>
      <c r="B3270" s="59" t="s">
        <v>20736</v>
      </c>
      <c r="C3270" s="147" t="s">
        <v>20221</v>
      </c>
      <c r="D3270" s="284" t="s">
        <v>897</v>
      </c>
      <c r="E3270" s="178">
        <v>2009</v>
      </c>
      <c r="F3270" s="178" t="s">
        <v>23395</v>
      </c>
      <c r="G3270" s="496"/>
      <c r="H3270" s="994" t="s">
        <v>20224</v>
      </c>
      <c r="I3270" s="12" t="s">
        <v>4469</v>
      </c>
      <c r="J3270" s="1285"/>
      <c r="K3270" s="1285"/>
      <c r="L3270" s="1285"/>
    </row>
    <row r="3271" spans="1:12" ht="11.15" customHeight="1">
      <c r="A3271" s="129" t="s">
        <v>4470</v>
      </c>
      <c r="B3271" s="59" t="s">
        <v>20739</v>
      </c>
      <c r="C3271" s="147" t="s">
        <v>20221</v>
      </c>
      <c r="D3271" s="284" t="s">
        <v>897</v>
      </c>
      <c r="E3271" s="178">
        <v>2022</v>
      </c>
      <c r="F3271" s="178" t="s">
        <v>4520</v>
      </c>
      <c r="G3271" s="496"/>
      <c r="H3271" s="994" t="s">
        <v>20224</v>
      </c>
      <c r="I3271" s="12" t="s">
        <v>4471</v>
      </c>
      <c r="J3271" s="1285"/>
      <c r="K3271" s="1285"/>
      <c r="L3271" s="1285"/>
    </row>
    <row r="3272" spans="1:12" ht="11.15" customHeight="1">
      <c r="A3272" s="129" t="s">
        <v>4378</v>
      </c>
      <c r="B3272" s="59" t="s">
        <v>20739</v>
      </c>
      <c r="C3272" s="147" t="s">
        <v>20221</v>
      </c>
      <c r="D3272" s="284" t="s">
        <v>897</v>
      </c>
      <c r="E3272" s="178">
        <v>2020</v>
      </c>
      <c r="F3272" s="178" t="s">
        <v>4520</v>
      </c>
      <c r="G3272" s="496"/>
      <c r="H3272" s="994" t="s">
        <v>20221</v>
      </c>
      <c r="I3272" s="12" t="s">
        <v>4472</v>
      </c>
      <c r="J3272" s="1285"/>
      <c r="K3272" s="1285"/>
      <c r="L3272" s="1285"/>
    </row>
    <row r="3273" spans="1:12" ht="11.15" customHeight="1">
      <c r="A3273" s="129" t="s">
        <v>4473</v>
      </c>
      <c r="B3273" s="59" t="s">
        <v>20739</v>
      </c>
      <c r="C3273" s="147" t="s">
        <v>20221</v>
      </c>
      <c r="D3273" s="284" t="s">
        <v>897</v>
      </c>
      <c r="E3273" s="178">
        <v>2019</v>
      </c>
      <c r="F3273" s="178" t="s">
        <v>4520</v>
      </c>
      <c r="G3273" s="496"/>
      <c r="H3273" s="994" t="s">
        <v>20224</v>
      </c>
      <c r="I3273" s="12" t="s">
        <v>4474</v>
      </c>
      <c r="J3273" s="1285"/>
      <c r="K3273" s="1285"/>
      <c r="L3273" s="1285"/>
    </row>
    <row r="3274" spans="1:12" ht="11.15" customHeight="1">
      <c r="A3274" s="29"/>
      <c r="B3274" s="59" t="s">
        <v>20740</v>
      </c>
      <c r="C3274" s="147" t="s">
        <v>20221</v>
      </c>
      <c r="D3274" s="284" t="s">
        <v>897</v>
      </c>
      <c r="E3274" s="178">
        <v>2017</v>
      </c>
      <c r="F3274" s="178" t="s">
        <v>4520</v>
      </c>
      <c r="G3274" s="496"/>
      <c r="H3274" s="994" t="s">
        <v>20224</v>
      </c>
      <c r="I3274" s="12" t="s">
        <v>4475</v>
      </c>
      <c r="J3274" s="1285"/>
      <c r="K3274" s="1285"/>
      <c r="L3274" s="1285"/>
    </row>
    <row r="3275" spans="1:12" ht="11.15" customHeight="1">
      <c r="A3275" s="129"/>
      <c r="B3275" s="59" t="s">
        <v>20740</v>
      </c>
      <c r="C3275" s="147" t="s">
        <v>20221</v>
      </c>
      <c r="D3275" s="284" t="s">
        <v>897</v>
      </c>
      <c r="E3275" s="178">
        <v>2013</v>
      </c>
      <c r="F3275" s="178" t="s">
        <v>4520</v>
      </c>
      <c r="G3275" s="496"/>
      <c r="H3275" s="994" t="s">
        <v>20224</v>
      </c>
      <c r="I3275" s="12" t="s">
        <v>4476</v>
      </c>
      <c r="J3275" s="1285"/>
      <c r="K3275" s="1285"/>
      <c r="L3275" s="1285"/>
    </row>
    <row r="3276" spans="1:12" ht="11.15" customHeight="1">
      <c r="A3276" s="185"/>
      <c r="B3276" s="154" t="s">
        <v>4477</v>
      </c>
      <c r="C3276" s="147"/>
      <c r="D3276" s="122"/>
      <c r="E3276" s="185"/>
      <c r="F3276" s="185"/>
      <c r="G3276" s="417"/>
      <c r="H3276" s="185"/>
      <c r="I3276" s="11"/>
    </row>
    <row r="3277" spans="1:12" ht="11.15" customHeight="1">
      <c r="A3277" s="185"/>
      <c r="B3277" s="59" t="s">
        <v>20741</v>
      </c>
      <c r="C3277" s="147" t="s">
        <v>20221</v>
      </c>
      <c r="D3277" s="284" t="s">
        <v>897</v>
      </c>
      <c r="E3277" s="178">
        <v>2022</v>
      </c>
      <c r="F3277" s="178" t="s">
        <v>4520</v>
      </c>
      <c r="G3277" s="496"/>
      <c r="H3277" s="994" t="s">
        <v>20221</v>
      </c>
      <c r="I3277" s="12" t="s">
        <v>4478</v>
      </c>
      <c r="J3277" s="1285"/>
      <c r="K3277" s="1285"/>
      <c r="L3277" s="1285"/>
    </row>
    <row r="3278" spans="1:12" ht="11.15" customHeight="1">
      <c r="A3278" s="185"/>
      <c r="B3278" s="59" t="s">
        <v>20741</v>
      </c>
      <c r="C3278" s="147" t="s">
        <v>20221</v>
      </c>
      <c r="D3278" s="284" t="s">
        <v>897</v>
      </c>
      <c r="E3278" s="178">
        <v>2020</v>
      </c>
      <c r="F3278" s="178" t="s">
        <v>4520</v>
      </c>
      <c r="G3278" s="496"/>
      <c r="H3278" s="994" t="s">
        <v>20221</v>
      </c>
      <c r="I3278" s="12" t="s">
        <v>4479</v>
      </c>
      <c r="J3278" s="1285"/>
      <c r="K3278" s="1285"/>
      <c r="L3278" s="1285"/>
    </row>
    <row r="3279" spans="1:12" ht="11.15" customHeight="1">
      <c r="A3279" s="185"/>
      <c r="B3279" s="59" t="s">
        <v>20741</v>
      </c>
      <c r="C3279" s="147" t="s">
        <v>20221</v>
      </c>
      <c r="D3279" s="284" t="s">
        <v>897</v>
      </c>
      <c r="E3279" s="178">
        <v>2017</v>
      </c>
      <c r="F3279" s="178" t="s">
        <v>4520</v>
      </c>
      <c r="G3279" s="496"/>
      <c r="H3279" s="994" t="s">
        <v>20221</v>
      </c>
      <c r="I3279" s="12" t="s">
        <v>4480</v>
      </c>
      <c r="J3279" s="1285"/>
      <c r="K3279" s="1285"/>
      <c r="L3279" s="1285"/>
    </row>
    <row r="3280" spans="1:12" ht="11.15" customHeight="1">
      <c r="A3280" s="129"/>
      <c r="B3280" s="59" t="s">
        <v>20742</v>
      </c>
      <c r="C3280" s="147" t="s">
        <v>20221</v>
      </c>
      <c r="D3280" s="284" t="s">
        <v>897</v>
      </c>
      <c r="E3280" s="178">
        <v>2022</v>
      </c>
      <c r="F3280" s="178" t="s">
        <v>4520</v>
      </c>
      <c r="G3280" s="496"/>
      <c r="H3280" s="994" t="s">
        <v>20221</v>
      </c>
      <c r="I3280" s="12" t="s">
        <v>4481</v>
      </c>
      <c r="J3280" s="1285"/>
      <c r="K3280" s="1285"/>
      <c r="L3280" s="1285"/>
    </row>
    <row r="3281" spans="1:12" ht="11.15" customHeight="1">
      <c r="A3281" s="129"/>
      <c r="B3281" s="59" t="s">
        <v>20742</v>
      </c>
      <c r="C3281" s="147" t="s">
        <v>20221</v>
      </c>
      <c r="D3281" s="284" t="s">
        <v>897</v>
      </c>
      <c r="E3281" s="178">
        <v>2020</v>
      </c>
      <c r="F3281" s="178" t="s">
        <v>4520</v>
      </c>
      <c r="G3281" s="496"/>
      <c r="H3281" s="994" t="s">
        <v>20221</v>
      </c>
      <c r="I3281" s="12" t="s">
        <v>4482</v>
      </c>
      <c r="J3281" s="1285"/>
      <c r="K3281" s="1285"/>
      <c r="L3281" s="1285"/>
    </row>
    <row r="3282" spans="1:12" ht="11.15" customHeight="1">
      <c r="A3282" s="129"/>
      <c r="B3282" s="59" t="s">
        <v>20742</v>
      </c>
      <c r="C3282" s="147" t="s">
        <v>20221</v>
      </c>
      <c r="D3282" s="284" t="s">
        <v>897</v>
      </c>
      <c r="E3282" s="178">
        <v>2018</v>
      </c>
      <c r="F3282" s="178" t="s">
        <v>4520</v>
      </c>
      <c r="G3282" s="496"/>
      <c r="H3282" s="994" t="s">
        <v>20221</v>
      </c>
      <c r="I3282" s="12" t="s">
        <v>4483</v>
      </c>
      <c r="J3282" s="1285"/>
      <c r="K3282" s="1285"/>
      <c r="L3282" s="1285"/>
    </row>
    <row r="3283" spans="1:12" ht="11.15" customHeight="1">
      <c r="A3283" s="29"/>
      <c r="B3283" s="59" t="s">
        <v>20742</v>
      </c>
      <c r="C3283" s="147" t="s">
        <v>20221</v>
      </c>
      <c r="D3283" s="284" t="s">
        <v>897</v>
      </c>
      <c r="E3283" s="178">
        <v>2017</v>
      </c>
      <c r="F3283" s="178" t="s">
        <v>4520</v>
      </c>
      <c r="G3283" s="496"/>
      <c r="H3283" s="994" t="s">
        <v>20221</v>
      </c>
      <c r="I3283" s="12" t="s">
        <v>4484</v>
      </c>
      <c r="J3283" s="1285"/>
      <c r="K3283" s="1285"/>
      <c r="L3283" s="1285"/>
    </row>
    <row r="3284" spans="1:12" ht="11.15" customHeight="1">
      <c r="A3284" s="185"/>
      <c r="B3284" s="59" t="s">
        <v>20742</v>
      </c>
      <c r="C3284" s="147" t="s">
        <v>20221</v>
      </c>
      <c r="D3284" s="284" t="s">
        <v>897</v>
      </c>
      <c r="E3284" s="178">
        <v>2013</v>
      </c>
      <c r="F3284" s="178" t="s">
        <v>4520</v>
      </c>
      <c r="G3284" s="496"/>
      <c r="H3284" s="994" t="s">
        <v>20221</v>
      </c>
      <c r="I3284" s="12" t="s">
        <v>4485</v>
      </c>
      <c r="J3284" s="1285"/>
      <c r="K3284" s="1285"/>
      <c r="L3284" s="1285"/>
    </row>
    <row r="3285" spans="1:12" ht="11.15" customHeight="1">
      <c r="A3285" s="185"/>
      <c r="B3285" s="59" t="s">
        <v>20742</v>
      </c>
      <c r="C3285" s="147" t="s">
        <v>20221</v>
      </c>
      <c r="D3285" s="284" t="s">
        <v>897</v>
      </c>
      <c r="E3285" s="178">
        <v>2011</v>
      </c>
      <c r="F3285" s="178" t="s">
        <v>4520</v>
      </c>
      <c r="G3285" s="496"/>
      <c r="H3285" s="994" t="s">
        <v>20221</v>
      </c>
      <c r="I3285" s="12" t="s">
        <v>4486</v>
      </c>
      <c r="J3285" s="1285"/>
      <c r="K3285" s="1285"/>
      <c r="L3285" s="1285"/>
    </row>
    <row r="3286" spans="1:12" ht="11.15" customHeight="1">
      <c r="A3286" s="185"/>
      <c r="B3286" s="154" t="s">
        <v>4487</v>
      </c>
      <c r="C3286" s="147"/>
      <c r="D3286" s="122"/>
      <c r="E3286" s="185"/>
      <c r="F3286" s="185"/>
      <c r="G3286" s="417"/>
      <c r="H3286" s="185"/>
      <c r="I3286" s="11"/>
    </row>
    <row r="3287" spans="1:12" ht="11.15" customHeight="1">
      <c r="A3287" s="185"/>
      <c r="B3287" s="59" t="s">
        <v>20743</v>
      </c>
      <c r="C3287" s="147" t="s">
        <v>20221</v>
      </c>
      <c r="D3287" s="284" t="s">
        <v>897</v>
      </c>
      <c r="E3287" s="178">
        <v>2016</v>
      </c>
      <c r="F3287" s="178" t="s">
        <v>4520</v>
      </c>
      <c r="G3287" s="496"/>
      <c r="H3287" s="994" t="s">
        <v>20224</v>
      </c>
      <c r="I3287" s="12" t="s">
        <v>4488</v>
      </c>
      <c r="J3287" s="1285"/>
      <c r="K3287" s="1285"/>
      <c r="L3287" s="1285"/>
    </row>
    <row r="3288" spans="1:12" ht="11.15" customHeight="1">
      <c r="A3288" s="185"/>
      <c r="B3288" s="59" t="s">
        <v>20743</v>
      </c>
      <c r="C3288" s="147" t="s">
        <v>20221</v>
      </c>
      <c r="D3288" s="284" t="s">
        <v>897</v>
      </c>
      <c r="E3288" s="178">
        <v>2013</v>
      </c>
      <c r="F3288" s="178" t="s">
        <v>4520</v>
      </c>
      <c r="G3288" s="496"/>
      <c r="H3288" s="994" t="s">
        <v>20224</v>
      </c>
      <c r="I3288" s="12" t="s">
        <v>4489</v>
      </c>
      <c r="J3288" s="1285"/>
      <c r="K3288" s="1285"/>
      <c r="L3288" s="1285"/>
    </row>
    <row r="3289" spans="1:12" ht="11.15" customHeight="1">
      <c r="A3289" s="29"/>
      <c r="B3289" s="59" t="s">
        <v>20744</v>
      </c>
      <c r="C3289" s="147" t="s">
        <v>20221</v>
      </c>
      <c r="D3289" s="284" t="s">
        <v>897</v>
      </c>
      <c r="E3289" s="178">
        <v>2022</v>
      </c>
      <c r="F3289" s="178" t="s">
        <v>4520</v>
      </c>
      <c r="G3289" s="496"/>
      <c r="H3289" s="994" t="s">
        <v>20224</v>
      </c>
      <c r="I3289" s="12" t="s">
        <v>4490</v>
      </c>
      <c r="J3289" s="1285"/>
      <c r="K3289" s="1285"/>
      <c r="L3289" s="1285"/>
    </row>
    <row r="3290" spans="1:12" ht="11.15" customHeight="1">
      <c r="A3290" s="185"/>
      <c r="B3290" s="59" t="s">
        <v>20744</v>
      </c>
      <c r="C3290" s="147" t="s">
        <v>20221</v>
      </c>
      <c r="D3290" s="284" t="s">
        <v>897</v>
      </c>
      <c r="E3290" s="178">
        <v>2018</v>
      </c>
      <c r="F3290" s="178" t="s">
        <v>4520</v>
      </c>
      <c r="G3290" s="496"/>
      <c r="H3290" s="994" t="s">
        <v>20221</v>
      </c>
      <c r="I3290" s="12" t="s">
        <v>4491</v>
      </c>
      <c r="J3290" s="1285"/>
      <c r="K3290" s="1285"/>
      <c r="L3290" s="1285"/>
    </row>
    <row r="3291" spans="1:12" ht="11.15" customHeight="1">
      <c r="A3291" s="185"/>
      <c r="B3291" s="59" t="s">
        <v>20744</v>
      </c>
      <c r="C3291" s="147" t="s">
        <v>20221</v>
      </c>
      <c r="D3291" s="284" t="s">
        <v>897</v>
      </c>
      <c r="E3291" s="178">
        <v>2017</v>
      </c>
      <c r="F3291" s="178" t="s">
        <v>4520</v>
      </c>
      <c r="G3291" s="496"/>
      <c r="H3291" s="994" t="s">
        <v>20221</v>
      </c>
      <c r="I3291" s="12" t="s">
        <v>4492</v>
      </c>
      <c r="J3291" s="1285"/>
      <c r="K3291" s="1285"/>
      <c r="L3291" s="1285"/>
    </row>
    <row r="3292" spans="1:12" ht="11.15" customHeight="1">
      <c r="A3292" s="185"/>
      <c r="B3292" s="59" t="s">
        <v>20744</v>
      </c>
      <c r="C3292" s="147" t="s">
        <v>20221</v>
      </c>
      <c r="D3292" s="284" t="s">
        <v>897</v>
      </c>
      <c r="E3292" s="178">
        <v>2014</v>
      </c>
      <c r="F3292" s="178" t="s">
        <v>4520</v>
      </c>
      <c r="G3292" s="496"/>
      <c r="H3292" s="994" t="s">
        <v>20224</v>
      </c>
      <c r="I3292" s="12" t="s">
        <v>4493</v>
      </c>
      <c r="J3292" s="1285"/>
      <c r="K3292" s="1285"/>
      <c r="L3292" s="1285"/>
    </row>
    <row r="3293" spans="1:12" ht="11.15" customHeight="1">
      <c r="A3293" s="185"/>
      <c r="B3293" s="59" t="s">
        <v>20744</v>
      </c>
      <c r="C3293" s="147" t="s">
        <v>20221</v>
      </c>
      <c r="D3293" s="284" t="s">
        <v>897</v>
      </c>
      <c r="E3293" s="178">
        <v>2013</v>
      </c>
      <c r="F3293" s="178" t="s">
        <v>4520</v>
      </c>
      <c r="G3293" s="496"/>
      <c r="H3293" s="994" t="s">
        <v>20221</v>
      </c>
      <c r="I3293" s="12" t="s">
        <v>4494</v>
      </c>
      <c r="J3293" s="1285"/>
      <c r="K3293" s="1285"/>
      <c r="L3293" s="1285"/>
    </row>
    <row r="3294" spans="1:12" ht="11.15" customHeight="1">
      <c r="A3294" s="185"/>
      <c r="B3294" s="59" t="s">
        <v>20744</v>
      </c>
      <c r="C3294" s="147" t="s">
        <v>20221</v>
      </c>
      <c r="D3294" s="284" t="s">
        <v>897</v>
      </c>
      <c r="E3294" s="178">
        <v>2011</v>
      </c>
      <c r="F3294" s="178" t="s">
        <v>4520</v>
      </c>
      <c r="G3294" s="496"/>
      <c r="H3294" s="994" t="s">
        <v>20224</v>
      </c>
      <c r="I3294" s="12" t="s">
        <v>4495</v>
      </c>
      <c r="J3294" s="1285"/>
      <c r="K3294" s="1285"/>
      <c r="L3294" s="1285"/>
    </row>
    <row r="3295" spans="1:12" ht="11.15" customHeight="1">
      <c r="A3295" s="185"/>
      <c r="B3295" s="177" t="s">
        <v>4496</v>
      </c>
      <c r="C3295" s="147"/>
      <c r="D3295" s="161"/>
      <c r="E3295" s="36"/>
      <c r="F3295" s="178"/>
      <c r="G3295" s="496"/>
      <c r="H3295" s="36"/>
      <c r="I3295" s="11"/>
    </row>
    <row r="3296" spans="1:12" ht="11.15" customHeight="1">
      <c r="A3296" s="185"/>
      <c r="B3296" s="59" t="s">
        <v>20745</v>
      </c>
      <c r="C3296" s="147" t="s">
        <v>20221</v>
      </c>
      <c r="D3296" s="284" t="s">
        <v>897</v>
      </c>
      <c r="E3296" s="178">
        <v>2014</v>
      </c>
      <c r="F3296" s="178" t="s">
        <v>11931</v>
      </c>
      <c r="G3296" s="496"/>
      <c r="H3296" s="994" t="s">
        <v>20224</v>
      </c>
      <c r="I3296" s="12" t="s">
        <v>4497</v>
      </c>
      <c r="J3296" s="1285"/>
      <c r="K3296" s="1285"/>
      <c r="L3296" s="1285"/>
    </row>
    <row r="3297" spans="1:12" ht="11.15" customHeight="1">
      <c r="A3297" s="185"/>
      <c r="B3297" s="59" t="s">
        <v>20746</v>
      </c>
      <c r="C3297" s="147" t="s">
        <v>20221</v>
      </c>
      <c r="D3297" s="284" t="s">
        <v>897</v>
      </c>
      <c r="E3297" s="178">
        <v>2019</v>
      </c>
      <c r="F3297" s="178" t="s">
        <v>5257</v>
      </c>
      <c r="G3297" s="496"/>
      <c r="H3297" s="994" t="s">
        <v>20221</v>
      </c>
      <c r="I3297" s="12" t="s">
        <v>4498</v>
      </c>
      <c r="J3297" s="1285"/>
      <c r="K3297" s="1285"/>
      <c r="L3297" s="1285"/>
    </row>
    <row r="3298" spans="1:12" ht="11.15" customHeight="1">
      <c r="A3298" s="185"/>
      <c r="B3298" s="59" t="s">
        <v>20746</v>
      </c>
      <c r="C3298" s="147" t="s">
        <v>20221</v>
      </c>
      <c r="D3298" s="284" t="s">
        <v>897</v>
      </c>
      <c r="E3298" s="178">
        <v>2018</v>
      </c>
      <c r="F3298" s="178" t="s">
        <v>5257</v>
      </c>
      <c r="G3298" s="496"/>
      <c r="H3298" s="994" t="s">
        <v>20221</v>
      </c>
      <c r="I3298" s="12" t="s">
        <v>4499</v>
      </c>
      <c r="J3298" s="1285"/>
      <c r="K3298" s="1285"/>
      <c r="L3298" s="1285"/>
    </row>
    <row r="3299" spans="1:12" ht="11.15" customHeight="1">
      <c r="A3299" s="185"/>
      <c r="B3299" s="59" t="s">
        <v>20746</v>
      </c>
      <c r="C3299" s="147" t="s">
        <v>20221</v>
      </c>
      <c r="D3299" s="284" t="s">
        <v>897</v>
      </c>
      <c r="E3299" s="178">
        <v>2014</v>
      </c>
      <c r="F3299" s="178" t="s">
        <v>11931</v>
      </c>
      <c r="G3299" s="496"/>
      <c r="H3299" s="994" t="s">
        <v>20221</v>
      </c>
      <c r="I3299" s="12" t="s">
        <v>4500</v>
      </c>
      <c r="J3299" s="1285"/>
      <c r="K3299" s="1285"/>
      <c r="L3299" s="1285"/>
    </row>
    <row r="3300" spans="1:12" ht="11.15" customHeight="1">
      <c r="A3300" s="185"/>
      <c r="B3300" s="59" t="s">
        <v>20746</v>
      </c>
      <c r="C3300" s="147" t="s">
        <v>20221</v>
      </c>
      <c r="D3300" s="284" t="s">
        <v>897</v>
      </c>
      <c r="E3300" s="178">
        <v>2013</v>
      </c>
      <c r="F3300" s="178" t="s">
        <v>11931</v>
      </c>
      <c r="G3300" s="496"/>
      <c r="H3300" s="994" t="s">
        <v>20224</v>
      </c>
      <c r="I3300" s="12" t="s">
        <v>4501</v>
      </c>
      <c r="J3300" s="1285"/>
      <c r="K3300" s="1285"/>
      <c r="L3300" s="1285"/>
    </row>
    <row r="3301" spans="1:12" ht="11.15" customHeight="1">
      <c r="A3301" s="185"/>
      <c r="B3301" s="59" t="s">
        <v>20747</v>
      </c>
      <c r="C3301" s="147" t="s">
        <v>20221</v>
      </c>
      <c r="D3301" s="284" t="s">
        <v>897</v>
      </c>
      <c r="E3301" s="178">
        <v>2018</v>
      </c>
      <c r="F3301" s="178" t="s">
        <v>5257</v>
      </c>
      <c r="G3301" s="496"/>
      <c r="H3301" s="994" t="s">
        <v>20224</v>
      </c>
      <c r="I3301" s="12" t="s">
        <v>4502</v>
      </c>
      <c r="J3301" s="1285"/>
      <c r="K3301" s="1285"/>
      <c r="L3301" s="1285"/>
    </row>
    <row r="3302" spans="1:12" ht="11.15" customHeight="1">
      <c r="A3302" s="185"/>
      <c r="B3302" s="59" t="s">
        <v>20748</v>
      </c>
      <c r="C3302" s="147" t="s">
        <v>20221</v>
      </c>
      <c r="D3302" s="284" t="s">
        <v>897</v>
      </c>
      <c r="E3302" s="178">
        <v>2018</v>
      </c>
      <c r="F3302" s="178" t="s">
        <v>5257</v>
      </c>
      <c r="G3302" s="496"/>
      <c r="H3302" s="994" t="s">
        <v>20224</v>
      </c>
      <c r="I3302" s="12" t="s">
        <v>4503</v>
      </c>
      <c r="J3302" s="1285"/>
      <c r="K3302" s="1285"/>
      <c r="L3302" s="1285"/>
    </row>
    <row r="3303" spans="1:12" ht="11.15" customHeight="1">
      <c r="A3303" s="185"/>
      <c r="B3303" s="177" t="s">
        <v>4504</v>
      </c>
      <c r="C3303" s="147"/>
      <c r="D3303" s="161"/>
      <c r="E3303" s="36"/>
      <c r="F3303" s="178"/>
      <c r="G3303" s="496"/>
      <c r="H3303" s="36"/>
      <c r="I3303" s="11"/>
    </row>
    <row r="3304" spans="1:12" ht="11.15" customHeight="1">
      <c r="A3304" s="185"/>
      <c r="B3304" s="59" t="s">
        <v>20749</v>
      </c>
      <c r="C3304" s="147" t="s">
        <v>20221</v>
      </c>
      <c r="D3304" s="284" t="s">
        <v>897</v>
      </c>
      <c r="E3304" s="178">
        <v>2014</v>
      </c>
      <c r="F3304" s="178" t="s">
        <v>11931</v>
      </c>
      <c r="G3304" s="496"/>
      <c r="H3304" s="994" t="s">
        <v>20224</v>
      </c>
      <c r="I3304" s="12" t="s">
        <v>4505</v>
      </c>
      <c r="J3304" s="1285"/>
      <c r="K3304" s="1285"/>
      <c r="L3304" s="1285"/>
    </row>
    <row r="3305" spans="1:12" ht="11.15" customHeight="1">
      <c r="A3305" s="185"/>
      <c r="B3305" s="59" t="s">
        <v>20750</v>
      </c>
      <c r="C3305" s="147" t="s">
        <v>20221</v>
      </c>
      <c r="D3305" s="284" t="s">
        <v>897</v>
      </c>
      <c r="E3305" s="178">
        <v>2018</v>
      </c>
      <c r="F3305" s="178" t="s">
        <v>5257</v>
      </c>
      <c r="G3305" s="496"/>
      <c r="H3305" s="994" t="s">
        <v>20224</v>
      </c>
      <c r="I3305" s="12" t="s">
        <v>4506</v>
      </c>
      <c r="J3305" s="1285"/>
      <c r="K3305" s="1285"/>
      <c r="L3305" s="1285"/>
    </row>
    <row r="3306" spans="1:12" ht="11.15" customHeight="1">
      <c r="A3306" s="185"/>
      <c r="B3306" s="90"/>
      <c r="C3306" s="147"/>
      <c r="D3306" s="161"/>
      <c r="E3306" s="36"/>
      <c r="F3306" s="183"/>
      <c r="G3306" s="496"/>
      <c r="H3306" s="34"/>
      <c r="I3306" s="11"/>
    </row>
    <row r="3307" spans="1:12" ht="9" customHeight="1">
      <c r="A3307" s="162"/>
      <c r="B3307" s="209" t="s">
        <v>4507</v>
      </c>
      <c r="C3307" s="147"/>
      <c r="D3307" s="209"/>
      <c r="E3307" s="210"/>
      <c r="F3307" s="209"/>
      <c r="G3307" s="1190"/>
      <c r="H3307" s="216"/>
      <c r="I3307" s="11"/>
    </row>
    <row r="3308" spans="1:12" ht="9" customHeight="1">
      <c r="A3308" s="162"/>
      <c r="B3308" s="150" t="s">
        <v>4508</v>
      </c>
      <c r="C3308" s="147"/>
      <c r="D3308" s="209"/>
      <c r="E3308" s="210"/>
      <c r="F3308" s="209"/>
      <c r="G3308" s="1190"/>
      <c r="H3308" s="216"/>
      <c r="I3308" s="11"/>
    </row>
    <row r="3309" spans="1:12" ht="9" customHeight="1">
      <c r="A3309" s="162"/>
      <c r="B3309" s="150" t="s">
        <v>4509</v>
      </c>
      <c r="C3309" s="147"/>
      <c r="D3309" s="209"/>
      <c r="E3309" s="210"/>
      <c r="F3309" s="209"/>
      <c r="G3309" s="1190"/>
      <c r="H3309" s="216"/>
      <c r="I3309" s="11"/>
    </row>
    <row r="3310" spans="1:12" ht="9" customHeight="1" thickBot="1">
      <c r="A3310" s="162"/>
      <c r="B3310" s="150" t="s">
        <v>4510</v>
      </c>
      <c r="C3310" s="147"/>
      <c r="D3310" s="209"/>
      <c r="E3310" s="210"/>
      <c r="F3310" s="209"/>
      <c r="G3310" s="1190"/>
      <c r="H3310" s="216"/>
      <c r="I3310" s="11"/>
    </row>
    <row r="3311" spans="1:12" ht="11.15" customHeight="1">
      <c r="A3311" s="153" t="s">
        <v>4511</v>
      </c>
      <c r="B3311" s="154" t="s">
        <v>4512</v>
      </c>
      <c r="C3311" s="147"/>
      <c r="D3311" s="185"/>
      <c r="E3311" s="185"/>
      <c r="F3311" s="185"/>
      <c r="G3311" s="185"/>
      <c r="H3311" s="185"/>
      <c r="I3311" s="11"/>
    </row>
    <row r="3312" spans="1:12" ht="11.15" customHeight="1" thickBot="1">
      <c r="A3312" s="230" t="s">
        <v>4513</v>
      </c>
      <c r="B3312" s="59" t="s">
        <v>20752</v>
      </c>
      <c r="C3312" s="147" t="s">
        <v>20221</v>
      </c>
      <c r="D3312" s="701" t="s">
        <v>1129</v>
      </c>
      <c r="E3312" s="178">
        <v>2023</v>
      </c>
      <c r="F3312" s="178" t="s">
        <v>4520</v>
      </c>
      <c r="G3312" s="496"/>
      <c r="H3312" s="994" t="s">
        <v>20221</v>
      </c>
      <c r="I3312" s="12" t="s">
        <v>4514</v>
      </c>
      <c r="J3312" s="1285"/>
      <c r="K3312" s="1285"/>
      <c r="L3312" s="1285"/>
    </row>
    <row r="3313" spans="1:12" ht="11.15" customHeight="1">
      <c r="A3313" s="29" t="s">
        <v>4515</v>
      </c>
      <c r="B3313" s="59" t="s">
        <v>20752</v>
      </c>
      <c r="C3313" s="147" t="s">
        <v>20221</v>
      </c>
      <c r="D3313" s="701" t="s">
        <v>1129</v>
      </c>
      <c r="E3313" s="178">
        <v>2022</v>
      </c>
      <c r="F3313" s="178" t="s">
        <v>4520</v>
      </c>
      <c r="G3313" s="496"/>
      <c r="H3313" s="994" t="s">
        <v>20221</v>
      </c>
      <c r="I3313" s="12" t="s">
        <v>4103</v>
      </c>
      <c r="J3313" s="1285"/>
      <c r="K3313" s="1285"/>
      <c r="L3313" s="1285"/>
    </row>
    <row r="3314" spans="1:12" ht="11.15" customHeight="1">
      <c r="A3314" s="29" t="s">
        <v>4516</v>
      </c>
      <c r="B3314" s="154" t="s">
        <v>4517</v>
      </c>
      <c r="C3314" s="147"/>
      <c r="D3314" s="185"/>
      <c r="E3314" s="185"/>
      <c r="F3314" s="185"/>
      <c r="G3314" s="185"/>
      <c r="H3314" s="185"/>
      <c r="I3314" s="11"/>
    </row>
    <row r="3315" spans="1:12" ht="11.15" customHeight="1">
      <c r="A3315" s="181" t="s">
        <v>4518</v>
      </c>
      <c r="B3315" s="90" t="s">
        <v>4519</v>
      </c>
      <c r="C3315" s="147" t="s">
        <v>20221</v>
      </c>
      <c r="D3315" s="284" t="s">
        <v>897</v>
      </c>
      <c r="E3315" s="178">
        <v>2022</v>
      </c>
      <c r="F3315" s="178" t="s">
        <v>4520</v>
      </c>
      <c r="G3315" s="496"/>
      <c r="H3315" s="36"/>
      <c r="I3315" s="11" t="s">
        <v>4521</v>
      </c>
      <c r="J3315" s="1285"/>
      <c r="K3315" s="1285"/>
      <c r="L3315" s="1285"/>
    </row>
    <row r="3316" spans="1:12" ht="11.15" customHeight="1">
      <c r="A3316" s="29" t="s">
        <v>4522</v>
      </c>
      <c r="B3316" s="90" t="s">
        <v>4519</v>
      </c>
      <c r="C3316" s="147" t="s">
        <v>20221</v>
      </c>
      <c r="D3316" s="284" t="s">
        <v>897</v>
      </c>
      <c r="E3316" s="178">
        <v>2021</v>
      </c>
      <c r="F3316" s="178" t="s">
        <v>4520</v>
      </c>
      <c r="G3316" s="496"/>
      <c r="H3316" s="36"/>
      <c r="I3316" s="11" t="s">
        <v>4523</v>
      </c>
      <c r="J3316" s="1285"/>
      <c r="K3316" s="1285"/>
      <c r="L3316" s="1285"/>
    </row>
    <row r="3317" spans="1:12" ht="11.15" customHeight="1">
      <c r="A3317" s="29" t="s">
        <v>4524</v>
      </c>
      <c r="B3317" s="90" t="s">
        <v>4519</v>
      </c>
      <c r="C3317" s="147" t="s">
        <v>20221</v>
      </c>
      <c r="D3317" s="284" t="s">
        <v>897</v>
      </c>
      <c r="E3317" s="178">
        <v>2020</v>
      </c>
      <c r="F3317" s="178" t="s">
        <v>4520</v>
      </c>
      <c r="G3317" s="496"/>
      <c r="H3317" s="36"/>
      <c r="I3317" s="11" t="s">
        <v>4525</v>
      </c>
      <c r="J3317" s="1285"/>
      <c r="K3317" s="1285"/>
      <c r="L3317" s="1285"/>
    </row>
    <row r="3318" spans="1:12" ht="11.15" customHeight="1">
      <c r="A3318" s="129" t="s">
        <v>4526</v>
      </c>
      <c r="B3318" s="90" t="s">
        <v>4519</v>
      </c>
      <c r="C3318" s="147" t="s">
        <v>20221</v>
      </c>
      <c r="D3318" s="284" t="s">
        <v>897</v>
      </c>
      <c r="E3318" s="178">
        <v>2018</v>
      </c>
      <c r="F3318" s="178" t="s">
        <v>4520</v>
      </c>
      <c r="G3318" s="496"/>
      <c r="H3318" s="36"/>
      <c r="I3318" s="11" t="s">
        <v>4527</v>
      </c>
      <c r="J3318" s="1285"/>
      <c r="K3318" s="1285"/>
      <c r="L3318" s="1285"/>
    </row>
    <row r="3319" spans="1:12" ht="11.15" customHeight="1">
      <c r="A3319" s="162" t="s">
        <v>4528</v>
      </c>
      <c r="B3319" s="90" t="s">
        <v>4519</v>
      </c>
      <c r="C3319" s="147" t="s">
        <v>20221</v>
      </c>
      <c r="D3319" s="284" t="s">
        <v>897</v>
      </c>
      <c r="E3319" s="178">
        <v>2017</v>
      </c>
      <c r="F3319" s="178" t="s">
        <v>4520</v>
      </c>
      <c r="G3319" s="496"/>
      <c r="H3319" s="36"/>
      <c r="I3319" s="11" t="s">
        <v>4529</v>
      </c>
      <c r="J3319" s="1285"/>
      <c r="K3319" s="1285"/>
      <c r="L3319" s="1285"/>
    </row>
    <row r="3320" spans="1:12" ht="11.15" customHeight="1">
      <c r="A3320" s="162" t="s">
        <v>4530</v>
      </c>
      <c r="B3320" s="90" t="s">
        <v>4519</v>
      </c>
      <c r="C3320" s="147" t="s">
        <v>20221</v>
      </c>
      <c r="D3320" s="284" t="s">
        <v>897</v>
      </c>
      <c r="E3320" s="178">
        <v>2016</v>
      </c>
      <c r="F3320" s="178" t="s">
        <v>4520</v>
      </c>
      <c r="G3320" s="496"/>
      <c r="H3320" s="36"/>
      <c r="I3320" s="11" t="s">
        <v>4531</v>
      </c>
      <c r="J3320" s="1285"/>
      <c r="K3320" s="1285"/>
      <c r="L3320" s="1285"/>
    </row>
    <row r="3321" spans="1:12" ht="11.15" customHeight="1">
      <c r="A3321" s="162" t="s">
        <v>4532</v>
      </c>
      <c r="B3321" s="59" t="s">
        <v>6176</v>
      </c>
      <c r="C3321" s="147" t="s">
        <v>20221</v>
      </c>
      <c r="D3321" s="284" t="s">
        <v>897</v>
      </c>
      <c r="E3321" s="178">
        <v>2022</v>
      </c>
      <c r="F3321" s="178" t="s">
        <v>4520</v>
      </c>
      <c r="G3321" s="496"/>
      <c r="H3321" s="994" t="s">
        <v>20221</v>
      </c>
      <c r="I3321" s="12" t="s">
        <v>4533</v>
      </c>
      <c r="J3321" s="1285"/>
      <c r="K3321" s="1285"/>
      <c r="L3321" s="1285"/>
    </row>
    <row r="3322" spans="1:12" ht="11.15" customHeight="1">
      <c r="A3322" s="355" t="s">
        <v>4534</v>
      </c>
      <c r="B3322" s="59" t="s">
        <v>6176</v>
      </c>
      <c r="C3322" s="147" t="s">
        <v>20221</v>
      </c>
      <c r="D3322" s="284" t="s">
        <v>897</v>
      </c>
      <c r="E3322" s="178">
        <v>2019</v>
      </c>
      <c r="F3322" s="178" t="s">
        <v>4520</v>
      </c>
      <c r="G3322" s="496"/>
      <c r="H3322" s="994" t="s">
        <v>20224</v>
      </c>
      <c r="I3322" s="12" t="s">
        <v>4535</v>
      </c>
      <c r="J3322" s="1285"/>
      <c r="K3322" s="1285"/>
      <c r="L3322" s="1285"/>
    </row>
    <row r="3323" spans="1:12" ht="11.15" customHeight="1">
      <c r="A3323" s="162" t="s">
        <v>4536</v>
      </c>
      <c r="B3323" s="59" t="s">
        <v>20753</v>
      </c>
      <c r="C3323" s="147" t="s">
        <v>20221</v>
      </c>
      <c r="D3323" s="284" t="s">
        <v>897</v>
      </c>
      <c r="E3323" s="178">
        <v>2022</v>
      </c>
      <c r="F3323" s="178" t="s">
        <v>4520</v>
      </c>
      <c r="G3323" s="496"/>
      <c r="H3323" s="994" t="s">
        <v>20221</v>
      </c>
      <c r="I3323" s="12" t="s">
        <v>4537</v>
      </c>
      <c r="J3323" s="1285"/>
      <c r="K3323" s="1285"/>
      <c r="L3323" s="1285"/>
    </row>
    <row r="3324" spans="1:12" ht="11.15" customHeight="1">
      <c r="A3324" s="162" t="s">
        <v>4538</v>
      </c>
      <c r="B3324" s="59" t="s">
        <v>20753</v>
      </c>
      <c r="C3324" s="147" t="s">
        <v>20221</v>
      </c>
      <c r="D3324" s="284" t="s">
        <v>897</v>
      </c>
      <c r="E3324" s="178">
        <v>2021</v>
      </c>
      <c r="F3324" s="178" t="s">
        <v>4520</v>
      </c>
      <c r="G3324" s="496"/>
      <c r="H3324" s="994" t="s">
        <v>20221</v>
      </c>
      <c r="I3324" s="12" t="s">
        <v>4539</v>
      </c>
      <c r="J3324" s="1285"/>
      <c r="K3324" s="1285"/>
      <c r="L3324" s="1285"/>
    </row>
    <row r="3325" spans="1:12" ht="11.15" customHeight="1">
      <c r="A3325" s="355" t="s">
        <v>4540</v>
      </c>
      <c r="B3325" s="59" t="s">
        <v>20754</v>
      </c>
      <c r="C3325" s="147" t="s">
        <v>20221</v>
      </c>
      <c r="D3325" s="284" t="s">
        <v>897</v>
      </c>
      <c r="E3325" s="178">
        <v>2022</v>
      </c>
      <c r="F3325" s="178" t="s">
        <v>4520</v>
      </c>
      <c r="G3325" s="496"/>
      <c r="H3325" s="994" t="s">
        <v>20221</v>
      </c>
      <c r="I3325" s="12" t="s">
        <v>4541</v>
      </c>
      <c r="J3325" s="1285"/>
      <c r="K3325" s="1285"/>
      <c r="L3325" s="1285"/>
    </row>
    <row r="3326" spans="1:12" ht="11.15" customHeight="1">
      <c r="A3326" s="162" t="s">
        <v>4542</v>
      </c>
      <c r="B3326" s="59" t="s">
        <v>20754</v>
      </c>
      <c r="C3326" s="147" t="s">
        <v>20221</v>
      </c>
      <c r="D3326" s="284" t="s">
        <v>897</v>
      </c>
      <c r="E3326" s="178">
        <v>2021</v>
      </c>
      <c r="F3326" s="178" t="s">
        <v>4520</v>
      </c>
      <c r="G3326" s="496"/>
      <c r="H3326" s="994" t="s">
        <v>20221</v>
      </c>
      <c r="I3326" s="12" t="s">
        <v>4543</v>
      </c>
      <c r="J3326" s="1285"/>
      <c r="K3326" s="1285"/>
      <c r="L3326" s="1285"/>
    </row>
    <row r="3327" spans="1:12" ht="11.15" customHeight="1">
      <c r="A3327" s="162" t="s">
        <v>4544</v>
      </c>
      <c r="B3327" s="59" t="s">
        <v>20755</v>
      </c>
      <c r="C3327" s="147" t="s">
        <v>20221</v>
      </c>
      <c r="D3327" s="284" t="s">
        <v>897</v>
      </c>
      <c r="E3327" s="178">
        <v>2022</v>
      </c>
      <c r="F3327" s="178" t="s">
        <v>4520</v>
      </c>
      <c r="G3327" s="496"/>
      <c r="H3327" s="994" t="s">
        <v>20221</v>
      </c>
      <c r="I3327" s="12" t="s">
        <v>4545</v>
      </c>
      <c r="J3327" s="1285"/>
      <c r="K3327" s="1285"/>
      <c r="L3327" s="1285"/>
    </row>
    <row r="3328" spans="1:12" ht="11.15" customHeight="1">
      <c r="A3328" s="355" t="s">
        <v>4546</v>
      </c>
      <c r="B3328" s="59" t="s">
        <v>20755</v>
      </c>
      <c r="C3328" s="147" t="s">
        <v>20221</v>
      </c>
      <c r="D3328" s="284" t="s">
        <v>897</v>
      </c>
      <c r="E3328" s="178">
        <v>2021</v>
      </c>
      <c r="F3328" s="178" t="s">
        <v>4520</v>
      </c>
      <c r="G3328" s="496"/>
      <c r="H3328" s="994" t="s">
        <v>20221</v>
      </c>
      <c r="I3328" s="12" t="s">
        <v>4547</v>
      </c>
      <c r="J3328" s="1285"/>
      <c r="K3328" s="1285"/>
      <c r="L3328" s="1285"/>
    </row>
    <row r="3329" spans="1:12" ht="11.25" customHeight="1">
      <c r="A3329" s="162" t="s">
        <v>4548</v>
      </c>
      <c r="B3329" s="154" t="s">
        <v>4195</v>
      </c>
      <c r="C3329" s="147"/>
      <c r="D3329" s="150"/>
      <c r="E3329" s="210"/>
      <c r="F3329" s="150"/>
      <c r="G3329" s="1190"/>
      <c r="H3329" s="210"/>
      <c r="I3329" s="11"/>
    </row>
    <row r="3330" spans="1:12" ht="11.25" customHeight="1">
      <c r="A3330" s="162" t="s">
        <v>4549</v>
      </c>
      <c r="B3330" s="59" t="s">
        <v>20741</v>
      </c>
      <c r="C3330" s="147" t="s">
        <v>20221</v>
      </c>
      <c r="D3330" s="284" t="s">
        <v>897</v>
      </c>
      <c r="E3330" s="178">
        <v>2022</v>
      </c>
      <c r="F3330" s="178" t="s">
        <v>4520</v>
      </c>
      <c r="G3330" s="496"/>
      <c r="H3330" s="994" t="s">
        <v>20224</v>
      </c>
      <c r="I3330" s="11" t="s">
        <v>4550</v>
      </c>
      <c r="J3330" s="1285"/>
      <c r="K3330" s="1285"/>
      <c r="L3330" s="1285"/>
    </row>
    <row r="3331" spans="1:12" ht="11.25" customHeight="1">
      <c r="A3331" s="129" t="s">
        <v>1077</v>
      </c>
      <c r="B3331" s="59" t="s">
        <v>20758</v>
      </c>
      <c r="C3331" s="147" t="s">
        <v>20221</v>
      </c>
      <c r="D3331" s="284" t="s">
        <v>897</v>
      </c>
      <c r="E3331" s="178">
        <v>2022</v>
      </c>
      <c r="F3331" s="178" t="s">
        <v>4520</v>
      </c>
      <c r="G3331" s="496"/>
      <c r="H3331" s="994" t="s">
        <v>20224</v>
      </c>
      <c r="I3331" s="11" t="s">
        <v>4551</v>
      </c>
      <c r="J3331" s="1285"/>
      <c r="K3331" s="1285"/>
      <c r="L3331" s="1285"/>
    </row>
    <row r="3332" spans="1:12" ht="11.25" customHeight="1">
      <c r="A3332" s="162" t="s">
        <v>4552</v>
      </c>
      <c r="B3332" s="59" t="s">
        <v>20757</v>
      </c>
      <c r="C3332" s="147" t="s">
        <v>20221</v>
      </c>
      <c r="D3332" s="284" t="s">
        <v>897</v>
      </c>
      <c r="E3332" s="178">
        <v>2022</v>
      </c>
      <c r="F3332" s="178" t="s">
        <v>4520</v>
      </c>
      <c r="G3332" s="496"/>
      <c r="H3332" s="994" t="s">
        <v>20221</v>
      </c>
      <c r="I3332" s="11" t="s">
        <v>4553</v>
      </c>
      <c r="J3332" s="1285"/>
      <c r="K3332" s="1285"/>
      <c r="L3332" s="1285"/>
    </row>
    <row r="3333" spans="1:12" ht="11.25" customHeight="1">
      <c r="A3333" s="162" t="s">
        <v>4554</v>
      </c>
      <c r="B3333" s="59" t="s">
        <v>20757</v>
      </c>
      <c r="C3333" s="147" t="s">
        <v>20221</v>
      </c>
      <c r="D3333" s="284" t="s">
        <v>897</v>
      </c>
      <c r="E3333" s="178">
        <v>2018</v>
      </c>
      <c r="F3333" s="178" t="s">
        <v>4520</v>
      </c>
      <c r="G3333" s="496"/>
      <c r="H3333" s="994" t="s">
        <v>20224</v>
      </c>
      <c r="I3333" s="11" t="s">
        <v>4555</v>
      </c>
      <c r="J3333" s="1285"/>
      <c r="K3333" s="1285"/>
      <c r="L3333" s="1285"/>
    </row>
    <row r="3334" spans="1:12" ht="11.25" customHeight="1">
      <c r="A3334" s="162" t="s">
        <v>4556</v>
      </c>
      <c r="B3334" s="59" t="s">
        <v>20756</v>
      </c>
      <c r="C3334" s="147" t="s">
        <v>20221</v>
      </c>
      <c r="D3334" s="284" t="s">
        <v>897</v>
      </c>
      <c r="E3334" s="178">
        <v>2022</v>
      </c>
      <c r="F3334" s="178" t="s">
        <v>4520</v>
      </c>
      <c r="G3334" s="496"/>
      <c r="H3334" s="994" t="s">
        <v>20224</v>
      </c>
      <c r="I3334" s="11" t="s">
        <v>4557</v>
      </c>
      <c r="J3334" s="1285"/>
      <c r="K3334" s="1285"/>
      <c r="L3334" s="1285"/>
    </row>
    <row r="3335" spans="1:12" ht="11.25" customHeight="1">
      <c r="A3335" s="162" t="s">
        <v>4558</v>
      </c>
      <c r="B3335" s="154" t="s">
        <v>4231</v>
      </c>
      <c r="C3335" s="147"/>
      <c r="D3335" s="161"/>
      <c r="E3335" s="36"/>
      <c r="F3335" s="178"/>
      <c r="G3335" s="497"/>
      <c r="H3335" s="36"/>
      <c r="I3335" s="11"/>
    </row>
    <row r="3336" spans="1:12" ht="11.25" customHeight="1">
      <c r="A3336" s="162" t="s">
        <v>4559</v>
      </c>
      <c r="B3336" s="59" t="s">
        <v>20759</v>
      </c>
      <c r="C3336" s="147" t="s">
        <v>20221</v>
      </c>
      <c r="D3336" s="284" t="s">
        <v>897</v>
      </c>
      <c r="E3336" s="178">
        <v>2022</v>
      </c>
      <c r="F3336" s="178" t="s">
        <v>4520</v>
      </c>
      <c r="G3336" s="496"/>
      <c r="H3336" s="994" t="s">
        <v>20224</v>
      </c>
      <c r="I3336" s="11" t="s">
        <v>4560</v>
      </c>
      <c r="J3336" s="1285"/>
      <c r="K3336" s="1285"/>
      <c r="L3336" s="1285"/>
    </row>
    <row r="3337" spans="1:12" ht="11.25" customHeight="1">
      <c r="A3337" s="162" t="s">
        <v>4561</v>
      </c>
      <c r="B3337" s="59" t="s">
        <v>20760</v>
      </c>
      <c r="C3337" s="147" t="s">
        <v>20221</v>
      </c>
      <c r="D3337" s="284" t="s">
        <v>897</v>
      </c>
      <c r="E3337" s="178">
        <v>2022</v>
      </c>
      <c r="F3337" s="178" t="s">
        <v>4520</v>
      </c>
      <c r="G3337" s="496"/>
      <c r="H3337" s="994" t="s">
        <v>20224</v>
      </c>
      <c r="I3337" s="11" t="s">
        <v>4562</v>
      </c>
      <c r="J3337" s="1285"/>
      <c r="K3337" s="1285"/>
      <c r="L3337" s="1285"/>
    </row>
    <row r="3338" spans="1:12" ht="11.25" customHeight="1">
      <c r="A3338" s="162" t="s">
        <v>4563</v>
      </c>
      <c r="B3338" s="59" t="s">
        <v>20761</v>
      </c>
      <c r="C3338" s="147" t="s">
        <v>20221</v>
      </c>
      <c r="D3338" s="284" t="s">
        <v>897</v>
      </c>
      <c r="E3338" s="178">
        <v>2022</v>
      </c>
      <c r="F3338" s="178" t="s">
        <v>4520</v>
      </c>
      <c r="G3338" s="496"/>
      <c r="H3338" s="994" t="s">
        <v>20224</v>
      </c>
      <c r="I3338" s="11" t="s">
        <v>4564</v>
      </c>
      <c r="J3338" s="1285"/>
      <c r="K3338" s="1285"/>
      <c r="L3338" s="1285"/>
    </row>
    <row r="3339" spans="1:12" ht="11.25" customHeight="1">
      <c r="A3339" s="162" t="s">
        <v>4565</v>
      </c>
      <c r="B3339" s="59" t="s">
        <v>20762</v>
      </c>
      <c r="C3339" s="147" t="s">
        <v>20221</v>
      </c>
      <c r="D3339" s="284" t="s">
        <v>897</v>
      </c>
      <c r="E3339" s="178" t="s">
        <v>20221</v>
      </c>
      <c r="F3339" s="178" t="s">
        <v>4520</v>
      </c>
      <c r="G3339" s="496" t="s">
        <v>20221</v>
      </c>
      <c r="H3339" s="994" t="s">
        <v>3907</v>
      </c>
      <c r="I3339" s="11" t="s">
        <v>4566</v>
      </c>
      <c r="J3339" s="1285"/>
      <c r="K3339" s="1285"/>
      <c r="L3339" s="1285"/>
    </row>
    <row r="3340" spans="1:12" ht="11.25" customHeight="1">
      <c r="A3340" s="162" t="s">
        <v>4567</v>
      </c>
      <c r="B3340" s="59" t="s">
        <v>20763</v>
      </c>
      <c r="C3340" s="147" t="s">
        <v>20221</v>
      </c>
      <c r="D3340" s="284" t="s">
        <v>897</v>
      </c>
      <c r="E3340" s="178" t="s">
        <v>20221</v>
      </c>
      <c r="F3340" s="178" t="s">
        <v>4520</v>
      </c>
      <c r="G3340" s="496" t="s">
        <v>20221</v>
      </c>
      <c r="H3340" s="994" t="s">
        <v>3907</v>
      </c>
      <c r="I3340" s="11" t="s">
        <v>4568</v>
      </c>
      <c r="J3340" s="1285"/>
      <c r="K3340" s="1285"/>
      <c r="L3340" s="1285"/>
    </row>
    <row r="3341" spans="1:12" ht="11.25" customHeight="1">
      <c r="A3341" s="162" t="s">
        <v>4569</v>
      </c>
      <c r="B3341" s="59" t="s">
        <v>20764</v>
      </c>
      <c r="C3341" s="147" t="s">
        <v>20221</v>
      </c>
      <c r="D3341" s="284" t="s">
        <v>897</v>
      </c>
      <c r="E3341" s="178">
        <v>2022</v>
      </c>
      <c r="F3341" s="178" t="s">
        <v>4520</v>
      </c>
      <c r="G3341" s="496"/>
      <c r="H3341" s="994" t="s">
        <v>20221</v>
      </c>
      <c r="I3341" s="11" t="s">
        <v>4570</v>
      </c>
      <c r="J3341" s="1285"/>
      <c r="K3341" s="1285"/>
      <c r="L3341" s="1285"/>
    </row>
    <row r="3342" spans="1:12" ht="11.25" customHeight="1">
      <c r="A3342" s="162" t="s">
        <v>4571</v>
      </c>
      <c r="B3342" s="154" t="s">
        <v>4255</v>
      </c>
      <c r="C3342" s="147"/>
      <c r="D3342" s="161"/>
      <c r="E3342" s="36"/>
      <c r="F3342" s="178"/>
      <c r="G3342" s="497"/>
      <c r="H3342" s="36"/>
      <c r="I3342" s="11"/>
    </row>
    <row r="3343" spans="1:12" ht="11.25" customHeight="1">
      <c r="A3343" s="129" t="s">
        <v>4572</v>
      </c>
      <c r="B3343" s="59" t="s">
        <v>20765</v>
      </c>
      <c r="C3343" s="147" t="s">
        <v>20221</v>
      </c>
      <c r="D3343" s="284" t="s">
        <v>897</v>
      </c>
      <c r="E3343" s="178">
        <v>2021</v>
      </c>
      <c r="F3343" s="178" t="s">
        <v>23394</v>
      </c>
      <c r="G3343" s="496"/>
      <c r="H3343" s="994" t="s">
        <v>20224</v>
      </c>
      <c r="I3343" s="11" t="s">
        <v>4573</v>
      </c>
      <c r="J3343" s="1285"/>
      <c r="K3343" s="1285"/>
      <c r="L3343" s="1285"/>
    </row>
    <row r="3344" spans="1:12" ht="9" customHeight="1">
      <c r="A3344" s="129"/>
      <c r="B3344" s="154"/>
      <c r="C3344" s="147"/>
      <c r="D3344" s="122"/>
      <c r="E3344" s="185"/>
      <c r="F3344" s="185"/>
      <c r="G3344" s="417"/>
      <c r="H3344" s="185"/>
      <c r="I3344" s="11"/>
    </row>
    <row r="3345" spans="1:12" ht="9" customHeight="1">
      <c r="A3345" s="29"/>
      <c r="B3345" s="90"/>
      <c r="C3345" s="147"/>
      <c r="D3345" s="161"/>
      <c r="E3345" s="36"/>
      <c r="F3345" s="183"/>
      <c r="G3345" s="496"/>
      <c r="H3345" s="34"/>
      <c r="I3345" s="11"/>
    </row>
    <row r="3346" spans="1:12" ht="9" customHeight="1" thickBot="1">
      <c r="A3346" s="129"/>
      <c r="B3346" s="293" t="s">
        <v>4574</v>
      </c>
      <c r="C3346" s="147"/>
      <c r="D3346" s="161"/>
      <c r="E3346" s="36"/>
      <c r="F3346" s="178"/>
      <c r="G3346" s="496"/>
      <c r="H3346" s="36"/>
      <c r="I3346" s="11"/>
    </row>
    <row r="3347" spans="1:12" ht="11.15" customHeight="1">
      <c r="A3347" s="153" t="s">
        <v>4575</v>
      </c>
      <c r="B3347" s="177" t="s">
        <v>4576</v>
      </c>
      <c r="C3347" s="147"/>
      <c r="D3347" s="122"/>
      <c r="E3347" s="36"/>
      <c r="F3347" s="178"/>
      <c r="G3347" s="453"/>
      <c r="H3347" s="178"/>
      <c r="I3347" s="11"/>
    </row>
    <row r="3348" spans="1:12" ht="11.15" customHeight="1" thickBot="1">
      <c r="A3348" s="230" t="s">
        <v>4577</v>
      </c>
      <c r="B3348" s="59" t="s">
        <v>20767</v>
      </c>
      <c r="C3348" s="147" t="s">
        <v>20221</v>
      </c>
      <c r="D3348" s="284" t="s">
        <v>897</v>
      </c>
      <c r="E3348" s="178">
        <v>2022</v>
      </c>
      <c r="F3348" s="178" t="s">
        <v>7168</v>
      </c>
      <c r="G3348" s="496"/>
      <c r="H3348" s="994" t="s">
        <v>20221</v>
      </c>
      <c r="I3348" s="12" t="s">
        <v>4578</v>
      </c>
      <c r="J3348" s="1285"/>
      <c r="K3348" s="1285"/>
      <c r="L3348" s="1285"/>
    </row>
    <row r="3349" spans="1:12" ht="11.15" customHeight="1">
      <c r="A3349" s="29" t="s">
        <v>4579</v>
      </c>
      <c r="B3349" s="59" t="s">
        <v>20767</v>
      </c>
      <c r="C3349" s="147" t="s">
        <v>20221</v>
      </c>
      <c r="D3349" s="284" t="s">
        <v>897</v>
      </c>
      <c r="E3349" s="178">
        <v>2020</v>
      </c>
      <c r="F3349" s="178" t="s">
        <v>7168</v>
      </c>
      <c r="G3349" s="496"/>
      <c r="H3349" s="994" t="s">
        <v>20221</v>
      </c>
      <c r="I3349" s="12" t="s">
        <v>4580</v>
      </c>
      <c r="J3349" s="1285"/>
      <c r="K3349" s="1285"/>
      <c r="L3349" s="1285"/>
    </row>
    <row r="3350" spans="1:12" ht="11.15" customHeight="1">
      <c r="A3350" s="137" t="s">
        <v>4581</v>
      </c>
      <c r="B3350" s="59" t="s">
        <v>20767</v>
      </c>
      <c r="C3350" s="147" t="s">
        <v>20221</v>
      </c>
      <c r="D3350" s="284" t="s">
        <v>897</v>
      </c>
      <c r="E3350" s="178">
        <v>2019</v>
      </c>
      <c r="F3350" s="178" t="s">
        <v>7168</v>
      </c>
      <c r="G3350" s="496"/>
      <c r="H3350" s="994" t="s">
        <v>20221</v>
      </c>
      <c r="I3350" s="12" t="s">
        <v>4582</v>
      </c>
      <c r="J3350" s="1285"/>
      <c r="K3350" s="1285"/>
      <c r="L3350" s="1285"/>
    </row>
    <row r="3351" spans="1:12" ht="11.15" customHeight="1">
      <c r="A3351" s="129" t="s">
        <v>4583</v>
      </c>
      <c r="B3351" s="59" t="s">
        <v>20767</v>
      </c>
      <c r="C3351" s="147" t="s">
        <v>20221</v>
      </c>
      <c r="D3351" s="284" t="s">
        <v>897</v>
      </c>
      <c r="E3351" s="178">
        <v>2017</v>
      </c>
      <c r="F3351" s="178" t="s">
        <v>7168</v>
      </c>
      <c r="G3351" s="496"/>
      <c r="H3351" s="994" t="s">
        <v>20221</v>
      </c>
      <c r="I3351" s="12" t="s">
        <v>4584</v>
      </c>
      <c r="J3351" s="1285"/>
      <c r="K3351" s="1285"/>
      <c r="L3351" s="1285"/>
    </row>
    <row r="3352" spans="1:12" ht="11.15" customHeight="1">
      <c r="A3352" s="162" t="s">
        <v>4585</v>
      </c>
      <c r="B3352" s="177" t="s">
        <v>4586</v>
      </c>
      <c r="C3352" s="147"/>
      <c r="D3352" s="161"/>
      <c r="E3352" s="36"/>
      <c r="F3352" s="183"/>
      <c r="G3352" s="496"/>
      <c r="H3352" s="183"/>
      <c r="I3352" s="11"/>
    </row>
    <row r="3353" spans="1:12" ht="11.15" customHeight="1">
      <c r="A3353" s="162" t="s">
        <v>4587</v>
      </c>
      <c r="B3353" s="59" t="s">
        <v>20768</v>
      </c>
      <c r="C3353" s="147" t="s">
        <v>20221</v>
      </c>
      <c r="D3353" s="284" t="s">
        <v>897</v>
      </c>
      <c r="E3353" s="178">
        <v>2022</v>
      </c>
      <c r="F3353" s="178" t="s">
        <v>4520</v>
      </c>
      <c r="G3353" s="496"/>
      <c r="H3353" s="994" t="s">
        <v>20221</v>
      </c>
      <c r="I3353" s="12" t="s">
        <v>4588</v>
      </c>
      <c r="J3353" s="1285"/>
      <c r="K3353" s="1285"/>
      <c r="L3353" s="1285"/>
    </row>
    <row r="3354" spans="1:12" ht="11.15" customHeight="1">
      <c r="A3354" s="162" t="s">
        <v>4589</v>
      </c>
      <c r="B3354" s="59" t="s">
        <v>20768</v>
      </c>
      <c r="C3354" s="147" t="s">
        <v>20221</v>
      </c>
      <c r="D3354" s="284" t="s">
        <v>897</v>
      </c>
      <c r="E3354" s="178">
        <v>2021</v>
      </c>
      <c r="F3354" s="178" t="s">
        <v>4520</v>
      </c>
      <c r="G3354" s="496"/>
      <c r="H3354" s="994" t="s">
        <v>20221</v>
      </c>
      <c r="I3354" s="12" t="s">
        <v>4590</v>
      </c>
      <c r="J3354" s="1285"/>
      <c r="K3354" s="1285"/>
      <c r="L3354" s="1285"/>
    </row>
    <row r="3355" spans="1:12" ht="11.15" customHeight="1">
      <c r="A3355" s="162" t="s">
        <v>4591</v>
      </c>
      <c r="B3355" s="59" t="s">
        <v>20768</v>
      </c>
      <c r="C3355" s="147" t="s">
        <v>20221</v>
      </c>
      <c r="D3355" s="284" t="s">
        <v>897</v>
      </c>
      <c r="E3355" s="178">
        <v>2020</v>
      </c>
      <c r="F3355" s="178" t="s">
        <v>4520</v>
      </c>
      <c r="G3355" s="496"/>
      <c r="H3355" s="994" t="s">
        <v>20221</v>
      </c>
      <c r="I3355" s="12" t="s">
        <v>4592</v>
      </c>
      <c r="J3355" s="1285"/>
      <c r="K3355" s="1285"/>
      <c r="L3355" s="1285"/>
    </row>
    <row r="3356" spans="1:12" ht="11.15" customHeight="1">
      <c r="A3356" s="162" t="s">
        <v>4593</v>
      </c>
      <c r="B3356" s="59" t="s">
        <v>20768</v>
      </c>
      <c r="C3356" s="147" t="s">
        <v>20221</v>
      </c>
      <c r="D3356" s="284" t="s">
        <v>897</v>
      </c>
      <c r="E3356" s="178">
        <v>2019</v>
      </c>
      <c r="F3356" s="178" t="s">
        <v>4520</v>
      </c>
      <c r="G3356" s="496"/>
      <c r="H3356" s="994" t="s">
        <v>20277</v>
      </c>
      <c r="I3356" s="12" t="s">
        <v>4594</v>
      </c>
      <c r="J3356" s="1285"/>
      <c r="K3356" s="1285"/>
      <c r="L3356" s="1285"/>
    </row>
    <row r="3357" spans="1:12" ht="11.15" customHeight="1">
      <c r="A3357" s="181" t="s">
        <v>1253</v>
      </c>
      <c r="B3357" s="59" t="s">
        <v>20769</v>
      </c>
      <c r="C3357" s="147" t="s">
        <v>20221</v>
      </c>
      <c r="D3357" s="284" t="s">
        <v>897</v>
      </c>
      <c r="E3357" s="178">
        <v>2014</v>
      </c>
      <c r="F3357" s="178" t="s">
        <v>4520</v>
      </c>
      <c r="G3357" s="496"/>
      <c r="H3357" s="994" t="s">
        <v>20221</v>
      </c>
      <c r="I3357" s="12" t="s">
        <v>4595</v>
      </c>
      <c r="J3357" s="1285"/>
      <c r="K3357" s="1285"/>
      <c r="L3357" s="1285"/>
    </row>
    <row r="3358" spans="1:12" ht="11.15" customHeight="1">
      <c r="A3358" s="129" t="s">
        <v>903</v>
      </c>
      <c r="B3358" s="59" t="s">
        <v>20770</v>
      </c>
      <c r="C3358" s="147" t="s">
        <v>20221</v>
      </c>
      <c r="D3358" s="284" t="s">
        <v>897</v>
      </c>
      <c r="E3358" s="178">
        <v>2022</v>
      </c>
      <c r="F3358" s="178" t="s">
        <v>4520</v>
      </c>
      <c r="G3358" s="496"/>
      <c r="H3358" s="994" t="s">
        <v>20221</v>
      </c>
      <c r="I3358" s="12" t="s">
        <v>4596</v>
      </c>
      <c r="J3358" s="1285"/>
      <c r="K3358" s="1285"/>
      <c r="L3358" s="1285"/>
    </row>
    <row r="3359" spans="1:12" ht="11.15" customHeight="1">
      <c r="A3359" s="162" t="s">
        <v>4597</v>
      </c>
      <c r="B3359" s="59" t="s">
        <v>20770</v>
      </c>
      <c r="C3359" s="147" t="s">
        <v>20221</v>
      </c>
      <c r="D3359" s="284" t="s">
        <v>897</v>
      </c>
      <c r="E3359" s="178">
        <v>2021</v>
      </c>
      <c r="F3359" s="178" t="s">
        <v>4520</v>
      </c>
      <c r="G3359" s="496"/>
      <c r="H3359" s="994" t="s">
        <v>20221</v>
      </c>
      <c r="I3359" s="12" t="s">
        <v>4598</v>
      </c>
      <c r="J3359" s="1285"/>
      <c r="K3359" s="1285"/>
      <c r="L3359" s="1285"/>
    </row>
    <row r="3360" spans="1:12" ht="11.15" customHeight="1">
      <c r="A3360" s="162" t="s">
        <v>4599</v>
      </c>
      <c r="B3360" s="59" t="s">
        <v>20770</v>
      </c>
      <c r="C3360" s="147" t="s">
        <v>20221</v>
      </c>
      <c r="D3360" s="284" t="s">
        <v>897</v>
      </c>
      <c r="E3360" s="178">
        <v>2020</v>
      </c>
      <c r="F3360" s="178" t="s">
        <v>4520</v>
      </c>
      <c r="G3360" s="496"/>
      <c r="H3360" s="994" t="s">
        <v>20221</v>
      </c>
      <c r="I3360" s="12" t="s">
        <v>4600</v>
      </c>
      <c r="J3360" s="1285"/>
      <c r="K3360" s="1285"/>
      <c r="L3360" s="1285"/>
    </row>
    <row r="3361" spans="1:12" ht="11.15" customHeight="1">
      <c r="A3361" s="162" t="s">
        <v>4601</v>
      </c>
      <c r="B3361" s="59" t="s">
        <v>20770</v>
      </c>
      <c r="C3361" s="147" t="s">
        <v>20221</v>
      </c>
      <c r="D3361" s="284" t="s">
        <v>897</v>
      </c>
      <c r="E3361" s="178">
        <v>2019</v>
      </c>
      <c r="F3361" s="178" t="s">
        <v>4520</v>
      </c>
      <c r="G3361" s="496"/>
      <c r="H3361" s="994" t="s">
        <v>20221</v>
      </c>
      <c r="I3361" s="12" t="s">
        <v>4602</v>
      </c>
      <c r="J3361" s="1285"/>
      <c r="K3361" s="1285"/>
      <c r="L3361" s="1285"/>
    </row>
    <row r="3362" spans="1:12" ht="11.15" customHeight="1">
      <c r="A3362" s="162" t="s">
        <v>4603</v>
      </c>
      <c r="B3362" s="59" t="s">
        <v>20770</v>
      </c>
      <c r="C3362" s="147" t="s">
        <v>20221</v>
      </c>
      <c r="D3362" s="284" t="s">
        <v>897</v>
      </c>
      <c r="E3362" s="178">
        <v>2018</v>
      </c>
      <c r="F3362" s="178" t="s">
        <v>4520</v>
      </c>
      <c r="G3362" s="496"/>
      <c r="H3362" s="994" t="s">
        <v>20221</v>
      </c>
      <c r="I3362" s="12" t="s">
        <v>4604</v>
      </c>
      <c r="J3362" s="1285"/>
      <c r="K3362" s="1285"/>
      <c r="L3362" s="1285"/>
    </row>
    <row r="3363" spans="1:12" ht="11.15" customHeight="1">
      <c r="A3363" s="162" t="s">
        <v>4605</v>
      </c>
      <c r="B3363" s="59" t="s">
        <v>20770</v>
      </c>
      <c r="C3363" s="147" t="s">
        <v>20221</v>
      </c>
      <c r="D3363" s="284" t="s">
        <v>897</v>
      </c>
      <c r="E3363" s="178">
        <v>2017</v>
      </c>
      <c r="F3363" s="178" t="s">
        <v>4520</v>
      </c>
      <c r="G3363" s="496"/>
      <c r="H3363" s="994" t="s">
        <v>20221</v>
      </c>
      <c r="I3363" s="12" t="s">
        <v>4606</v>
      </c>
      <c r="J3363" s="1285"/>
      <c r="K3363" s="1285"/>
      <c r="L3363" s="1285"/>
    </row>
    <row r="3364" spans="1:12" ht="11.15" customHeight="1">
      <c r="A3364" s="162" t="s">
        <v>4607</v>
      </c>
      <c r="B3364" s="59" t="s">
        <v>20770</v>
      </c>
      <c r="C3364" s="147" t="s">
        <v>20221</v>
      </c>
      <c r="D3364" s="284" t="s">
        <v>897</v>
      </c>
      <c r="E3364" s="178">
        <v>2016</v>
      </c>
      <c r="F3364" s="178" t="s">
        <v>4520</v>
      </c>
      <c r="G3364" s="496"/>
      <c r="H3364" s="994" t="s">
        <v>20221</v>
      </c>
      <c r="I3364" s="12" t="s">
        <v>4608</v>
      </c>
      <c r="J3364" s="1285"/>
      <c r="K3364" s="1285"/>
      <c r="L3364" s="1285"/>
    </row>
    <row r="3365" spans="1:12" ht="11.15" customHeight="1">
      <c r="A3365" s="162" t="s">
        <v>4609</v>
      </c>
      <c r="B3365" s="59" t="s">
        <v>20770</v>
      </c>
      <c r="C3365" s="147" t="s">
        <v>20221</v>
      </c>
      <c r="D3365" s="284" t="s">
        <v>897</v>
      </c>
      <c r="E3365" s="178">
        <v>2015</v>
      </c>
      <c r="F3365" s="178" t="s">
        <v>4520</v>
      </c>
      <c r="G3365" s="496"/>
      <c r="H3365" s="994" t="s">
        <v>20224</v>
      </c>
      <c r="I3365" s="12" t="s">
        <v>4610</v>
      </c>
      <c r="J3365" s="1285"/>
      <c r="K3365" s="1285"/>
      <c r="L3365" s="1285"/>
    </row>
    <row r="3366" spans="1:12" ht="11.15" customHeight="1">
      <c r="A3366" s="162" t="s">
        <v>4611</v>
      </c>
      <c r="B3366" s="59" t="s">
        <v>20770</v>
      </c>
      <c r="C3366" s="147" t="s">
        <v>20221</v>
      </c>
      <c r="D3366" s="284" t="s">
        <v>897</v>
      </c>
      <c r="E3366" s="178">
        <v>2014</v>
      </c>
      <c r="F3366" s="178" t="s">
        <v>4520</v>
      </c>
      <c r="G3366" s="496"/>
      <c r="H3366" s="994" t="s">
        <v>20221</v>
      </c>
      <c r="I3366" s="12" t="s">
        <v>4612</v>
      </c>
      <c r="J3366" s="1285"/>
      <c r="K3366" s="1285"/>
      <c r="L3366" s="1285"/>
    </row>
    <row r="3367" spans="1:12" ht="11.15" customHeight="1">
      <c r="A3367" s="162" t="s">
        <v>4613</v>
      </c>
      <c r="B3367" s="59" t="s">
        <v>20770</v>
      </c>
      <c r="C3367" s="147" t="s">
        <v>20221</v>
      </c>
      <c r="D3367" s="284" t="s">
        <v>897</v>
      </c>
      <c r="E3367" s="178">
        <v>2013</v>
      </c>
      <c r="F3367" s="178" t="s">
        <v>4520</v>
      </c>
      <c r="G3367" s="496"/>
      <c r="H3367" s="994" t="s">
        <v>20221</v>
      </c>
      <c r="I3367" s="12" t="s">
        <v>4614</v>
      </c>
      <c r="J3367" s="1285"/>
      <c r="K3367" s="1285"/>
      <c r="L3367" s="1285"/>
    </row>
    <row r="3368" spans="1:12" ht="11.15" customHeight="1">
      <c r="A3368" s="162" t="s">
        <v>4615</v>
      </c>
      <c r="B3368" s="59" t="s">
        <v>20770</v>
      </c>
      <c r="C3368" s="147" t="s">
        <v>20221</v>
      </c>
      <c r="D3368" s="284" t="s">
        <v>897</v>
      </c>
      <c r="E3368" s="178">
        <v>2012</v>
      </c>
      <c r="F3368" s="178" t="s">
        <v>4520</v>
      </c>
      <c r="G3368" s="496"/>
      <c r="H3368" s="994" t="s">
        <v>20277</v>
      </c>
      <c r="I3368" s="12" t="s">
        <v>4616</v>
      </c>
      <c r="J3368" s="1285"/>
      <c r="K3368" s="1285"/>
      <c r="L3368" s="1285"/>
    </row>
    <row r="3369" spans="1:12" ht="11.15" customHeight="1">
      <c r="A3369" s="162" t="s">
        <v>4617</v>
      </c>
      <c r="B3369" s="59" t="s">
        <v>20770</v>
      </c>
      <c r="C3369" s="147" t="s">
        <v>20221</v>
      </c>
      <c r="D3369" s="284" t="s">
        <v>897</v>
      </c>
      <c r="E3369" s="178">
        <v>2011</v>
      </c>
      <c r="F3369" s="178" t="s">
        <v>4520</v>
      </c>
      <c r="G3369" s="496"/>
      <c r="H3369" s="994" t="s">
        <v>20221</v>
      </c>
      <c r="I3369" s="12" t="s">
        <v>4618</v>
      </c>
      <c r="J3369" s="1285"/>
      <c r="K3369" s="1285"/>
      <c r="L3369" s="1285"/>
    </row>
    <row r="3370" spans="1:12" ht="11.15" customHeight="1">
      <c r="A3370" s="291" t="s">
        <v>4619</v>
      </c>
      <c r="B3370" s="177" t="s">
        <v>4620</v>
      </c>
      <c r="C3370" s="147"/>
      <c r="D3370" s="161"/>
      <c r="E3370" s="36"/>
      <c r="F3370" s="178"/>
      <c r="G3370" s="496"/>
      <c r="H3370" s="36"/>
      <c r="I3370" s="11"/>
    </row>
    <row r="3371" spans="1:12" ht="11.15" customHeight="1">
      <c r="A3371" s="291" t="s">
        <v>4621</v>
      </c>
      <c r="B3371" s="59" t="s">
        <v>20771</v>
      </c>
      <c r="C3371" s="147" t="s">
        <v>20221</v>
      </c>
      <c r="D3371" s="284" t="s">
        <v>897</v>
      </c>
      <c r="E3371" s="178">
        <v>2016</v>
      </c>
      <c r="F3371" s="178" t="s">
        <v>4520</v>
      </c>
      <c r="G3371" s="496"/>
      <c r="H3371" s="994" t="s">
        <v>20221</v>
      </c>
      <c r="I3371" s="12" t="s">
        <v>4622</v>
      </c>
      <c r="J3371" s="1285"/>
      <c r="K3371" s="1285"/>
      <c r="L3371" s="1285"/>
    </row>
    <row r="3372" spans="1:12" ht="9.75" customHeight="1">
      <c r="A3372" s="291" t="s">
        <v>4623</v>
      </c>
      <c r="B3372" s="59" t="s">
        <v>20771</v>
      </c>
      <c r="C3372" s="147" t="s">
        <v>20221</v>
      </c>
      <c r="D3372" s="284" t="s">
        <v>897</v>
      </c>
      <c r="E3372" s="178">
        <v>2015</v>
      </c>
      <c r="F3372" s="178" t="s">
        <v>4520</v>
      </c>
      <c r="G3372" s="496"/>
      <c r="H3372" s="994" t="s">
        <v>20221</v>
      </c>
      <c r="I3372" s="12" t="s">
        <v>4624</v>
      </c>
      <c r="J3372" s="1285"/>
      <c r="K3372" s="1285"/>
      <c r="L3372" s="1285"/>
    </row>
    <row r="3373" spans="1:12" ht="11.15" customHeight="1">
      <c r="A3373" s="162" t="s">
        <v>4625</v>
      </c>
      <c r="B3373" s="59" t="s">
        <v>20771</v>
      </c>
      <c r="C3373" s="147" t="s">
        <v>20221</v>
      </c>
      <c r="D3373" s="284" t="s">
        <v>897</v>
      </c>
      <c r="E3373" s="178">
        <v>2013</v>
      </c>
      <c r="F3373" s="178" t="s">
        <v>4520</v>
      </c>
      <c r="G3373" s="496"/>
      <c r="H3373" s="994" t="s">
        <v>20221</v>
      </c>
      <c r="I3373" s="12" t="s">
        <v>4626</v>
      </c>
      <c r="J3373" s="1285"/>
      <c r="K3373" s="1285"/>
      <c r="L3373" s="1285"/>
    </row>
    <row r="3374" spans="1:12" ht="11.15" customHeight="1">
      <c r="A3374" s="162" t="s">
        <v>4627</v>
      </c>
      <c r="B3374" s="59" t="s">
        <v>20772</v>
      </c>
      <c r="C3374" s="147" t="s">
        <v>20221</v>
      </c>
      <c r="D3374" s="284" t="s">
        <v>897</v>
      </c>
      <c r="E3374" s="178">
        <v>2022</v>
      </c>
      <c r="F3374" s="178" t="s">
        <v>4520</v>
      </c>
      <c r="G3374" s="496"/>
      <c r="H3374" s="994" t="s">
        <v>20221</v>
      </c>
      <c r="I3374" s="12" t="s">
        <v>4628</v>
      </c>
      <c r="J3374" s="1285"/>
      <c r="K3374" s="1285"/>
      <c r="L3374" s="1285"/>
    </row>
    <row r="3375" spans="1:12" ht="11.15" customHeight="1">
      <c r="A3375" s="162" t="s">
        <v>4629</v>
      </c>
      <c r="B3375" s="59" t="s">
        <v>20772</v>
      </c>
      <c r="C3375" s="147" t="s">
        <v>20221</v>
      </c>
      <c r="D3375" s="284" t="s">
        <v>897</v>
      </c>
      <c r="E3375" s="178">
        <v>2021</v>
      </c>
      <c r="F3375" s="178" t="s">
        <v>4520</v>
      </c>
      <c r="G3375" s="496"/>
      <c r="H3375" s="994" t="s">
        <v>20221</v>
      </c>
      <c r="I3375" s="12" t="s">
        <v>4630</v>
      </c>
      <c r="J3375" s="1285"/>
      <c r="K3375" s="1285"/>
      <c r="L3375" s="1285"/>
    </row>
    <row r="3376" spans="1:12" ht="11.15" customHeight="1">
      <c r="A3376" s="162" t="s">
        <v>4631</v>
      </c>
      <c r="B3376" s="59" t="s">
        <v>20772</v>
      </c>
      <c r="C3376" s="147" t="s">
        <v>20221</v>
      </c>
      <c r="D3376" s="284" t="s">
        <v>897</v>
      </c>
      <c r="E3376" s="178">
        <v>2020</v>
      </c>
      <c r="F3376" s="178" t="s">
        <v>4520</v>
      </c>
      <c r="G3376" s="496"/>
      <c r="H3376" s="994" t="s">
        <v>20221</v>
      </c>
      <c r="I3376" s="12" t="s">
        <v>4632</v>
      </c>
      <c r="J3376" s="1285"/>
      <c r="K3376" s="1285"/>
      <c r="L3376" s="1285"/>
    </row>
    <row r="3377" spans="1:12" ht="11.15" customHeight="1">
      <c r="A3377" s="129" t="s">
        <v>4633</v>
      </c>
      <c r="B3377" s="59" t="s">
        <v>20772</v>
      </c>
      <c r="C3377" s="147" t="s">
        <v>20221</v>
      </c>
      <c r="D3377" s="284" t="s">
        <v>897</v>
      </c>
      <c r="E3377" s="178">
        <v>2019</v>
      </c>
      <c r="F3377" s="178" t="s">
        <v>4520</v>
      </c>
      <c r="G3377" s="496"/>
      <c r="H3377" s="994" t="s">
        <v>20221</v>
      </c>
      <c r="I3377" s="12" t="s">
        <v>4634</v>
      </c>
      <c r="J3377" s="1285"/>
      <c r="K3377" s="1285"/>
      <c r="L3377" s="1285"/>
    </row>
    <row r="3378" spans="1:12" ht="11.15" customHeight="1">
      <c r="A3378" s="162" t="s">
        <v>4635</v>
      </c>
      <c r="B3378" s="59" t="s">
        <v>20772</v>
      </c>
      <c r="C3378" s="147" t="s">
        <v>20221</v>
      </c>
      <c r="D3378" s="284" t="s">
        <v>897</v>
      </c>
      <c r="E3378" s="178">
        <v>2018</v>
      </c>
      <c r="F3378" s="178" t="s">
        <v>4520</v>
      </c>
      <c r="G3378" s="496"/>
      <c r="H3378" s="994" t="s">
        <v>20221</v>
      </c>
      <c r="I3378" s="12" t="s">
        <v>4636</v>
      </c>
      <c r="J3378" s="1285"/>
      <c r="K3378" s="1285"/>
      <c r="L3378" s="1285"/>
    </row>
    <row r="3379" spans="1:12" ht="11.15" customHeight="1">
      <c r="A3379" s="162" t="s">
        <v>4637</v>
      </c>
      <c r="B3379" s="59" t="s">
        <v>20772</v>
      </c>
      <c r="C3379" s="147" t="s">
        <v>20221</v>
      </c>
      <c r="D3379" s="284" t="s">
        <v>897</v>
      </c>
      <c r="E3379" s="178">
        <v>2017</v>
      </c>
      <c r="F3379" s="178" t="s">
        <v>4520</v>
      </c>
      <c r="G3379" s="496"/>
      <c r="H3379" s="994" t="s">
        <v>20221</v>
      </c>
      <c r="I3379" s="12" t="s">
        <v>4638</v>
      </c>
      <c r="J3379" s="1285"/>
      <c r="K3379" s="1285"/>
      <c r="L3379" s="1285"/>
    </row>
    <row r="3380" spans="1:12" ht="11.15" customHeight="1">
      <c r="A3380" s="162" t="s">
        <v>4639</v>
      </c>
      <c r="B3380" s="59" t="s">
        <v>20772</v>
      </c>
      <c r="C3380" s="147" t="s">
        <v>20221</v>
      </c>
      <c r="D3380" s="284" t="s">
        <v>897</v>
      </c>
      <c r="E3380" s="178">
        <v>2016</v>
      </c>
      <c r="F3380" s="178" t="s">
        <v>4520</v>
      </c>
      <c r="G3380" s="496"/>
      <c r="H3380" s="994" t="s">
        <v>20221</v>
      </c>
      <c r="I3380" s="12" t="s">
        <v>4640</v>
      </c>
      <c r="J3380" s="1285"/>
      <c r="K3380" s="1285"/>
      <c r="L3380" s="1285"/>
    </row>
    <row r="3381" spans="1:12" ht="11.15" customHeight="1">
      <c r="A3381" s="162" t="s">
        <v>4641</v>
      </c>
      <c r="B3381" s="59" t="s">
        <v>20772</v>
      </c>
      <c r="C3381" s="147" t="s">
        <v>20221</v>
      </c>
      <c r="D3381" s="284" t="s">
        <v>897</v>
      </c>
      <c r="E3381" s="178">
        <v>2015</v>
      </c>
      <c r="F3381" s="178" t="s">
        <v>4520</v>
      </c>
      <c r="G3381" s="496"/>
      <c r="H3381" s="994" t="s">
        <v>20221</v>
      </c>
      <c r="I3381" s="12" t="s">
        <v>4642</v>
      </c>
      <c r="J3381" s="1285"/>
      <c r="K3381" s="1285"/>
      <c r="L3381" s="1285"/>
    </row>
    <row r="3382" spans="1:12" ht="11.15" customHeight="1">
      <c r="A3382" s="162" t="s">
        <v>4643</v>
      </c>
      <c r="B3382" s="59" t="s">
        <v>20772</v>
      </c>
      <c r="C3382" s="147" t="s">
        <v>20221</v>
      </c>
      <c r="D3382" s="284" t="s">
        <v>897</v>
      </c>
      <c r="E3382" s="178">
        <v>2014</v>
      </c>
      <c r="F3382" s="178" t="s">
        <v>4520</v>
      </c>
      <c r="G3382" s="496"/>
      <c r="H3382" s="994" t="s">
        <v>20221</v>
      </c>
      <c r="I3382" s="12" t="s">
        <v>4644</v>
      </c>
      <c r="J3382" s="1285"/>
      <c r="K3382" s="1285"/>
      <c r="L3382" s="1285"/>
    </row>
    <row r="3383" spans="1:12" ht="11.15" customHeight="1">
      <c r="A3383" s="162" t="s">
        <v>4645</v>
      </c>
      <c r="B3383" s="59" t="s">
        <v>20772</v>
      </c>
      <c r="C3383" s="147" t="s">
        <v>20221</v>
      </c>
      <c r="D3383" s="284" t="s">
        <v>897</v>
      </c>
      <c r="E3383" s="178">
        <v>2013</v>
      </c>
      <c r="F3383" s="178" t="s">
        <v>4520</v>
      </c>
      <c r="G3383" s="496"/>
      <c r="H3383" s="994" t="s">
        <v>20221</v>
      </c>
      <c r="I3383" s="12" t="s">
        <v>4646</v>
      </c>
      <c r="J3383" s="1285"/>
      <c r="K3383" s="1285"/>
      <c r="L3383" s="1285"/>
    </row>
    <row r="3384" spans="1:12" ht="11.15" customHeight="1">
      <c r="A3384" s="355" t="s">
        <v>4647</v>
      </c>
      <c r="B3384" s="59" t="s">
        <v>20772</v>
      </c>
      <c r="C3384" s="147" t="s">
        <v>20221</v>
      </c>
      <c r="D3384" s="284" t="s">
        <v>897</v>
      </c>
      <c r="E3384" s="178">
        <v>2011</v>
      </c>
      <c r="F3384" s="178" t="s">
        <v>4520</v>
      </c>
      <c r="G3384" s="496"/>
      <c r="H3384" s="994" t="s">
        <v>20221</v>
      </c>
      <c r="I3384" s="12" t="s">
        <v>4648</v>
      </c>
      <c r="J3384" s="1285"/>
      <c r="K3384" s="1285"/>
      <c r="L3384" s="1285"/>
    </row>
    <row r="3385" spans="1:12" ht="11.15" customHeight="1">
      <c r="A3385" s="162" t="s">
        <v>4649</v>
      </c>
      <c r="B3385" s="59" t="s">
        <v>20773</v>
      </c>
      <c r="C3385" s="147" t="s">
        <v>20221</v>
      </c>
      <c r="D3385" s="284" t="s">
        <v>897</v>
      </c>
      <c r="E3385" s="178">
        <v>2022</v>
      </c>
      <c r="F3385" s="178" t="s">
        <v>4520</v>
      </c>
      <c r="G3385" s="496"/>
      <c r="H3385" s="994" t="s">
        <v>20221</v>
      </c>
      <c r="I3385" s="12" t="s">
        <v>4650</v>
      </c>
      <c r="J3385" s="1285"/>
      <c r="K3385" s="1285"/>
      <c r="L3385" s="1285"/>
    </row>
    <row r="3386" spans="1:12" ht="11.15" customHeight="1">
      <c r="A3386" s="162" t="s">
        <v>4651</v>
      </c>
      <c r="B3386" s="59" t="s">
        <v>20773</v>
      </c>
      <c r="C3386" s="147" t="s">
        <v>20221</v>
      </c>
      <c r="D3386" s="284" t="s">
        <v>897</v>
      </c>
      <c r="E3386" s="178">
        <v>2021</v>
      </c>
      <c r="F3386" s="178" t="s">
        <v>4520</v>
      </c>
      <c r="G3386" s="496"/>
      <c r="H3386" s="994" t="s">
        <v>20221</v>
      </c>
      <c r="I3386" s="12" t="s">
        <v>4652</v>
      </c>
      <c r="J3386" s="1285"/>
      <c r="K3386" s="1285"/>
      <c r="L3386" s="1285"/>
    </row>
    <row r="3387" spans="1:12" ht="11.15" customHeight="1">
      <c r="A3387" s="162" t="s">
        <v>4653</v>
      </c>
      <c r="B3387" s="59" t="s">
        <v>20773</v>
      </c>
      <c r="C3387" s="147" t="s">
        <v>20221</v>
      </c>
      <c r="D3387" s="284" t="s">
        <v>897</v>
      </c>
      <c r="E3387" s="178">
        <v>2020</v>
      </c>
      <c r="F3387" s="178" t="s">
        <v>4520</v>
      </c>
      <c r="G3387" s="496"/>
      <c r="H3387" s="994" t="s">
        <v>20221</v>
      </c>
      <c r="I3387" s="12" t="s">
        <v>4654</v>
      </c>
      <c r="J3387" s="1285"/>
      <c r="K3387" s="1285"/>
      <c r="L3387" s="1285"/>
    </row>
    <row r="3388" spans="1:12" ht="11.15" customHeight="1">
      <c r="A3388" s="162" t="s">
        <v>4655</v>
      </c>
      <c r="B3388" s="59" t="s">
        <v>20773</v>
      </c>
      <c r="C3388" s="147" t="s">
        <v>20221</v>
      </c>
      <c r="D3388" s="284" t="s">
        <v>897</v>
      </c>
      <c r="E3388" s="178">
        <v>2019</v>
      </c>
      <c r="F3388" s="178" t="s">
        <v>4520</v>
      </c>
      <c r="G3388" s="496"/>
      <c r="H3388" s="994" t="s">
        <v>20221</v>
      </c>
      <c r="I3388" s="12" t="s">
        <v>4656</v>
      </c>
      <c r="J3388" s="1285"/>
      <c r="K3388" s="1285"/>
      <c r="L3388" s="1285"/>
    </row>
    <row r="3389" spans="1:12" ht="11.15" customHeight="1">
      <c r="A3389" s="162" t="s">
        <v>4657</v>
      </c>
      <c r="B3389" s="59" t="s">
        <v>20773</v>
      </c>
      <c r="C3389" s="147" t="s">
        <v>20221</v>
      </c>
      <c r="D3389" s="284" t="s">
        <v>897</v>
      </c>
      <c r="E3389" s="178">
        <v>2018</v>
      </c>
      <c r="F3389" s="178" t="s">
        <v>4520</v>
      </c>
      <c r="G3389" s="496"/>
      <c r="H3389" s="994" t="s">
        <v>20221</v>
      </c>
      <c r="I3389" s="12" t="s">
        <v>4658</v>
      </c>
      <c r="J3389" s="1285"/>
      <c r="K3389" s="1285"/>
      <c r="L3389" s="1285"/>
    </row>
    <row r="3390" spans="1:12" ht="11.15" customHeight="1">
      <c r="A3390" s="162" t="s">
        <v>4659</v>
      </c>
      <c r="B3390" s="59" t="s">
        <v>20773</v>
      </c>
      <c r="C3390" s="147" t="s">
        <v>20221</v>
      </c>
      <c r="D3390" s="284" t="s">
        <v>897</v>
      </c>
      <c r="E3390" s="178">
        <v>2017</v>
      </c>
      <c r="F3390" s="178" t="s">
        <v>4520</v>
      </c>
      <c r="G3390" s="496"/>
      <c r="H3390" s="994" t="s">
        <v>20221</v>
      </c>
      <c r="I3390" s="12" t="s">
        <v>4660</v>
      </c>
      <c r="J3390" s="1285"/>
      <c r="K3390" s="1285"/>
      <c r="L3390" s="1285"/>
    </row>
    <row r="3391" spans="1:12" ht="11.15" customHeight="1">
      <c r="A3391" s="162" t="s">
        <v>4661</v>
      </c>
      <c r="B3391" s="59" t="s">
        <v>20773</v>
      </c>
      <c r="C3391" s="147" t="s">
        <v>20221</v>
      </c>
      <c r="D3391" s="284" t="s">
        <v>897</v>
      </c>
      <c r="E3391" s="178">
        <v>2016</v>
      </c>
      <c r="F3391" s="178" t="s">
        <v>4520</v>
      </c>
      <c r="G3391" s="496"/>
      <c r="H3391" s="994" t="s">
        <v>20221</v>
      </c>
      <c r="I3391" s="12" t="s">
        <v>4662</v>
      </c>
      <c r="J3391" s="1285"/>
      <c r="K3391" s="1285"/>
      <c r="L3391" s="1285"/>
    </row>
    <row r="3392" spans="1:12" ht="11.15" customHeight="1">
      <c r="A3392" s="162" t="s">
        <v>4663</v>
      </c>
      <c r="B3392" s="59" t="s">
        <v>20773</v>
      </c>
      <c r="C3392" s="147" t="s">
        <v>20221</v>
      </c>
      <c r="D3392" s="284" t="s">
        <v>897</v>
      </c>
      <c r="E3392" s="178">
        <v>2015</v>
      </c>
      <c r="F3392" s="178" t="s">
        <v>4520</v>
      </c>
      <c r="G3392" s="496"/>
      <c r="H3392" s="994" t="s">
        <v>20224</v>
      </c>
      <c r="I3392" s="12" t="s">
        <v>4664</v>
      </c>
      <c r="J3392" s="1285"/>
      <c r="K3392" s="1285"/>
      <c r="L3392" s="1285"/>
    </row>
    <row r="3393" spans="1:12" ht="11.15" customHeight="1">
      <c r="A3393" s="162" t="s">
        <v>4665</v>
      </c>
      <c r="B3393" s="59" t="s">
        <v>20773</v>
      </c>
      <c r="C3393" s="147" t="s">
        <v>20221</v>
      </c>
      <c r="D3393" s="284" t="s">
        <v>897</v>
      </c>
      <c r="E3393" s="178">
        <v>2014</v>
      </c>
      <c r="F3393" s="178" t="s">
        <v>4520</v>
      </c>
      <c r="G3393" s="496"/>
      <c r="H3393" s="994" t="s">
        <v>20221</v>
      </c>
      <c r="I3393" s="12" t="s">
        <v>4666</v>
      </c>
      <c r="J3393" s="1285"/>
      <c r="K3393" s="1285"/>
      <c r="L3393" s="1285"/>
    </row>
    <row r="3394" spans="1:12" ht="11.15" customHeight="1">
      <c r="A3394" s="162" t="s">
        <v>4667</v>
      </c>
      <c r="B3394" s="59" t="s">
        <v>20773</v>
      </c>
      <c r="C3394" s="147" t="s">
        <v>20221</v>
      </c>
      <c r="D3394" s="284" t="s">
        <v>897</v>
      </c>
      <c r="E3394" s="178">
        <v>2013</v>
      </c>
      <c r="F3394" s="178" t="s">
        <v>4520</v>
      </c>
      <c r="G3394" s="496"/>
      <c r="H3394" s="994" t="s">
        <v>20224</v>
      </c>
      <c r="I3394" s="12" t="s">
        <v>4668</v>
      </c>
      <c r="J3394" s="1285"/>
      <c r="K3394" s="1285"/>
      <c r="L3394" s="1285"/>
    </row>
    <row r="3395" spans="1:12" ht="11.15" customHeight="1">
      <c r="A3395" s="162" t="s">
        <v>4669</v>
      </c>
      <c r="B3395" s="59" t="s">
        <v>20773</v>
      </c>
      <c r="C3395" s="147" t="s">
        <v>20221</v>
      </c>
      <c r="D3395" s="284" t="s">
        <v>897</v>
      </c>
      <c r="E3395" s="178">
        <v>2011</v>
      </c>
      <c r="F3395" s="178" t="s">
        <v>4520</v>
      </c>
      <c r="G3395" s="496"/>
      <c r="H3395" s="994" t="s">
        <v>20224</v>
      </c>
      <c r="I3395" s="12" t="s">
        <v>4670</v>
      </c>
      <c r="J3395" s="1285"/>
      <c r="K3395" s="1285"/>
      <c r="L3395" s="1285"/>
    </row>
    <row r="3396" spans="1:12" ht="11.15" customHeight="1">
      <c r="A3396" s="29" t="s">
        <v>4466</v>
      </c>
      <c r="B3396" s="177" t="s">
        <v>4671</v>
      </c>
      <c r="C3396" s="147"/>
      <c r="D3396" s="161"/>
      <c r="E3396" s="36"/>
      <c r="F3396" s="178"/>
      <c r="G3396" s="496"/>
      <c r="H3396" s="36"/>
      <c r="I3396" s="11"/>
    </row>
    <row r="3397" spans="1:12" ht="11.15" customHeight="1">
      <c r="A3397" s="129" t="s">
        <v>4672</v>
      </c>
      <c r="B3397" s="59" t="s">
        <v>20774</v>
      </c>
      <c r="C3397" s="147" t="s">
        <v>20221</v>
      </c>
      <c r="D3397" s="284" t="s">
        <v>897</v>
      </c>
      <c r="E3397" s="178">
        <v>2020</v>
      </c>
      <c r="F3397" s="178" t="s">
        <v>5257</v>
      </c>
      <c r="G3397" s="496"/>
      <c r="H3397" s="994" t="s">
        <v>20221</v>
      </c>
      <c r="I3397" s="12" t="s">
        <v>4673</v>
      </c>
      <c r="J3397" s="1285"/>
      <c r="K3397" s="1285"/>
      <c r="L3397" s="1285"/>
    </row>
    <row r="3398" spans="1:12" ht="11.15" customHeight="1">
      <c r="A3398" s="29"/>
      <c r="B3398" s="59" t="s">
        <v>20774</v>
      </c>
      <c r="C3398" s="147" t="s">
        <v>20221</v>
      </c>
      <c r="D3398" s="284" t="s">
        <v>897</v>
      </c>
      <c r="E3398" s="178">
        <v>2019</v>
      </c>
      <c r="F3398" s="178" t="s">
        <v>5257</v>
      </c>
      <c r="G3398" s="496"/>
      <c r="H3398" s="994" t="s">
        <v>20221</v>
      </c>
      <c r="I3398" s="12" t="s">
        <v>4674</v>
      </c>
      <c r="J3398" s="1285"/>
      <c r="K3398" s="1285"/>
      <c r="L3398" s="1285"/>
    </row>
    <row r="3399" spans="1:12" ht="11.15" customHeight="1">
      <c r="B3399" s="59" t="s">
        <v>20774</v>
      </c>
      <c r="C3399" s="147" t="s">
        <v>20221</v>
      </c>
      <c r="D3399" s="284" t="s">
        <v>897</v>
      </c>
      <c r="E3399" s="178">
        <v>2014</v>
      </c>
      <c r="F3399" s="178" t="s">
        <v>11931</v>
      </c>
      <c r="G3399" s="496"/>
      <c r="H3399" s="994" t="s">
        <v>20224</v>
      </c>
      <c r="I3399" s="12" t="s">
        <v>4675</v>
      </c>
      <c r="J3399" s="1285"/>
      <c r="K3399" s="1285"/>
      <c r="L3399" s="1285"/>
    </row>
    <row r="3400" spans="1:12" ht="11.15" customHeight="1">
      <c r="A3400" s="29"/>
      <c r="B3400" s="59" t="s">
        <v>20774</v>
      </c>
      <c r="C3400" s="147" t="s">
        <v>20221</v>
      </c>
      <c r="D3400" s="284" t="s">
        <v>897</v>
      </c>
      <c r="E3400" s="178">
        <v>2011</v>
      </c>
      <c r="F3400" s="178" t="s">
        <v>11931</v>
      </c>
      <c r="G3400" s="496"/>
      <c r="H3400" s="994" t="s">
        <v>20221</v>
      </c>
      <c r="I3400" s="12" t="s">
        <v>4676</v>
      </c>
      <c r="J3400" s="1285"/>
      <c r="K3400" s="1285"/>
      <c r="L3400" s="1285"/>
    </row>
    <row r="3401" spans="1:12" ht="11.15" customHeight="1">
      <c r="A3401" s="185"/>
      <c r="B3401" s="59" t="s">
        <v>20775</v>
      </c>
      <c r="C3401" s="147" t="s">
        <v>20221</v>
      </c>
      <c r="D3401" s="284" t="s">
        <v>897</v>
      </c>
      <c r="E3401" s="178">
        <v>2013</v>
      </c>
      <c r="F3401" s="178" t="s">
        <v>11931</v>
      </c>
      <c r="G3401" s="496"/>
      <c r="H3401" s="994" t="s">
        <v>20224</v>
      </c>
      <c r="I3401" s="12" t="s">
        <v>4677</v>
      </c>
      <c r="J3401" s="1285"/>
      <c r="K3401" s="1285"/>
      <c r="L3401" s="1285"/>
    </row>
    <row r="3402" spans="1:12" ht="11.15" customHeight="1">
      <c r="A3402" s="185"/>
      <c r="B3402" s="177" t="s">
        <v>4678</v>
      </c>
      <c r="C3402" s="147"/>
      <c r="D3402" s="161"/>
      <c r="E3402" s="36"/>
      <c r="F3402" s="178"/>
      <c r="G3402" s="496"/>
      <c r="H3402" s="36"/>
      <c r="I3402" s="11"/>
    </row>
    <row r="3403" spans="1:12" ht="11.15" customHeight="1">
      <c r="A3403" s="185"/>
      <c r="B3403" s="59" t="s">
        <v>20776</v>
      </c>
      <c r="C3403" s="147" t="s">
        <v>20221</v>
      </c>
      <c r="D3403" s="284" t="s">
        <v>897</v>
      </c>
      <c r="E3403" s="178">
        <v>2013</v>
      </c>
      <c r="F3403" s="178" t="s">
        <v>11931</v>
      </c>
      <c r="G3403" s="496"/>
      <c r="H3403" s="994" t="s">
        <v>20224</v>
      </c>
      <c r="I3403" s="12" t="s">
        <v>4679</v>
      </c>
      <c r="J3403" s="1285"/>
      <c r="K3403" s="1285"/>
      <c r="L3403" s="1285"/>
    </row>
    <row r="3404" spans="1:12" ht="11.15" customHeight="1">
      <c r="A3404" s="185"/>
      <c r="B3404" s="59" t="s">
        <v>20777</v>
      </c>
      <c r="C3404" s="147" t="s">
        <v>20221</v>
      </c>
      <c r="D3404" s="284" t="s">
        <v>897</v>
      </c>
      <c r="E3404" s="178">
        <v>2011</v>
      </c>
      <c r="F3404" s="178" t="s">
        <v>11931</v>
      </c>
      <c r="G3404" s="496"/>
      <c r="H3404" s="994" t="s">
        <v>20224</v>
      </c>
      <c r="I3404" s="12" t="s">
        <v>4680</v>
      </c>
      <c r="J3404" s="1285"/>
      <c r="K3404" s="1285"/>
      <c r="L3404" s="1285"/>
    </row>
    <row r="3405" spans="1:12" ht="11.15" customHeight="1">
      <c r="A3405" s="185"/>
      <c r="B3405" s="59" t="s">
        <v>20778</v>
      </c>
      <c r="C3405" s="147" t="s">
        <v>20221</v>
      </c>
      <c r="D3405" s="284" t="s">
        <v>897</v>
      </c>
      <c r="E3405" s="178">
        <v>2013</v>
      </c>
      <c r="F3405" s="178" t="s">
        <v>11931</v>
      </c>
      <c r="G3405" s="496"/>
      <c r="H3405" s="994" t="s">
        <v>20224</v>
      </c>
      <c r="I3405" s="12" t="s">
        <v>4681</v>
      </c>
      <c r="J3405" s="1285"/>
      <c r="K3405" s="1285"/>
      <c r="L3405" s="1285"/>
    </row>
    <row r="3406" spans="1:12" ht="11.15" customHeight="1">
      <c r="A3406" s="185"/>
      <c r="B3406" s="59" t="s">
        <v>20779</v>
      </c>
      <c r="C3406" s="147" t="s">
        <v>20221</v>
      </c>
      <c r="D3406" s="284" t="s">
        <v>897</v>
      </c>
      <c r="E3406" s="178">
        <v>2013</v>
      </c>
      <c r="F3406" s="178" t="s">
        <v>11931</v>
      </c>
      <c r="G3406" s="496"/>
      <c r="H3406" s="994" t="s">
        <v>20224</v>
      </c>
      <c r="I3406" s="12" t="s">
        <v>4682</v>
      </c>
      <c r="J3406" s="1285"/>
      <c r="K3406" s="1285"/>
      <c r="L3406" s="1285"/>
    </row>
    <row r="3407" spans="1:12" ht="11.15" customHeight="1" thickBot="1">
      <c r="A3407" s="185"/>
      <c r="B3407" s="90"/>
      <c r="C3407" s="147"/>
      <c r="D3407" s="161"/>
      <c r="E3407" s="34"/>
      <c r="F3407" s="183"/>
      <c r="G3407" s="671"/>
      <c r="H3407" s="34"/>
      <c r="I3407" s="12"/>
    </row>
    <row r="3408" spans="1:12" ht="11.15" customHeight="1" thickBot="1">
      <c r="A3408" s="419" t="s">
        <v>4683</v>
      </c>
      <c r="B3408" s="177" t="s">
        <v>4684</v>
      </c>
      <c r="C3408" s="147"/>
      <c r="D3408" s="161"/>
      <c r="E3408" s="36"/>
      <c r="F3408" s="178"/>
      <c r="G3408" s="496"/>
      <c r="H3408" s="36"/>
      <c r="I3408" s="11"/>
    </row>
    <row r="3409" spans="1:12" ht="11.15" customHeight="1">
      <c r="A3409" s="29" t="s">
        <v>4685</v>
      </c>
      <c r="B3409" s="59" t="s">
        <v>20781</v>
      </c>
      <c r="C3409" s="147" t="s">
        <v>20221</v>
      </c>
      <c r="D3409" s="701" t="s">
        <v>1129</v>
      </c>
      <c r="E3409" s="178">
        <v>2022</v>
      </c>
      <c r="F3409" s="178" t="s">
        <v>4520</v>
      </c>
      <c r="G3409" s="496"/>
      <c r="H3409" s="994" t="s">
        <v>20224</v>
      </c>
      <c r="I3409" s="12" t="s">
        <v>4686</v>
      </c>
      <c r="J3409" s="1285"/>
      <c r="K3409" s="1285"/>
      <c r="L3409" s="1285"/>
    </row>
    <row r="3410" spans="1:12" ht="11.15" customHeight="1">
      <c r="A3410" s="29" t="s">
        <v>4687</v>
      </c>
      <c r="B3410" s="59" t="s">
        <v>20782</v>
      </c>
      <c r="C3410" s="147" t="s">
        <v>20221</v>
      </c>
      <c r="D3410" s="701" t="s">
        <v>1129</v>
      </c>
      <c r="E3410" s="178">
        <v>2020</v>
      </c>
      <c r="F3410" s="178" t="s">
        <v>4520</v>
      </c>
      <c r="G3410" s="496"/>
      <c r="H3410" s="994" t="s">
        <v>20221</v>
      </c>
      <c r="I3410" s="12" t="s">
        <v>4688</v>
      </c>
      <c r="J3410" s="1285"/>
      <c r="K3410" s="1285"/>
      <c r="L3410" s="1285"/>
    </row>
    <row r="3411" spans="1:12" ht="11.15" customHeight="1">
      <c r="A3411" s="29" t="s">
        <v>4689</v>
      </c>
      <c r="B3411" s="59" t="s">
        <v>20782</v>
      </c>
      <c r="C3411" s="147" t="s">
        <v>20221</v>
      </c>
      <c r="D3411" s="701" t="s">
        <v>1129</v>
      </c>
      <c r="E3411" s="178">
        <v>2019</v>
      </c>
      <c r="F3411" s="178" t="s">
        <v>4520</v>
      </c>
      <c r="G3411" s="496"/>
      <c r="H3411" s="994" t="s">
        <v>20221</v>
      </c>
      <c r="I3411" s="12" t="s">
        <v>4690</v>
      </c>
      <c r="J3411" s="1285"/>
      <c r="K3411" s="1285"/>
      <c r="L3411" s="1285"/>
    </row>
    <row r="3412" spans="1:12" ht="11.15" customHeight="1">
      <c r="A3412" s="29" t="s">
        <v>4691</v>
      </c>
      <c r="B3412" s="177" t="s">
        <v>4692</v>
      </c>
      <c r="C3412" s="147"/>
      <c r="D3412" s="161"/>
      <c r="E3412" s="36"/>
      <c r="F3412" s="178"/>
      <c r="G3412" s="496"/>
      <c r="H3412" s="36"/>
      <c r="I3412" s="11"/>
    </row>
    <row r="3413" spans="1:12" ht="11.15" customHeight="1">
      <c r="A3413" s="29" t="s">
        <v>4693</v>
      </c>
      <c r="B3413" s="59" t="s">
        <v>20783</v>
      </c>
      <c r="C3413" s="147" t="s">
        <v>20221</v>
      </c>
      <c r="D3413" s="701" t="s">
        <v>1129</v>
      </c>
      <c r="E3413" s="178">
        <v>2020</v>
      </c>
      <c r="F3413" s="178" t="s">
        <v>23394</v>
      </c>
      <c r="G3413" s="496"/>
      <c r="H3413" s="994" t="s">
        <v>20224</v>
      </c>
      <c r="I3413" s="12" t="s">
        <v>4694</v>
      </c>
      <c r="J3413" s="1285"/>
      <c r="K3413" s="1285"/>
      <c r="L3413" s="1285"/>
    </row>
    <row r="3414" spans="1:12" ht="11.15" customHeight="1">
      <c r="A3414" s="181" t="s">
        <v>1219</v>
      </c>
      <c r="B3414" s="59" t="s">
        <v>20784</v>
      </c>
      <c r="C3414" s="147" t="s">
        <v>20221</v>
      </c>
      <c r="D3414" s="701" t="s">
        <v>1129</v>
      </c>
      <c r="E3414" s="178">
        <v>2020</v>
      </c>
      <c r="F3414" s="178" t="s">
        <v>4520</v>
      </c>
      <c r="G3414" s="496" t="s">
        <v>20221</v>
      </c>
      <c r="H3414" s="994" t="s">
        <v>3907</v>
      </c>
      <c r="I3414" s="12" t="s">
        <v>4695</v>
      </c>
      <c r="J3414" s="1285"/>
      <c r="K3414" s="1285"/>
      <c r="L3414" s="1285"/>
    </row>
    <row r="3415" spans="1:12" ht="11.15" customHeight="1">
      <c r="A3415" s="129" t="s">
        <v>4696</v>
      </c>
      <c r="B3415" s="59" t="s">
        <v>20785</v>
      </c>
      <c r="C3415" s="147" t="s">
        <v>20221</v>
      </c>
      <c r="D3415" s="701" t="s">
        <v>1129</v>
      </c>
      <c r="E3415" s="178">
        <v>2022</v>
      </c>
      <c r="F3415" s="178" t="s">
        <v>4520</v>
      </c>
      <c r="G3415" s="496"/>
      <c r="H3415" s="994" t="s">
        <v>20224</v>
      </c>
      <c r="I3415" s="12" t="s">
        <v>4697</v>
      </c>
      <c r="J3415" s="1285"/>
      <c r="K3415" s="1285"/>
      <c r="L3415" s="1285"/>
    </row>
    <row r="3416" spans="1:12" ht="11.15" customHeight="1">
      <c r="A3416" s="162" t="s">
        <v>4698</v>
      </c>
      <c r="B3416" s="177" t="s">
        <v>4699</v>
      </c>
      <c r="C3416" s="147"/>
      <c r="D3416" s="161"/>
      <c r="E3416" s="36"/>
      <c r="F3416" s="178"/>
      <c r="G3416" s="496"/>
      <c r="H3416" s="36"/>
      <c r="I3416" s="11"/>
    </row>
    <row r="3417" spans="1:12" ht="11.15" customHeight="1">
      <c r="A3417" s="162" t="s">
        <v>4700</v>
      </c>
      <c r="B3417" s="59" t="s">
        <v>20786</v>
      </c>
      <c r="C3417" s="147" t="s">
        <v>20221</v>
      </c>
      <c r="D3417" s="701" t="s">
        <v>1129</v>
      </c>
      <c r="E3417" s="178">
        <v>2019</v>
      </c>
      <c r="F3417" s="178" t="s">
        <v>9678</v>
      </c>
      <c r="G3417" s="496"/>
      <c r="H3417" s="994" t="s">
        <v>20224</v>
      </c>
      <c r="I3417" s="12" t="s">
        <v>4701</v>
      </c>
      <c r="J3417" s="1285"/>
      <c r="K3417" s="1285"/>
      <c r="L3417" s="1285"/>
    </row>
    <row r="3418" spans="1:12" ht="11.15" customHeight="1">
      <c r="A3418" s="162" t="s">
        <v>4702</v>
      </c>
      <c r="B3418" s="59" t="s">
        <v>20787</v>
      </c>
      <c r="C3418" s="147" t="s">
        <v>20221</v>
      </c>
      <c r="D3418" s="701" t="s">
        <v>1129</v>
      </c>
      <c r="E3418" s="178">
        <v>2019</v>
      </c>
      <c r="F3418" s="178" t="s">
        <v>9678</v>
      </c>
      <c r="G3418" s="496"/>
      <c r="H3418" s="994" t="s">
        <v>20224</v>
      </c>
      <c r="I3418" s="12" t="s">
        <v>4703</v>
      </c>
      <c r="J3418" s="1285"/>
      <c r="K3418" s="1285"/>
      <c r="L3418" s="1285"/>
    </row>
    <row r="3419" spans="1:12" ht="11.15" customHeight="1">
      <c r="A3419" s="162" t="s">
        <v>4704</v>
      </c>
      <c r="B3419" s="154" t="s">
        <v>4705</v>
      </c>
      <c r="C3419" s="147"/>
      <c r="D3419" s="161"/>
      <c r="E3419" s="36"/>
      <c r="F3419" s="178"/>
      <c r="G3419" s="496"/>
      <c r="H3419" s="36"/>
      <c r="I3419" s="11"/>
    </row>
    <row r="3420" spans="1:12" ht="11.15" customHeight="1">
      <c r="A3420" s="129" t="s">
        <v>4706</v>
      </c>
      <c r="B3420" s="59" t="s">
        <v>20788</v>
      </c>
      <c r="C3420" s="147" t="s">
        <v>20221</v>
      </c>
      <c r="D3420" s="284" t="s">
        <v>897</v>
      </c>
      <c r="E3420" s="178">
        <v>2017</v>
      </c>
      <c r="F3420" s="178" t="s">
        <v>4520</v>
      </c>
      <c r="G3420" s="496"/>
      <c r="H3420" s="994" t="s">
        <v>20224</v>
      </c>
      <c r="I3420" s="12" t="s">
        <v>4707</v>
      </c>
      <c r="J3420" s="1285"/>
      <c r="K3420" s="1285"/>
      <c r="L3420" s="1285"/>
    </row>
    <row r="3421" spans="1:12" ht="11.15" customHeight="1">
      <c r="A3421" s="162" t="s">
        <v>4708</v>
      </c>
      <c r="B3421" s="154" t="s">
        <v>4709</v>
      </c>
      <c r="C3421" s="147"/>
      <c r="D3421" s="185"/>
      <c r="E3421" s="185"/>
      <c r="F3421" s="185"/>
      <c r="G3421" s="185"/>
      <c r="H3421" s="185"/>
      <c r="I3421" s="11"/>
    </row>
    <row r="3422" spans="1:12" ht="11.15" customHeight="1">
      <c r="A3422" s="162" t="s">
        <v>4710</v>
      </c>
      <c r="B3422" s="59" t="s">
        <v>20789</v>
      </c>
      <c r="C3422" s="147" t="s">
        <v>20221</v>
      </c>
      <c r="D3422" s="284" t="s">
        <v>897</v>
      </c>
      <c r="E3422" s="178">
        <v>2022</v>
      </c>
      <c r="F3422" s="178" t="s">
        <v>4520</v>
      </c>
      <c r="G3422" s="496"/>
      <c r="H3422" s="994" t="s">
        <v>20221</v>
      </c>
      <c r="I3422" s="12" t="s">
        <v>4711</v>
      </c>
      <c r="J3422" s="1285"/>
      <c r="K3422" s="1285"/>
      <c r="L3422" s="1285"/>
    </row>
    <row r="3423" spans="1:12" ht="11.15" customHeight="1">
      <c r="A3423" s="162" t="s">
        <v>4712</v>
      </c>
      <c r="B3423" s="59" t="s">
        <v>20789</v>
      </c>
      <c r="C3423" s="147" t="s">
        <v>20221</v>
      </c>
      <c r="D3423" s="284" t="s">
        <v>897</v>
      </c>
      <c r="E3423" s="178">
        <v>2021</v>
      </c>
      <c r="F3423" s="178" t="s">
        <v>4520</v>
      </c>
      <c r="G3423" s="496"/>
      <c r="H3423" s="994" t="s">
        <v>20224</v>
      </c>
      <c r="I3423" s="12" t="s">
        <v>4713</v>
      </c>
      <c r="J3423" s="1285"/>
      <c r="K3423" s="1285"/>
      <c r="L3423" s="1285"/>
    </row>
    <row r="3424" spans="1:12" ht="11.15" customHeight="1">
      <c r="A3424" s="162" t="s">
        <v>4714</v>
      </c>
      <c r="B3424" s="59" t="s">
        <v>20789</v>
      </c>
      <c r="C3424" s="147" t="s">
        <v>20221</v>
      </c>
      <c r="D3424" s="284" t="s">
        <v>897</v>
      </c>
      <c r="E3424" s="178">
        <v>2020</v>
      </c>
      <c r="F3424" s="178" t="s">
        <v>4520</v>
      </c>
      <c r="G3424" s="496"/>
      <c r="H3424" s="994" t="s">
        <v>20221</v>
      </c>
      <c r="I3424" s="12" t="s">
        <v>4715</v>
      </c>
      <c r="J3424" s="1285"/>
      <c r="K3424" s="1285"/>
      <c r="L3424" s="1285"/>
    </row>
    <row r="3425" spans="1:12" ht="11.15" customHeight="1">
      <c r="A3425" s="355" t="s">
        <v>4716</v>
      </c>
      <c r="B3425" s="59" t="s">
        <v>20789</v>
      </c>
      <c r="C3425" s="147" t="s">
        <v>20221</v>
      </c>
      <c r="D3425" s="284" t="s">
        <v>897</v>
      </c>
      <c r="E3425" s="178">
        <v>2018</v>
      </c>
      <c r="F3425" s="178" t="s">
        <v>4520</v>
      </c>
      <c r="G3425" s="496"/>
      <c r="H3425" s="994" t="s">
        <v>20224</v>
      </c>
      <c r="I3425" s="12" t="s">
        <v>4717</v>
      </c>
      <c r="J3425" s="1285"/>
      <c r="K3425" s="1285"/>
      <c r="L3425" s="1285"/>
    </row>
    <row r="3426" spans="1:12" ht="11.15" customHeight="1">
      <c r="A3426" s="162" t="s">
        <v>4718</v>
      </c>
      <c r="B3426" s="154" t="s">
        <v>4719</v>
      </c>
      <c r="C3426" s="147"/>
      <c r="D3426" s="161"/>
      <c r="E3426" s="36"/>
      <c r="F3426" s="178"/>
      <c r="G3426" s="496"/>
      <c r="H3426" s="36"/>
      <c r="I3426" s="11"/>
    </row>
    <row r="3427" spans="1:12" ht="11.15" customHeight="1">
      <c r="A3427" s="162" t="s">
        <v>4720</v>
      </c>
      <c r="B3427" s="59" t="s">
        <v>20790</v>
      </c>
      <c r="C3427" s="147" t="s">
        <v>20221</v>
      </c>
      <c r="D3427" s="284" t="s">
        <v>897</v>
      </c>
      <c r="E3427" s="178">
        <v>2022</v>
      </c>
      <c r="F3427" s="178" t="s">
        <v>4520</v>
      </c>
      <c r="G3427" s="496"/>
      <c r="H3427" s="994" t="s">
        <v>20224</v>
      </c>
      <c r="I3427" s="12" t="s">
        <v>4721</v>
      </c>
      <c r="J3427" s="1285"/>
      <c r="K3427" s="1285"/>
      <c r="L3427" s="1285"/>
    </row>
    <row r="3428" spans="1:12" ht="11.15" customHeight="1">
      <c r="A3428" s="162" t="s">
        <v>4722</v>
      </c>
      <c r="B3428" s="59" t="s">
        <v>20790</v>
      </c>
      <c r="C3428" s="147" t="s">
        <v>20221</v>
      </c>
      <c r="D3428" s="284" t="s">
        <v>897</v>
      </c>
      <c r="E3428" s="178">
        <v>2021</v>
      </c>
      <c r="F3428" s="178" t="s">
        <v>4520</v>
      </c>
      <c r="G3428" s="496"/>
      <c r="H3428" s="994" t="s">
        <v>20224</v>
      </c>
      <c r="I3428" s="12" t="s">
        <v>4723</v>
      </c>
      <c r="J3428" s="1285"/>
      <c r="K3428" s="1285"/>
      <c r="L3428" s="1285"/>
    </row>
    <row r="3429" spans="1:12" ht="11.15" customHeight="1">
      <c r="A3429" s="162" t="s">
        <v>4724</v>
      </c>
      <c r="B3429" s="59" t="s">
        <v>20790</v>
      </c>
      <c r="C3429" s="147" t="s">
        <v>20221</v>
      </c>
      <c r="D3429" s="284" t="s">
        <v>897</v>
      </c>
      <c r="E3429" s="178">
        <v>2020</v>
      </c>
      <c r="F3429" s="178" t="s">
        <v>4520</v>
      </c>
      <c r="G3429" s="496"/>
      <c r="H3429" s="994" t="s">
        <v>20221</v>
      </c>
      <c r="I3429" s="12" t="s">
        <v>4725</v>
      </c>
      <c r="J3429" s="1285"/>
      <c r="K3429" s="1285"/>
      <c r="L3429" s="1285"/>
    </row>
    <row r="3430" spans="1:12" ht="11.15" customHeight="1">
      <c r="A3430" s="162" t="s">
        <v>4726</v>
      </c>
      <c r="B3430" s="59" t="s">
        <v>20790</v>
      </c>
      <c r="C3430" s="147" t="s">
        <v>20221</v>
      </c>
      <c r="D3430" s="284" t="s">
        <v>897</v>
      </c>
      <c r="E3430" s="178">
        <v>2019</v>
      </c>
      <c r="F3430" s="178" t="s">
        <v>4520</v>
      </c>
      <c r="G3430" s="496"/>
      <c r="H3430" s="994" t="s">
        <v>20221</v>
      </c>
      <c r="I3430" s="12" t="s">
        <v>4727</v>
      </c>
      <c r="J3430" s="1285"/>
      <c r="K3430" s="1285"/>
      <c r="L3430" s="1285"/>
    </row>
    <row r="3431" spans="1:12" ht="11.15" customHeight="1">
      <c r="A3431" s="162" t="s">
        <v>4728</v>
      </c>
      <c r="B3431" s="59" t="s">
        <v>20791</v>
      </c>
      <c r="C3431" s="147" t="s">
        <v>20221</v>
      </c>
      <c r="D3431" s="284" t="s">
        <v>897</v>
      </c>
      <c r="E3431" s="178">
        <v>2022</v>
      </c>
      <c r="F3431" s="178" t="s">
        <v>4520</v>
      </c>
      <c r="G3431" s="496"/>
      <c r="H3431" s="994" t="s">
        <v>20224</v>
      </c>
      <c r="I3431" s="12" t="s">
        <v>4729</v>
      </c>
      <c r="J3431" s="1285"/>
      <c r="K3431" s="1285"/>
      <c r="L3431" s="1285"/>
    </row>
    <row r="3432" spans="1:12" ht="11.15" customHeight="1">
      <c r="A3432" s="29" t="s">
        <v>4228</v>
      </c>
      <c r="B3432" s="59" t="s">
        <v>20791</v>
      </c>
      <c r="C3432" s="147" t="s">
        <v>20221</v>
      </c>
      <c r="D3432" s="284" t="s">
        <v>897</v>
      </c>
      <c r="E3432" s="178">
        <v>2021</v>
      </c>
      <c r="F3432" s="178" t="s">
        <v>4520</v>
      </c>
      <c r="G3432" s="496"/>
      <c r="H3432" s="994" t="s">
        <v>20224</v>
      </c>
      <c r="I3432" s="12" t="s">
        <v>4730</v>
      </c>
      <c r="J3432" s="1285"/>
      <c r="K3432" s="1285"/>
      <c r="L3432" s="1285"/>
    </row>
    <row r="3433" spans="1:12" ht="11.15" customHeight="1">
      <c r="A3433" s="166" t="s">
        <v>4731</v>
      </c>
      <c r="B3433" s="59" t="s">
        <v>20791</v>
      </c>
      <c r="C3433" s="147" t="s">
        <v>20221</v>
      </c>
      <c r="D3433" s="284" t="s">
        <v>897</v>
      </c>
      <c r="E3433" s="178">
        <v>2020</v>
      </c>
      <c r="F3433" s="178" t="s">
        <v>4520</v>
      </c>
      <c r="G3433" s="496"/>
      <c r="H3433" s="994" t="s">
        <v>20224</v>
      </c>
      <c r="I3433" s="12" t="s">
        <v>4732</v>
      </c>
      <c r="J3433" s="1285"/>
      <c r="K3433" s="1285"/>
      <c r="L3433" s="1285"/>
    </row>
    <row r="3434" spans="1:12" ht="11.15" customHeight="1">
      <c r="A3434" s="129" t="s">
        <v>4733</v>
      </c>
      <c r="B3434" s="59" t="s">
        <v>20791</v>
      </c>
      <c r="C3434" s="147" t="s">
        <v>20221</v>
      </c>
      <c r="D3434" s="284" t="s">
        <v>897</v>
      </c>
      <c r="E3434" s="178">
        <v>2019</v>
      </c>
      <c r="F3434" s="178" t="s">
        <v>4520</v>
      </c>
      <c r="G3434" s="496"/>
      <c r="H3434" s="994" t="s">
        <v>20221</v>
      </c>
      <c r="I3434" s="12" t="s">
        <v>4734</v>
      </c>
      <c r="J3434" s="1285"/>
      <c r="K3434" s="1285"/>
      <c r="L3434" s="1285"/>
    </row>
    <row r="3435" spans="1:12" ht="11.15" customHeight="1">
      <c r="A3435" s="129" t="s">
        <v>4735</v>
      </c>
      <c r="B3435" s="59" t="s">
        <v>20791</v>
      </c>
      <c r="C3435" s="147" t="s">
        <v>20221</v>
      </c>
      <c r="D3435" s="284" t="s">
        <v>897</v>
      </c>
      <c r="E3435" s="178">
        <v>2018</v>
      </c>
      <c r="F3435" s="178" t="s">
        <v>4520</v>
      </c>
      <c r="G3435" s="496"/>
      <c r="H3435" s="994" t="s">
        <v>20224</v>
      </c>
      <c r="I3435" s="12" t="s">
        <v>4736</v>
      </c>
      <c r="J3435" s="1285"/>
      <c r="K3435" s="1285"/>
      <c r="L3435" s="1285"/>
    </row>
    <row r="3436" spans="1:12" ht="11.15" customHeight="1">
      <c r="A3436" s="29"/>
      <c r="B3436" s="59" t="s">
        <v>20792</v>
      </c>
      <c r="C3436" s="147" t="s">
        <v>20221</v>
      </c>
      <c r="D3436" s="284" t="s">
        <v>897</v>
      </c>
      <c r="E3436" s="178">
        <v>2019</v>
      </c>
      <c r="F3436" s="178" t="s">
        <v>4520</v>
      </c>
      <c r="G3436" s="496"/>
      <c r="H3436" s="994" t="s">
        <v>20221</v>
      </c>
      <c r="I3436" s="12" t="s">
        <v>4737</v>
      </c>
      <c r="J3436" s="1285"/>
      <c r="K3436" s="1285"/>
      <c r="L3436" s="1285"/>
    </row>
    <row r="3437" spans="1:12" ht="11.15" customHeight="1">
      <c r="A3437" s="185"/>
      <c r="B3437" s="59" t="s">
        <v>20792</v>
      </c>
      <c r="C3437" s="147" t="s">
        <v>20221</v>
      </c>
      <c r="D3437" s="284" t="s">
        <v>897</v>
      </c>
      <c r="E3437" s="178">
        <v>2018</v>
      </c>
      <c r="F3437" s="178" t="s">
        <v>4520</v>
      </c>
      <c r="G3437" s="496"/>
      <c r="H3437" s="994" t="s">
        <v>20221</v>
      </c>
      <c r="I3437" s="12" t="s">
        <v>4738</v>
      </c>
      <c r="J3437" s="1285"/>
      <c r="K3437" s="1285"/>
      <c r="L3437" s="1285"/>
    </row>
    <row r="3438" spans="1:12" ht="11.15" customHeight="1">
      <c r="A3438" s="185"/>
      <c r="B3438" s="59" t="s">
        <v>20792</v>
      </c>
      <c r="C3438" s="147" t="s">
        <v>20221</v>
      </c>
      <c r="D3438" s="284" t="s">
        <v>897</v>
      </c>
      <c r="E3438" s="178">
        <v>2017</v>
      </c>
      <c r="F3438" s="178" t="s">
        <v>4520</v>
      </c>
      <c r="G3438" s="496"/>
      <c r="H3438" s="994" t="s">
        <v>20221</v>
      </c>
      <c r="I3438" s="12" t="s">
        <v>4739</v>
      </c>
      <c r="J3438" s="1285"/>
      <c r="K3438" s="1285"/>
      <c r="L3438" s="1285"/>
    </row>
    <row r="3439" spans="1:12" ht="11.15" customHeight="1">
      <c r="A3439" s="185"/>
      <c r="B3439" s="59" t="s">
        <v>20792</v>
      </c>
      <c r="C3439" s="147" t="s">
        <v>20221</v>
      </c>
      <c r="D3439" s="284" t="s">
        <v>897</v>
      </c>
      <c r="E3439" s="178">
        <v>2016</v>
      </c>
      <c r="F3439" s="178" t="s">
        <v>4520</v>
      </c>
      <c r="G3439" s="496"/>
      <c r="H3439" s="994" t="s">
        <v>20224</v>
      </c>
      <c r="I3439" s="12" t="s">
        <v>4740</v>
      </c>
      <c r="J3439" s="1285"/>
      <c r="K3439" s="1285"/>
      <c r="L3439" s="1285"/>
    </row>
    <row r="3440" spans="1:12" ht="11.15" customHeight="1">
      <c r="A3440" s="185"/>
      <c r="B3440" s="59" t="s">
        <v>20793</v>
      </c>
      <c r="C3440" s="147" t="s">
        <v>20221</v>
      </c>
      <c r="D3440" s="284" t="s">
        <v>897</v>
      </c>
      <c r="E3440" s="178">
        <v>2021</v>
      </c>
      <c r="F3440" s="178" t="s">
        <v>4520</v>
      </c>
      <c r="G3440" s="496"/>
      <c r="H3440" s="994" t="s">
        <v>20221</v>
      </c>
      <c r="I3440" s="12" t="s">
        <v>4741</v>
      </c>
      <c r="J3440" s="1285"/>
      <c r="K3440" s="1285"/>
      <c r="L3440" s="1285"/>
    </row>
    <row r="3441" spans="1:12" ht="11.15" customHeight="1">
      <c r="A3441" s="185"/>
      <c r="B3441" s="59" t="s">
        <v>20793</v>
      </c>
      <c r="C3441" s="147" t="s">
        <v>20221</v>
      </c>
      <c r="D3441" s="284" t="s">
        <v>897</v>
      </c>
      <c r="E3441" s="178">
        <v>2020</v>
      </c>
      <c r="F3441" s="178" t="s">
        <v>4520</v>
      </c>
      <c r="G3441" s="496"/>
      <c r="H3441" s="994" t="s">
        <v>20221</v>
      </c>
      <c r="I3441" s="12" t="s">
        <v>4742</v>
      </c>
      <c r="J3441" s="1285"/>
      <c r="K3441" s="1285"/>
      <c r="L3441" s="1285"/>
    </row>
    <row r="3442" spans="1:12" ht="11.15" customHeight="1">
      <c r="A3442" s="185"/>
      <c r="B3442" s="59" t="s">
        <v>20793</v>
      </c>
      <c r="C3442" s="147" t="s">
        <v>20221</v>
      </c>
      <c r="D3442" s="284" t="s">
        <v>897</v>
      </c>
      <c r="E3442" s="178">
        <v>2019</v>
      </c>
      <c r="F3442" s="178" t="s">
        <v>4520</v>
      </c>
      <c r="G3442" s="496"/>
      <c r="H3442" s="994" t="s">
        <v>20221</v>
      </c>
      <c r="I3442" s="12" t="s">
        <v>4743</v>
      </c>
      <c r="J3442" s="1285"/>
      <c r="K3442" s="1285"/>
      <c r="L3442" s="1285"/>
    </row>
    <row r="3443" spans="1:12" ht="11.15" customHeight="1">
      <c r="A3443" s="185"/>
      <c r="B3443" s="59" t="s">
        <v>20793</v>
      </c>
      <c r="C3443" s="147" t="s">
        <v>20221</v>
      </c>
      <c r="D3443" s="284" t="s">
        <v>897</v>
      </c>
      <c r="E3443" s="178">
        <v>2018</v>
      </c>
      <c r="F3443" s="178" t="s">
        <v>4520</v>
      </c>
      <c r="G3443" s="496"/>
      <c r="H3443" s="994" t="s">
        <v>20221</v>
      </c>
      <c r="I3443" s="12" t="s">
        <v>4744</v>
      </c>
      <c r="J3443" s="1285"/>
      <c r="K3443" s="1285"/>
      <c r="L3443" s="1285"/>
    </row>
    <row r="3444" spans="1:12" ht="11.15" customHeight="1">
      <c r="A3444" s="185"/>
      <c r="B3444" s="59" t="s">
        <v>20793</v>
      </c>
      <c r="C3444" s="147" t="s">
        <v>20221</v>
      </c>
      <c r="D3444" s="284" t="s">
        <v>897</v>
      </c>
      <c r="E3444" s="178">
        <v>2017</v>
      </c>
      <c r="F3444" s="178" t="s">
        <v>4520</v>
      </c>
      <c r="G3444" s="496"/>
      <c r="H3444" s="994" t="s">
        <v>20224</v>
      </c>
      <c r="I3444" s="12" t="s">
        <v>4745</v>
      </c>
      <c r="J3444" s="1285"/>
      <c r="K3444" s="1285"/>
      <c r="L3444" s="1285"/>
    </row>
    <row r="3445" spans="1:12" ht="11.15" customHeight="1">
      <c r="A3445" s="185"/>
      <c r="B3445" s="59" t="s">
        <v>20793</v>
      </c>
      <c r="C3445" s="147" t="s">
        <v>20221</v>
      </c>
      <c r="D3445" s="284" t="s">
        <v>897</v>
      </c>
      <c r="E3445" s="178">
        <v>2016</v>
      </c>
      <c r="F3445" s="178" t="s">
        <v>4520</v>
      </c>
      <c r="G3445" s="496"/>
      <c r="H3445" s="994" t="s">
        <v>20224</v>
      </c>
      <c r="I3445" s="12" t="s">
        <v>4746</v>
      </c>
      <c r="J3445" s="1285"/>
      <c r="K3445" s="1285"/>
      <c r="L3445" s="1285"/>
    </row>
    <row r="3446" spans="1:12" ht="11.15" customHeight="1">
      <c r="A3446" s="185"/>
      <c r="B3446" s="59" t="s">
        <v>20793</v>
      </c>
      <c r="C3446" s="147" t="s">
        <v>20221</v>
      </c>
      <c r="D3446" s="284" t="s">
        <v>897</v>
      </c>
      <c r="E3446" s="178">
        <v>2015</v>
      </c>
      <c r="F3446" s="178" t="s">
        <v>4520</v>
      </c>
      <c r="G3446" s="496"/>
      <c r="H3446" s="994" t="s">
        <v>20224</v>
      </c>
      <c r="I3446" s="12" t="s">
        <v>4747</v>
      </c>
      <c r="J3446" s="1285"/>
      <c r="K3446" s="1285"/>
      <c r="L3446" s="1285"/>
    </row>
    <row r="3447" spans="1:12" ht="11.15" customHeight="1">
      <c r="A3447" s="185"/>
      <c r="B3447" s="154" t="s">
        <v>4748</v>
      </c>
      <c r="C3447" s="147"/>
      <c r="D3447" s="161"/>
      <c r="E3447" s="36"/>
      <c r="F3447" s="178"/>
      <c r="G3447" s="496"/>
      <c r="H3447" s="36"/>
      <c r="I3447" s="11"/>
    </row>
    <row r="3448" spans="1:12" ht="11.15" customHeight="1">
      <c r="A3448" s="185"/>
      <c r="B3448" s="59" t="s">
        <v>20794</v>
      </c>
      <c r="C3448" s="147" t="s">
        <v>20221</v>
      </c>
      <c r="D3448" s="284" t="s">
        <v>897</v>
      </c>
      <c r="E3448" s="178">
        <v>2022</v>
      </c>
      <c r="F3448" s="178" t="s">
        <v>4520</v>
      </c>
      <c r="G3448" s="496"/>
      <c r="H3448" s="994" t="s">
        <v>20221</v>
      </c>
      <c r="I3448" s="12" t="s">
        <v>4749</v>
      </c>
      <c r="J3448" s="1285"/>
      <c r="K3448" s="1285"/>
      <c r="L3448" s="1285"/>
    </row>
    <row r="3449" spans="1:12" ht="11.15" customHeight="1">
      <c r="A3449" s="185"/>
      <c r="B3449" s="59" t="s">
        <v>20794</v>
      </c>
      <c r="C3449" s="147" t="s">
        <v>20221</v>
      </c>
      <c r="D3449" s="284" t="s">
        <v>897</v>
      </c>
      <c r="E3449" s="178">
        <v>2021</v>
      </c>
      <c r="F3449" s="178" t="s">
        <v>4520</v>
      </c>
      <c r="G3449" s="496"/>
      <c r="H3449" s="994" t="s">
        <v>20221</v>
      </c>
      <c r="I3449" s="12" t="s">
        <v>4750</v>
      </c>
      <c r="J3449" s="1285"/>
      <c r="K3449" s="1285"/>
      <c r="L3449" s="1285"/>
    </row>
    <row r="3450" spans="1:12" ht="11.15" customHeight="1">
      <c r="A3450" s="185"/>
      <c r="B3450" s="59" t="s">
        <v>20794</v>
      </c>
      <c r="C3450" s="147" t="s">
        <v>20221</v>
      </c>
      <c r="D3450" s="284" t="s">
        <v>897</v>
      </c>
      <c r="E3450" s="178">
        <v>2020</v>
      </c>
      <c r="F3450" s="178" t="s">
        <v>4520</v>
      </c>
      <c r="G3450" s="496"/>
      <c r="H3450" s="994" t="s">
        <v>20221</v>
      </c>
      <c r="I3450" s="12" t="s">
        <v>4751</v>
      </c>
      <c r="J3450" s="1285"/>
      <c r="K3450" s="1285"/>
      <c r="L3450" s="1285"/>
    </row>
    <row r="3451" spans="1:12" ht="11.15" customHeight="1">
      <c r="A3451" s="185"/>
      <c r="B3451" s="59" t="s">
        <v>20794</v>
      </c>
      <c r="C3451" s="147" t="s">
        <v>20221</v>
      </c>
      <c r="D3451" s="284" t="s">
        <v>897</v>
      </c>
      <c r="E3451" s="178">
        <v>2019</v>
      </c>
      <c r="F3451" s="178" t="s">
        <v>4520</v>
      </c>
      <c r="G3451" s="496"/>
      <c r="H3451" s="994" t="s">
        <v>20221</v>
      </c>
      <c r="I3451" s="12" t="s">
        <v>4752</v>
      </c>
      <c r="J3451" s="1285"/>
      <c r="K3451" s="1285"/>
      <c r="L3451" s="1285"/>
    </row>
    <row r="3452" spans="1:12" ht="11.15" customHeight="1">
      <c r="A3452" s="185"/>
      <c r="B3452" s="59" t="s">
        <v>20794</v>
      </c>
      <c r="C3452" s="147" t="s">
        <v>20221</v>
      </c>
      <c r="D3452" s="284" t="s">
        <v>897</v>
      </c>
      <c r="E3452" s="178">
        <v>2018</v>
      </c>
      <c r="F3452" s="178" t="s">
        <v>4520</v>
      </c>
      <c r="G3452" s="496"/>
      <c r="H3452" s="994" t="s">
        <v>20224</v>
      </c>
      <c r="I3452" s="12" t="s">
        <v>4753</v>
      </c>
      <c r="J3452" s="1285"/>
      <c r="K3452" s="1285"/>
      <c r="L3452" s="1285"/>
    </row>
    <row r="3453" spans="1:12" ht="11.15" customHeight="1">
      <c r="A3453" s="185"/>
      <c r="B3453" s="59" t="s">
        <v>20794</v>
      </c>
      <c r="C3453" s="147" t="s">
        <v>20221</v>
      </c>
      <c r="D3453" s="284" t="s">
        <v>897</v>
      </c>
      <c r="E3453" s="178">
        <v>2017</v>
      </c>
      <c r="F3453" s="178" t="s">
        <v>4520</v>
      </c>
      <c r="G3453" s="496"/>
      <c r="H3453" s="994" t="s">
        <v>20224</v>
      </c>
      <c r="I3453" s="12" t="s">
        <v>4754</v>
      </c>
      <c r="J3453" s="1285"/>
      <c r="K3453" s="1285"/>
      <c r="L3453" s="1285"/>
    </row>
    <row r="3454" spans="1:12" ht="11.15" customHeight="1">
      <c r="A3454" s="185"/>
      <c r="B3454" s="59" t="s">
        <v>20794</v>
      </c>
      <c r="C3454" s="147" t="s">
        <v>20221</v>
      </c>
      <c r="D3454" s="284" t="s">
        <v>897</v>
      </c>
      <c r="E3454" s="178">
        <v>2016</v>
      </c>
      <c r="F3454" s="178" t="s">
        <v>4520</v>
      </c>
      <c r="G3454" s="496"/>
      <c r="H3454" s="994" t="s">
        <v>20224</v>
      </c>
      <c r="I3454" s="12" t="s">
        <v>4755</v>
      </c>
      <c r="J3454" s="1285"/>
      <c r="K3454" s="1285"/>
      <c r="L3454" s="1285"/>
    </row>
    <row r="3455" spans="1:12" ht="11.15" customHeight="1">
      <c r="A3455" s="185"/>
      <c r="B3455" s="59" t="s">
        <v>20795</v>
      </c>
      <c r="C3455" s="147" t="s">
        <v>20221</v>
      </c>
      <c r="D3455" s="284" t="s">
        <v>897</v>
      </c>
      <c r="E3455" s="178">
        <v>2021</v>
      </c>
      <c r="F3455" s="178" t="s">
        <v>4520</v>
      </c>
      <c r="G3455" s="496"/>
      <c r="H3455" s="994" t="s">
        <v>20224</v>
      </c>
      <c r="I3455" s="12" t="s">
        <v>4756</v>
      </c>
      <c r="J3455" s="1285"/>
      <c r="K3455" s="1285"/>
      <c r="L3455" s="1285"/>
    </row>
    <row r="3456" spans="1:12" ht="11.15" customHeight="1">
      <c r="A3456" s="185"/>
      <c r="B3456" s="59" t="s">
        <v>20795</v>
      </c>
      <c r="C3456" s="147" t="s">
        <v>20221</v>
      </c>
      <c r="D3456" s="284" t="s">
        <v>897</v>
      </c>
      <c r="E3456" s="178">
        <v>2020</v>
      </c>
      <c r="F3456" s="178" t="s">
        <v>4520</v>
      </c>
      <c r="G3456" s="496"/>
      <c r="H3456" s="994" t="s">
        <v>20224</v>
      </c>
      <c r="I3456" s="12" t="s">
        <v>4757</v>
      </c>
      <c r="J3456" s="1285"/>
      <c r="K3456" s="1285"/>
      <c r="L3456" s="1285"/>
    </row>
    <row r="3457" spans="1:12" ht="11.15" customHeight="1">
      <c r="A3457" s="185"/>
      <c r="B3457" s="59" t="s">
        <v>20795</v>
      </c>
      <c r="C3457" s="147" t="s">
        <v>20221</v>
      </c>
      <c r="D3457" s="284" t="s">
        <v>897</v>
      </c>
      <c r="E3457" s="178">
        <v>2017</v>
      </c>
      <c r="F3457" s="178" t="s">
        <v>4520</v>
      </c>
      <c r="G3457" s="496"/>
      <c r="H3457" s="994" t="s">
        <v>20224</v>
      </c>
      <c r="I3457" s="12" t="s">
        <v>4758</v>
      </c>
      <c r="J3457" s="1285"/>
      <c r="K3457" s="1285"/>
      <c r="L3457" s="1285"/>
    </row>
    <row r="3458" spans="1:12" ht="11.15" customHeight="1">
      <c r="A3458" s="185"/>
      <c r="B3458" s="59" t="s">
        <v>20796</v>
      </c>
      <c r="C3458" s="147" t="s">
        <v>20221</v>
      </c>
      <c r="D3458" s="284" t="s">
        <v>897</v>
      </c>
      <c r="E3458" s="178">
        <v>2022</v>
      </c>
      <c r="F3458" s="178" t="s">
        <v>23394</v>
      </c>
      <c r="G3458" s="496"/>
      <c r="H3458" s="994" t="s">
        <v>20224</v>
      </c>
      <c r="I3458" s="11" t="s">
        <v>4759</v>
      </c>
      <c r="J3458" s="1285"/>
      <c r="K3458" s="1285"/>
      <c r="L3458" s="1285"/>
    </row>
    <row r="3459" spans="1:12" ht="11.15" customHeight="1">
      <c r="A3459" s="185"/>
      <c r="B3459" s="59" t="s">
        <v>20796</v>
      </c>
      <c r="C3459" s="147" t="s">
        <v>20221</v>
      </c>
      <c r="D3459" s="284" t="s">
        <v>897</v>
      </c>
      <c r="E3459" s="178">
        <v>2021</v>
      </c>
      <c r="F3459" s="178" t="s">
        <v>23394</v>
      </c>
      <c r="G3459" s="496"/>
      <c r="H3459" s="994" t="s">
        <v>20224</v>
      </c>
      <c r="I3459" s="12" t="s">
        <v>4760</v>
      </c>
      <c r="J3459" s="1285"/>
      <c r="K3459" s="1285"/>
      <c r="L3459" s="1285"/>
    </row>
    <row r="3460" spans="1:12" ht="11.15" customHeight="1">
      <c r="A3460" s="185"/>
      <c r="B3460" s="59" t="s">
        <v>20796</v>
      </c>
      <c r="C3460" s="147" t="s">
        <v>20221</v>
      </c>
      <c r="D3460" s="284" t="s">
        <v>897</v>
      </c>
      <c r="E3460" s="178">
        <v>2020</v>
      </c>
      <c r="F3460" s="178" t="s">
        <v>23394</v>
      </c>
      <c r="G3460" s="496"/>
      <c r="H3460" s="994" t="s">
        <v>20224</v>
      </c>
      <c r="I3460" s="12" t="s">
        <v>4761</v>
      </c>
      <c r="J3460" s="1285"/>
      <c r="K3460" s="1285"/>
      <c r="L3460" s="1285"/>
    </row>
    <row r="3461" spans="1:12" ht="11.15" customHeight="1">
      <c r="A3461" s="185"/>
      <c r="B3461" s="59" t="s">
        <v>20797</v>
      </c>
      <c r="C3461" s="147" t="s">
        <v>20221</v>
      </c>
      <c r="D3461" s="284" t="s">
        <v>897</v>
      </c>
      <c r="E3461" s="178">
        <v>2022</v>
      </c>
      <c r="F3461" s="178" t="s">
        <v>23394</v>
      </c>
      <c r="G3461" s="496"/>
      <c r="H3461" s="994" t="s">
        <v>20224</v>
      </c>
      <c r="I3461" s="12" t="s">
        <v>4762</v>
      </c>
      <c r="J3461" s="1285"/>
      <c r="K3461" s="1285"/>
      <c r="L3461" s="1285"/>
    </row>
    <row r="3462" spans="1:12" ht="11.15" customHeight="1">
      <c r="A3462" s="185"/>
      <c r="B3462" s="59" t="s">
        <v>20797</v>
      </c>
      <c r="C3462" s="147" t="s">
        <v>20221</v>
      </c>
      <c r="D3462" s="284" t="s">
        <v>897</v>
      </c>
      <c r="E3462" s="178">
        <v>2019</v>
      </c>
      <c r="F3462" s="178" t="s">
        <v>23394</v>
      </c>
      <c r="G3462" s="496"/>
      <c r="H3462" s="994" t="s">
        <v>20224</v>
      </c>
      <c r="I3462" s="12" t="s">
        <v>4763</v>
      </c>
      <c r="J3462" s="1285"/>
      <c r="K3462" s="1285"/>
      <c r="L3462" s="1285"/>
    </row>
    <row r="3463" spans="1:12" ht="11.15" customHeight="1">
      <c r="A3463" s="185"/>
      <c r="B3463" s="59" t="s">
        <v>20797</v>
      </c>
      <c r="C3463" s="147" t="s">
        <v>20221</v>
      </c>
      <c r="D3463" s="284" t="s">
        <v>897</v>
      </c>
      <c r="E3463" s="178">
        <v>2018</v>
      </c>
      <c r="F3463" s="178" t="s">
        <v>4520</v>
      </c>
      <c r="G3463" s="496"/>
      <c r="H3463" s="994" t="s">
        <v>20224</v>
      </c>
      <c r="I3463" s="12" t="s">
        <v>4764</v>
      </c>
      <c r="J3463" s="1285"/>
      <c r="K3463" s="1285"/>
      <c r="L3463" s="1285"/>
    </row>
    <row r="3464" spans="1:12" ht="11.15" customHeight="1">
      <c r="A3464" s="185"/>
      <c r="B3464" s="59" t="s">
        <v>20798</v>
      </c>
      <c r="C3464" s="147" t="s">
        <v>20221</v>
      </c>
      <c r="D3464" s="284" t="s">
        <v>897</v>
      </c>
      <c r="E3464" s="178">
        <v>2022</v>
      </c>
      <c r="F3464" s="178" t="s">
        <v>4520</v>
      </c>
      <c r="G3464" s="496"/>
      <c r="H3464" s="994" t="s">
        <v>20224</v>
      </c>
      <c r="I3464" s="12" t="s">
        <v>4765</v>
      </c>
      <c r="J3464" s="1285"/>
      <c r="K3464" s="1285"/>
      <c r="L3464" s="1285"/>
    </row>
    <row r="3465" spans="1:12" ht="11.15" customHeight="1">
      <c r="A3465" s="185"/>
      <c r="B3465" s="59" t="s">
        <v>20798</v>
      </c>
      <c r="C3465" s="147" t="s">
        <v>20221</v>
      </c>
      <c r="D3465" s="284" t="s">
        <v>897</v>
      </c>
      <c r="E3465" s="178">
        <v>2021</v>
      </c>
      <c r="F3465" s="178" t="s">
        <v>4520</v>
      </c>
      <c r="G3465" s="496"/>
      <c r="H3465" s="994" t="s">
        <v>20224</v>
      </c>
      <c r="I3465" s="12" t="s">
        <v>4766</v>
      </c>
      <c r="J3465" s="1285"/>
      <c r="K3465" s="1285"/>
      <c r="L3465" s="1285"/>
    </row>
    <row r="3466" spans="1:12" ht="11.15" customHeight="1">
      <c r="A3466" s="185"/>
      <c r="B3466" s="59" t="s">
        <v>20798</v>
      </c>
      <c r="C3466" s="147" t="s">
        <v>20221</v>
      </c>
      <c r="D3466" s="284" t="s">
        <v>897</v>
      </c>
      <c r="E3466" s="178">
        <v>2020</v>
      </c>
      <c r="F3466" s="178" t="s">
        <v>4520</v>
      </c>
      <c r="G3466" s="496"/>
      <c r="H3466" s="994" t="s">
        <v>20224</v>
      </c>
      <c r="I3466" s="12" t="s">
        <v>4767</v>
      </c>
      <c r="J3466" s="1285"/>
      <c r="K3466" s="1285"/>
      <c r="L3466" s="1285"/>
    </row>
    <row r="3467" spans="1:12" ht="11.15" customHeight="1">
      <c r="A3467" s="185"/>
      <c r="B3467" s="59" t="s">
        <v>20798</v>
      </c>
      <c r="C3467" s="147" t="s">
        <v>20221</v>
      </c>
      <c r="D3467" s="284" t="s">
        <v>897</v>
      </c>
      <c r="E3467" s="178">
        <v>2019</v>
      </c>
      <c r="F3467" s="178" t="s">
        <v>4520</v>
      </c>
      <c r="G3467" s="496"/>
      <c r="H3467" s="994" t="s">
        <v>20221</v>
      </c>
      <c r="I3467" s="12" t="s">
        <v>4768</v>
      </c>
      <c r="J3467" s="1285"/>
      <c r="K3467" s="1285"/>
      <c r="L3467" s="1285"/>
    </row>
    <row r="3468" spans="1:12" ht="11.15" customHeight="1">
      <c r="A3468" s="185"/>
      <c r="B3468" s="59" t="s">
        <v>20798</v>
      </c>
      <c r="C3468" s="147" t="s">
        <v>20221</v>
      </c>
      <c r="D3468" s="284" t="s">
        <v>897</v>
      </c>
      <c r="E3468" s="178">
        <v>2018</v>
      </c>
      <c r="F3468" s="178" t="s">
        <v>4520</v>
      </c>
      <c r="G3468" s="496"/>
      <c r="H3468" s="994" t="s">
        <v>20224</v>
      </c>
      <c r="I3468" s="12" t="s">
        <v>4769</v>
      </c>
      <c r="J3468" s="1285"/>
      <c r="K3468" s="1285"/>
      <c r="L3468" s="1285"/>
    </row>
    <row r="3469" spans="1:12" ht="11.15" customHeight="1">
      <c r="A3469" s="185"/>
      <c r="B3469" s="59" t="s">
        <v>20798</v>
      </c>
      <c r="C3469" s="147" t="s">
        <v>20221</v>
      </c>
      <c r="D3469" s="284" t="s">
        <v>897</v>
      </c>
      <c r="E3469" s="178">
        <v>2017</v>
      </c>
      <c r="F3469" s="178" t="s">
        <v>4520</v>
      </c>
      <c r="G3469" s="496"/>
      <c r="H3469" s="994" t="s">
        <v>20224</v>
      </c>
      <c r="I3469" s="12" t="s">
        <v>4770</v>
      </c>
      <c r="J3469" s="1285"/>
      <c r="K3469" s="1285"/>
      <c r="L3469" s="1285"/>
    </row>
    <row r="3470" spans="1:12" ht="11.15" customHeight="1">
      <c r="A3470" s="185"/>
      <c r="B3470" s="59" t="s">
        <v>20798</v>
      </c>
      <c r="C3470" s="147" t="s">
        <v>20221</v>
      </c>
      <c r="D3470" s="284" t="s">
        <v>897</v>
      </c>
      <c r="E3470" s="178">
        <v>2016</v>
      </c>
      <c r="F3470" s="178" t="s">
        <v>4520</v>
      </c>
      <c r="G3470" s="496"/>
      <c r="H3470" s="994" t="s">
        <v>20224</v>
      </c>
      <c r="I3470" s="12" t="s">
        <v>4771</v>
      </c>
      <c r="J3470" s="1285"/>
      <c r="K3470" s="1285"/>
      <c r="L3470" s="1285"/>
    </row>
    <row r="3471" spans="1:12" ht="11.15" customHeight="1">
      <c r="A3471" s="185"/>
      <c r="B3471" s="59" t="s">
        <v>20799</v>
      </c>
      <c r="C3471" s="147" t="s">
        <v>20221</v>
      </c>
      <c r="D3471" s="284" t="s">
        <v>897</v>
      </c>
      <c r="E3471" s="178">
        <v>2022</v>
      </c>
      <c r="F3471" s="178" t="s">
        <v>4520</v>
      </c>
      <c r="G3471" s="496"/>
      <c r="H3471" s="994" t="s">
        <v>20221</v>
      </c>
      <c r="I3471" s="12" t="s">
        <v>4772</v>
      </c>
      <c r="J3471" s="1285"/>
      <c r="K3471" s="1285"/>
      <c r="L3471" s="1285"/>
    </row>
    <row r="3472" spans="1:12" ht="11.15" customHeight="1">
      <c r="A3472" s="185"/>
      <c r="B3472" s="59" t="s">
        <v>20800</v>
      </c>
      <c r="C3472" s="147" t="s">
        <v>20221</v>
      </c>
      <c r="D3472" s="284" t="s">
        <v>897</v>
      </c>
      <c r="E3472" s="178">
        <v>2022</v>
      </c>
      <c r="F3472" s="178" t="s">
        <v>9658</v>
      </c>
      <c r="G3472" s="496"/>
      <c r="H3472" s="994" t="s">
        <v>20224</v>
      </c>
      <c r="I3472" s="12" t="s">
        <v>4773</v>
      </c>
      <c r="J3472" s="1285"/>
      <c r="K3472" s="1285"/>
      <c r="L3472" s="1285"/>
    </row>
    <row r="3473" spans="1:12" ht="11.15" customHeight="1">
      <c r="A3473" s="185"/>
      <c r="B3473" s="154" t="s">
        <v>4774</v>
      </c>
      <c r="C3473" s="147"/>
      <c r="D3473" s="161"/>
      <c r="E3473" s="36"/>
      <c r="F3473" s="178"/>
      <c r="G3473" s="496"/>
      <c r="H3473" s="36"/>
      <c r="I3473" s="11"/>
    </row>
    <row r="3474" spans="1:12" ht="11.15" customHeight="1">
      <c r="A3474" s="185"/>
      <c r="B3474" s="59" t="s">
        <v>20801</v>
      </c>
      <c r="C3474" s="147" t="s">
        <v>20221</v>
      </c>
      <c r="D3474" s="284" t="s">
        <v>897</v>
      </c>
      <c r="E3474" s="178">
        <v>2019</v>
      </c>
      <c r="F3474" s="178" t="s">
        <v>11938</v>
      </c>
      <c r="G3474" s="496"/>
      <c r="H3474" s="994" t="s">
        <v>20224</v>
      </c>
      <c r="I3474" s="12" t="s">
        <v>4775</v>
      </c>
      <c r="J3474" s="1285"/>
      <c r="K3474" s="1285"/>
      <c r="L3474" s="1285"/>
    </row>
    <row r="3475" spans="1:12" ht="11.15" customHeight="1">
      <c r="A3475" s="185"/>
      <c r="B3475" s="59" t="s">
        <v>20802</v>
      </c>
      <c r="C3475" s="147" t="s">
        <v>20221</v>
      </c>
      <c r="D3475" s="284" t="s">
        <v>897</v>
      </c>
      <c r="E3475" s="178">
        <v>2019</v>
      </c>
      <c r="F3475" s="178" t="s">
        <v>11938</v>
      </c>
      <c r="G3475" s="496"/>
      <c r="H3475" s="994" t="s">
        <v>20224</v>
      </c>
      <c r="I3475" s="12" t="s">
        <v>4776</v>
      </c>
      <c r="J3475" s="1285"/>
      <c r="K3475" s="1285"/>
      <c r="L3475" s="1285"/>
    </row>
    <row r="3476" spans="1:12" ht="11.15" customHeight="1">
      <c r="A3476" s="185"/>
      <c r="B3476" s="59" t="s">
        <v>20803</v>
      </c>
      <c r="C3476" s="147" t="s">
        <v>20221</v>
      </c>
      <c r="D3476" s="284" t="s">
        <v>897</v>
      </c>
      <c r="E3476" s="178">
        <v>2019</v>
      </c>
      <c r="F3476" s="178" t="s">
        <v>9678</v>
      </c>
      <c r="G3476" s="496"/>
      <c r="H3476" s="994" t="s">
        <v>20224</v>
      </c>
      <c r="I3476" s="12" t="s">
        <v>4777</v>
      </c>
      <c r="J3476" s="1285"/>
      <c r="K3476" s="1285"/>
      <c r="L3476" s="1285"/>
    </row>
    <row r="3477" spans="1:12" ht="11.15" customHeight="1">
      <c r="A3477" s="185"/>
      <c r="B3477" s="59" t="s">
        <v>20804</v>
      </c>
      <c r="C3477" s="147" t="s">
        <v>20221</v>
      </c>
      <c r="D3477" s="284" t="s">
        <v>897</v>
      </c>
      <c r="E3477" s="178">
        <v>2019</v>
      </c>
      <c r="F3477" s="178" t="s">
        <v>11938</v>
      </c>
      <c r="G3477" s="496"/>
      <c r="H3477" s="994" t="s">
        <v>20224</v>
      </c>
      <c r="I3477" s="12" t="s">
        <v>4778</v>
      </c>
      <c r="J3477" s="1285"/>
      <c r="K3477" s="1285"/>
      <c r="L3477" s="1285"/>
    </row>
    <row r="3478" spans="1:12" ht="11.15" customHeight="1">
      <c r="A3478" s="185"/>
      <c r="B3478" s="185"/>
      <c r="C3478" s="147"/>
      <c r="D3478" s="185"/>
      <c r="E3478" s="185"/>
      <c r="F3478" s="185"/>
      <c r="G3478" s="185"/>
      <c r="H3478" s="185"/>
      <c r="I3478" s="11"/>
    </row>
    <row r="3479" spans="1:12" ht="11.15" customHeight="1">
      <c r="A3479" s="29"/>
      <c r="B3479" s="146" t="s">
        <v>4779</v>
      </c>
      <c r="C3479" s="147"/>
      <c r="D3479" s="129"/>
      <c r="E3479" s="185"/>
      <c r="F3479" s="185"/>
      <c r="G3479" s="496"/>
      <c r="H3479" s="185"/>
      <c r="I3479" s="11"/>
    </row>
    <row r="3480" spans="1:12" ht="9" customHeight="1">
      <c r="A3480" s="29"/>
      <c r="B3480" s="209" t="s">
        <v>4780</v>
      </c>
      <c r="C3480" s="147"/>
      <c r="D3480" s="129"/>
      <c r="E3480" s="185"/>
      <c r="F3480" s="185"/>
      <c r="G3480" s="496"/>
      <c r="H3480" s="185"/>
      <c r="I3480" s="11"/>
    </row>
    <row r="3481" spans="1:12" ht="9" customHeight="1">
      <c r="A3481" s="185"/>
      <c r="B3481" s="150" t="s">
        <v>4781</v>
      </c>
      <c r="C3481" s="147"/>
      <c r="D3481" s="129"/>
      <c r="E3481" s="185"/>
      <c r="F3481" s="185"/>
      <c r="G3481" s="496"/>
      <c r="H3481" s="185"/>
      <c r="I3481" s="11"/>
    </row>
    <row r="3482" spans="1:12" ht="9" customHeight="1">
      <c r="A3482" s="185"/>
      <c r="B3482" s="420" t="s">
        <v>4782</v>
      </c>
      <c r="C3482" s="147"/>
      <c r="D3482" s="122"/>
      <c r="E3482" s="36"/>
      <c r="F3482" s="183"/>
      <c r="G3482" s="496"/>
      <c r="H3482" s="34"/>
      <c r="I3482" s="11"/>
    </row>
    <row r="3483" spans="1:12" ht="9" customHeight="1">
      <c r="A3483" s="29"/>
      <c r="B3483" s="150" t="s">
        <v>4783</v>
      </c>
      <c r="C3483" s="147"/>
      <c r="D3483" s="129"/>
      <c r="E3483" s="185"/>
      <c r="F3483" s="185"/>
      <c r="G3483" s="496"/>
      <c r="H3483" s="185"/>
      <c r="I3483" s="11"/>
    </row>
    <row r="3484" spans="1:12" ht="9" customHeight="1">
      <c r="A3484" s="29"/>
      <c r="B3484" s="150" t="s">
        <v>4784</v>
      </c>
      <c r="C3484" s="147"/>
      <c r="D3484" s="129"/>
      <c r="E3484" s="185"/>
      <c r="F3484" s="185"/>
      <c r="G3484" s="496"/>
      <c r="H3484" s="185"/>
      <c r="I3484" s="11"/>
    </row>
    <row r="3485" spans="1:12" ht="9" customHeight="1">
      <c r="A3485" s="29"/>
      <c r="B3485" s="150" t="s">
        <v>4785</v>
      </c>
      <c r="C3485" s="147"/>
      <c r="D3485" s="129"/>
      <c r="E3485" s="185"/>
      <c r="F3485" s="185"/>
      <c r="G3485" s="496"/>
      <c r="H3485" s="185"/>
      <c r="I3485" s="11"/>
    </row>
    <row r="3486" spans="1:12" ht="9" customHeight="1">
      <c r="A3486" s="185"/>
      <c r="B3486" s="209" t="s">
        <v>4786</v>
      </c>
      <c r="C3486" s="147"/>
      <c r="D3486" s="122"/>
      <c r="E3486" s="36"/>
      <c r="F3486" s="183"/>
      <c r="G3486" s="1217"/>
      <c r="H3486" s="34"/>
      <c r="I3486" s="11"/>
    </row>
    <row r="3487" spans="1:12" ht="9" customHeight="1">
      <c r="A3487" s="185"/>
      <c r="B3487" s="150" t="s">
        <v>4787</v>
      </c>
      <c r="C3487" s="147"/>
      <c r="D3487" s="122"/>
      <c r="E3487" s="36"/>
      <c r="F3487" s="183"/>
      <c r="G3487" s="1217"/>
      <c r="H3487" s="34"/>
      <c r="I3487" s="11"/>
    </row>
    <row r="3488" spans="1:12" ht="9" customHeight="1">
      <c r="A3488" s="29"/>
      <c r="B3488" s="209" t="s">
        <v>4788</v>
      </c>
      <c r="C3488" s="147"/>
      <c r="D3488" s="122"/>
      <c r="E3488" s="36"/>
      <c r="F3488" s="183"/>
      <c r="G3488" s="1217"/>
      <c r="H3488" s="34"/>
      <c r="I3488" s="11"/>
    </row>
    <row r="3489" spans="1:12" ht="9" customHeight="1">
      <c r="A3489" s="29"/>
      <c r="B3489" s="209" t="s">
        <v>4789</v>
      </c>
      <c r="C3489" s="147"/>
      <c r="D3489" s="122"/>
      <c r="E3489" s="36"/>
      <c r="F3489" s="183"/>
      <c r="G3489" s="1217"/>
      <c r="H3489" s="34"/>
      <c r="I3489" s="11"/>
    </row>
    <row r="3490" spans="1:12" ht="11.15" customHeight="1">
      <c r="A3490" s="29"/>
      <c r="B3490" s="146" t="s">
        <v>4790</v>
      </c>
      <c r="C3490" s="147"/>
      <c r="D3490" s="129"/>
      <c r="E3490" s="185"/>
      <c r="F3490" s="185"/>
      <c r="G3490" s="496"/>
      <c r="H3490" s="185"/>
      <c r="I3490" s="11"/>
    </row>
    <row r="3491" spans="1:12" ht="9" customHeight="1">
      <c r="A3491" s="185"/>
      <c r="B3491" s="150" t="s">
        <v>4791</v>
      </c>
      <c r="C3491" s="147"/>
      <c r="D3491" s="129"/>
      <c r="E3491" s="185"/>
      <c r="F3491" s="185"/>
      <c r="G3491" s="496"/>
      <c r="H3491" s="185"/>
      <c r="I3491" s="11"/>
    </row>
    <row r="3492" spans="1:12" ht="9" customHeight="1">
      <c r="A3492" s="185"/>
      <c r="B3492" s="152" t="s">
        <v>4792</v>
      </c>
      <c r="C3492" s="147"/>
      <c r="D3492" s="129"/>
      <c r="E3492" s="185"/>
      <c r="F3492" s="185"/>
      <c r="G3492" s="496"/>
      <c r="H3492" s="185"/>
      <c r="I3492" s="11"/>
    </row>
    <row r="3493" spans="1:12" ht="9" customHeight="1">
      <c r="A3493" s="185"/>
      <c r="B3493" s="152" t="s">
        <v>4793</v>
      </c>
      <c r="C3493" s="147"/>
      <c r="D3493" s="129"/>
      <c r="E3493" s="185"/>
      <c r="F3493" s="185"/>
      <c r="G3493" s="496"/>
      <c r="H3493" s="185"/>
      <c r="I3493" s="11"/>
    </row>
    <row r="3494" spans="1:12" ht="9" customHeight="1">
      <c r="A3494" s="185"/>
      <c r="B3494" s="152" t="s">
        <v>4794</v>
      </c>
      <c r="C3494" s="147"/>
      <c r="D3494" s="129"/>
      <c r="E3494" s="185"/>
      <c r="F3494" s="185"/>
      <c r="G3494" s="496"/>
      <c r="H3494" s="185"/>
      <c r="I3494" s="11"/>
    </row>
    <row r="3495" spans="1:12" ht="9" customHeight="1">
      <c r="A3495" s="185"/>
      <c r="B3495" s="152" t="s">
        <v>4795</v>
      </c>
      <c r="C3495" s="147"/>
      <c r="D3495" s="129"/>
      <c r="E3495" s="185"/>
      <c r="F3495" s="185"/>
      <c r="G3495" s="496"/>
      <c r="H3495" s="185"/>
      <c r="I3495" s="11"/>
    </row>
    <row r="3496" spans="1:12" ht="9" customHeight="1" thickBot="1">
      <c r="A3496" s="185"/>
      <c r="B3496" s="152" t="s">
        <v>4796</v>
      </c>
      <c r="C3496" s="147"/>
      <c r="D3496" s="129"/>
      <c r="E3496" s="185"/>
      <c r="F3496" s="185"/>
      <c r="G3496" s="496"/>
      <c r="H3496" s="185"/>
      <c r="I3496" s="11"/>
    </row>
    <row r="3497" spans="1:12" ht="11.15" customHeight="1" thickBot="1">
      <c r="A3497" s="421" t="s">
        <v>4797</v>
      </c>
      <c r="B3497" s="154" t="s">
        <v>4798</v>
      </c>
      <c r="C3497" s="147"/>
      <c r="D3497" s="122"/>
      <c r="E3497" s="36"/>
      <c r="F3497" s="183"/>
      <c r="G3497" s="1217"/>
      <c r="H3497" s="34"/>
      <c r="I3497" s="11"/>
    </row>
    <row r="3498" spans="1:12" ht="11.15" customHeight="1">
      <c r="A3498" s="219" t="s">
        <v>4799</v>
      </c>
      <c r="B3498" s="59" t="s">
        <v>20806</v>
      </c>
      <c r="C3498" s="147" t="s">
        <v>23393</v>
      </c>
      <c r="D3498" s="701" t="s">
        <v>1129</v>
      </c>
      <c r="E3498" s="178">
        <v>2015</v>
      </c>
      <c r="F3498" s="178" t="s">
        <v>4520</v>
      </c>
      <c r="G3498" s="496"/>
      <c r="H3498" s="994" t="s">
        <v>20221</v>
      </c>
      <c r="I3498" s="11" t="s">
        <v>4800</v>
      </c>
      <c r="J3498" s="1285"/>
      <c r="K3498" s="1285"/>
      <c r="L3498" s="1285"/>
    </row>
    <row r="3499" spans="1:12" ht="11.15" customHeight="1">
      <c r="A3499" s="29" t="s">
        <v>4801</v>
      </c>
      <c r="B3499" s="59" t="s">
        <v>20806</v>
      </c>
      <c r="C3499" s="147" t="s">
        <v>23393</v>
      </c>
      <c r="D3499" s="701" t="s">
        <v>1129</v>
      </c>
      <c r="E3499" s="178">
        <v>2014</v>
      </c>
      <c r="F3499" s="178" t="s">
        <v>4520</v>
      </c>
      <c r="G3499" s="496"/>
      <c r="H3499" s="994" t="s">
        <v>20221</v>
      </c>
      <c r="I3499" s="11" t="s">
        <v>4099</v>
      </c>
      <c r="J3499" s="1285"/>
      <c r="K3499" s="1285"/>
      <c r="L3499" s="1285"/>
    </row>
    <row r="3500" spans="1:12" ht="11.15" customHeight="1">
      <c r="A3500" s="219" t="s">
        <v>4802</v>
      </c>
      <c r="B3500" s="59" t="s">
        <v>20806</v>
      </c>
      <c r="C3500" s="147" t="s">
        <v>23393</v>
      </c>
      <c r="D3500" s="701" t="s">
        <v>1129</v>
      </c>
      <c r="E3500" s="178">
        <v>2013</v>
      </c>
      <c r="F3500" s="178" t="s">
        <v>4520</v>
      </c>
      <c r="G3500" s="496"/>
      <c r="H3500" s="994" t="s">
        <v>20277</v>
      </c>
      <c r="I3500" s="11" t="s">
        <v>4803</v>
      </c>
      <c r="J3500" s="1285"/>
      <c r="K3500" s="1285"/>
      <c r="L3500" s="1285"/>
    </row>
    <row r="3501" spans="1:12" ht="11.15" customHeight="1">
      <c r="A3501" s="29" t="s">
        <v>4804</v>
      </c>
      <c r="B3501" s="154" t="s">
        <v>4805</v>
      </c>
      <c r="C3501" s="147"/>
      <c r="D3501" s="122"/>
      <c r="E3501" s="36"/>
      <c r="F3501" s="183"/>
      <c r="G3501" s="1217"/>
      <c r="H3501" s="34"/>
      <c r="I3501" s="11"/>
    </row>
    <row r="3502" spans="1:12" ht="11.15" customHeight="1">
      <c r="A3502" s="29" t="s">
        <v>4806</v>
      </c>
      <c r="B3502" s="59" t="s">
        <v>20807</v>
      </c>
      <c r="C3502" s="147" t="s">
        <v>23393</v>
      </c>
      <c r="D3502" s="701" t="s">
        <v>1129</v>
      </c>
      <c r="E3502" s="178">
        <v>2022</v>
      </c>
      <c r="F3502" s="178" t="s">
        <v>4520</v>
      </c>
      <c r="G3502" s="496"/>
      <c r="H3502" s="994" t="s">
        <v>20221</v>
      </c>
      <c r="I3502" s="11" t="s">
        <v>4807</v>
      </c>
      <c r="J3502" s="1285"/>
      <c r="K3502" s="1285"/>
      <c r="L3502" s="1285"/>
    </row>
    <row r="3503" spans="1:12" ht="11.15" customHeight="1">
      <c r="A3503" s="29" t="s">
        <v>4808</v>
      </c>
      <c r="B3503" s="59" t="s">
        <v>20807</v>
      </c>
      <c r="C3503" s="147" t="s">
        <v>23393</v>
      </c>
      <c r="D3503" s="701" t="s">
        <v>1129</v>
      </c>
      <c r="E3503" s="178">
        <v>2021</v>
      </c>
      <c r="F3503" s="178" t="s">
        <v>4520</v>
      </c>
      <c r="G3503" s="496"/>
      <c r="H3503" s="994" t="s">
        <v>20221</v>
      </c>
      <c r="I3503" s="11" t="s">
        <v>4809</v>
      </c>
      <c r="J3503" s="1285"/>
      <c r="K3503" s="1285"/>
      <c r="L3503" s="1285"/>
    </row>
    <row r="3504" spans="1:12" ht="11.15" customHeight="1">
      <c r="A3504" s="29" t="s">
        <v>4810</v>
      </c>
      <c r="B3504" s="59" t="s">
        <v>20807</v>
      </c>
      <c r="C3504" s="147" t="s">
        <v>20221</v>
      </c>
      <c r="D3504" s="701" t="s">
        <v>1129</v>
      </c>
      <c r="E3504" s="178">
        <v>2017</v>
      </c>
      <c r="F3504" s="178" t="s">
        <v>4520</v>
      </c>
      <c r="G3504" s="496"/>
      <c r="H3504" s="994" t="s">
        <v>20221</v>
      </c>
      <c r="I3504" s="11" t="s">
        <v>4811</v>
      </c>
      <c r="J3504" s="1285"/>
      <c r="K3504" s="1285"/>
      <c r="L3504" s="1285"/>
    </row>
    <row r="3505" spans="1:12" ht="11.15" customHeight="1">
      <c r="A3505" s="181" t="s">
        <v>4812</v>
      </c>
      <c r="B3505" s="59" t="s">
        <v>20807</v>
      </c>
      <c r="C3505" s="147" t="s">
        <v>20221</v>
      </c>
      <c r="D3505" s="701" t="s">
        <v>1129</v>
      </c>
      <c r="E3505" s="178">
        <v>2016</v>
      </c>
      <c r="F3505" s="178" t="s">
        <v>4520</v>
      </c>
      <c r="G3505" s="496"/>
      <c r="H3505" s="994" t="s">
        <v>20221</v>
      </c>
      <c r="I3505" s="11" t="s">
        <v>4813</v>
      </c>
      <c r="J3505" s="1285"/>
      <c r="K3505" s="1285"/>
      <c r="L3505" s="1285"/>
    </row>
    <row r="3506" spans="1:12" ht="11.15" customHeight="1">
      <c r="A3506" s="181" t="s">
        <v>2536</v>
      </c>
      <c r="B3506" s="59" t="s">
        <v>20807</v>
      </c>
      <c r="C3506" s="147" t="s">
        <v>23393</v>
      </c>
      <c r="D3506" s="701" t="s">
        <v>1129</v>
      </c>
      <c r="E3506" s="178">
        <v>2015</v>
      </c>
      <c r="F3506" s="178" t="s">
        <v>4520</v>
      </c>
      <c r="G3506" s="496"/>
      <c r="H3506" s="994" t="s">
        <v>20224</v>
      </c>
      <c r="I3506" s="11" t="s">
        <v>4814</v>
      </c>
      <c r="J3506" s="1285"/>
      <c r="K3506" s="1285"/>
      <c r="L3506" s="1285"/>
    </row>
    <row r="3507" spans="1:12" ht="11.15" customHeight="1">
      <c r="A3507" s="129" t="s">
        <v>951</v>
      </c>
      <c r="B3507" s="59" t="s">
        <v>20807</v>
      </c>
      <c r="C3507" s="147" t="s">
        <v>23393</v>
      </c>
      <c r="D3507" s="701" t="s">
        <v>1129</v>
      </c>
      <c r="E3507" s="178">
        <v>2014</v>
      </c>
      <c r="F3507" s="178" t="s">
        <v>4520</v>
      </c>
      <c r="G3507" s="496"/>
      <c r="H3507" s="994" t="s">
        <v>20221</v>
      </c>
      <c r="I3507" s="11" t="s">
        <v>4100</v>
      </c>
      <c r="J3507" s="1285"/>
      <c r="K3507" s="1285"/>
      <c r="L3507" s="1285"/>
    </row>
    <row r="3508" spans="1:12" ht="11.15" customHeight="1">
      <c r="A3508" s="291" t="s">
        <v>4815</v>
      </c>
      <c r="B3508" s="59" t="s">
        <v>20807</v>
      </c>
      <c r="C3508" s="147" t="s">
        <v>23393</v>
      </c>
      <c r="D3508" s="701" t="s">
        <v>1129</v>
      </c>
      <c r="E3508" s="178">
        <v>2012</v>
      </c>
      <c r="F3508" s="178" t="s">
        <v>23395</v>
      </c>
      <c r="G3508" s="496"/>
      <c r="H3508" s="994" t="s">
        <v>20465</v>
      </c>
      <c r="I3508" s="11" t="s">
        <v>4816</v>
      </c>
      <c r="J3508" s="1285"/>
      <c r="K3508" s="1285"/>
      <c r="L3508" s="1285"/>
    </row>
    <row r="3509" spans="1:12" ht="11.15" customHeight="1">
      <c r="A3509" s="162" t="s">
        <v>4817</v>
      </c>
      <c r="B3509" s="154" t="s">
        <v>4818</v>
      </c>
      <c r="C3509" s="147"/>
      <c r="D3509" s="129"/>
      <c r="E3509" s="185"/>
      <c r="F3509" s="185"/>
      <c r="G3509" s="185"/>
      <c r="H3509" s="185"/>
      <c r="I3509" s="11"/>
    </row>
    <row r="3510" spans="1:12" ht="11.15" customHeight="1">
      <c r="A3510" s="162" t="s">
        <v>4819</v>
      </c>
      <c r="B3510" s="59" t="s">
        <v>20808</v>
      </c>
      <c r="C3510" s="147" t="s">
        <v>20221</v>
      </c>
      <c r="D3510" s="284" t="s">
        <v>897</v>
      </c>
      <c r="E3510" s="178">
        <v>2022</v>
      </c>
      <c r="F3510" s="178" t="s">
        <v>4520</v>
      </c>
      <c r="G3510" s="496"/>
      <c r="H3510" s="994" t="s">
        <v>20221</v>
      </c>
      <c r="I3510" s="11" t="s">
        <v>4820</v>
      </c>
      <c r="J3510" s="1285"/>
      <c r="K3510" s="1285"/>
      <c r="L3510" s="1285"/>
    </row>
    <row r="3511" spans="1:12" ht="11.15" customHeight="1">
      <c r="A3511" s="162" t="s">
        <v>4821</v>
      </c>
      <c r="B3511" s="154" t="s">
        <v>4822</v>
      </c>
      <c r="C3511" s="147"/>
      <c r="D3511" s="129"/>
      <c r="E3511" s="185"/>
      <c r="F3511" s="185"/>
      <c r="G3511" s="185"/>
      <c r="H3511" s="185"/>
      <c r="I3511" s="11"/>
    </row>
    <row r="3512" spans="1:12" ht="11.15" customHeight="1">
      <c r="A3512" s="162" t="s">
        <v>4823</v>
      </c>
      <c r="B3512" s="59" t="s">
        <v>20809</v>
      </c>
      <c r="C3512" s="147" t="s">
        <v>23393</v>
      </c>
      <c r="D3512" s="284" t="s">
        <v>897</v>
      </c>
      <c r="E3512" s="178">
        <v>2022</v>
      </c>
      <c r="F3512" s="178" t="s">
        <v>7168</v>
      </c>
      <c r="G3512" s="496"/>
      <c r="H3512" s="994" t="s">
        <v>20221</v>
      </c>
      <c r="I3512" s="11" t="s">
        <v>4824</v>
      </c>
      <c r="J3512" s="1285"/>
      <c r="K3512" s="1285"/>
      <c r="L3512" s="1285"/>
    </row>
    <row r="3513" spans="1:12" ht="11.15" customHeight="1">
      <c r="A3513" s="162" t="s">
        <v>4825</v>
      </c>
      <c r="B3513" s="59" t="s">
        <v>20809</v>
      </c>
      <c r="C3513" s="147" t="s">
        <v>23393</v>
      </c>
      <c r="D3513" s="284" t="s">
        <v>897</v>
      </c>
      <c r="E3513" s="178">
        <v>2021</v>
      </c>
      <c r="F3513" s="178" t="s">
        <v>7168</v>
      </c>
      <c r="G3513" s="496"/>
      <c r="H3513" s="994" t="s">
        <v>20221</v>
      </c>
      <c r="I3513" s="11" t="s">
        <v>4826</v>
      </c>
      <c r="J3513" s="1285"/>
      <c r="K3513" s="1285"/>
      <c r="L3513" s="1285"/>
    </row>
    <row r="3514" spans="1:12" ht="11.15" customHeight="1">
      <c r="A3514" s="162" t="s">
        <v>4827</v>
      </c>
      <c r="B3514" s="59" t="s">
        <v>20809</v>
      </c>
      <c r="C3514" s="147" t="s">
        <v>23393</v>
      </c>
      <c r="D3514" s="284" t="s">
        <v>897</v>
      </c>
      <c r="E3514" s="178">
        <v>2020</v>
      </c>
      <c r="F3514" s="178" t="s">
        <v>7168</v>
      </c>
      <c r="G3514" s="496"/>
      <c r="H3514" s="994" t="s">
        <v>20221</v>
      </c>
      <c r="I3514" s="11" t="s">
        <v>4828</v>
      </c>
      <c r="J3514" s="1285"/>
      <c r="K3514" s="1285"/>
      <c r="L3514" s="1285"/>
    </row>
    <row r="3515" spans="1:12" ht="11.15" customHeight="1">
      <c r="A3515" s="291" t="s">
        <v>4829</v>
      </c>
      <c r="B3515" s="59" t="s">
        <v>20809</v>
      </c>
      <c r="C3515" s="147" t="s">
        <v>23393</v>
      </c>
      <c r="D3515" s="284" t="s">
        <v>897</v>
      </c>
      <c r="E3515" s="178">
        <v>2019</v>
      </c>
      <c r="F3515" s="178" t="s">
        <v>7168</v>
      </c>
      <c r="G3515" s="496"/>
      <c r="H3515" s="994" t="s">
        <v>20221</v>
      </c>
      <c r="I3515" s="11" t="s">
        <v>4830</v>
      </c>
      <c r="J3515" s="1285"/>
      <c r="K3515" s="1285"/>
      <c r="L3515" s="1285"/>
    </row>
    <row r="3516" spans="1:12" ht="11.15" customHeight="1">
      <c r="A3516" s="162" t="s">
        <v>4831</v>
      </c>
      <c r="B3516" s="154" t="s">
        <v>4832</v>
      </c>
      <c r="C3516" s="147"/>
      <c r="D3516" s="129"/>
      <c r="E3516" s="185"/>
      <c r="F3516" s="185"/>
      <c r="G3516" s="185"/>
      <c r="H3516" s="185"/>
      <c r="I3516" s="11"/>
    </row>
    <row r="3517" spans="1:12" ht="11.15" customHeight="1">
      <c r="A3517" s="291" t="s">
        <v>4833</v>
      </c>
      <c r="B3517" s="59" t="s">
        <v>20810</v>
      </c>
      <c r="C3517" s="147" t="s">
        <v>23393</v>
      </c>
      <c r="D3517" s="284" t="s">
        <v>897</v>
      </c>
      <c r="E3517" s="178">
        <v>2022</v>
      </c>
      <c r="F3517" s="178" t="s">
        <v>4520</v>
      </c>
      <c r="G3517" s="496"/>
      <c r="H3517" s="994" t="s">
        <v>20221</v>
      </c>
      <c r="I3517" s="11" t="s">
        <v>4834</v>
      </c>
      <c r="J3517" s="1285"/>
      <c r="K3517" s="1285"/>
      <c r="L3517" s="1285"/>
    </row>
    <row r="3518" spans="1:12" ht="11.15" customHeight="1">
      <c r="A3518" s="162" t="s">
        <v>4835</v>
      </c>
      <c r="B3518" s="59" t="s">
        <v>20810</v>
      </c>
      <c r="C3518" s="147" t="s">
        <v>23393</v>
      </c>
      <c r="D3518" s="284" t="s">
        <v>897</v>
      </c>
      <c r="E3518" s="178">
        <v>2021</v>
      </c>
      <c r="F3518" s="178" t="s">
        <v>4520</v>
      </c>
      <c r="G3518" s="496"/>
      <c r="H3518" s="994" t="s">
        <v>20221</v>
      </c>
      <c r="I3518" s="11" t="s">
        <v>4836</v>
      </c>
      <c r="J3518" s="1285"/>
      <c r="K3518" s="1285"/>
      <c r="L3518" s="1285"/>
    </row>
    <row r="3519" spans="1:12" ht="11.15" customHeight="1">
      <c r="A3519" s="162" t="s">
        <v>4837</v>
      </c>
      <c r="B3519" s="59" t="s">
        <v>20810</v>
      </c>
      <c r="C3519" s="147" t="s">
        <v>23393</v>
      </c>
      <c r="D3519" s="284" t="s">
        <v>897</v>
      </c>
      <c r="E3519" s="178">
        <v>2020</v>
      </c>
      <c r="F3519" s="178" t="s">
        <v>4520</v>
      </c>
      <c r="G3519" s="496"/>
      <c r="H3519" s="994" t="s">
        <v>20221</v>
      </c>
      <c r="I3519" s="11" t="s">
        <v>4838</v>
      </c>
      <c r="J3519" s="1285"/>
      <c r="K3519" s="1285"/>
      <c r="L3519" s="1285"/>
    </row>
    <row r="3520" spans="1:12" ht="11.15" customHeight="1">
      <c r="A3520" s="162" t="s">
        <v>4839</v>
      </c>
      <c r="B3520" s="59" t="s">
        <v>20810</v>
      </c>
      <c r="C3520" s="147" t="s">
        <v>23393</v>
      </c>
      <c r="D3520" s="284" t="s">
        <v>897</v>
      </c>
      <c r="E3520" s="178">
        <v>2019</v>
      </c>
      <c r="F3520" s="178" t="s">
        <v>4520</v>
      </c>
      <c r="G3520" s="496"/>
      <c r="H3520" s="994" t="s">
        <v>20221</v>
      </c>
      <c r="I3520" s="11" t="s">
        <v>4840</v>
      </c>
      <c r="J3520" s="1285"/>
      <c r="K3520" s="1285"/>
      <c r="L3520" s="1285"/>
    </row>
    <row r="3521" spans="1:12" ht="11.15" customHeight="1">
      <c r="A3521" s="129" t="s">
        <v>1077</v>
      </c>
      <c r="B3521" s="59" t="s">
        <v>20810</v>
      </c>
      <c r="C3521" s="147" t="s">
        <v>20221</v>
      </c>
      <c r="D3521" s="284" t="s">
        <v>897</v>
      </c>
      <c r="E3521" s="178">
        <v>2018</v>
      </c>
      <c r="F3521" s="178" t="s">
        <v>4520</v>
      </c>
      <c r="G3521" s="496"/>
      <c r="H3521" s="994" t="s">
        <v>20221</v>
      </c>
      <c r="I3521" s="11" t="s">
        <v>4841</v>
      </c>
      <c r="J3521" s="1285"/>
      <c r="K3521" s="1285"/>
      <c r="L3521" s="1285"/>
    </row>
    <row r="3522" spans="1:12" ht="11.15" customHeight="1">
      <c r="A3522" s="162" t="s">
        <v>4842</v>
      </c>
      <c r="B3522" s="59" t="s">
        <v>20810</v>
      </c>
      <c r="C3522" s="147" t="s">
        <v>20221</v>
      </c>
      <c r="D3522" s="284" t="s">
        <v>897</v>
      </c>
      <c r="E3522" s="178">
        <v>2017</v>
      </c>
      <c r="F3522" s="178" t="s">
        <v>4520</v>
      </c>
      <c r="G3522" s="496"/>
      <c r="H3522" s="994" t="s">
        <v>20221</v>
      </c>
      <c r="I3522" s="11" t="s">
        <v>4843</v>
      </c>
      <c r="J3522" s="1285"/>
      <c r="K3522" s="1285"/>
      <c r="L3522" s="1285"/>
    </row>
    <row r="3523" spans="1:12" ht="11.15" customHeight="1">
      <c r="A3523" s="162" t="s">
        <v>4844</v>
      </c>
      <c r="B3523" s="59" t="s">
        <v>6176</v>
      </c>
      <c r="C3523" s="147" t="s">
        <v>20221</v>
      </c>
      <c r="D3523" s="284" t="s">
        <v>897</v>
      </c>
      <c r="E3523" s="178">
        <v>2016</v>
      </c>
      <c r="F3523" s="178" t="s">
        <v>4520</v>
      </c>
      <c r="G3523" s="496"/>
      <c r="H3523" s="994" t="s">
        <v>20224</v>
      </c>
      <c r="I3523" s="11" t="s">
        <v>4845</v>
      </c>
      <c r="J3523" s="1285"/>
      <c r="K3523" s="1285"/>
      <c r="L3523" s="1285"/>
    </row>
    <row r="3524" spans="1:12" ht="11.15" customHeight="1">
      <c r="A3524" s="162" t="s">
        <v>4846</v>
      </c>
      <c r="B3524" s="59" t="s">
        <v>6176</v>
      </c>
      <c r="C3524" s="147" t="s">
        <v>23393</v>
      </c>
      <c r="D3524" s="284" t="s">
        <v>897</v>
      </c>
      <c r="E3524" s="178">
        <v>2015</v>
      </c>
      <c r="F3524" s="178" t="s">
        <v>4520</v>
      </c>
      <c r="G3524" s="496"/>
      <c r="H3524" s="994" t="s">
        <v>20221</v>
      </c>
      <c r="I3524" s="11" t="s">
        <v>4847</v>
      </c>
      <c r="J3524" s="1285"/>
      <c r="K3524" s="1285"/>
      <c r="L3524" s="1285"/>
    </row>
    <row r="3525" spans="1:12" ht="11.15" customHeight="1">
      <c r="A3525" s="162" t="s">
        <v>4848</v>
      </c>
      <c r="B3525" s="59" t="s">
        <v>6176</v>
      </c>
      <c r="C3525" s="147" t="s">
        <v>23393</v>
      </c>
      <c r="D3525" s="284" t="s">
        <v>897</v>
      </c>
      <c r="E3525" s="178">
        <v>2014</v>
      </c>
      <c r="F3525" s="178" t="s">
        <v>4520</v>
      </c>
      <c r="G3525" s="496"/>
      <c r="H3525" s="994" t="s">
        <v>20221</v>
      </c>
      <c r="I3525" s="11" t="s">
        <v>4849</v>
      </c>
      <c r="J3525" s="1285"/>
      <c r="K3525" s="1285"/>
      <c r="L3525" s="1285"/>
    </row>
    <row r="3526" spans="1:12" ht="11.15" customHeight="1">
      <c r="A3526" s="162" t="s">
        <v>4850</v>
      </c>
      <c r="B3526" s="154" t="s">
        <v>4851</v>
      </c>
      <c r="C3526" s="147"/>
      <c r="D3526" s="129"/>
      <c r="E3526" s="185"/>
      <c r="F3526" s="185"/>
      <c r="G3526" s="185"/>
      <c r="H3526" s="185"/>
      <c r="I3526" s="11"/>
    </row>
    <row r="3527" spans="1:12" ht="11.15" customHeight="1">
      <c r="A3527" s="162" t="s">
        <v>4852</v>
      </c>
      <c r="B3527" s="59" t="s">
        <v>20811</v>
      </c>
      <c r="C3527" s="147" t="s">
        <v>23393</v>
      </c>
      <c r="D3527" s="284" t="s">
        <v>897</v>
      </c>
      <c r="E3527" s="178">
        <v>2022</v>
      </c>
      <c r="F3527" s="178" t="s">
        <v>4520</v>
      </c>
      <c r="G3527" s="496"/>
      <c r="H3527" s="994" t="s">
        <v>20221</v>
      </c>
      <c r="I3527" s="11" t="s">
        <v>4853</v>
      </c>
      <c r="J3527" s="1285"/>
      <c r="K3527" s="1285"/>
      <c r="L3527" s="1285"/>
    </row>
    <row r="3528" spans="1:12" ht="11.15" customHeight="1">
      <c r="A3528" s="162" t="s">
        <v>4854</v>
      </c>
      <c r="B3528" s="59" t="s">
        <v>20811</v>
      </c>
      <c r="C3528" s="147" t="s">
        <v>23393</v>
      </c>
      <c r="D3528" s="284" t="s">
        <v>897</v>
      </c>
      <c r="E3528" s="178">
        <v>2021</v>
      </c>
      <c r="F3528" s="178" t="s">
        <v>4520</v>
      </c>
      <c r="G3528" s="496"/>
      <c r="H3528" s="994" t="s">
        <v>20221</v>
      </c>
      <c r="I3528" s="11" t="s">
        <v>4855</v>
      </c>
      <c r="J3528" s="1285"/>
      <c r="K3528" s="1285"/>
      <c r="L3528" s="1285"/>
    </row>
    <row r="3529" spans="1:12" ht="11.15" customHeight="1">
      <c r="A3529" s="162" t="s">
        <v>4856</v>
      </c>
      <c r="B3529" s="59" t="s">
        <v>20811</v>
      </c>
      <c r="C3529" s="147" t="s">
        <v>23393</v>
      </c>
      <c r="D3529" s="284" t="s">
        <v>897</v>
      </c>
      <c r="E3529" s="178">
        <v>2020</v>
      </c>
      <c r="F3529" s="178" t="s">
        <v>4520</v>
      </c>
      <c r="G3529" s="496"/>
      <c r="H3529" s="994" t="s">
        <v>20221</v>
      </c>
      <c r="I3529" s="11" t="s">
        <v>4857</v>
      </c>
      <c r="J3529" s="1285"/>
      <c r="K3529" s="1285"/>
      <c r="L3529" s="1285"/>
    </row>
    <row r="3530" spans="1:12" ht="11.15" customHeight="1">
      <c r="A3530" s="422" t="s">
        <v>4858</v>
      </c>
      <c r="B3530" s="59" t="s">
        <v>20811</v>
      </c>
      <c r="C3530" s="147" t="s">
        <v>23393</v>
      </c>
      <c r="D3530" s="284" t="s">
        <v>897</v>
      </c>
      <c r="E3530" s="178">
        <v>2019</v>
      </c>
      <c r="F3530" s="178" t="s">
        <v>4520</v>
      </c>
      <c r="G3530" s="496"/>
      <c r="H3530" s="994" t="s">
        <v>20221</v>
      </c>
      <c r="I3530" s="11" t="s">
        <v>4859</v>
      </c>
      <c r="J3530" s="1285"/>
      <c r="K3530" s="1285"/>
      <c r="L3530" s="1285"/>
    </row>
    <row r="3531" spans="1:12" ht="11.15" customHeight="1">
      <c r="A3531" s="162" t="s">
        <v>4860</v>
      </c>
      <c r="B3531" s="59" t="s">
        <v>20811</v>
      </c>
      <c r="C3531" s="147" t="s">
        <v>20221</v>
      </c>
      <c r="D3531" s="284" t="s">
        <v>897</v>
      </c>
      <c r="E3531" s="178">
        <v>2018</v>
      </c>
      <c r="F3531" s="178" t="s">
        <v>4520</v>
      </c>
      <c r="G3531" s="496"/>
      <c r="H3531" s="994" t="s">
        <v>20221</v>
      </c>
      <c r="I3531" s="11" t="s">
        <v>4861</v>
      </c>
      <c r="J3531" s="1285"/>
      <c r="K3531" s="1285"/>
      <c r="L3531" s="1285"/>
    </row>
    <row r="3532" spans="1:12" ht="11.15" customHeight="1">
      <c r="A3532" s="162" t="s">
        <v>4862</v>
      </c>
      <c r="B3532" s="59" t="s">
        <v>20811</v>
      </c>
      <c r="C3532" s="147" t="s">
        <v>20221</v>
      </c>
      <c r="D3532" s="284" t="s">
        <v>897</v>
      </c>
      <c r="E3532" s="178">
        <v>2017</v>
      </c>
      <c r="F3532" s="178" t="s">
        <v>4520</v>
      </c>
      <c r="G3532" s="496"/>
      <c r="H3532" s="994" t="s">
        <v>20221</v>
      </c>
      <c r="I3532" s="11" t="s">
        <v>4863</v>
      </c>
      <c r="J3532" s="1285"/>
      <c r="K3532" s="1285"/>
      <c r="L3532" s="1285"/>
    </row>
    <row r="3533" spans="1:12" ht="11.15" customHeight="1">
      <c r="A3533" s="162" t="s">
        <v>4864</v>
      </c>
      <c r="B3533" s="59" t="s">
        <v>20812</v>
      </c>
      <c r="C3533" s="147" t="s">
        <v>23393</v>
      </c>
      <c r="D3533" s="284" t="s">
        <v>897</v>
      </c>
      <c r="E3533" s="178">
        <v>2022</v>
      </c>
      <c r="F3533" s="178" t="s">
        <v>4520</v>
      </c>
      <c r="G3533" s="496"/>
      <c r="H3533" s="994" t="s">
        <v>20221</v>
      </c>
      <c r="I3533" s="11" t="s">
        <v>4865</v>
      </c>
      <c r="J3533" s="1285"/>
      <c r="K3533" s="1285"/>
      <c r="L3533" s="1285"/>
    </row>
    <row r="3534" spans="1:12" ht="11.15" customHeight="1">
      <c r="A3534" s="162" t="s">
        <v>4866</v>
      </c>
      <c r="B3534" s="59" t="s">
        <v>20812</v>
      </c>
      <c r="C3534" s="147" t="s">
        <v>23393</v>
      </c>
      <c r="D3534" s="284" t="s">
        <v>897</v>
      </c>
      <c r="E3534" s="178">
        <v>2021</v>
      </c>
      <c r="F3534" s="178" t="s">
        <v>4520</v>
      </c>
      <c r="G3534" s="496"/>
      <c r="H3534" s="994" t="s">
        <v>20221</v>
      </c>
      <c r="I3534" s="11" t="s">
        <v>4867</v>
      </c>
      <c r="J3534" s="1285"/>
      <c r="K3534" s="1285"/>
      <c r="L3534" s="1285"/>
    </row>
    <row r="3535" spans="1:12" ht="11.15" customHeight="1">
      <c r="A3535" s="219" t="s">
        <v>4868</v>
      </c>
      <c r="B3535" s="59" t="s">
        <v>20812</v>
      </c>
      <c r="C3535" s="147" t="s">
        <v>23393</v>
      </c>
      <c r="D3535" s="284" t="s">
        <v>897</v>
      </c>
      <c r="E3535" s="178">
        <v>2020</v>
      </c>
      <c r="F3535" s="178" t="s">
        <v>4520</v>
      </c>
      <c r="G3535" s="496"/>
      <c r="H3535" s="994" t="s">
        <v>20221</v>
      </c>
      <c r="I3535" s="11" t="s">
        <v>4869</v>
      </c>
      <c r="J3535" s="1285"/>
      <c r="K3535" s="1285"/>
      <c r="L3535" s="1285"/>
    </row>
    <row r="3536" spans="1:12" ht="11.15" customHeight="1">
      <c r="A3536" s="166" t="s">
        <v>4870</v>
      </c>
      <c r="B3536" s="59" t="s">
        <v>20812</v>
      </c>
      <c r="C3536" s="147" t="s">
        <v>23393</v>
      </c>
      <c r="D3536" s="284" t="s">
        <v>897</v>
      </c>
      <c r="E3536" s="178">
        <v>2019</v>
      </c>
      <c r="F3536" s="178" t="s">
        <v>4520</v>
      </c>
      <c r="G3536" s="496"/>
      <c r="H3536" s="994" t="s">
        <v>20221</v>
      </c>
      <c r="I3536" s="11" t="s">
        <v>4871</v>
      </c>
      <c r="J3536" s="1285"/>
      <c r="K3536" s="1285"/>
      <c r="L3536" s="1285"/>
    </row>
    <row r="3537" spans="1:12" ht="11.15" customHeight="1">
      <c r="A3537" s="166" t="s">
        <v>4074</v>
      </c>
      <c r="B3537" s="59" t="s">
        <v>20812</v>
      </c>
      <c r="C3537" s="147" t="s">
        <v>20221</v>
      </c>
      <c r="D3537" s="284" t="s">
        <v>897</v>
      </c>
      <c r="E3537" s="178">
        <v>2018</v>
      </c>
      <c r="F3537" s="178" t="s">
        <v>4520</v>
      </c>
      <c r="G3537" s="496"/>
      <c r="H3537" s="994" t="s">
        <v>20221</v>
      </c>
      <c r="I3537" s="11" t="s">
        <v>4872</v>
      </c>
      <c r="J3537" s="1285"/>
      <c r="K3537" s="1285"/>
      <c r="L3537" s="1285"/>
    </row>
    <row r="3538" spans="1:12" ht="11.15" customHeight="1">
      <c r="A3538" s="166" t="s">
        <v>4075</v>
      </c>
      <c r="B3538" s="59" t="s">
        <v>20812</v>
      </c>
      <c r="C3538" s="147" t="s">
        <v>20221</v>
      </c>
      <c r="D3538" s="284" t="s">
        <v>897</v>
      </c>
      <c r="E3538" s="178">
        <v>2017</v>
      </c>
      <c r="F3538" s="178" t="s">
        <v>4520</v>
      </c>
      <c r="G3538" s="496"/>
      <c r="H3538" s="994" t="s">
        <v>20221</v>
      </c>
      <c r="I3538" s="11" t="s">
        <v>4873</v>
      </c>
      <c r="J3538" s="1285"/>
      <c r="K3538" s="1285"/>
      <c r="L3538" s="1285"/>
    </row>
    <row r="3539" spans="1:12" ht="11.15" customHeight="1">
      <c r="A3539" s="169" t="s">
        <v>4874</v>
      </c>
      <c r="B3539" s="59" t="s">
        <v>20812</v>
      </c>
      <c r="C3539" s="147" t="s">
        <v>20221</v>
      </c>
      <c r="D3539" s="284" t="s">
        <v>897</v>
      </c>
      <c r="E3539" s="178">
        <v>2016</v>
      </c>
      <c r="F3539" s="178" t="s">
        <v>4520</v>
      </c>
      <c r="G3539" s="496"/>
      <c r="H3539" s="994" t="s">
        <v>20221</v>
      </c>
      <c r="I3539" s="11" t="s">
        <v>4875</v>
      </c>
      <c r="J3539" s="1285"/>
      <c r="K3539" s="1285"/>
      <c r="L3539" s="1285"/>
    </row>
    <row r="3540" spans="1:12" ht="11.15" customHeight="1">
      <c r="A3540" s="169" t="s">
        <v>4876</v>
      </c>
      <c r="B3540" s="59" t="s">
        <v>20812</v>
      </c>
      <c r="C3540" s="147" t="s">
        <v>23393</v>
      </c>
      <c r="D3540" s="284" t="s">
        <v>897</v>
      </c>
      <c r="E3540" s="178">
        <v>2015</v>
      </c>
      <c r="F3540" s="178" t="s">
        <v>4520</v>
      </c>
      <c r="G3540" s="496"/>
      <c r="H3540" s="994" t="s">
        <v>20221</v>
      </c>
      <c r="I3540" s="11" t="s">
        <v>4877</v>
      </c>
      <c r="J3540" s="1285"/>
      <c r="K3540" s="1285"/>
      <c r="L3540" s="1285"/>
    </row>
    <row r="3541" spans="1:12" ht="11.15" customHeight="1">
      <c r="A3541" s="423" t="s">
        <v>4878</v>
      </c>
      <c r="B3541" s="59" t="s">
        <v>20812</v>
      </c>
      <c r="C3541" s="147" t="s">
        <v>23393</v>
      </c>
      <c r="D3541" s="284" t="s">
        <v>897</v>
      </c>
      <c r="E3541" s="178">
        <v>2014</v>
      </c>
      <c r="F3541" s="178" t="s">
        <v>4520</v>
      </c>
      <c r="G3541" s="496"/>
      <c r="H3541" s="994" t="s">
        <v>20221</v>
      </c>
      <c r="I3541" s="11" t="s">
        <v>4879</v>
      </c>
      <c r="J3541" s="1285"/>
      <c r="K3541" s="1285"/>
      <c r="L3541" s="1285"/>
    </row>
    <row r="3542" spans="1:12" ht="11.15" customHeight="1">
      <c r="A3542" s="29"/>
      <c r="B3542" s="59" t="s">
        <v>20812</v>
      </c>
      <c r="C3542" s="147" t="s">
        <v>23393</v>
      </c>
      <c r="D3542" s="284" t="s">
        <v>897</v>
      </c>
      <c r="E3542" s="178">
        <v>2013</v>
      </c>
      <c r="F3542" s="178" t="s">
        <v>4520</v>
      </c>
      <c r="G3542" s="496"/>
      <c r="H3542" s="994" t="s">
        <v>20224</v>
      </c>
      <c r="I3542" s="11" t="s">
        <v>4880</v>
      </c>
      <c r="J3542" s="1285"/>
      <c r="K3542" s="1285"/>
      <c r="L3542" s="1285"/>
    </row>
    <row r="3543" spans="1:12" ht="11.15" customHeight="1">
      <c r="A3543" s="185"/>
      <c r="B3543" s="59" t="s">
        <v>20812</v>
      </c>
      <c r="C3543" s="147" t="s">
        <v>23393</v>
      </c>
      <c r="D3543" s="284" t="s">
        <v>897</v>
      </c>
      <c r="E3543" s="178">
        <v>2012</v>
      </c>
      <c r="F3543" s="178" t="s">
        <v>4520</v>
      </c>
      <c r="G3543" s="496"/>
      <c r="H3543" s="994" t="s">
        <v>20221</v>
      </c>
      <c r="I3543" s="11" t="s">
        <v>4881</v>
      </c>
      <c r="J3543" s="1285"/>
      <c r="K3543" s="1285"/>
      <c r="L3543" s="1285"/>
    </row>
    <row r="3544" spans="1:12" ht="11.15" customHeight="1">
      <c r="A3544" s="185"/>
      <c r="B3544" s="59" t="s">
        <v>20812</v>
      </c>
      <c r="C3544" s="147" t="s">
        <v>20221</v>
      </c>
      <c r="D3544" s="284" t="s">
        <v>897</v>
      </c>
      <c r="E3544" s="178">
        <v>2011</v>
      </c>
      <c r="F3544" s="178" t="s">
        <v>4520</v>
      </c>
      <c r="G3544" s="496"/>
      <c r="H3544" s="994" t="s">
        <v>20221</v>
      </c>
      <c r="I3544" s="11" t="s">
        <v>4882</v>
      </c>
      <c r="J3544" s="1285"/>
      <c r="K3544" s="1285"/>
      <c r="L3544" s="1285"/>
    </row>
    <row r="3545" spans="1:12" ht="11.15" customHeight="1">
      <c r="A3545" s="185"/>
      <c r="B3545" s="154" t="s">
        <v>4883</v>
      </c>
      <c r="C3545" s="147"/>
      <c r="D3545" s="129"/>
      <c r="E3545" s="185"/>
      <c r="F3545" s="185"/>
      <c r="G3545" s="185"/>
      <c r="H3545" s="185"/>
      <c r="I3545" s="11"/>
    </row>
    <row r="3546" spans="1:12" ht="11.15" customHeight="1">
      <c r="A3546" s="185"/>
      <c r="B3546" s="59" t="s">
        <v>20813</v>
      </c>
      <c r="C3546" s="147" t="s">
        <v>23393</v>
      </c>
      <c r="D3546" s="284" t="s">
        <v>897</v>
      </c>
      <c r="E3546" s="178">
        <v>2022</v>
      </c>
      <c r="F3546" s="178" t="s">
        <v>11931</v>
      </c>
      <c r="G3546" s="496"/>
      <c r="H3546" s="994" t="s">
        <v>20224</v>
      </c>
      <c r="I3546" s="11" t="s">
        <v>4884</v>
      </c>
      <c r="J3546" s="1285"/>
      <c r="K3546" s="1285"/>
      <c r="L3546" s="1285"/>
    </row>
    <row r="3547" spans="1:12" ht="11.15" customHeight="1">
      <c r="A3547" s="185"/>
      <c r="B3547" s="59" t="s">
        <v>20813</v>
      </c>
      <c r="C3547" s="147" t="s">
        <v>23393</v>
      </c>
      <c r="D3547" s="284" t="s">
        <v>897</v>
      </c>
      <c r="E3547" s="178">
        <v>2021</v>
      </c>
      <c r="F3547" s="178" t="s">
        <v>5257</v>
      </c>
      <c r="G3547" s="496"/>
      <c r="H3547" s="994" t="s">
        <v>20224</v>
      </c>
      <c r="I3547" s="11" t="s">
        <v>4885</v>
      </c>
      <c r="J3547" s="1285"/>
      <c r="K3547" s="1285"/>
      <c r="L3547" s="1285"/>
    </row>
    <row r="3548" spans="1:12" ht="11.15" customHeight="1">
      <c r="A3548" s="185"/>
      <c r="B3548" s="59" t="s">
        <v>20813</v>
      </c>
      <c r="C3548" s="147" t="s">
        <v>23393</v>
      </c>
      <c r="D3548" s="284" t="s">
        <v>897</v>
      </c>
      <c r="E3548" s="178">
        <v>2020</v>
      </c>
      <c r="F3548" s="178" t="s">
        <v>5257</v>
      </c>
      <c r="G3548" s="496"/>
      <c r="H3548" s="994" t="s">
        <v>20221</v>
      </c>
      <c r="I3548" s="11" t="s">
        <v>4886</v>
      </c>
      <c r="J3548" s="1285"/>
      <c r="K3548" s="1285"/>
      <c r="L3548" s="1285"/>
    </row>
    <row r="3549" spans="1:12" ht="11.15" customHeight="1">
      <c r="A3549" s="185"/>
      <c r="B3549" s="59" t="s">
        <v>20813</v>
      </c>
      <c r="C3549" s="147" t="s">
        <v>23393</v>
      </c>
      <c r="D3549" s="284" t="s">
        <v>897</v>
      </c>
      <c r="E3549" s="178">
        <v>2019</v>
      </c>
      <c r="F3549" s="178" t="s">
        <v>11931</v>
      </c>
      <c r="G3549" s="496"/>
      <c r="H3549" s="994" t="s">
        <v>20221</v>
      </c>
      <c r="I3549" s="11" t="s">
        <v>4887</v>
      </c>
      <c r="J3549" s="1285"/>
      <c r="K3549" s="1285"/>
      <c r="L3549" s="1285"/>
    </row>
    <row r="3550" spans="1:12" ht="11.15" customHeight="1">
      <c r="A3550" s="185"/>
      <c r="B3550" s="185"/>
      <c r="C3550" s="147"/>
      <c r="D3550" s="122"/>
      <c r="E3550" s="36"/>
      <c r="F3550" s="178"/>
      <c r="G3550" s="1218"/>
      <c r="H3550" s="36"/>
      <c r="I3550" s="11"/>
    </row>
    <row r="3551" spans="1:12" ht="11.15" customHeight="1">
      <c r="A3551" s="185"/>
      <c r="B3551" s="413" t="s">
        <v>4888</v>
      </c>
      <c r="C3551" s="147"/>
      <c r="D3551" s="122"/>
      <c r="E3551" s="36"/>
      <c r="F3551" s="178"/>
      <c r="G3551" s="1218"/>
      <c r="H3551" s="36"/>
      <c r="I3551" s="11"/>
    </row>
    <row r="3552" spans="1:12" ht="9" customHeight="1">
      <c r="A3552" s="185"/>
      <c r="B3552" s="150" t="s">
        <v>4889</v>
      </c>
      <c r="C3552" s="147"/>
      <c r="D3552" s="122"/>
      <c r="E3552" s="36"/>
      <c r="F3552" s="178"/>
      <c r="G3552" s="1218"/>
      <c r="H3552" s="36"/>
      <c r="I3552" s="11"/>
    </row>
    <row r="3553" spans="1:12" ht="9" customHeight="1">
      <c r="A3553" s="185"/>
      <c r="B3553" s="152" t="s">
        <v>4890</v>
      </c>
      <c r="C3553" s="147"/>
      <c r="D3553" s="122"/>
      <c r="E3553" s="36"/>
      <c r="F3553" s="178"/>
      <c r="G3553" s="1218"/>
      <c r="H3553" s="36"/>
      <c r="I3553" s="11"/>
    </row>
    <row r="3554" spans="1:12" ht="9" customHeight="1">
      <c r="A3554" s="29"/>
      <c r="B3554" s="152" t="s">
        <v>4891</v>
      </c>
      <c r="C3554" s="147"/>
      <c r="D3554" s="122"/>
      <c r="E3554" s="36"/>
      <c r="F3554" s="178"/>
      <c r="G3554" s="1218"/>
      <c r="H3554" s="36"/>
      <c r="I3554" s="11"/>
    </row>
    <row r="3555" spans="1:12" ht="9" customHeight="1">
      <c r="A3555" s="185"/>
      <c r="B3555" s="150" t="s">
        <v>4892</v>
      </c>
      <c r="C3555" s="147"/>
      <c r="D3555" s="122"/>
      <c r="E3555" s="36"/>
      <c r="F3555" s="178"/>
      <c r="G3555" s="1218"/>
      <c r="H3555" s="36"/>
      <c r="I3555" s="11"/>
    </row>
    <row r="3556" spans="1:12" ht="9" customHeight="1">
      <c r="A3556" s="185"/>
      <c r="B3556" s="150" t="s">
        <v>4893</v>
      </c>
      <c r="C3556" s="147"/>
      <c r="D3556" s="122"/>
      <c r="E3556" s="36"/>
      <c r="F3556" s="178"/>
      <c r="G3556" s="1218"/>
      <c r="H3556" s="36"/>
      <c r="I3556" s="11"/>
    </row>
    <row r="3557" spans="1:12" ht="9" customHeight="1">
      <c r="A3557" s="185"/>
      <c r="B3557" s="150" t="s">
        <v>4894</v>
      </c>
      <c r="C3557" s="147"/>
      <c r="D3557" s="122"/>
      <c r="E3557" s="36"/>
      <c r="F3557" s="178"/>
      <c r="G3557" s="1218"/>
      <c r="H3557" s="36"/>
      <c r="I3557" s="11"/>
    </row>
    <row r="3558" spans="1:12" ht="9" customHeight="1" thickBot="1">
      <c r="A3558" s="185"/>
      <c r="B3558" s="150" t="s">
        <v>4895</v>
      </c>
      <c r="C3558" s="147"/>
      <c r="D3558" s="122"/>
      <c r="E3558" s="36"/>
      <c r="F3558" s="178"/>
      <c r="G3558" s="1218"/>
      <c r="H3558" s="36"/>
      <c r="I3558" s="11"/>
    </row>
    <row r="3559" spans="1:12" ht="10.5" customHeight="1" thickBot="1">
      <c r="A3559" s="184" t="s">
        <v>4896</v>
      </c>
      <c r="B3559" s="154" t="s">
        <v>4897</v>
      </c>
      <c r="C3559" s="147"/>
      <c r="D3559" s="122"/>
      <c r="E3559" s="36"/>
      <c r="F3559" s="178"/>
      <c r="G3559" s="453"/>
      <c r="H3559" s="36"/>
      <c r="I3559" s="11"/>
    </row>
    <row r="3560" spans="1:12" ht="11.15" customHeight="1">
      <c r="A3560" s="29" t="s">
        <v>4898</v>
      </c>
      <c r="B3560" s="59" t="s">
        <v>20815</v>
      </c>
      <c r="C3560" s="147" t="s">
        <v>20221</v>
      </c>
      <c r="D3560" s="701" t="s">
        <v>1129</v>
      </c>
      <c r="E3560" s="178">
        <v>2022</v>
      </c>
      <c r="F3560" s="178" t="s">
        <v>4520</v>
      </c>
      <c r="G3560" s="496"/>
      <c r="H3560" s="994" t="s">
        <v>20221</v>
      </c>
      <c r="I3560" s="11" t="s">
        <v>4899</v>
      </c>
      <c r="J3560" s="1285"/>
      <c r="K3560" s="1285"/>
      <c r="L3560" s="1285"/>
    </row>
    <row r="3561" spans="1:12" ht="11.15" customHeight="1">
      <c r="A3561" s="29" t="s">
        <v>4900</v>
      </c>
      <c r="B3561" s="59" t="s">
        <v>20815</v>
      </c>
      <c r="C3561" s="147" t="s">
        <v>20221</v>
      </c>
      <c r="D3561" s="701" t="s">
        <v>1129</v>
      </c>
      <c r="E3561" s="178">
        <v>2021</v>
      </c>
      <c r="F3561" s="178" t="s">
        <v>4520</v>
      </c>
      <c r="G3561" s="496"/>
      <c r="H3561" s="994" t="s">
        <v>20224</v>
      </c>
      <c r="I3561" s="11" t="s">
        <v>4901</v>
      </c>
      <c r="J3561" s="1285"/>
      <c r="K3561" s="1285"/>
      <c r="L3561" s="1285"/>
    </row>
    <row r="3562" spans="1:12" ht="11.15" customHeight="1">
      <c r="A3562" s="181" t="s">
        <v>4902</v>
      </c>
      <c r="B3562" s="59" t="s">
        <v>20815</v>
      </c>
      <c r="C3562" s="147" t="s">
        <v>20221</v>
      </c>
      <c r="D3562" s="701" t="s">
        <v>1129</v>
      </c>
      <c r="E3562" s="178">
        <v>2020</v>
      </c>
      <c r="F3562" s="178" t="s">
        <v>4520</v>
      </c>
      <c r="G3562" s="496"/>
      <c r="H3562" s="994" t="s">
        <v>20224</v>
      </c>
      <c r="I3562" s="11" t="s">
        <v>4903</v>
      </c>
      <c r="J3562" s="1285"/>
      <c r="K3562" s="1285"/>
      <c r="L3562" s="1285"/>
    </row>
    <row r="3563" spans="1:12" ht="11.15" customHeight="1">
      <c r="A3563" s="181" t="s">
        <v>2536</v>
      </c>
      <c r="B3563" s="59" t="s">
        <v>20815</v>
      </c>
      <c r="C3563" s="147" t="s">
        <v>20221</v>
      </c>
      <c r="D3563" s="701" t="s">
        <v>1129</v>
      </c>
      <c r="E3563" s="178">
        <v>2019</v>
      </c>
      <c r="F3563" s="178" t="s">
        <v>4520</v>
      </c>
      <c r="G3563" s="496"/>
      <c r="H3563" s="994" t="s">
        <v>20224</v>
      </c>
      <c r="I3563" s="11" t="s">
        <v>4904</v>
      </c>
      <c r="J3563" s="1285"/>
      <c r="K3563" s="1285"/>
      <c r="L3563" s="1285"/>
    </row>
    <row r="3564" spans="1:12" ht="11.15" customHeight="1">
      <c r="A3564" s="29" t="s">
        <v>4905</v>
      </c>
      <c r="B3564" s="59" t="s">
        <v>20815</v>
      </c>
      <c r="C3564" s="147" t="s">
        <v>20221</v>
      </c>
      <c r="D3564" s="701" t="s">
        <v>1129</v>
      </c>
      <c r="E3564" s="178">
        <v>2018</v>
      </c>
      <c r="F3564" s="178" t="s">
        <v>4520</v>
      </c>
      <c r="G3564" s="496"/>
      <c r="H3564" s="994" t="s">
        <v>20224</v>
      </c>
      <c r="I3564" s="11" t="s">
        <v>4906</v>
      </c>
      <c r="J3564" s="1285"/>
      <c r="K3564" s="1285"/>
      <c r="L3564" s="1285"/>
    </row>
    <row r="3565" spans="1:12" ht="11.15" customHeight="1">
      <c r="A3565" s="29" t="s">
        <v>4907</v>
      </c>
      <c r="B3565" s="59" t="s">
        <v>20815</v>
      </c>
      <c r="C3565" s="147" t="s">
        <v>20221</v>
      </c>
      <c r="D3565" s="701" t="s">
        <v>1129</v>
      </c>
      <c r="E3565" s="178">
        <v>2017</v>
      </c>
      <c r="F3565" s="178" t="s">
        <v>4520</v>
      </c>
      <c r="G3565" s="496"/>
      <c r="H3565" s="994" t="s">
        <v>20221</v>
      </c>
      <c r="I3565" s="11" t="s">
        <v>4908</v>
      </c>
      <c r="J3565" s="1285"/>
      <c r="K3565" s="1285"/>
      <c r="L3565" s="1285"/>
    </row>
    <row r="3566" spans="1:12" ht="11.15" customHeight="1">
      <c r="A3566" s="29" t="s">
        <v>4909</v>
      </c>
      <c r="B3566" s="59" t="s">
        <v>20815</v>
      </c>
      <c r="C3566" s="147" t="s">
        <v>20221</v>
      </c>
      <c r="D3566" s="701" t="s">
        <v>1129</v>
      </c>
      <c r="E3566" s="178">
        <v>2016</v>
      </c>
      <c r="F3566" s="178" t="s">
        <v>4520</v>
      </c>
      <c r="G3566" s="496"/>
      <c r="H3566" s="994" t="s">
        <v>20224</v>
      </c>
      <c r="I3566" s="11" t="s">
        <v>4910</v>
      </c>
      <c r="J3566" s="1285"/>
      <c r="K3566" s="1285"/>
      <c r="L3566" s="1285"/>
    </row>
    <row r="3567" spans="1:12" ht="11.15" customHeight="1">
      <c r="A3567" s="29" t="s">
        <v>4911</v>
      </c>
      <c r="B3567" s="59" t="s">
        <v>20815</v>
      </c>
      <c r="C3567" s="147" t="s">
        <v>20221</v>
      </c>
      <c r="D3567" s="701" t="s">
        <v>1129</v>
      </c>
      <c r="E3567" s="178">
        <v>2015</v>
      </c>
      <c r="F3567" s="178" t="s">
        <v>4520</v>
      </c>
      <c r="G3567" s="496"/>
      <c r="H3567" s="994" t="s">
        <v>20224</v>
      </c>
      <c r="I3567" s="11" t="s">
        <v>4912</v>
      </c>
      <c r="J3567" s="1285"/>
      <c r="K3567" s="1285"/>
      <c r="L3567" s="1285"/>
    </row>
    <row r="3568" spans="1:12" ht="11.15" customHeight="1">
      <c r="A3568" s="129" t="s">
        <v>1308</v>
      </c>
      <c r="B3568" s="59" t="s">
        <v>20815</v>
      </c>
      <c r="C3568" s="147" t="s">
        <v>20221</v>
      </c>
      <c r="D3568" s="701" t="s">
        <v>1129</v>
      </c>
      <c r="E3568" s="178">
        <v>2013</v>
      </c>
      <c r="F3568" s="178" t="s">
        <v>23395</v>
      </c>
      <c r="G3568" s="496"/>
      <c r="H3568" s="994" t="s">
        <v>20224</v>
      </c>
      <c r="I3568" s="11" t="s">
        <v>4913</v>
      </c>
      <c r="J3568" s="1285"/>
      <c r="K3568" s="1285"/>
      <c r="L3568" s="1285"/>
    </row>
    <row r="3569" spans="1:12" ht="11.15" customHeight="1">
      <c r="A3569" s="162" t="s">
        <v>2686</v>
      </c>
      <c r="B3569" s="59" t="s">
        <v>20815</v>
      </c>
      <c r="C3569" s="147" t="s">
        <v>20221</v>
      </c>
      <c r="D3569" s="701" t="s">
        <v>1129</v>
      </c>
      <c r="E3569" s="178">
        <v>2012</v>
      </c>
      <c r="F3569" s="178" t="s">
        <v>4520</v>
      </c>
      <c r="G3569" s="496"/>
      <c r="H3569" s="994" t="s">
        <v>20224</v>
      </c>
      <c r="I3569" s="11" t="s">
        <v>4111</v>
      </c>
      <c r="J3569" s="1285"/>
      <c r="K3569" s="1285"/>
      <c r="L3569" s="1285"/>
    </row>
    <row r="3570" spans="1:12" ht="11.15" customHeight="1">
      <c r="A3570" s="162" t="s">
        <v>4914</v>
      </c>
      <c r="B3570" s="59" t="s">
        <v>20815</v>
      </c>
      <c r="C3570" s="147" t="s">
        <v>20221</v>
      </c>
      <c r="D3570" s="701" t="s">
        <v>1129</v>
      </c>
      <c r="E3570" s="178">
        <v>2011</v>
      </c>
      <c r="F3570" s="178" t="s">
        <v>23395</v>
      </c>
      <c r="G3570" s="496"/>
      <c r="H3570" s="994" t="s">
        <v>20465</v>
      </c>
      <c r="I3570" s="11" t="s">
        <v>4915</v>
      </c>
      <c r="J3570" s="1285"/>
      <c r="K3570" s="1285"/>
      <c r="L3570" s="1285"/>
    </row>
    <row r="3571" spans="1:12" ht="11.15" customHeight="1">
      <c r="A3571" s="162" t="s">
        <v>4916</v>
      </c>
      <c r="B3571" s="177" t="s">
        <v>4917</v>
      </c>
      <c r="C3571" s="147"/>
      <c r="D3571" s="122"/>
      <c r="E3571" s="36"/>
      <c r="F3571" s="178"/>
      <c r="G3571" s="1217"/>
      <c r="H3571" s="36"/>
      <c r="I3571" s="11"/>
    </row>
    <row r="3572" spans="1:12" ht="11.15" customHeight="1">
      <c r="A3572" s="162" t="s">
        <v>4918</v>
      </c>
      <c r="B3572" s="59" t="s">
        <v>20756</v>
      </c>
      <c r="C3572" s="147" t="s">
        <v>20221</v>
      </c>
      <c r="D3572" s="284" t="s">
        <v>897</v>
      </c>
      <c r="E3572" s="178">
        <v>2022</v>
      </c>
      <c r="F3572" s="178" t="s">
        <v>4520</v>
      </c>
      <c r="G3572" s="496"/>
      <c r="H3572" s="994" t="s">
        <v>20221</v>
      </c>
      <c r="I3572" s="11" t="s">
        <v>4919</v>
      </c>
      <c r="J3572" s="1285"/>
      <c r="K3572" s="1285"/>
      <c r="L3572" s="1285"/>
    </row>
    <row r="3573" spans="1:12" ht="11.15" customHeight="1">
      <c r="A3573" s="162" t="s">
        <v>4920</v>
      </c>
      <c r="B3573" s="59" t="s">
        <v>20756</v>
      </c>
      <c r="C3573" s="147" t="s">
        <v>20221</v>
      </c>
      <c r="D3573" s="284" t="s">
        <v>897</v>
      </c>
      <c r="E3573" s="178">
        <v>2020</v>
      </c>
      <c r="F3573" s="178" t="s">
        <v>4520</v>
      </c>
      <c r="G3573" s="496"/>
      <c r="H3573" s="994" t="s">
        <v>20221</v>
      </c>
      <c r="I3573" s="12" t="s">
        <v>4921</v>
      </c>
      <c r="J3573" s="1285"/>
      <c r="K3573" s="1285"/>
      <c r="L3573" s="1285"/>
    </row>
    <row r="3574" spans="1:12" ht="11.15" customHeight="1">
      <c r="A3574" s="162" t="s">
        <v>4922</v>
      </c>
      <c r="B3574" s="59" t="s">
        <v>20756</v>
      </c>
      <c r="C3574" s="147" t="s">
        <v>20221</v>
      </c>
      <c r="D3574" s="284" t="s">
        <v>897</v>
      </c>
      <c r="E3574" s="178">
        <v>2018</v>
      </c>
      <c r="F3574" s="178" t="s">
        <v>4520</v>
      </c>
      <c r="G3574" s="496"/>
      <c r="H3574" s="994" t="s">
        <v>20221</v>
      </c>
      <c r="I3574" s="12" t="s">
        <v>4923</v>
      </c>
      <c r="J3574" s="1285"/>
      <c r="K3574" s="1285"/>
      <c r="L3574" s="1285"/>
    </row>
    <row r="3575" spans="1:12" ht="11.15" customHeight="1">
      <c r="A3575" s="162" t="s">
        <v>4924</v>
      </c>
      <c r="B3575" s="59" t="s">
        <v>20756</v>
      </c>
      <c r="C3575" s="147" t="s">
        <v>20221</v>
      </c>
      <c r="D3575" s="284" t="s">
        <v>897</v>
      </c>
      <c r="E3575" s="178">
        <v>2017</v>
      </c>
      <c r="F3575" s="178" t="s">
        <v>4520</v>
      </c>
      <c r="G3575" s="496"/>
      <c r="H3575" s="994" t="s">
        <v>20221</v>
      </c>
      <c r="I3575" s="12" t="s">
        <v>4925</v>
      </c>
      <c r="J3575" s="1285"/>
      <c r="K3575" s="1285"/>
      <c r="L3575" s="1285"/>
    </row>
    <row r="3576" spans="1:12" ht="11.15" customHeight="1">
      <c r="A3576" s="162" t="s">
        <v>4926</v>
      </c>
      <c r="B3576" s="177" t="s">
        <v>4927</v>
      </c>
      <c r="C3576" s="147"/>
      <c r="D3576" s="161"/>
      <c r="E3576" s="36"/>
      <c r="F3576" s="178"/>
      <c r="G3576" s="496"/>
      <c r="H3576" s="36"/>
      <c r="I3576" s="11"/>
    </row>
    <row r="3577" spans="1:12" ht="11.15" customHeight="1">
      <c r="A3577" s="162" t="s">
        <v>4928</v>
      </c>
      <c r="B3577" s="59" t="s">
        <v>20816</v>
      </c>
      <c r="C3577" s="147" t="s">
        <v>20221</v>
      </c>
      <c r="D3577" s="284" t="s">
        <v>897</v>
      </c>
      <c r="E3577" s="178">
        <v>2022</v>
      </c>
      <c r="F3577" s="178" t="s">
        <v>4520</v>
      </c>
      <c r="G3577" s="496"/>
      <c r="H3577" s="994" t="s">
        <v>20224</v>
      </c>
      <c r="I3577" s="12" t="s">
        <v>4929</v>
      </c>
      <c r="J3577" s="1285"/>
      <c r="K3577" s="1285"/>
      <c r="L3577" s="1285"/>
    </row>
    <row r="3578" spans="1:12" ht="11.15" customHeight="1">
      <c r="A3578" s="162" t="s">
        <v>4930</v>
      </c>
      <c r="B3578" s="177" t="s">
        <v>4931</v>
      </c>
      <c r="C3578" s="147"/>
      <c r="D3578" s="161"/>
      <c r="E3578" s="36"/>
      <c r="F3578" s="178"/>
      <c r="G3578" s="496"/>
      <c r="H3578" s="36"/>
      <c r="I3578" s="11"/>
    </row>
    <row r="3579" spans="1:12" ht="11.15" customHeight="1">
      <c r="A3579" s="162" t="s">
        <v>4932</v>
      </c>
      <c r="B3579" s="59" t="s">
        <v>20817</v>
      </c>
      <c r="C3579" s="147" t="s">
        <v>20221</v>
      </c>
      <c r="D3579" s="284" t="s">
        <v>897</v>
      </c>
      <c r="E3579" s="178">
        <v>2022</v>
      </c>
      <c r="F3579" s="178" t="s">
        <v>4520</v>
      </c>
      <c r="G3579" s="496"/>
      <c r="H3579" s="994" t="s">
        <v>20221</v>
      </c>
      <c r="I3579" s="12" t="s">
        <v>4933</v>
      </c>
      <c r="J3579" s="1285"/>
      <c r="K3579" s="1285"/>
      <c r="L3579" s="1285"/>
    </row>
    <row r="3580" spans="1:12" ht="11.15" customHeight="1">
      <c r="A3580" s="162" t="s">
        <v>4934</v>
      </c>
      <c r="B3580" s="59" t="s">
        <v>20817</v>
      </c>
      <c r="C3580" s="147" t="s">
        <v>20221</v>
      </c>
      <c r="D3580" s="284" t="s">
        <v>897</v>
      </c>
      <c r="E3580" s="178">
        <v>2020</v>
      </c>
      <c r="F3580" s="178" t="s">
        <v>4520</v>
      </c>
      <c r="G3580" s="496"/>
      <c r="H3580" s="994" t="s">
        <v>20221</v>
      </c>
      <c r="I3580" s="12" t="s">
        <v>4935</v>
      </c>
      <c r="J3580" s="1285"/>
      <c r="K3580" s="1285"/>
      <c r="L3580" s="1285"/>
    </row>
    <row r="3581" spans="1:12" ht="11.15" customHeight="1">
      <c r="A3581" s="162" t="s">
        <v>4936</v>
      </c>
      <c r="B3581" s="59" t="s">
        <v>20817</v>
      </c>
      <c r="C3581" s="147" t="s">
        <v>20221</v>
      </c>
      <c r="D3581" s="284" t="s">
        <v>897</v>
      </c>
      <c r="E3581" s="178">
        <v>2019</v>
      </c>
      <c r="F3581" s="178" t="s">
        <v>4520</v>
      </c>
      <c r="G3581" s="496"/>
      <c r="H3581" s="994" t="s">
        <v>20221</v>
      </c>
      <c r="I3581" s="12" t="s">
        <v>4937</v>
      </c>
      <c r="J3581" s="1285"/>
      <c r="K3581" s="1285"/>
      <c r="L3581" s="1285"/>
    </row>
    <row r="3582" spans="1:12" ht="11.15" customHeight="1">
      <c r="A3582" s="162" t="s">
        <v>4938</v>
      </c>
      <c r="B3582" s="59" t="s">
        <v>20817</v>
      </c>
      <c r="C3582" s="147" t="s">
        <v>20221</v>
      </c>
      <c r="D3582" s="284" t="s">
        <v>897</v>
      </c>
      <c r="E3582" s="178">
        <v>2018</v>
      </c>
      <c r="F3582" s="178" t="s">
        <v>4520</v>
      </c>
      <c r="G3582" s="496"/>
      <c r="H3582" s="994" t="s">
        <v>20224</v>
      </c>
      <c r="I3582" s="12" t="s">
        <v>4939</v>
      </c>
      <c r="J3582" s="1285"/>
      <c r="K3582" s="1285"/>
      <c r="L3582" s="1285"/>
    </row>
    <row r="3583" spans="1:12" ht="11.15" customHeight="1">
      <c r="A3583" s="162" t="s">
        <v>4940</v>
      </c>
      <c r="B3583" s="59" t="s">
        <v>20817</v>
      </c>
      <c r="C3583" s="147" t="s">
        <v>20221</v>
      </c>
      <c r="D3583" s="284" t="s">
        <v>897</v>
      </c>
      <c r="E3583" s="178">
        <v>2017</v>
      </c>
      <c r="F3583" s="178" t="s">
        <v>4520</v>
      </c>
      <c r="G3583" s="496"/>
      <c r="H3583" s="994" t="s">
        <v>20224</v>
      </c>
      <c r="I3583" s="12" t="s">
        <v>4941</v>
      </c>
      <c r="J3583" s="1285"/>
      <c r="K3583" s="1285"/>
      <c r="L3583" s="1285"/>
    </row>
    <row r="3584" spans="1:12" ht="11.15" customHeight="1">
      <c r="A3584" s="162" t="s">
        <v>4942</v>
      </c>
      <c r="B3584" s="59" t="s">
        <v>20792</v>
      </c>
      <c r="C3584" s="147" t="s">
        <v>20221</v>
      </c>
      <c r="D3584" s="284" t="s">
        <v>897</v>
      </c>
      <c r="E3584" s="178">
        <v>2022</v>
      </c>
      <c r="F3584" s="178" t="s">
        <v>4520</v>
      </c>
      <c r="G3584" s="496"/>
      <c r="H3584" s="994" t="s">
        <v>20221</v>
      </c>
      <c r="I3584" s="12" t="s">
        <v>4943</v>
      </c>
      <c r="J3584" s="1285"/>
      <c r="K3584" s="1285"/>
      <c r="L3584" s="1285"/>
    </row>
    <row r="3585" spans="1:12" ht="11.15" customHeight="1">
      <c r="A3585" s="162" t="s">
        <v>4944</v>
      </c>
      <c r="B3585" s="59" t="s">
        <v>20792</v>
      </c>
      <c r="C3585" s="147" t="s">
        <v>20221</v>
      </c>
      <c r="D3585" s="284" t="s">
        <v>897</v>
      </c>
      <c r="E3585" s="178">
        <v>2020</v>
      </c>
      <c r="F3585" s="178" t="s">
        <v>4520</v>
      </c>
      <c r="G3585" s="496"/>
      <c r="H3585" s="994" t="s">
        <v>20224</v>
      </c>
      <c r="I3585" s="12" t="s">
        <v>4945</v>
      </c>
      <c r="J3585" s="1285"/>
      <c r="K3585" s="1285"/>
      <c r="L3585" s="1285"/>
    </row>
    <row r="3586" spans="1:12" ht="11.15" customHeight="1">
      <c r="A3586" s="162" t="s">
        <v>4946</v>
      </c>
      <c r="B3586" s="59" t="s">
        <v>20792</v>
      </c>
      <c r="C3586" s="147" t="s">
        <v>20221</v>
      </c>
      <c r="D3586" s="284" t="s">
        <v>897</v>
      </c>
      <c r="E3586" s="178">
        <v>2019</v>
      </c>
      <c r="F3586" s="178" t="s">
        <v>4520</v>
      </c>
      <c r="G3586" s="496"/>
      <c r="H3586" s="994" t="s">
        <v>20224</v>
      </c>
      <c r="I3586" s="12" t="s">
        <v>4947</v>
      </c>
      <c r="J3586" s="1285"/>
      <c r="K3586" s="1285"/>
      <c r="L3586" s="1285"/>
    </row>
    <row r="3587" spans="1:12" ht="11.15" customHeight="1">
      <c r="A3587" s="162" t="s">
        <v>4948</v>
      </c>
      <c r="B3587" s="59" t="s">
        <v>20792</v>
      </c>
      <c r="C3587" s="147" t="s">
        <v>20221</v>
      </c>
      <c r="D3587" s="284" t="s">
        <v>897</v>
      </c>
      <c r="E3587" s="178">
        <v>2018</v>
      </c>
      <c r="F3587" s="178" t="s">
        <v>4520</v>
      </c>
      <c r="G3587" s="496"/>
      <c r="H3587" s="994" t="s">
        <v>20221</v>
      </c>
      <c r="I3587" s="12" t="s">
        <v>4949</v>
      </c>
      <c r="J3587" s="1285"/>
      <c r="K3587" s="1285"/>
      <c r="L3587" s="1285"/>
    </row>
    <row r="3588" spans="1:12" ht="11.15" customHeight="1">
      <c r="A3588" s="162" t="s">
        <v>4950</v>
      </c>
      <c r="B3588" s="59" t="s">
        <v>20792</v>
      </c>
      <c r="C3588" s="147" t="s">
        <v>20221</v>
      </c>
      <c r="D3588" s="284" t="s">
        <v>897</v>
      </c>
      <c r="E3588" s="178">
        <v>2017</v>
      </c>
      <c r="F3588" s="178" t="s">
        <v>4520</v>
      </c>
      <c r="G3588" s="496"/>
      <c r="H3588" s="994" t="s">
        <v>20277</v>
      </c>
      <c r="I3588" s="12" t="s">
        <v>4951</v>
      </c>
      <c r="J3588" s="1285"/>
      <c r="K3588" s="1285"/>
      <c r="L3588" s="1285"/>
    </row>
    <row r="3589" spans="1:12" ht="11.15" customHeight="1">
      <c r="A3589" s="162" t="s">
        <v>4952</v>
      </c>
      <c r="B3589" s="59" t="s">
        <v>20818</v>
      </c>
      <c r="C3589" s="147" t="s">
        <v>20221</v>
      </c>
      <c r="D3589" s="284" t="s">
        <v>897</v>
      </c>
      <c r="E3589" s="178">
        <v>2022</v>
      </c>
      <c r="F3589" s="178" t="s">
        <v>23394</v>
      </c>
      <c r="G3589" s="496"/>
      <c r="H3589" s="994" t="s">
        <v>20224</v>
      </c>
      <c r="I3589" s="12" t="s">
        <v>4953</v>
      </c>
      <c r="J3589" s="1285"/>
      <c r="K3589" s="1285"/>
      <c r="L3589" s="1285"/>
    </row>
    <row r="3590" spans="1:12" ht="11.15" customHeight="1">
      <c r="A3590" s="129" t="s">
        <v>4954</v>
      </c>
      <c r="B3590" s="59" t="s">
        <v>20819</v>
      </c>
      <c r="C3590" s="147" t="s">
        <v>20221</v>
      </c>
      <c r="D3590" s="284" t="s">
        <v>897</v>
      </c>
      <c r="E3590" s="178">
        <v>2022</v>
      </c>
      <c r="F3590" s="178" t="s">
        <v>23394</v>
      </c>
      <c r="G3590" s="496"/>
      <c r="H3590" s="994" t="s">
        <v>20224</v>
      </c>
      <c r="I3590" s="12" t="s">
        <v>4955</v>
      </c>
      <c r="J3590" s="1285"/>
      <c r="K3590" s="1285"/>
      <c r="L3590" s="1285"/>
    </row>
    <row r="3591" spans="1:12" ht="11.15" customHeight="1">
      <c r="A3591" s="355" t="s">
        <v>4956</v>
      </c>
      <c r="B3591" s="177" t="s">
        <v>4957</v>
      </c>
      <c r="C3591" s="147"/>
      <c r="D3591" s="161"/>
      <c r="E3591" s="36"/>
      <c r="F3591" s="178"/>
      <c r="G3591" s="496"/>
      <c r="H3591" s="36"/>
      <c r="I3591" s="12"/>
    </row>
    <row r="3592" spans="1:12" ht="11.15" customHeight="1">
      <c r="A3592" s="162" t="s">
        <v>4958</v>
      </c>
      <c r="B3592" s="59" t="s">
        <v>20820</v>
      </c>
      <c r="C3592" s="147" t="s">
        <v>20221</v>
      </c>
      <c r="D3592" s="284" t="s">
        <v>897</v>
      </c>
      <c r="E3592" s="178">
        <v>2018</v>
      </c>
      <c r="F3592" s="178" t="s">
        <v>5257</v>
      </c>
      <c r="G3592" s="496"/>
      <c r="H3592" s="994" t="s">
        <v>20224</v>
      </c>
      <c r="I3592" s="12" t="s">
        <v>4959</v>
      </c>
      <c r="J3592" s="1285"/>
      <c r="K3592" s="1285"/>
      <c r="L3592" s="1285"/>
    </row>
    <row r="3593" spans="1:12" ht="11.15" customHeight="1">
      <c r="A3593" s="162" t="s">
        <v>4960</v>
      </c>
      <c r="B3593" s="59" t="s">
        <v>20820</v>
      </c>
      <c r="C3593" s="147" t="s">
        <v>20221</v>
      </c>
      <c r="D3593" s="284" t="s">
        <v>897</v>
      </c>
      <c r="E3593" s="178">
        <v>2017</v>
      </c>
      <c r="F3593" s="178" t="s">
        <v>5257</v>
      </c>
      <c r="G3593" s="496"/>
      <c r="H3593" s="994" t="s">
        <v>20224</v>
      </c>
      <c r="I3593" s="12" t="s">
        <v>4961</v>
      </c>
      <c r="J3593" s="1285"/>
      <c r="K3593" s="1285"/>
      <c r="L3593" s="1285"/>
    </row>
    <row r="3594" spans="1:12" ht="11.15" customHeight="1">
      <c r="A3594" s="162" t="s">
        <v>4962</v>
      </c>
      <c r="B3594" s="185"/>
      <c r="C3594" s="147"/>
      <c r="D3594" s="185"/>
      <c r="E3594" s="185"/>
      <c r="F3594" s="185"/>
      <c r="G3594" s="185"/>
      <c r="H3594" s="185"/>
      <c r="I3594" s="11"/>
    </row>
    <row r="3595" spans="1:12" ht="11.15" customHeight="1">
      <c r="A3595" s="162" t="s">
        <v>4963</v>
      </c>
      <c r="B3595" s="185"/>
      <c r="C3595" s="147"/>
      <c r="D3595" s="185"/>
      <c r="E3595" s="185"/>
      <c r="F3595" s="185"/>
      <c r="G3595" s="185"/>
      <c r="H3595" s="185"/>
      <c r="I3595" s="11"/>
    </row>
    <row r="3596" spans="1:12" ht="11.15" customHeight="1">
      <c r="A3596" s="162" t="s">
        <v>4964</v>
      </c>
      <c r="B3596" s="185"/>
      <c r="C3596" s="147"/>
      <c r="D3596" s="185"/>
      <c r="E3596" s="185"/>
      <c r="F3596" s="185"/>
      <c r="G3596" s="185"/>
      <c r="H3596" s="185"/>
      <c r="I3596" s="11"/>
    </row>
    <row r="3597" spans="1:12" ht="11.15" customHeight="1">
      <c r="A3597" s="162" t="s">
        <v>4965</v>
      </c>
      <c r="B3597" s="185"/>
      <c r="C3597" s="147"/>
      <c r="D3597" s="185"/>
      <c r="E3597" s="185"/>
      <c r="F3597" s="185"/>
      <c r="G3597" s="185"/>
      <c r="H3597" s="185"/>
      <c r="I3597" s="11"/>
    </row>
    <row r="3598" spans="1:12" ht="11.15" customHeight="1">
      <c r="A3598" s="162" t="s">
        <v>4966</v>
      </c>
      <c r="B3598" s="185"/>
      <c r="C3598" s="147"/>
      <c r="D3598" s="185"/>
      <c r="E3598" s="185"/>
      <c r="F3598" s="185"/>
      <c r="G3598" s="185"/>
      <c r="H3598" s="185"/>
      <c r="I3598" s="11"/>
    </row>
    <row r="3599" spans="1:12" ht="11.15" customHeight="1">
      <c r="A3599" s="162" t="s">
        <v>4967</v>
      </c>
      <c r="B3599" s="185"/>
      <c r="C3599" s="147"/>
      <c r="D3599" s="185"/>
      <c r="E3599" s="185"/>
      <c r="F3599" s="185"/>
      <c r="G3599" s="185"/>
      <c r="H3599" s="185"/>
      <c r="I3599" s="11"/>
    </row>
    <row r="3600" spans="1:12" ht="11.15" customHeight="1">
      <c r="A3600" s="162" t="s">
        <v>4968</v>
      </c>
      <c r="B3600" s="185"/>
      <c r="C3600" s="147"/>
      <c r="D3600" s="185"/>
      <c r="E3600" s="185"/>
      <c r="F3600" s="185"/>
      <c r="G3600" s="185"/>
      <c r="H3600" s="185"/>
      <c r="I3600" s="11"/>
    </row>
    <row r="3601" spans="1:12" ht="11.15" customHeight="1">
      <c r="A3601" s="162" t="s">
        <v>4969</v>
      </c>
      <c r="B3601" s="185"/>
      <c r="C3601" s="147"/>
      <c r="D3601" s="185"/>
      <c r="E3601" s="185"/>
      <c r="F3601" s="185"/>
      <c r="G3601" s="185"/>
      <c r="H3601" s="185"/>
      <c r="I3601" s="11"/>
    </row>
    <row r="3602" spans="1:12" ht="11.15" customHeight="1">
      <c r="A3602" s="162" t="s">
        <v>4970</v>
      </c>
      <c r="B3602" s="185"/>
      <c r="C3602" s="147"/>
      <c r="D3602" s="185"/>
      <c r="E3602" s="185"/>
      <c r="F3602" s="185"/>
      <c r="G3602" s="185"/>
      <c r="H3602" s="185"/>
      <c r="I3602" s="11"/>
    </row>
    <row r="3603" spans="1:12" ht="11.15" customHeight="1">
      <c r="A3603" s="29" t="s">
        <v>3175</v>
      </c>
      <c r="B3603" s="185"/>
      <c r="C3603" s="147"/>
      <c r="D3603" s="185"/>
      <c r="E3603" s="185"/>
      <c r="F3603" s="185"/>
      <c r="G3603" s="185"/>
      <c r="H3603" s="185"/>
      <c r="I3603" s="11"/>
    </row>
    <row r="3604" spans="1:12" ht="11.15" customHeight="1">
      <c r="A3604" s="166" t="s">
        <v>4971</v>
      </c>
      <c r="B3604" s="185"/>
      <c r="C3604" s="147"/>
      <c r="D3604" s="185"/>
      <c r="E3604" s="185"/>
      <c r="F3604" s="185"/>
      <c r="G3604" s="185"/>
      <c r="H3604" s="185"/>
      <c r="I3604" s="11"/>
    </row>
    <row r="3605" spans="1:12" ht="11.15" customHeight="1">
      <c r="A3605" s="423" t="s">
        <v>4972</v>
      </c>
      <c r="B3605" s="185"/>
      <c r="C3605" s="147"/>
      <c r="D3605" s="185"/>
      <c r="E3605" s="185"/>
      <c r="F3605" s="185"/>
      <c r="G3605" s="185"/>
      <c r="H3605" s="185"/>
      <c r="I3605" s="11"/>
    </row>
    <row r="3606" spans="1:12" ht="11.15" customHeight="1" thickBot="1">
      <c r="A3606" s="185"/>
      <c r="B3606" s="185"/>
      <c r="C3606" s="147"/>
      <c r="D3606" s="185"/>
      <c r="E3606" s="185"/>
      <c r="F3606" s="185"/>
      <c r="G3606" s="185"/>
      <c r="H3606" s="185"/>
      <c r="I3606" s="11"/>
    </row>
    <row r="3607" spans="1:12" ht="11.15" customHeight="1" thickBot="1">
      <c r="A3607" s="184" t="s">
        <v>4973</v>
      </c>
      <c r="B3607" s="177" t="s">
        <v>4155</v>
      </c>
      <c r="C3607" s="147"/>
      <c r="D3607" s="122"/>
      <c r="E3607" s="36"/>
      <c r="F3607" s="178"/>
      <c r="G3607" s="453"/>
      <c r="H3607" s="36"/>
      <c r="I3607" s="11"/>
    </row>
    <row r="3608" spans="1:12" ht="11.15" customHeight="1">
      <c r="A3608" s="29" t="s">
        <v>4974</v>
      </c>
      <c r="B3608" s="59" t="s">
        <v>6176</v>
      </c>
      <c r="C3608" s="147" t="s">
        <v>20221</v>
      </c>
      <c r="D3608" s="284" t="s">
        <v>897</v>
      </c>
      <c r="E3608" s="178">
        <v>2022</v>
      </c>
      <c r="F3608" s="178" t="s">
        <v>4520</v>
      </c>
      <c r="G3608" s="496"/>
      <c r="H3608" s="994" t="s">
        <v>20221</v>
      </c>
      <c r="I3608" s="12" t="s">
        <v>4975</v>
      </c>
      <c r="J3608" s="1285"/>
      <c r="K3608" s="1285"/>
      <c r="L3608" s="1285"/>
    </row>
    <row r="3609" spans="1:12" ht="11.15" customHeight="1">
      <c r="A3609" s="29" t="s">
        <v>4976</v>
      </c>
      <c r="B3609" s="59" t="s">
        <v>6176</v>
      </c>
      <c r="C3609" s="147" t="s">
        <v>20221</v>
      </c>
      <c r="D3609" s="284" t="s">
        <v>897</v>
      </c>
      <c r="E3609" s="178">
        <v>2021</v>
      </c>
      <c r="F3609" s="178" t="s">
        <v>4520</v>
      </c>
      <c r="G3609" s="496"/>
      <c r="H3609" s="994" t="s">
        <v>20224</v>
      </c>
      <c r="I3609" s="12" t="s">
        <v>4977</v>
      </c>
      <c r="J3609" s="1285"/>
      <c r="K3609" s="1285"/>
      <c r="L3609" s="1285"/>
    </row>
    <row r="3610" spans="1:12" ht="11.15" customHeight="1">
      <c r="A3610" s="29" t="s">
        <v>4978</v>
      </c>
      <c r="B3610" s="154" t="s">
        <v>4195</v>
      </c>
      <c r="C3610" s="147"/>
      <c r="D3610" s="185"/>
      <c r="E3610" s="185"/>
      <c r="F3610" s="185"/>
      <c r="G3610" s="185"/>
      <c r="H3610" s="185"/>
      <c r="I3610" s="11"/>
    </row>
    <row r="3611" spans="1:12" ht="11.15" customHeight="1">
      <c r="A3611" s="29" t="s">
        <v>4979</v>
      </c>
      <c r="B3611" s="59" t="s">
        <v>4974</v>
      </c>
      <c r="C3611" s="147" t="s">
        <v>20221</v>
      </c>
      <c r="D3611" s="284" t="s">
        <v>897</v>
      </c>
      <c r="E3611" s="178">
        <v>2022</v>
      </c>
      <c r="F3611" s="178" t="s">
        <v>4520</v>
      </c>
      <c r="G3611" s="496"/>
      <c r="H3611" s="994" t="s">
        <v>20224</v>
      </c>
      <c r="I3611" s="12" t="s">
        <v>4980</v>
      </c>
      <c r="J3611" s="1285"/>
      <c r="K3611" s="1285"/>
      <c r="L3611" s="1285"/>
    </row>
    <row r="3612" spans="1:12" ht="11.15" customHeight="1">
      <c r="A3612" s="29" t="s">
        <v>4981</v>
      </c>
      <c r="B3612" s="59" t="s">
        <v>20822</v>
      </c>
      <c r="C3612" s="147" t="s">
        <v>20221</v>
      </c>
      <c r="D3612" s="284" t="s">
        <v>897</v>
      </c>
      <c r="E3612" s="178">
        <v>2022</v>
      </c>
      <c r="F3612" s="178" t="s">
        <v>23394</v>
      </c>
      <c r="G3612" s="496"/>
      <c r="H3612" s="994" t="s">
        <v>20224</v>
      </c>
      <c r="I3612" s="12" t="s">
        <v>4982</v>
      </c>
      <c r="J3612" s="1285"/>
      <c r="K3612" s="1285"/>
      <c r="L3612" s="1285"/>
    </row>
    <row r="3613" spans="1:12" ht="11.15" customHeight="1">
      <c r="A3613" s="29" t="s">
        <v>4983</v>
      </c>
      <c r="B3613" s="154" t="s">
        <v>4231</v>
      </c>
      <c r="C3613" s="147"/>
      <c r="D3613" s="129"/>
      <c r="E3613" s="185"/>
      <c r="F3613" s="185"/>
      <c r="G3613" s="185"/>
      <c r="H3613" s="185"/>
      <c r="I3613" s="11"/>
    </row>
    <row r="3614" spans="1:12" ht="11.15" customHeight="1">
      <c r="A3614" s="181" t="s">
        <v>4984</v>
      </c>
      <c r="B3614" s="59" t="s">
        <v>20792</v>
      </c>
      <c r="C3614" s="147" t="s">
        <v>20221</v>
      </c>
      <c r="D3614" s="284" t="s">
        <v>897</v>
      </c>
      <c r="E3614" s="178">
        <v>2022</v>
      </c>
      <c r="F3614" s="178" t="s">
        <v>4520</v>
      </c>
      <c r="G3614" s="496"/>
      <c r="H3614" s="994" t="s">
        <v>20224</v>
      </c>
      <c r="I3614" s="11" t="s">
        <v>4985</v>
      </c>
      <c r="J3614" s="1285"/>
      <c r="K3614" s="1285"/>
      <c r="L3614" s="1285"/>
    </row>
    <row r="3615" spans="1:12" ht="11.15" customHeight="1">
      <c r="A3615" s="29" t="s">
        <v>4986</v>
      </c>
      <c r="B3615" s="59" t="s">
        <v>20823</v>
      </c>
      <c r="C3615" s="147" t="s">
        <v>20221</v>
      </c>
      <c r="D3615" s="284" t="s">
        <v>897</v>
      </c>
      <c r="E3615" s="178">
        <v>2022</v>
      </c>
      <c r="F3615" s="178" t="s">
        <v>23394</v>
      </c>
      <c r="G3615" s="496"/>
      <c r="H3615" s="994" t="s">
        <v>20224</v>
      </c>
      <c r="I3615" s="11" t="s">
        <v>4987</v>
      </c>
      <c r="J3615" s="1285"/>
      <c r="K3615" s="1285"/>
      <c r="L3615" s="1285"/>
    </row>
    <row r="3616" spans="1:12" ht="11.15" customHeight="1">
      <c r="A3616" s="219" t="s">
        <v>4988</v>
      </c>
      <c r="B3616" s="59" t="s">
        <v>20824</v>
      </c>
      <c r="C3616" s="147" t="s">
        <v>20221</v>
      </c>
      <c r="D3616" s="284" t="s">
        <v>897</v>
      </c>
      <c r="E3616" s="178">
        <v>2022</v>
      </c>
      <c r="F3616" s="178" t="s">
        <v>4520</v>
      </c>
      <c r="G3616" s="496"/>
      <c r="H3616" s="994" t="s">
        <v>20221</v>
      </c>
      <c r="I3616" s="11" t="s">
        <v>4989</v>
      </c>
      <c r="J3616" s="1285"/>
      <c r="K3616" s="1285"/>
      <c r="L3616" s="1285"/>
    </row>
    <row r="3617" spans="1:12" ht="11.15" customHeight="1">
      <c r="A3617" s="129" t="s">
        <v>1308</v>
      </c>
      <c r="B3617" s="59" t="s">
        <v>20825</v>
      </c>
      <c r="C3617" s="147" t="s">
        <v>20221</v>
      </c>
      <c r="D3617" s="284" t="s">
        <v>897</v>
      </c>
      <c r="E3617" s="178">
        <v>2022</v>
      </c>
      <c r="F3617" s="178" t="s">
        <v>23394</v>
      </c>
      <c r="G3617" s="496"/>
      <c r="H3617" s="994" t="s">
        <v>20224</v>
      </c>
      <c r="I3617" s="11" t="s">
        <v>4990</v>
      </c>
      <c r="J3617" s="1285"/>
      <c r="K3617" s="1285"/>
      <c r="L3617" s="1285"/>
    </row>
    <row r="3618" spans="1:12" ht="11.15" customHeight="1">
      <c r="A3618" s="162" t="s">
        <v>4991</v>
      </c>
      <c r="B3618" s="59" t="s">
        <v>20826</v>
      </c>
      <c r="C3618" s="147" t="s">
        <v>20221</v>
      </c>
      <c r="D3618" s="284" t="s">
        <v>897</v>
      </c>
      <c r="E3618" s="178">
        <v>2022</v>
      </c>
      <c r="F3618" s="178" t="s">
        <v>23394</v>
      </c>
      <c r="G3618" s="496"/>
      <c r="H3618" s="994" t="s">
        <v>20224</v>
      </c>
      <c r="I3618" s="11" t="s">
        <v>4992</v>
      </c>
      <c r="J3618" s="1285"/>
      <c r="K3618" s="1285"/>
      <c r="L3618" s="1285"/>
    </row>
    <row r="3619" spans="1:12" ht="11.15" customHeight="1">
      <c r="A3619" s="162" t="s">
        <v>4993</v>
      </c>
      <c r="B3619" s="59" t="s">
        <v>20827</v>
      </c>
      <c r="C3619" s="147" t="s">
        <v>20221</v>
      </c>
      <c r="D3619" s="284" t="s">
        <v>897</v>
      </c>
      <c r="E3619" s="178">
        <v>2022</v>
      </c>
      <c r="F3619" s="178" t="s">
        <v>23394</v>
      </c>
      <c r="G3619" s="496"/>
      <c r="H3619" s="994" t="s">
        <v>20221</v>
      </c>
      <c r="I3619" s="11" t="s">
        <v>4994</v>
      </c>
      <c r="J3619" s="1285"/>
      <c r="K3619" s="1285"/>
      <c r="L3619" s="1285"/>
    </row>
    <row r="3620" spans="1:12" ht="11.15" customHeight="1">
      <c r="A3620" s="162" t="s">
        <v>4995</v>
      </c>
      <c r="B3620" s="177" t="s">
        <v>4996</v>
      </c>
      <c r="C3620" s="147"/>
      <c r="D3620" s="161"/>
      <c r="E3620" s="36"/>
      <c r="F3620" s="178"/>
      <c r="G3620" s="496"/>
      <c r="H3620" s="36"/>
      <c r="I3620" s="11"/>
    </row>
    <row r="3621" spans="1:12" ht="11.15" customHeight="1">
      <c r="A3621" s="162" t="s">
        <v>4997</v>
      </c>
      <c r="B3621" s="59" t="s">
        <v>20798</v>
      </c>
      <c r="C3621" s="147" t="s">
        <v>20221</v>
      </c>
      <c r="D3621" s="284" t="s">
        <v>897</v>
      </c>
      <c r="E3621" s="178">
        <v>2022</v>
      </c>
      <c r="F3621" s="178" t="s">
        <v>23394</v>
      </c>
      <c r="G3621" s="496"/>
      <c r="H3621" s="994" t="s">
        <v>20221</v>
      </c>
      <c r="I3621" s="11" t="s">
        <v>4998</v>
      </c>
      <c r="J3621" s="1285"/>
      <c r="K3621" s="1285"/>
      <c r="L3621" s="1285"/>
    </row>
    <row r="3622" spans="1:12" ht="11.15" customHeight="1">
      <c r="A3622" s="162" t="s">
        <v>4999</v>
      </c>
      <c r="B3622" s="59" t="s">
        <v>20798</v>
      </c>
      <c r="C3622" s="147" t="s">
        <v>20221</v>
      </c>
      <c r="D3622" s="284" t="s">
        <v>897</v>
      </c>
      <c r="E3622" s="178">
        <v>2021</v>
      </c>
      <c r="F3622" s="178" t="s">
        <v>23394</v>
      </c>
      <c r="G3622" s="496"/>
      <c r="H3622" s="994" t="s">
        <v>20224</v>
      </c>
      <c r="I3622" s="11" t="s">
        <v>5000</v>
      </c>
      <c r="J3622" s="1285"/>
      <c r="K3622" s="1285"/>
      <c r="L3622" s="1285"/>
    </row>
    <row r="3623" spans="1:12" ht="11.15" customHeight="1">
      <c r="A3623" s="162" t="s">
        <v>5001</v>
      </c>
      <c r="B3623" s="59" t="s">
        <v>20798</v>
      </c>
      <c r="C3623" s="147" t="s">
        <v>20221</v>
      </c>
      <c r="D3623" s="284" t="s">
        <v>897</v>
      </c>
      <c r="E3623" s="178">
        <v>2020</v>
      </c>
      <c r="F3623" s="178" t="s">
        <v>23394</v>
      </c>
      <c r="G3623" s="496"/>
      <c r="H3623" s="994" t="s">
        <v>20224</v>
      </c>
      <c r="I3623" s="11" t="s">
        <v>5002</v>
      </c>
      <c r="J3623" s="1285"/>
      <c r="K3623" s="1285"/>
      <c r="L3623" s="1285"/>
    </row>
    <row r="3624" spans="1:12" ht="11.15" customHeight="1">
      <c r="A3624" s="162" t="s">
        <v>5003</v>
      </c>
      <c r="B3624" s="59" t="s">
        <v>20670</v>
      </c>
      <c r="C3624" s="147" t="s">
        <v>20221</v>
      </c>
      <c r="D3624" s="284" t="s">
        <v>897</v>
      </c>
      <c r="E3624" s="178">
        <v>2022</v>
      </c>
      <c r="F3624" s="178" t="s">
        <v>23394</v>
      </c>
      <c r="G3624" s="496"/>
      <c r="H3624" s="994" t="s">
        <v>20224</v>
      </c>
      <c r="I3624" s="11" t="s">
        <v>5004</v>
      </c>
      <c r="J3624" s="1285"/>
      <c r="K3624" s="1285"/>
      <c r="L3624" s="1285"/>
    </row>
    <row r="3625" spans="1:12" ht="11.15" customHeight="1">
      <c r="A3625" s="162" t="s">
        <v>5005</v>
      </c>
      <c r="B3625" s="59" t="s">
        <v>20670</v>
      </c>
      <c r="C3625" s="147" t="s">
        <v>20221</v>
      </c>
      <c r="D3625" s="284" t="s">
        <v>897</v>
      </c>
      <c r="E3625" s="178">
        <v>2021</v>
      </c>
      <c r="F3625" s="178" t="s">
        <v>23394</v>
      </c>
      <c r="G3625" s="496"/>
      <c r="H3625" s="994" t="s">
        <v>20224</v>
      </c>
      <c r="I3625" s="11" t="s">
        <v>5006</v>
      </c>
      <c r="J3625" s="1285"/>
      <c r="K3625" s="1285"/>
      <c r="L3625" s="1285"/>
    </row>
    <row r="3626" spans="1:12" ht="11.15" customHeight="1">
      <c r="A3626" s="162" t="s">
        <v>5007</v>
      </c>
      <c r="B3626" s="59" t="s">
        <v>20828</v>
      </c>
      <c r="C3626" s="147" t="s">
        <v>20221</v>
      </c>
      <c r="D3626" s="284" t="s">
        <v>897</v>
      </c>
      <c r="E3626" s="178">
        <v>2022</v>
      </c>
      <c r="F3626" s="178" t="s">
        <v>23394</v>
      </c>
      <c r="G3626" s="496"/>
      <c r="H3626" s="994" t="s">
        <v>20343</v>
      </c>
      <c r="I3626" s="11" t="s">
        <v>5008</v>
      </c>
      <c r="J3626" s="1285"/>
      <c r="K3626" s="1285"/>
      <c r="L3626" s="1285"/>
    </row>
    <row r="3627" spans="1:12" ht="11.15" customHeight="1">
      <c r="A3627" s="162" t="s">
        <v>5009</v>
      </c>
      <c r="B3627" s="177" t="s">
        <v>4329</v>
      </c>
      <c r="C3627" s="147"/>
      <c r="D3627" s="161"/>
      <c r="E3627" s="36"/>
      <c r="F3627" s="178"/>
      <c r="G3627" s="496"/>
      <c r="H3627" s="36"/>
      <c r="I3627" s="11"/>
    </row>
    <row r="3628" spans="1:12" ht="11.15" customHeight="1">
      <c r="A3628" s="162" t="s">
        <v>5010</v>
      </c>
      <c r="B3628" s="59" t="s">
        <v>20718</v>
      </c>
      <c r="C3628" s="147" t="s">
        <v>20221</v>
      </c>
      <c r="D3628" s="284" t="s">
        <v>897</v>
      </c>
      <c r="E3628" s="178">
        <v>2020</v>
      </c>
      <c r="F3628" s="178" t="s">
        <v>5257</v>
      </c>
      <c r="G3628" s="496"/>
      <c r="H3628" s="994" t="s">
        <v>20224</v>
      </c>
      <c r="I3628" s="11" t="s">
        <v>5011</v>
      </c>
      <c r="J3628" s="1285"/>
      <c r="K3628" s="1285"/>
      <c r="L3628" s="1285"/>
    </row>
    <row r="3629" spans="1:12" ht="11.15" customHeight="1">
      <c r="A3629" s="162" t="s">
        <v>5012</v>
      </c>
      <c r="B3629" s="59" t="s">
        <v>20820</v>
      </c>
      <c r="C3629" s="147" t="s">
        <v>20221</v>
      </c>
      <c r="D3629" s="284" t="s">
        <v>897</v>
      </c>
      <c r="E3629" s="178">
        <v>2017</v>
      </c>
      <c r="F3629" s="178" t="s">
        <v>5257</v>
      </c>
      <c r="G3629" s="496"/>
      <c r="H3629" s="994" t="s">
        <v>20224</v>
      </c>
      <c r="I3629" s="11" t="s">
        <v>5013</v>
      </c>
      <c r="J3629" s="1285"/>
      <c r="K3629" s="1285"/>
      <c r="L3629" s="1285"/>
    </row>
    <row r="3630" spans="1:12" ht="11.15" customHeight="1">
      <c r="A3630" s="29" t="s">
        <v>3175</v>
      </c>
      <c r="B3630" s="177" t="s">
        <v>5014</v>
      </c>
      <c r="C3630" s="147"/>
      <c r="D3630" s="161"/>
      <c r="E3630" s="36"/>
      <c r="F3630" s="178"/>
      <c r="G3630" s="496"/>
      <c r="H3630" s="36"/>
      <c r="I3630" s="11"/>
    </row>
    <row r="3631" spans="1:12" ht="11.15" customHeight="1">
      <c r="A3631" s="29" t="s">
        <v>5015</v>
      </c>
      <c r="B3631" s="59" t="s">
        <v>20829</v>
      </c>
      <c r="C3631" s="147" t="s">
        <v>20221</v>
      </c>
      <c r="D3631" s="284" t="s">
        <v>897</v>
      </c>
      <c r="E3631" s="178">
        <v>2013</v>
      </c>
      <c r="F3631" s="178" t="s">
        <v>11938</v>
      </c>
      <c r="G3631" s="496"/>
      <c r="H3631" s="994" t="s">
        <v>20224</v>
      </c>
      <c r="I3631" s="11" t="s">
        <v>5016</v>
      </c>
      <c r="J3631" s="1285"/>
      <c r="K3631" s="1285"/>
      <c r="L3631" s="1285"/>
    </row>
    <row r="3632" spans="1:12" ht="11.15" customHeight="1">
      <c r="A3632" s="212" t="s">
        <v>5017</v>
      </c>
      <c r="B3632" s="59" t="s">
        <v>20830</v>
      </c>
      <c r="C3632" s="147" t="s">
        <v>20221</v>
      </c>
      <c r="D3632" s="284" t="s">
        <v>897</v>
      </c>
      <c r="E3632" s="178">
        <v>2014</v>
      </c>
      <c r="F3632" s="178" t="s">
        <v>11938</v>
      </c>
      <c r="G3632" s="496"/>
      <c r="H3632" s="994" t="s">
        <v>20224</v>
      </c>
      <c r="I3632" s="11" t="s">
        <v>5018</v>
      </c>
      <c r="J3632" s="1285"/>
      <c r="K3632" s="1285"/>
      <c r="L3632" s="1285"/>
    </row>
    <row r="3633" spans="1:12" ht="11.15" customHeight="1">
      <c r="A3633" s="129" t="s">
        <v>5019</v>
      </c>
      <c r="B3633" s="59" t="s">
        <v>20830</v>
      </c>
      <c r="C3633" s="147" t="s">
        <v>20221</v>
      </c>
      <c r="D3633" s="284" t="s">
        <v>897</v>
      </c>
      <c r="E3633" s="178">
        <v>2013</v>
      </c>
      <c r="F3633" s="178" t="s">
        <v>11938</v>
      </c>
      <c r="G3633" s="496"/>
      <c r="H3633" s="994" t="s">
        <v>20224</v>
      </c>
      <c r="I3633" s="11" t="s">
        <v>5020</v>
      </c>
      <c r="J3633" s="1285"/>
      <c r="K3633" s="1285"/>
      <c r="L3633" s="1285"/>
    </row>
    <row r="3634" spans="1:12" ht="11.15" customHeight="1">
      <c r="A3634" s="423" t="s">
        <v>5021</v>
      </c>
      <c r="B3634" s="185"/>
      <c r="C3634" s="147"/>
      <c r="D3634" s="185"/>
      <c r="E3634" s="185"/>
      <c r="F3634" s="185"/>
      <c r="G3634" s="185"/>
      <c r="H3634" s="185"/>
      <c r="I3634" s="11"/>
    </row>
    <row r="3635" spans="1:12" ht="11.15" customHeight="1">
      <c r="A3635" s="185"/>
      <c r="B3635" s="185"/>
      <c r="C3635" s="147"/>
      <c r="D3635" s="185"/>
      <c r="E3635" s="185"/>
      <c r="F3635" s="185"/>
      <c r="G3635" s="185"/>
      <c r="H3635" s="185"/>
      <c r="I3635" s="11"/>
    </row>
    <row r="3636" spans="1:12" ht="11.15" customHeight="1">
      <c r="A3636" s="185"/>
      <c r="B3636" s="413" t="s">
        <v>5022</v>
      </c>
      <c r="C3636" s="147"/>
      <c r="D3636" s="122"/>
      <c r="E3636" s="36"/>
      <c r="F3636" s="178"/>
      <c r="G3636" s="1218"/>
      <c r="H3636" s="36"/>
      <c r="I3636" s="11"/>
    </row>
    <row r="3637" spans="1:12" ht="9" customHeight="1">
      <c r="A3637" s="29"/>
      <c r="B3637" s="150" t="s">
        <v>5023</v>
      </c>
      <c r="C3637" s="147"/>
      <c r="D3637" s="185"/>
      <c r="E3637" s="185"/>
      <c r="F3637" s="185"/>
      <c r="G3637" s="185"/>
      <c r="H3637" s="185"/>
      <c r="I3637" s="11"/>
    </row>
    <row r="3638" spans="1:12" ht="9" customHeight="1">
      <c r="A3638" s="29"/>
      <c r="B3638" s="150" t="s">
        <v>5024</v>
      </c>
      <c r="C3638" s="147"/>
      <c r="D3638" s="185"/>
      <c r="E3638" s="185"/>
      <c r="F3638" s="185"/>
      <c r="G3638" s="185"/>
      <c r="H3638" s="185"/>
      <c r="I3638" s="11"/>
    </row>
    <row r="3639" spans="1:12" ht="9" customHeight="1">
      <c r="A3639" s="29"/>
      <c r="B3639" s="150" t="s">
        <v>5025</v>
      </c>
      <c r="C3639" s="147"/>
      <c r="D3639" s="185"/>
      <c r="E3639" s="185"/>
      <c r="F3639" s="185"/>
      <c r="G3639" s="185"/>
      <c r="H3639" s="185"/>
      <c r="I3639" s="11"/>
    </row>
    <row r="3640" spans="1:12" ht="9" customHeight="1">
      <c r="A3640" s="29"/>
      <c r="B3640" s="150" t="s">
        <v>5026</v>
      </c>
      <c r="C3640" s="147"/>
      <c r="D3640" s="185"/>
      <c r="E3640" s="185"/>
      <c r="F3640" s="185"/>
      <c r="G3640" s="185"/>
      <c r="H3640" s="185"/>
      <c r="I3640" s="11"/>
    </row>
    <row r="3641" spans="1:12" ht="9" customHeight="1">
      <c r="A3641" s="29"/>
      <c r="B3641" s="162" t="s">
        <v>5027</v>
      </c>
      <c r="C3641" s="147"/>
      <c r="D3641" s="185"/>
      <c r="E3641" s="185"/>
      <c r="F3641" s="185"/>
      <c r="G3641" s="185"/>
      <c r="H3641" s="185"/>
      <c r="I3641" s="11"/>
    </row>
    <row r="3642" spans="1:12" ht="9" customHeight="1" thickBot="1">
      <c r="A3642" s="29"/>
      <c r="B3642" s="150" t="s">
        <v>5028</v>
      </c>
      <c r="C3642" s="147"/>
      <c r="D3642" s="185"/>
      <c r="E3642" s="185"/>
      <c r="F3642" s="185"/>
      <c r="G3642" s="185"/>
      <c r="H3642" s="185"/>
      <c r="I3642" s="11"/>
    </row>
    <row r="3643" spans="1:12" ht="11.15" customHeight="1" thickBot="1">
      <c r="A3643" s="184" t="s">
        <v>5029</v>
      </c>
      <c r="B3643" s="177" t="s">
        <v>5030</v>
      </c>
      <c r="C3643" s="147"/>
      <c r="D3643" s="161"/>
      <c r="E3643" s="36"/>
      <c r="F3643" s="183"/>
      <c r="G3643" s="497"/>
      <c r="H3643" s="34"/>
      <c r="I3643" s="11"/>
    </row>
    <row r="3644" spans="1:12" ht="11.15" customHeight="1">
      <c r="A3644" s="29" t="s">
        <v>5031</v>
      </c>
      <c r="B3644" s="59" t="s">
        <v>20832</v>
      </c>
      <c r="C3644" s="147" t="s">
        <v>20221</v>
      </c>
      <c r="D3644" s="284" t="s">
        <v>897</v>
      </c>
      <c r="E3644" s="178">
        <v>2022</v>
      </c>
      <c r="F3644" s="178" t="s">
        <v>4520</v>
      </c>
      <c r="G3644" s="496"/>
      <c r="H3644" s="994" t="s">
        <v>20221</v>
      </c>
      <c r="I3644" s="11" t="s">
        <v>5032</v>
      </c>
      <c r="J3644" s="1285"/>
      <c r="K3644" s="1285"/>
      <c r="L3644" s="1285"/>
    </row>
    <row r="3645" spans="1:12" ht="11.15" customHeight="1">
      <c r="A3645" s="29" t="s">
        <v>5033</v>
      </c>
      <c r="B3645" s="59" t="s">
        <v>20832</v>
      </c>
      <c r="C3645" s="147" t="s">
        <v>20221</v>
      </c>
      <c r="D3645" s="284" t="s">
        <v>897</v>
      </c>
      <c r="E3645" s="178">
        <v>2021</v>
      </c>
      <c r="F3645" s="178" t="s">
        <v>4520</v>
      </c>
      <c r="G3645" s="496"/>
      <c r="H3645" s="994" t="s">
        <v>20221</v>
      </c>
      <c r="I3645" s="11" t="s">
        <v>5034</v>
      </c>
      <c r="J3645" s="1285"/>
      <c r="K3645" s="1285"/>
      <c r="L3645" s="1285"/>
    </row>
    <row r="3646" spans="1:12" ht="11.15" customHeight="1">
      <c r="A3646" s="195" t="s">
        <v>5035</v>
      </c>
      <c r="B3646" s="59" t="s">
        <v>20832</v>
      </c>
      <c r="C3646" s="147" t="s">
        <v>20221</v>
      </c>
      <c r="D3646" s="284" t="s">
        <v>897</v>
      </c>
      <c r="E3646" s="178">
        <v>2020</v>
      </c>
      <c r="F3646" s="178" t="s">
        <v>4520</v>
      </c>
      <c r="G3646" s="496"/>
      <c r="H3646" s="994" t="s">
        <v>20221</v>
      </c>
      <c r="I3646" s="11" t="s">
        <v>5036</v>
      </c>
      <c r="J3646" s="1285"/>
      <c r="K3646" s="1285"/>
      <c r="L3646" s="1285"/>
    </row>
    <row r="3647" spans="1:12" ht="11.15" customHeight="1">
      <c r="A3647" s="218" t="s">
        <v>1595</v>
      </c>
      <c r="B3647" s="59" t="s">
        <v>20832</v>
      </c>
      <c r="C3647" s="147" t="s">
        <v>20221</v>
      </c>
      <c r="D3647" s="284" t="s">
        <v>897</v>
      </c>
      <c r="E3647" s="178">
        <v>2019</v>
      </c>
      <c r="F3647" s="178" t="s">
        <v>4520</v>
      </c>
      <c r="G3647" s="496"/>
      <c r="H3647" s="994" t="s">
        <v>20221</v>
      </c>
      <c r="I3647" s="11" t="s">
        <v>5037</v>
      </c>
      <c r="J3647" s="1285"/>
      <c r="K3647" s="1285"/>
      <c r="L3647" s="1285"/>
    </row>
    <row r="3648" spans="1:12" ht="11.15" customHeight="1">
      <c r="A3648" s="129" t="s">
        <v>1077</v>
      </c>
      <c r="B3648" s="59" t="s">
        <v>20832</v>
      </c>
      <c r="C3648" s="147" t="s">
        <v>20221</v>
      </c>
      <c r="D3648" s="284" t="s">
        <v>897</v>
      </c>
      <c r="E3648" s="178">
        <v>2018</v>
      </c>
      <c r="F3648" s="178" t="s">
        <v>4520</v>
      </c>
      <c r="G3648" s="496"/>
      <c r="H3648" s="994" t="s">
        <v>20221</v>
      </c>
      <c r="I3648" s="11" t="s">
        <v>5038</v>
      </c>
      <c r="J3648" s="1285"/>
      <c r="K3648" s="1285"/>
      <c r="L3648" s="1285"/>
    </row>
    <row r="3649" spans="1:12" ht="11.15" customHeight="1">
      <c r="A3649" s="162" t="s">
        <v>5039</v>
      </c>
      <c r="B3649" s="59" t="s">
        <v>20833</v>
      </c>
      <c r="C3649" s="147" t="s">
        <v>20221</v>
      </c>
      <c r="D3649" s="284" t="s">
        <v>897</v>
      </c>
      <c r="E3649" s="178">
        <v>2022</v>
      </c>
      <c r="F3649" s="178" t="s">
        <v>4520</v>
      </c>
      <c r="G3649" s="496"/>
      <c r="H3649" s="994" t="s">
        <v>20221</v>
      </c>
      <c r="I3649" s="11" t="s">
        <v>5040</v>
      </c>
      <c r="J3649" s="1285"/>
      <c r="K3649" s="1285"/>
      <c r="L3649" s="1285"/>
    </row>
    <row r="3650" spans="1:12" ht="11.15" customHeight="1">
      <c r="A3650" s="162" t="s">
        <v>5041</v>
      </c>
      <c r="B3650" s="59" t="s">
        <v>20833</v>
      </c>
      <c r="C3650" s="147" t="s">
        <v>20221</v>
      </c>
      <c r="D3650" s="284" t="s">
        <v>897</v>
      </c>
      <c r="E3650" s="178">
        <v>2021</v>
      </c>
      <c r="F3650" s="178" t="s">
        <v>4520</v>
      </c>
      <c r="G3650" s="496"/>
      <c r="H3650" s="994" t="s">
        <v>20221</v>
      </c>
      <c r="I3650" s="11" t="s">
        <v>5042</v>
      </c>
      <c r="J3650" s="1285"/>
      <c r="K3650" s="1285"/>
      <c r="L3650" s="1285"/>
    </row>
    <row r="3651" spans="1:12" ht="11.15" customHeight="1">
      <c r="A3651" s="162" t="s">
        <v>5043</v>
      </c>
      <c r="B3651" s="59" t="s">
        <v>20833</v>
      </c>
      <c r="C3651" s="147" t="s">
        <v>20221</v>
      </c>
      <c r="D3651" s="284" t="s">
        <v>897</v>
      </c>
      <c r="E3651" s="178">
        <v>2020</v>
      </c>
      <c r="F3651" s="178" t="s">
        <v>4520</v>
      </c>
      <c r="G3651" s="496"/>
      <c r="H3651" s="994" t="s">
        <v>20221</v>
      </c>
      <c r="I3651" s="11" t="s">
        <v>5044</v>
      </c>
      <c r="J3651" s="1285"/>
      <c r="K3651" s="1285"/>
      <c r="L3651" s="1285"/>
    </row>
    <row r="3652" spans="1:12" ht="11.15" customHeight="1">
      <c r="A3652" s="162" t="s">
        <v>5045</v>
      </c>
      <c r="B3652" s="59" t="s">
        <v>20833</v>
      </c>
      <c r="C3652" s="147" t="s">
        <v>20221</v>
      </c>
      <c r="D3652" s="284" t="s">
        <v>897</v>
      </c>
      <c r="E3652" s="178">
        <v>2019</v>
      </c>
      <c r="F3652" s="178" t="s">
        <v>4520</v>
      </c>
      <c r="G3652" s="496"/>
      <c r="H3652" s="994" t="s">
        <v>20221</v>
      </c>
      <c r="I3652" s="11" t="s">
        <v>5046</v>
      </c>
      <c r="J3652" s="1285"/>
      <c r="K3652" s="1285"/>
      <c r="L3652" s="1285"/>
    </row>
    <row r="3653" spans="1:12" ht="11.15" customHeight="1">
      <c r="A3653" s="162" t="s">
        <v>5047</v>
      </c>
      <c r="B3653" s="59" t="s">
        <v>20833</v>
      </c>
      <c r="C3653" s="147" t="s">
        <v>20221</v>
      </c>
      <c r="D3653" s="284" t="s">
        <v>897</v>
      </c>
      <c r="E3653" s="178">
        <v>2018</v>
      </c>
      <c r="F3653" s="178" t="s">
        <v>4520</v>
      </c>
      <c r="G3653" s="496"/>
      <c r="H3653" s="994" t="s">
        <v>20221</v>
      </c>
      <c r="I3653" s="11" t="s">
        <v>5048</v>
      </c>
      <c r="J3653" s="1285"/>
      <c r="K3653" s="1285"/>
      <c r="L3653" s="1285"/>
    </row>
    <row r="3654" spans="1:12" ht="11.15" customHeight="1">
      <c r="A3654" s="162" t="s">
        <v>5049</v>
      </c>
      <c r="B3654" s="59" t="s">
        <v>20834</v>
      </c>
      <c r="C3654" s="147" t="s">
        <v>20221</v>
      </c>
      <c r="D3654" s="284" t="s">
        <v>897</v>
      </c>
      <c r="E3654" s="178">
        <v>2022</v>
      </c>
      <c r="F3654" s="178" t="s">
        <v>4520</v>
      </c>
      <c r="G3654" s="496"/>
      <c r="H3654" s="994" t="s">
        <v>20221</v>
      </c>
      <c r="I3654" s="11" t="s">
        <v>5050</v>
      </c>
      <c r="J3654" s="1285"/>
      <c r="K3654" s="1285"/>
      <c r="L3654" s="1285"/>
    </row>
    <row r="3655" spans="1:12" ht="11.15" customHeight="1">
      <c r="A3655" s="162" t="s">
        <v>5051</v>
      </c>
      <c r="B3655" s="59" t="s">
        <v>20834</v>
      </c>
      <c r="C3655" s="147" t="s">
        <v>20221</v>
      </c>
      <c r="D3655" s="284" t="s">
        <v>897</v>
      </c>
      <c r="E3655" s="178">
        <v>2021</v>
      </c>
      <c r="F3655" s="178" t="s">
        <v>4520</v>
      </c>
      <c r="G3655" s="496"/>
      <c r="H3655" s="994" t="s">
        <v>20221</v>
      </c>
      <c r="I3655" s="11" t="s">
        <v>5052</v>
      </c>
      <c r="J3655" s="1285"/>
      <c r="K3655" s="1285"/>
      <c r="L3655" s="1285"/>
    </row>
    <row r="3656" spans="1:12" ht="11.15" customHeight="1">
      <c r="A3656" s="162" t="s">
        <v>5053</v>
      </c>
      <c r="B3656" s="59" t="s">
        <v>20834</v>
      </c>
      <c r="C3656" s="147" t="s">
        <v>20221</v>
      </c>
      <c r="D3656" s="284" t="s">
        <v>897</v>
      </c>
      <c r="E3656" s="178">
        <v>2020</v>
      </c>
      <c r="F3656" s="178" t="s">
        <v>4520</v>
      </c>
      <c r="G3656" s="496"/>
      <c r="H3656" s="994" t="s">
        <v>20221</v>
      </c>
      <c r="I3656" s="11" t="s">
        <v>5054</v>
      </c>
      <c r="J3656" s="1285"/>
      <c r="K3656" s="1285"/>
      <c r="L3656" s="1285"/>
    </row>
    <row r="3657" spans="1:12" ht="11.15" customHeight="1">
      <c r="A3657" s="162" t="s">
        <v>5055</v>
      </c>
      <c r="B3657" s="59" t="s">
        <v>20834</v>
      </c>
      <c r="C3657" s="147" t="s">
        <v>20221</v>
      </c>
      <c r="D3657" s="284" t="s">
        <v>897</v>
      </c>
      <c r="E3657" s="178">
        <v>2019</v>
      </c>
      <c r="F3657" s="178" t="s">
        <v>4520</v>
      </c>
      <c r="G3657" s="496"/>
      <c r="H3657" s="994" t="s">
        <v>20221</v>
      </c>
      <c r="I3657" s="11" t="s">
        <v>5056</v>
      </c>
      <c r="J3657" s="1285"/>
      <c r="K3657" s="1285"/>
      <c r="L3657" s="1285"/>
    </row>
    <row r="3658" spans="1:12" ht="11.15" customHeight="1">
      <c r="A3658" s="162" t="s">
        <v>5057</v>
      </c>
      <c r="B3658" s="59" t="s">
        <v>20834</v>
      </c>
      <c r="C3658" s="147" t="s">
        <v>20221</v>
      </c>
      <c r="D3658" s="284" t="s">
        <v>897</v>
      </c>
      <c r="E3658" s="178">
        <v>2018</v>
      </c>
      <c r="F3658" s="178" t="s">
        <v>4520</v>
      </c>
      <c r="G3658" s="496"/>
      <c r="H3658" s="994" t="s">
        <v>20221</v>
      </c>
      <c r="I3658" s="11" t="s">
        <v>5058</v>
      </c>
      <c r="J3658" s="1285"/>
      <c r="K3658" s="1285"/>
      <c r="L3658" s="1285"/>
    </row>
    <row r="3659" spans="1:12" ht="11.15" customHeight="1">
      <c r="A3659" s="129" t="s">
        <v>5059</v>
      </c>
      <c r="B3659" s="59" t="s">
        <v>20834</v>
      </c>
      <c r="C3659" s="147" t="s">
        <v>20221</v>
      </c>
      <c r="D3659" s="284" t="s">
        <v>897</v>
      </c>
      <c r="E3659" s="178">
        <v>2017</v>
      </c>
      <c r="F3659" s="178" t="s">
        <v>4520</v>
      </c>
      <c r="G3659" s="496"/>
      <c r="H3659" s="994" t="s">
        <v>20224</v>
      </c>
      <c r="I3659" s="11" t="s">
        <v>5060</v>
      </c>
      <c r="J3659" s="1285"/>
      <c r="K3659" s="1285"/>
      <c r="L3659" s="1285"/>
    </row>
    <row r="3660" spans="1:12" ht="11.15" customHeight="1">
      <c r="A3660" s="424" t="s">
        <v>5061</v>
      </c>
      <c r="B3660" s="59" t="s">
        <v>20835</v>
      </c>
      <c r="C3660" s="147" t="s">
        <v>20221</v>
      </c>
      <c r="D3660" s="284" t="s">
        <v>897</v>
      </c>
      <c r="E3660" s="178">
        <v>2022</v>
      </c>
      <c r="F3660" s="178" t="s">
        <v>4520</v>
      </c>
      <c r="G3660" s="496"/>
      <c r="H3660" s="994" t="s">
        <v>20221</v>
      </c>
      <c r="I3660" s="11" t="s">
        <v>5062</v>
      </c>
      <c r="J3660" s="1285"/>
      <c r="K3660" s="1285"/>
      <c r="L3660" s="1285"/>
    </row>
    <row r="3661" spans="1:12" ht="11.15" customHeight="1">
      <c r="A3661" s="29"/>
      <c r="B3661" s="59" t="s">
        <v>20835</v>
      </c>
      <c r="C3661" s="147" t="s">
        <v>20221</v>
      </c>
      <c r="D3661" s="284" t="s">
        <v>897</v>
      </c>
      <c r="E3661" s="178">
        <v>2021</v>
      </c>
      <c r="F3661" s="178" t="s">
        <v>4520</v>
      </c>
      <c r="G3661" s="496"/>
      <c r="H3661" s="994" t="s">
        <v>20221</v>
      </c>
      <c r="I3661" s="11" t="s">
        <v>5063</v>
      </c>
      <c r="J3661" s="1285"/>
      <c r="K3661" s="1285"/>
      <c r="L3661" s="1285"/>
    </row>
    <row r="3662" spans="1:12" ht="11.15" customHeight="1">
      <c r="A3662" s="185"/>
      <c r="B3662" s="59" t="s">
        <v>20835</v>
      </c>
      <c r="C3662" s="147" t="s">
        <v>20221</v>
      </c>
      <c r="D3662" s="284" t="s">
        <v>897</v>
      </c>
      <c r="E3662" s="178">
        <v>2020</v>
      </c>
      <c r="F3662" s="178" t="s">
        <v>4520</v>
      </c>
      <c r="G3662" s="496"/>
      <c r="H3662" s="994" t="s">
        <v>20221</v>
      </c>
      <c r="I3662" s="11" t="s">
        <v>5064</v>
      </c>
      <c r="J3662" s="1285"/>
      <c r="K3662" s="1285"/>
      <c r="L3662" s="1285"/>
    </row>
    <row r="3663" spans="1:12" ht="11.15" customHeight="1">
      <c r="A3663" s="185"/>
      <c r="B3663" s="59" t="s">
        <v>20835</v>
      </c>
      <c r="C3663" s="147" t="s">
        <v>20221</v>
      </c>
      <c r="D3663" s="284" t="s">
        <v>897</v>
      </c>
      <c r="E3663" s="178">
        <v>2019</v>
      </c>
      <c r="F3663" s="178" t="s">
        <v>4520</v>
      </c>
      <c r="G3663" s="496"/>
      <c r="H3663" s="994" t="s">
        <v>20221</v>
      </c>
      <c r="I3663" s="11" t="s">
        <v>5065</v>
      </c>
      <c r="J3663" s="1285"/>
      <c r="K3663" s="1285"/>
      <c r="L3663" s="1285"/>
    </row>
    <row r="3664" spans="1:12" ht="11.15" customHeight="1">
      <c r="A3664" s="185"/>
      <c r="B3664" s="59" t="s">
        <v>20835</v>
      </c>
      <c r="C3664" s="147" t="s">
        <v>20221</v>
      </c>
      <c r="D3664" s="284" t="s">
        <v>897</v>
      </c>
      <c r="E3664" s="178">
        <v>2018</v>
      </c>
      <c r="F3664" s="178" t="s">
        <v>4520</v>
      </c>
      <c r="G3664" s="496"/>
      <c r="H3664" s="994" t="s">
        <v>20221</v>
      </c>
      <c r="I3664" s="11" t="s">
        <v>5066</v>
      </c>
      <c r="J3664" s="1285"/>
      <c r="K3664" s="1285"/>
      <c r="L3664" s="1285"/>
    </row>
    <row r="3665" spans="1:12" ht="11.15" customHeight="1">
      <c r="A3665" s="185"/>
      <c r="B3665" s="59" t="s">
        <v>20835</v>
      </c>
      <c r="C3665" s="147" t="s">
        <v>20221</v>
      </c>
      <c r="D3665" s="284" t="s">
        <v>897</v>
      </c>
      <c r="E3665" s="178">
        <v>2017</v>
      </c>
      <c r="F3665" s="178" t="s">
        <v>4520</v>
      </c>
      <c r="G3665" s="496"/>
      <c r="H3665" s="994" t="s">
        <v>20221</v>
      </c>
      <c r="I3665" s="11" t="s">
        <v>5067</v>
      </c>
      <c r="J3665" s="1285"/>
      <c r="K3665" s="1285"/>
      <c r="L3665" s="1285"/>
    </row>
    <row r="3666" spans="1:12" ht="11.15" customHeight="1">
      <c r="A3666" s="185"/>
      <c r="B3666" s="177" t="s">
        <v>5068</v>
      </c>
      <c r="C3666" s="147"/>
      <c r="D3666" s="161"/>
      <c r="E3666" s="36"/>
      <c r="F3666" s="183"/>
      <c r="G3666" s="496"/>
      <c r="H3666" s="34"/>
      <c r="I3666" s="11"/>
    </row>
    <row r="3667" spans="1:12" ht="11.15" customHeight="1">
      <c r="A3667" s="185"/>
      <c r="B3667" s="59" t="s">
        <v>20836</v>
      </c>
      <c r="C3667" s="147" t="s">
        <v>20221</v>
      </c>
      <c r="D3667" s="284" t="s">
        <v>897</v>
      </c>
      <c r="E3667" s="178">
        <v>2022</v>
      </c>
      <c r="F3667" s="178" t="s">
        <v>4520</v>
      </c>
      <c r="G3667" s="496"/>
      <c r="H3667" s="994" t="s">
        <v>20221</v>
      </c>
      <c r="I3667" s="11" t="s">
        <v>5069</v>
      </c>
      <c r="J3667" s="1285"/>
      <c r="K3667" s="1285"/>
      <c r="L3667" s="1285"/>
    </row>
    <row r="3668" spans="1:12" ht="11.15" customHeight="1">
      <c r="A3668" s="271"/>
      <c r="B3668" s="59" t="s">
        <v>20836</v>
      </c>
      <c r="C3668" s="147" t="s">
        <v>20221</v>
      </c>
      <c r="D3668" s="284" t="s">
        <v>897</v>
      </c>
      <c r="E3668" s="178">
        <v>2021</v>
      </c>
      <c r="F3668" s="178" t="s">
        <v>4520</v>
      </c>
      <c r="G3668" s="496"/>
      <c r="H3668" s="994" t="s">
        <v>20221</v>
      </c>
      <c r="I3668" s="11" t="s">
        <v>5070</v>
      </c>
      <c r="J3668" s="1285"/>
      <c r="K3668" s="1285"/>
      <c r="L3668" s="1285"/>
    </row>
    <row r="3669" spans="1:12" ht="11.15" customHeight="1">
      <c r="A3669" s="271"/>
      <c r="B3669" s="59" t="s">
        <v>20836</v>
      </c>
      <c r="C3669" s="147" t="s">
        <v>20221</v>
      </c>
      <c r="D3669" s="284" t="s">
        <v>897</v>
      </c>
      <c r="E3669" s="178">
        <v>2020</v>
      </c>
      <c r="F3669" s="178" t="s">
        <v>4520</v>
      </c>
      <c r="G3669" s="496"/>
      <c r="H3669" s="994" t="s">
        <v>20221</v>
      </c>
      <c r="I3669" s="11" t="s">
        <v>5071</v>
      </c>
      <c r="J3669" s="1285"/>
      <c r="K3669" s="1285"/>
      <c r="L3669" s="1285"/>
    </row>
    <row r="3670" spans="1:12" ht="11.15" customHeight="1">
      <c r="A3670" s="185"/>
      <c r="B3670" s="59" t="s">
        <v>20836</v>
      </c>
      <c r="C3670" s="147" t="s">
        <v>20221</v>
      </c>
      <c r="D3670" s="284" t="s">
        <v>897</v>
      </c>
      <c r="E3670" s="178">
        <v>2019</v>
      </c>
      <c r="F3670" s="178" t="s">
        <v>4520</v>
      </c>
      <c r="G3670" s="496"/>
      <c r="H3670" s="994" t="s">
        <v>20221</v>
      </c>
      <c r="I3670" s="11" t="s">
        <v>5072</v>
      </c>
      <c r="J3670" s="1285"/>
      <c r="K3670" s="1285"/>
      <c r="L3670" s="1285"/>
    </row>
    <row r="3671" spans="1:12" ht="11.15" customHeight="1">
      <c r="A3671" s="185"/>
      <c r="B3671" s="59" t="s">
        <v>20836</v>
      </c>
      <c r="C3671" s="147" t="s">
        <v>20221</v>
      </c>
      <c r="D3671" s="284" t="s">
        <v>897</v>
      </c>
      <c r="E3671" s="178">
        <v>2018</v>
      </c>
      <c r="F3671" s="178" t="s">
        <v>4520</v>
      </c>
      <c r="G3671" s="496"/>
      <c r="H3671" s="994" t="s">
        <v>20221</v>
      </c>
      <c r="I3671" s="11" t="s">
        <v>5073</v>
      </c>
      <c r="J3671" s="1285"/>
      <c r="K3671" s="1285"/>
      <c r="L3671" s="1285"/>
    </row>
    <row r="3672" spans="1:12" ht="11.15" customHeight="1">
      <c r="A3672" s="185"/>
      <c r="B3672" s="59" t="s">
        <v>20836</v>
      </c>
      <c r="C3672" s="147" t="s">
        <v>20221</v>
      </c>
      <c r="D3672" s="284" t="s">
        <v>897</v>
      </c>
      <c r="E3672" s="178">
        <v>2017</v>
      </c>
      <c r="F3672" s="178" t="s">
        <v>4520</v>
      </c>
      <c r="G3672" s="496"/>
      <c r="H3672" s="994" t="s">
        <v>20221</v>
      </c>
      <c r="I3672" s="11" t="s">
        <v>5074</v>
      </c>
      <c r="J3672" s="1285"/>
      <c r="K3672" s="1285"/>
      <c r="L3672" s="1285"/>
    </row>
    <row r="3673" spans="1:12" ht="11.15" customHeight="1">
      <c r="A3673" s="185"/>
      <c r="B3673" s="59" t="s">
        <v>20837</v>
      </c>
      <c r="C3673" s="147" t="s">
        <v>20221</v>
      </c>
      <c r="D3673" s="284" t="s">
        <v>897</v>
      </c>
      <c r="E3673" s="178">
        <v>2022</v>
      </c>
      <c r="F3673" s="178" t="s">
        <v>4520</v>
      </c>
      <c r="G3673" s="496"/>
      <c r="H3673" s="994" t="s">
        <v>20221</v>
      </c>
      <c r="I3673" s="11" t="s">
        <v>5075</v>
      </c>
      <c r="J3673" s="1285"/>
      <c r="K3673" s="1285"/>
      <c r="L3673" s="1285"/>
    </row>
    <row r="3674" spans="1:12" ht="11.15" customHeight="1">
      <c r="A3674" s="185"/>
      <c r="B3674" s="59" t="s">
        <v>20837</v>
      </c>
      <c r="C3674" s="147" t="s">
        <v>20221</v>
      </c>
      <c r="D3674" s="284" t="s">
        <v>897</v>
      </c>
      <c r="E3674" s="178">
        <v>2021</v>
      </c>
      <c r="F3674" s="178" t="s">
        <v>4520</v>
      </c>
      <c r="G3674" s="496"/>
      <c r="H3674" s="994" t="s">
        <v>20221</v>
      </c>
      <c r="I3674" s="11" t="s">
        <v>5076</v>
      </c>
      <c r="J3674" s="1285"/>
      <c r="K3674" s="1285"/>
      <c r="L3674" s="1285"/>
    </row>
    <row r="3675" spans="1:12" ht="11.15" customHeight="1">
      <c r="A3675" s="185"/>
      <c r="B3675" s="59" t="s">
        <v>20837</v>
      </c>
      <c r="C3675" s="147" t="s">
        <v>20221</v>
      </c>
      <c r="D3675" s="284" t="s">
        <v>897</v>
      </c>
      <c r="E3675" s="178">
        <v>2020</v>
      </c>
      <c r="F3675" s="178" t="s">
        <v>4520</v>
      </c>
      <c r="G3675" s="496"/>
      <c r="H3675" s="994" t="s">
        <v>20221</v>
      </c>
      <c r="I3675" s="11" t="s">
        <v>5077</v>
      </c>
      <c r="J3675" s="1285"/>
      <c r="K3675" s="1285"/>
      <c r="L3675" s="1285"/>
    </row>
    <row r="3676" spans="1:12" ht="11.15" customHeight="1">
      <c r="A3676" s="185"/>
      <c r="B3676" s="59" t="s">
        <v>20837</v>
      </c>
      <c r="C3676" s="147" t="s">
        <v>20221</v>
      </c>
      <c r="D3676" s="284" t="s">
        <v>897</v>
      </c>
      <c r="E3676" s="178">
        <v>2019</v>
      </c>
      <c r="F3676" s="178" t="s">
        <v>4520</v>
      </c>
      <c r="G3676" s="496"/>
      <c r="H3676" s="994" t="s">
        <v>20221</v>
      </c>
      <c r="I3676" s="11" t="s">
        <v>5078</v>
      </c>
      <c r="J3676" s="1285"/>
      <c r="K3676" s="1285"/>
      <c r="L3676" s="1285"/>
    </row>
    <row r="3677" spans="1:12" ht="11.15" customHeight="1">
      <c r="A3677" s="185"/>
      <c r="B3677" s="59" t="s">
        <v>20837</v>
      </c>
      <c r="C3677" s="147" t="s">
        <v>20221</v>
      </c>
      <c r="D3677" s="284" t="s">
        <v>897</v>
      </c>
      <c r="E3677" s="178">
        <v>2017</v>
      </c>
      <c r="F3677" s="178" t="s">
        <v>4520</v>
      </c>
      <c r="G3677" s="496"/>
      <c r="H3677" s="994" t="s">
        <v>20221</v>
      </c>
      <c r="I3677" s="11" t="s">
        <v>5079</v>
      </c>
      <c r="J3677" s="1285"/>
      <c r="K3677" s="1285"/>
      <c r="L3677" s="1285"/>
    </row>
    <row r="3678" spans="1:12" ht="11.15" customHeight="1">
      <c r="A3678" s="185"/>
      <c r="B3678" s="90"/>
      <c r="C3678" s="147"/>
      <c r="D3678" s="161"/>
      <c r="E3678" s="36"/>
      <c r="F3678" s="178"/>
      <c r="G3678" s="671"/>
      <c r="H3678" s="36"/>
      <c r="I3678" s="11"/>
    </row>
    <row r="3679" spans="1:12" ht="11.15" customHeight="1">
      <c r="A3679" s="185"/>
      <c r="B3679" s="413" t="s">
        <v>5080</v>
      </c>
      <c r="C3679" s="147"/>
      <c r="D3679" s="122"/>
      <c r="E3679" s="36"/>
      <c r="F3679" s="178"/>
      <c r="G3679" s="453"/>
      <c r="H3679" s="36"/>
      <c r="I3679" s="11"/>
    </row>
    <row r="3680" spans="1:12" ht="9" customHeight="1">
      <c r="A3680" s="29"/>
      <c r="B3680" s="216" t="s">
        <v>5081</v>
      </c>
      <c r="C3680" s="147"/>
      <c r="D3680" s="122"/>
      <c r="E3680" s="36"/>
      <c r="F3680" s="183"/>
      <c r="G3680" s="453"/>
      <c r="H3680" s="34"/>
      <c r="I3680" s="11"/>
    </row>
    <row r="3681" spans="1:12" ht="9" customHeight="1">
      <c r="A3681" s="185"/>
      <c r="B3681" s="210" t="s">
        <v>5082</v>
      </c>
      <c r="C3681" s="147"/>
      <c r="D3681" s="122"/>
      <c r="E3681" s="36"/>
      <c r="F3681" s="178"/>
      <c r="G3681" s="453"/>
      <c r="H3681" s="36"/>
      <c r="I3681" s="11"/>
    </row>
    <row r="3682" spans="1:12" ht="9" customHeight="1">
      <c r="A3682" s="185"/>
      <c r="B3682" s="150" t="s">
        <v>5083</v>
      </c>
      <c r="C3682" s="147"/>
      <c r="D3682" s="122"/>
      <c r="E3682" s="36"/>
      <c r="F3682" s="178"/>
      <c r="G3682" s="453"/>
      <c r="H3682" s="36"/>
      <c r="I3682" s="11"/>
    </row>
    <row r="3683" spans="1:12" ht="9" customHeight="1">
      <c r="A3683" s="29"/>
      <c r="B3683" s="209" t="s">
        <v>5084</v>
      </c>
      <c r="C3683" s="147"/>
      <c r="D3683" s="122"/>
      <c r="E3683" s="36"/>
      <c r="F3683" s="183"/>
      <c r="G3683" s="453"/>
      <c r="H3683" s="34"/>
      <c r="I3683" s="11"/>
    </row>
    <row r="3684" spans="1:12" ht="9" customHeight="1">
      <c r="A3684" s="29"/>
      <c r="B3684" s="209" t="s">
        <v>5085</v>
      </c>
      <c r="C3684" s="147"/>
      <c r="D3684" s="122"/>
      <c r="E3684" s="36"/>
      <c r="F3684" s="183"/>
      <c r="G3684" s="453"/>
      <c r="H3684" s="34"/>
      <c r="I3684" s="11"/>
    </row>
    <row r="3685" spans="1:12" ht="9" customHeight="1">
      <c r="A3685" s="185"/>
      <c r="B3685" s="209" t="s">
        <v>5086</v>
      </c>
      <c r="C3685" s="147"/>
      <c r="D3685" s="122"/>
      <c r="E3685" s="36"/>
      <c r="F3685" s="183"/>
      <c r="G3685" s="453"/>
      <c r="H3685" s="34"/>
      <c r="I3685" s="11"/>
    </row>
    <row r="3686" spans="1:12" ht="9" customHeight="1" thickBot="1">
      <c r="A3686" s="29"/>
      <c r="B3686" s="150" t="s">
        <v>5087</v>
      </c>
      <c r="C3686" s="147"/>
      <c r="D3686" s="122"/>
      <c r="E3686" s="36"/>
      <c r="F3686" s="183"/>
      <c r="G3686" s="453"/>
      <c r="H3686" s="34"/>
      <c r="I3686" s="11"/>
    </row>
    <row r="3687" spans="1:12" ht="11.15" customHeight="1">
      <c r="A3687" s="425" t="s">
        <v>5088</v>
      </c>
      <c r="B3687" s="177" t="s">
        <v>5089</v>
      </c>
      <c r="C3687" s="147"/>
      <c r="D3687" s="122"/>
      <c r="E3687" s="36"/>
      <c r="F3687" s="183"/>
      <c r="G3687" s="453"/>
      <c r="H3687" s="34"/>
      <c r="I3687" s="11"/>
    </row>
    <row r="3688" spans="1:12" ht="11.15" customHeight="1" thickBot="1">
      <c r="A3688" s="426" t="s">
        <v>5090</v>
      </c>
      <c r="B3688" s="59" t="s">
        <v>20839</v>
      </c>
      <c r="C3688" s="147" t="s">
        <v>23393</v>
      </c>
      <c r="D3688" s="701" t="s">
        <v>1129</v>
      </c>
      <c r="E3688" s="178">
        <v>2021</v>
      </c>
      <c r="F3688" s="178" t="s">
        <v>4520</v>
      </c>
      <c r="G3688" s="496"/>
      <c r="H3688" s="994" t="s">
        <v>20221</v>
      </c>
      <c r="I3688" s="11" t="s">
        <v>5091</v>
      </c>
      <c r="J3688" s="1285"/>
      <c r="K3688" s="1285"/>
      <c r="L3688" s="1285"/>
    </row>
    <row r="3689" spans="1:12" ht="11.15" customHeight="1">
      <c r="A3689" s="29" t="s">
        <v>5092</v>
      </c>
      <c r="B3689" s="59" t="s">
        <v>20839</v>
      </c>
      <c r="C3689" s="147" t="s">
        <v>20221</v>
      </c>
      <c r="D3689" s="701" t="s">
        <v>1129</v>
      </c>
      <c r="E3689" s="178">
        <v>2020</v>
      </c>
      <c r="F3689" s="178" t="s">
        <v>4520</v>
      </c>
      <c r="G3689" s="496"/>
      <c r="H3689" s="994" t="s">
        <v>20221</v>
      </c>
      <c r="I3689" s="11" t="s">
        <v>5093</v>
      </c>
      <c r="J3689" s="1285"/>
      <c r="K3689" s="1285"/>
      <c r="L3689" s="1285"/>
    </row>
    <row r="3690" spans="1:12" ht="11.15" customHeight="1">
      <c r="A3690" s="181" t="s">
        <v>5094</v>
      </c>
      <c r="B3690" s="59" t="s">
        <v>20839</v>
      </c>
      <c r="C3690" s="147" t="s">
        <v>20221</v>
      </c>
      <c r="D3690" s="701" t="s">
        <v>1129</v>
      </c>
      <c r="E3690" s="178">
        <v>2019</v>
      </c>
      <c r="F3690" s="178" t="s">
        <v>4520</v>
      </c>
      <c r="G3690" s="496"/>
      <c r="H3690" s="994" t="s">
        <v>20221</v>
      </c>
      <c r="I3690" s="11" t="s">
        <v>5095</v>
      </c>
      <c r="J3690" s="1285"/>
      <c r="K3690" s="1285"/>
      <c r="L3690" s="1285"/>
    </row>
    <row r="3691" spans="1:12" ht="11.15" customHeight="1">
      <c r="A3691" s="181" t="s">
        <v>2536</v>
      </c>
      <c r="B3691" s="59" t="s">
        <v>20839</v>
      </c>
      <c r="C3691" s="147" t="s">
        <v>20221</v>
      </c>
      <c r="D3691" s="701" t="s">
        <v>1129</v>
      </c>
      <c r="E3691" s="178">
        <v>2018</v>
      </c>
      <c r="F3691" s="178" t="s">
        <v>4520</v>
      </c>
      <c r="G3691" s="496"/>
      <c r="H3691" s="994" t="s">
        <v>20221</v>
      </c>
      <c r="I3691" s="11" t="s">
        <v>5096</v>
      </c>
      <c r="J3691" s="1285"/>
      <c r="K3691" s="1285"/>
      <c r="L3691" s="1285"/>
    </row>
    <row r="3692" spans="1:12" ht="11.15" customHeight="1">
      <c r="A3692" s="29" t="s">
        <v>5097</v>
      </c>
      <c r="B3692" s="59" t="s">
        <v>20839</v>
      </c>
      <c r="C3692" s="147" t="s">
        <v>20221</v>
      </c>
      <c r="D3692" s="701" t="s">
        <v>1129</v>
      </c>
      <c r="E3692" s="178">
        <v>2017</v>
      </c>
      <c r="F3692" s="178" t="s">
        <v>4520</v>
      </c>
      <c r="G3692" s="496"/>
      <c r="H3692" s="994" t="s">
        <v>20221</v>
      </c>
      <c r="I3692" s="11" t="s">
        <v>5098</v>
      </c>
      <c r="J3692" s="1285"/>
      <c r="K3692" s="1285"/>
      <c r="L3692" s="1285"/>
    </row>
    <row r="3693" spans="1:12" ht="11.15" customHeight="1">
      <c r="A3693" s="29" t="s">
        <v>5099</v>
      </c>
      <c r="B3693" s="59" t="s">
        <v>20839</v>
      </c>
      <c r="C3693" s="147" t="s">
        <v>20221</v>
      </c>
      <c r="D3693" s="701" t="s">
        <v>1129</v>
      </c>
      <c r="E3693" s="178">
        <v>2016</v>
      </c>
      <c r="F3693" s="178" t="s">
        <v>4520</v>
      </c>
      <c r="G3693" s="496"/>
      <c r="H3693" s="994" t="s">
        <v>20221</v>
      </c>
      <c r="I3693" s="11" t="s">
        <v>4107</v>
      </c>
      <c r="J3693" s="1285"/>
      <c r="K3693" s="1285"/>
      <c r="L3693" s="1285"/>
    </row>
    <row r="3694" spans="1:12" ht="11.15" customHeight="1">
      <c r="A3694" s="29" t="s">
        <v>5100</v>
      </c>
      <c r="B3694" s="59" t="s">
        <v>20839</v>
      </c>
      <c r="C3694" s="147" t="s">
        <v>20221</v>
      </c>
      <c r="D3694" s="701" t="s">
        <v>1129</v>
      </c>
      <c r="E3694" s="178">
        <v>2015</v>
      </c>
      <c r="F3694" s="178" t="s">
        <v>4520</v>
      </c>
      <c r="G3694" s="496"/>
      <c r="H3694" s="994" t="s">
        <v>20277</v>
      </c>
      <c r="I3694" s="11" t="s">
        <v>5101</v>
      </c>
      <c r="J3694" s="1285"/>
      <c r="K3694" s="1285"/>
      <c r="L3694" s="1285"/>
    </row>
    <row r="3695" spans="1:12" ht="11.15" customHeight="1">
      <c r="A3695" s="29" t="s">
        <v>5102</v>
      </c>
      <c r="B3695" s="177" t="s">
        <v>5103</v>
      </c>
      <c r="C3695" s="147"/>
      <c r="D3695" s="122"/>
      <c r="E3695" s="36"/>
      <c r="F3695" s="183"/>
      <c r="G3695" s="453"/>
      <c r="H3695" s="34"/>
      <c r="I3695" s="11"/>
    </row>
    <row r="3696" spans="1:12" ht="11.15" customHeight="1">
      <c r="A3696" s="29" t="s">
        <v>5104</v>
      </c>
      <c r="B3696" s="59" t="s">
        <v>20840</v>
      </c>
      <c r="C3696" s="147" t="s">
        <v>23393</v>
      </c>
      <c r="D3696" s="701" t="s">
        <v>1129</v>
      </c>
      <c r="E3696" s="178">
        <v>2022</v>
      </c>
      <c r="F3696" s="178" t="s">
        <v>4520</v>
      </c>
      <c r="G3696" s="496"/>
      <c r="H3696" s="994" t="s">
        <v>20221</v>
      </c>
      <c r="I3696" s="11" t="s">
        <v>5105</v>
      </c>
      <c r="J3696" s="1285"/>
      <c r="K3696" s="1285"/>
      <c r="L3696" s="1285"/>
    </row>
    <row r="3697" spans="1:12" ht="11.15" customHeight="1">
      <c r="A3697" s="29" t="s">
        <v>5106</v>
      </c>
      <c r="B3697" s="59" t="s">
        <v>20840</v>
      </c>
      <c r="C3697" s="147" t="s">
        <v>23393</v>
      </c>
      <c r="D3697" s="701" t="s">
        <v>1129</v>
      </c>
      <c r="E3697" s="178">
        <v>2021</v>
      </c>
      <c r="F3697" s="178" t="s">
        <v>4520</v>
      </c>
      <c r="G3697" s="496"/>
      <c r="H3697" s="994" t="s">
        <v>20221</v>
      </c>
      <c r="I3697" s="11" t="s">
        <v>5107</v>
      </c>
      <c r="J3697" s="1285"/>
      <c r="K3697" s="1285"/>
      <c r="L3697" s="1285"/>
    </row>
    <row r="3698" spans="1:12" ht="11.15" customHeight="1">
      <c r="A3698" s="29" t="s">
        <v>5108</v>
      </c>
      <c r="B3698" s="59" t="s">
        <v>20840</v>
      </c>
      <c r="C3698" s="147" t="s">
        <v>20221</v>
      </c>
      <c r="D3698" s="701" t="s">
        <v>1129</v>
      </c>
      <c r="E3698" s="178">
        <v>2020</v>
      </c>
      <c r="F3698" s="178" t="s">
        <v>4520</v>
      </c>
      <c r="G3698" s="496"/>
      <c r="H3698" s="994" t="s">
        <v>20221</v>
      </c>
      <c r="I3698" s="11" t="s">
        <v>5109</v>
      </c>
      <c r="J3698" s="1285"/>
      <c r="K3698" s="1285"/>
      <c r="L3698" s="1285"/>
    </row>
    <row r="3699" spans="1:12" ht="11.15" customHeight="1">
      <c r="A3699" s="29" t="s">
        <v>5110</v>
      </c>
      <c r="B3699" s="59" t="s">
        <v>20840</v>
      </c>
      <c r="C3699" s="147" t="s">
        <v>20221</v>
      </c>
      <c r="D3699" s="701" t="s">
        <v>1129</v>
      </c>
      <c r="E3699" s="178">
        <v>2019</v>
      </c>
      <c r="F3699" s="178" t="s">
        <v>4520</v>
      </c>
      <c r="G3699" s="496"/>
      <c r="H3699" s="994" t="s">
        <v>20221</v>
      </c>
      <c r="I3699" s="11" t="s">
        <v>5111</v>
      </c>
      <c r="J3699" s="1285"/>
      <c r="K3699" s="1285"/>
      <c r="L3699" s="1285"/>
    </row>
    <row r="3700" spans="1:12" ht="11.15" customHeight="1">
      <c r="A3700" s="129" t="s">
        <v>1308</v>
      </c>
      <c r="B3700" s="59" t="s">
        <v>20840</v>
      </c>
      <c r="C3700" s="147" t="s">
        <v>20221</v>
      </c>
      <c r="D3700" s="701" t="s">
        <v>1129</v>
      </c>
      <c r="E3700" s="178">
        <v>2018</v>
      </c>
      <c r="F3700" s="178" t="s">
        <v>4520</v>
      </c>
      <c r="G3700" s="496"/>
      <c r="H3700" s="994" t="s">
        <v>20221</v>
      </c>
      <c r="I3700" s="11" t="s">
        <v>5112</v>
      </c>
      <c r="J3700" s="1285"/>
      <c r="K3700" s="1285"/>
      <c r="L3700" s="1285"/>
    </row>
    <row r="3701" spans="1:12" ht="11.15" customHeight="1">
      <c r="A3701" s="162" t="s">
        <v>4848</v>
      </c>
      <c r="B3701" s="59" t="s">
        <v>20840</v>
      </c>
      <c r="C3701" s="147" t="s">
        <v>20221</v>
      </c>
      <c r="D3701" s="701" t="s">
        <v>1129</v>
      </c>
      <c r="E3701" s="178">
        <v>2017</v>
      </c>
      <c r="F3701" s="178" t="s">
        <v>4520</v>
      </c>
      <c r="G3701" s="496"/>
      <c r="H3701" s="994" t="s">
        <v>20224</v>
      </c>
      <c r="I3701" s="11" t="s">
        <v>5113</v>
      </c>
      <c r="J3701" s="1285"/>
      <c r="K3701" s="1285"/>
      <c r="L3701" s="1285"/>
    </row>
    <row r="3702" spans="1:12" ht="11.15" customHeight="1">
      <c r="A3702" s="162" t="s">
        <v>5114</v>
      </c>
      <c r="B3702" s="59" t="s">
        <v>20840</v>
      </c>
      <c r="C3702" s="147" t="s">
        <v>20221</v>
      </c>
      <c r="D3702" s="701" t="s">
        <v>1129</v>
      </c>
      <c r="E3702" s="178">
        <v>2016</v>
      </c>
      <c r="F3702" s="178" t="s">
        <v>4520</v>
      </c>
      <c r="G3702" s="496"/>
      <c r="H3702" s="994" t="s">
        <v>20221</v>
      </c>
      <c r="I3702" s="11" t="s">
        <v>5115</v>
      </c>
      <c r="J3702" s="1285"/>
      <c r="K3702" s="1285"/>
      <c r="L3702" s="1285"/>
    </row>
    <row r="3703" spans="1:12" ht="11.15" customHeight="1">
      <c r="A3703" s="162" t="s">
        <v>5116</v>
      </c>
      <c r="B3703" s="177" t="s">
        <v>5118</v>
      </c>
      <c r="C3703" s="147"/>
      <c r="D3703" s="122"/>
      <c r="E3703" s="36"/>
      <c r="F3703" s="178"/>
      <c r="G3703" s="671"/>
      <c r="H3703" s="36"/>
      <c r="I3703" s="11"/>
    </row>
    <row r="3704" spans="1:12" ht="11.15" customHeight="1">
      <c r="A3704" s="162" t="s">
        <v>5117</v>
      </c>
      <c r="B3704" s="59" t="s">
        <v>6176</v>
      </c>
      <c r="C3704" s="147" t="s">
        <v>23393</v>
      </c>
      <c r="D3704" s="284" t="s">
        <v>897</v>
      </c>
      <c r="E3704" s="178">
        <v>2022</v>
      </c>
      <c r="F3704" s="178" t="s">
        <v>4520</v>
      </c>
      <c r="G3704" s="496"/>
      <c r="H3704" s="994" t="s">
        <v>20221</v>
      </c>
      <c r="I3704" s="11" t="s">
        <v>5120</v>
      </c>
      <c r="J3704" s="1285"/>
      <c r="K3704" s="1285"/>
      <c r="L3704" s="1285"/>
    </row>
    <row r="3705" spans="1:12" ht="11.15" customHeight="1">
      <c r="A3705" s="162" t="s">
        <v>5119</v>
      </c>
      <c r="B3705" s="59" t="s">
        <v>6176</v>
      </c>
      <c r="C3705" s="147" t="s">
        <v>20221</v>
      </c>
      <c r="D3705" s="284" t="s">
        <v>897</v>
      </c>
      <c r="E3705" s="178">
        <v>2017</v>
      </c>
      <c r="F3705" s="178" t="s">
        <v>4520</v>
      </c>
      <c r="G3705" s="496"/>
      <c r="H3705" s="994" t="s">
        <v>20221</v>
      </c>
      <c r="I3705" s="11" t="s">
        <v>5122</v>
      </c>
      <c r="J3705" s="1285"/>
      <c r="K3705" s="1285"/>
      <c r="L3705" s="1285"/>
    </row>
    <row r="3706" spans="1:12" ht="11.15" customHeight="1">
      <c r="A3706" s="162" t="s">
        <v>5121</v>
      </c>
      <c r="B3706" s="59" t="s">
        <v>6176</v>
      </c>
      <c r="C3706" s="147" t="s">
        <v>20221</v>
      </c>
      <c r="D3706" s="284" t="s">
        <v>897</v>
      </c>
      <c r="E3706" s="178">
        <v>2016</v>
      </c>
      <c r="F3706" s="178" t="s">
        <v>4520</v>
      </c>
      <c r="G3706" s="496"/>
      <c r="H3706" s="994" t="s">
        <v>20221</v>
      </c>
      <c r="I3706" s="11" t="s">
        <v>5124</v>
      </c>
      <c r="J3706" s="1285"/>
      <c r="K3706" s="1285"/>
      <c r="L3706" s="1285"/>
    </row>
    <row r="3707" spans="1:12" ht="11.15" customHeight="1">
      <c r="A3707" s="162" t="s">
        <v>5123</v>
      </c>
      <c r="B3707" s="59" t="s">
        <v>6176</v>
      </c>
      <c r="C3707" s="147" t="s">
        <v>20221</v>
      </c>
      <c r="D3707" s="284" t="s">
        <v>897</v>
      </c>
      <c r="E3707" s="178">
        <v>2015</v>
      </c>
      <c r="F3707" s="178" t="s">
        <v>4520</v>
      </c>
      <c r="G3707" s="496"/>
      <c r="H3707" s="994" t="s">
        <v>20224</v>
      </c>
      <c r="I3707" s="11" t="s">
        <v>5126</v>
      </c>
      <c r="J3707" s="1285"/>
      <c r="K3707" s="1285"/>
      <c r="L3707" s="1285"/>
    </row>
    <row r="3708" spans="1:12" ht="11.15" customHeight="1">
      <c r="A3708" s="162" t="s">
        <v>5125</v>
      </c>
      <c r="B3708" s="59" t="s">
        <v>6176</v>
      </c>
      <c r="C3708" s="147" t="s">
        <v>20221</v>
      </c>
      <c r="D3708" s="284" t="s">
        <v>897</v>
      </c>
      <c r="E3708" s="178">
        <v>2014</v>
      </c>
      <c r="F3708" s="178" t="s">
        <v>4520</v>
      </c>
      <c r="G3708" s="496"/>
      <c r="H3708" s="994" t="s">
        <v>20221</v>
      </c>
      <c r="I3708" s="11" t="s">
        <v>5128</v>
      </c>
      <c r="J3708" s="1285"/>
      <c r="K3708" s="1285"/>
      <c r="L3708" s="1285"/>
    </row>
    <row r="3709" spans="1:12" ht="11.15" customHeight="1">
      <c r="A3709" s="162" t="s">
        <v>5127</v>
      </c>
      <c r="B3709" s="59" t="s">
        <v>6176</v>
      </c>
      <c r="C3709" s="147" t="s">
        <v>20221</v>
      </c>
      <c r="D3709" s="284" t="s">
        <v>897</v>
      </c>
      <c r="E3709" s="178">
        <v>2013</v>
      </c>
      <c r="F3709" s="178" t="s">
        <v>4520</v>
      </c>
      <c r="G3709" s="496"/>
      <c r="H3709" s="994" t="s">
        <v>20221</v>
      </c>
      <c r="I3709" s="11" t="s">
        <v>5130</v>
      </c>
      <c r="J3709" s="1285"/>
      <c r="K3709" s="1285"/>
      <c r="L3709" s="1285"/>
    </row>
    <row r="3710" spans="1:12" ht="11.15" customHeight="1">
      <c r="A3710" s="162" t="s">
        <v>5129</v>
      </c>
      <c r="B3710" s="177" t="s">
        <v>5132</v>
      </c>
      <c r="C3710" s="147"/>
      <c r="D3710" s="122"/>
      <c r="E3710" s="36"/>
      <c r="F3710" s="178"/>
      <c r="G3710" s="671"/>
      <c r="H3710" s="36"/>
      <c r="I3710" s="11"/>
    </row>
    <row r="3711" spans="1:12" ht="11.15" customHeight="1">
      <c r="A3711" s="162" t="s">
        <v>5131</v>
      </c>
      <c r="B3711" s="59" t="s">
        <v>20841</v>
      </c>
      <c r="C3711" s="147" t="s">
        <v>23393</v>
      </c>
      <c r="D3711" s="284" t="s">
        <v>897</v>
      </c>
      <c r="E3711" s="178">
        <v>2022</v>
      </c>
      <c r="F3711" s="178" t="s">
        <v>4520</v>
      </c>
      <c r="G3711" s="496"/>
      <c r="H3711" s="994" t="s">
        <v>20224</v>
      </c>
      <c r="I3711" s="11" t="s">
        <v>5134</v>
      </c>
      <c r="J3711" s="1285"/>
      <c r="K3711" s="1285"/>
      <c r="L3711" s="1285"/>
    </row>
    <row r="3712" spans="1:12" ht="11.15" customHeight="1">
      <c r="A3712" s="162" t="s">
        <v>5133</v>
      </c>
      <c r="B3712" s="59" t="s">
        <v>20841</v>
      </c>
      <c r="C3712" s="147" t="s">
        <v>23393</v>
      </c>
      <c r="D3712" s="284" t="s">
        <v>897</v>
      </c>
      <c r="E3712" s="178">
        <v>2021</v>
      </c>
      <c r="F3712" s="178" t="s">
        <v>4520</v>
      </c>
      <c r="G3712" s="496"/>
      <c r="H3712" s="994" t="s">
        <v>20221</v>
      </c>
      <c r="I3712" s="11" t="s">
        <v>5136</v>
      </c>
      <c r="J3712" s="1285"/>
      <c r="K3712" s="1285"/>
      <c r="L3712" s="1285"/>
    </row>
    <row r="3713" spans="1:12" ht="11.15" customHeight="1">
      <c r="A3713" s="162" t="s">
        <v>5135</v>
      </c>
      <c r="B3713" s="59" t="s">
        <v>20841</v>
      </c>
      <c r="C3713" s="147" t="s">
        <v>20221</v>
      </c>
      <c r="D3713" s="284" t="s">
        <v>897</v>
      </c>
      <c r="E3713" s="178">
        <v>2020</v>
      </c>
      <c r="F3713" s="178" t="s">
        <v>4520</v>
      </c>
      <c r="G3713" s="496"/>
      <c r="H3713" s="994" t="s">
        <v>20221</v>
      </c>
      <c r="I3713" s="11" t="s">
        <v>5138</v>
      </c>
      <c r="J3713" s="1285"/>
      <c r="K3713" s="1285"/>
      <c r="L3713" s="1285"/>
    </row>
    <row r="3714" spans="1:12" ht="11.15" customHeight="1">
      <c r="A3714" s="162" t="s">
        <v>5137</v>
      </c>
      <c r="B3714" s="59" t="s">
        <v>20841</v>
      </c>
      <c r="C3714" s="147" t="s">
        <v>20221</v>
      </c>
      <c r="D3714" s="284" t="s">
        <v>897</v>
      </c>
      <c r="E3714" s="178">
        <v>2017</v>
      </c>
      <c r="F3714" s="178" t="s">
        <v>4520</v>
      </c>
      <c r="G3714" s="496"/>
      <c r="H3714" s="994" t="s">
        <v>20221</v>
      </c>
      <c r="I3714" s="11" t="s">
        <v>5140</v>
      </c>
      <c r="J3714" s="1285"/>
      <c r="K3714" s="1285"/>
      <c r="L3714" s="1285"/>
    </row>
    <row r="3715" spans="1:12" ht="11.15" customHeight="1">
      <c r="A3715" s="162" t="s">
        <v>5139</v>
      </c>
      <c r="B3715" s="59" t="s">
        <v>20841</v>
      </c>
      <c r="C3715" s="147" t="s">
        <v>20221</v>
      </c>
      <c r="D3715" s="284" t="s">
        <v>897</v>
      </c>
      <c r="E3715" s="178">
        <v>2016</v>
      </c>
      <c r="F3715" s="178" t="s">
        <v>4520</v>
      </c>
      <c r="G3715" s="496"/>
      <c r="H3715" s="994" t="s">
        <v>20224</v>
      </c>
      <c r="I3715" s="11" t="s">
        <v>5142</v>
      </c>
      <c r="J3715" s="1285"/>
      <c r="K3715" s="1285"/>
      <c r="L3715" s="1285"/>
    </row>
    <row r="3716" spans="1:12" ht="11.15" customHeight="1">
      <c r="A3716" s="129" t="s">
        <v>5141</v>
      </c>
      <c r="B3716" s="59" t="s">
        <v>20841</v>
      </c>
      <c r="C3716" s="147" t="s">
        <v>20221</v>
      </c>
      <c r="D3716" s="284" t="s">
        <v>897</v>
      </c>
      <c r="E3716" s="178">
        <v>2015</v>
      </c>
      <c r="F3716" s="178" t="s">
        <v>4520</v>
      </c>
      <c r="G3716" s="496"/>
      <c r="H3716" s="994" t="s">
        <v>20277</v>
      </c>
      <c r="I3716" s="11" t="s">
        <v>5144</v>
      </c>
      <c r="J3716" s="1285"/>
      <c r="K3716" s="1285"/>
      <c r="L3716" s="1285"/>
    </row>
    <row r="3717" spans="1:12" ht="11.15" customHeight="1">
      <c r="A3717" s="162" t="s">
        <v>5143</v>
      </c>
      <c r="B3717" s="59" t="s">
        <v>20842</v>
      </c>
      <c r="C3717" s="147" t="s">
        <v>20221</v>
      </c>
      <c r="D3717" s="284" t="s">
        <v>897</v>
      </c>
      <c r="E3717" s="178">
        <v>2022</v>
      </c>
      <c r="F3717" s="178" t="s">
        <v>4520</v>
      </c>
      <c r="G3717" s="496"/>
      <c r="H3717" s="994" t="s">
        <v>20224</v>
      </c>
      <c r="I3717" s="11" t="s">
        <v>5146</v>
      </c>
      <c r="J3717" s="1285"/>
      <c r="K3717" s="1285"/>
      <c r="L3717" s="1285"/>
    </row>
    <row r="3718" spans="1:12" ht="11.15" customHeight="1">
      <c r="A3718" s="162" t="s">
        <v>5145</v>
      </c>
      <c r="B3718" s="59" t="s">
        <v>20842</v>
      </c>
      <c r="C3718" s="147" t="s">
        <v>20221</v>
      </c>
      <c r="D3718" s="284" t="s">
        <v>897</v>
      </c>
      <c r="E3718" s="178">
        <v>2021</v>
      </c>
      <c r="F3718" s="178" t="s">
        <v>4520</v>
      </c>
      <c r="G3718" s="496"/>
      <c r="H3718" s="994" t="s">
        <v>20224</v>
      </c>
      <c r="I3718" s="11" t="s">
        <v>5148</v>
      </c>
      <c r="J3718" s="1285"/>
      <c r="K3718" s="1285"/>
      <c r="L3718" s="1285"/>
    </row>
    <row r="3719" spans="1:12" ht="11.15" customHeight="1">
      <c r="A3719" s="162" t="s">
        <v>5147</v>
      </c>
      <c r="B3719" s="59" t="s">
        <v>20842</v>
      </c>
      <c r="C3719" s="147" t="s">
        <v>20221</v>
      </c>
      <c r="D3719" s="284" t="s">
        <v>897</v>
      </c>
      <c r="E3719" s="178">
        <v>2020</v>
      </c>
      <c r="F3719" s="178" t="s">
        <v>4520</v>
      </c>
      <c r="G3719" s="496"/>
      <c r="H3719" s="994" t="s">
        <v>20224</v>
      </c>
      <c r="I3719" s="11" t="s">
        <v>5150</v>
      </c>
      <c r="J3719" s="1285"/>
      <c r="K3719" s="1285"/>
      <c r="L3719" s="1285"/>
    </row>
    <row r="3720" spans="1:12" ht="11.15" customHeight="1">
      <c r="A3720" s="162" t="s">
        <v>5149</v>
      </c>
      <c r="B3720" s="59" t="s">
        <v>20842</v>
      </c>
      <c r="C3720" s="147" t="s">
        <v>20221</v>
      </c>
      <c r="D3720" s="284" t="s">
        <v>897</v>
      </c>
      <c r="E3720" s="178">
        <v>2017</v>
      </c>
      <c r="F3720" s="178" t="s">
        <v>4520</v>
      </c>
      <c r="G3720" s="496"/>
      <c r="H3720" s="994" t="s">
        <v>20224</v>
      </c>
      <c r="I3720" s="11" t="s">
        <v>5152</v>
      </c>
      <c r="J3720" s="1285"/>
      <c r="K3720" s="1285"/>
      <c r="L3720" s="1285"/>
    </row>
    <row r="3721" spans="1:12" ht="11.15" customHeight="1">
      <c r="A3721" s="162" t="s">
        <v>5151</v>
      </c>
      <c r="B3721" s="59" t="s">
        <v>20842</v>
      </c>
      <c r="C3721" s="147" t="s">
        <v>20221</v>
      </c>
      <c r="D3721" s="284" t="s">
        <v>897</v>
      </c>
      <c r="E3721" s="178">
        <v>2014</v>
      </c>
      <c r="F3721" s="178" t="s">
        <v>4520</v>
      </c>
      <c r="G3721" s="496"/>
      <c r="H3721" s="994" t="s">
        <v>20221</v>
      </c>
      <c r="I3721" s="11" t="s">
        <v>5154</v>
      </c>
      <c r="J3721" s="1285"/>
      <c r="K3721" s="1285"/>
      <c r="L3721" s="1285"/>
    </row>
    <row r="3722" spans="1:12" ht="11.15" customHeight="1">
      <c r="A3722" s="162" t="s">
        <v>5153</v>
      </c>
      <c r="B3722" s="59" t="s">
        <v>20842</v>
      </c>
      <c r="C3722" s="147" t="s">
        <v>20221</v>
      </c>
      <c r="D3722" s="284" t="s">
        <v>897</v>
      </c>
      <c r="E3722" s="178">
        <v>2013</v>
      </c>
      <c r="F3722" s="178" t="s">
        <v>4520</v>
      </c>
      <c r="G3722" s="496"/>
      <c r="H3722" s="994" t="s">
        <v>20221</v>
      </c>
      <c r="I3722" s="11" t="s">
        <v>5156</v>
      </c>
      <c r="J3722" s="1285"/>
      <c r="K3722" s="1285"/>
      <c r="L3722" s="1285"/>
    </row>
    <row r="3723" spans="1:12" ht="11.15" customHeight="1">
      <c r="A3723" s="162" t="s">
        <v>5155</v>
      </c>
      <c r="B3723" s="59" t="s">
        <v>20843</v>
      </c>
      <c r="C3723" s="147" t="s">
        <v>20221</v>
      </c>
      <c r="D3723" s="284" t="s">
        <v>897</v>
      </c>
      <c r="E3723" s="178">
        <v>2014</v>
      </c>
      <c r="F3723" s="178" t="s">
        <v>5257</v>
      </c>
      <c r="G3723" s="496"/>
      <c r="H3723" s="994" t="s">
        <v>20224</v>
      </c>
      <c r="I3723" s="11" t="s">
        <v>5158</v>
      </c>
      <c r="J3723" s="1285"/>
      <c r="K3723" s="1285"/>
      <c r="L3723" s="1285"/>
    </row>
    <row r="3724" spans="1:12" ht="11.15" customHeight="1">
      <c r="A3724" s="162" t="s">
        <v>5157</v>
      </c>
      <c r="B3724" s="59" t="s">
        <v>20844</v>
      </c>
      <c r="C3724" s="147" t="s">
        <v>20221</v>
      </c>
      <c r="D3724" s="284" t="s">
        <v>897</v>
      </c>
      <c r="E3724" s="178">
        <v>2014</v>
      </c>
      <c r="F3724" s="178" t="s">
        <v>5257</v>
      </c>
      <c r="G3724" s="496"/>
      <c r="H3724" s="994" t="s">
        <v>20224</v>
      </c>
      <c r="I3724" s="11" t="s">
        <v>5160</v>
      </c>
      <c r="J3724" s="1285"/>
      <c r="K3724" s="1285"/>
      <c r="L3724" s="1285"/>
    </row>
    <row r="3725" spans="1:12" ht="11.15" customHeight="1">
      <c r="A3725" s="162" t="s">
        <v>5159</v>
      </c>
      <c r="B3725" s="177" t="s">
        <v>5162</v>
      </c>
      <c r="C3725" s="147"/>
      <c r="D3725" s="122"/>
      <c r="E3725" s="36"/>
      <c r="F3725" s="178"/>
      <c r="G3725" s="671"/>
      <c r="H3725" s="36"/>
      <c r="I3725" s="11"/>
      <c r="J3725" s="1285"/>
      <c r="K3725" s="1285"/>
      <c r="L3725" s="1285"/>
    </row>
    <row r="3726" spans="1:12" ht="11.15" customHeight="1">
      <c r="A3726" s="162" t="s">
        <v>5161</v>
      </c>
      <c r="B3726" s="59" t="s">
        <v>20845</v>
      </c>
      <c r="C3726" s="147" t="s">
        <v>20221</v>
      </c>
      <c r="D3726" s="284" t="s">
        <v>897</v>
      </c>
      <c r="E3726" s="178" t="s">
        <v>20221</v>
      </c>
      <c r="F3726" s="178" t="s">
        <v>4520</v>
      </c>
      <c r="G3726" s="496" t="s">
        <v>20221</v>
      </c>
      <c r="H3726" s="994" t="s">
        <v>3907</v>
      </c>
      <c r="I3726" s="11" t="s">
        <v>5164</v>
      </c>
      <c r="J3726" s="1285"/>
      <c r="K3726" s="1285"/>
      <c r="L3726" s="1285"/>
    </row>
    <row r="3727" spans="1:12" ht="11.15" customHeight="1">
      <c r="A3727" s="162" t="s">
        <v>5163</v>
      </c>
      <c r="B3727" s="59" t="s">
        <v>20846</v>
      </c>
      <c r="C3727" s="147" t="s">
        <v>20221</v>
      </c>
      <c r="D3727" s="284" t="s">
        <v>897</v>
      </c>
      <c r="E3727" s="178" t="s">
        <v>20221</v>
      </c>
      <c r="F3727" s="178" t="s">
        <v>23394</v>
      </c>
      <c r="G3727" s="496" t="s">
        <v>20221</v>
      </c>
      <c r="H3727" s="994" t="s">
        <v>3907</v>
      </c>
      <c r="I3727" s="11" t="s">
        <v>5165</v>
      </c>
      <c r="J3727" s="1285"/>
      <c r="K3727" s="1285"/>
      <c r="L3727" s="1285"/>
    </row>
    <row r="3728" spans="1:12" ht="11.15" customHeight="1">
      <c r="A3728" s="29" t="s">
        <v>4228</v>
      </c>
      <c r="B3728" s="59" t="s">
        <v>20847</v>
      </c>
      <c r="C3728" s="147" t="s">
        <v>20221</v>
      </c>
      <c r="D3728" s="284" t="s">
        <v>897</v>
      </c>
      <c r="E3728" s="178" t="s">
        <v>20221</v>
      </c>
      <c r="F3728" s="178" t="s">
        <v>23394</v>
      </c>
      <c r="G3728" s="496" t="s">
        <v>20221</v>
      </c>
      <c r="H3728" s="994" t="s">
        <v>3907</v>
      </c>
      <c r="I3728" s="11" t="s">
        <v>5167</v>
      </c>
      <c r="J3728" s="1285"/>
      <c r="K3728" s="1285"/>
      <c r="L3728" s="1285"/>
    </row>
    <row r="3729" spans="1:12" ht="11.15" customHeight="1">
      <c r="A3729" s="166" t="s">
        <v>5166</v>
      </c>
      <c r="B3729" s="59" t="s">
        <v>20848</v>
      </c>
      <c r="C3729" s="147" t="s">
        <v>20221</v>
      </c>
      <c r="D3729" s="284" t="s">
        <v>897</v>
      </c>
      <c r="E3729" s="178" t="s">
        <v>20221</v>
      </c>
      <c r="F3729" s="178" t="s">
        <v>23394</v>
      </c>
      <c r="G3729" s="496" t="s">
        <v>20221</v>
      </c>
      <c r="H3729" s="994" t="s">
        <v>3907</v>
      </c>
      <c r="I3729" s="11" t="s">
        <v>5169</v>
      </c>
      <c r="J3729" s="1285"/>
      <c r="K3729" s="1285"/>
      <c r="L3729" s="1285"/>
    </row>
    <row r="3730" spans="1:12" ht="11.15" customHeight="1">
      <c r="A3730" s="424" t="s">
        <v>5168</v>
      </c>
      <c r="B3730" s="177" t="s">
        <v>5170</v>
      </c>
      <c r="C3730" s="147"/>
      <c r="D3730" s="161"/>
      <c r="E3730" s="36"/>
      <c r="F3730" s="178"/>
      <c r="G3730" s="671"/>
      <c r="H3730" s="36"/>
      <c r="I3730" s="11"/>
    </row>
    <row r="3731" spans="1:12" ht="11.15" customHeight="1">
      <c r="A3731" s="29"/>
      <c r="B3731" s="59" t="s">
        <v>20798</v>
      </c>
      <c r="C3731" s="147" t="s">
        <v>20221</v>
      </c>
      <c r="D3731" s="284" t="s">
        <v>897</v>
      </c>
      <c r="E3731" s="178">
        <v>2013</v>
      </c>
      <c r="F3731" s="178" t="s">
        <v>4520</v>
      </c>
      <c r="G3731" s="496"/>
      <c r="H3731" s="994" t="s">
        <v>20221</v>
      </c>
      <c r="I3731" s="11" t="s">
        <v>5171</v>
      </c>
      <c r="J3731" s="1285"/>
      <c r="K3731" s="1285"/>
      <c r="L3731" s="1285"/>
    </row>
    <row r="3732" spans="1:12" ht="11.15" customHeight="1">
      <c r="A3732" s="185"/>
      <c r="B3732" s="59" t="s">
        <v>20670</v>
      </c>
      <c r="C3732" s="147" t="s">
        <v>20221</v>
      </c>
      <c r="D3732" s="284" t="s">
        <v>897</v>
      </c>
      <c r="E3732" s="178">
        <v>2021</v>
      </c>
      <c r="F3732" s="178" t="s">
        <v>23394</v>
      </c>
      <c r="G3732" s="496"/>
      <c r="H3732" s="994" t="s">
        <v>20224</v>
      </c>
      <c r="I3732" s="11" t="s">
        <v>5172</v>
      </c>
      <c r="J3732" s="1285"/>
      <c r="K3732" s="1285"/>
      <c r="L3732" s="1285"/>
    </row>
    <row r="3733" spans="1:12" ht="11.15" customHeight="1">
      <c r="A3733" s="185"/>
      <c r="B3733" s="185"/>
      <c r="C3733" s="147"/>
      <c r="D3733" s="129"/>
      <c r="E3733" s="185"/>
      <c r="F3733" s="185"/>
      <c r="G3733" s="185"/>
      <c r="H3733" s="185"/>
      <c r="I3733" s="11"/>
    </row>
    <row r="3734" spans="1:12" ht="11.15" customHeight="1" thickBot="1">
      <c r="A3734" s="185"/>
      <c r="B3734" s="216" t="s">
        <v>5173</v>
      </c>
      <c r="C3734" s="147"/>
      <c r="D3734" s="122"/>
      <c r="E3734" s="36"/>
      <c r="F3734" s="178"/>
      <c r="G3734" s="60"/>
      <c r="H3734" s="36"/>
      <c r="I3734" s="11"/>
    </row>
    <row r="3735" spans="1:12" ht="11.15" customHeight="1" thickBot="1">
      <c r="A3735" s="184" t="s">
        <v>5174</v>
      </c>
      <c r="B3735" s="177" t="s">
        <v>5175</v>
      </c>
      <c r="C3735" s="147"/>
      <c r="D3735" s="122"/>
      <c r="E3735" s="36"/>
      <c r="F3735" s="178"/>
      <c r="G3735" s="60"/>
      <c r="H3735" s="36"/>
      <c r="I3735" s="11"/>
    </row>
    <row r="3736" spans="1:12" ht="11.15" customHeight="1">
      <c r="A3736" s="29" t="s">
        <v>5176</v>
      </c>
      <c r="B3736" s="59" t="s">
        <v>20850</v>
      </c>
      <c r="C3736" s="147" t="s">
        <v>20221</v>
      </c>
      <c r="D3736" s="284" t="s">
        <v>897</v>
      </c>
      <c r="E3736" s="178">
        <v>2017</v>
      </c>
      <c r="F3736" s="178" t="s">
        <v>4520</v>
      </c>
      <c r="G3736" s="496"/>
      <c r="H3736" s="994" t="s">
        <v>20221</v>
      </c>
      <c r="I3736" s="11" t="s">
        <v>5177</v>
      </c>
      <c r="J3736" s="1285"/>
      <c r="K3736" s="1285"/>
      <c r="L3736" s="1285"/>
    </row>
    <row r="3737" spans="1:12" ht="11.15" customHeight="1">
      <c r="A3737" s="29" t="s">
        <v>5178</v>
      </c>
      <c r="B3737" s="177" t="s">
        <v>5179</v>
      </c>
      <c r="C3737" s="147"/>
      <c r="D3737" s="161"/>
      <c r="E3737" s="36"/>
      <c r="F3737" s="178"/>
      <c r="G3737" s="496"/>
      <c r="H3737" s="36"/>
      <c r="I3737" s="11"/>
    </row>
    <row r="3738" spans="1:12" ht="11.15" customHeight="1">
      <c r="A3738" s="29" t="s">
        <v>5180</v>
      </c>
      <c r="B3738" s="59" t="s">
        <v>20851</v>
      </c>
      <c r="C3738" s="147" t="s">
        <v>20221</v>
      </c>
      <c r="D3738" s="284" t="s">
        <v>897</v>
      </c>
      <c r="E3738" s="178">
        <v>2012</v>
      </c>
      <c r="F3738" s="178" t="s">
        <v>4520</v>
      </c>
      <c r="G3738" s="496"/>
      <c r="H3738" s="994" t="s">
        <v>20224</v>
      </c>
      <c r="I3738" s="11" t="s">
        <v>5181</v>
      </c>
      <c r="J3738" s="1285"/>
      <c r="K3738" s="1285"/>
      <c r="L3738" s="1285"/>
    </row>
    <row r="3739" spans="1:12" ht="11.15" customHeight="1">
      <c r="A3739" s="218" t="s">
        <v>5182</v>
      </c>
      <c r="B3739" s="59" t="s">
        <v>20852</v>
      </c>
      <c r="C3739" s="147" t="s">
        <v>20221</v>
      </c>
      <c r="D3739" s="284" t="s">
        <v>897</v>
      </c>
      <c r="E3739" s="178">
        <v>2014</v>
      </c>
      <c r="F3739" s="178" t="s">
        <v>4520</v>
      </c>
      <c r="G3739" s="496"/>
      <c r="H3739" s="994" t="s">
        <v>20221</v>
      </c>
      <c r="I3739" s="11" t="s">
        <v>5183</v>
      </c>
      <c r="J3739" s="1285"/>
      <c r="K3739" s="1285"/>
      <c r="L3739" s="1285"/>
    </row>
    <row r="3740" spans="1:12" ht="11.15" customHeight="1">
      <c r="A3740" s="29" t="s">
        <v>5184</v>
      </c>
      <c r="B3740" s="59" t="s">
        <v>20852</v>
      </c>
      <c r="C3740" s="147" t="s">
        <v>20221</v>
      </c>
      <c r="D3740" s="284" t="s">
        <v>897</v>
      </c>
      <c r="E3740" s="178">
        <v>2013</v>
      </c>
      <c r="F3740" s="178" t="s">
        <v>4520</v>
      </c>
      <c r="G3740" s="496"/>
      <c r="H3740" s="994" t="s">
        <v>20221</v>
      </c>
      <c r="I3740" s="11" t="s">
        <v>5185</v>
      </c>
      <c r="J3740" s="1285"/>
      <c r="K3740" s="1285"/>
      <c r="L3740" s="1285"/>
    </row>
    <row r="3741" spans="1:12" ht="11.15" customHeight="1">
      <c r="A3741" s="29" t="s">
        <v>5186</v>
      </c>
      <c r="B3741" s="59" t="s">
        <v>20852</v>
      </c>
      <c r="C3741" s="147" t="s">
        <v>20221</v>
      </c>
      <c r="D3741" s="284" t="s">
        <v>897</v>
      </c>
      <c r="E3741" s="178">
        <v>2012</v>
      </c>
      <c r="F3741" s="178" t="s">
        <v>4520</v>
      </c>
      <c r="G3741" s="496"/>
      <c r="H3741" s="994" t="s">
        <v>20277</v>
      </c>
      <c r="I3741" s="11" t="s">
        <v>5187</v>
      </c>
      <c r="J3741" s="1285"/>
      <c r="K3741" s="1285"/>
      <c r="L3741" s="1285"/>
    </row>
    <row r="3742" spans="1:12" ht="11.15" customHeight="1">
      <c r="A3742" s="29" t="s">
        <v>5188</v>
      </c>
      <c r="B3742" s="177" t="s">
        <v>5189</v>
      </c>
      <c r="C3742" s="147"/>
      <c r="D3742" s="129"/>
      <c r="E3742" s="185"/>
      <c r="F3742" s="185"/>
      <c r="G3742" s="185"/>
      <c r="H3742" s="185"/>
      <c r="I3742" s="11"/>
    </row>
    <row r="3743" spans="1:12" ht="11.15" customHeight="1">
      <c r="A3743" s="29" t="s">
        <v>5190</v>
      </c>
      <c r="B3743" s="59" t="s">
        <v>20853</v>
      </c>
      <c r="C3743" s="147" t="s">
        <v>20221</v>
      </c>
      <c r="D3743" s="284" t="s">
        <v>897</v>
      </c>
      <c r="E3743" s="178">
        <v>2014</v>
      </c>
      <c r="F3743" s="178" t="s">
        <v>4520</v>
      </c>
      <c r="G3743" s="496"/>
      <c r="H3743" s="994" t="s">
        <v>20221</v>
      </c>
      <c r="I3743" s="11" t="s">
        <v>5191</v>
      </c>
      <c r="J3743" s="1285"/>
      <c r="K3743" s="1285"/>
      <c r="L3743" s="1285"/>
    </row>
    <row r="3744" spans="1:12" ht="11.15" customHeight="1">
      <c r="A3744" s="129" t="s">
        <v>5192</v>
      </c>
      <c r="B3744" s="59" t="s">
        <v>20853</v>
      </c>
      <c r="C3744" s="147" t="s">
        <v>20221</v>
      </c>
      <c r="D3744" s="284" t="s">
        <v>897</v>
      </c>
      <c r="E3744" s="178">
        <v>2013</v>
      </c>
      <c r="F3744" s="178" t="s">
        <v>4520</v>
      </c>
      <c r="G3744" s="496"/>
      <c r="H3744" s="994" t="s">
        <v>20221</v>
      </c>
      <c r="I3744" s="11" t="s">
        <v>5193</v>
      </c>
      <c r="J3744" s="1285"/>
      <c r="K3744" s="1285"/>
      <c r="L3744" s="1285"/>
    </row>
    <row r="3745" spans="1:12" ht="11.15" customHeight="1">
      <c r="A3745" s="162" t="s">
        <v>5194</v>
      </c>
      <c r="B3745" s="59" t="s">
        <v>20853</v>
      </c>
      <c r="C3745" s="147" t="s">
        <v>20221</v>
      </c>
      <c r="D3745" s="284" t="s">
        <v>897</v>
      </c>
      <c r="E3745" s="178">
        <v>2012</v>
      </c>
      <c r="F3745" s="178" t="s">
        <v>4520</v>
      </c>
      <c r="G3745" s="496"/>
      <c r="H3745" s="994" t="s">
        <v>20221</v>
      </c>
      <c r="I3745" s="11" t="s">
        <v>5195</v>
      </c>
      <c r="J3745" s="1285"/>
      <c r="K3745" s="1285"/>
      <c r="L3745" s="1285"/>
    </row>
    <row r="3746" spans="1:12" ht="11.15" customHeight="1">
      <c r="A3746" s="162" t="s">
        <v>5196</v>
      </c>
      <c r="B3746" s="59" t="s">
        <v>20854</v>
      </c>
      <c r="C3746" s="147" t="s">
        <v>20221</v>
      </c>
      <c r="D3746" s="284" t="s">
        <v>897</v>
      </c>
      <c r="E3746" s="178">
        <v>2013</v>
      </c>
      <c r="F3746" s="178" t="s">
        <v>4520</v>
      </c>
      <c r="G3746" s="496"/>
      <c r="H3746" s="994" t="s">
        <v>20224</v>
      </c>
      <c r="I3746" s="11" t="s">
        <v>5197</v>
      </c>
      <c r="J3746" s="1285"/>
      <c r="K3746" s="1285"/>
      <c r="L3746" s="1285"/>
    </row>
    <row r="3747" spans="1:12" ht="11.15" customHeight="1">
      <c r="A3747" s="162" t="s">
        <v>5198</v>
      </c>
      <c r="B3747" s="59" t="s">
        <v>20854</v>
      </c>
      <c r="C3747" s="147" t="s">
        <v>20221</v>
      </c>
      <c r="D3747" s="284" t="s">
        <v>897</v>
      </c>
      <c r="E3747" s="178">
        <v>2012</v>
      </c>
      <c r="F3747" s="178" t="s">
        <v>4520</v>
      </c>
      <c r="G3747" s="496"/>
      <c r="H3747" s="994" t="s">
        <v>20277</v>
      </c>
      <c r="I3747" s="11" t="s">
        <v>5199</v>
      </c>
      <c r="J3747" s="1285"/>
      <c r="K3747" s="1285"/>
      <c r="L3747" s="1285"/>
    </row>
    <row r="3748" spans="1:12" ht="11.15" customHeight="1">
      <c r="A3748" s="162" t="s">
        <v>5200</v>
      </c>
      <c r="B3748" s="177" t="s">
        <v>5201</v>
      </c>
      <c r="C3748" s="147"/>
      <c r="D3748" s="129"/>
      <c r="E3748" s="185"/>
      <c r="F3748" s="185"/>
      <c r="G3748" s="185"/>
      <c r="H3748" s="185"/>
      <c r="I3748" s="11"/>
    </row>
    <row r="3749" spans="1:12" ht="11.15" customHeight="1">
      <c r="A3749" s="162" t="s">
        <v>5202</v>
      </c>
      <c r="B3749" s="59" t="s">
        <v>20695</v>
      </c>
      <c r="C3749" s="147" t="s">
        <v>20221</v>
      </c>
      <c r="D3749" s="284" t="s">
        <v>897</v>
      </c>
      <c r="E3749" s="178">
        <v>2014</v>
      </c>
      <c r="F3749" s="178" t="s">
        <v>4520</v>
      </c>
      <c r="G3749" s="496"/>
      <c r="H3749" s="994" t="s">
        <v>20221</v>
      </c>
      <c r="I3749" s="11" t="s">
        <v>5203</v>
      </c>
      <c r="J3749" s="1285"/>
      <c r="K3749" s="1285"/>
      <c r="L3749" s="1285"/>
    </row>
    <row r="3750" spans="1:12" ht="11.15" customHeight="1">
      <c r="A3750" s="162" t="s">
        <v>5204</v>
      </c>
      <c r="B3750" s="59" t="s">
        <v>20695</v>
      </c>
      <c r="C3750" s="147" t="s">
        <v>20221</v>
      </c>
      <c r="D3750" s="284" t="s">
        <v>897</v>
      </c>
      <c r="E3750" s="178">
        <v>2013</v>
      </c>
      <c r="F3750" s="178" t="s">
        <v>4520</v>
      </c>
      <c r="G3750" s="496"/>
      <c r="H3750" s="994" t="s">
        <v>20221</v>
      </c>
      <c r="I3750" s="11" t="s">
        <v>5205</v>
      </c>
      <c r="J3750" s="1285"/>
      <c r="K3750" s="1285"/>
      <c r="L3750" s="1285"/>
    </row>
    <row r="3751" spans="1:12" ht="11.15" customHeight="1">
      <c r="A3751" s="162" t="s">
        <v>5206</v>
      </c>
      <c r="B3751" s="59" t="s">
        <v>20695</v>
      </c>
      <c r="C3751" s="147" t="s">
        <v>20221</v>
      </c>
      <c r="D3751" s="284" t="s">
        <v>897</v>
      </c>
      <c r="E3751" s="178">
        <v>2012</v>
      </c>
      <c r="F3751" s="178" t="s">
        <v>4520</v>
      </c>
      <c r="G3751" s="496"/>
      <c r="H3751" s="994" t="s">
        <v>20224</v>
      </c>
      <c r="I3751" s="11" t="s">
        <v>5207</v>
      </c>
      <c r="J3751" s="1285"/>
      <c r="K3751" s="1285"/>
      <c r="L3751" s="1285"/>
    </row>
    <row r="3752" spans="1:12" ht="11.15" customHeight="1">
      <c r="A3752" s="162" t="s">
        <v>5208</v>
      </c>
      <c r="B3752" s="185"/>
      <c r="C3752" s="147"/>
      <c r="D3752" s="185"/>
      <c r="E3752" s="185"/>
      <c r="F3752" s="185"/>
      <c r="G3752" s="185"/>
      <c r="H3752" s="185"/>
      <c r="I3752" s="11"/>
    </row>
    <row r="3753" spans="1:12" ht="11.15" customHeight="1">
      <c r="A3753" s="129" t="s">
        <v>1077</v>
      </c>
      <c r="B3753" s="185"/>
      <c r="C3753" s="147"/>
      <c r="D3753" s="185"/>
      <c r="E3753" s="185"/>
      <c r="F3753" s="185"/>
      <c r="G3753" s="185"/>
      <c r="H3753" s="185"/>
      <c r="I3753" s="11"/>
    </row>
    <row r="3754" spans="1:12" ht="11.15" customHeight="1">
      <c r="A3754" s="162" t="s">
        <v>5209</v>
      </c>
      <c r="B3754" s="185"/>
      <c r="C3754" s="147"/>
      <c r="D3754" s="185"/>
      <c r="E3754" s="185"/>
      <c r="F3754" s="185"/>
      <c r="G3754" s="185"/>
      <c r="H3754" s="185"/>
      <c r="I3754" s="11"/>
    </row>
    <row r="3755" spans="1:12" ht="11.15" customHeight="1">
      <c r="A3755" s="162" t="s">
        <v>5210</v>
      </c>
      <c r="B3755" s="90"/>
      <c r="C3755" s="147"/>
      <c r="D3755" s="161"/>
      <c r="E3755" s="36"/>
      <c r="F3755" s="178"/>
      <c r="G3755" s="497"/>
      <c r="H3755" s="36"/>
      <c r="I3755" s="11"/>
    </row>
    <row r="3756" spans="1:12" ht="11.15" customHeight="1">
      <c r="A3756" s="162" t="s">
        <v>5211</v>
      </c>
      <c r="B3756" s="185"/>
      <c r="C3756" s="147"/>
      <c r="D3756" s="185"/>
      <c r="E3756" s="185"/>
      <c r="F3756" s="185"/>
      <c r="G3756" s="185"/>
      <c r="H3756" s="185"/>
      <c r="I3756" s="11"/>
    </row>
    <row r="3757" spans="1:12" ht="11.15" customHeight="1">
      <c r="A3757" s="162" t="s">
        <v>5212</v>
      </c>
      <c r="B3757" s="185"/>
      <c r="C3757" s="147"/>
      <c r="D3757" s="185"/>
      <c r="E3757" s="185"/>
      <c r="F3757" s="185"/>
      <c r="G3757" s="185"/>
      <c r="H3757" s="185"/>
      <c r="I3757" s="11"/>
    </row>
    <row r="3758" spans="1:12" ht="11.15" customHeight="1">
      <c r="A3758" s="162" t="s">
        <v>5213</v>
      </c>
      <c r="B3758" s="185"/>
      <c r="C3758" s="147"/>
      <c r="D3758" s="185"/>
      <c r="E3758" s="185"/>
      <c r="F3758" s="185"/>
      <c r="G3758" s="185"/>
      <c r="H3758" s="185"/>
      <c r="I3758" s="11"/>
    </row>
    <row r="3759" spans="1:12" ht="11.15" customHeight="1">
      <c r="A3759" s="129" t="s">
        <v>4133</v>
      </c>
      <c r="B3759" s="185"/>
      <c r="C3759" s="147"/>
      <c r="D3759" s="185"/>
      <c r="E3759" s="185"/>
      <c r="F3759" s="185"/>
      <c r="G3759" s="185"/>
      <c r="H3759" s="185"/>
      <c r="I3759" s="11"/>
    </row>
    <row r="3760" spans="1:12" ht="11.15" customHeight="1">
      <c r="A3760" s="424" t="s">
        <v>5214</v>
      </c>
      <c r="B3760" s="185"/>
      <c r="C3760" s="147"/>
      <c r="D3760" s="185"/>
      <c r="E3760" s="185"/>
      <c r="F3760" s="185"/>
      <c r="G3760" s="185"/>
      <c r="H3760" s="185"/>
      <c r="I3760" s="11"/>
    </row>
    <row r="3761" spans="1:12" ht="11.15" customHeight="1" thickBot="1">
      <c r="A3761" s="29"/>
      <c r="B3761" s="185"/>
      <c r="C3761" s="147"/>
      <c r="D3761" s="185"/>
      <c r="E3761" s="185"/>
      <c r="F3761" s="185"/>
      <c r="G3761" s="185"/>
      <c r="H3761" s="185"/>
      <c r="I3761" s="11"/>
    </row>
    <row r="3762" spans="1:12" ht="11.15" customHeight="1">
      <c r="A3762" s="153" t="s">
        <v>5215</v>
      </c>
      <c r="B3762" s="59" t="s">
        <v>20856</v>
      </c>
      <c r="C3762" s="147" t="s">
        <v>20221</v>
      </c>
      <c r="D3762" s="284" t="s">
        <v>897</v>
      </c>
      <c r="E3762" s="178">
        <v>2023</v>
      </c>
      <c r="F3762" s="178" t="s">
        <v>4520</v>
      </c>
      <c r="G3762" s="496"/>
      <c r="H3762" s="994" t="s">
        <v>20221</v>
      </c>
      <c r="I3762" s="11" t="s">
        <v>23267</v>
      </c>
      <c r="J3762" s="1285"/>
      <c r="K3762" s="1285"/>
      <c r="L3762" s="1285"/>
    </row>
    <row r="3763" spans="1:12" ht="11.15" customHeight="1" thickBot="1">
      <c r="A3763" s="230" t="s">
        <v>5217</v>
      </c>
      <c r="B3763" s="59" t="s">
        <v>20856</v>
      </c>
      <c r="C3763" s="147" t="s">
        <v>20221</v>
      </c>
      <c r="D3763" s="284" t="s">
        <v>897</v>
      </c>
      <c r="E3763" s="178">
        <v>2022</v>
      </c>
      <c r="F3763" s="178" t="s">
        <v>4520</v>
      </c>
      <c r="G3763" s="496"/>
      <c r="H3763" s="994" t="s">
        <v>20221</v>
      </c>
      <c r="I3763" s="11" t="s">
        <v>5216</v>
      </c>
      <c r="J3763" s="1285"/>
      <c r="K3763" s="1285"/>
      <c r="L3763" s="1285"/>
    </row>
    <row r="3764" spans="1:12" ht="11.15" customHeight="1">
      <c r="A3764" s="29" t="s">
        <v>5219</v>
      </c>
      <c r="B3764" s="59" t="s">
        <v>20856</v>
      </c>
      <c r="C3764" s="147" t="s">
        <v>20221</v>
      </c>
      <c r="D3764" s="284" t="s">
        <v>897</v>
      </c>
      <c r="E3764" s="178">
        <v>2019</v>
      </c>
      <c r="F3764" s="178" t="s">
        <v>4520</v>
      </c>
      <c r="G3764" s="496"/>
      <c r="H3764" s="994" t="s">
        <v>20224</v>
      </c>
      <c r="I3764" s="11" t="s">
        <v>5218</v>
      </c>
      <c r="J3764" s="1285"/>
      <c r="K3764" s="1285"/>
      <c r="L3764" s="1285"/>
    </row>
    <row r="3765" spans="1:12" ht="11.15" customHeight="1">
      <c r="A3765" s="29" t="s">
        <v>5221</v>
      </c>
      <c r="B3765" s="59" t="s">
        <v>20857</v>
      </c>
      <c r="C3765" s="147" t="s">
        <v>20221</v>
      </c>
      <c r="D3765" s="284" t="s">
        <v>897</v>
      </c>
      <c r="E3765" s="178">
        <v>2022</v>
      </c>
      <c r="F3765" s="178" t="s">
        <v>4520</v>
      </c>
      <c r="G3765" s="496"/>
      <c r="H3765" s="994" t="s">
        <v>20224</v>
      </c>
      <c r="I3765" s="11" t="s">
        <v>5220</v>
      </c>
      <c r="J3765" s="1285"/>
      <c r="K3765" s="1285"/>
      <c r="L3765" s="1285"/>
    </row>
    <row r="3766" spans="1:12" ht="11.15" customHeight="1">
      <c r="A3766" s="218" t="s">
        <v>1595</v>
      </c>
      <c r="B3766" s="59" t="s">
        <v>20858</v>
      </c>
      <c r="C3766" s="147" t="s">
        <v>20221</v>
      </c>
      <c r="D3766" s="284" t="s">
        <v>897</v>
      </c>
      <c r="E3766" s="178">
        <v>2023</v>
      </c>
      <c r="F3766" s="178" t="s">
        <v>23394</v>
      </c>
      <c r="G3766" s="496"/>
      <c r="H3766" s="994" t="s">
        <v>20224</v>
      </c>
      <c r="I3766" s="11" t="s">
        <v>23268</v>
      </c>
      <c r="J3766" s="1285"/>
      <c r="K3766" s="1285"/>
      <c r="L3766" s="1285"/>
    </row>
    <row r="3767" spans="1:12" ht="11.15" customHeight="1">
      <c r="A3767" s="29" t="s">
        <v>1862</v>
      </c>
      <c r="B3767" s="59" t="s">
        <v>20858</v>
      </c>
      <c r="C3767" s="147" t="s">
        <v>20221</v>
      </c>
      <c r="D3767" s="284" t="s">
        <v>897</v>
      </c>
      <c r="E3767" s="178">
        <v>2022</v>
      </c>
      <c r="F3767" s="178" t="s">
        <v>23394</v>
      </c>
      <c r="G3767" s="496"/>
      <c r="H3767" s="994" t="s">
        <v>20224</v>
      </c>
      <c r="I3767" s="11" t="s">
        <v>5222</v>
      </c>
      <c r="J3767" s="1285"/>
      <c r="K3767" s="1285"/>
      <c r="L3767" s="1285"/>
    </row>
    <row r="3768" spans="1:12" ht="11.15" customHeight="1">
      <c r="A3768" s="129" t="s">
        <v>1077</v>
      </c>
      <c r="B3768" s="59" t="s">
        <v>20859</v>
      </c>
      <c r="C3768" s="147" t="s">
        <v>20221</v>
      </c>
      <c r="D3768" s="284" t="s">
        <v>897</v>
      </c>
      <c r="E3768" s="178">
        <v>2023</v>
      </c>
      <c r="F3768" s="178" t="s">
        <v>23394</v>
      </c>
      <c r="G3768" s="496"/>
      <c r="H3768" s="994" t="s">
        <v>20224</v>
      </c>
      <c r="I3768" s="11" t="s">
        <v>23269</v>
      </c>
      <c r="J3768" s="1285"/>
      <c r="K3768" s="1285"/>
      <c r="L3768" s="1285"/>
    </row>
    <row r="3769" spans="1:12" ht="11.15" customHeight="1">
      <c r="A3769" s="291" t="s">
        <v>5226</v>
      </c>
      <c r="B3769" s="59" t="s">
        <v>20859</v>
      </c>
      <c r="C3769" s="147" t="s">
        <v>20221</v>
      </c>
      <c r="D3769" s="284" t="s">
        <v>897</v>
      </c>
      <c r="E3769" s="178">
        <v>2022</v>
      </c>
      <c r="F3769" s="178" t="s">
        <v>23394</v>
      </c>
      <c r="G3769" s="496"/>
      <c r="H3769" s="994" t="s">
        <v>20224</v>
      </c>
      <c r="I3769" s="11" t="s">
        <v>5223</v>
      </c>
      <c r="J3769" s="1285"/>
      <c r="K3769" s="1285"/>
      <c r="L3769" s="1285"/>
    </row>
    <row r="3770" spans="1:12" ht="9" customHeight="1">
      <c r="A3770" s="291" t="s">
        <v>5228</v>
      </c>
      <c r="B3770" s="59" t="s">
        <v>20798</v>
      </c>
      <c r="C3770" s="147" t="s">
        <v>20221</v>
      </c>
      <c r="D3770" s="284" t="s">
        <v>897</v>
      </c>
      <c r="E3770" s="178">
        <v>2023</v>
      </c>
      <c r="F3770" s="178" t="s">
        <v>23394</v>
      </c>
      <c r="G3770" s="496"/>
      <c r="H3770" s="994" t="s">
        <v>20224</v>
      </c>
      <c r="I3770" s="11" t="s">
        <v>23270</v>
      </c>
      <c r="J3770" s="1285"/>
      <c r="K3770" s="1285"/>
      <c r="L3770" s="1285"/>
    </row>
    <row r="3771" spans="1:12" ht="9" customHeight="1">
      <c r="A3771" s="291" t="s">
        <v>5229</v>
      </c>
      <c r="B3771" s="59" t="s">
        <v>20798</v>
      </c>
      <c r="C3771" s="147" t="s">
        <v>20221</v>
      </c>
      <c r="D3771" s="284" t="s">
        <v>897</v>
      </c>
      <c r="E3771" s="178">
        <v>2022</v>
      </c>
      <c r="F3771" s="178" t="s">
        <v>23394</v>
      </c>
      <c r="G3771" s="496"/>
      <c r="H3771" s="994" t="s">
        <v>20224</v>
      </c>
      <c r="I3771" s="11" t="s">
        <v>5224</v>
      </c>
      <c r="J3771" s="1285"/>
      <c r="K3771" s="1285"/>
      <c r="L3771" s="1285"/>
    </row>
    <row r="3772" spans="1:12" ht="9" customHeight="1">
      <c r="A3772" s="291" t="s">
        <v>5230</v>
      </c>
      <c r="B3772" s="59" t="s">
        <v>20670</v>
      </c>
      <c r="C3772" s="147" t="s">
        <v>20221</v>
      </c>
      <c r="D3772" s="284" t="s">
        <v>897</v>
      </c>
      <c r="E3772" s="178">
        <v>2023</v>
      </c>
      <c r="F3772" s="178" t="s">
        <v>23394</v>
      </c>
      <c r="G3772" s="496"/>
      <c r="H3772" s="994" t="s">
        <v>20224</v>
      </c>
      <c r="I3772" s="11" t="s">
        <v>23271</v>
      </c>
      <c r="J3772" s="1285"/>
      <c r="K3772" s="1285"/>
      <c r="L3772" s="1285"/>
    </row>
    <row r="3773" spans="1:12" ht="9" customHeight="1">
      <c r="A3773" s="291" t="s">
        <v>5231</v>
      </c>
      <c r="B3773" s="59" t="s">
        <v>20670</v>
      </c>
      <c r="C3773" s="147" t="s">
        <v>20221</v>
      </c>
      <c r="D3773" s="284" t="s">
        <v>897</v>
      </c>
      <c r="E3773" s="178">
        <v>2022</v>
      </c>
      <c r="F3773" s="178" t="s">
        <v>23394</v>
      </c>
      <c r="G3773" s="496"/>
      <c r="H3773" s="994" t="s">
        <v>20224</v>
      </c>
      <c r="I3773" s="11" t="s">
        <v>5225</v>
      </c>
      <c r="J3773" s="1285"/>
      <c r="K3773" s="1285"/>
      <c r="L3773" s="1285"/>
    </row>
    <row r="3774" spans="1:12" ht="9" customHeight="1">
      <c r="A3774" s="291" t="s">
        <v>5232</v>
      </c>
      <c r="B3774" s="59" t="s">
        <v>20860</v>
      </c>
      <c r="C3774" s="147" t="s">
        <v>20221</v>
      </c>
      <c r="D3774" s="284" t="s">
        <v>897</v>
      </c>
      <c r="E3774" s="178">
        <v>2023</v>
      </c>
      <c r="F3774" s="178" t="s">
        <v>23394</v>
      </c>
      <c r="G3774" s="496"/>
      <c r="H3774" s="994" t="s">
        <v>20224</v>
      </c>
      <c r="I3774" s="11" t="s">
        <v>23272</v>
      </c>
      <c r="J3774" s="1285"/>
      <c r="K3774" s="1285"/>
      <c r="L3774" s="1285"/>
    </row>
    <row r="3775" spans="1:12" ht="9" customHeight="1">
      <c r="A3775" s="291" t="s">
        <v>5233</v>
      </c>
      <c r="B3775" s="59" t="s">
        <v>20860</v>
      </c>
      <c r="C3775" s="147" t="s">
        <v>20221</v>
      </c>
      <c r="D3775" s="284" t="s">
        <v>897</v>
      </c>
      <c r="E3775" s="178">
        <v>2022</v>
      </c>
      <c r="F3775" s="178" t="s">
        <v>23394</v>
      </c>
      <c r="G3775" s="496"/>
      <c r="H3775" s="994" t="s">
        <v>20224</v>
      </c>
      <c r="I3775" s="11" t="s">
        <v>5227</v>
      </c>
      <c r="J3775" s="1285"/>
      <c r="K3775" s="1285"/>
      <c r="L3775" s="1285"/>
    </row>
    <row r="3776" spans="1:12" ht="9" customHeight="1">
      <c r="A3776" s="291" t="s">
        <v>5234</v>
      </c>
      <c r="B3776" s="154"/>
      <c r="C3776" s="147"/>
      <c r="D3776" s="129"/>
      <c r="E3776" s="185"/>
      <c r="F3776" s="185"/>
      <c r="G3776" s="185"/>
      <c r="H3776" s="185"/>
      <c r="I3776" s="11"/>
    </row>
    <row r="3777" spans="1:12" ht="9" customHeight="1">
      <c r="A3777" s="291" t="s">
        <v>5235</v>
      </c>
      <c r="B3777" s="154"/>
      <c r="C3777" s="147"/>
      <c r="D3777" s="129"/>
      <c r="E3777" s="185"/>
      <c r="F3777" s="185"/>
      <c r="G3777" s="185"/>
      <c r="H3777" s="185"/>
      <c r="I3777" s="11"/>
    </row>
    <row r="3778" spans="1:12" ht="9" customHeight="1">
      <c r="A3778" s="291" t="s">
        <v>5236</v>
      </c>
      <c r="B3778" s="185"/>
      <c r="C3778" s="147"/>
      <c r="D3778" s="185"/>
      <c r="E3778" s="185"/>
      <c r="F3778" s="185"/>
      <c r="G3778" s="185"/>
      <c r="H3778" s="185"/>
      <c r="I3778" s="11"/>
    </row>
    <row r="3779" spans="1:12" ht="9" customHeight="1">
      <c r="A3779" s="29" t="s">
        <v>5237</v>
      </c>
      <c r="B3779" s="185"/>
      <c r="C3779" s="147"/>
      <c r="D3779" s="185"/>
      <c r="E3779" s="185"/>
      <c r="F3779" s="185"/>
      <c r="G3779" s="185"/>
      <c r="H3779" s="185"/>
      <c r="I3779" s="11"/>
    </row>
    <row r="3780" spans="1:12" ht="11.15" customHeight="1">
      <c r="A3780" s="424" t="s">
        <v>5238</v>
      </c>
      <c r="B3780" s="185"/>
      <c r="C3780" s="147"/>
      <c r="D3780" s="129"/>
      <c r="E3780" s="185"/>
      <c r="F3780" s="185"/>
      <c r="G3780" s="185"/>
      <c r="H3780" s="185"/>
      <c r="I3780" s="11"/>
    </row>
    <row r="3781" spans="1:12" ht="11.15" customHeight="1" thickBot="1">
      <c r="A3781" s="29"/>
      <c r="B3781" s="226"/>
      <c r="C3781" s="147"/>
      <c r="D3781" s="122"/>
      <c r="E3781" s="36"/>
      <c r="F3781" s="178"/>
      <c r="G3781" s="60"/>
      <c r="H3781" s="36"/>
      <c r="I3781" s="11"/>
    </row>
    <row r="3782" spans="1:12" ht="11.15" customHeight="1">
      <c r="A3782" s="153" t="s">
        <v>5239</v>
      </c>
      <c r="B3782" s="59" t="s">
        <v>20679</v>
      </c>
      <c r="C3782" s="147" t="s">
        <v>23393</v>
      </c>
      <c r="D3782" s="284" t="s">
        <v>897</v>
      </c>
      <c r="E3782" s="178">
        <v>2022</v>
      </c>
      <c r="F3782" s="178" t="s">
        <v>4520</v>
      </c>
      <c r="G3782" s="496"/>
      <c r="H3782" s="994" t="s">
        <v>20343</v>
      </c>
      <c r="I3782" s="11" t="s">
        <v>5240</v>
      </c>
      <c r="J3782" s="1285"/>
      <c r="K3782" s="1285"/>
      <c r="L3782" s="1285"/>
    </row>
    <row r="3783" spans="1:12" ht="11.15" customHeight="1">
      <c r="A3783" s="277" t="s">
        <v>5241</v>
      </c>
      <c r="B3783" s="59" t="s">
        <v>20862</v>
      </c>
      <c r="C3783" s="147" t="s">
        <v>23393</v>
      </c>
      <c r="D3783" s="284" t="s">
        <v>897</v>
      </c>
      <c r="E3783" s="178">
        <v>2022</v>
      </c>
      <c r="F3783" s="178" t="s">
        <v>4520</v>
      </c>
      <c r="G3783" s="496"/>
      <c r="H3783" s="994" t="s">
        <v>20343</v>
      </c>
      <c r="I3783" s="11" t="s">
        <v>5242</v>
      </c>
      <c r="J3783" s="1285"/>
      <c r="K3783" s="1285"/>
      <c r="L3783" s="1285"/>
    </row>
    <row r="3784" spans="1:12" ht="11.15" customHeight="1" thickBot="1">
      <c r="A3784" s="230" t="s">
        <v>5243</v>
      </c>
      <c r="B3784" s="59" t="s">
        <v>20863</v>
      </c>
      <c r="C3784" s="147" t="s">
        <v>23393</v>
      </c>
      <c r="D3784" s="284" t="s">
        <v>897</v>
      </c>
      <c r="E3784" s="178">
        <v>2022</v>
      </c>
      <c r="F3784" s="178" t="s">
        <v>4520</v>
      </c>
      <c r="G3784" s="496"/>
      <c r="H3784" s="994" t="s">
        <v>20343</v>
      </c>
      <c r="I3784" s="11" t="s">
        <v>5244</v>
      </c>
      <c r="J3784" s="1285"/>
      <c r="K3784" s="1285"/>
      <c r="L3784" s="1285"/>
    </row>
    <row r="3785" spans="1:12" ht="11.15" customHeight="1">
      <c r="A3785" s="29" t="s">
        <v>5245</v>
      </c>
      <c r="B3785" s="59" t="s">
        <v>20864</v>
      </c>
      <c r="C3785" s="147" t="s">
        <v>20221</v>
      </c>
      <c r="D3785" s="284" t="s">
        <v>897</v>
      </c>
      <c r="E3785" s="178">
        <v>2022</v>
      </c>
      <c r="F3785" s="178" t="s">
        <v>23394</v>
      </c>
      <c r="G3785" s="496"/>
      <c r="H3785" s="994" t="s">
        <v>20343</v>
      </c>
      <c r="I3785" s="11" t="s">
        <v>5246</v>
      </c>
      <c r="J3785" s="1285"/>
      <c r="K3785" s="1285"/>
      <c r="L3785" s="1285"/>
    </row>
    <row r="3786" spans="1:12" ht="11.15" customHeight="1">
      <c r="A3786" s="29" t="s">
        <v>5247</v>
      </c>
      <c r="B3786" s="59" t="s">
        <v>20865</v>
      </c>
      <c r="C3786" s="147" t="s">
        <v>20221</v>
      </c>
      <c r="D3786" s="284" t="s">
        <v>897</v>
      </c>
      <c r="E3786" s="178">
        <v>2022</v>
      </c>
      <c r="F3786" s="178" t="s">
        <v>23394</v>
      </c>
      <c r="G3786" s="496"/>
      <c r="H3786" s="994" t="s">
        <v>20343</v>
      </c>
      <c r="I3786" s="11" t="s">
        <v>5248</v>
      </c>
      <c r="J3786" s="1285"/>
      <c r="K3786" s="1285"/>
      <c r="L3786" s="1285"/>
    </row>
    <row r="3787" spans="1:12" ht="11.15" customHeight="1">
      <c r="A3787" s="29" t="s">
        <v>5249</v>
      </c>
      <c r="B3787" s="59" t="s">
        <v>20866</v>
      </c>
      <c r="C3787" s="147" t="s">
        <v>23393</v>
      </c>
      <c r="D3787" s="284" t="s">
        <v>897</v>
      </c>
      <c r="E3787" s="178">
        <v>2022</v>
      </c>
      <c r="F3787" s="178" t="s">
        <v>23394</v>
      </c>
      <c r="G3787" s="496"/>
      <c r="H3787" s="994" t="s">
        <v>20343</v>
      </c>
      <c r="I3787" s="11" t="s">
        <v>5250</v>
      </c>
      <c r="J3787" s="1285"/>
      <c r="K3787" s="1285"/>
      <c r="L3787" s="1285"/>
    </row>
    <row r="3788" spans="1:12" ht="11.15" customHeight="1">
      <c r="A3788" s="181" t="s">
        <v>5251</v>
      </c>
      <c r="B3788" s="59" t="s">
        <v>20866</v>
      </c>
      <c r="C3788" s="147" t="s">
        <v>20221</v>
      </c>
      <c r="D3788" s="284" t="s">
        <v>897</v>
      </c>
      <c r="E3788" s="178">
        <v>2021</v>
      </c>
      <c r="F3788" s="178" t="s">
        <v>23394</v>
      </c>
      <c r="G3788" s="496"/>
      <c r="H3788" s="994" t="s">
        <v>20221</v>
      </c>
      <c r="I3788" s="11" t="s">
        <v>5252</v>
      </c>
      <c r="J3788" s="1285"/>
      <c r="K3788" s="1285"/>
      <c r="L3788" s="1285"/>
    </row>
    <row r="3789" spans="1:12" ht="11.15" customHeight="1">
      <c r="A3789" s="181" t="s">
        <v>5253</v>
      </c>
      <c r="B3789" s="59" t="s">
        <v>20866</v>
      </c>
      <c r="C3789" s="147" t="s">
        <v>20221</v>
      </c>
      <c r="D3789" s="284" t="s">
        <v>897</v>
      </c>
      <c r="E3789" s="178">
        <v>2020</v>
      </c>
      <c r="F3789" s="178" t="s">
        <v>23394</v>
      </c>
      <c r="G3789" s="496"/>
      <c r="H3789" s="994" t="s">
        <v>20224</v>
      </c>
      <c r="I3789" s="11" t="s">
        <v>5254</v>
      </c>
      <c r="J3789" s="1285"/>
      <c r="K3789" s="1285"/>
      <c r="L3789" s="1285"/>
    </row>
    <row r="3790" spans="1:12" ht="11.15" customHeight="1">
      <c r="A3790" s="29" t="s">
        <v>5255</v>
      </c>
      <c r="B3790" s="59" t="s">
        <v>20866</v>
      </c>
      <c r="C3790" s="147" t="s">
        <v>20221</v>
      </c>
      <c r="D3790" s="284" t="s">
        <v>897</v>
      </c>
      <c r="E3790" s="178">
        <v>2012</v>
      </c>
      <c r="F3790" s="178" t="s">
        <v>5257</v>
      </c>
      <c r="G3790" s="496"/>
      <c r="H3790" s="994" t="s">
        <v>20224</v>
      </c>
      <c r="I3790" s="11" t="s">
        <v>5259</v>
      </c>
      <c r="J3790" s="1285"/>
      <c r="K3790" s="1285"/>
      <c r="L3790" s="1285"/>
    </row>
    <row r="3791" spans="1:12" ht="11.25" customHeight="1">
      <c r="A3791" s="29" t="s">
        <v>5260</v>
      </c>
      <c r="B3791" s="59" t="s">
        <v>5256</v>
      </c>
      <c r="C3791" s="147" t="s">
        <v>20221</v>
      </c>
      <c r="D3791" s="284" t="s">
        <v>897</v>
      </c>
      <c r="E3791" s="178">
        <v>2020</v>
      </c>
      <c r="F3791" s="178" t="s">
        <v>5257</v>
      </c>
      <c r="G3791" s="496"/>
      <c r="H3791" s="994" t="s">
        <v>20224</v>
      </c>
      <c r="I3791" s="11" t="s">
        <v>23305</v>
      </c>
      <c r="J3791" s="1285"/>
      <c r="K3791" s="1285"/>
      <c r="L3791" s="1285"/>
    </row>
    <row r="3792" spans="1:12" ht="11.25" customHeight="1">
      <c r="A3792" s="129" t="s">
        <v>1077</v>
      </c>
      <c r="B3792" s="59" t="s">
        <v>5256</v>
      </c>
      <c r="C3792" s="147" t="s">
        <v>20221</v>
      </c>
      <c r="D3792" s="284" t="s">
        <v>897</v>
      </c>
      <c r="E3792" s="178">
        <v>2019</v>
      </c>
      <c r="F3792" s="178" t="s">
        <v>5257</v>
      </c>
      <c r="G3792" s="496"/>
      <c r="H3792" s="994" t="s">
        <v>20224</v>
      </c>
      <c r="I3792" s="11" t="s">
        <v>23306</v>
      </c>
      <c r="J3792" s="1285"/>
      <c r="K3792" s="1285"/>
      <c r="L3792" s="1285"/>
    </row>
    <row r="3793" spans="1:12" ht="11.25" customHeight="1">
      <c r="A3793" s="427" t="s">
        <v>5261</v>
      </c>
      <c r="B3793" s="59" t="s">
        <v>5256</v>
      </c>
      <c r="C3793" s="147" t="s">
        <v>20221</v>
      </c>
      <c r="D3793" s="284" t="s">
        <v>897</v>
      </c>
      <c r="E3793" s="178">
        <v>2017</v>
      </c>
      <c r="F3793" s="178" t="s">
        <v>5257</v>
      </c>
      <c r="G3793" s="496"/>
      <c r="H3793" s="994" t="s">
        <v>20224</v>
      </c>
      <c r="I3793" s="11" t="s">
        <v>23307</v>
      </c>
      <c r="J3793" s="1285"/>
      <c r="K3793" s="1285"/>
      <c r="L3793" s="1285"/>
    </row>
    <row r="3794" spans="1:12" ht="11.25" customHeight="1">
      <c r="A3794" s="162" t="s">
        <v>5262</v>
      </c>
      <c r="B3794" s="59" t="s">
        <v>5256</v>
      </c>
      <c r="C3794" s="147" t="s">
        <v>20221</v>
      </c>
      <c r="D3794" s="284" t="s">
        <v>897</v>
      </c>
      <c r="E3794" s="178">
        <v>2014</v>
      </c>
      <c r="F3794" s="178" t="s">
        <v>5257</v>
      </c>
      <c r="G3794" s="496"/>
      <c r="H3794" s="994" t="s">
        <v>20224</v>
      </c>
      <c r="I3794" s="11" t="s">
        <v>23308</v>
      </c>
      <c r="J3794" s="1285"/>
      <c r="K3794" s="1285"/>
      <c r="L3794" s="1285"/>
    </row>
    <row r="3795" spans="1:12" ht="11.25" customHeight="1">
      <c r="A3795" s="162" t="s">
        <v>5263</v>
      </c>
      <c r="B3795" s="59" t="s">
        <v>5256</v>
      </c>
      <c r="C3795" s="147" t="s">
        <v>20221</v>
      </c>
      <c r="D3795" s="284" t="s">
        <v>897</v>
      </c>
      <c r="E3795" s="178">
        <v>2013</v>
      </c>
      <c r="F3795" s="178" t="s">
        <v>5257</v>
      </c>
      <c r="G3795" s="496"/>
      <c r="H3795" s="994" t="s">
        <v>20224</v>
      </c>
      <c r="I3795" s="11" t="s">
        <v>23309</v>
      </c>
      <c r="J3795" s="1285"/>
      <c r="K3795" s="1285"/>
      <c r="L3795" s="1285"/>
    </row>
    <row r="3796" spans="1:12" ht="9" customHeight="1">
      <c r="A3796" s="162" t="s">
        <v>5264</v>
      </c>
      <c r="B3796" s="90"/>
      <c r="C3796" s="147"/>
      <c r="D3796" s="284"/>
      <c r="E3796" s="176"/>
      <c r="F3796" s="178"/>
      <c r="G3796" s="496"/>
      <c r="H3796" s="996"/>
      <c r="I3796" s="11"/>
      <c r="J3796" s="1285"/>
      <c r="K3796" s="1285"/>
      <c r="L3796" s="1285"/>
    </row>
    <row r="3797" spans="1:12" ht="9" customHeight="1">
      <c r="A3797" s="162" t="s">
        <v>5265</v>
      </c>
      <c r="B3797" s="90"/>
      <c r="C3797" s="147"/>
      <c r="D3797" s="284"/>
      <c r="E3797" s="176"/>
      <c r="F3797" s="178"/>
      <c r="G3797" s="496"/>
      <c r="H3797" s="996"/>
      <c r="I3797" s="11"/>
      <c r="J3797" s="1285"/>
      <c r="K3797" s="1285"/>
      <c r="L3797" s="1285"/>
    </row>
    <row r="3798" spans="1:12" ht="9" customHeight="1">
      <c r="A3798" s="162" t="s">
        <v>5266</v>
      </c>
      <c r="B3798" s="90"/>
      <c r="C3798" s="147"/>
      <c r="D3798" s="284"/>
      <c r="E3798" s="176"/>
      <c r="F3798" s="178"/>
      <c r="G3798" s="496"/>
      <c r="H3798" s="996"/>
      <c r="I3798" s="11"/>
      <c r="J3798" s="1285"/>
      <c r="K3798" s="1285"/>
      <c r="L3798" s="1285"/>
    </row>
    <row r="3799" spans="1:12" ht="9" customHeight="1">
      <c r="A3799" s="162" t="s">
        <v>5267</v>
      </c>
      <c r="B3799" s="90"/>
      <c r="C3799" s="147"/>
      <c r="D3799" s="284"/>
      <c r="E3799" s="176"/>
      <c r="F3799" s="178"/>
      <c r="G3799" s="496"/>
      <c r="H3799" s="996"/>
      <c r="I3799" s="11"/>
      <c r="J3799" s="1285"/>
      <c r="K3799" s="1285"/>
      <c r="L3799" s="1285"/>
    </row>
    <row r="3800" spans="1:12" ht="9" customHeight="1">
      <c r="A3800" s="162" t="s">
        <v>5268</v>
      </c>
      <c r="B3800" s="90"/>
      <c r="C3800" s="147"/>
      <c r="D3800" s="284"/>
      <c r="E3800" s="176"/>
      <c r="F3800" s="178"/>
      <c r="G3800" s="496"/>
      <c r="H3800" s="996"/>
      <c r="I3800" s="11"/>
      <c r="J3800" s="1285"/>
      <c r="K3800" s="1285"/>
      <c r="L3800" s="1285"/>
    </row>
    <row r="3801" spans="1:12" ht="9" customHeight="1">
      <c r="A3801" s="162" t="s">
        <v>5269</v>
      </c>
      <c r="B3801" s="185"/>
      <c r="C3801" s="147"/>
      <c r="D3801" s="185"/>
      <c r="E3801" s="185"/>
      <c r="F3801" s="185"/>
      <c r="G3801" s="185"/>
      <c r="H3801" s="185"/>
      <c r="I3801" s="11"/>
    </row>
    <row r="3802" spans="1:12" ht="9" customHeight="1">
      <c r="A3802" s="162" t="s">
        <v>5270</v>
      </c>
      <c r="B3802" s="185"/>
      <c r="C3802" s="147"/>
      <c r="D3802" s="185"/>
      <c r="E3802" s="185"/>
      <c r="F3802" s="185"/>
      <c r="G3802" s="185"/>
      <c r="H3802" s="185"/>
      <c r="I3802" s="11"/>
    </row>
    <row r="3803" spans="1:12" ht="9" customHeight="1">
      <c r="A3803" s="162" t="s">
        <v>5271</v>
      </c>
      <c r="B3803" s="90"/>
      <c r="C3803" s="147"/>
      <c r="D3803" s="161"/>
      <c r="E3803" s="36"/>
      <c r="F3803" s="178"/>
      <c r="G3803" s="497"/>
      <c r="H3803" s="36"/>
      <c r="I3803" s="11"/>
    </row>
    <row r="3804" spans="1:12" ht="9" customHeight="1">
      <c r="A3804" s="162" t="s">
        <v>5272</v>
      </c>
      <c r="B3804" s="90"/>
      <c r="C3804" s="147"/>
      <c r="D3804" s="161"/>
      <c r="E3804" s="36"/>
      <c r="F3804" s="178"/>
      <c r="G3804" s="497"/>
      <c r="H3804" s="36"/>
      <c r="I3804" s="11"/>
    </row>
    <row r="3805" spans="1:12" ht="9" customHeight="1">
      <c r="A3805" s="162" t="s">
        <v>5273</v>
      </c>
      <c r="B3805" s="185"/>
      <c r="C3805" s="147"/>
      <c r="D3805" s="129"/>
      <c r="E3805" s="185"/>
      <c r="F3805" s="185"/>
      <c r="G3805" s="185"/>
      <c r="H3805" s="185"/>
      <c r="I3805" s="11"/>
    </row>
    <row r="3806" spans="1:12" ht="11.25" customHeight="1">
      <c r="A3806" s="162" t="s">
        <v>5274</v>
      </c>
      <c r="B3806" s="90"/>
      <c r="C3806" s="147"/>
      <c r="D3806" s="161"/>
      <c r="E3806" s="36"/>
      <c r="F3806" s="178"/>
      <c r="G3806" s="497"/>
      <c r="H3806" s="36"/>
      <c r="I3806" s="11"/>
    </row>
    <row r="3807" spans="1:12" ht="11.25" customHeight="1">
      <c r="A3807" s="229" t="s">
        <v>5275</v>
      </c>
      <c r="B3807" s="185"/>
      <c r="C3807" s="147"/>
      <c r="D3807" s="129"/>
      <c r="E3807" s="185"/>
      <c r="F3807" s="185"/>
      <c r="G3807" s="185"/>
      <c r="H3807" s="185"/>
      <c r="I3807" s="11"/>
    </row>
    <row r="3808" spans="1:12" ht="11.25" customHeight="1">
      <c r="A3808" s="129" t="s">
        <v>5276</v>
      </c>
      <c r="B3808" s="185"/>
      <c r="C3808" s="147"/>
      <c r="D3808" s="129"/>
      <c r="E3808" s="185"/>
      <c r="F3808" s="185"/>
      <c r="G3808" s="185"/>
      <c r="H3808" s="185"/>
      <c r="I3808" s="11"/>
    </row>
    <row r="3809" spans="1:12" ht="11.25" customHeight="1">
      <c r="A3809" s="129" t="s">
        <v>1630</v>
      </c>
      <c r="B3809" s="185"/>
      <c r="C3809" s="147"/>
      <c r="D3809" s="129"/>
      <c r="E3809" s="185"/>
      <c r="F3809" s="185"/>
      <c r="G3809" s="185"/>
      <c r="H3809" s="185"/>
      <c r="I3809" s="11"/>
    </row>
    <row r="3810" spans="1:12" ht="11.25" customHeight="1">
      <c r="A3810" s="166" t="s">
        <v>5277</v>
      </c>
      <c r="B3810" s="185"/>
      <c r="C3810" s="147"/>
      <c r="D3810" s="129"/>
      <c r="E3810" s="185"/>
      <c r="F3810" s="185"/>
      <c r="G3810" s="185"/>
      <c r="H3810" s="185"/>
      <c r="I3810" s="11"/>
    </row>
    <row r="3811" spans="1:12" ht="11.15" customHeight="1">
      <c r="A3811" s="166" t="s">
        <v>5278</v>
      </c>
      <c r="B3811" s="226"/>
      <c r="C3811" s="147"/>
      <c r="D3811" s="161"/>
      <c r="E3811" s="36"/>
      <c r="F3811" s="178"/>
      <c r="G3811" s="497"/>
      <c r="H3811" s="36"/>
      <c r="I3811" s="11"/>
    </row>
    <row r="3812" spans="1:12" ht="11.25" customHeight="1">
      <c r="A3812" s="424" t="s">
        <v>5279</v>
      </c>
      <c r="B3812" s="185"/>
      <c r="C3812" s="147"/>
      <c r="D3812" s="129"/>
      <c r="E3812" s="185"/>
      <c r="F3812" s="185"/>
      <c r="G3812" s="185"/>
      <c r="H3812" s="185"/>
      <c r="I3812" s="11"/>
    </row>
    <row r="3813" spans="1:12" ht="11.15" customHeight="1" thickBot="1">
      <c r="A3813" s="185"/>
      <c r="B3813" s="90"/>
      <c r="C3813" s="147"/>
      <c r="D3813" s="161"/>
      <c r="E3813" s="36"/>
      <c r="F3813" s="178"/>
      <c r="G3813" s="496"/>
      <c r="H3813" s="36"/>
      <c r="I3813" s="11"/>
    </row>
    <row r="3814" spans="1:12" ht="11.15" customHeight="1">
      <c r="A3814" s="153" t="s">
        <v>5280</v>
      </c>
      <c r="B3814" s="154" t="s">
        <v>4832</v>
      </c>
      <c r="C3814" s="147"/>
      <c r="D3814" s="161"/>
      <c r="E3814" s="36"/>
      <c r="F3814" s="178"/>
      <c r="G3814" s="496"/>
      <c r="H3814" s="36"/>
      <c r="I3814" s="11"/>
    </row>
    <row r="3815" spans="1:12" ht="11.15" customHeight="1" thickBot="1">
      <c r="A3815" s="230" t="s">
        <v>5281</v>
      </c>
      <c r="B3815" s="59" t="s">
        <v>6176</v>
      </c>
      <c r="C3815" s="147" t="s">
        <v>20221</v>
      </c>
      <c r="D3815" s="284" t="s">
        <v>897</v>
      </c>
      <c r="E3815" s="178">
        <v>2022</v>
      </c>
      <c r="F3815" s="178" t="s">
        <v>4520</v>
      </c>
      <c r="G3815" s="496"/>
      <c r="H3815" s="994" t="s">
        <v>20343</v>
      </c>
      <c r="I3815" s="11" t="s">
        <v>5282</v>
      </c>
      <c r="J3815" s="1285"/>
      <c r="K3815" s="1285"/>
      <c r="L3815" s="1285"/>
    </row>
    <row r="3816" spans="1:12" ht="11.15" customHeight="1">
      <c r="A3816" s="29" t="s">
        <v>5283</v>
      </c>
      <c r="B3816" s="59" t="s">
        <v>6176</v>
      </c>
      <c r="C3816" s="147" t="s">
        <v>20221</v>
      </c>
      <c r="D3816" s="284" t="s">
        <v>897</v>
      </c>
      <c r="E3816" s="178">
        <v>2021</v>
      </c>
      <c r="F3816" s="178" t="s">
        <v>4520</v>
      </c>
      <c r="G3816" s="496"/>
      <c r="H3816" s="994" t="s">
        <v>20221</v>
      </c>
      <c r="I3816" s="11" t="s">
        <v>5284</v>
      </c>
      <c r="J3816" s="1285"/>
      <c r="K3816" s="1285"/>
      <c r="L3816" s="1285"/>
    </row>
    <row r="3817" spans="1:12" ht="11.15" customHeight="1">
      <c r="A3817" s="29" t="s">
        <v>5285</v>
      </c>
      <c r="B3817" s="59" t="s">
        <v>6176</v>
      </c>
      <c r="C3817" s="147" t="s">
        <v>20221</v>
      </c>
      <c r="D3817" s="284" t="s">
        <v>897</v>
      </c>
      <c r="E3817" s="178">
        <v>2020</v>
      </c>
      <c r="F3817" s="178" t="s">
        <v>4520</v>
      </c>
      <c r="G3817" s="496"/>
      <c r="H3817" s="994" t="s">
        <v>20221</v>
      </c>
      <c r="I3817" s="11" t="s">
        <v>5286</v>
      </c>
      <c r="J3817" s="1285"/>
      <c r="K3817" s="1285"/>
      <c r="L3817" s="1285"/>
    </row>
    <row r="3818" spans="1:12" ht="11.15" customHeight="1">
      <c r="A3818" s="29" t="s">
        <v>5287</v>
      </c>
      <c r="B3818" s="59" t="s">
        <v>6176</v>
      </c>
      <c r="C3818" s="147" t="s">
        <v>20221</v>
      </c>
      <c r="D3818" s="284" t="s">
        <v>897</v>
      </c>
      <c r="E3818" s="178">
        <v>2019</v>
      </c>
      <c r="F3818" s="178" t="s">
        <v>4520</v>
      </c>
      <c r="G3818" s="496"/>
      <c r="H3818" s="994" t="s">
        <v>20221</v>
      </c>
      <c r="I3818" s="11" t="s">
        <v>5288</v>
      </c>
      <c r="J3818" s="1285"/>
      <c r="K3818" s="1285"/>
      <c r="L3818" s="1285"/>
    </row>
    <row r="3819" spans="1:12" ht="11.15" customHeight="1">
      <c r="A3819" s="29" t="s">
        <v>5289</v>
      </c>
      <c r="B3819" s="59" t="s">
        <v>6176</v>
      </c>
      <c r="C3819" s="147" t="s">
        <v>20221</v>
      </c>
      <c r="D3819" s="284" t="s">
        <v>897</v>
      </c>
      <c r="E3819" s="178">
        <v>2018</v>
      </c>
      <c r="F3819" s="178" t="s">
        <v>4520</v>
      </c>
      <c r="G3819" s="496"/>
      <c r="H3819" s="994" t="s">
        <v>20221</v>
      </c>
      <c r="I3819" s="11" t="s">
        <v>5290</v>
      </c>
      <c r="J3819" s="1285"/>
      <c r="K3819" s="1285"/>
      <c r="L3819" s="1285"/>
    </row>
    <row r="3820" spans="1:12" ht="11.15" customHeight="1">
      <c r="A3820" s="181" t="s">
        <v>5182</v>
      </c>
      <c r="B3820" s="59" t="s">
        <v>6176</v>
      </c>
      <c r="C3820" s="147" t="s">
        <v>20221</v>
      </c>
      <c r="D3820" s="284" t="s">
        <v>897</v>
      </c>
      <c r="E3820" s="178">
        <v>2017</v>
      </c>
      <c r="F3820" s="178" t="s">
        <v>4520</v>
      </c>
      <c r="G3820" s="496"/>
      <c r="H3820" s="994" t="s">
        <v>20221</v>
      </c>
      <c r="I3820" s="11" t="s">
        <v>5291</v>
      </c>
      <c r="J3820" s="1285"/>
      <c r="K3820" s="1285"/>
      <c r="L3820" s="1285"/>
    </row>
    <row r="3821" spans="1:12" ht="11.15" customHeight="1">
      <c r="A3821" s="29" t="s">
        <v>5292</v>
      </c>
      <c r="B3821" s="154" t="s">
        <v>5293</v>
      </c>
      <c r="C3821" s="147"/>
      <c r="D3821" s="161"/>
      <c r="E3821" s="36"/>
      <c r="F3821" s="178"/>
      <c r="G3821" s="671"/>
      <c r="H3821" s="36"/>
      <c r="I3821" s="11"/>
    </row>
    <row r="3822" spans="1:12" ht="11.15" customHeight="1">
      <c r="A3822" s="129" t="s">
        <v>1308</v>
      </c>
      <c r="B3822" s="59" t="s">
        <v>20741</v>
      </c>
      <c r="C3822" s="147" t="s">
        <v>20221</v>
      </c>
      <c r="D3822" s="284" t="s">
        <v>897</v>
      </c>
      <c r="E3822" s="178">
        <v>2022</v>
      </c>
      <c r="F3822" s="178" t="s">
        <v>4520</v>
      </c>
      <c r="G3822" s="496"/>
      <c r="H3822" s="994" t="s">
        <v>20343</v>
      </c>
      <c r="I3822" s="11" t="s">
        <v>5294</v>
      </c>
      <c r="J3822" s="1285"/>
      <c r="K3822" s="1285"/>
      <c r="L3822" s="1285"/>
    </row>
    <row r="3823" spans="1:12" ht="11.15" customHeight="1">
      <c r="A3823" s="162" t="s">
        <v>5295</v>
      </c>
      <c r="B3823" s="59" t="s">
        <v>20741</v>
      </c>
      <c r="C3823" s="147" t="s">
        <v>20221</v>
      </c>
      <c r="D3823" s="284" t="s">
        <v>897</v>
      </c>
      <c r="E3823" s="178">
        <v>2021</v>
      </c>
      <c r="F3823" s="178" t="s">
        <v>4520</v>
      </c>
      <c r="G3823" s="496"/>
      <c r="H3823" s="994" t="s">
        <v>20221</v>
      </c>
      <c r="I3823" s="11" t="s">
        <v>5296</v>
      </c>
      <c r="J3823" s="1285"/>
      <c r="K3823" s="1285"/>
      <c r="L3823" s="1285"/>
    </row>
    <row r="3824" spans="1:12" ht="11.15" customHeight="1">
      <c r="A3824" s="162" t="s">
        <v>5297</v>
      </c>
      <c r="B3824" s="59" t="s">
        <v>20741</v>
      </c>
      <c r="C3824" s="147" t="s">
        <v>20221</v>
      </c>
      <c r="D3824" s="284" t="s">
        <v>897</v>
      </c>
      <c r="E3824" s="178">
        <v>2020</v>
      </c>
      <c r="F3824" s="178" t="s">
        <v>4520</v>
      </c>
      <c r="G3824" s="496"/>
      <c r="H3824" s="994" t="s">
        <v>20221</v>
      </c>
      <c r="I3824" s="11" t="s">
        <v>5298</v>
      </c>
      <c r="J3824" s="1285"/>
      <c r="K3824" s="1285"/>
      <c r="L3824" s="1285"/>
    </row>
    <row r="3825" spans="1:12" ht="11.15" customHeight="1">
      <c r="A3825" s="162" t="s">
        <v>5299</v>
      </c>
      <c r="B3825" s="59" t="s">
        <v>20741</v>
      </c>
      <c r="C3825" s="147" t="s">
        <v>20221</v>
      </c>
      <c r="D3825" s="284" t="s">
        <v>897</v>
      </c>
      <c r="E3825" s="178">
        <v>2019</v>
      </c>
      <c r="F3825" s="178" t="s">
        <v>4520</v>
      </c>
      <c r="G3825" s="496"/>
      <c r="H3825" s="994" t="s">
        <v>20221</v>
      </c>
      <c r="I3825" s="11" t="s">
        <v>5300</v>
      </c>
      <c r="J3825" s="1285"/>
      <c r="K3825" s="1285"/>
      <c r="L3825" s="1285"/>
    </row>
    <row r="3826" spans="1:12" ht="11.15" customHeight="1">
      <c r="A3826" s="162" t="s">
        <v>5301</v>
      </c>
      <c r="B3826" s="59" t="s">
        <v>20741</v>
      </c>
      <c r="C3826" s="147" t="s">
        <v>20221</v>
      </c>
      <c r="D3826" s="284" t="s">
        <v>897</v>
      </c>
      <c r="E3826" s="178">
        <v>2018</v>
      </c>
      <c r="F3826" s="178" t="s">
        <v>4520</v>
      </c>
      <c r="G3826" s="496"/>
      <c r="H3826" s="994" t="s">
        <v>20221</v>
      </c>
      <c r="I3826" s="11" t="s">
        <v>5302</v>
      </c>
      <c r="J3826" s="1285"/>
      <c r="K3826" s="1285"/>
      <c r="L3826" s="1285"/>
    </row>
    <row r="3827" spans="1:12" ht="11.15" customHeight="1">
      <c r="A3827" s="162" t="s">
        <v>5303</v>
      </c>
      <c r="B3827" s="59" t="s">
        <v>20741</v>
      </c>
      <c r="C3827" s="147" t="s">
        <v>20221</v>
      </c>
      <c r="D3827" s="284" t="s">
        <v>897</v>
      </c>
      <c r="E3827" s="178">
        <v>2017</v>
      </c>
      <c r="F3827" s="178" t="s">
        <v>4520</v>
      </c>
      <c r="G3827" s="496"/>
      <c r="H3827" s="994" t="s">
        <v>20221</v>
      </c>
      <c r="I3827" s="11" t="s">
        <v>5304</v>
      </c>
      <c r="J3827" s="1285"/>
      <c r="K3827" s="1285"/>
      <c r="L3827" s="1285"/>
    </row>
    <row r="3828" spans="1:12" ht="11.15" customHeight="1">
      <c r="A3828" s="162" t="s">
        <v>5305</v>
      </c>
      <c r="B3828" s="59" t="s">
        <v>20741</v>
      </c>
      <c r="C3828" s="147" t="s">
        <v>20221</v>
      </c>
      <c r="D3828" s="284" t="s">
        <v>897</v>
      </c>
      <c r="E3828" s="178">
        <v>2016</v>
      </c>
      <c r="F3828" s="178" t="s">
        <v>4520</v>
      </c>
      <c r="G3828" s="496"/>
      <c r="H3828" s="994" t="s">
        <v>20221</v>
      </c>
      <c r="I3828" s="11" t="s">
        <v>5306</v>
      </c>
      <c r="J3828" s="1285"/>
      <c r="K3828" s="1285"/>
      <c r="L3828" s="1285"/>
    </row>
    <row r="3829" spans="1:12" ht="11.15" customHeight="1">
      <c r="A3829" s="162" t="s">
        <v>5307</v>
      </c>
      <c r="B3829" s="59" t="s">
        <v>20741</v>
      </c>
      <c r="C3829" s="147" t="s">
        <v>20221</v>
      </c>
      <c r="D3829" s="284" t="s">
        <v>897</v>
      </c>
      <c r="E3829" s="178">
        <v>2015</v>
      </c>
      <c r="F3829" s="178" t="s">
        <v>23395</v>
      </c>
      <c r="G3829" s="496"/>
      <c r="H3829" s="994" t="s">
        <v>20221</v>
      </c>
      <c r="I3829" s="11" t="s">
        <v>5308</v>
      </c>
      <c r="J3829" s="1285"/>
      <c r="K3829" s="1285"/>
      <c r="L3829" s="1285"/>
    </row>
    <row r="3830" spans="1:12" ht="11.15" customHeight="1">
      <c r="A3830" s="162" t="s">
        <v>5309</v>
      </c>
      <c r="B3830" s="59" t="s">
        <v>20741</v>
      </c>
      <c r="C3830" s="147" t="s">
        <v>20221</v>
      </c>
      <c r="D3830" s="284" t="s">
        <v>897</v>
      </c>
      <c r="E3830" s="178">
        <v>2014</v>
      </c>
      <c r="F3830" s="178" t="s">
        <v>4520</v>
      </c>
      <c r="G3830" s="496"/>
      <c r="H3830" s="994" t="s">
        <v>20224</v>
      </c>
      <c r="I3830" s="11" t="s">
        <v>5310</v>
      </c>
      <c r="J3830" s="1285"/>
      <c r="K3830" s="1285"/>
      <c r="L3830" s="1285"/>
    </row>
    <row r="3831" spans="1:12" ht="11.15" customHeight="1">
      <c r="A3831" s="162" t="s">
        <v>5311</v>
      </c>
      <c r="B3831" s="59" t="s">
        <v>20741</v>
      </c>
      <c r="C3831" s="147" t="s">
        <v>20221</v>
      </c>
      <c r="D3831" s="284" t="s">
        <v>897</v>
      </c>
      <c r="E3831" s="178">
        <v>2013</v>
      </c>
      <c r="F3831" s="178" t="s">
        <v>4520</v>
      </c>
      <c r="G3831" s="496"/>
      <c r="H3831" s="994" t="s">
        <v>20221</v>
      </c>
      <c r="I3831" s="11" t="s">
        <v>5312</v>
      </c>
      <c r="J3831" s="1285"/>
      <c r="K3831" s="1285"/>
      <c r="L3831" s="1285"/>
    </row>
    <row r="3832" spans="1:12" ht="11.15" customHeight="1">
      <c r="A3832" s="162" t="s">
        <v>5313</v>
      </c>
      <c r="B3832" s="59" t="s">
        <v>20867</v>
      </c>
      <c r="C3832" s="147" t="s">
        <v>20221</v>
      </c>
      <c r="D3832" s="284" t="s">
        <v>897</v>
      </c>
      <c r="E3832" s="178">
        <v>2021</v>
      </c>
      <c r="F3832" s="178" t="s">
        <v>4520</v>
      </c>
      <c r="G3832" s="496"/>
      <c r="H3832" s="994" t="s">
        <v>20221</v>
      </c>
      <c r="I3832" s="11" t="s">
        <v>5314</v>
      </c>
      <c r="J3832" s="1285"/>
      <c r="K3832" s="1285"/>
      <c r="L3832" s="1285"/>
    </row>
    <row r="3833" spans="1:12" ht="11.15" customHeight="1">
      <c r="A3833" s="129" t="s">
        <v>5315</v>
      </c>
      <c r="B3833" s="59" t="s">
        <v>20867</v>
      </c>
      <c r="C3833" s="147" t="s">
        <v>20221</v>
      </c>
      <c r="D3833" s="284" t="s">
        <v>897</v>
      </c>
      <c r="E3833" s="178">
        <v>2020</v>
      </c>
      <c r="F3833" s="178" t="s">
        <v>4520</v>
      </c>
      <c r="G3833" s="496"/>
      <c r="H3833" s="994" t="s">
        <v>20221</v>
      </c>
      <c r="I3833" s="11" t="s">
        <v>5316</v>
      </c>
      <c r="J3833" s="1285"/>
      <c r="K3833" s="1285"/>
      <c r="L3833" s="1285"/>
    </row>
    <row r="3834" spans="1:12" ht="11.15" customHeight="1">
      <c r="A3834" s="162" t="s">
        <v>5317</v>
      </c>
      <c r="B3834" s="59" t="s">
        <v>20867</v>
      </c>
      <c r="C3834" s="147" t="s">
        <v>20221</v>
      </c>
      <c r="D3834" s="284" t="s">
        <v>897</v>
      </c>
      <c r="E3834" s="178">
        <v>2018</v>
      </c>
      <c r="F3834" s="178" t="s">
        <v>4520</v>
      </c>
      <c r="G3834" s="496"/>
      <c r="H3834" s="994" t="s">
        <v>20221</v>
      </c>
      <c r="I3834" s="11" t="s">
        <v>5318</v>
      </c>
      <c r="J3834" s="1285"/>
      <c r="K3834" s="1285"/>
      <c r="L3834" s="1285"/>
    </row>
    <row r="3835" spans="1:12" ht="11.15" customHeight="1">
      <c r="A3835" s="162" t="s">
        <v>5319</v>
      </c>
      <c r="B3835" s="59" t="s">
        <v>20867</v>
      </c>
      <c r="C3835" s="147" t="s">
        <v>20221</v>
      </c>
      <c r="D3835" s="284" t="s">
        <v>897</v>
      </c>
      <c r="E3835" s="178">
        <v>2017</v>
      </c>
      <c r="F3835" s="178" t="s">
        <v>4520</v>
      </c>
      <c r="G3835" s="496"/>
      <c r="H3835" s="994" t="s">
        <v>20221</v>
      </c>
      <c r="I3835" s="11" t="s">
        <v>5320</v>
      </c>
      <c r="J3835" s="1285"/>
      <c r="K3835" s="1285"/>
      <c r="L3835" s="1285"/>
    </row>
    <row r="3836" spans="1:12" ht="11.15" customHeight="1">
      <c r="A3836" s="162" t="s">
        <v>5321</v>
      </c>
      <c r="B3836" s="59" t="s">
        <v>20867</v>
      </c>
      <c r="C3836" s="147" t="s">
        <v>20221</v>
      </c>
      <c r="D3836" s="284" t="s">
        <v>897</v>
      </c>
      <c r="E3836" s="178">
        <v>2015</v>
      </c>
      <c r="F3836" s="178" t="s">
        <v>23395</v>
      </c>
      <c r="G3836" s="496"/>
      <c r="H3836" s="994" t="s">
        <v>20221</v>
      </c>
      <c r="I3836" s="11" t="s">
        <v>5322</v>
      </c>
      <c r="J3836" s="1285"/>
      <c r="K3836" s="1285"/>
      <c r="L3836" s="1285"/>
    </row>
    <row r="3837" spans="1:12" ht="11.15" customHeight="1">
      <c r="A3837" s="162" t="s">
        <v>5323</v>
      </c>
      <c r="B3837" s="59" t="s">
        <v>20867</v>
      </c>
      <c r="C3837" s="147" t="s">
        <v>20221</v>
      </c>
      <c r="D3837" s="284" t="s">
        <v>897</v>
      </c>
      <c r="E3837" s="178">
        <v>2014</v>
      </c>
      <c r="F3837" s="178" t="s">
        <v>4520</v>
      </c>
      <c r="G3837" s="496"/>
      <c r="H3837" s="994" t="s">
        <v>20221</v>
      </c>
      <c r="I3837" s="11" t="s">
        <v>5324</v>
      </c>
      <c r="J3837" s="1285"/>
      <c r="K3837" s="1285"/>
      <c r="L3837" s="1285"/>
    </row>
    <row r="3838" spans="1:12" ht="11.15" customHeight="1">
      <c r="A3838" s="162" t="s">
        <v>5325</v>
      </c>
      <c r="B3838" s="59" t="s">
        <v>20867</v>
      </c>
      <c r="C3838" s="147" t="s">
        <v>20221</v>
      </c>
      <c r="D3838" s="284" t="s">
        <v>897</v>
      </c>
      <c r="E3838" s="178">
        <v>2012</v>
      </c>
      <c r="F3838" s="178" t="s">
        <v>4520</v>
      </c>
      <c r="G3838" s="496"/>
      <c r="H3838" s="994" t="s">
        <v>20221</v>
      </c>
      <c r="I3838" s="11" t="s">
        <v>5326</v>
      </c>
      <c r="J3838" s="1285"/>
      <c r="K3838" s="1285"/>
      <c r="L3838" s="1285"/>
    </row>
    <row r="3839" spans="1:12" ht="11.15" customHeight="1">
      <c r="A3839" s="162" t="s">
        <v>5327</v>
      </c>
      <c r="B3839" s="177" t="s">
        <v>5328</v>
      </c>
      <c r="C3839" s="147"/>
      <c r="D3839" s="161"/>
      <c r="E3839" s="36"/>
      <c r="F3839" s="178"/>
      <c r="G3839" s="671"/>
      <c r="H3839" s="36"/>
      <c r="I3839" s="11"/>
    </row>
    <row r="3840" spans="1:12" ht="11.15" customHeight="1">
      <c r="A3840" s="162" t="s">
        <v>5329</v>
      </c>
      <c r="B3840" s="59" t="s">
        <v>20868</v>
      </c>
      <c r="C3840" s="147" t="s">
        <v>20221</v>
      </c>
      <c r="D3840" s="284" t="s">
        <v>897</v>
      </c>
      <c r="E3840" s="178">
        <v>2022</v>
      </c>
      <c r="F3840" s="178" t="s">
        <v>4520</v>
      </c>
      <c r="G3840" s="496"/>
      <c r="H3840" s="994" t="s">
        <v>20343</v>
      </c>
      <c r="I3840" s="11" t="s">
        <v>5330</v>
      </c>
      <c r="J3840" s="1285"/>
      <c r="K3840" s="1285"/>
      <c r="L3840" s="1285"/>
    </row>
    <row r="3841" spans="1:12" ht="11.15" customHeight="1">
      <c r="A3841" s="162" t="s">
        <v>5331</v>
      </c>
      <c r="B3841" s="59" t="s">
        <v>20868</v>
      </c>
      <c r="C3841" s="147" t="s">
        <v>20221</v>
      </c>
      <c r="D3841" s="284" t="s">
        <v>897</v>
      </c>
      <c r="E3841" s="178">
        <v>2021</v>
      </c>
      <c r="F3841" s="178" t="s">
        <v>4520</v>
      </c>
      <c r="G3841" s="496"/>
      <c r="H3841" s="994" t="s">
        <v>20221</v>
      </c>
      <c r="I3841" s="11" t="s">
        <v>5332</v>
      </c>
      <c r="J3841" s="1285"/>
      <c r="K3841" s="1285"/>
      <c r="L3841" s="1285"/>
    </row>
    <row r="3842" spans="1:12" ht="11.15" customHeight="1">
      <c r="A3842" s="162" t="s">
        <v>5333</v>
      </c>
      <c r="B3842" s="59" t="s">
        <v>20868</v>
      </c>
      <c r="C3842" s="147" t="s">
        <v>20221</v>
      </c>
      <c r="D3842" s="284" t="s">
        <v>897</v>
      </c>
      <c r="E3842" s="178">
        <v>2020</v>
      </c>
      <c r="F3842" s="178" t="s">
        <v>4520</v>
      </c>
      <c r="G3842" s="496"/>
      <c r="H3842" s="994" t="s">
        <v>20221</v>
      </c>
      <c r="I3842" s="11" t="s">
        <v>5334</v>
      </c>
      <c r="J3842" s="1285"/>
      <c r="K3842" s="1285"/>
      <c r="L3842" s="1285"/>
    </row>
    <row r="3843" spans="1:12" ht="11.15" customHeight="1">
      <c r="A3843" s="162" t="s">
        <v>5335</v>
      </c>
      <c r="B3843" s="59" t="s">
        <v>20868</v>
      </c>
      <c r="C3843" s="147" t="s">
        <v>20221</v>
      </c>
      <c r="D3843" s="284" t="s">
        <v>897</v>
      </c>
      <c r="E3843" s="178">
        <v>2019</v>
      </c>
      <c r="F3843" s="178" t="s">
        <v>4520</v>
      </c>
      <c r="G3843" s="496"/>
      <c r="H3843" s="994" t="s">
        <v>20221</v>
      </c>
      <c r="I3843" s="11" t="s">
        <v>5336</v>
      </c>
      <c r="J3843" s="1285"/>
      <c r="K3843" s="1285"/>
      <c r="L3843" s="1285"/>
    </row>
    <row r="3844" spans="1:12" ht="11.15" customHeight="1">
      <c r="A3844" s="162" t="s">
        <v>5337</v>
      </c>
      <c r="B3844" s="59" t="s">
        <v>20868</v>
      </c>
      <c r="C3844" s="147" t="s">
        <v>20221</v>
      </c>
      <c r="D3844" s="284" t="s">
        <v>897</v>
      </c>
      <c r="E3844" s="178">
        <v>2018</v>
      </c>
      <c r="F3844" s="178" t="s">
        <v>4520</v>
      </c>
      <c r="G3844" s="496"/>
      <c r="H3844" s="994" t="s">
        <v>20221</v>
      </c>
      <c r="I3844" s="11" t="s">
        <v>5338</v>
      </c>
      <c r="J3844" s="1285"/>
      <c r="K3844" s="1285"/>
      <c r="L3844" s="1285"/>
    </row>
    <row r="3845" spans="1:12" ht="11.15" customHeight="1">
      <c r="A3845" s="162" t="s">
        <v>5339</v>
      </c>
      <c r="B3845" s="59" t="s">
        <v>20868</v>
      </c>
      <c r="C3845" s="147" t="s">
        <v>20221</v>
      </c>
      <c r="D3845" s="284" t="s">
        <v>897</v>
      </c>
      <c r="E3845" s="178">
        <v>2017</v>
      </c>
      <c r="F3845" s="178" t="s">
        <v>4520</v>
      </c>
      <c r="G3845" s="496"/>
      <c r="H3845" s="994" t="s">
        <v>20221</v>
      </c>
      <c r="I3845" s="11" t="s">
        <v>5340</v>
      </c>
      <c r="J3845" s="1285"/>
      <c r="K3845" s="1285"/>
      <c r="L3845" s="1285"/>
    </row>
    <row r="3846" spans="1:12" ht="11.15" customHeight="1">
      <c r="A3846" s="162" t="s">
        <v>5341</v>
      </c>
      <c r="B3846" s="59" t="s">
        <v>20868</v>
      </c>
      <c r="C3846" s="147" t="s">
        <v>20221</v>
      </c>
      <c r="D3846" s="284" t="s">
        <v>897</v>
      </c>
      <c r="E3846" s="178">
        <v>2016</v>
      </c>
      <c r="F3846" s="178" t="s">
        <v>4520</v>
      </c>
      <c r="G3846" s="496"/>
      <c r="H3846" s="994" t="s">
        <v>20221</v>
      </c>
      <c r="I3846" s="11" t="s">
        <v>5342</v>
      </c>
      <c r="J3846" s="1285"/>
      <c r="K3846" s="1285"/>
      <c r="L3846" s="1285"/>
    </row>
    <row r="3847" spans="1:12" ht="11.15" customHeight="1">
      <c r="A3847" s="162" t="s">
        <v>5343</v>
      </c>
      <c r="B3847" s="59" t="s">
        <v>20868</v>
      </c>
      <c r="C3847" s="147" t="s">
        <v>20221</v>
      </c>
      <c r="D3847" s="284" t="s">
        <v>897</v>
      </c>
      <c r="E3847" s="178">
        <v>2015</v>
      </c>
      <c r="F3847" s="178" t="s">
        <v>23395</v>
      </c>
      <c r="G3847" s="496"/>
      <c r="H3847" s="994" t="s">
        <v>20221</v>
      </c>
      <c r="I3847" s="11" t="s">
        <v>5344</v>
      </c>
      <c r="J3847" s="1285"/>
      <c r="K3847" s="1285"/>
      <c r="L3847" s="1285"/>
    </row>
    <row r="3848" spans="1:12" ht="11.15" customHeight="1">
      <c r="A3848" s="428" t="s">
        <v>5345</v>
      </c>
      <c r="B3848" s="59" t="s">
        <v>20868</v>
      </c>
      <c r="C3848" s="147" t="s">
        <v>20221</v>
      </c>
      <c r="D3848" s="284" t="s">
        <v>897</v>
      </c>
      <c r="E3848" s="178">
        <v>2014</v>
      </c>
      <c r="F3848" s="178" t="s">
        <v>4520</v>
      </c>
      <c r="G3848" s="496"/>
      <c r="H3848" s="994" t="s">
        <v>20221</v>
      </c>
      <c r="I3848" s="11" t="s">
        <v>5346</v>
      </c>
      <c r="J3848" s="1285"/>
      <c r="K3848" s="1285"/>
      <c r="L3848" s="1285"/>
    </row>
    <row r="3849" spans="1:12" ht="11.15" customHeight="1">
      <c r="A3849" s="166" t="s">
        <v>5347</v>
      </c>
      <c r="B3849" s="59" t="s">
        <v>20868</v>
      </c>
      <c r="C3849" s="147" t="s">
        <v>20221</v>
      </c>
      <c r="D3849" s="284" t="s">
        <v>897</v>
      </c>
      <c r="E3849" s="178">
        <v>2013</v>
      </c>
      <c r="F3849" s="178" t="s">
        <v>4520</v>
      </c>
      <c r="G3849" s="496"/>
      <c r="H3849" s="994" t="s">
        <v>20221</v>
      </c>
      <c r="I3849" s="11" t="s">
        <v>5348</v>
      </c>
      <c r="J3849" s="1285"/>
      <c r="K3849" s="1285"/>
      <c r="L3849" s="1285"/>
    </row>
    <row r="3850" spans="1:12" ht="11.15" customHeight="1">
      <c r="A3850" s="169" t="s">
        <v>5349</v>
      </c>
      <c r="B3850" s="59" t="s">
        <v>20868</v>
      </c>
      <c r="C3850" s="147" t="s">
        <v>20221</v>
      </c>
      <c r="D3850" s="284" t="s">
        <v>897</v>
      </c>
      <c r="E3850" s="178">
        <v>2012</v>
      </c>
      <c r="F3850" s="178" t="s">
        <v>4520</v>
      </c>
      <c r="G3850" s="496"/>
      <c r="H3850" s="994" t="s">
        <v>20221</v>
      </c>
      <c r="I3850" s="11" t="s">
        <v>5350</v>
      </c>
      <c r="J3850" s="1285"/>
      <c r="K3850" s="1285"/>
      <c r="L3850" s="1285"/>
    </row>
    <row r="3851" spans="1:12" ht="11.15" customHeight="1">
      <c r="A3851" s="424" t="s">
        <v>5351</v>
      </c>
      <c r="B3851" s="59" t="s">
        <v>20869</v>
      </c>
      <c r="C3851" s="147" t="s">
        <v>20221</v>
      </c>
      <c r="D3851" s="284" t="s">
        <v>897</v>
      </c>
      <c r="E3851" s="178">
        <v>2015</v>
      </c>
      <c r="F3851" s="178" t="s">
        <v>23395</v>
      </c>
      <c r="G3851" s="496"/>
      <c r="H3851" s="994" t="s">
        <v>20221</v>
      </c>
      <c r="I3851" s="11" t="s">
        <v>5352</v>
      </c>
      <c r="J3851" s="1285"/>
      <c r="K3851" s="1285"/>
      <c r="L3851" s="1285"/>
    </row>
    <row r="3852" spans="1:12" ht="11.15" customHeight="1">
      <c r="A3852" s="29"/>
      <c r="B3852" s="59" t="s">
        <v>20870</v>
      </c>
      <c r="C3852" s="147" t="s">
        <v>20221</v>
      </c>
      <c r="D3852" s="284" t="s">
        <v>897</v>
      </c>
      <c r="E3852" s="178">
        <v>2022</v>
      </c>
      <c r="F3852" s="178" t="s">
        <v>4520</v>
      </c>
      <c r="G3852" s="496"/>
      <c r="H3852" s="994" t="s">
        <v>20343</v>
      </c>
      <c r="I3852" s="11" t="s">
        <v>5353</v>
      </c>
      <c r="J3852" s="1285"/>
      <c r="K3852" s="1285"/>
      <c r="L3852" s="1285"/>
    </row>
    <row r="3853" spans="1:12" ht="11.15" customHeight="1">
      <c r="A3853" s="185"/>
      <c r="B3853" s="59" t="s">
        <v>20870</v>
      </c>
      <c r="C3853" s="147" t="s">
        <v>20221</v>
      </c>
      <c r="D3853" s="284" t="s">
        <v>897</v>
      </c>
      <c r="E3853" s="178">
        <v>2021</v>
      </c>
      <c r="F3853" s="178" t="s">
        <v>4520</v>
      </c>
      <c r="G3853" s="496"/>
      <c r="H3853" s="994" t="s">
        <v>20221</v>
      </c>
      <c r="I3853" s="11" t="s">
        <v>5354</v>
      </c>
      <c r="J3853" s="1285"/>
      <c r="K3853" s="1285"/>
      <c r="L3853" s="1285"/>
    </row>
    <row r="3854" spans="1:12" ht="11.15" customHeight="1">
      <c r="A3854" s="185"/>
      <c r="B3854" s="59" t="s">
        <v>20870</v>
      </c>
      <c r="C3854" s="147" t="s">
        <v>20221</v>
      </c>
      <c r="D3854" s="284" t="s">
        <v>897</v>
      </c>
      <c r="E3854" s="178">
        <v>2020</v>
      </c>
      <c r="F3854" s="178" t="s">
        <v>4520</v>
      </c>
      <c r="G3854" s="496"/>
      <c r="H3854" s="994" t="s">
        <v>20221</v>
      </c>
      <c r="I3854" s="11" t="s">
        <v>5355</v>
      </c>
      <c r="J3854" s="1285"/>
      <c r="K3854" s="1285"/>
      <c r="L3854" s="1285"/>
    </row>
    <row r="3855" spans="1:12" ht="11.15" customHeight="1">
      <c r="A3855" s="185"/>
      <c r="B3855" s="59" t="s">
        <v>20870</v>
      </c>
      <c r="C3855" s="147" t="s">
        <v>20221</v>
      </c>
      <c r="D3855" s="284" t="s">
        <v>897</v>
      </c>
      <c r="E3855" s="178">
        <v>2019</v>
      </c>
      <c r="F3855" s="178" t="s">
        <v>4520</v>
      </c>
      <c r="G3855" s="496"/>
      <c r="H3855" s="994" t="s">
        <v>20221</v>
      </c>
      <c r="I3855" s="11" t="s">
        <v>5356</v>
      </c>
      <c r="J3855" s="1285"/>
      <c r="K3855" s="1285"/>
      <c r="L3855" s="1285"/>
    </row>
    <row r="3856" spans="1:12" ht="11.15" customHeight="1">
      <c r="A3856" s="185"/>
      <c r="B3856" s="59" t="s">
        <v>20870</v>
      </c>
      <c r="C3856" s="147" t="s">
        <v>20221</v>
      </c>
      <c r="D3856" s="284" t="s">
        <v>897</v>
      </c>
      <c r="E3856" s="178">
        <v>2018</v>
      </c>
      <c r="F3856" s="178" t="s">
        <v>4520</v>
      </c>
      <c r="G3856" s="496"/>
      <c r="H3856" s="994" t="s">
        <v>20221</v>
      </c>
      <c r="I3856" s="11" t="s">
        <v>5357</v>
      </c>
      <c r="J3856" s="1285"/>
      <c r="K3856" s="1285"/>
      <c r="L3856" s="1285"/>
    </row>
    <row r="3857" spans="1:12" ht="11.15" customHeight="1">
      <c r="A3857" s="185"/>
      <c r="B3857" s="59" t="s">
        <v>20870</v>
      </c>
      <c r="C3857" s="147" t="s">
        <v>20221</v>
      </c>
      <c r="D3857" s="284" t="s">
        <v>897</v>
      </c>
      <c r="E3857" s="178">
        <v>2017</v>
      </c>
      <c r="F3857" s="178" t="s">
        <v>4520</v>
      </c>
      <c r="G3857" s="496"/>
      <c r="H3857" s="994" t="s">
        <v>20221</v>
      </c>
      <c r="I3857" s="11" t="s">
        <v>5358</v>
      </c>
      <c r="J3857" s="1285"/>
      <c r="K3857" s="1285"/>
      <c r="L3857" s="1285"/>
    </row>
    <row r="3858" spans="1:12" ht="11.15" customHeight="1">
      <c r="A3858" s="185"/>
      <c r="B3858" s="59" t="s">
        <v>20870</v>
      </c>
      <c r="C3858" s="147" t="s">
        <v>20221</v>
      </c>
      <c r="D3858" s="284" t="s">
        <v>897</v>
      </c>
      <c r="E3858" s="178">
        <v>2016</v>
      </c>
      <c r="F3858" s="178" t="s">
        <v>4520</v>
      </c>
      <c r="G3858" s="496"/>
      <c r="H3858" s="994" t="s">
        <v>20221</v>
      </c>
      <c r="I3858" s="11" t="s">
        <v>5359</v>
      </c>
      <c r="J3858" s="1285"/>
      <c r="K3858" s="1285"/>
      <c r="L3858" s="1285"/>
    </row>
    <row r="3859" spans="1:12" ht="11.15" customHeight="1">
      <c r="A3859" s="185"/>
      <c r="B3859" s="59" t="s">
        <v>20870</v>
      </c>
      <c r="C3859" s="147" t="s">
        <v>20221</v>
      </c>
      <c r="D3859" s="284" t="s">
        <v>897</v>
      </c>
      <c r="E3859" s="178">
        <v>2014</v>
      </c>
      <c r="F3859" s="178" t="s">
        <v>4520</v>
      </c>
      <c r="G3859" s="496"/>
      <c r="H3859" s="994" t="s">
        <v>20221</v>
      </c>
      <c r="I3859" s="11" t="s">
        <v>5360</v>
      </c>
      <c r="J3859" s="1285"/>
      <c r="K3859" s="1285"/>
      <c r="L3859" s="1285"/>
    </row>
    <row r="3860" spans="1:12" ht="11.15" customHeight="1">
      <c r="A3860" s="185"/>
      <c r="B3860" s="59" t="s">
        <v>20870</v>
      </c>
      <c r="C3860" s="147" t="s">
        <v>20221</v>
      </c>
      <c r="D3860" s="284" t="s">
        <v>897</v>
      </c>
      <c r="E3860" s="178">
        <v>2013</v>
      </c>
      <c r="F3860" s="178" t="s">
        <v>4520</v>
      </c>
      <c r="G3860" s="496"/>
      <c r="H3860" s="994" t="s">
        <v>20221</v>
      </c>
      <c r="I3860" s="11" t="s">
        <v>5361</v>
      </c>
      <c r="J3860" s="1285"/>
      <c r="K3860" s="1285"/>
      <c r="L3860" s="1285"/>
    </row>
    <row r="3861" spans="1:12" ht="11.15" customHeight="1">
      <c r="A3861" s="185"/>
      <c r="B3861" s="154" t="s">
        <v>5362</v>
      </c>
      <c r="C3861" s="147"/>
      <c r="D3861" s="161"/>
      <c r="E3861" s="36"/>
      <c r="F3861" s="178"/>
      <c r="G3861" s="671"/>
      <c r="H3861" s="36"/>
      <c r="I3861" s="11"/>
    </row>
    <row r="3862" spans="1:12" ht="11.15" customHeight="1">
      <c r="A3862" s="185"/>
      <c r="B3862" s="59" t="s">
        <v>20871</v>
      </c>
      <c r="C3862" s="147" t="s">
        <v>20221</v>
      </c>
      <c r="D3862" s="284" t="s">
        <v>897</v>
      </c>
      <c r="E3862" s="178">
        <v>2022</v>
      </c>
      <c r="F3862" s="178" t="s">
        <v>4520</v>
      </c>
      <c r="G3862" s="496"/>
      <c r="H3862" s="994" t="s">
        <v>20343</v>
      </c>
      <c r="I3862" s="11" t="s">
        <v>5363</v>
      </c>
      <c r="J3862" s="1285"/>
      <c r="K3862" s="1285"/>
      <c r="L3862" s="1285"/>
    </row>
    <row r="3863" spans="1:12" ht="11.15" customHeight="1">
      <c r="A3863" s="185"/>
      <c r="B3863" s="59" t="s">
        <v>20871</v>
      </c>
      <c r="C3863" s="147" t="s">
        <v>20221</v>
      </c>
      <c r="D3863" s="284" t="s">
        <v>897</v>
      </c>
      <c r="E3863" s="178">
        <v>2021</v>
      </c>
      <c r="F3863" s="178" t="s">
        <v>4520</v>
      </c>
      <c r="G3863" s="496"/>
      <c r="H3863" s="994" t="s">
        <v>20221</v>
      </c>
      <c r="I3863" s="11" t="s">
        <v>5364</v>
      </c>
      <c r="J3863" s="1285"/>
      <c r="K3863" s="1285"/>
      <c r="L3863" s="1285"/>
    </row>
    <row r="3864" spans="1:12" ht="11.15" customHeight="1">
      <c r="A3864" s="185"/>
      <c r="B3864" s="59" t="s">
        <v>20871</v>
      </c>
      <c r="C3864" s="147" t="s">
        <v>20221</v>
      </c>
      <c r="D3864" s="284" t="s">
        <v>897</v>
      </c>
      <c r="E3864" s="178">
        <v>2020</v>
      </c>
      <c r="F3864" s="178" t="s">
        <v>4520</v>
      </c>
      <c r="G3864" s="496"/>
      <c r="H3864" s="994" t="s">
        <v>20221</v>
      </c>
      <c r="I3864" s="11" t="s">
        <v>5365</v>
      </c>
      <c r="J3864" s="1285"/>
      <c r="K3864" s="1285"/>
      <c r="L3864" s="1285"/>
    </row>
    <row r="3865" spans="1:12" ht="11.15" customHeight="1">
      <c r="A3865" s="185"/>
      <c r="B3865" s="59" t="s">
        <v>20871</v>
      </c>
      <c r="C3865" s="147" t="s">
        <v>20221</v>
      </c>
      <c r="D3865" s="284" t="s">
        <v>897</v>
      </c>
      <c r="E3865" s="178">
        <v>2019</v>
      </c>
      <c r="F3865" s="178" t="s">
        <v>4520</v>
      </c>
      <c r="G3865" s="496"/>
      <c r="H3865" s="994" t="s">
        <v>20221</v>
      </c>
      <c r="I3865" s="11" t="s">
        <v>5366</v>
      </c>
      <c r="J3865" s="1285"/>
      <c r="K3865" s="1285"/>
      <c r="L3865" s="1285"/>
    </row>
    <row r="3866" spans="1:12" ht="11.15" customHeight="1">
      <c r="A3866" s="185"/>
      <c r="B3866" s="59" t="s">
        <v>20871</v>
      </c>
      <c r="C3866" s="147" t="s">
        <v>20221</v>
      </c>
      <c r="D3866" s="284" t="s">
        <v>897</v>
      </c>
      <c r="E3866" s="178">
        <v>2018</v>
      </c>
      <c r="F3866" s="178" t="s">
        <v>4520</v>
      </c>
      <c r="G3866" s="496"/>
      <c r="H3866" s="994" t="s">
        <v>20221</v>
      </c>
      <c r="I3866" s="11" t="s">
        <v>5367</v>
      </c>
      <c r="J3866" s="1285"/>
      <c r="K3866" s="1285"/>
      <c r="L3866" s="1285"/>
    </row>
    <row r="3867" spans="1:12" ht="11.15" customHeight="1">
      <c r="A3867" s="185"/>
      <c r="B3867" s="59" t="s">
        <v>20871</v>
      </c>
      <c r="C3867" s="147" t="s">
        <v>20221</v>
      </c>
      <c r="D3867" s="284" t="s">
        <v>897</v>
      </c>
      <c r="E3867" s="178">
        <v>2017</v>
      </c>
      <c r="F3867" s="178" t="s">
        <v>4520</v>
      </c>
      <c r="G3867" s="496"/>
      <c r="H3867" s="994" t="s">
        <v>20221</v>
      </c>
      <c r="I3867" s="11" t="s">
        <v>5368</v>
      </c>
      <c r="J3867" s="1285"/>
      <c r="K3867" s="1285"/>
      <c r="L3867" s="1285"/>
    </row>
    <row r="3868" spans="1:12" ht="11.15" customHeight="1">
      <c r="A3868" s="185"/>
      <c r="B3868" s="59" t="s">
        <v>20871</v>
      </c>
      <c r="C3868" s="147" t="s">
        <v>20221</v>
      </c>
      <c r="D3868" s="284" t="s">
        <v>897</v>
      </c>
      <c r="E3868" s="178">
        <v>2016</v>
      </c>
      <c r="F3868" s="178" t="s">
        <v>4520</v>
      </c>
      <c r="G3868" s="496"/>
      <c r="H3868" s="994" t="s">
        <v>20221</v>
      </c>
      <c r="I3868" s="11" t="s">
        <v>5369</v>
      </c>
      <c r="J3868" s="1285"/>
      <c r="K3868" s="1285"/>
      <c r="L3868" s="1285"/>
    </row>
    <row r="3869" spans="1:12" ht="11.15" customHeight="1">
      <c r="A3869" s="185"/>
      <c r="B3869" s="59" t="s">
        <v>20871</v>
      </c>
      <c r="C3869" s="147" t="s">
        <v>20221</v>
      </c>
      <c r="D3869" s="284" t="s">
        <v>897</v>
      </c>
      <c r="E3869" s="178">
        <v>2014</v>
      </c>
      <c r="F3869" s="178" t="s">
        <v>4520</v>
      </c>
      <c r="G3869" s="496"/>
      <c r="H3869" s="994" t="s">
        <v>20221</v>
      </c>
      <c r="I3869" s="11" t="s">
        <v>5370</v>
      </c>
      <c r="J3869" s="1285"/>
      <c r="K3869" s="1285"/>
      <c r="L3869" s="1285"/>
    </row>
    <row r="3870" spans="1:12" ht="11.15" customHeight="1">
      <c r="A3870" s="185"/>
      <c r="B3870" s="59" t="s">
        <v>20871</v>
      </c>
      <c r="C3870" s="147" t="s">
        <v>20221</v>
      </c>
      <c r="D3870" s="284" t="s">
        <v>897</v>
      </c>
      <c r="E3870" s="178">
        <v>2013</v>
      </c>
      <c r="F3870" s="178" t="s">
        <v>4520</v>
      </c>
      <c r="G3870" s="496"/>
      <c r="H3870" s="994" t="s">
        <v>20221</v>
      </c>
      <c r="I3870" s="11" t="s">
        <v>5371</v>
      </c>
      <c r="J3870" s="1285"/>
      <c r="K3870" s="1285"/>
      <c r="L3870" s="1285"/>
    </row>
    <row r="3871" spans="1:12" ht="11.15" customHeight="1">
      <c r="A3871" s="185"/>
      <c r="B3871" s="59" t="s">
        <v>20871</v>
      </c>
      <c r="C3871" s="147" t="s">
        <v>20221</v>
      </c>
      <c r="D3871" s="284" t="s">
        <v>897</v>
      </c>
      <c r="E3871" s="178">
        <v>2012</v>
      </c>
      <c r="F3871" s="178" t="s">
        <v>4520</v>
      </c>
      <c r="G3871" s="496"/>
      <c r="H3871" s="994" t="s">
        <v>20224</v>
      </c>
      <c r="I3871" s="11" t="s">
        <v>5372</v>
      </c>
      <c r="J3871" s="1285"/>
      <c r="K3871" s="1285"/>
      <c r="L3871" s="1285"/>
    </row>
    <row r="3872" spans="1:12" ht="11.15" customHeight="1">
      <c r="A3872" s="185"/>
      <c r="B3872" s="177" t="s">
        <v>4329</v>
      </c>
      <c r="C3872" s="147"/>
      <c r="D3872" s="161"/>
      <c r="E3872" s="36"/>
      <c r="F3872" s="178"/>
      <c r="G3872" s="671"/>
      <c r="H3872" s="36"/>
      <c r="I3872" s="11"/>
    </row>
    <row r="3873" spans="1:12" ht="11.15" customHeight="1">
      <c r="A3873" s="185"/>
      <c r="B3873" s="59" t="s">
        <v>20872</v>
      </c>
      <c r="C3873" s="147" t="s">
        <v>20221</v>
      </c>
      <c r="D3873" s="284" t="s">
        <v>897</v>
      </c>
      <c r="E3873" s="178">
        <v>2015</v>
      </c>
      <c r="F3873" s="178" t="s">
        <v>9678</v>
      </c>
      <c r="G3873" s="496"/>
      <c r="H3873" s="994" t="s">
        <v>20224</v>
      </c>
      <c r="I3873" s="11" t="s">
        <v>5373</v>
      </c>
      <c r="J3873" s="1285"/>
      <c r="K3873" s="1285"/>
      <c r="L3873" s="1285"/>
    </row>
    <row r="3874" spans="1:12" ht="11.15" customHeight="1">
      <c r="A3874" s="185"/>
      <c r="B3874" s="59" t="s">
        <v>20749</v>
      </c>
      <c r="C3874" s="147" t="s">
        <v>20221</v>
      </c>
      <c r="D3874" s="284" t="s">
        <v>897</v>
      </c>
      <c r="E3874" s="178">
        <v>2014</v>
      </c>
      <c r="F3874" s="178" t="s">
        <v>9678</v>
      </c>
      <c r="G3874" s="496"/>
      <c r="H3874" s="994" t="s">
        <v>20224</v>
      </c>
      <c r="I3874" s="11" t="s">
        <v>5374</v>
      </c>
      <c r="J3874" s="1285"/>
      <c r="K3874" s="1285"/>
      <c r="L3874" s="1285"/>
    </row>
    <row r="3875" spans="1:12" ht="11.15" customHeight="1">
      <c r="A3875" s="185"/>
      <c r="B3875" s="59" t="s">
        <v>20873</v>
      </c>
      <c r="C3875" s="147" t="s">
        <v>20221</v>
      </c>
      <c r="D3875" s="284" t="s">
        <v>897</v>
      </c>
      <c r="E3875" s="178">
        <v>2014</v>
      </c>
      <c r="F3875" s="178" t="s">
        <v>9678</v>
      </c>
      <c r="G3875" s="496"/>
      <c r="H3875" s="994" t="s">
        <v>20224</v>
      </c>
      <c r="I3875" s="11" t="s">
        <v>5375</v>
      </c>
      <c r="J3875" s="1285"/>
      <c r="K3875" s="1285"/>
      <c r="L3875" s="1285"/>
    </row>
    <row r="3876" spans="1:12" ht="11.15" customHeight="1">
      <c r="A3876" s="185"/>
      <c r="B3876" s="59" t="s">
        <v>20874</v>
      </c>
      <c r="C3876" s="147" t="s">
        <v>20221</v>
      </c>
      <c r="D3876" s="284" t="s">
        <v>897</v>
      </c>
      <c r="E3876" s="178">
        <v>2013</v>
      </c>
      <c r="F3876" s="178" t="s">
        <v>9678</v>
      </c>
      <c r="G3876" s="496"/>
      <c r="H3876" s="994" t="s">
        <v>20224</v>
      </c>
      <c r="I3876" s="11" t="s">
        <v>5376</v>
      </c>
      <c r="J3876" s="1285"/>
      <c r="K3876" s="1285"/>
      <c r="L3876" s="1285"/>
    </row>
    <row r="3877" spans="1:12" ht="11.15" customHeight="1">
      <c r="A3877" s="162"/>
      <c r="B3877" s="90"/>
      <c r="C3877" s="147"/>
      <c r="D3877" s="161"/>
      <c r="E3877" s="34"/>
      <c r="F3877" s="183"/>
      <c r="G3877" s="671"/>
      <c r="H3877" s="34"/>
      <c r="I3877" s="11"/>
    </row>
    <row r="3878" spans="1:12" ht="11.15" customHeight="1">
      <c r="A3878" s="185"/>
      <c r="B3878" s="413" t="s">
        <v>5377</v>
      </c>
      <c r="C3878" s="147"/>
      <c r="D3878" s="161"/>
      <c r="E3878" s="36"/>
      <c r="F3878" s="183"/>
      <c r="G3878" s="671"/>
      <c r="H3878" s="34"/>
      <c r="I3878" s="11"/>
    </row>
    <row r="3879" spans="1:12" ht="11.15" customHeight="1">
      <c r="A3879" s="185"/>
      <c r="B3879" s="150" t="s">
        <v>5378</v>
      </c>
      <c r="C3879" s="147"/>
      <c r="D3879" s="185"/>
      <c r="E3879" s="185"/>
      <c r="F3879" s="185"/>
      <c r="G3879" s="185"/>
      <c r="H3879" s="185"/>
      <c r="I3879" s="11"/>
    </row>
    <row r="3880" spans="1:12" ht="11.15" customHeight="1" thickBot="1">
      <c r="A3880" s="185"/>
      <c r="B3880" s="150" t="s">
        <v>5379</v>
      </c>
      <c r="C3880" s="147"/>
      <c r="D3880" s="185"/>
      <c r="E3880" s="185"/>
      <c r="F3880" s="185"/>
      <c r="G3880" s="185"/>
      <c r="H3880" s="185"/>
      <c r="I3880" s="11"/>
    </row>
    <row r="3881" spans="1:12" ht="11.15" customHeight="1">
      <c r="A3881" s="153" t="s">
        <v>5380</v>
      </c>
      <c r="B3881" s="177" t="s">
        <v>5381</v>
      </c>
      <c r="C3881" s="147"/>
      <c r="D3881" s="159"/>
      <c r="E3881" s="36"/>
      <c r="F3881" s="178"/>
      <c r="G3881" s="429"/>
      <c r="H3881" s="36"/>
      <c r="I3881" s="11"/>
    </row>
    <row r="3882" spans="1:12" ht="11.15" customHeight="1" thickBot="1">
      <c r="A3882" s="230" t="s">
        <v>5382</v>
      </c>
      <c r="B3882" s="59" t="s">
        <v>20876</v>
      </c>
      <c r="C3882" s="147" t="s">
        <v>20221</v>
      </c>
      <c r="D3882" s="701" t="s">
        <v>1129</v>
      </c>
      <c r="E3882" s="178">
        <v>2022</v>
      </c>
      <c r="F3882" s="178" t="s">
        <v>4520</v>
      </c>
      <c r="G3882" s="496"/>
      <c r="H3882" s="994" t="s">
        <v>20221</v>
      </c>
      <c r="I3882" s="11" t="s">
        <v>5383</v>
      </c>
      <c r="J3882" s="1285"/>
      <c r="K3882" s="1285"/>
      <c r="L3882" s="1285"/>
    </row>
    <row r="3883" spans="1:12" ht="11.15" customHeight="1">
      <c r="A3883" s="29" t="s">
        <v>5384</v>
      </c>
      <c r="B3883" s="59" t="s">
        <v>20876</v>
      </c>
      <c r="C3883" s="147" t="s">
        <v>20221</v>
      </c>
      <c r="D3883" s="701" t="s">
        <v>1129</v>
      </c>
      <c r="E3883" s="178">
        <v>2021</v>
      </c>
      <c r="F3883" s="178" t="s">
        <v>4520</v>
      </c>
      <c r="G3883" s="496"/>
      <c r="H3883" s="994" t="s">
        <v>20221</v>
      </c>
      <c r="I3883" s="11" t="s">
        <v>5385</v>
      </c>
      <c r="J3883" s="1285"/>
      <c r="K3883" s="1285"/>
      <c r="L3883" s="1285"/>
    </row>
    <row r="3884" spans="1:12" ht="11.15" customHeight="1">
      <c r="A3884" s="29" t="s">
        <v>5386</v>
      </c>
      <c r="B3884" s="59" t="s">
        <v>20876</v>
      </c>
      <c r="C3884" s="147" t="s">
        <v>20221</v>
      </c>
      <c r="D3884" s="701" t="s">
        <v>1129</v>
      </c>
      <c r="E3884" s="178">
        <v>2020</v>
      </c>
      <c r="F3884" s="178" t="s">
        <v>4520</v>
      </c>
      <c r="G3884" s="496"/>
      <c r="H3884" s="994" t="s">
        <v>20221</v>
      </c>
      <c r="I3884" s="11" t="s">
        <v>5387</v>
      </c>
      <c r="J3884" s="1285"/>
      <c r="K3884" s="1285"/>
      <c r="L3884" s="1285"/>
    </row>
    <row r="3885" spans="1:12" ht="11.15" customHeight="1">
      <c r="A3885" s="181" t="s">
        <v>1640</v>
      </c>
      <c r="B3885" s="59" t="s">
        <v>20877</v>
      </c>
      <c r="C3885" s="147" t="s">
        <v>20221</v>
      </c>
      <c r="D3885" s="701" t="s">
        <v>1129</v>
      </c>
      <c r="E3885" s="178">
        <v>2022</v>
      </c>
      <c r="F3885" s="178" t="s">
        <v>4520</v>
      </c>
      <c r="G3885" s="496"/>
      <c r="H3885" s="994" t="s">
        <v>20221</v>
      </c>
      <c r="I3885" s="11" t="s">
        <v>5388</v>
      </c>
      <c r="J3885" s="1285"/>
      <c r="K3885" s="1285"/>
      <c r="L3885" s="1285"/>
    </row>
    <row r="3886" spans="1:12" ht="11.15" customHeight="1">
      <c r="A3886" s="181" t="s">
        <v>2536</v>
      </c>
      <c r="B3886" s="59" t="s">
        <v>20877</v>
      </c>
      <c r="C3886" s="147" t="s">
        <v>20221</v>
      </c>
      <c r="D3886" s="701" t="s">
        <v>1129</v>
      </c>
      <c r="E3886" s="178">
        <v>2021</v>
      </c>
      <c r="F3886" s="178" t="s">
        <v>4520</v>
      </c>
      <c r="G3886" s="496"/>
      <c r="H3886" s="994" t="s">
        <v>20221</v>
      </c>
      <c r="I3886" s="11" t="s">
        <v>5389</v>
      </c>
      <c r="J3886" s="1285"/>
      <c r="K3886" s="1285"/>
      <c r="L3886" s="1285"/>
    </row>
    <row r="3887" spans="1:12" ht="11.15" customHeight="1">
      <c r="A3887" s="29" t="s">
        <v>1862</v>
      </c>
      <c r="B3887" s="59" t="s">
        <v>20877</v>
      </c>
      <c r="C3887" s="147" t="s">
        <v>20221</v>
      </c>
      <c r="D3887" s="701" t="s">
        <v>1129</v>
      </c>
      <c r="E3887" s="178">
        <v>2020</v>
      </c>
      <c r="F3887" s="178" t="s">
        <v>4520</v>
      </c>
      <c r="G3887" s="496"/>
      <c r="H3887" s="994" t="s">
        <v>20221</v>
      </c>
      <c r="I3887" s="11" t="s">
        <v>5390</v>
      </c>
      <c r="J3887" s="1285"/>
      <c r="K3887" s="1285"/>
      <c r="L3887" s="1285"/>
    </row>
    <row r="3888" spans="1:12" ht="11.15" customHeight="1">
      <c r="A3888" s="29" t="s">
        <v>5391</v>
      </c>
      <c r="B3888" s="59" t="s">
        <v>20878</v>
      </c>
      <c r="C3888" s="147" t="s">
        <v>20221</v>
      </c>
      <c r="D3888" s="701" t="s">
        <v>1129</v>
      </c>
      <c r="E3888" s="178">
        <v>2022</v>
      </c>
      <c r="F3888" s="178" t="s">
        <v>4520</v>
      </c>
      <c r="G3888" s="496"/>
      <c r="H3888" s="994" t="s">
        <v>20221</v>
      </c>
      <c r="I3888" s="11" t="s">
        <v>5392</v>
      </c>
      <c r="J3888" s="1285"/>
      <c r="K3888" s="1285"/>
      <c r="L3888" s="1285"/>
    </row>
    <row r="3889" spans="1:12" ht="11.15" customHeight="1">
      <c r="A3889" s="29" t="s">
        <v>5393</v>
      </c>
      <c r="B3889" s="59" t="s">
        <v>20878</v>
      </c>
      <c r="C3889" s="147" t="s">
        <v>20221</v>
      </c>
      <c r="D3889" s="701" t="s">
        <v>1129</v>
      </c>
      <c r="E3889" s="178">
        <v>2021</v>
      </c>
      <c r="F3889" s="178" t="s">
        <v>4520</v>
      </c>
      <c r="G3889" s="496"/>
      <c r="H3889" s="994" t="s">
        <v>20221</v>
      </c>
      <c r="I3889" s="11" t="s">
        <v>5394</v>
      </c>
      <c r="J3889" s="1285"/>
      <c r="K3889" s="1285"/>
      <c r="L3889" s="1285"/>
    </row>
    <row r="3890" spans="1:12" ht="11.15" customHeight="1">
      <c r="A3890" s="129" t="s">
        <v>5395</v>
      </c>
      <c r="B3890" s="59" t="s">
        <v>20878</v>
      </c>
      <c r="C3890" s="147" t="s">
        <v>20221</v>
      </c>
      <c r="D3890" s="701" t="s">
        <v>1129</v>
      </c>
      <c r="E3890" s="178">
        <v>2020</v>
      </c>
      <c r="F3890" s="178" t="s">
        <v>4520</v>
      </c>
      <c r="G3890" s="496"/>
      <c r="H3890" s="994" t="s">
        <v>20221</v>
      </c>
      <c r="I3890" s="11" t="s">
        <v>5396</v>
      </c>
      <c r="J3890" s="1285"/>
      <c r="K3890" s="1285"/>
      <c r="L3890" s="1285"/>
    </row>
    <row r="3891" spans="1:12" ht="11.15" customHeight="1">
      <c r="A3891" s="162" t="s">
        <v>5397</v>
      </c>
      <c r="B3891" s="177" t="s">
        <v>5398</v>
      </c>
      <c r="C3891" s="147"/>
      <c r="D3891" s="159"/>
      <c r="E3891" s="36"/>
      <c r="F3891" s="178"/>
      <c r="G3891" s="429"/>
      <c r="H3891" s="36"/>
      <c r="I3891" s="11"/>
    </row>
    <row r="3892" spans="1:12" ht="11.15" customHeight="1">
      <c r="A3892" s="162" t="s">
        <v>5399</v>
      </c>
      <c r="B3892" s="59" t="s">
        <v>20879</v>
      </c>
      <c r="C3892" s="147" t="s">
        <v>20221</v>
      </c>
      <c r="D3892" s="701" t="s">
        <v>1129</v>
      </c>
      <c r="E3892" s="178">
        <v>2022</v>
      </c>
      <c r="F3892" s="178" t="s">
        <v>4520</v>
      </c>
      <c r="G3892" s="496"/>
      <c r="H3892" s="994" t="s">
        <v>20221</v>
      </c>
      <c r="I3892" s="11" t="s">
        <v>5400</v>
      </c>
      <c r="J3892" s="1285"/>
      <c r="K3892" s="1285"/>
      <c r="L3892" s="1285"/>
    </row>
    <row r="3893" spans="1:12" ht="11.15" customHeight="1">
      <c r="A3893" s="162" t="s">
        <v>5401</v>
      </c>
      <c r="B3893" s="59" t="s">
        <v>20879</v>
      </c>
      <c r="C3893" s="147" t="s">
        <v>20221</v>
      </c>
      <c r="D3893" s="701" t="s">
        <v>1129</v>
      </c>
      <c r="E3893" s="178">
        <v>2021</v>
      </c>
      <c r="F3893" s="178" t="s">
        <v>4520</v>
      </c>
      <c r="G3893" s="496"/>
      <c r="H3893" s="994" t="s">
        <v>20224</v>
      </c>
      <c r="I3893" s="11" t="s">
        <v>5402</v>
      </c>
      <c r="J3893" s="1285"/>
      <c r="K3893" s="1285"/>
      <c r="L3893" s="1285"/>
    </row>
    <row r="3894" spans="1:12" ht="11.15" customHeight="1">
      <c r="A3894" s="355" t="s">
        <v>5403</v>
      </c>
      <c r="B3894" s="177" t="s">
        <v>5405</v>
      </c>
      <c r="C3894" s="147"/>
      <c r="D3894" s="161"/>
      <c r="E3894" s="36"/>
      <c r="F3894" s="178"/>
      <c r="G3894" s="429"/>
      <c r="H3894" s="36"/>
      <c r="I3894" s="11"/>
    </row>
    <row r="3895" spans="1:12" ht="11.15" customHeight="1">
      <c r="A3895" s="162" t="s">
        <v>5404</v>
      </c>
      <c r="B3895" s="59" t="s">
        <v>20756</v>
      </c>
      <c r="C3895" s="147" t="s">
        <v>20221</v>
      </c>
      <c r="D3895" s="284" t="s">
        <v>897</v>
      </c>
      <c r="E3895" s="178">
        <v>2022</v>
      </c>
      <c r="F3895" s="178" t="s">
        <v>4520</v>
      </c>
      <c r="G3895" s="496"/>
      <c r="H3895" s="994" t="s">
        <v>20221</v>
      </c>
      <c r="I3895" s="11" t="s">
        <v>5407</v>
      </c>
      <c r="J3895" s="1285"/>
      <c r="K3895" s="1285"/>
      <c r="L3895" s="1285"/>
    </row>
    <row r="3896" spans="1:12" ht="11.15" customHeight="1">
      <c r="A3896" s="162" t="s">
        <v>5406</v>
      </c>
      <c r="B3896" s="59" t="s">
        <v>20756</v>
      </c>
      <c r="C3896" s="147" t="s">
        <v>20221</v>
      </c>
      <c r="D3896" s="284" t="s">
        <v>897</v>
      </c>
      <c r="E3896" s="178">
        <v>2021</v>
      </c>
      <c r="F3896" s="178" t="s">
        <v>4520</v>
      </c>
      <c r="G3896" s="496"/>
      <c r="H3896" s="994" t="s">
        <v>20221</v>
      </c>
      <c r="I3896" s="11" t="s">
        <v>5408</v>
      </c>
      <c r="J3896" s="1285"/>
      <c r="K3896" s="1285"/>
      <c r="L3896" s="1285"/>
    </row>
    <row r="3897" spans="1:12" ht="11.15" customHeight="1">
      <c r="A3897" s="388" t="s">
        <v>903</v>
      </c>
      <c r="B3897" s="59" t="s">
        <v>20756</v>
      </c>
      <c r="C3897" s="147" t="s">
        <v>20221</v>
      </c>
      <c r="D3897" s="284" t="s">
        <v>897</v>
      </c>
      <c r="E3897" s="178">
        <v>2020</v>
      </c>
      <c r="F3897" s="178" t="s">
        <v>4520</v>
      </c>
      <c r="G3897" s="496"/>
      <c r="H3897" s="994" t="s">
        <v>20221</v>
      </c>
      <c r="I3897" s="11" t="s">
        <v>5410</v>
      </c>
      <c r="J3897" s="1285"/>
      <c r="K3897" s="1285"/>
      <c r="L3897" s="1285"/>
    </row>
    <row r="3898" spans="1:12" ht="11.15" customHeight="1">
      <c r="A3898" s="162" t="s">
        <v>5409</v>
      </c>
      <c r="B3898" s="59" t="s">
        <v>20756</v>
      </c>
      <c r="C3898" s="147" t="s">
        <v>20221</v>
      </c>
      <c r="D3898" s="284" t="s">
        <v>897</v>
      </c>
      <c r="E3898" s="178">
        <v>2019</v>
      </c>
      <c r="F3898" s="178" t="s">
        <v>4520</v>
      </c>
      <c r="G3898" s="496"/>
      <c r="H3898" s="994" t="s">
        <v>20221</v>
      </c>
      <c r="I3898" s="11" t="s">
        <v>5412</v>
      </c>
      <c r="J3898" s="1285"/>
      <c r="K3898" s="1285"/>
      <c r="L3898" s="1285"/>
    </row>
    <row r="3899" spans="1:12" ht="11.15" customHeight="1">
      <c r="A3899" s="162" t="s">
        <v>5411</v>
      </c>
      <c r="B3899" s="59" t="s">
        <v>20756</v>
      </c>
      <c r="C3899" s="147" t="s">
        <v>20221</v>
      </c>
      <c r="D3899" s="284" t="s">
        <v>897</v>
      </c>
      <c r="E3899" s="178">
        <v>2018</v>
      </c>
      <c r="F3899" s="178" t="s">
        <v>4520</v>
      </c>
      <c r="G3899" s="496"/>
      <c r="H3899" s="994" t="s">
        <v>20221</v>
      </c>
      <c r="I3899" s="11" t="s">
        <v>5414</v>
      </c>
      <c r="J3899" s="1285"/>
      <c r="K3899" s="1285"/>
      <c r="L3899" s="1285"/>
    </row>
    <row r="3900" spans="1:12" ht="11.15" customHeight="1">
      <c r="A3900" s="162" t="s">
        <v>5413</v>
      </c>
      <c r="B3900" s="59" t="s">
        <v>20880</v>
      </c>
      <c r="C3900" s="147" t="s">
        <v>20221</v>
      </c>
      <c r="D3900" s="284" t="s">
        <v>897</v>
      </c>
      <c r="E3900" s="178">
        <v>2022</v>
      </c>
      <c r="F3900" s="178" t="s">
        <v>4520</v>
      </c>
      <c r="G3900" s="496"/>
      <c r="H3900" s="994" t="s">
        <v>20221</v>
      </c>
      <c r="I3900" s="11" t="s">
        <v>5416</v>
      </c>
      <c r="J3900" s="1285"/>
      <c r="K3900" s="1285"/>
      <c r="L3900" s="1285"/>
    </row>
    <row r="3901" spans="1:12" ht="11.15" customHeight="1">
      <c r="A3901" s="162" t="s">
        <v>5415</v>
      </c>
      <c r="B3901" s="59" t="s">
        <v>20880</v>
      </c>
      <c r="C3901" s="147" t="s">
        <v>20221</v>
      </c>
      <c r="D3901" s="284" t="s">
        <v>897</v>
      </c>
      <c r="E3901" s="178">
        <v>2021</v>
      </c>
      <c r="F3901" s="178" t="s">
        <v>4520</v>
      </c>
      <c r="G3901" s="496"/>
      <c r="H3901" s="994" t="s">
        <v>20221</v>
      </c>
      <c r="I3901" s="11" t="s">
        <v>5418</v>
      </c>
      <c r="J3901" s="1285"/>
      <c r="K3901" s="1285"/>
      <c r="L3901" s="1285"/>
    </row>
    <row r="3902" spans="1:12" ht="11.15" customHeight="1">
      <c r="A3902" s="162" t="s">
        <v>5417</v>
      </c>
      <c r="B3902" s="59" t="s">
        <v>20880</v>
      </c>
      <c r="C3902" s="147" t="s">
        <v>20221</v>
      </c>
      <c r="D3902" s="284" t="s">
        <v>897</v>
      </c>
      <c r="E3902" s="178">
        <v>2020</v>
      </c>
      <c r="F3902" s="178" t="s">
        <v>4520</v>
      </c>
      <c r="G3902" s="496"/>
      <c r="H3902" s="994" t="s">
        <v>20221</v>
      </c>
      <c r="I3902" s="11" t="s">
        <v>5420</v>
      </c>
      <c r="J3902" s="1285"/>
      <c r="K3902" s="1285"/>
      <c r="L3902" s="1285"/>
    </row>
    <row r="3903" spans="1:12" ht="11.15" customHeight="1">
      <c r="A3903" s="162" t="s">
        <v>5419</v>
      </c>
      <c r="B3903" s="59" t="s">
        <v>20880</v>
      </c>
      <c r="C3903" s="147" t="s">
        <v>20221</v>
      </c>
      <c r="D3903" s="284" t="s">
        <v>897</v>
      </c>
      <c r="E3903" s="178">
        <v>2019</v>
      </c>
      <c r="F3903" s="178" t="s">
        <v>4520</v>
      </c>
      <c r="G3903" s="496"/>
      <c r="H3903" s="994" t="s">
        <v>20221</v>
      </c>
      <c r="I3903" s="11" t="s">
        <v>5422</v>
      </c>
      <c r="J3903" s="1285"/>
      <c r="K3903" s="1285"/>
      <c r="L3903" s="1285"/>
    </row>
    <row r="3904" spans="1:12" ht="11.15" customHeight="1">
      <c r="A3904" s="162" t="s">
        <v>5421</v>
      </c>
      <c r="B3904" s="59" t="s">
        <v>20880</v>
      </c>
      <c r="C3904" s="147" t="s">
        <v>20221</v>
      </c>
      <c r="D3904" s="284" t="s">
        <v>897</v>
      </c>
      <c r="E3904" s="178">
        <v>2018</v>
      </c>
      <c r="F3904" s="178" t="s">
        <v>4520</v>
      </c>
      <c r="G3904" s="496"/>
      <c r="H3904" s="994" t="s">
        <v>20221</v>
      </c>
      <c r="I3904" s="11" t="s">
        <v>5424</v>
      </c>
      <c r="J3904" s="1285"/>
      <c r="K3904" s="1285"/>
      <c r="L3904" s="1285"/>
    </row>
    <row r="3905" spans="1:12" ht="11.15" customHeight="1">
      <c r="A3905" s="422" t="s">
        <v>5423</v>
      </c>
      <c r="B3905" s="177" t="s">
        <v>5426</v>
      </c>
      <c r="C3905" s="147"/>
      <c r="D3905" s="161"/>
      <c r="E3905" s="36"/>
      <c r="F3905" s="178"/>
      <c r="G3905" s="429"/>
      <c r="H3905" s="36"/>
      <c r="I3905" s="11"/>
    </row>
    <row r="3906" spans="1:12" ht="11.15" customHeight="1">
      <c r="A3906" s="129" t="s">
        <v>5425</v>
      </c>
      <c r="B3906" s="59" t="s">
        <v>20881</v>
      </c>
      <c r="C3906" s="147" t="s">
        <v>20221</v>
      </c>
      <c r="D3906" s="284" t="s">
        <v>897</v>
      </c>
      <c r="E3906" s="178">
        <v>2022</v>
      </c>
      <c r="F3906" s="178" t="s">
        <v>4520</v>
      </c>
      <c r="G3906" s="496"/>
      <c r="H3906" s="994" t="s">
        <v>20221</v>
      </c>
      <c r="I3906" s="11" t="s">
        <v>5428</v>
      </c>
      <c r="J3906" s="1285"/>
      <c r="K3906" s="1285"/>
      <c r="L3906" s="1285"/>
    </row>
    <row r="3907" spans="1:12" ht="11.15" customHeight="1">
      <c r="A3907" s="162" t="s">
        <v>5427</v>
      </c>
      <c r="B3907" s="59" t="s">
        <v>20760</v>
      </c>
      <c r="C3907" s="147" t="s">
        <v>20221</v>
      </c>
      <c r="D3907" s="284" t="s">
        <v>897</v>
      </c>
      <c r="E3907" s="178">
        <v>2022</v>
      </c>
      <c r="F3907" s="178" t="s">
        <v>4520</v>
      </c>
      <c r="G3907" s="496"/>
      <c r="H3907" s="994" t="s">
        <v>20221</v>
      </c>
      <c r="I3907" s="11" t="s">
        <v>5430</v>
      </c>
      <c r="J3907" s="1285"/>
      <c r="K3907" s="1285"/>
      <c r="L3907" s="1285"/>
    </row>
    <row r="3908" spans="1:12" ht="11.15" customHeight="1">
      <c r="A3908" s="162" t="s">
        <v>5429</v>
      </c>
      <c r="B3908" s="59" t="s">
        <v>20760</v>
      </c>
      <c r="C3908" s="147" t="s">
        <v>20221</v>
      </c>
      <c r="D3908" s="284" t="s">
        <v>897</v>
      </c>
      <c r="E3908" s="178">
        <v>2021</v>
      </c>
      <c r="F3908" s="178" t="s">
        <v>4520</v>
      </c>
      <c r="G3908" s="496"/>
      <c r="H3908" s="994" t="s">
        <v>20221</v>
      </c>
      <c r="I3908" s="11" t="s">
        <v>5432</v>
      </c>
      <c r="J3908" s="1285"/>
      <c r="K3908" s="1285"/>
      <c r="L3908" s="1285"/>
    </row>
    <row r="3909" spans="1:12" ht="11.15" customHeight="1">
      <c r="A3909" s="162" t="s">
        <v>5431</v>
      </c>
      <c r="B3909" s="59" t="s">
        <v>20760</v>
      </c>
      <c r="C3909" s="147" t="s">
        <v>20221</v>
      </c>
      <c r="D3909" s="284" t="s">
        <v>897</v>
      </c>
      <c r="E3909" s="178">
        <v>2020</v>
      </c>
      <c r="F3909" s="178" t="s">
        <v>4520</v>
      </c>
      <c r="G3909" s="496"/>
      <c r="H3909" s="994" t="s">
        <v>20221</v>
      </c>
      <c r="I3909" s="11" t="s">
        <v>5434</v>
      </c>
      <c r="J3909" s="1285"/>
      <c r="K3909" s="1285"/>
      <c r="L3909" s="1285"/>
    </row>
    <row r="3910" spans="1:12" ht="11.15" customHeight="1">
      <c r="A3910" s="162" t="s">
        <v>5433</v>
      </c>
      <c r="B3910" s="59" t="s">
        <v>20760</v>
      </c>
      <c r="C3910" s="147" t="s">
        <v>20221</v>
      </c>
      <c r="D3910" s="284" t="s">
        <v>897</v>
      </c>
      <c r="E3910" s="178">
        <v>2019</v>
      </c>
      <c r="F3910" s="178" t="s">
        <v>4520</v>
      </c>
      <c r="G3910" s="496"/>
      <c r="H3910" s="994" t="s">
        <v>20221</v>
      </c>
      <c r="I3910" s="11" t="s">
        <v>5436</v>
      </c>
      <c r="J3910" s="1285"/>
      <c r="K3910" s="1285"/>
      <c r="L3910" s="1285"/>
    </row>
    <row r="3911" spans="1:12" ht="11.15" customHeight="1">
      <c r="A3911" s="162" t="s">
        <v>5435</v>
      </c>
      <c r="B3911" s="59" t="s">
        <v>20760</v>
      </c>
      <c r="C3911" s="147" t="s">
        <v>20221</v>
      </c>
      <c r="D3911" s="284" t="s">
        <v>897</v>
      </c>
      <c r="E3911" s="178">
        <v>2018</v>
      </c>
      <c r="F3911" s="178" t="s">
        <v>4520</v>
      </c>
      <c r="G3911" s="496"/>
      <c r="H3911" s="994" t="s">
        <v>20221</v>
      </c>
      <c r="I3911" s="11" t="s">
        <v>5438</v>
      </c>
      <c r="J3911" s="1285"/>
      <c r="K3911" s="1285"/>
      <c r="L3911" s="1285"/>
    </row>
    <row r="3912" spans="1:12" ht="11.15" customHeight="1">
      <c r="A3912" s="129" t="s">
        <v>5437</v>
      </c>
      <c r="B3912" s="59" t="s">
        <v>20882</v>
      </c>
      <c r="C3912" s="147" t="s">
        <v>20221</v>
      </c>
      <c r="D3912" s="284" t="s">
        <v>897</v>
      </c>
      <c r="E3912" s="178">
        <v>2022</v>
      </c>
      <c r="F3912" s="178" t="s">
        <v>4520</v>
      </c>
      <c r="G3912" s="496"/>
      <c r="H3912" s="994" t="s">
        <v>20221</v>
      </c>
      <c r="I3912" s="11" t="s">
        <v>5440</v>
      </c>
      <c r="J3912" s="1285"/>
      <c r="K3912" s="1285"/>
      <c r="L3912" s="1285"/>
    </row>
    <row r="3913" spans="1:12" ht="11.15" customHeight="1">
      <c r="A3913" s="162" t="s">
        <v>5439</v>
      </c>
      <c r="B3913" s="59" t="s">
        <v>20883</v>
      </c>
      <c r="C3913" s="147" t="s">
        <v>20221</v>
      </c>
      <c r="D3913" s="284" t="s">
        <v>897</v>
      </c>
      <c r="E3913" s="178">
        <v>2022</v>
      </c>
      <c r="F3913" s="178" t="s">
        <v>4520</v>
      </c>
      <c r="G3913" s="496"/>
      <c r="H3913" s="994" t="s">
        <v>20221</v>
      </c>
      <c r="I3913" s="11" t="s">
        <v>5442</v>
      </c>
      <c r="J3913" s="1285"/>
      <c r="K3913" s="1285"/>
      <c r="L3913" s="1285"/>
    </row>
    <row r="3914" spans="1:12" ht="11.15" customHeight="1">
      <c r="A3914" s="162" t="s">
        <v>5441</v>
      </c>
      <c r="B3914" s="59" t="s">
        <v>20883</v>
      </c>
      <c r="C3914" s="147" t="s">
        <v>20221</v>
      </c>
      <c r="D3914" s="284" t="s">
        <v>897</v>
      </c>
      <c r="E3914" s="178">
        <v>2021</v>
      </c>
      <c r="F3914" s="178" t="s">
        <v>4520</v>
      </c>
      <c r="G3914" s="496"/>
      <c r="H3914" s="994" t="s">
        <v>20221</v>
      </c>
      <c r="I3914" s="11" t="s">
        <v>5444</v>
      </c>
      <c r="J3914" s="1285"/>
      <c r="K3914" s="1285"/>
      <c r="L3914" s="1285"/>
    </row>
    <row r="3915" spans="1:12" ht="11.15" customHeight="1">
      <c r="A3915" s="162" t="s">
        <v>5443</v>
      </c>
      <c r="B3915" s="59" t="s">
        <v>20883</v>
      </c>
      <c r="C3915" s="147" t="s">
        <v>20221</v>
      </c>
      <c r="D3915" s="284" t="s">
        <v>897</v>
      </c>
      <c r="E3915" s="178">
        <v>2020</v>
      </c>
      <c r="F3915" s="178" t="s">
        <v>4520</v>
      </c>
      <c r="G3915" s="496"/>
      <c r="H3915" s="994" t="s">
        <v>20221</v>
      </c>
      <c r="I3915" s="12" t="s">
        <v>5446</v>
      </c>
      <c r="J3915" s="1285"/>
      <c r="K3915" s="1285"/>
      <c r="L3915" s="1285"/>
    </row>
    <row r="3916" spans="1:12" ht="11.15" customHeight="1">
      <c r="A3916" s="162" t="s">
        <v>5445</v>
      </c>
      <c r="B3916" s="59" t="s">
        <v>20883</v>
      </c>
      <c r="C3916" s="147" t="s">
        <v>20221</v>
      </c>
      <c r="D3916" s="284" t="s">
        <v>897</v>
      </c>
      <c r="E3916" s="178">
        <v>2019</v>
      </c>
      <c r="F3916" s="178" t="s">
        <v>4520</v>
      </c>
      <c r="G3916" s="496"/>
      <c r="H3916" s="994" t="s">
        <v>20221</v>
      </c>
      <c r="I3916" s="12" t="s">
        <v>5448</v>
      </c>
      <c r="J3916" s="1285"/>
      <c r="K3916" s="1285"/>
      <c r="L3916" s="1285"/>
    </row>
    <row r="3917" spans="1:12" ht="11.15" customHeight="1">
      <c r="A3917" s="162" t="s">
        <v>5447</v>
      </c>
      <c r="B3917" s="59" t="s">
        <v>20883</v>
      </c>
      <c r="C3917" s="147" t="s">
        <v>20221</v>
      </c>
      <c r="D3917" s="284" t="s">
        <v>897</v>
      </c>
      <c r="E3917" s="178">
        <v>2018</v>
      </c>
      <c r="F3917" s="178" t="s">
        <v>4520</v>
      </c>
      <c r="G3917" s="496"/>
      <c r="H3917" s="994" t="s">
        <v>20221</v>
      </c>
      <c r="I3917" s="12" t="s">
        <v>5450</v>
      </c>
      <c r="J3917" s="1285"/>
      <c r="K3917" s="1285"/>
      <c r="L3917" s="1285"/>
    </row>
    <row r="3918" spans="1:12" ht="11.15" customHeight="1">
      <c r="A3918" s="162" t="s">
        <v>5449</v>
      </c>
      <c r="B3918" s="177" t="s">
        <v>5452</v>
      </c>
      <c r="C3918" s="147"/>
      <c r="D3918" s="161"/>
      <c r="E3918" s="36"/>
      <c r="F3918" s="178"/>
      <c r="G3918" s="429"/>
      <c r="H3918" s="36"/>
      <c r="I3918" s="11"/>
    </row>
    <row r="3919" spans="1:12" ht="11.15" customHeight="1">
      <c r="A3919" s="162" t="s">
        <v>5451</v>
      </c>
      <c r="B3919" s="59" t="s">
        <v>20884</v>
      </c>
      <c r="C3919" s="147" t="s">
        <v>20221</v>
      </c>
      <c r="D3919" s="284" t="s">
        <v>897</v>
      </c>
      <c r="E3919" s="178">
        <v>2022</v>
      </c>
      <c r="F3919" s="178" t="s">
        <v>4520</v>
      </c>
      <c r="G3919" s="496"/>
      <c r="H3919" s="994" t="s">
        <v>20221</v>
      </c>
      <c r="I3919" s="11" t="s">
        <v>5454</v>
      </c>
      <c r="J3919" s="1285"/>
      <c r="K3919" s="1285"/>
      <c r="L3919" s="1285"/>
    </row>
    <row r="3920" spans="1:12" ht="11.15" customHeight="1">
      <c r="A3920" s="162" t="s">
        <v>5453</v>
      </c>
      <c r="B3920" s="59" t="s">
        <v>20884</v>
      </c>
      <c r="C3920" s="147" t="s">
        <v>20221</v>
      </c>
      <c r="D3920" s="284" t="s">
        <v>897</v>
      </c>
      <c r="E3920" s="178">
        <v>2021</v>
      </c>
      <c r="F3920" s="178" t="s">
        <v>4520</v>
      </c>
      <c r="G3920" s="496"/>
      <c r="H3920" s="994" t="s">
        <v>20221</v>
      </c>
      <c r="I3920" s="11" t="s">
        <v>5456</v>
      </c>
      <c r="J3920" s="1285"/>
      <c r="K3920" s="1285"/>
      <c r="L3920" s="1285"/>
    </row>
    <row r="3921" spans="1:12" ht="11.15" customHeight="1">
      <c r="A3921" s="162" t="s">
        <v>5455</v>
      </c>
      <c r="B3921" s="59" t="s">
        <v>20884</v>
      </c>
      <c r="C3921" s="147" t="s">
        <v>20221</v>
      </c>
      <c r="D3921" s="284" t="s">
        <v>897</v>
      </c>
      <c r="E3921" s="178">
        <v>2020</v>
      </c>
      <c r="F3921" s="178" t="s">
        <v>4520</v>
      </c>
      <c r="G3921" s="496"/>
      <c r="H3921" s="994" t="s">
        <v>20221</v>
      </c>
      <c r="I3921" s="11" t="s">
        <v>5458</v>
      </c>
      <c r="J3921" s="1285"/>
      <c r="K3921" s="1285"/>
      <c r="L3921" s="1285"/>
    </row>
    <row r="3922" spans="1:12" ht="11.15" customHeight="1">
      <c r="A3922" s="162" t="s">
        <v>5457</v>
      </c>
      <c r="B3922" s="59" t="s">
        <v>20884</v>
      </c>
      <c r="C3922" s="147" t="s">
        <v>20221</v>
      </c>
      <c r="D3922" s="284" t="s">
        <v>897</v>
      </c>
      <c r="E3922" s="178">
        <v>2019</v>
      </c>
      <c r="F3922" s="178" t="s">
        <v>4520</v>
      </c>
      <c r="G3922" s="496"/>
      <c r="H3922" s="994" t="s">
        <v>20221</v>
      </c>
      <c r="I3922" s="11" t="s">
        <v>5460</v>
      </c>
      <c r="J3922" s="1285"/>
      <c r="K3922" s="1285"/>
      <c r="L3922" s="1285"/>
    </row>
    <row r="3923" spans="1:12" ht="11.15" customHeight="1">
      <c r="A3923" s="166" t="s">
        <v>5459</v>
      </c>
      <c r="B3923" s="59" t="s">
        <v>20884</v>
      </c>
      <c r="C3923" s="147" t="s">
        <v>20221</v>
      </c>
      <c r="D3923" s="284" t="s">
        <v>897</v>
      </c>
      <c r="E3923" s="178">
        <v>2018</v>
      </c>
      <c r="F3923" s="178" t="s">
        <v>4520</v>
      </c>
      <c r="G3923" s="496"/>
      <c r="H3923" s="994" t="s">
        <v>20221</v>
      </c>
      <c r="I3923" s="11" t="s">
        <v>5462</v>
      </c>
      <c r="J3923" s="1285"/>
      <c r="K3923" s="1285"/>
      <c r="L3923" s="1285"/>
    </row>
    <row r="3924" spans="1:12" ht="11.15" customHeight="1">
      <c r="A3924" s="386" t="s">
        <v>5461</v>
      </c>
      <c r="B3924" s="59" t="s">
        <v>20687</v>
      </c>
      <c r="C3924" s="147" t="s">
        <v>20221</v>
      </c>
      <c r="D3924" s="284" t="s">
        <v>897</v>
      </c>
      <c r="E3924" s="178" t="s">
        <v>20221</v>
      </c>
      <c r="F3924" s="178" t="s">
        <v>4520</v>
      </c>
      <c r="G3924" s="496" t="s">
        <v>20221</v>
      </c>
      <c r="H3924" s="994" t="s">
        <v>3907</v>
      </c>
      <c r="I3924" s="11" t="s">
        <v>5464</v>
      </c>
      <c r="J3924" s="1285"/>
      <c r="K3924" s="1285"/>
      <c r="L3924" s="1285"/>
    </row>
    <row r="3925" spans="1:12" ht="11.15" customHeight="1">
      <c r="A3925" s="357" t="s">
        <v>5463</v>
      </c>
      <c r="B3925" s="59" t="s">
        <v>20885</v>
      </c>
      <c r="C3925" s="147" t="s">
        <v>20221</v>
      </c>
      <c r="D3925" s="284" t="s">
        <v>897</v>
      </c>
      <c r="E3925" s="178">
        <v>2022</v>
      </c>
      <c r="F3925" s="178" t="s">
        <v>4520</v>
      </c>
      <c r="G3925" s="496"/>
      <c r="H3925" s="994" t="s">
        <v>20221</v>
      </c>
      <c r="I3925" s="11" t="s">
        <v>5466</v>
      </c>
      <c r="J3925" s="1285"/>
      <c r="K3925" s="1285"/>
      <c r="L3925" s="1285"/>
    </row>
    <row r="3926" spans="1:12" ht="11.15" customHeight="1">
      <c r="A3926" s="424" t="s">
        <v>5465</v>
      </c>
      <c r="B3926" s="59" t="s">
        <v>20690</v>
      </c>
      <c r="C3926" s="147" t="s">
        <v>20221</v>
      </c>
      <c r="D3926" s="284" t="s">
        <v>897</v>
      </c>
      <c r="E3926" s="178">
        <v>2022</v>
      </c>
      <c r="F3926" s="178" t="s">
        <v>4520</v>
      </c>
      <c r="G3926" s="496"/>
      <c r="H3926" s="994" t="s">
        <v>20221</v>
      </c>
      <c r="I3926" s="11" t="s">
        <v>5467</v>
      </c>
      <c r="J3926" s="1285"/>
      <c r="K3926" s="1285"/>
      <c r="L3926" s="1285"/>
    </row>
    <row r="3927" spans="1:12" ht="11.15" customHeight="1">
      <c r="A3927" s="29"/>
      <c r="B3927" s="59" t="s">
        <v>20690</v>
      </c>
      <c r="C3927" s="147" t="s">
        <v>20221</v>
      </c>
      <c r="D3927" s="284" t="s">
        <v>897</v>
      </c>
      <c r="E3927" s="178">
        <v>2021</v>
      </c>
      <c r="F3927" s="178" t="s">
        <v>4520</v>
      </c>
      <c r="G3927" s="496"/>
      <c r="H3927" s="994" t="s">
        <v>20221</v>
      </c>
      <c r="I3927" s="11" t="s">
        <v>5468</v>
      </c>
      <c r="J3927" s="1285"/>
      <c r="K3927" s="1285"/>
      <c r="L3927" s="1285"/>
    </row>
    <row r="3928" spans="1:12" ht="11.15" customHeight="1">
      <c r="A3928" s="185"/>
      <c r="B3928" s="59" t="s">
        <v>20690</v>
      </c>
      <c r="C3928" s="147" t="s">
        <v>20221</v>
      </c>
      <c r="D3928" s="284" t="s">
        <v>897</v>
      </c>
      <c r="E3928" s="178">
        <v>2020</v>
      </c>
      <c r="F3928" s="178" t="s">
        <v>4520</v>
      </c>
      <c r="G3928" s="496"/>
      <c r="H3928" s="994" t="s">
        <v>20221</v>
      </c>
      <c r="I3928" s="11" t="s">
        <v>5469</v>
      </c>
      <c r="J3928" s="1285"/>
      <c r="K3928" s="1285"/>
      <c r="L3928" s="1285"/>
    </row>
    <row r="3929" spans="1:12" ht="11.15" customHeight="1">
      <c r="A3929" s="185"/>
      <c r="B3929" s="59" t="s">
        <v>20690</v>
      </c>
      <c r="C3929" s="147" t="s">
        <v>20221</v>
      </c>
      <c r="D3929" s="284" t="s">
        <v>897</v>
      </c>
      <c r="E3929" s="178">
        <v>2019</v>
      </c>
      <c r="F3929" s="178" t="s">
        <v>4520</v>
      </c>
      <c r="G3929" s="496"/>
      <c r="H3929" s="994" t="s">
        <v>20221</v>
      </c>
      <c r="I3929" s="11" t="s">
        <v>5470</v>
      </c>
      <c r="J3929" s="1285"/>
      <c r="K3929" s="1285"/>
      <c r="L3929" s="1285"/>
    </row>
    <row r="3930" spans="1:12" ht="11.15" customHeight="1">
      <c r="A3930" s="185"/>
      <c r="B3930" s="59" t="s">
        <v>20690</v>
      </c>
      <c r="C3930" s="147" t="s">
        <v>20221</v>
      </c>
      <c r="D3930" s="284" t="s">
        <v>897</v>
      </c>
      <c r="E3930" s="178">
        <v>2018</v>
      </c>
      <c r="F3930" s="178" t="s">
        <v>4520</v>
      </c>
      <c r="G3930" s="496"/>
      <c r="H3930" s="994" t="s">
        <v>20277</v>
      </c>
      <c r="I3930" s="11" t="s">
        <v>5471</v>
      </c>
      <c r="J3930" s="1285"/>
      <c r="K3930" s="1285"/>
      <c r="L3930" s="1285"/>
    </row>
    <row r="3931" spans="1:12" ht="11.15" customHeight="1">
      <c r="A3931" s="185"/>
      <c r="B3931" s="59" t="s">
        <v>20886</v>
      </c>
      <c r="C3931" s="147" t="s">
        <v>20221</v>
      </c>
      <c r="D3931" s="284" t="s">
        <v>897</v>
      </c>
      <c r="E3931" s="178">
        <v>2022</v>
      </c>
      <c r="F3931" s="178" t="s">
        <v>4520</v>
      </c>
      <c r="G3931" s="496"/>
      <c r="H3931" s="994" t="s">
        <v>20221</v>
      </c>
      <c r="I3931" s="11" t="s">
        <v>5472</v>
      </c>
      <c r="J3931" s="1285"/>
      <c r="K3931" s="1285"/>
      <c r="L3931" s="1285"/>
    </row>
    <row r="3932" spans="1:12" ht="11.15" customHeight="1">
      <c r="A3932" s="185"/>
      <c r="B3932" s="59" t="s">
        <v>20886</v>
      </c>
      <c r="C3932" s="147" t="s">
        <v>20221</v>
      </c>
      <c r="D3932" s="284" t="s">
        <v>897</v>
      </c>
      <c r="E3932" s="178">
        <v>2021</v>
      </c>
      <c r="F3932" s="178" t="s">
        <v>4520</v>
      </c>
      <c r="G3932" s="496"/>
      <c r="H3932" s="994" t="s">
        <v>20221</v>
      </c>
      <c r="I3932" s="11" t="s">
        <v>5473</v>
      </c>
      <c r="J3932" s="1285"/>
      <c r="K3932" s="1285"/>
      <c r="L3932" s="1285"/>
    </row>
    <row r="3933" spans="1:12" ht="11.15" customHeight="1">
      <c r="A3933" s="185"/>
      <c r="B3933" s="59" t="s">
        <v>20886</v>
      </c>
      <c r="C3933" s="147" t="s">
        <v>20221</v>
      </c>
      <c r="D3933" s="284" t="s">
        <v>897</v>
      </c>
      <c r="E3933" s="178">
        <v>2020</v>
      </c>
      <c r="F3933" s="178" t="s">
        <v>4520</v>
      </c>
      <c r="G3933" s="496"/>
      <c r="H3933" s="994" t="s">
        <v>20221</v>
      </c>
      <c r="I3933" s="11" t="s">
        <v>5474</v>
      </c>
      <c r="J3933" s="1285"/>
      <c r="K3933" s="1285"/>
      <c r="L3933" s="1285"/>
    </row>
    <row r="3934" spans="1:12" ht="11.15" customHeight="1">
      <c r="A3934" s="185"/>
      <c r="B3934" s="59" t="s">
        <v>20886</v>
      </c>
      <c r="C3934" s="147" t="s">
        <v>20221</v>
      </c>
      <c r="D3934" s="284" t="s">
        <v>897</v>
      </c>
      <c r="E3934" s="178">
        <v>2019</v>
      </c>
      <c r="F3934" s="178" t="s">
        <v>4520</v>
      </c>
      <c r="G3934" s="496"/>
      <c r="H3934" s="994" t="s">
        <v>20221</v>
      </c>
      <c r="I3934" s="11" t="s">
        <v>5475</v>
      </c>
      <c r="J3934" s="1285"/>
      <c r="K3934" s="1285"/>
      <c r="L3934" s="1285"/>
    </row>
    <row r="3935" spans="1:12" ht="11.15" customHeight="1">
      <c r="A3935" s="185"/>
      <c r="B3935" s="59" t="s">
        <v>20886</v>
      </c>
      <c r="C3935" s="147" t="s">
        <v>20221</v>
      </c>
      <c r="D3935" s="284" t="s">
        <v>897</v>
      </c>
      <c r="E3935" s="178">
        <v>2018</v>
      </c>
      <c r="F3935" s="178" t="s">
        <v>4520</v>
      </c>
      <c r="G3935" s="496"/>
      <c r="H3935" s="994" t="s">
        <v>20221</v>
      </c>
      <c r="I3935" s="11" t="s">
        <v>5476</v>
      </c>
      <c r="J3935" s="1285"/>
      <c r="K3935" s="1285"/>
      <c r="L3935" s="1285"/>
    </row>
    <row r="3936" spans="1:12" ht="11.15" customHeight="1">
      <c r="A3936" s="185"/>
      <c r="B3936" s="177" t="s">
        <v>5477</v>
      </c>
      <c r="C3936" s="147"/>
      <c r="D3936" s="161"/>
      <c r="E3936" s="36"/>
      <c r="F3936" s="178"/>
      <c r="G3936" s="429"/>
      <c r="H3936" s="36"/>
      <c r="I3936" s="11"/>
    </row>
    <row r="3937" spans="1:12" ht="11.15" customHeight="1">
      <c r="A3937" s="185"/>
      <c r="B3937" s="59" t="s">
        <v>20887</v>
      </c>
      <c r="C3937" s="147" t="s">
        <v>20221</v>
      </c>
      <c r="D3937" s="284" t="s">
        <v>897</v>
      </c>
      <c r="E3937" s="178">
        <v>2022</v>
      </c>
      <c r="F3937" s="178" t="s">
        <v>5257</v>
      </c>
      <c r="G3937" s="496"/>
      <c r="H3937" s="994" t="s">
        <v>20224</v>
      </c>
      <c r="I3937" s="11" t="s">
        <v>5478</v>
      </c>
      <c r="J3937" s="1285"/>
      <c r="K3937" s="1285"/>
      <c r="L3937" s="1285"/>
    </row>
    <row r="3938" spans="1:12" ht="11.15" customHeight="1">
      <c r="A3938" s="185"/>
      <c r="B3938" s="59" t="s">
        <v>20887</v>
      </c>
      <c r="C3938" s="147" t="s">
        <v>20221</v>
      </c>
      <c r="D3938" s="284" t="s">
        <v>897</v>
      </c>
      <c r="E3938" s="178">
        <v>2021</v>
      </c>
      <c r="F3938" s="178" t="s">
        <v>5257</v>
      </c>
      <c r="G3938" s="496"/>
      <c r="H3938" s="994" t="s">
        <v>20224</v>
      </c>
      <c r="I3938" s="11" t="s">
        <v>5479</v>
      </c>
      <c r="J3938" s="1285"/>
      <c r="K3938" s="1285"/>
      <c r="L3938" s="1285"/>
    </row>
    <row r="3939" spans="1:12" ht="11.15" customHeight="1">
      <c r="A3939" s="185"/>
      <c r="B3939" s="59" t="s">
        <v>20887</v>
      </c>
      <c r="C3939" s="147" t="s">
        <v>20221</v>
      </c>
      <c r="D3939" s="284" t="s">
        <v>897</v>
      </c>
      <c r="E3939" s="178">
        <v>2020</v>
      </c>
      <c r="F3939" s="178" t="s">
        <v>5257</v>
      </c>
      <c r="G3939" s="496"/>
      <c r="H3939" s="994" t="s">
        <v>20224</v>
      </c>
      <c r="I3939" s="11" t="s">
        <v>5480</v>
      </c>
      <c r="J3939" s="1285"/>
      <c r="K3939" s="1285"/>
      <c r="L3939" s="1285"/>
    </row>
    <row r="3940" spans="1:12" ht="11.15" customHeight="1">
      <c r="A3940" s="185"/>
      <c r="B3940" s="59" t="s">
        <v>20887</v>
      </c>
      <c r="C3940" s="147" t="s">
        <v>20221</v>
      </c>
      <c r="D3940" s="284" t="s">
        <v>897</v>
      </c>
      <c r="E3940" s="178">
        <v>2019</v>
      </c>
      <c r="F3940" s="178" t="s">
        <v>11931</v>
      </c>
      <c r="G3940" s="496"/>
      <c r="H3940" s="994" t="s">
        <v>20224</v>
      </c>
      <c r="I3940" s="11" t="s">
        <v>5481</v>
      </c>
      <c r="J3940" s="1285"/>
      <c r="K3940" s="1285"/>
      <c r="L3940" s="1285"/>
    </row>
    <row r="3941" spans="1:12" ht="11.15" customHeight="1">
      <c r="A3941" s="185"/>
      <c r="B3941" s="177" t="s">
        <v>5482</v>
      </c>
      <c r="C3941" s="147"/>
      <c r="D3941" s="161"/>
      <c r="E3941" s="36"/>
      <c r="F3941" s="178"/>
      <c r="G3941" s="429"/>
      <c r="H3941" s="36"/>
      <c r="I3941" s="11"/>
    </row>
    <row r="3942" spans="1:12" ht="11.15" customHeight="1">
      <c r="A3942" s="185"/>
      <c r="B3942" s="59" t="s">
        <v>20888</v>
      </c>
      <c r="C3942" s="147" t="s">
        <v>20221</v>
      </c>
      <c r="D3942" s="284" t="s">
        <v>897</v>
      </c>
      <c r="E3942" s="178">
        <v>2022</v>
      </c>
      <c r="F3942" s="178" t="s">
        <v>5257</v>
      </c>
      <c r="G3942" s="496"/>
      <c r="H3942" s="994" t="s">
        <v>20224</v>
      </c>
      <c r="I3942" s="11" t="s">
        <v>5483</v>
      </c>
      <c r="J3942" s="1285"/>
      <c r="K3942" s="1285"/>
      <c r="L3942" s="1285"/>
    </row>
    <row r="3943" spans="1:12" ht="11.15" customHeight="1">
      <c r="A3943" s="185"/>
      <c r="B3943" s="59" t="s">
        <v>20888</v>
      </c>
      <c r="C3943" s="147" t="s">
        <v>20221</v>
      </c>
      <c r="D3943" s="284" t="s">
        <v>897</v>
      </c>
      <c r="E3943" s="178">
        <v>2021</v>
      </c>
      <c r="F3943" s="178" t="s">
        <v>5257</v>
      </c>
      <c r="G3943" s="496"/>
      <c r="H3943" s="994" t="s">
        <v>20224</v>
      </c>
      <c r="I3943" s="11" t="s">
        <v>5484</v>
      </c>
      <c r="J3943" s="1285"/>
      <c r="K3943" s="1285"/>
      <c r="L3943" s="1285"/>
    </row>
    <row r="3944" spans="1:12" ht="11.15" customHeight="1">
      <c r="A3944" s="185"/>
      <c r="B3944" s="59" t="s">
        <v>20888</v>
      </c>
      <c r="C3944" s="147" t="s">
        <v>20221</v>
      </c>
      <c r="D3944" s="284" t="s">
        <v>897</v>
      </c>
      <c r="E3944" s="178">
        <v>2020</v>
      </c>
      <c r="F3944" s="178" t="s">
        <v>5257</v>
      </c>
      <c r="G3944" s="496"/>
      <c r="H3944" s="994" t="s">
        <v>20224</v>
      </c>
      <c r="I3944" s="11" t="s">
        <v>5485</v>
      </c>
      <c r="J3944" s="1285"/>
      <c r="K3944" s="1285"/>
      <c r="L3944" s="1285"/>
    </row>
    <row r="3945" spans="1:12" ht="11.15" customHeight="1">
      <c r="A3945" s="185"/>
      <c r="B3945" s="59" t="s">
        <v>20888</v>
      </c>
      <c r="C3945" s="147" t="s">
        <v>20221</v>
      </c>
      <c r="D3945" s="284" t="s">
        <v>897</v>
      </c>
      <c r="E3945" s="178">
        <v>2019</v>
      </c>
      <c r="F3945" s="178" t="s">
        <v>11931</v>
      </c>
      <c r="G3945" s="496"/>
      <c r="H3945" s="994" t="s">
        <v>20224</v>
      </c>
      <c r="I3945" s="11" t="s">
        <v>5486</v>
      </c>
      <c r="J3945" s="1285"/>
      <c r="K3945" s="1285"/>
      <c r="L3945" s="1285"/>
    </row>
    <row r="3946" spans="1:12" ht="11.15" customHeight="1">
      <c r="A3946" s="185"/>
      <c r="B3946" s="59" t="s">
        <v>20889</v>
      </c>
      <c r="C3946" s="147" t="s">
        <v>20221</v>
      </c>
      <c r="D3946" s="284" t="s">
        <v>897</v>
      </c>
      <c r="E3946" s="178">
        <v>2022</v>
      </c>
      <c r="F3946" s="178" t="s">
        <v>5257</v>
      </c>
      <c r="G3946" s="496"/>
      <c r="H3946" s="994" t="s">
        <v>20224</v>
      </c>
      <c r="I3946" s="11" t="s">
        <v>5487</v>
      </c>
      <c r="J3946" s="1285"/>
      <c r="K3946" s="1285"/>
      <c r="L3946" s="1285"/>
    </row>
    <row r="3947" spans="1:12" ht="11.15" customHeight="1">
      <c r="A3947" s="185"/>
      <c r="B3947" s="59" t="s">
        <v>20889</v>
      </c>
      <c r="C3947" s="147" t="s">
        <v>20221</v>
      </c>
      <c r="D3947" s="284" t="s">
        <v>897</v>
      </c>
      <c r="E3947" s="178">
        <v>2021</v>
      </c>
      <c r="F3947" s="178" t="s">
        <v>5257</v>
      </c>
      <c r="G3947" s="496"/>
      <c r="H3947" s="994" t="s">
        <v>20224</v>
      </c>
      <c r="I3947" s="11" t="s">
        <v>5488</v>
      </c>
      <c r="J3947" s="1285"/>
      <c r="K3947" s="1285"/>
      <c r="L3947" s="1285"/>
    </row>
    <row r="3948" spans="1:12" ht="11.15" customHeight="1">
      <c r="A3948" s="185"/>
      <c r="B3948" s="59" t="s">
        <v>20889</v>
      </c>
      <c r="C3948" s="147" t="s">
        <v>20221</v>
      </c>
      <c r="D3948" s="284" t="s">
        <v>897</v>
      </c>
      <c r="E3948" s="178">
        <v>2019</v>
      </c>
      <c r="F3948" s="178" t="s">
        <v>11931</v>
      </c>
      <c r="G3948" s="496"/>
      <c r="H3948" s="994" t="s">
        <v>20224</v>
      </c>
      <c r="I3948" s="12" t="s">
        <v>5489</v>
      </c>
      <c r="J3948" s="1285"/>
      <c r="K3948" s="1285"/>
      <c r="L3948" s="1285"/>
    </row>
    <row r="3949" spans="1:12" ht="11.15" customHeight="1">
      <c r="A3949" s="185"/>
      <c r="B3949" s="59" t="s">
        <v>20778</v>
      </c>
      <c r="C3949" s="147" t="s">
        <v>20221</v>
      </c>
      <c r="D3949" s="284" t="s">
        <v>897</v>
      </c>
      <c r="E3949" s="178">
        <v>2022</v>
      </c>
      <c r="F3949" s="178" t="s">
        <v>5257</v>
      </c>
      <c r="G3949" s="496"/>
      <c r="H3949" s="994" t="s">
        <v>20224</v>
      </c>
      <c r="I3949" s="11" t="s">
        <v>5490</v>
      </c>
      <c r="J3949" s="1285"/>
      <c r="K3949" s="1285"/>
      <c r="L3949" s="1285"/>
    </row>
    <row r="3950" spans="1:12" ht="11.15" customHeight="1">
      <c r="A3950" s="185"/>
      <c r="B3950" s="59" t="s">
        <v>20778</v>
      </c>
      <c r="C3950" s="147" t="s">
        <v>20221</v>
      </c>
      <c r="D3950" s="284" t="s">
        <v>897</v>
      </c>
      <c r="E3950" s="178">
        <v>2021</v>
      </c>
      <c r="F3950" s="178" t="s">
        <v>5257</v>
      </c>
      <c r="G3950" s="496"/>
      <c r="H3950" s="994" t="s">
        <v>20224</v>
      </c>
      <c r="I3950" s="12" t="s">
        <v>5491</v>
      </c>
      <c r="J3950" s="1285"/>
      <c r="K3950" s="1285"/>
      <c r="L3950" s="1285"/>
    </row>
    <row r="3951" spans="1:12" ht="11.15" customHeight="1">
      <c r="A3951" s="185"/>
      <c r="B3951" s="59" t="s">
        <v>20778</v>
      </c>
      <c r="C3951" s="147" t="s">
        <v>20221</v>
      </c>
      <c r="D3951" s="284" t="s">
        <v>897</v>
      </c>
      <c r="E3951" s="178">
        <v>2020</v>
      </c>
      <c r="F3951" s="178" t="s">
        <v>5257</v>
      </c>
      <c r="G3951" s="496"/>
      <c r="H3951" s="994" t="s">
        <v>20224</v>
      </c>
      <c r="I3951" s="12" t="s">
        <v>5492</v>
      </c>
      <c r="J3951" s="1285"/>
      <c r="K3951" s="1285"/>
      <c r="L3951" s="1285"/>
    </row>
    <row r="3952" spans="1:12" ht="11.15" customHeight="1">
      <c r="A3952" s="185"/>
      <c r="B3952" s="59"/>
      <c r="C3952" s="147"/>
      <c r="D3952" s="284"/>
      <c r="E3952" s="178"/>
      <c r="F3952" s="178"/>
      <c r="G3952" s="496"/>
      <c r="H3952" s="994"/>
      <c r="I3952" s="12"/>
      <c r="J3952" s="1285"/>
      <c r="K3952" s="1285"/>
      <c r="L3952" s="1285"/>
    </row>
    <row r="3953" spans="1:9" ht="11.15" customHeight="1">
      <c r="A3953" s="185"/>
      <c r="B3953" s="413" t="s">
        <v>5493</v>
      </c>
      <c r="C3953" s="147"/>
      <c r="D3953" s="161"/>
      <c r="E3953" s="36"/>
      <c r="F3953" s="183"/>
      <c r="G3953" s="671"/>
      <c r="H3953" s="34"/>
      <c r="I3953" s="11"/>
    </row>
    <row r="3954" spans="1:9" ht="9" customHeight="1">
      <c r="A3954" s="185"/>
      <c r="B3954" s="150" t="s">
        <v>5494</v>
      </c>
      <c r="C3954" s="147"/>
      <c r="D3954" s="122"/>
      <c r="E3954" s="36"/>
      <c r="F3954" s="178"/>
      <c r="G3954" s="60"/>
      <c r="H3954" s="36"/>
      <c r="I3954" s="11"/>
    </row>
    <row r="3955" spans="1:9" ht="9" customHeight="1">
      <c r="A3955" s="185"/>
      <c r="B3955" s="150" t="s">
        <v>5495</v>
      </c>
      <c r="C3955" s="147"/>
      <c r="D3955" s="122"/>
      <c r="E3955" s="36"/>
      <c r="F3955" s="178"/>
      <c r="G3955" s="60"/>
      <c r="H3955" s="36"/>
      <c r="I3955" s="11"/>
    </row>
    <row r="3956" spans="1:9" ht="9" customHeight="1">
      <c r="A3956" s="185"/>
      <c r="B3956" s="150" t="s">
        <v>5496</v>
      </c>
      <c r="C3956" s="147"/>
      <c r="D3956" s="122"/>
      <c r="E3956" s="36"/>
      <c r="F3956" s="178"/>
      <c r="G3956" s="60"/>
      <c r="H3956" s="36"/>
      <c r="I3956" s="11"/>
    </row>
    <row r="3957" spans="1:9" ht="9" customHeight="1">
      <c r="A3957" s="185"/>
      <c r="B3957" s="150" t="s">
        <v>5497</v>
      </c>
      <c r="C3957" s="147"/>
      <c r="D3957" s="122"/>
      <c r="E3957" s="36"/>
      <c r="F3957" s="178"/>
      <c r="G3957" s="60"/>
      <c r="H3957" s="36"/>
      <c r="I3957" s="11"/>
    </row>
    <row r="3958" spans="1:9" ht="9" customHeight="1">
      <c r="A3958" s="185"/>
      <c r="B3958" s="150" t="s">
        <v>5498</v>
      </c>
      <c r="C3958" s="147"/>
      <c r="D3958" s="122"/>
      <c r="E3958" s="36"/>
      <c r="F3958" s="178"/>
      <c r="G3958" s="60"/>
      <c r="H3958" s="36"/>
      <c r="I3958" s="11"/>
    </row>
    <row r="3959" spans="1:9" ht="9" customHeight="1">
      <c r="A3959" s="29"/>
      <c r="B3959" s="150" t="s">
        <v>5499</v>
      </c>
      <c r="C3959" s="147"/>
      <c r="D3959" s="122"/>
      <c r="E3959" s="90"/>
      <c r="F3959" s="59"/>
      <c r="G3959" s="74"/>
      <c r="H3959" s="90"/>
      <c r="I3959" s="11"/>
    </row>
    <row r="3960" spans="1:9" ht="9" customHeight="1">
      <c r="A3960" s="185"/>
      <c r="B3960" s="150" t="s">
        <v>5500</v>
      </c>
      <c r="C3960" s="147"/>
      <c r="D3960" s="122"/>
      <c r="E3960" s="36"/>
      <c r="F3960" s="178"/>
      <c r="G3960" s="60"/>
      <c r="H3960" s="36"/>
      <c r="I3960" s="11"/>
    </row>
    <row r="3961" spans="1:9" ht="9" customHeight="1">
      <c r="A3961" s="219"/>
      <c r="B3961" s="150" t="s">
        <v>5501</v>
      </c>
      <c r="C3961" s="147"/>
      <c r="D3961" s="122"/>
      <c r="E3961" s="36"/>
      <c r="F3961" s="178"/>
      <c r="G3961" s="60"/>
      <c r="H3961" s="36"/>
      <c r="I3961" s="11"/>
    </row>
    <row r="3962" spans="1:9" ht="9" customHeight="1">
      <c r="A3962" s="219"/>
      <c r="B3962" s="150" t="s">
        <v>5502</v>
      </c>
      <c r="C3962" s="147"/>
      <c r="D3962" s="122"/>
      <c r="E3962" s="36"/>
      <c r="F3962" s="178"/>
      <c r="G3962" s="60"/>
      <c r="H3962" s="36"/>
      <c r="I3962" s="11"/>
    </row>
    <row r="3963" spans="1:9" ht="9" customHeight="1">
      <c r="A3963" s="219"/>
      <c r="B3963" s="150" t="s">
        <v>5503</v>
      </c>
      <c r="C3963" s="147"/>
      <c r="D3963" s="122"/>
      <c r="E3963" s="36"/>
      <c r="F3963" s="178"/>
      <c r="G3963" s="60"/>
      <c r="H3963" s="36"/>
      <c r="I3963" s="11"/>
    </row>
    <row r="3964" spans="1:9" ht="9" customHeight="1">
      <c r="A3964" s="219"/>
      <c r="B3964" s="150" t="s">
        <v>5504</v>
      </c>
      <c r="C3964" s="147"/>
      <c r="D3964" s="122"/>
      <c r="E3964" s="36"/>
      <c r="F3964" s="178"/>
      <c r="G3964" s="60"/>
      <c r="H3964" s="36"/>
      <c r="I3964" s="11"/>
    </row>
    <row r="3965" spans="1:9" ht="9" customHeight="1">
      <c r="A3965" s="219"/>
      <c r="B3965" s="150" t="s">
        <v>5505</v>
      </c>
      <c r="C3965" s="147"/>
      <c r="D3965" s="122"/>
      <c r="E3965" s="36"/>
      <c r="F3965" s="178"/>
      <c r="G3965" s="60"/>
      <c r="H3965" s="36"/>
      <c r="I3965" s="11"/>
    </row>
    <row r="3966" spans="1:9" ht="9" customHeight="1">
      <c r="A3966" s="219"/>
      <c r="B3966" s="150" t="s">
        <v>5506</v>
      </c>
      <c r="C3966" s="147"/>
      <c r="D3966" s="122"/>
      <c r="E3966" s="36"/>
      <c r="F3966" s="178"/>
      <c r="G3966" s="60"/>
      <c r="H3966" s="36"/>
      <c r="I3966" s="11"/>
    </row>
    <row r="3967" spans="1:9" ht="9" customHeight="1">
      <c r="A3967" s="219"/>
      <c r="B3967" s="150" t="s">
        <v>5507</v>
      </c>
      <c r="C3967" s="147"/>
      <c r="D3967" s="122"/>
      <c r="E3967" s="36"/>
      <c r="F3967" s="178"/>
      <c r="G3967" s="60"/>
      <c r="H3967" s="36"/>
      <c r="I3967" s="11"/>
    </row>
    <row r="3968" spans="1:9" ht="9" customHeight="1">
      <c r="A3968" s="219"/>
      <c r="B3968" s="150" t="s">
        <v>5508</v>
      </c>
      <c r="C3968" s="147"/>
      <c r="D3968" s="122"/>
      <c r="E3968" s="36"/>
      <c r="F3968" s="178"/>
      <c r="G3968" s="60"/>
      <c r="H3968" s="36"/>
      <c r="I3968" s="11"/>
    </row>
    <row r="3969" spans="1:12" ht="9" customHeight="1" thickBot="1">
      <c r="A3969" s="219"/>
      <c r="B3969" s="150" t="s">
        <v>5509</v>
      </c>
      <c r="C3969" s="147"/>
      <c r="D3969" s="122"/>
      <c r="E3969" s="36"/>
      <c r="F3969" s="178"/>
      <c r="G3969" s="60"/>
      <c r="H3969" s="36"/>
      <c r="I3969" s="11"/>
    </row>
    <row r="3970" spans="1:12" ht="11.15" customHeight="1">
      <c r="A3970" s="153" t="s">
        <v>5510</v>
      </c>
      <c r="B3970" s="177" t="s">
        <v>5511</v>
      </c>
      <c r="C3970" s="147"/>
      <c r="D3970" s="122"/>
      <c r="E3970" s="36"/>
      <c r="F3970" s="178"/>
      <c r="G3970" s="60"/>
      <c r="H3970" s="36"/>
      <c r="I3970" s="11"/>
    </row>
    <row r="3971" spans="1:12" ht="11.15" customHeight="1" thickBot="1">
      <c r="A3971" s="230" t="s">
        <v>5512</v>
      </c>
      <c r="B3971" s="59" t="s">
        <v>20890</v>
      </c>
      <c r="C3971" s="147" t="s">
        <v>23393</v>
      </c>
      <c r="D3971" s="701" t="s">
        <v>1129</v>
      </c>
      <c r="E3971" s="178">
        <v>2022</v>
      </c>
      <c r="F3971" s="178" t="s">
        <v>4520</v>
      </c>
      <c r="G3971" s="496"/>
      <c r="H3971" s="994" t="s">
        <v>20221</v>
      </c>
      <c r="I3971" s="11" t="s">
        <v>5513</v>
      </c>
      <c r="J3971" s="1285"/>
      <c r="K3971" s="1285"/>
      <c r="L3971" s="1285"/>
    </row>
    <row r="3972" spans="1:12" ht="11.15" customHeight="1">
      <c r="A3972" s="29" t="s">
        <v>5514</v>
      </c>
      <c r="B3972" s="59" t="s">
        <v>20890</v>
      </c>
      <c r="C3972" s="147" t="s">
        <v>23393</v>
      </c>
      <c r="D3972" s="701" t="s">
        <v>1129</v>
      </c>
      <c r="E3972" s="178">
        <v>2021</v>
      </c>
      <c r="F3972" s="178" t="s">
        <v>4520</v>
      </c>
      <c r="G3972" s="496"/>
      <c r="H3972" s="994" t="s">
        <v>20221</v>
      </c>
      <c r="I3972" s="11" t="s">
        <v>5515</v>
      </c>
      <c r="J3972" s="1285"/>
      <c r="K3972" s="1285"/>
      <c r="L3972" s="1285"/>
    </row>
    <row r="3973" spans="1:12" ht="11.15" customHeight="1">
      <c r="A3973" s="29" t="s">
        <v>5516</v>
      </c>
      <c r="B3973" s="59" t="s">
        <v>20890</v>
      </c>
      <c r="C3973" s="147" t="s">
        <v>23393</v>
      </c>
      <c r="D3973" s="701" t="s">
        <v>1129</v>
      </c>
      <c r="E3973" s="178">
        <v>2020</v>
      </c>
      <c r="F3973" s="178" t="s">
        <v>4520</v>
      </c>
      <c r="G3973" s="496"/>
      <c r="H3973" s="994" t="s">
        <v>20221</v>
      </c>
      <c r="I3973" s="11" t="s">
        <v>5517</v>
      </c>
      <c r="J3973" s="1285"/>
      <c r="K3973" s="1285"/>
      <c r="L3973" s="1285"/>
    </row>
    <row r="3974" spans="1:12" ht="11.15" customHeight="1">
      <c r="A3974" s="29" t="s">
        <v>5518</v>
      </c>
      <c r="B3974" s="59" t="s">
        <v>20890</v>
      </c>
      <c r="C3974" s="147" t="s">
        <v>23393</v>
      </c>
      <c r="D3974" s="701" t="s">
        <v>1129</v>
      </c>
      <c r="E3974" s="178">
        <v>2019</v>
      </c>
      <c r="F3974" s="178" t="s">
        <v>4520</v>
      </c>
      <c r="G3974" s="496"/>
      <c r="H3974" s="994" t="s">
        <v>20221</v>
      </c>
      <c r="I3974" s="11" t="s">
        <v>5519</v>
      </c>
      <c r="J3974" s="1285"/>
      <c r="K3974" s="1285"/>
      <c r="L3974" s="1285"/>
    </row>
    <row r="3975" spans="1:12" ht="11.15" customHeight="1">
      <c r="A3975" s="29" t="s">
        <v>5520</v>
      </c>
      <c r="B3975" s="59" t="s">
        <v>20890</v>
      </c>
      <c r="C3975" s="147" t="s">
        <v>20221</v>
      </c>
      <c r="D3975" s="701" t="s">
        <v>1129</v>
      </c>
      <c r="E3975" s="178">
        <v>2018</v>
      </c>
      <c r="F3975" s="178" t="s">
        <v>4520</v>
      </c>
      <c r="G3975" s="496"/>
      <c r="H3975" s="994" t="s">
        <v>20221</v>
      </c>
      <c r="I3975" s="11" t="s">
        <v>5521</v>
      </c>
      <c r="J3975" s="1285"/>
      <c r="K3975" s="1285"/>
      <c r="L3975" s="1285"/>
    </row>
    <row r="3976" spans="1:12" ht="11.15" customHeight="1">
      <c r="A3976" s="29" t="s">
        <v>5522</v>
      </c>
      <c r="B3976" s="59" t="s">
        <v>20890</v>
      </c>
      <c r="C3976" s="147" t="s">
        <v>20221</v>
      </c>
      <c r="D3976" s="701" t="s">
        <v>1129</v>
      </c>
      <c r="E3976" s="178">
        <v>2017</v>
      </c>
      <c r="F3976" s="178" t="s">
        <v>4520</v>
      </c>
      <c r="G3976" s="496"/>
      <c r="H3976" s="994" t="s">
        <v>20221</v>
      </c>
      <c r="I3976" s="11" t="s">
        <v>4097</v>
      </c>
      <c r="J3976" s="1285"/>
      <c r="K3976" s="1285"/>
      <c r="L3976" s="1285"/>
    </row>
    <row r="3977" spans="1:12" ht="11.15" customHeight="1">
      <c r="A3977" s="29" t="s">
        <v>5523</v>
      </c>
      <c r="B3977" s="177" t="s">
        <v>5524</v>
      </c>
      <c r="C3977" s="147"/>
      <c r="D3977" s="159"/>
      <c r="E3977" s="36"/>
      <c r="F3977" s="178"/>
      <c r="G3977" s="671"/>
      <c r="H3977" s="36"/>
      <c r="I3977" s="11"/>
    </row>
    <row r="3978" spans="1:12" ht="11.15" customHeight="1">
      <c r="A3978" s="29" t="s">
        <v>5525</v>
      </c>
      <c r="B3978" s="59" t="s">
        <v>18923</v>
      </c>
      <c r="C3978" s="147" t="s">
        <v>20221</v>
      </c>
      <c r="D3978" s="701" t="s">
        <v>1129</v>
      </c>
      <c r="E3978" s="178">
        <v>2022</v>
      </c>
      <c r="F3978" s="178" t="s">
        <v>4520</v>
      </c>
      <c r="G3978" s="496"/>
      <c r="H3978" s="994" t="s">
        <v>20221</v>
      </c>
      <c r="I3978" s="11" t="s">
        <v>5526</v>
      </c>
      <c r="J3978" s="1285"/>
      <c r="K3978" s="1285"/>
      <c r="L3978" s="1285"/>
    </row>
    <row r="3979" spans="1:12" ht="11.15" customHeight="1">
      <c r="A3979" s="181" t="s">
        <v>2481</v>
      </c>
      <c r="B3979" s="59" t="s">
        <v>18923</v>
      </c>
      <c r="C3979" s="147" t="s">
        <v>20221</v>
      </c>
      <c r="D3979" s="701" t="s">
        <v>1129</v>
      </c>
      <c r="E3979" s="178">
        <v>2021</v>
      </c>
      <c r="F3979" s="178" t="s">
        <v>4520</v>
      </c>
      <c r="G3979" s="496"/>
      <c r="H3979" s="994" t="s">
        <v>20221</v>
      </c>
      <c r="I3979" s="11" t="s">
        <v>5527</v>
      </c>
      <c r="J3979" s="1285"/>
      <c r="K3979" s="1285"/>
      <c r="L3979" s="1285"/>
    </row>
    <row r="3980" spans="1:12" ht="11.15" customHeight="1">
      <c r="A3980" s="181" t="s">
        <v>5528</v>
      </c>
      <c r="B3980" s="59" t="s">
        <v>18923</v>
      </c>
      <c r="C3980" s="147" t="s">
        <v>20221</v>
      </c>
      <c r="D3980" s="701" t="s">
        <v>1129</v>
      </c>
      <c r="E3980" s="178">
        <v>2020</v>
      </c>
      <c r="F3980" s="178" t="s">
        <v>4520</v>
      </c>
      <c r="G3980" s="496"/>
      <c r="H3980" s="994" t="s">
        <v>20221</v>
      </c>
      <c r="I3980" s="11" t="s">
        <v>5529</v>
      </c>
      <c r="J3980" s="1285"/>
      <c r="K3980" s="1285"/>
      <c r="L3980" s="1285"/>
    </row>
    <row r="3981" spans="1:12" ht="11.15" customHeight="1">
      <c r="A3981" s="129" t="s">
        <v>1077</v>
      </c>
      <c r="B3981" s="59" t="s">
        <v>18923</v>
      </c>
      <c r="C3981" s="147" t="s">
        <v>20221</v>
      </c>
      <c r="D3981" s="701" t="s">
        <v>1129</v>
      </c>
      <c r="E3981" s="178">
        <v>2019</v>
      </c>
      <c r="F3981" s="178" t="s">
        <v>4520</v>
      </c>
      <c r="G3981" s="496"/>
      <c r="H3981" s="994" t="s">
        <v>20224</v>
      </c>
      <c r="I3981" s="11" t="s">
        <v>5530</v>
      </c>
      <c r="J3981" s="1285"/>
      <c r="K3981" s="1285"/>
      <c r="L3981" s="1285"/>
    </row>
    <row r="3982" spans="1:12" ht="11.15" customHeight="1">
      <c r="A3982" s="162" t="s">
        <v>5531</v>
      </c>
      <c r="B3982" s="59" t="s">
        <v>18923</v>
      </c>
      <c r="C3982" s="147" t="s">
        <v>20221</v>
      </c>
      <c r="D3982" s="701" t="s">
        <v>1129</v>
      </c>
      <c r="E3982" s="178">
        <v>2018</v>
      </c>
      <c r="F3982" s="178" t="s">
        <v>4520</v>
      </c>
      <c r="G3982" s="496"/>
      <c r="H3982" s="994" t="s">
        <v>20221</v>
      </c>
      <c r="I3982" s="11" t="s">
        <v>5532</v>
      </c>
      <c r="J3982" s="1285"/>
      <c r="K3982" s="1285"/>
      <c r="L3982" s="1285"/>
    </row>
    <row r="3983" spans="1:12" ht="11.15" customHeight="1">
      <c r="A3983" s="162" t="s">
        <v>5533</v>
      </c>
      <c r="B3983" s="59" t="s">
        <v>18923</v>
      </c>
      <c r="C3983" s="147" t="s">
        <v>20221</v>
      </c>
      <c r="D3983" s="701" t="s">
        <v>1129</v>
      </c>
      <c r="E3983" s="178">
        <v>2017</v>
      </c>
      <c r="F3983" s="178" t="s">
        <v>4520</v>
      </c>
      <c r="G3983" s="496"/>
      <c r="H3983" s="994" t="s">
        <v>20277</v>
      </c>
      <c r="I3983" s="11" t="s">
        <v>5534</v>
      </c>
      <c r="J3983" s="1285"/>
      <c r="K3983" s="1285"/>
      <c r="L3983" s="1285"/>
    </row>
    <row r="3984" spans="1:12" ht="11.15" customHeight="1">
      <c r="A3984" s="162" t="s">
        <v>5535</v>
      </c>
      <c r="B3984" s="59" t="s">
        <v>20891</v>
      </c>
      <c r="C3984" s="147" t="s">
        <v>20221</v>
      </c>
      <c r="D3984" s="701" t="s">
        <v>1129</v>
      </c>
      <c r="E3984" s="178">
        <v>2022</v>
      </c>
      <c r="F3984" s="178" t="s">
        <v>5257</v>
      </c>
      <c r="G3984" s="496"/>
      <c r="H3984" s="994" t="s">
        <v>20224</v>
      </c>
      <c r="I3984" s="11" t="s">
        <v>5536</v>
      </c>
      <c r="J3984" s="1285"/>
      <c r="K3984" s="1285"/>
      <c r="L3984" s="1285"/>
    </row>
    <row r="3985" spans="1:12" ht="11.15" customHeight="1">
      <c r="A3985" s="162" t="s">
        <v>5537</v>
      </c>
      <c r="B3985" s="177" t="s">
        <v>4832</v>
      </c>
      <c r="C3985" s="147"/>
      <c r="D3985" s="159"/>
      <c r="E3985" s="36"/>
      <c r="F3985" s="178"/>
      <c r="G3985" s="671"/>
      <c r="H3985" s="36"/>
      <c r="I3985" s="11"/>
    </row>
    <row r="3986" spans="1:12" ht="11.15" customHeight="1">
      <c r="A3986" s="162" t="s">
        <v>5538</v>
      </c>
      <c r="B3986" s="59" t="s">
        <v>20892</v>
      </c>
      <c r="C3986" s="147" t="s">
        <v>23393</v>
      </c>
      <c r="D3986" s="284" t="s">
        <v>897</v>
      </c>
      <c r="E3986" s="178">
        <v>2022</v>
      </c>
      <c r="F3986" s="178" t="s">
        <v>4520</v>
      </c>
      <c r="G3986" s="496"/>
      <c r="H3986" s="994" t="s">
        <v>20221</v>
      </c>
      <c r="I3986" s="11" t="s">
        <v>5539</v>
      </c>
      <c r="J3986" s="1285"/>
      <c r="K3986" s="1285"/>
      <c r="L3986" s="1285"/>
    </row>
    <row r="3987" spans="1:12" ht="11.15" customHeight="1">
      <c r="A3987" s="162" t="s">
        <v>5540</v>
      </c>
      <c r="B3987" s="59" t="s">
        <v>20892</v>
      </c>
      <c r="C3987" s="147" t="s">
        <v>23393</v>
      </c>
      <c r="D3987" s="284" t="s">
        <v>897</v>
      </c>
      <c r="E3987" s="178">
        <v>2021</v>
      </c>
      <c r="F3987" s="178" t="s">
        <v>4520</v>
      </c>
      <c r="G3987" s="496"/>
      <c r="H3987" s="994" t="s">
        <v>20221</v>
      </c>
      <c r="I3987" s="11" t="s">
        <v>5541</v>
      </c>
      <c r="J3987" s="1285"/>
      <c r="K3987" s="1285"/>
      <c r="L3987" s="1285"/>
    </row>
    <row r="3988" spans="1:12" ht="11.15" customHeight="1">
      <c r="A3988" s="162" t="s">
        <v>5542</v>
      </c>
      <c r="B3988" s="59" t="s">
        <v>20892</v>
      </c>
      <c r="C3988" s="147" t="s">
        <v>23393</v>
      </c>
      <c r="D3988" s="284" t="s">
        <v>897</v>
      </c>
      <c r="E3988" s="178">
        <v>2020</v>
      </c>
      <c r="F3988" s="178" t="s">
        <v>4520</v>
      </c>
      <c r="G3988" s="496"/>
      <c r="H3988" s="994" t="s">
        <v>20221</v>
      </c>
      <c r="I3988" s="11" t="s">
        <v>5543</v>
      </c>
      <c r="J3988" s="1285"/>
      <c r="K3988" s="1285"/>
      <c r="L3988" s="1285"/>
    </row>
    <row r="3989" spans="1:12" ht="11.15" customHeight="1">
      <c r="A3989" s="162" t="s">
        <v>5544</v>
      </c>
      <c r="B3989" s="59" t="s">
        <v>20856</v>
      </c>
      <c r="C3989" s="147" t="s">
        <v>20221</v>
      </c>
      <c r="D3989" s="284" t="s">
        <v>897</v>
      </c>
      <c r="E3989" s="178">
        <v>2018</v>
      </c>
      <c r="F3989" s="178" t="s">
        <v>4520</v>
      </c>
      <c r="G3989" s="496"/>
      <c r="H3989" s="994" t="s">
        <v>20221</v>
      </c>
      <c r="I3989" s="11" t="s">
        <v>5545</v>
      </c>
      <c r="J3989" s="1285"/>
      <c r="K3989" s="1285"/>
      <c r="L3989" s="1285"/>
    </row>
    <row r="3990" spans="1:12" ht="11.15" customHeight="1">
      <c r="A3990" s="162" t="s">
        <v>5546</v>
      </c>
      <c r="B3990" s="59" t="s">
        <v>20856</v>
      </c>
      <c r="C3990" s="147" t="s">
        <v>20221</v>
      </c>
      <c r="D3990" s="284" t="s">
        <v>897</v>
      </c>
      <c r="E3990" s="178">
        <v>2017</v>
      </c>
      <c r="F3990" s="178" t="s">
        <v>4520</v>
      </c>
      <c r="G3990" s="496"/>
      <c r="H3990" s="994" t="s">
        <v>20221</v>
      </c>
      <c r="I3990" s="11" t="s">
        <v>5547</v>
      </c>
      <c r="J3990" s="1285"/>
      <c r="K3990" s="1285"/>
      <c r="L3990" s="1285"/>
    </row>
    <row r="3991" spans="1:12" ht="11.15" customHeight="1">
      <c r="A3991" s="162" t="s">
        <v>5548</v>
      </c>
      <c r="B3991" s="59" t="s">
        <v>20856</v>
      </c>
      <c r="C3991" s="147" t="s">
        <v>20221</v>
      </c>
      <c r="D3991" s="284" t="s">
        <v>897</v>
      </c>
      <c r="E3991" s="178">
        <v>2016</v>
      </c>
      <c r="F3991" s="178" t="s">
        <v>4520</v>
      </c>
      <c r="G3991" s="496"/>
      <c r="H3991" s="994" t="s">
        <v>20221</v>
      </c>
      <c r="I3991" s="11" t="s">
        <v>5549</v>
      </c>
      <c r="J3991" s="1285"/>
      <c r="K3991" s="1285"/>
      <c r="L3991" s="1285"/>
    </row>
    <row r="3992" spans="1:12" ht="11.15" customHeight="1">
      <c r="A3992" s="162" t="s">
        <v>5550</v>
      </c>
      <c r="B3992" s="59" t="s">
        <v>20856</v>
      </c>
      <c r="C3992" s="147" t="s">
        <v>20221</v>
      </c>
      <c r="D3992" s="284" t="s">
        <v>897</v>
      </c>
      <c r="E3992" s="178">
        <v>2015</v>
      </c>
      <c r="F3992" s="178" t="s">
        <v>4520</v>
      </c>
      <c r="G3992" s="496"/>
      <c r="H3992" s="994" t="s">
        <v>20224</v>
      </c>
      <c r="I3992" s="11" t="s">
        <v>5551</v>
      </c>
      <c r="J3992" s="1285"/>
      <c r="K3992" s="1285"/>
      <c r="L3992" s="1285"/>
    </row>
    <row r="3993" spans="1:12" ht="11.15" customHeight="1">
      <c r="A3993" s="162" t="s">
        <v>5552</v>
      </c>
      <c r="B3993" s="177" t="s">
        <v>4195</v>
      </c>
      <c r="C3993" s="147"/>
      <c r="D3993" s="159"/>
      <c r="E3993" s="36"/>
      <c r="F3993" s="178"/>
      <c r="G3993" s="671"/>
      <c r="H3993" s="36"/>
      <c r="I3993" s="11"/>
    </row>
    <row r="3994" spans="1:12" ht="11.15" customHeight="1">
      <c r="A3994" s="162" t="s">
        <v>5553</v>
      </c>
      <c r="B3994" s="59" t="s">
        <v>20893</v>
      </c>
      <c r="C3994" s="147" t="s">
        <v>20221</v>
      </c>
      <c r="D3994" s="284" t="s">
        <v>897</v>
      </c>
      <c r="E3994" s="178">
        <v>2021</v>
      </c>
      <c r="F3994" s="178" t="s">
        <v>4520</v>
      </c>
      <c r="G3994" s="496"/>
      <c r="H3994" s="994" t="s">
        <v>20221</v>
      </c>
      <c r="I3994" s="11" t="s">
        <v>5554</v>
      </c>
      <c r="J3994" s="1285"/>
      <c r="K3994" s="1285"/>
      <c r="L3994" s="1285"/>
    </row>
    <row r="3995" spans="1:12" ht="11.15" customHeight="1">
      <c r="A3995" s="162" t="s">
        <v>5555</v>
      </c>
      <c r="B3995" s="59" t="s">
        <v>20893</v>
      </c>
      <c r="C3995" s="147" t="s">
        <v>20221</v>
      </c>
      <c r="D3995" s="284" t="s">
        <v>897</v>
      </c>
      <c r="E3995" s="178">
        <v>2020</v>
      </c>
      <c r="F3995" s="178" t="s">
        <v>4520</v>
      </c>
      <c r="G3995" s="496"/>
      <c r="H3995" s="994" t="s">
        <v>20221</v>
      </c>
      <c r="I3995" s="11" t="s">
        <v>5556</v>
      </c>
      <c r="J3995" s="1285"/>
      <c r="K3995" s="1285"/>
      <c r="L3995" s="1285"/>
    </row>
    <row r="3996" spans="1:12" ht="11.15" customHeight="1">
      <c r="A3996" s="162" t="s">
        <v>5557</v>
      </c>
      <c r="B3996" s="59" t="s">
        <v>20893</v>
      </c>
      <c r="C3996" s="147" t="s">
        <v>20221</v>
      </c>
      <c r="D3996" s="284" t="s">
        <v>897</v>
      </c>
      <c r="E3996" s="178">
        <v>2018</v>
      </c>
      <c r="F3996" s="178" t="s">
        <v>4520</v>
      </c>
      <c r="G3996" s="496"/>
      <c r="H3996" s="994" t="s">
        <v>20221</v>
      </c>
      <c r="I3996" s="11" t="s">
        <v>5558</v>
      </c>
      <c r="J3996" s="1285"/>
      <c r="K3996" s="1285"/>
      <c r="L3996" s="1285"/>
    </row>
    <row r="3997" spans="1:12" ht="11.15" customHeight="1">
      <c r="A3997" s="162" t="s">
        <v>5559</v>
      </c>
      <c r="B3997" s="59" t="s">
        <v>20893</v>
      </c>
      <c r="C3997" s="147" t="s">
        <v>20221</v>
      </c>
      <c r="D3997" s="284" t="s">
        <v>897</v>
      </c>
      <c r="E3997" s="178">
        <v>2017</v>
      </c>
      <c r="F3997" s="178" t="s">
        <v>4520</v>
      </c>
      <c r="G3997" s="496"/>
      <c r="H3997" s="994" t="s">
        <v>20221</v>
      </c>
      <c r="I3997" s="11" t="s">
        <v>5560</v>
      </c>
      <c r="J3997" s="1285"/>
      <c r="K3997" s="1285"/>
      <c r="L3997" s="1285"/>
    </row>
    <row r="3998" spans="1:12" ht="11.15" customHeight="1">
      <c r="A3998" s="162" t="s">
        <v>5561</v>
      </c>
      <c r="B3998" s="59" t="s">
        <v>20894</v>
      </c>
      <c r="C3998" s="147" t="s">
        <v>23393</v>
      </c>
      <c r="D3998" s="284" t="s">
        <v>897</v>
      </c>
      <c r="E3998" s="178">
        <v>2021</v>
      </c>
      <c r="F3998" s="178" t="s">
        <v>4520</v>
      </c>
      <c r="G3998" s="496"/>
      <c r="H3998" s="994" t="s">
        <v>20221</v>
      </c>
      <c r="I3998" s="11" t="s">
        <v>5562</v>
      </c>
      <c r="J3998" s="1285"/>
      <c r="K3998" s="1285"/>
      <c r="L3998" s="1285"/>
    </row>
    <row r="3999" spans="1:12" ht="11.15" customHeight="1">
      <c r="A3999" s="162" t="s">
        <v>5563</v>
      </c>
      <c r="B3999" s="59" t="s">
        <v>20894</v>
      </c>
      <c r="C3999" s="147" t="s">
        <v>23393</v>
      </c>
      <c r="D3999" s="284" t="s">
        <v>897</v>
      </c>
      <c r="E3999" s="178">
        <v>2020</v>
      </c>
      <c r="F3999" s="178" t="s">
        <v>4520</v>
      </c>
      <c r="G3999" s="496"/>
      <c r="H3999" s="994" t="s">
        <v>20224</v>
      </c>
      <c r="I3999" s="11" t="s">
        <v>5564</v>
      </c>
      <c r="J3999" s="1285"/>
      <c r="K3999" s="1285"/>
      <c r="L3999" s="1285"/>
    </row>
    <row r="4000" spans="1:12" ht="11.15" customHeight="1">
      <c r="A4000" s="162" t="s">
        <v>5565</v>
      </c>
      <c r="B4000" s="59" t="s">
        <v>20894</v>
      </c>
      <c r="C4000" s="147" t="s">
        <v>23393</v>
      </c>
      <c r="D4000" s="284" t="s">
        <v>897</v>
      </c>
      <c r="E4000" s="178">
        <v>2019</v>
      </c>
      <c r="F4000" s="178" t="s">
        <v>4520</v>
      </c>
      <c r="G4000" s="496"/>
      <c r="H4000" s="994" t="s">
        <v>20221</v>
      </c>
      <c r="I4000" s="11" t="s">
        <v>5566</v>
      </c>
      <c r="J4000" s="1285"/>
      <c r="K4000" s="1285"/>
      <c r="L4000" s="1285"/>
    </row>
    <row r="4001" spans="1:12" ht="11.15" customHeight="1">
      <c r="A4001" s="162" t="s">
        <v>5567</v>
      </c>
      <c r="B4001" s="59" t="s">
        <v>20894</v>
      </c>
      <c r="C4001" s="147" t="s">
        <v>20221</v>
      </c>
      <c r="D4001" s="284" t="s">
        <v>897</v>
      </c>
      <c r="E4001" s="178">
        <v>2018</v>
      </c>
      <c r="F4001" s="178" t="s">
        <v>4520</v>
      </c>
      <c r="G4001" s="496"/>
      <c r="H4001" s="994" t="s">
        <v>20221</v>
      </c>
      <c r="I4001" s="11" t="s">
        <v>5568</v>
      </c>
      <c r="J4001" s="1285"/>
      <c r="K4001" s="1285"/>
      <c r="L4001" s="1285"/>
    </row>
    <row r="4002" spans="1:12" ht="11.15" customHeight="1">
      <c r="A4002" s="129" t="s">
        <v>5569</v>
      </c>
      <c r="B4002" s="59" t="s">
        <v>20894</v>
      </c>
      <c r="C4002" s="147" t="s">
        <v>20221</v>
      </c>
      <c r="D4002" s="284" t="s">
        <v>897</v>
      </c>
      <c r="E4002" s="178">
        <v>2017</v>
      </c>
      <c r="F4002" s="178" t="s">
        <v>4520</v>
      </c>
      <c r="G4002" s="496"/>
      <c r="H4002" s="994" t="s">
        <v>20221</v>
      </c>
      <c r="I4002" s="11" t="s">
        <v>5570</v>
      </c>
      <c r="J4002" s="1285"/>
      <c r="K4002" s="1285"/>
      <c r="L4002" s="1285"/>
    </row>
    <row r="4003" spans="1:12" ht="11.15" customHeight="1">
      <c r="A4003" s="291" t="s">
        <v>5571</v>
      </c>
      <c r="B4003" s="59" t="s">
        <v>20894</v>
      </c>
      <c r="C4003" s="147" t="s">
        <v>20221</v>
      </c>
      <c r="D4003" s="284" t="s">
        <v>897</v>
      </c>
      <c r="E4003" s="178">
        <v>2016</v>
      </c>
      <c r="F4003" s="178" t="s">
        <v>4520</v>
      </c>
      <c r="G4003" s="496"/>
      <c r="H4003" s="994" t="s">
        <v>20224</v>
      </c>
      <c r="I4003" s="11" t="s">
        <v>5572</v>
      </c>
      <c r="J4003" s="1285"/>
      <c r="K4003" s="1285"/>
      <c r="L4003" s="1285"/>
    </row>
    <row r="4004" spans="1:12" ht="11.15" customHeight="1">
      <c r="A4004" s="291" t="s">
        <v>5573</v>
      </c>
      <c r="B4004" s="59" t="s">
        <v>20679</v>
      </c>
      <c r="C4004" s="147" t="s">
        <v>20221</v>
      </c>
      <c r="D4004" s="284" t="s">
        <v>897</v>
      </c>
      <c r="E4004" s="178">
        <v>2019</v>
      </c>
      <c r="F4004" s="178" t="s">
        <v>4520</v>
      </c>
      <c r="G4004" s="496"/>
      <c r="H4004" s="994" t="s">
        <v>20221</v>
      </c>
      <c r="I4004" s="11" t="s">
        <v>5574</v>
      </c>
      <c r="J4004" s="1285"/>
      <c r="K4004" s="1285"/>
      <c r="L4004" s="1285"/>
    </row>
    <row r="4005" spans="1:12" ht="11.15" customHeight="1">
      <c r="A4005" s="162" t="s">
        <v>5575</v>
      </c>
      <c r="B4005" s="59" t="s">
        <v>20895</v>
      </c>
      <c r="C4005" s="147" t="s">
        <v>20221</v>
      </c>
      <c r="D4005" s="284" t="s">
        <v>897</v>
      </c>
      <c r="E4005" s="178">
        <v>2014</v>
      </c>
      <c r="F4005" s="178" t="s">
        <v>4520</v>
      </c>
      <c r="G4005" s="496"/>
      <c r="H4005" s="994" t="s">
        <v>20221</v>
      </c>
      <c r="I4005" s="11" t="s">
        <v>5576</v>
      </c>
      <c r="J4005" s="1285"/>
      <c r="K4005" s="1285"/>
      <c r="L4005" s="1285"/>
    </row>
    <row r="4006" spans="1:12" ht="11.15" customHeight="1">
      <c r="A4006" s="162" t="s">
        <v>5577</v>
      </c>
      <c r="B4006" s="59" t="s">
        <v>20896</v>
      </c>
      <c r="C4006" s="147" t="s">
        <v>20221</v>
      </c>
      <c r="D4006" s="284" t="s">
        <v>897</v>
      </c>
      <c r="E4006" s="178">
        <v>2020</v>
      </c>
      <c r="F4006" s="178" t="s">
        <v>4520</v>
      </c>
      <c r="G4006" s="496"/>
      <c r="H4006" s="994" t="s">
        <v>20221</v>
      </c>
      <c r="I4006" s="11" t="s">
        <v>5578</v>
      </c>
      <c r="J4006" s="1285"/>
      <c r="K4006" s="1285"/>
      <c r="L4006" s="1285"/>
    </row>
    <row r="4007" spans="1:12" ht="11.15" customHeight="1">
      <c r="A4007" s="162" t="s">
        <v>5579</v>
      </c>
      <c r="B4007" s="59" t="s">
        <v>20896</v>
      </c>
      <c r="C4007" s="147" t="s">
        <v>20221</v>
      </c>
      <c r="D4007" s="284" t="s">
        <v>897</v>
      </c>
      <c r="E4007" s="178">
        <v>2019</v>
      </c>
      <c r="F4007" s="178" t="s">
        <v>4520</v>
      </c>
      <c r="G4007" s="496"/>
      <c r="H4007" s="994" t="s">
        <v>20224</v>
      </c>
      <c r="I4007" s="11" t="s">
        <v>5580</v>
      </c>
      <c r="J4007" s="1285"/>
      <c r="K4007" s="1285"/>
      <c r="L4007" s="1285"/>
    </row>
    <row r="4008" spans="1:12" ht="11.15" customHeight="1">
      <c r="A4008" s="162" t="s">
        <v>5581</v>
      </c>
      <c r="B4008" s="59" t="s">
        <v>20896</v>
      </c>
      <c r="C4008" s="147" t="s">
        <v>20221</v>
      </c>
      <c r="D4008" s="284" t="s">
        <v>897</v>
      </c>
      <c r="E4008" s="178">
        <v>2018</v>
      </c>
      <c r="F4008" s="178" t="s">
        <v>4520</v>
      </c>
      <c r="G4008" s="496"/>
      <c r="H4008" s="994" t="s">
        <v>20221</v>
      </c>
      <c r="I4008" s="11" t="s">
        <v>5582</v>
      </c>
      <c r="J4008" s="1285"/>
      <c r="K4008" s="1285"/>
      <c r="L4008" s="1285"/>
    </row>
    <row r="4009" spans="1:12" ht="11.15" customHeight="1">
      <c r="A4009" s="162" t="s">
        <v>5583</v>
      </c>
      <c r="B4009" s="59" t="s">
        <v>20896</v>
      </c>
      <c r="C4009" s="147" t="s">
        <v>20221</v>
      </c>
      <c r="D4009" s="284" t="s">
        <v>897</v>
      </c>
      <c r="E4009" s="178">
        <v>2017</v>
      </c>
      <c r="F4009" s="178" t="s">
        <v>4520</v>
      </c>
      <c r="G4009" s="496"/>
      <c r="H4009" s="994" t="s">
        <v>20221</v>
      </c>
      <c r="I4009" s="11" t="s">
        <v>5584</v>
      </c>
      <c r="J4009" s="1285"/>
      <c r="K4009" s="1285"/>
      <c r="L4009" s="1285"/>
    </row>
    <row r="4010" spans="1:12" ht="11.15" customHeight="1">
      <c r="A4010" s="162" t="s">
        <v>5585</v>
      </c>
      <c r="B4010" s="59" t="s">
        <v>20896</v>
      </c>
      <c r="C4010" s="147" t="s">
        <v>20221</v>
      </c>
      <c r="D4010" s="284" t="s">
        <v>897</v>
      </c>
      <c r="E4010" s="178">
        <v>2016</v>
      </c>
      <c r="F4010" s="178" t="s">
        <v>4520</v>
      </c>
      <c r="G4010" s="496"/>
      <c r="H4010" s="994" t="s">
        <v>20221</v>
      </c>
      <c r="I4010" s="11" t="s">
        <v>5586</v>
      </c>
      <c r="J4010" s="1285"/>
      <c r="K4010" s="1285"/>
      <c r="L4010" s="1285"/>
    </row>
    <row r="4011" spans="1:12" ht="11.15" customHeight="1">
      <c r="A4011" s="162" t="s">
        <v>5587</v>
      </c>
      <c r="B4011" s="59" t="s">
        <v>20897</v>
      </c>
      <c r="C4011" s="147" t="s">
        <v>23393</v>
      </c>
      <c r="D4011" s="284" t="s">
        <v>897</v>
      </c>
      <c r="E4011" s="178">
        <v>2021</v>
      </c>
      <c r="F4011" s="178" t="s">
        <v>4520</v>
      </c>
      <c r="G4011" s="496"/>
      <c r="H4011" s="994" t="s">
        <v>20221</v>
      </c>
      <c r="I4011" s="11" t="s">
        <v>5588</v>
      </c>
      <c r="J4011" s="1285"/>
      <c r="K4011" s="1285"/>
      <c r="L4011" s="1285"/>
    </row>
    <row r="4012" spans="1:12" ht="11.15" customHeight="1">
      <c r="A4012" s="162" t="s">
        <v>5589</v>
      </c>
      <c r="B4012" s="59" t="s">
        <v>20897</v>
      </c>
      <c r="C4012" s="147" t="s">
        <v>23393</v>
      </c>
      <c r="D4012" s="284" t="s">
        <v>897</v>
      </c>
      <c r="E4012" s="178">
        <v>2020</v>
      </c>
      <c r="F4012" s="178" t="s">
        <v>4520</v>
      </c>
      <c r="G4012" s="496"/>
      <c r="H4012" s="994" t="s">
        <v>20224</v>
      </c>
      <c r="I4012" s="11" t="s">
        <v>5590</v>
      </c>
      <c r="J4012" s="1285"/>
      <c r="K4012" s="1285"/>
      <c r="L4012" s="1285"/>
    </row>
    <row r="4013" spans="1:12" ht="11.15" customHeight="1">
      <c r="A4013" s="162" t="s">
        <v>5591</v>
      </c>
      <c r="B4013" s="59" t="s">
        <v>20897</v>
      </c>
      <c r="C4013" s="147" t="s">
        <v>23393</v>
      </c>
      <c r="D4013" s="284" t="s">
        <v>897</v>
      </c>
      <c r="E4013" s="178">
        <v>2019</v>
      </c>
      <c r="F4013" s="178" t="s">
        <v>4520</v>
      </c>
      <c r="G4013" s="496"/>
      <c r="H4013" s="994" t="s">
        <v>20224</v>
      </c>
      <c r="I4013" s="11" t="s">
        <v>5592</v>
      </c>
      <c r="J4013" s="1285"/>
      <c r="K4013" s="1285"/>
      <c r="L4013" s="1285"/>
    </row>
    <row r="4014" spans="1:12" ht="11.15" customHeight="1">
      <c r="A4014" s="162" t="s">
        <v>5593</v>
      </c>
      <c r="B4014" s="59" t="s">
        <v>20897</v>
      </c>
      <c r="C4014" s="147" t="s">
        <v>20221</v>
      </c>
      <c r="D4014" s="284" t="s">
        <v>897</v>
      </c>
      <c r="E4014" s="178">
        <v>2018</v>
      </c>
      <c r="F4014" s="178" t="s">
        <v>4520</v>
      </c>
      <c r="G4014" s="496"/>
      <c r="H4014" s="994" t="s">
        <v>20224</v>
      </c>
      <c r="I4014" s="11" t="s">
        <v>5594</v>
      </c>
      <c r="J4014" s="1285"/>
      <c r="K4014" s="1285"/>
      <c r="L4014" s="1285"/>
    </row>
    <row r="4015" spans="1:12" ht="11.15" customHeight="1">
      <c r="A4015" s="162" t="s">
        <v>5595</v>
      </c>
      <c r="B4015" s="177" t="s">
        <v>5597</v>
      </c>
      <c r="C4015" s="147"/>
      <c r="D4015" s="159"/>
      <c r="E4015" s="36"/>
      <c r="F4015" s="178"/>
      <c r="G4015" s="671"/>
      <c r="H4015" s="36"/>
      <c r="I4015" s="11"/>
    </row>
    <row r="4016" spans="1:12" ht="11.15" customHeight="1">
      <c r="A4016" s="162" t="s">
        <v>5596</v>
      </c>
      <c r="B4016" s="59" t="s">
        <v>20898</v>
      </c>
      <c r="C4016" s="147" t="s">
        <v>23393</v>
      </c>
      <c r="D4016" s="284" t="s">
        <v>897</v>
      </c>
      <c r="E4016" s="178">
        <v>2021</v>
      </c>
      <c r="F4016" s="178" t="s">
        <v>23394</v>
      </c>
      <c r="G4016" s="496"/>
      <c r="H4016" s="994" t="s">
        <v>20224</v>
      </c>
      <c r="I4016" s="11" t="s">
        <v>5599</v>
      </c>
      <c r="J4016" s="1285"/>
      <c r="K4016" s="1285"/>
      <c r="L4016" s="1285"/>
    </row>
    <row r="4017" spans="1:12" ht="11.15" customHeight="1">
      <c r="A4017" s="355" t="s">
        <v>5598</v>
      </c>
      <c r="B4017" s="59" t="s">
        <v>20898</v>
      </c>
      <c r="C4017" s="147" t="s">
        <v>23393</v>
      </c>
      <c r="D4017" s="284" t="s">
        <v>897</v>
      </c>
      <c r="E4017" s="178">
        <v>2020</v>
      </c>
      <c r="F4017" s="178" t="s">
        <v>23394</v>
      </c>
      <c r="G4017" s="496"/>
      <c r="H4017" s="994" t="s">
        <v>20224</v>
      </c>
      <c r="I4017" s="11" t="s">
        <v>5601</v>
      </c>
      <c r="J4017" s="1285"/>
      <c r="K4017" s="1285"/>
      <c r="L4017" s="1285"/>
    </row>
    <row r="4018" spans="1:12" ht="11.15" customHeight="1">
      <c r="A4018" s="162" t="s">
        <v>5600</v>
      </c>
      <c r="B4018" s="59" t="s">
        <v>20899</v>
      </c>
      <c r="C4018" s="147" t="s">
        <v>20221</v>
      </c>
      <c r="D4018" s="284" t="s">
        <v>897</v>
      </c>
      <c r="E4018" s="178">
        <v>2019</v>
      </c>
      <c r="F4018" s="178" t="s">
        <v>4520</v>
      </c>
      <c r="G4018" s="496"/>
      <c r="H4018" s="994" t="s">
        <v>20221</v>
      </c>
      <c r="I4018" s="11" t="s">
        <v>5603</v>
      </c>
      <c r="J4018" s="1285"/>
      <c r="K4018" s="1285"/>
      <c r="L4018" s="1285"/>
    </row>
    <row r="4019" spans="1:12" ht="11.15" customHeight="1">
      <c r="A4019" s="162" t="s">
        <v>5602</v>
      </c>
      <c r="B4019" s="59" t="s">
        <v>20899</v>
      </c>
      <c r="C4019" s="147" t="s">
        <v>20221</v>
      </c>
      <c r="D4019" s="284" t="s">
        <v>897</v>
      </c>
      <c r="E4019" s="178">
        <v>2018</v>
      </c>
      <c r="F4019" s="178" t="s">
        <v>4520</v>
      </c>
      <c r="G4019" s="496"/>
      <c r="H4019" s="994" t="s">
        <v>20221</v>
      </c>
      <c r="I4019" s="11" t="s">
        <v>5605</v>
      </c>
      <c r="J4019" s="1285"/>
      <c r="K4019" s="1285"/>
      <c r="L4019" s="1285"/>
    </row>
    <row r="4020" spans="1:12" ht="11.15" customHeight="1">
      <c r="A4020" s="162" t="s">
        <v>5604</v>
      </c>
      <c r="B4020" s="59" t="s">
        <v>20899</v>
      </c>
      <c r="C4020" s="147" t="s">
        <v>20221</v>
      </c>
      <c r="D4020" s="284" t="s">
        <v>897</v>
      </c>
      <c r="E4020" s="178">
        <v>2017</v>
      </c>
      <c r="F4020" s="178" t="s">
        <v>4520</v>
      </c>
      <c r="G4020" s="496"/>
      <c r="H4020" s="994" t="s">
        <v>20221</v>
      </c>
      <c r="I4020" s="11" t="s">
        <v>5607</v>
      </c>
      <c r="J4020" s="1285"/>
      <c r="K4020" s="1285"/>
      <c r="L4020" s="1285"/>
    </row>
    <row r="4021" spans="1:12" ht="11.15" customHeight="1">
      <c r="A4021" s="162" t="s">
        <v>5606</v>
      </c>
      <c r="B4021" s="59" t="s">
        <v>20899</v>
      </c>
      <c r="C4021" s="147" t="s">
        <v>20221</v>
      </c>
      <c r="D4021" s="284" t="s">
        <v>897</v>
      </c>
      <c r="E4021" s="178">
        <v>2016</v>
      </c>
      <c r="F4021" s="178" t="s">
        <v>4520</v>
      </c>
      <c r="G4021" s="496"/>
      <c r="H4021" s="994" t="s">
        <v>20221</v>
      </c>
      <c r="I4021" s="11" t="s">
        <v>5609</v>
      </c>
      <c r="J4021" s="1285"/>
      <c r="K4021" s="1285"/>
      <c r="L4021" s="1285"/>
    </row>
    <row r="4022" spans="1:12" ht="11.15" customHeight="1">
      <c r="A4022" s="162" t="s">
        <v>5608</v>
      </c>
      <c r="B4022" s="59" t="s">
        <v>20899</v>
      </c>
      <c r="C4022" s="147" t="s">
        <v>20221</v>
      </c>
      <c r="D4022" s="284" t="s">
        <v>897</v>
      </c>
      <c r="E4022" s="178">
        <v>2015</v>
      </c>
      <c r="F4022" s="178" t="s">
        <v>4520</v>
      </c>
      <c r="G4022" s="496"/>
      <c r="H4022" s="994" t="s">
        <v>20221</v>
      </c>
      <c r="I4022" s="11" t="s">
        <v>5611</v>
      </c>
      <c r="J4022" s="1285"/>
      <c r="K4022" s="1285"/>
      <c r="L4022" s="1285"/>
    </row>
    <row r="4023" spans="1:12" ht="11.15" customHeight="1">
      <c r="A4023" s="355" t="s">
        <v>5610</v>
      </c>
      <c r="B4023" s="59" t="s">
        <v>20899</v>
      </c>
      <c r="C4023" s="147" t="s">
        <v>20221</v>
      </c>
      <c r="D4023" s="284" t="s">
        <v>897</v>
      </c>
      <c r="E4023" s="178">
        <v>2014</v>
      </c>
      <c r="F4023" s="178" t="s">
        <v>4520</v>
      </c>
      <c r="G4023" s="496"/>
      <c r="H4023" s="994" t="s">
        <v>20221</v>
      </c>
      <c r="I4023" s="11" t="s">
        <v>5613</v>
      </c>
      <c r="J4023" s="1285"/>
      <c r="K4023" s="1285"/>
      <c r="L4023" s="1285"/>
    </row>
    <row r="4024" spans="1:12" ht="11.15" customHeight="1">
      <c r="A4024" s="162" t="s">
        <v>5612</v>
      </c>
      <c r="B4024" s="59" t="s">
        <v>20899</v>
      </c>
      <c r="C4024" s="147" t="s">
        <v>20221</v>
      </c>
      <c r="D4024" s="284" t="s">
        <v>897</v>
      </c>
      <c r="E4024" s="178">
        <v>2013</v>
      </c>
      <c r="F4024" s="178" t="s">
        <v>4520</v>
      </c>
      <c r="G4024" s="496"/>
      <c r="H4024" s="994" t="s">
        <v>20221</v>
      </c>
      <c r="I4024" s="11" t="s">
        <v>5615</v>
      </c>
      <c r="J4024" s="1285"/>
      <c r="K4024" s="1285"/>
      <c r="L4024" s="1285"/>
    </row>
    <row r="4025" spans="1:12" ht="11.15" customHeight="1">
      <c r="A4025" s="162" t="s">
        <v>5614</v>
      </c>
      <c r="B4025" s="59" t="s">
        <v>20899</v>
      </c>
      <c r="C4025" s="147" t="s">
        <v>20221</v>
      </c>
      <c r="D4025" s="284" t="s">
        <v>897</v>
      </c>
      <c r="E4025" s="178">
        <v>2011</v>
      </c>
      <c r="F4025" s="178" t="s">
        <v>4520</v>
      </c>
      <c r="G4025" s="496"/>
      <c r="H4025" s="994" t="s">
        <v>20224</v>
      </c>
      <c r="I4025" s="11" t="s">
        <v>5617</v>
      </c>
      <c r="J4025" s="1285"/>
      <c r="K4025" s="1285"/>
      <c r="L4025" s="1285"/>
    </row>
    <row r="4026" spans="1:12" ht="11.15" customHeight="1">
      <c r="A4026" s="355" t="s">
        <v>5616</v>
      </c>
      <c r="B4026" s="59" t="s">
        <v>20900</v>
      </c>
      <c r="C4026" s="147" t="s">
        <v>20221</v>
      </c>
      <c r="D4026" s="284" t="s">
        <v>897</v>
      </c>
      <c r="E4026" s="178">
        <v>2021</v>
      </c>
      <c r="F4026" s="178" t="s">
        <v>4520</v>
      </c>
      <c r="G4026" s="496"/>
      <c r="H4026" s="994" t="s">
        <v>20221</v>
      </c>
      <c r="I4026" s="11" t="s">
        <v>5619</v>
      </c>
      <c r="J4026" s="1285"/>
      <c r="K4026" s="1285"/>
      <c r="L4026" s="1285"/>
    </row>
    <row r="4027" spans="1:12" ht="11.15" customHeight="1">
      <c r="A4027" s="162" t="s">
        <v>5618</v>
      </c>
      <c r="B4027" s="59" t="s">
        <v>20900</v>
      </c>
      <c r="C4027" s="147" t="s">
        <v>20221</v>
      </c>
      <c r="D4027" s="284" t="s">
        <v>897</v>
      </c>
      <c r="E4027" s="178">
        <v>2020</v>
      </c>
      <c r="F4027" s="178" t="s">
        <v>4520</v>
      </c>
      <c r="G4027" s="496"/>
      <c r="H4027" s="994" t="s">
        <v>20221</v>
      </c>
      <c r="I4027" s="11" t="s">
        <v>5621</v>
      </c>
      <c r="J4027" s="1285"/>
      <c r="K4027" s="1285"/>
      <c r="L4027" s="1285"/>
    </row>
    <row r="4028" spans="1:12" ht="11.15" customHeight="1">
      <c r="A4028" s="162" t="s">
        <v>5620</v>
      </c>
      <c r="B4028" s="59" t="s">
        <v>20900</v>
      </c>
      <c r="C4028" s="147" t="s">
        <v>20221</v>
      </c>
      <c r="D4028" s="284" t="s">
        <v>897</v>
      </c>
      <c r="E4028" s="178">
        <v>2018</v>
      </c>
      <c r="F4028" s="178" t="s">
        <v>4520</v>
      </c>
      <c r="G4028" s="496"/>
      <c r="H4028" s="994" t="s">
        <v>20224</v>
      </c>
      <c r="I4028" s="11" t="s">
        <v>5623</v>
      </c>
      <c r="J4028" s="1285"/>
      <c r="K4028" s="1285"/>
      <c r="L4028" s="1285"/>
    </row>
    <row r="4029" spans="1:12" ht="11.15" customHeight="1" thickBot="1">
      <c r="A4029" s="162" t="s">
        <v>5622</v>
      </c>
      <c r="B4029" s="59" t="s">
        <v>20900</v>
      </c>
      <c r="C4029" s="147" t="s">
        <v>20221</v>
      </c>
      <c r="D4029" s="284" t="s">
        <v>897</v>
      </c>
      <c r="E4029" s="178">
        <v>2017</v>
      </c>
      <c r="F4029" s="178" t="s">
        <v>4520</v>
      </c>
      <c r="G4029" s="496"/>
      <c r="H4029" s="994" t="s">
        <v>20224</v>
      </c>
      <c r="I4029" s="11" t="s">
        <v>5625</v>
      </c>
      <c r="J4029" s="1285"/>
      <c r="K4029" s="1285"/>
      <c r="L4029" s="1285"/>
    </row>
    <row r="4030" spans="1:12" ht="11.15" customHeight="1">
      <c r="A4030" s="418" t="s">
        <v>5624</v>
      </c>
      <c r="B4030" s="59" t="s">
        <v>20900</v>
      </c>
      <c r="C4030" s="147" t="s">
        <v>20221</v>
      </c>
      <c r="D4030" s="284" t="s">
        <v>897</v>
      </c>
      <c r="E4030" s="178">
        <v>2016</v>
      </c>
      <c r="F4030" s="178" t="s">
        <v>4520</v>
      </c>
      <c r="G4030" s="496"/>
      <c r="H4030" s="994" t="s">
        <v>20224</v>
      </c>
      <c r="I4030" s="11" t="s">
        <v>5627</v>
      </c>
      <c r="J4030" s="1285"/>
      <c r="K4030" s="1285"/>
      <c r="L4030" s="1285"/>
    </row>
    <row r="4031" spans="1:12" ht="11.15" customHeight="1" thickBot="1">
      <c r="A4031" s="431" t="s">
        <v>5626</v>
      </c>
      <c r="B4031" s="59" t="s">
        <v>20900</v>
      </c>
      <c r="C4031" s="147" t="s">
        <v>20221</v>
      </c>
      <c r="D4031" s="284" t="s">
        <v>897</v>
      </c>
      <c r="E4031" s="178">
        <v>2014</v>
      </c>
      <c r="F4031" s="178" t="s">
        <v>4520</v>
      </c>
      <c r="G4031" s="496"/>
      <c r="H4031" s="994" t="s">
        <v>20224</v>
      </c>
      <c r="I4031" s="11" t="s">
        <v>5629</v>
      </c>
      <c r="J4031" s="1285"/>
      <c r="K4031" s="1285"/>
      <c r="L4031" s="1285"/>
    </row>
    <row r="4032" spans="1:12" ht="11.15" customHeight="1">
      <c r="A4032" s="169" t="s">
        <v>5628</v>
      </c>
      <c r="B4032" s="59" t="s">
        <v>20900</v>
      </c>
      <c r="C4032" s="147" t="s">
        <v>20221</v>
      </c>
      <c r="D4032" s="284" t="s">
        <v>897</v>
      </c>
      <c r="E4032" s="178">
        <v>2013</v>
      </c>
      <c r="F4032" s="178" t="s">
        <v>4520</v>
      </c>
      <c r="G4032" s="496"/>
      <c r="H4032" s="994" t="s">
        <v>20224</v>
      </c>
      <c r="I4032" s="11" t="s">
        <v>5631</v>
      </c>
      <c r="J4032" s="1285"/>
      <c r="K4032" s="1285"/>
      <c r="L4032" s="1285"/>
    </row>
    <row r="4033" spans="1:12" ht="11.15" customHeight="1">
      <c r="A4033" s="169" t="s">
        <v>5630</v>
      </c>
      <c r="B4033" s="59" t="s">
        <v>20900</v>
      </c>
      <c r="C4033" s="147" t="s">
        <v>20221</v>
      </c>
      <c r="D4033" s="284" t="s">
        <v>897</v>
      </c>
      <c r="E4033" s="178">
        <v>2011</v>
      </c>
      <c r="F4033" s="178" t="s">
        <v>4520</v>
      </c>
      <c r="G4033" s="496"/>
      <c r="H4033" s="994" t="s">
        <v>20224</v>
      </c>
      <c r="I4033" s="11" t="s">
        <v>5633</v>
      </c>
      <c r="J4033" s="1285"/>
      <c r="K4033" s="1285"/>
      <c r="L4033" s="1285"/>
    </row>
    <row r="4034" spans="1:12" ht="11.15" customHeight="1">
      <c r="A4034" s="169" t="s">
        <v>5632</v>
      </c>
      <c r="B4034" s="59" t="s">
        <v>20885</v>
      </c>
      <c r="C4034" s="147" t="s">
        <v>20221</v>
      </c>
      <c r="D4034" s="284" t="s">
        <v>897</v>
      </c>
      <c r="E4034" s="178">
        <v>2021</v>
      </c>
      <c r="F4034" s="178" t="s">
        <v>23394</v>
      </c>
      <c r="G4034" s="496"/>
      <c r="H4034" s="994" t="s">
        <v>20224</v>
      </c>
      <c r="I4034" s="11" t="s">
        <v>5634</v>
      </c>
      <c r="J4034" s="1285"/>
      <c r="K4034" s="1285"/>
      <c r="L4034" s="1285"/>
    </row>
    <row r="4035" spans="1:12" ht="11.15" customHeight="1">
      <c r="A4035" s="166" t="s">
        <v>4075</v>
      </c>
      <c r="B4035" s="59" t="s">
        <v>20885</v>
      </c>
      <c r="C4035" s="147" t="s">
        <v>20221</v>
      </c>
      <c r="D4035" s="284" t="s">
        <v>897</v>
      </c>
      <c r="E4035" s="178">
        <v>2020</v>
      </c>
      <c r="F4035" s="178" t="s">
        <v>4520</v>
      </c>
      <c r="G4035" s="496"/>
      <c r="H4035" s="994" t="s">
        <v>20224</v>
      </c>
      <c r="I4035" s="11" t="s">
        <v>5635</v>
      </c>
      <c r="J4035" s="1285"/>
      <c r="K4035" s="1285"/>
      <c r="L4035" s="1285"/>
    </row>
    <row r="4036" spans="1:12" ht="11.15" customHeight="1">
      <c r="A4036" s="129" t="s">
        <v>2398</v>
      </c>
      <c r="B4036" s="59" t="s">
        <v>20885</v>
      </c>
      <c r="C4036" s="147" t="s">
        <v>20221</v>
      </c>
      <c r="D4036" s="284" t="s">
        <v>897</v>
      </c>
      <c r="E4036" s="178">
        <v>2019</v>
      </c>
      <c r="F4036" s="178" t="s">
        <v>4520</v>
      </c>
      <c r="G4036" s="496"/>
      <c r="H4036" s="994" t="s">
        <v>20221</v>
      </c>
      <c r="I4036" s="11" t="s">
        <v>5637</v>
      </c>
      <c r="J4036" s="1285"/>
      <c r="K4036" s="1285"/>
      <c r="L4036" s="1285"/>
    </row>
    <row r="4037" spans="1:12" ht="11.15" customHeight="1">
      <c r="A4037" s="424" t="s">
        <v>5636</v>
      </c>
      <c r="B4037" s="59" t="s">
        <v>20885</v>
      </c>
      <c r="C4037" s="147" t="s">
        <v>20221</v>
      </c>
      <c r="D4037" s="284" t="s">
        <v>897</v>
      </c>
      <c r="E4037" s="178">
        <v>2018</v>
      </c>
      <c r="F4037" s="178" t="s">
        <v>4520</v>
      </c>
      <c r="G4037" s="496"/>
      <c r="H4037" s="994" t="s">
        <v>20224</v>
      </c>
      <c r="I4037" s="11" t="s">
        <v>5638</v>
      </c>
      <c r="J4037" s="1285"/>
      <c r="K4037" s="1285"/>
      <c r="L4037" s="1285"/>
    </row>
    <row r="4038" spans="1:12" ht="11.15" customHeight="1">
      <c r="A4038" s="29"/>
      <c r="B4038" s="59" t="s">
        <v>20885</v>
      </c>
      <c r="C4038" s="147" t="s">
        <v>20221</v>
      </c>
      <c r="D4038" s="284" t="s">
        <v>897</v>
      </c>
      <c r="E4038" s="178">
        <v>2015</v>
      </c>
      <c r="F4038" s="178" t="s">
        <v>23394</v>
      </c>
      <c r="G4038" s="496"/>
      <c r="H4038" s="994" t="s">
        <v>20224</v>
      </c>
      <c r="I4038" s="11" t="s">
        <v>5639</v>
      </c>
      <c r="J4038" s="1285"/>
      <c r="K4038" s="1285"/>
      <c r="L4038" s="1285"/>
    </row>
    <row r="4039" spans="1:12" ht="11.15" customHeight="1">
      <c r="A4039" s="185"/>
      <c r="B4039" s="59" t="s">
        <v>20901</v>
      </c>
      <c r="C4039" s="147" t="s">
        <v>20221</v>
      </c>
      <c r="D4039" s="284" t="s">
        <v>897</v>
      </c>
      <c r="E4039" s="178">
        <v>2021</v>
      </c>
      <c r="F4039" s="178" t="s">
        <v>23394</v>
      </c>
      <c r="G4039" s="496"/>
      <c r="H4039" s="994" t="s">
        <v>20224</v>
      </c>
      <c r="I4039" s="11" t="s">
        <v>5640</v>
      </c>
      <c r="J4039" s="1285"/>
      <c r="K4039" s="1285"/>
      <c r="L4039" s="1285"/>
    </row>
    <row r="4040" spans="1:12" ht="11.15" customHeight="1">
      <c r="A4040" s="185"/>
      <c r="B4040" s="59" t="s">
        <v>20902</v>
      </c>
      <c r="C4040" s="147" t="s">
        <v>20221</v>
      </c>
      <c r="D4040" s="284" t="s">
        <v>897</v>
      </c>
      <c r="E4040" s="178">
        <v>2019</v>
      </c>
      <c r="F4040" s="178" t="s">
        <v>4520</v>
      </c>
      <c r="G4040" s="496"/>
      <c r="H4040" s="994" t="s">
        <v>20224</v>
      </c>
      <c r="I4040" s="11" t="s">
        <v>5641</v>
      </c>
      <c r="J4040" s="1285"/>
      <c r="K4040" s="1285"/>
      <c r="L4040" s="1285"/>
    </row>
    <row r="4041" spans="1:12" ht="11.15" customHeight="1">
      <c r="A4041" s="185"/>
      <c r="B4041" s="59" t="s">
        <v>20902</v>
      </c>
      <c r="C4041" s="147" t="s">
        <v>20221</v>
      </c>
      <c r="D4041" s="284" t="s">
        <v>897</v>
      </c>
      <c r="E4041" s="178">
        <v>2017</v>
      </c>
      <c r="F4041" s="178" t="s">
        <v>4520</v>
      </c>
      <c r="G4041" s="496"/>
      <c r="H4041" s="994" t="s">
        <v>20224</v>
      </c>
      <c r="I4041" s="11" t="s">
        <v>5642</v>
      </c>
      <c r="J4041" s="1285"/>
      <c r="K4041" s="1285"/>
      <c r="L4041" s="1285"/>
    </row>
    <row r="4042" spans="1:12" ht="11.15" customHeight="1">
      <c r="A4042" s="185"/>
      <c r="B4042" s="59" t="s">
        <v>20902</v>
      </c>
      <c r="C4042" s="147" t="s">
        <v>20221</v>
      </c>
      <c r="D4042" s="284" t="s">
        <v>897</v>
      </c>
      <c r="E4042" s="178">
        <v>2016</v>
      </c>
      <c r="F4042" s="178" t="s">
        <v>4520</v>
      </c>
      <c r="G4042" s="496"/>
      <c r="H4042" s="994" t="s">
        <v>20221</v>
      </c>
      <c r="I4042" s="11" t="s">
        <v>5643</v>
      </c>
      <c r="J4042" s="1285"/>
      <c r="K4042" s="1285"/>
      <c r="L4042" s="1285"/>
    </row>
    <row r="4043" spans="1:12" ht="11.15" customHeight="1">
      <c r="A4043" s="185"/>
      <c r="B4043" s="59" t="s">
        <v>20902</v>
      </c>
      <c r="C4043" s="147" t="s">
        <v>20221</v>
      </c>
      <c r="D4043" s="284" t="s">
        <v>897</v>
      </c>
      <c r="E4043" s="178">
        <v>2015</v>
      </c>
      <c r="F4043" s="178" t="s">
        <v>4520</v>
      </c>
      <c r="G4043" s="496"/>
      <c r="H4043" s="994" t="s">
        <v>20221</v>
      </c>
      <c r="I4043" s="11" t="s">
        <v>5644</v>
      </c>
      <c r="J4043" s="1285"/>
      <c r="K4043" s="1285"/>
      <c r="L4043" s="1285"/>
    </row>
    <row r="4044" spans="1:12" ht="11.15" customHeight="1">
      <c r="A4044" s="185"/>
      <c r="B4044" s="59" t="s">
        <v>20902</v>
      </c>
      <c r="C4044" s="147" t="s">
        <v>20221</v>
      </c>
      <c r="D4044" s="284" t="s">
        <v>897</v>
      </c>
      <c r="E4044" s="178">
        <v>2014</v>
      </c>
      <c r="F4044" s="178" t="s">
        <v>4520</v>
      </c>
      <c r="G4044" s="496"/>
      <c r="H4044" s="994" t="s">
        <v>20221</v>
      </c>
      <c r="I4044" s="11" t="s">
        <v>5645</v>
      </c>
      <c r="J4044" s="1285"/>
      <c r="K4044" s="1285"/>
      <c r="L4044" s="1285"/>
    </row>
    <row r="4045" spans="1:12" ht="11.15" customHeight="1">
      <c r="A4045" s="185"/>
      <c r="B4045" s="59" t="s">
        <v>20902</v>
      </c>
      <c r="C4045" s="147" t="s">
        <v>20221</v>
      </c>
      <c r="D4045" s="284" t="s">
        <v>897</v>
      </c>
      <c r="E4045" s="178">
        <v>2013</v>
      </c>
      <c r="F4045" s="178" t="s">
        <v>4520</v>
      </c>
      <c r="G4045" s="496"/>
      <c r="H4045" s="994" t="s">
        <v>20224</v>
      </c>
      <c r="I4045" s="11" t="s">
        <v>5646</v>
      </c>
      <c r="J4045" s="1285"/>
      <c r="K4045" s="1285"/>
      <c r="L4045" s="1285"/>
    </row>
    <row r="4046" spans="1:12" ht="11.15" customHeight="1">
      <c r="A4046" s="185"/>
      <c r="B4046" s="59" t="s">
        <v>20902</v>
      </c>
      <c r="C4046" s="147" t="s">
        <v>20221</v>
      </c>
      <c r="D4046" s="284" t="s">
        <v>897</v>
      </c>
      <c r="E4046" s="178">
        <v>2012</v>
      </c>
      <c r="F4046" s="178" t="s">
        <v>4520</v>
      </c>
      <c r="G4046" s="496"/>
      <c r="H4046" s="994" t="s">
        <v>20221</v>
      </c>
      <c r="I4046" s="11" t="s">
        <v>5647</v>
      </c>
      <c r="J4046" s="1285"/>
      <c r="K4046" s="1285"/>
      <c r="L4046" s="1285"/>
    </row>
    <row r="4047" spans="1:12" ht="11.15" customHeight="1">
      <c r="A4047" s="185"/>
      <c r="B4047" s="59" t="s">
        <v>20903</v>
      </c>
      <c r="C4047" s="147" t="s">
        <v>20221</v>
      </c>
      <c r="D4047" s="284" t="s">
        <v>897</v>
      </c>
      <c r="E4047" s="178">
        <v>2012</v>
      </c>
      <c r="F4047" s="178" t="s">
        <v>4520</v>
      </c>
      <c r="G4047" s="496"/>
      <c r="H4047" s="994" t="s">
        <v>20224</v>
      </c>
      <c r="I4047" s="11" t="s">
        <v>5648</v>
      </c>
      <c r="J4047" s="1285"/>
      <c r="K4047" s="1285"/>
      <c r="L4047" s="1285"/>
    </row>
    <row r="4048" spans="1:12" ht="11.15" customHeight="1">
      <c r="A4048" s="185"/>
      <c r="B4048" s="177" t="s">
        <v>5649</v>
      </c>
      <c r="C4048" s="147"/>
      <c r="D4048" s="159"/>
      <c r="E4048" s="36"/>
      <c r="F4048" s="178"/>
      <c r="G4048" s="671"/>
      <c r="H4048" s="36"/>
      <c r="I4048" s="11"/>
    </row>
    <row r="4049" spans="1:12" ht="11.15" customHeight="1">
      <c r="A4049" s="185"/>
      <c r="B4049" s="59" t="s">
        <v>20798</v>
      </c>
      <c r="C4049" s="147" t="s">
        <v>20221</v>
      </c>
      <c r="D4049" s="284" t="s">
        <v>897</v>
      </c>
      <c r="E4049" s="178">
        <v>2021</v>
      </c>
      <c r="F4049" s="178" t="s">
        <v>4520</v>
      </c>
      <c r="G4049" s="496"/>
      <c r="H4049" s="994" t="s">
        <v>20224</v>
      </c>
      <c r="I4049" s="11" t="s">
        <v>5650</v>
      </c>
      <c r="J4049" s="1285"/>
      <c r="K4049" s="1285"/>
      <c r="L4049" s="1285"/>
    </row>
    <row r="4050" spans="1:12" ht="11.15" customHeight="1">
      <c r="A4050" s="185"/>
      <c r="B4050" s="59" t="s">
        <v>20798</v>
      </c>
      <c r="C4050" s="147" t="s">
        <v>20221</v>
      </c>
      <c r="D4050" s="284" t="s">
        <v>897</v>
      </c>
      <c r="E4050" s="178">
        <v>2020</v>
      </c>
      <c r="F4050" s="178" t="s">
        <v>23394</v>
      </c>
      <c r="G4050" s="496"/>
      <c r="H4050" s="994" t="s">
        <v>20224</v>
      </c>
      <c r="I4050" s="11" t="s">
        <v>5651</v>
      </c>
      <c r="J4050" s="1285"/>
      <c r="K4050" s="1285"/>
      <c r="L4050" s="1285"/>
    </row>
    <row r="4051" spans="1:12" ht="11.15" customHeight="1">
      <c r="A4051" s="185"/>
      <c r="B4051" s="59" t="s">
        <v>20798</v>
      </c>
      <c r="C4051" s="147" t="s">
        <v>20221</v>
      </c>
      <c r="D4051" s="284" t="s">
        <v>897</v>
      </c>
      <c r="E4051" s="178">
        <v>2018</v>
      </c>
      <c r="F4051" s="178" t="s">
        <v>4520</v>
      </c>
      <c r="G4051" s="496"/>
      <c r="H4051" s="994" t="s">
        <v>20221</v>
      </c>
      <c r="I4051" s="11" t="s">
        <v>5652</v>
      </c>
      <c r="J4051" s="1285"/>
      <c r="K4051" s="1285"/>
      <c r="L4051" s="1285"/>
    </row>
    <row r="4052" spans="1:12" ht="11.15" customHeight="1">
      <c r="A4052" s="185"/>
      <c r="B4052" s="59" t="s">
        <v>20798</v>
      </c>
      <c r="C4052" s="147" t="s">
        <v>20221</v>
      </c>
      <c r="D4052" s="284" t="s">
        <v>897</v>
      </c>
      <c r="E4052" s="178">
        <v>2017</v>
      </c>
      <c r="F4052" s="178" t="s">
        <v>23394</v>
      </c>
      <c r="G4052" s="496"/>
      <c r="H4052" s="994" t="s">
        <v>20224</v>
      </c>
      <c r="I4052" s="11" t="s">
        <v>5653</v>
      </c>
      <c r="J4052" s="1285"/>
      <c r="K4052" s="1285"/>
      <c r="L4052" s="1285"/>
    </row>
    <row r="4053" spans="1:12" ht="11.15" customHeight="1">
      <c r="A4053" s="185"/>
      <c r="B4053" s="59" t="s">
        <v>20904</v>
      </c>
      <c r="C4053" s="147" t="s">
        <v>23393</v>
      </c>
      <c r="D4053" s="284" t="s">
        <v>897</v>
      </c>
      <c r="E4053" s="178">
        <v>2021</v>
      </c>
      <c r="F4053" s="178" t="s">
        <v>4520</v>
      </c>
      <c r="G4053" s="496"/>
      <c r="H4053" s="994" t="s">
        <v>20224</v>
      </c>
      <c r="I4053" s="11" t="s">
        <v>5654</v>
      </c>
      <c r="J4053" s="1285"/>
      <c r="K4053" s="1285"/>
      <c r="L4053" s="1285"/>
    </row>
    <row r="4054" spans="1:12" ht="11.15" customHeight="1">
      <c r="A4054" s="185"/>
      <c r="B4054" s="59" t="s">
        <v>20904</v>
      </c>
      <c r="C4054" s="147" t="s">
        <v>23393</v>
      </c>
      <c r="D4054" s="284" t="s">
        <v>897</v>
      </c>
      <c r="E4054" s="178">
        <v>2020</v>
      </c>
      <c r="F4054" s="178" t="s">
        <v>23394</v>
      </c>
      <c r="G4054" s="496"/>
      <c r="H4054" s="994" t="s">
        <v>20224</v>
      </c>
      <c r="I4054" s="11" t="s">
        <v>5655</v>
      </c>
      <c r="J4054" s="1285"/>
      <c r="K4054" s="1285"/>
      <c r="L4054" s="1285"/>
    </row>
    <row r="4055" spans="1:12" ht="11.15" customHeight="1">
      <c r="A4055" s="185"/>
      <c r="B4055" s="59" t="s">
        <v>20904</v>
      </c>
      <c r="C4055" s="147" t="s">
        <v>23393</v>
      </c>
      <c r="D4055" s="284" t="s">
        <v>897</v>
      </c>
      <c r="E4055" s="178">
        <v>2019</v>
      </c>
      <c r="F4055" s="178" t="s">
        <v>23394</v>
      </c>
      <c r="G4055" s="496"/>
      <c r="H4055" s="994" t="s">
        <v>20224</v>
      </c>
      <c r="I4055" s="11" t="s">
        <v>5656</v>
      </c>
      <c r="J4055" s="1285"/>
      <c r="K4055" s="1285"/>
      <c r="L4055" s="1285"/>
    </row>
    <row r="4056" spans="1:12" ht="11.15" customHeight="1">
      <c r="A4056" s="185"/>
      <c r="B4056" s="59" t="s">
        <v>20904</v>
      </c>
      <c r="C4056" s="147" t="s">
        <v>20221</v>
      </c>
      <c r="D4056" s="284" t="s">
        <v>897</v>
      </c>
      <c r="E4056" s="178">
        <v>2018</v>
      </c>
      <c r="F4056" s="178" t="s">
        <v>4520</v>
      </c>
      <c r="G4056" s="496"/>
      <c r="H4056" s="994" t="s">
        <v>20224</v>
      </c>
      <c r="I4056" s="11" t="s">
        <v>5657</v>
      </c>
      <c r="J4056" s="1285"/>
      <c r="K4056" s="1285"/>
      <c r="L4056" s="1285"/>
    </row>
    <row r="4057" spans="1:12" ht="11.15" customHeight="1">
      <c r="A4057" s="185"/>
      <c r="B4057" s="59" t="s">
        <v>20904</v>
      </c>
      <c r="C4057" s="147" t="s">
        <v>20221</v>
      </c>
      <c r="D4057" s="284" t="s">
        <v>897</v>
      </c>
      <c r="E4057" s="178">
        <v>2016</v>
      </c>
      <c r="F4057" s="178" t="s">
        <v>23394</v>
      </c>
      <c r="G4057" s="496"/>
      <c r="H4057" s="994" t="s">
        <v>20224</v>
      </c>
      <c r="I4057" s="11" t="s">
        <v>5658</v>
      </c>
      <c r="J4057" s="1285"/>
      <c r="K4057" s="1285"/>
      <c r="L4057" s="1285"/>
    </row>
    <row r="4058" spans="1:12" ht="11.15" customHeight="1">
      <c r="A4058" s="185"/>
      <c r="B4058" s="59" t="s">
        <v>20905</v>
      </c>
      <c r="C4058" s="147" t="s">
        <v>23393</v>
      </c>
      <c r="D4058" s="284" t="s">
        <v>897</v>
      </c>
      <c r="E4058" s="178">
        <v>2021</v>
      </c>
      <c r="F4058" s="178" t="s">
        <v>4520</v>
      </c>
      <c r="G4058" s="496"/>
      <c r="H4058" s="994" t="s">
        <v>20224</v>
      </c>
      <c r="I4058" s="11" t="s">
        <v>5659</v>
      </c>
      <c r="J4058" s="1285"/>
      <c r="K4058" s="1285"/>
      <c r="L4058" s="1285"/>
    </row>
    <row r="4059" spans="1:12" ht="11.15" customHeight="1">
      <c r="A4059" s="185"/>
      <c r="B4059" s="59" t="s">
        <v>20906</v>
      </c>
      <c r="C4059" s="147" t="s">
        <v>23393</v>
      </c>
      <c r="D4059" s="284" t="s">
        <v>897</v>
      </c>
      <c r="E4059" s="178">
        <v>2021</v>
      </c>
      <c r="F4059" s="178" t="s">
        <v>9658</v>
      </c>
      <c r="G4059" s="496"/>
      <c r="H4059" s="994" t="s">
        <v>20224</v>
      </c>
      <c r="I4059" s="11" t="s">
        <v>5660</v>
      </c>
      <c r="J4059" s="1285"/>
      <c r="K4059" s="1285"/>
      <c r="L4059" s="1285"/>
    </row>
    <row r="4060" spans="1:12" ht="11.15" customHeight="1">
      <c r="A4060" s="185"/>
      <c r="B4060" s="177" t="s">
        <v>4329</v>
      </c>
      <c r="C4060" s="147"/>
      <c r="D4060" s="161"/>
      <c r="E4060" s="36"/>
      <c r="F4060" s="178"/>
      <c r="G4060" s="497"/>
      <c r="H4060" s="36"/>
      <c r="I4060" s="11"/>
    </row>
    <row r="4061" spans="1:12" ht="11.15" customHeight="1">
      <c r="A4061" s="185"/>
      <c r="B4061" s="59" t="s">
        <v>20907</v>
      </c>
      <c r="C4061" s="147" t="s">
        <v>23393</v>
      </c>
      <c r="D4061" s="284" t="s">
        <v>897</v>
      </c>
      <c r="E4061" s="178">
        <v>2021</v>
      </c>
      <c r="F4061" s="178" t="s">
        <v>5257</v>
      </c>
      <c r="G4061" s="496"/>
      <c r="H4061" s="994" t="s">
        <v>20224</v>
      </c>
      <c r="I4061" s="11" t="s">
        <v>5661</v>
      </c>
      <c r="J4061" s="1285"/>
      <c r="K4061" s="1285"/>
      <c r="L4061" s="1285"/>
    </row>
    <row r="4062" spans="1:12" ht="11.15" customHeight="1">
      <c r="A4062" s="185"/>
      <c r="B4062" s="59" t="s">
        <v>20907</v>
      </c>
      <c r="C4062" s="147" t="s">
        <v>23393</v>
      </c>
      <c r="D4062" s="284" t="s">
        <v>897</v>
      </c>
      <c r="E4062" s="178">
        <v>2020</v>
      </c>
      <c r="F4062" s="178" t="s">
        <v>5257</v>
      </c>
      <c r="G4062" s="496"/>
      <c r="H4062" s="994" t="s">
        <v>20224</v>
      </c>
      <c r="I4062" s="11" t="s">
        <v>5662</v>
      </c>
      <c r="J4062" s="1285"/>
      <c r="K4062" s="1285"/>
      <c r="L4062" s="1285"/>
    </row>
    <row r="4063" spans="1:12" ht="11.15" customHeight="1">
      <c r="A4063" s="185"/>
      <c r="B4063" s="59" t="s">
        <v>20907</v>
      </c>
      <c r="C4063" s="147" t="s">
        <v>23393</v>
      </c>
      <c r="D4063" s="284" t="s">
        <v>897</v>
      </c>
      <c r="E4063" s="178">
        <v>2019</v>
      </c>
      <c r="F4063" s="178" t="s">
        <v>5257</v>
      </c>
      <c r="G4063" s="496"/>
      <c r="H4063" s="994" t="s">
        <v>20224</v>
      </c>
      <c r="I4063" s="11" t="s">
        <v>5663</v>
      </c>
      <c r="J4063" s="1285"/>
      <c r="K4063" s="1285"/>
      <c r="L4063" s="1285"/>
    </row>
    <row r="4064" spans="1:12" ht="11.15" customHeight="1">
      <c r="A4064" s="185"/>
      <c r="B4064" s="59" t="s">
        <v>20907</v>
      </c>
      <c r="C4064" s="147" t="s">
        <v>20221</v>
      </c>
      <c r="D4064" s="284" t="s">
        <v>897</v>
      </c>
      <c r="E4064" s="178">
        <v>2018</v>
      </c>
      <c r="F4064" s="178" t="s">
        <v>5257</v>
      </c>
      <c r="G4064" s="496"/>
      <c r="H4064" s="994" t="s">
        <v>20224</v>
      </c>
      <c r="I4064" s="11" t="s">
        <v>5664</v>
      </c>
      <c r="J4064" s="1285"/>
      <c r="K4064" s="1285"/>
      <c r="L4064" s="1285"/>
    </row>
    <row r="4065" spans="1:12" ht="11.15" customHeight="1">
      <c r="A4065" s="185"/>
      <c r="B4065" s="59" t="s">
        <v>20908</v>
      </c>
      <c r="C4065" s="147" t="s">
        <v>20221</v>
      </c>
      <c r="D4065" s="284" t="s">
        <v>897</v>
      </c>
      <c r="E4065" s="178">
        <v>2021</v>
      </c>
      <c r="F4065" s="178" t="s">
        <v>5257</v>
      </c>
      <c r="G4065" s="496"/>
      <c r="H4065" s="994" t="s">
        <v>20224</v>
      </c>
      <c r="I4065" s="11" t="s">
        <v>5665</v>
      </c>
      <c r="J4065" s="1285"/>
      <c r="K4065" s="1285"/>
      <c r="L4065" s="1285"/>
    </row>
    <row r="4066" spans="1:12" ht="11.15" customHeight="1">
      <c r="A4066" s="185"/>
      <c r="B4066" s="59" t="s">
        <v>20908</v>
      </c>
      <c r="C4066" s="147" t="s">
        <v>20221</v>
      </c>
      <c r="D4066" s="284" t="s">
        <v>897</v>
      </c>
      <c r="E4066" s="178">
        <v>2020</v>
      </c>
      <c r="F4066" s="178" t="s">
        <v>5257</v>
      </c>
      <c r="G4066" s="496"/>
      <c r="H4066" s="994" t="s">
        <v>20224</v>
      </c>
      <c r="I4066" s="11" t="s">
        <v>5666</v>
      </c>
      <c r="J4066" s="1285"/>
      <c r="K4066" s="1285"/>
      <c r="L4066" s="1285"/>
    </row>
    <row r="4067" spans="1:12" ht="11.15" customHeight="1">
      <c r="A4067" s="185"/>
      <c r="B4067" s="59" t="s">
        <v>20908</v>
      </c>
      <c r="C4067" s="147" t="s">
        <v>20221</v>
      </c>
      <c r="D4067" s="284" t="s">
        <v>897</v>
      </c>
      <c r="E4067" s="178">
        <v>2019</v>
      </c>
      <c r="F4067" s="178" t="s">
        <v>5257</v>
      </c>
      <c r="G4067" s="496"/>
      <c r="H4067" s="994" t="s">
        <v>20224</v>
      </c>
      <c r="I4067" s="11" t="s">
        <v>5667</v>
      </c>
      <c r="J4067" s="1285"/>
      <c r="K4067" s="1285"/>
      <c r="L4067" s="1285"/>
    </row>
    <row r="4068" spans="1:12" ht="11.15" customHeight="1">
      <c r="A4068" s="185"/>
      <c r="B4068" s="59" t="s">
        <v>20908</v>
      </c>
      <c r="C4068" s="147" t="s">
        <v>20221</v>
      </c>
      <c r="D4068" s="284" t="s">
        <v>897</v>
      </c>
      <c r="E4068" s="178">
        <v>2018</v>
      </c>
      <c r="F4068" s="178" t="s">
        <v>11931</v>
      </c>
      <c r="G4068" s="496"/>
      <c r="H4068" s="994" t="s">
        <v>20224</v>
      </c>
      <c r="I4068" s="11" t="s">
        <v>5668</v>
      </c>
      <c r="J4068" s="1285"/>
      <c r="K4068" s="1285"/>
      <c r="L4068" s="1285"/>
    </row>
    <row r="4069" spans="1:12" ht="11.15" customHeight="1">
      <c r="A4069" s="185"/>
      <c r="B4069" s="59" t="s">
        <v>20908</v>
      </c>
      <c r="C4069" s="147" t="s">
        <v>20221</v>
      </c>
      <c r="D4069" s="284" t="s">
        <v>897</v>
      </c>
      <c r="E4069" s="178">
        <v>2017</v>
      </c>
      <c r="F4069" s="178" t="s">
        <v>5257</v>
      </c>
      <c r="G4069" s="496"/>
      <c r="H4069" s="994" t="s">
        <v>20224</v>
      </c>
      <c r="I4069" s="11" t="s">
        <v>5669</v>
      </c>
      <c r="J4069" s="1285"/>
      <c r="K4069" s="1285"/>
      <c r="L4069" s="1285"/>
    </row>
    <row r="4070" spans="1:12" ht="11.15" customHeight="1">
      <c r="A4070" s="185"/>
      <c r="B4070" s="59" t="s">
        <v>20908</v>
      </c>
      <c r="C4070" s="147" t="s">
        <v>20221</v>
      </c>
      <c r="D4070" s="284" t="s">
        <v>897</v>
      </c>
      <c r="E4070" s="178">
        <v>2016</v>
      </c>
      <c r="F4070" s="178" t="s">
        <v>5257</v>
      </c>
      <c r="G4070" s="496"/>
      <c r="H4070" s="994" t="s">
        <v>20224</v>
      </c>
      <c r="I4070" s="11" t="s">
        <v>5670</v>
      </c>
      <c r="J4070" s="1285"/>
      <c r="K4070" s="1285"/>
      <c r="L4070" s="1285"/>
    </row>
    <row r="4071" spans="1:12" ht="11.15" customHeight="1">
      <c r="A4071" s="185"/>
      <c r="B4071" s="59" t="s">
        <v>20909</v>
      </c>
      <c r="C4071" s="147" t="s">
        <v>20221</v>
      </c>
      <c r="D4071" s="284" t="s">
        <v>897</v>
      </c>
      <c r="E4071" s="178">
        <v>2016</v>
      </c>
      <c r="F4071" s="178" t="s">
        <v>5257</v>
      </c>
      <c r="G4071" s="496"/>
      <c r="H4071" s="994" t="s">
        <v>20224</v>
      </c>
      <c r="I4071" s="11" t="s">
        <v>5671</v>
      </c>
      <c r="J4071" s="1285"/>
      <c r="K4071" s="1285"/>
      <c r="L4071" s="1285"/>
    </row>
    <row r="4072" spans="1:12" ht="11.15" customHeight="1">
      <c r="A4072" s="129"/>
      <c r="B4072" s="59" t="s">
        <v>20910</v>
      </c>
      <c r="C4072" s="147" t="s">
        <v>20221</v>
      </c>
      <c r="D4072" s="284" t="s">
        <v>897</v>
      </c>
      <c r="E4072" s="178">
        <v>2021</v>
      </c>
      <c r="F4072" s="178" t="s">
        <v>5257</v>
      </c>
      <c r="G4072" s="496"/>
      <c r="H4072" s="994" t="s">
        <v>20224</v>
      </c>
      <c r="I4072" s="11" t="s">
        <v>5672</v>
      </c>
      <c r="J4072" s="1285"/>
      <c r="K4072" s="1285"/>
      <c r="L4072" s="1285"/>
    </row>
    <row r="4073" spans="1:12" ht="11.15" customHeight="1">
      <c r="A4073" s="129"/>
      <c r="B4073" s="59" t="s">
        <v>20910</v>
      </c>
      <c r="C4073" s="147" t="s">
        <v>20221</v>
      </c>
      <c r="D4073" s="284" t="s">
        <v>897</v>
      </c>
      <c r="E4073" s="178">
        <v>2020</v>
      </c>
      <c r="F4073" s="178" t="s">
        <v>5257</v>
      </c>
      <c r="G4073" s="496"/>
      <c r="H4073" s="994" t="s">
        <v>20224</v>
      </c>
      <c r="I4073" s="11" t="s">
        <v>5673</v>
      </c>
      <c r="J4073" s="1285"/>
      <c r="K4073" s="1285"/>
      <c r="L4073" s="1285"/>
    </row>
    <row r="4074" spans="1:12" ht="11.15" customHeight="1">
      <c r="A4074" s="185"/>
      <c r="B4074" s="59" t="s">
        <v>20910</v>
      </c>
      <c r="C4074" s="147" t="s">
        <v>20221</v>
      </c>
      <c r="D4074" s="284" t="s">
        <v>897</v>
      </c>
      <c r="E4074" s="178">
        <v>2019</v>
      </c>
      <c r="F4074" s="178" t="s">
        <v>5257</v>
      </c>
      <c r="G4074" s="496"/>
      <c r="H4074" s="994" t="s">
        <v>20224</v>
      </c>
      <c r="I4074" s="11" t="s">
        <v>5674</v>
      </c>
      <c r="J4074" s="1285"/>
      <c r="K4074" s="1285"/>
      <c r="L4074" s="1285"/>
    </row>
    <row r="4075" spans="1:12" ht="11.15" customHeight="1">
      <c r="A4075" s="185"/>
      <c r="B4075" s="59" t="s">
        <v>20910</v>
      </c>
      <c r="C4075" s="147" t="s">
        <v>20221</v>
      </c>
      <c r="D4075" s="284" t="s">
        <v>897</v>
      </c>
      <c r="E4075" s="178">
        <v>2017</v>
      </c>
      <c r="F4075" s="178" t="s">
        <v>5257</v>
      </c>
      <c r="G4075" s="496"/>
      <c r="H4075" s="994" t="s">
        <v>20224</v>
      </c>
      <c r="I4075" s="11" t="s">
        <v>5675</v>
      </c>
      <c r="J4075" s="1285"/>
      <c r="K4075" s="1285"/>
      <c r="L4075" s="1285"/>
    </row>
    <row r="4076" spans="1:12" ht="11.15" customHeight="1">
      <c r="A4076" s="185"/>
      <c r="B4076" s="59" t="s">
        <v>20911</v>
      </c>
      <c r="C4076" s="147" t="s">
        <v>23393</v>
      </c>
      <c r="D4076" s="284" t="s">
        <v>897</v>
      </c>
      <c r="E4076" s="178">
        <v>2020</v>
      </c>
      <c r="F4076" s="178" t="s">
        <v>5257</v>
      </c>
      <c r="G4076" s="496"/>
      <c r="H4076" s="994" t="s">
        <v>20224</v>
      </c>
      <c r="I4076" s="11" t="s">
        <v>5676</v>
      </c>
      <c r="J4076" s="1285"/>
      <c r="K4076" s="1285"/>
      <c r="L4076" s="1285"/>
    </row>
    <row r="4077" spans="1:12" ht="11.15" customHeight="1">
      <c r="A4077" s="185"/>
      <c r="B4077" s="59" t="s">
        <v>20911</v>
      </c>
      <c r="C4077" s="147" t="s">
        <v>23393</v>
      </c>
      <c r="D4077" s="284" t="s">
        <v>897</v>
      </c>
      <c r="E4077" s="178">
        <v>2019</v>
      </c>
      <c r="F4077" s="178" t="s">
        <v>5257</v>
      </c>
      <c r="G4077" s="496"/>
      <c r="H4077" s="994" t="s">
        <v>20224</v>
      </c>
      <c r="I4077" s="11" t="s">
        <v>5677</v>
      </c>
      <c r="J4077" s="1285"/>
      <c r="K4077" s="1285"/>
      <c r="L4077" s="1285"/>
    </row>
    <row r="4078" spans="1:12" ht="11.15" customHeight="1">
      <c r="A4078" s="185"/>
      <c r="B4078" s="59" t="s">
        <v>20911</v>
      </c>
      <c r="C4078" s="147" t="s">
        <v>20221</v>
      </c>
      <c r="D4078" s="284" t="s">
        <v>897</v>
      </c>
      <c r="E4078" s="178">
        <v>2017</v>
      </c>
      <c r="F4078" s="178" t="s">
        <v>5257</v>
      </c>
      <c r="G4078" s="496"/>
      <c r="H4078" s="994" t="s">
        <v>20224</v>
      </c>
      <c r="I4078" s="11" t="s">
        <v>5678</v>
      </c>
      <c r="J4078" s="1285"/>
      <c r="K4078" s="1285"/>
      <c r="L4078" s="1285"/>
    </row>
    <row r="4079" spans="1:12" ht="11.15" customHeight="1">
      <c r="A4079" s="185"/>
      <c r="B4079" s="59" t="s">
        <v>20911</v>
      </c>
      <c r="C4079" s="147" t="s">
        <v>20221</v>
      </c>
      <c r="D4079" s="284" t="s">
        <v>897</v>
      </c>
      <c r="E4079" s="178">
        <v>2016</v>
      </c>
      <c r="F4079" s="178" t="s">
        <v>5257</v>
      </c>
      <c r="G4079" s="496"/>
      <c r="H4079" s="994" t="s">
        <v>20224</v>
      </c>
      <c r="I4079" s="11" t="s">
        <v>5679</v>
      </c>
      <c r="J4079" s="1285"/>
      <c r="K4079" s="1285"/>
      <c r="L4079" s="1285"/>
    </row>
    <row r="4080" spans="1:12" ht="11.15" customHeight="1">
      <c r="A4080" s="185"/>
      <c r="B4080" s="90"/>
      <c r="C4080" s="147"/>
      <c r="D4080" s="161"/>
      <c r="E4080" s="36"/>
      <c r="F4080" s="183"/>
      <c r="G4080" s="497"/>
      <c r="H4080" s="34"/>
      <c r="I4080" s="11"/>
    </row>
    <row r="4081" spans="1:12" ht="11.15" customHeight="1">
      <c r="A4081" s="185"/>
      <c r="B4081" s="413" t="s">
        <v>5680</v>
      </c>
      <c r="C4081" s="147"/>
      <c r="D4081" s="161"/>
      <c r="E4081" s="36"/>
      <c r="F4081" s="183"/>
      <c r="G4081" s="497"/>
      <c r="H4081" s="34"/>
      <c r="I4081" s="11"/>
    </row>
    <row r="4082" spans="1:12" ht="9" customHeight="1">
      <c r="A4082" s="185"/>
      <c r="B4082" s="432" t="s">
        <v>5681</v>
      </c>
      <c r="C4082" s="147"/>
      <c r="D4082" s="161"/>
      <c r="E4082" s="36"/>
      <c r="F4082" s="183"/>
      <c r="G4082" s="497"/>
      <c r="H4082" s="34"/>
      <c r="I4082" s="11"/>
    </row>
    <row r="4083" spans="1:12" ht="9" customHeight="1">
      <c r="A4083" s="185"/>
      <c r="B4083" s="432" t="s">
        <v>5682</v>
      </c>
      <c r="C4083" s="147"/>
      <c r="D4083" s="161"/>
      <c r="E4083" s="36"/>
      <c r="F4083" s="183"/>
      <c r="G4083" s="497"/>
      <c r="H4083" s="34"/>
      <c r="I4083" s="11"/>
    </row>
    <row r="4084" spans="1:12" ht="9" customHeight="1">
      <c r="A4084" s="185"/>
      <c r="B4084" s="432" t="s">
        <v>5683</v>
      </c>
      <c r="C4084" s="147"/>
      <c r="D4084" s="161"/>
      <c r="E4084" s="36"/>
      <c r="F4084" s="183"/>
      <c r="G4084" s="497"/>
      <c r="H4084" s="34"/>
      <c r="I4084" s="11"/>
    </row>
    <row r="4085" spans="1:12" ht="9" customHeight="1">
      <c r="A4085" s="185"/>
      <c r="B4085" s="432" t="s">
        <v>5684</v>
      </c>
      <c r="C4085" s="147"/>
      <c r="D4085" s="161"/>
      <c r="E4085" s="36"/>
      <c r="F4085" s="183"/>
      <c r="G4085" s="497"/>
      <c r="H4085" s="34"/>
      <c r="I4085" s="11"/>
    </row>
    <row r="4086" spans="1:12" ht="9" customHeight="1">
      <c r="A4086" s="185"/>
      <c r="B4086" s="433" t="s">
        <v>5685</v>
      </c>
      <c r="C4086" s="147"/>
      <c r="D4086" s="161"/>
      <c r="E4086" s="36"/>
      <c r="F4086" s="183"/>
      <c r="G4086" s="497"/>
      <c r="H4086" s="34"/>
      <c r="I4086" s="11"/>
    </row>
    <row r="4087" spans="1:12" ht="9" customHeight="1">
      <c r="A4087" s="185"/>
      <c r="B4087" s="432" t="s">
        <v>5686</v>
      </c>
      <c r="C4087" s="147"/>
      <c r="D4087" s="161"/>
      <c r="E4087" s="36"/>
      <c r="F4087" s="183"/>
      <c r="G4087" s="497"/>
      <c r="H4087" s="34"/>
      <c r="I4087" s="11"/>
    </row>
    <row r="4088" spans="1:12" ht="9" customHeight="1">
      <c r="A4088" s="185"/>
      <c r="B4088" s="432" t="s">
        <v>5687</v>
      </c>
      <c r="C4088" s="147"/>
      <c r="D4088" s="161"/>
      <c r="E4088" s="36"/>
      <c r="F4088" s="183"/>
      <c r="G4088" s="497"/>
      <c r="H4088" s="34"/>
      <c r="I4088" s="11"/>
    </row>
    <row r="4089" spans="1:12" ht="9" customHeight="1">
      <c r="A4089" s="185"/>
      <c r="B4089" s="432" t="s">
        <v>5688</v>
      </c>
      <c r="C4089" s="147"/>
      <c r="D4089" s="161"/>
      <c r="E4089" s="36"/>
      <c r="F4089" s="183"/>
      <c r="G4089" s="497"/>
      <c r="H4089" s="34"/>
      <c r="I4089" s="11"/>
    </row>
    <row r="4090" spans="1:12" ht="9" customHeight="1">
      <c r="A4090" s="185"/>
      <c r="B4090" s="432" t="s">
        <v>5689</v>
      </c>
      <c r="C4090" s="147"/>
      <c r="D4090" s="161"/>
      <c r="E4090" s="36"/>
      <c r="F4090" s="183"/>
      <c r="G4090" s="497"/>
      <c r="H4090" s="34"/>
      <c r="I4090" s="11"/>
    </row>
    <row r="4091" spans="1:12" ht="9" customHeight="1" thickBot="1">
      <c r="A4091" s="185"/>
      <c r="B4091" s="150" t="s">
        <v>5690</v>
      </c>
      <c r="C4091" s="147"/>
      <c r="D4091" s="161"/>
      <c r="E4091" s="36"/>
      <c r="F4091" s="183"/>
      <c r="G4091" s="497"/>
      <c r="H4091" s="34"/>
      <c r="I4091" s="11"/>
    </row>
    <row r="4092" spans="1:12" ht="11.15" customHeight="1">
      <c r="A4092" s="153" t="s">
        <v>5691</v>
      </c>
      <c r="B4092" s="59" t="s">
        <v>20913</v>
      </c>
      <c r="C4092" s="147" t="s">
        <v>20221</v>
      </c>
      <c r="D4092" s="284" t="s">
        <v>897</v>
      </c>
      <c r="E4092" s="178">
        <v>2023</v>
      </c>
      <c r="F4092" s="178" t="s">
        <v>4520</v>
      </c>
      <c r="G4092" s="496"/>
      <c r="H4092" s="994" t="s">
        <v>20221</v>
      </c>
      <c r="I4092" s="11" t="s">
        <v>5692</v>
      </c>
      <c r="J4092" s="1285"/>
      <c r="K4092" s="1285"/>
      <c r="L4092" s="1285"/>
    </row>
    <row r="4093" spans="1:12" ht="11.15" customHeight="1" thickBot="1">
      <c r="A4093" s="230" t="s">
        <v>5693</v>
      </c>
      <c r="B4093" s="59" t="s">
        <v>20913</v>
      </c>
      <c r="C4093" s="147" t="s">
        <v>20221</v>
      </c>
      <c r="D4093" s="284" t="s">
        <v>897</v>
      </c>
      <c r="E4093" s="178">
        <v>2022</v>
      </c>
      <c r="F4093" s="178" t="s">
        <v>4520</v>
      </c>
      <c r="G4093" s="496"/>
      <c r="H4093" s="994" t="s">
        <v>20221</v>
      </c>
      <c r="I4093" s="11" t="s">
        <v>5694</v>
      </c>
      <c r="J4093" s="1285"/>
      <c r="K4093" s="1285"/>
      <c r="L4093" s="1285"/>
    </row>
    <row r="4094" spans="1:12" ht="11.15" customHeight="1">
      <c r="A4094" s="29" t="s">
        <v>5695</v>
      </c>
      <c r="B4094" s="59" t="s">
        <v>20913</v>
      </c>
      <c r="C4094" s="147" t="s">
        <v>20221</v>
      </c>
      <c r="D4094" s="284" t="s">
        <v>897</v>
      </c>
      <c r="E4094" s="178">
        <v>2021</v>
      </c>
      <c r="F4094" s="178" t="s">
        <v>4520</v>
      </c>
      <c r="G4094" s="496"/>
      <c r="H4094" s="994" t="s">
        <v>20221</v>
      </c>
      <c r="I4094" s="11" t="s">
        <v>5696</v>
      </c>
      <c r="J4094" s="1285"/>
      <c r="K4094" s="1285"/>
      <c r="L4094" s="1285"/>
    </row>
    <row r="4095" spans="1:12" ht="11.15" customHeight="1">
      <c r="A4095" s="29" t="s">
        <v>5697</v>
      </c>
      <c r="B4095" s="59" t="s">
        <v>20913</v>
      </c>
      <c r="C4095" s="147" t="s">
        <v>20221</v>
      </c>
      <c r="D4095" s="284" t="s">
        <v>897</v>
      </c>
      <c r="E4095" s="178">
        <v>2020</v>
      </c>
      <c r="F4095" s="178" t="s">
        <v>4520</v>
      </c>
      <c r="G4095" s="496"/>
      <c r="H4095" s="994" t="s">
        <v>20221</v>
      </c>
      <c r="I4095" s="11" t="s">
        <v>5698</v>
      </c>
      <c r="J4095" s="1285"/>
      <c r="K4095" s="1285"/>
      <c r="L4095" s="1285"/>
    </row>
    <row r="4096" spans="1:12" ht="11.15" customHeight="1">
      <c r="A4096" s="29" t="s">
        <v>5699</v>
      </c>
      <c r="B4096" s="59" t="s">
        <v>20913</v>
      </c>
      <c r="C4096" s="147" t="s">
        <v>20221</v>
      </c>
      <c r="D4096" s="284" t="s">
        <v>897</v>
      </c>
      <c r="E4096" s="178">
        <v>2019</v>
      </c>
      <c r="F4096" s="178" t="s">
        <v>4520</v>
      </c>
      <c r="G4096" s="496"/>
      <c r="H4096" s="994" t="s">
        <v>20221</v>
      </c>
      <c r="I4096" s="11" t="s">
        <v>5700</v>
      </c>
      <c r="J4096" s="1285"/>
      <c r="K4096" s="1285"/>
      <c r="L4096" s="1285"/>
    </row>
    <row r="4097" spans="1:12" ht="11.15" customHeight="1">
      <c r="A4097" s="29" t="s">
        <v>5701</v>
      </c>
      <c r="B4097" s="59" t="s">
        <v>20913</v>
      </c>
      <c r="C4097" s="147" t="s">
        <v>20221</v>
      </c>
      <c r="D4097" s="284" t="s">
        <v>897</v>
      </c>
      <c r="E4097" s="178">
        <v>2018</v>
      </c>
      <c r="F4097" s="178" t="s">
        <v>4520</v>
      </c>
      <c r="G4097" s="496"/>
      <c r="H4097" s="994" t="s">
        <v>20224</v>
      </c>
      <c r="I4097" s="11" t="s">
        <v>5702</v>
      </c>
      <c r="J4097" s="1285"/>
      <c r="K4097" s="1285"/>
      <c r="L4097" s="1285"/>
    </row>
    <row r="4098" spans="1:12" ht="11.15" customHeight="1">
      <c r="A4098" s="129" t="s">
        <v>1077</v>
      </c>
      <c r="B4098" s="59" t="s">
        <v>20913</v>
      </c>
      <c r="C4098" s="147" t="s">
        <v>20221</v>
      </c>
      <c r="D4098" s="284" t="s">
        <v>897</v>
      </c>
      <c r="E4098" s="178">
        <v>2017</v>
      </c>
      <c r="F4098" s="178" t="s">
        <v>4520</v>
      </c>
      <c r="G4098" s="496"/>
      <c r="H4098" s="994" t="s">
        <v>20221</v>
      </c>
      <c r="I4098" s="11" t="s">
        <v>5703</v>
      </c>
      <c r="J4098" s="1285"/>
      <c r="K4098" s="1285"/>
      <c r="L4098" s="1285"/>
    </row>
    <row r="4099" spans="1:12" ht="11.15" customHeight="1">
      <c r="A4099" s="162" t="s">
        <v>5704</v>
      </c>
      <c r="B4099" s="59" t="s">
        <v>20914</v>
      </c>
      <c r="C4099" s="147" t="s">
        <v>20221</v>
      </c>
      <c r="D4099" s="284" t="s">
        <v>897</v>
      </c>
      <c r="E4099" s="178">
        <v>2023</v>
      </c>
      <c r="F4099" s="178" t="s">
        <v>4520</v>
      </c>
      <c r="G4099" s="496"/>
      <c r="H4099" s="994" t="s">
        <v>20221</v>
      </c>
      <c r="I4099" s="11" t="s">
        <v>5705</v>
      </c>
      <c r="J4099" s="1285"/>
      <c r="K4099" s="1285"/>
      <c r="L4099" s="1285"/>
    </row>
    <row r="4100" spans="1:12" ht="11.15" customHeight="1">
      <c r="A4100" s="162" t="s">
        <v>5706</v>
      </c>
      <c r="B4100" s="59" t="s">
        <v>20914</v>
      </c>
      <c r="C4100" s="147" t="s">
        <v>20221</v>
      </c>
      <c r="D4100" s="284" t="s">
        <v>897</v>
      </c>
      <c r="E4100" s="178">
        <v>2022</v>
      </c>
      <c r="F4100" s="178" t="s">
        <v>4520</v>
      </c>
      <c r="G4100" s="496"/>
      <c r="H4100" s="994" t="s">
        <v>20221</v>
      </c>
      <c r="I4100" s="11" t="s">
        <v>5707</v>
      </c>
      <c r="J4100" s="1285"/>
      <c r="K4100" s="1285"/>
      <c r="L4100" s="1285"/>
    </row>
    <row r="4101" spans="1:12" ht="11.15" customHeight="1">
      <c r="A4101" s="162" t="s">
        <v>5708</v>
      </c>
      <c r="B4101" s="59" t="s">
        <v>20914</v>
      </c>
      <c r="C4101" s="147" t="s">
        <v>20221</v>
      </c>
      <c r="D4101" s="284" t="s">
        <v>897</v>
      </c>
      <c r="E4101" s="178">
        <v>2021</v>
      </c>
      <c r="F4101" s="178" t="s">
        <v>4520</v>
      </c>
      <c r="G4101" s="496"/>
      <c r="H4101" s="994" t="s">
        <v>20221</v>
      </c>
      <c r="I4101" s="11" t="s">
        <v>5709</v>
      </c>
      <c r="J4101" s="1285"/>
      <c r="K4101" s="1285"/>
      <c r="L4101" s="1285"/>
    </row>
    <row r="4102" spans="1:12" ht="11.15" customHeight="1">
      <c r="A4102" s="162" t="s">
        <v>5710</v>
      </c>
      <c r="B4102" s="59" t="s">
        <v>20914</v>
      </c>
      <c r="C4102" s="147" t="s">
        <v>20221</v>
      </c>
      <c r="D4102" s="284" t="s">
        <v>897</v>
      </c>
      <c r="E4102" s="178">
        <v>2020</v>
      </c>
      <c r="F4102" s="178" t="s">
        <v>4520</v>
      </c>
      <c r="G4102" s="496"/>
      <c r="H4102" s="994" t="s">
        <v>20221</v>
      </c>
      <c r="I4102" s="11" t="s">
        <v>5711</v>
      </c>
      <c r="J4102" s="1285"/>
      <c r="K4102" s="1285"/>
      <c r="L4102" s="1285"/>
    </row>
    <row r="4103" spans="1:12" ht="11.15" customHeight="1">
      <c r="A4103" s="162" t="s">
        <v>5712</v>
      </c>
      <c r="B4103" s="59" t="s">
        <v>20914</v>
      </c>
      <c r="C4103" s="147" t="s">
        <v>20221</v>
      </c>
      <c r="D4103" s="284" t="s">
        <v>897</v>
      </c>
      <c r="E4103" s="178">
        <v>2019</v>
      </c>
      <c r="F4103" s="178" t="s">
        <v>4520</v>
      </c>
      <c r="G4103" s="496"/>
      <c r="H4103" s="994" t="s">
        <v>20221</v>
      </c>
      <c r="I4103" s="11" t="s">
        <v>5713</v>
      </c>
      <c r="J4103" s="1285"/>
      <c r="K4103" s="1285"/>
      <c r="L4103" s="1285"/>
    </row>
    <row r="4104" spans="1:12" ht="11.15" customHeight="1">
      <c r="A4104" s="162" t="s">
        <v>5714</v>
      </c>
      <c r="B4104" s="59" t="s">
        <v>20914</v>
      </c>
      <c r="C4104" s="147" t="s">
        <v>20221</v>
      </c>
      <c r="D4104" s="284" t="s">
        <v>897</v>
      </c>
      <c r="E4104" s="178">
        <v>2018</v>
      </c>
      <c r="F4104" s="178" t="s">
        <v>4520</v>
      </c>
      <c r="G4104" s="496"/>
      <c r="H4104" s="994" t="s">
        <v>20221</v>
      </c>
      <c r="I4104" s="11" t="s">
        <v>5715</v>
      </c>
      <c r="J4104" s="1285"/>
      <c r="K4104" s="1285"/>
      <c r="L4104" s="1285"/>
    </row>
    <row r="4105" spans="1:12" ht="11.15" customHeight="1">
      <c r="A4105" s="162" t="s">
        <v>5716</v>
      </c>
      <c r="B4105" s="59" t="s">
        <v>20914</v>
      </c>
      <c r="C4105" s="147" t="s">
        <v>20221</v>
      </c>
      <c r="D4105" s="284" t="s">
        <v>897</v>
      </c>
      <c r="E4105" s="178">
        <v>2017</v>
      </c>
      <c r="F4105" s="178" t="s">
        <v>4520</v>
      </c>
      <c r="G4105" s="496"/>
      <c r="H4105" s="994" t="s">
        <v>20221</v>
      </c>
      <c r="I4105" s="11" t="s">
        <v>5717</v>
      </c>
      <c r="J4105" s="1285"/>
      <c r="K4105" s="1285"/>
      <c r="L4105" s="1285"/>
    </row>
    <row r="4106" spans="1:12" ht="11.15" customHeight="1">
      <c r="A4106" s="199" t="s">
        <v>5718</v>
      </c>
      <c r="B4106" s="364"/>
      <c r="C4106" s="147"/>
      <c r="D4106" s="161"/>
      <c r="E4106" s="36"/>
      <c r="F4106" s="178"/>
      <c r="G4106" s="671"/>
      <c r="H4106" s="36"/>
      <c r="I4106" s="11"/>
    </row>
    <row r="4107" spans="1:12" ht="11.15" customHeight="1" thickBot="1">
      <c r="A4107" s="364" t="s">
        <v>5719</v>
      </c>
      <c r="B4107" s="364"/>
      <c r="C4107" s="147"/>
      <c r="D4107" s="161"/>
      <c r="E4107" s="36"/>
      <c r="F4107" s="178"/>
      <c r="G4107" s="671"/>
      <c r="H4107" s="36"/>
      <c r="I4107" s="11"/>
    </row>
    <row r="4108" spans="1:12" ht="11.15" customHeight="1" thickBot="1">
      <c r="A4108" s="434" t="s">
        <v>5720</v>
      </c>
      <c r="B4108" s="364"/>
      <c r="C4108" s="147"/>
      <c r="D4108" s="161"/>
      <c r="E4108" s="36"/>
      <c r="F4108" s="178"/>
      <c r="G4108" s="671"/>
      <c r="H4108" s="36"/>
      <c r="I4108" s="11"/>
    </row>
    <row r="4109" spans="1:12" ht="11.15" customHeight="1">
      <c r="A4109" s="424" t="s">
        <v>5721</v>
      </c>
      <c r="B4109" s="364"/>
      <c r="C4109" s="147"/>
      <c r="D4109" s="161"/>
      <c r="E4109" s="36"/>
      <c r="F4109" s="178"/>
      <c r="G4109" s="671"/>
      <c r="H4109" s="36"/>
      <c r="I4109" s="11"/>
    </row>
    <row r="4110" spans="1:12" ht="11.15" customHeight="1">
      <c r="A4110" s="29"/>
      <c r="B4110" s="146" t="s">
        <v>5722</v>
      </c>
      <c r="C4110" s="147"/>
      <c r="D4110" s="161"/>
      <c r="E4110" s="36"/>
      <c r="F4110" s="178"/>
      <c r="G4110" s="496"/>
      <c r="H4110" s="36"/>
      <c r="I4110" s="11"/>
    </row>
    <row r="4111" spans="1:12" ht="9" customHeight="1">
      <c r="A4111" s="185"/>
      <c r="B4111" s="209" t="s">
        <v>5723</v>
      </c>
      <c r="C4111" s="147"/>
      <c r="D4111" s="161"/>
      <c r="E4111" s="36"/>
      <c r="F4111" s="178"/>
      <c r="G4111" s="671"/>
      <c r="H4111" s="36"/>
      <c r="I4111" s="11"/>
    </row>
    <row r="4112" spans="1:12" ht="9" customHeight="1">
      <c r="A4112" s="29"/>
      <c r="B4112" s="150" t="s">
        <v>5724</v>
      </c>
      <c r="C4112" s="147"/>
      <c r="D4112" s="129"/>
      <c r="E4112" s="185"/>
      <c r="F4112" s="185"/>
      <c r="G4112" s="185"/>
      <c r="H4112" s="185"/>
      <c r="I4112" s="11"/>
    </row>
    <row r="4113" spans="1:9" ht="9" customHeight="1">
      <c r="A4113" s="29"/>
      <c r="B4113" s="150" t="s">
        <v>5725</v>
      </c>
      <c r="C4113" s="147"/>
      <c r="D4113" s="129"/>
      <c r="E4113" s="185"/>
      <c r="F4113" s="185"/>
      <c r="G4113" s="185"/>
      <c r="H4113" s="185"/>
      <c r="I4113" s="11"/>
    </row>
    <row r="4114" spans="1:9" ht="9" customHeight="1">
      <c r="A4114" s="185"/>
      <c r="B4114" s="209" t="s">
        <v>5726</v>
      </c>
      <c r="C4114" s="147"/>
      <c r="D4114" s="161"/>
      <c r="E4114" s="36"/>
      <c r="F4114" s="178"/>
      <c r="G4114" s="671"/>
      <c r="H4114" s="36"/>
      <c r="I4114" s="11"/>
    </row>
    <row r="4115" spans="1:9" ht="11.15" customHeight="1">
      <c r="A4115" s="29"/>
      <c r="B4115" s="146" t="s">
        <v>5727</v>
      </c>
      <c r="C4115" s="147"/>
      <c r="D4115" s="161"/>
      <c r="E4115" s="36"/>
      <c r="F4115" s="178"/>
      <c r="G4115" s="496"/>
      <c r="H4115" s="36"/>
      <c r="I4115" s="11"/>
    </row>
    <row r="4116" spans="1:9" ht="9" customHeight="1">
      <c r="A4116" s="185"/>
      <c r="B4116" s="209" t="s">
        <v>5728</v>
      </c>
      <c r="C4116" s="147"/>
      <c r="D4116" s="161"/>
      <c r="E4116" s="36"/>
      <c r="F4116" s="178"/>
      <c r="G4116" s="671"/>
      <c r="H4116" s="36"/>
      <c r="I4116" s="11"/>
    </row>
    <row r="4117" spans="1:9" ht="9" customHeight="1">
      <c r="A4117" s="185"/>
      <c r="B4117" s="150" t="s">
        <v>5729</v>
      </c>
      <c r="C4117" s="147"/>
      <c r="D4117" s="161"/>
      <c r="E4117" s="36"/>
      <c r="F4117" s="178"/>
      <c r="G4117" s="671"/>
      <c r="H4117" s="36"/>
      <c r="I4117" s="11"/>
    </row>
    <row r="4118" spans="1:9" ht="9" customHeight="1">
      <c r="A4118" s="185"/>
      <c r="B4118" s="150" t="s">
        <v>5730</v>
      </c>
      <c r="C4118" s="147"/>
      <c r="D4118" s="161"/>
      <c r="E4118" s="36"/>
      <c r="F4118" s="178"/>
      <c r="G4118" s="671"/>
      <c r="H4118" s="36"/>
      <c r="I4118" s="11"/>
    </row>
    <row r="4119" spans="1:9" ht="9" customHeight="1">
      <c r="A4119" s="185"/>
      <c r="B4119" s="150" t="s">
        <v>5731</v>
      </c>
      <c r="C4119" s="147"/>
      <c r="D4119" s="161"/>
      <c r="E4119" s="36"/>
      <c r="F4119" s="178"/>
      <c r="G4119" s="671"/>
      <c r="H4119" s="36"/>
      <c r="I4119" s="11"/>
    </row>
    <row r="4120" spans="1:9" ht="9" customHeight="1">
      <c r="A4120" s="185"/>
      <c r="B4120" s="150" t="s">
        <v>5732</v>
      </c>
      <c r="C4120" s="147"/>
      <c r="D4120" s="161"/>
      <c r="E4120" s="36"/>
      <c r="F4120" s="178"/>
      <c r="G4120" s="671"/>
      <c r="H4120" s="36"/>
      <c r="I4120" s="11"/>
    </row>
    <row r="4121" spans="1:9" ht="9" customHeight="1">
      <c r="A4121" s="185"/>
      <c r="B4121" s="150" t="s">
        <v>5733</v>
      </c>
      <c r="C4121" s="147"/>
      <c r="D4121" s="161"/>
      <c r="E4121" s="36"/>
      <c r="F4121" s="178"/>
      <c r="G4121" s="671"/>
      <c r="H4121" s="36"/>
      <c r="I4121" s="11"/>
    </row>
    <row r="4122" spans="1:9" ht="9" customHeight="1">
      <c r="A4122" s="185"/>
      <c r="B4122" s="150" t="s">
        <v>5734</v>
      </c>
      <c r="C4122" s="147"/>
      <c r="D4122" s="161"/>
      <c r="E4122" s="36"/>
      <c r="F4122" s="178"/>
      <c r="G4122" s="671"/>
      <c r="H4122" s="36"/>
      <c r="I4122" s="11"/>
    </row>
    <row r="4123" spans="1:9" ht="9" customHeight="1">
      <c r="A4123" s="29"/>
      <c r="B4123" s="150" t="s">
        <v>5735</v>
      </c>
      <c r="C4123" s="147"/>
      <c r="D4123" s="161"/>
      <c r="E4123" s="36"/>
      <c r="F4123" s="178"/>
      <c r="G4123" s="671"/>
      <c r="H4123" s="36"/>
      <c r="I4123" s="11"/>
    </row>
    <row r="4124" spans="1:9" ht="9" customHeight="1">
      <c r="A4124" s="29"/>
      <c r="B4124" s="150" t="s">
        <v>5736</v>
      </c>
      <c r="C4124" s="147"/>
      <c r="D4124" s="161"/>
      <c r="E4124" s="36"/>
      <c r="F4124" s="178"/>
      <c r="G4124" s="671"/>
      <c r="H4124" s="36"/>
      <c r="I4124" s="11"/>
    </row>
    <row r="4125" spans="1:9" ht="9" customHeight="1">
      <c r="A4125" s="29"/>
      <c r="B4125" s="150" t="s">
        <v>5737</v>
      </c>
      <c r="C4125" s="147"/>
      <c r="D4125" s="161"/>
      <c r="E4125" s="36"/>
      <c r="F4125" s="178"/>
      <c r="G4125" s="671"/>
      <c r="H4125" s="36"/>
      <c r="I4125" s="11"/>
    </row>
    <row r="4126" spans="1:9" ht="9" customHeight="1">
      <c r="A4126" s="29"/>
      <c r="B4126" s="150" t="s">
        <v>5738</v>
      </c>
      <c r="C4126" s="147"/>
      <c r="D4126" s="161"/>
      <c r="E4126" s="36"/>
      <c r="F4126" s="178"/>
      <c r="G4126" s="671"/>
      <c r="H4126" s="36"/>
      <c r="I4126" s="11"/>
    </row>
    <row r="4127" spans="1:9" ht="9" customHeight="1">
      <c r="A4127" s="29"/>
      <c r="B4127" s="150" t="s">
        <v>5739</v>
      </c>
      <c r="C4127" s="147"/>
      <c r="D4127" s="161"/>
      <c r="E4127" s="36"/>
      <c r="F4127" s="178"/>
      <c r="G4127" s="671"/>
      <c r="H4127" s="36"/>
      <c r="I4127" s="11"/>
    </row>
    <row r="4128" spans="1:9" ht="9" customHeight="1">
      <c r="A4128" s="29"/>
      <c r="B4128" s="209" t="s">
        <v>5740</v>
      </c>
      <c r="C4128" s="147"/>
      <c r="D4128" s="161"/>
      <c r="E4128" s="36"/>
      <c r="F4128" s="178"/>
      <c r="G4128" s="671"/>
      <c r="H4128" s="36"/>
      <c r="I4128" s="11"/>
    </row>
    <row r="4129" spans="1:9" ht="9" customHeight="1">
      <c r="A4129" s="181"/>
      <c r="B4129" s="150" t="s">
        <v>5741</v>
      </c>
      <c r="C4129" s="147"/>
      <c r="D4129" s="161"/>
      <c r="E4129" s="36"/>
      <c r="F4129" s="178"/>
      <c r="G4129" s="671"/>
      <c r="H4129" s="36"/>
      <c r="I4129" s="11"/>
    </row>
    <row r="4130" spans="1:9" ht="9" customHeight="1">
      <c r="A4130" s="29"/>
      <c r="B4130" s="150" t="s">
        <v>5742</v>
      </c>
      <c r="C4130" s="147"/>
      <c r="D4130" s="161"/>
      <c r="E4130" s="36"/>
      <c r="F4130" s="178"/>
      <c r="G4130" s="671"/>
      <c r="H4130" s="36"/>
      <c r="I4130" s="11"/>
    </row>
    <row r="4131" spans="1:9" ht="9" customHeight="1">
      <c r="A4131" s="185"/>
      <c r="B4131" s="150" t="s">
        <v>5743</v>
      </c>
      <c r="C4131" s="147"/>
      <c r="D4131" s="161"/>
      <c r="E4131" s="36"/>
      <c r="F4131" s="178"/>
      <c r="G4131" s="671"/>
      <c r="H4131" s="36"/>
      <c r="I4131" s="11"/>
    </row>
    <row r="4132" spans="1:9" ht="9" customHeight="1">
      <c r="A4132" s="185"/>
      <c r="B4132" s="150" t="s">
        <v>5744</v>
      </c>
      <c r="C4132" s="147"/>
      <c r="D4132" s="161"/>
      <c r="E4132" s="36"/>
      <c r="F4132" s="178"/>
      <c r="G4132" s="671"/>
      <c r="H4132" s="36"/>
      <c r="I4132" s="11"/>
    </row>
    <row r="4133" spans="1:9" ht="9" customHeight="1">
      <c r="A4133" s="185"/>
      <c r="B4133" s="150" t="s">
        <v>5745</v>
      </c>
      <c r="C4133" s="147"/>
      <c r="D4133" s="161"/>
      <c r="E4133" s="36"/>
      <c r="F4133" s="178"/>
      <c r="G4133" s="671"/>
      <c r="H4133" s="36"/>
      <c r="I4133" s="11"/>
    </row>
    <row r="4134" spans="1:9" ht="9" customHeight="1">
      <c r="A4134" s="185"/>
      <c r="B4134" s="150" t="s">
        <v>5746</v>
      </c>
      <c r="C4134" s="147"/>
      <c r="D4134" s="161"/>
      <c r="E4134" s="36"/>
      <c r="F4134" s="178"/>
      <c r="G4134" s="671"/>
      <c r="H4134" s="36"/>
      <c r="I4134" s="11"/>
    </row>
    <row r="4135" spans="1:9" ht="9" customHeight="1">
      <c r="A4135" s="185"/>
      <c r="B4135" s="150" t="s">
        <v>5747</v>
      </c>
      <c r="C4135" s="147"/>
      <c r="D4135" s="161"/>
      <c r="E4135" s="36"/>
      <c r="F4135" s="178"/>
      <c r="G4135" s="671"/>
      <c r="H4135" s="36"/>
      <c r="I4135" s="11"/>
    </row>
    <row r="4136" spans="1:9" ht="9" customHeight="1">
      <c r="A4136" s="185"/>
      <c r="B4136" s="150" t="s">
        <v>5748</v>
      </c>
      <c r="C4136" s="147"/>
      <c r="D4136" s="161"/>
      <c r="E4136" s="36"/>
      <c r="F4136" s="178"/>
      <c r="G4136" s="671"/>
      <c r="H4136" s="36"/>
      <c r="I4136" s="11"/>
    </row>
    <row r="4137" spans="1:9" ht="9" customHeight="1">
      <c r="A4137" s="185"/>
      <c r="B4137" s="150" t="s">
        <v>5749</v>
      </c>
      <c r="C4137" s="147"/>
      <c r="D4137" s="161"/>
      <c r="E4137" s="36"/>
      <c r="F4137" s="178"/>
      <c r="G4137" s="671"/>
      <c r="H4137" s="36"/>
      <c r="I4137" s="11"/>
    </row>
    <row r="4138" spans="1:9" ht="9" customHeight="1">
      <c r="A4138" s="185"/>
      <c r="B4138" s="150" t="s">
        <v>5750</v>
      </c>
      <c r="C4138" s="147"/>
      <c r="D4138" s="161"/>
      <c r="E4138" s="36"/>
      <c r="F4138" s="178"/>
      <c r="G4138" s="671"/>
      <c r="H4138" s="36"/>
      <c r="I4138" s="11"/>
    </row>
    <row r="4139" spans="1:9" ht="11.15" customHeight="1">
      <c r="A4139" s="29"/>
      <c r="B4139" s="146" t="s">
        <v>5751</v>
      </c>
      <c r="C4139" s="147"/>
      <c r="D4139" s="161"/>
      <c r="E4139" s="36"/>
      <c r="F4139" s="178"/>
      <c r="G4139" s="496"/>
      <c r="H4139" s="36"/>
      <c r="I4139" s="11"/>
    </row>
    <row r="4140" spans="1:9" ht="9" customHeight="1">
      <c r="A4140" s="185"/>
      <c r="B4140" s="150" t="s">
        <v>5752</v>
      </c>
      <c r="C4140" s="147"/>
      <c r="D4140" s="161"/>
      <c r="E4140" s="36"/>
      <c r="F4140" s="178"/>
      <c r="G4140" s="671"/>
      <c r="H4140" s="36"/>
      <c r="I4140" s="11"/>
    </row>
    <row r="4141" spans="1:9" ht="9" customHeight="1">
      <c r="A4141" s="185"/>
      <c r="B4141" s="150" t="s">
        <v>5753</v>
      </c>
      <c r="C4141" s="147"/>
      <c r="D4141" s="161"/>
      <c r="E4141" s="36"/>
      <c r="F4141" s="178"/>
      <c r="G4141" s="671"/>
      <c r="H4141" s="36"/>
      <c r="I4141" s="11"/>
    </row>
    <row r="4142" spans="1:9" ht="9" customHeight="1">
      <c r="A4142" s="185"/>
      <c r="B4142" s="150" t="s">
        <v>5754</v>
      </c>
      <c r="C4142" s="147"/>
      <c r="D4142" s="161"/>
      <c r="E4142" s="36"/>
      <c r="F4142" s="178"/>
      <c r="G4142" s="671"/>
      <c r="H4142" s="36"/>
      <c r="I4142" s="11"/>
    </row>
    <row r="4143" spans="1:9" ht="9" customHeight="1">
      <c r="A4143" s="185"/>
      <c r="B4143" s="150" t="s">
        <v>5755</v>
      </c>
      <c r="C4143" s="147"/>
      <c r="D4143" s="161"/>
      <c r="E4143" s="36"/>
      <c r="F4143" s="178"/>
      <c r="G4143" s="671"/>
      <c r="H4143" s="36"/>
      <c r="I4143" s="11"/>
    </row>
    <row r="4144" spans="1:9" ht="9.75" customHeight="1">
      <c r="A4144" s="185"/>
      <c r="B4144" s="150" t="s">
        <v>5756</v>
      </c>
      <c r="C4144" s="147"/>
      <c r="D4144" s="161"/>
      <c r="E4144" s="36"/>
      <c r="F4144" s="178"/>
      <c r="G4144" s="671"/>
      <c r="H4144" s="36"/>
      <c r="I4144" s="11"/>
    </row>
    <row r="4145" spans="1:12" ht="9" customHeight="1">
      <c r="A4145" s="185"/>
      <c r="B4145" s="150" t="s">
        <v>5757</v>
      </c>
      <c r="C4145" s="147"/>
      <c r="D4145" s="161"/>
      <c r="E4145" s="36"/>
      <c r="F4145" s="178"/>
      <c r="G4145" s="671"/>
      <c r="H4145" s="36"/>
      <c r="I4145" s="11"/>
    </row>
    <row r="4146" spans="1:12" ht="9" customHeight="1">
      <c r="A4146" s="185"/>
      <c r="B4146" s="150" t="s">
        <v>5758</v>
      </c>
      <c r="C4146" s="147"/>
      <c r="D4146" s="161"/>
      <c r="E4146" s="36"/>
      <c r="F4146" s="178"/>
      <c r="G4146" s="671"/>
      <c r="H4146" s="36"/>
      <c r="I4146" s="11"/>
    </row>
    <row r="4147" spans="1:12" ht="9" customHeight="1" thickBot="1">
      <c r="A4147" s="185"/>
      <c r="B4147" s="150" t="s">
        <v>5759</v>
      </c>
      <c r="C4147" s="147"/>
      <c r="D4147" s="161"/>
      <c r="E4147" s="36"/>
      <c r="F4147" s="178"/>
      <c r="G4147" s="671"/>
      <c r="H4147" s="36"/>
      <c r="I4147" s="11"/>
    </row>
    <row r="4148" spans="1:12" ht="10.5" customHeight="1">
      <c r="A4148" s="435" t="s">
        <v>5760</v>
      </c>
      <c r="B4148" s="436" t="s">
        <v>5761</v>
      </c>
      <c r="C4148" s="437"/>
      <c r="D4148" s="438"/>
      <c r="E4148" s="439"/>
      <c r="F4148" s="1078"/>
      <c r="G4148" s="1219"/>
      <c r="H4148" s="1147"/>
      <c r="I4148" s="11"/>
    </row>
    <row r="4149" spans="1:12" ht="10.5" customHeight="1">
      <c r="A4149" s="440" t="s">
        <v>5762</v>
      </c>
      <c r="B4149" s="441" t="s">
        <v>5763</v>
      </c>
      <c r="C4149" s="147"/>
      <c r="D4149" s="159"/>
      <c r="E4149" s="36"/>
      <c r="F4149" s="178"/>
      <c r="G4149" s="671"/>
      <c r="H4149" s="628"/>
      <c r="I4149" s="11"/>
    </row>
    <row r="4150" spans="1:12" ht="11.15" customHeight="1" thickBot="1">
      <c r="A4150" s="442" t="s">
        <v>5764</v>
      </c>
      <c r="B4150" s="565" t="s">
        <v>21142</v>
      </c>
      <c r="C4150" s="147" t="s">
        <v>20221</v>
      </c>
      <c r="D4150" s="701" t="s">
        <v>1129</v>
      </c>
      <c r="E4150" s="178">
        <v>2017</v>
      </c>
      <c r="F4150" s="178" t="s">
        <v>4520</v>
      </c>
      <c r="G4150" s="496"/>
      <c r="H4150" s="1305" t="s">
        <v>20221</v>
      </c>
      <c r="I4150" s="11" t="s">
        <v>5765</v>
      </c>
      <c r="J4150" s="1285"/>
      <c r="K4150" s="1285"/>
      <c r="L4150" s="1285"/>
    </row>
    <row r="4151" spans="1:12" ht="11.15" customHeight="1">
      <c r="A4151" s="443" t="s">
        <v>5766</v>
      </c>
      <c r="B4151" s="441" t="s">
        <v>5767</v>
      </c>
      <c r="C4151" s="147"/>
      <c r="D4151" s="159"/>
      <c r="E4151" s="36"/>
      <c r="F4151" s="178"/>
      <c r="G4151" s="671"/>
      <c r="H4151" s="628"/>
      <c r="I4151" s="11"/>
    </row>
    <row r="4152" spans="1:12" ht="11.15" customHeight="1" thickBot="1">
      <c r="A4152" s="444" t="s">
        <v>5768</v>
      </c>
      <c r="B4152" s="565" t="s">
        <v>21144</v>
      </c>
      <c r="C4152" s="147" t="s">
        <v>23393</v>
      </c>
      <c r="D4152" s="284" t="s">
        <v>897</v>
      </c>
      <c r="E4152" s="178">
        <v>2020</v>
      </c>
      <c r="F4152" s="178" t="s">
        <v>4520</v>
      </c>
      <c r="G4152" s="496"/>
      <c r="H4152" s="1305" t="s">
        <v>20221</v>
      </c>
      <c r="I4152" s="11" t="s">
        <v>5769</v>
      </c>
      <c r="J4152" s="1285"/>
      <c r="K4152" s="1285"/>
      <c r="L4152" s="1285"/>
    </row>
    <row r="4153" spans="1:12" ht="10.5" customHeight="1">
      <c r="A4153" s="503" t="s">
        <v>5770</v>
      </c>
      <c r="B4153" s="59" t="s">
        <v>21144</v>
      </c>
      <c r="C4153" s="147" t="s">
        <v>23393</v>
      </c>
      <c r="D4153" s="284" t="s">
        <v>897</v>
      </c>
      <c r="E4153" s="178">
        <v>2019</v>
      </c>
      <c r="F4153" s="178" t="s">
        <v>4520</v>
      </c>
      <c r="G4153" s="496"/>
      <c r="H4153" s="1305" t="s">
        <v>20221</v>
      </c>
      <c r="I4153" s="11" t="s">
        <v>5771</v>
      </c>
      <c r="J4153" s="1285"/>
      <c r="K4153" s="1285"/>
      <c r="L4153" s="1285"/>
    </row>
    <row r="4154" spans="1:12" ht="11.15" customHeight="1">
      <c r="A4154" s="506" t="s">
        <v>5772</v>
      </c>
      <c r="B4154" s="59" t="s">
        <v>21144</v>
      </c>
      <c r="C4154" s="147" t="s">
        <v>20221</v>
      </c>
      <c r="D4154" s="284" t="s">
        <v>897</v>
      </c>
      <c r="E4154" s="178">
        <v>2018</v>
      </c>
      <c r="F4154" s="178" t="s">
        <v>4520</v>
      </c>
      <c r="G4154" s="496"/>
      <c r="H4154" s="1305" t="s">
        <v>20221</v>
      </c>
      <c r="I4154" s="11" t="s">
        <v>5773</v>
      </c>
      <c r="J4154" s="1285"/>
      <c r="K4154" s="1285"/>
      <c r="L4154" s="1285"/>
    </row>
    <row r="4155" spans="1:12" ht="11.15" customHeight="1">
      <c r="A4155" s="506" t="s">
        <v>5774</v>
      </c>
      <c r="B4155" s="59" t="s">
        <v>21144</v>
      </c>
      <c r="C4155" s="147" t="s">
        <v>20221</v>
      </c>
      <c r="D4155" s="284" t="s">
        <v>897</v>
      </c>
      <c r="E4155" s="178">
        <v>2017</v>
      </c>
      <c r="F4155" s="178" t="s">
        <v>4520</v>
      </c>
      <c r="G4155" s="496"/>
      <c r="H4155" s="1305" t="s">
        <v>20277</v>
      </c>
      <c r="I4155" s="11" t="s">
        <v>5775</v>
      </c>
      <c r="J4155" s="1285"/>
      <c r="K4155" s="1285"/>
      <c r="L4155" s="1285"/>
    </row>
    <row r="4156" spans="1:12" ht="11.15" customHeight="1">
      <c r="A4156" s="506" t="s">
        <v>5776</v>
      </c>
      <c r="B4156" s="59" t="s">
        <v>21145</v>
      </c>
      <c r="C4156" s="147" t="s">
        <v>20221</v>
      </c>
      <c r="D4156" s="284" t="s">
        <v>897</v>
      </c>
      <c r="E4156" s="178">
        <v>2016</v>
      </c>
      <c r="F4156" s="178" t="s">
        <v>4520</v>
      </c>
      <c r="G4156" s="496"/>
      <c r="H4156" s="1305" t="s">
        <v>20221</v>
      </c>
      <c r="I4156" s="11" t="s">
        <v>5777</v>
      </c>
      <c r="J4156" s="1285"/>
      <c r="K4156" s="1285"/>
      <c r="L4156" s="1285"/>
    </row>
    <row r="4157" spans="1:12" ht="11.15" customHeight="1" thickBot="1">
      <c r="A4157" s="446" t="s">
        <v>5778</v>
      </c>
      <c r="B4157" s="447"/>
      <c r="C4157" s="448"/>
      <c r="D4157" s="449"/>
      <c r="E4157" s="450"/>
      <c r="F4157" s="1079"/>
      <c r="G4157" s="1220"/>
      <c r="H4157" s="1164"/>
      <c r="I4157" s="11"/>
    </row>
    <row r="4158" spans="1:12" ht="11.15" customHeight="1">
      <c r="A4158" s="29" t="s">
        <v>5779</v>
      </c>
      <c r="B4158" s="185"/>
      <c r="C4158" s="147"/>
      <c r="D4158" s="185"/>
      <c r="E4158" s="185"/>
      <c r="F4158" s="185"/>
      <c r="G4158" s="185"/>
      <c r="H4158" s="185"/>
      <c r="I4158" s="11"/>
    </row>
    <row r="4159" spans="1:12" ht="11.15" customHeight="1">
      <c r="A4159" s="29" t="s">
        <v>5780</v>
      </c>
      <c r="B4159" s="177" t="s">
        <v>5781</v>
      </c>
      <c r="C4159" s="147"/>
      <c r="D4159" s="161"/>
      <c r="E4159" s="36"/>
      <c r="F4159" s="178"/>
      <c r="G4159" s="671"/>
      <c r="H4159" s="36"/>
      <c r="I4159" s="11"/>
    </row>
    <row r="4160" spans="1:12" ht="10.5" customHeight="1">
      <c r="A4160" s="29" t="s">
        <v>5782</v>
      </c>
      <c r="B4160" s="59" t="s">
        <v>20916</v>
      </c>
      <c r="C4160" s="147" t="s">
        <v>23393</v>
      </c>
      <c r="D4160" s="284" t="s">
        <v>897</v>
      </c>
      <c r="E4160" s="178">
        <v>2019</v>
      </c>
      <c r="F4160" s="178" t="s">
        <v>7168</v>
      </c>
      <c r="G4160" s="496"/>
      <c r="H4160" s="994" t="s">
        <v>20221</v>
      </c>
      <c r="I4160" s="11" t="s">
        <v>5783</v>
      </c>
      <c r="J4160" s="1285"/>
      <c r="K4160" s="1285"/>
      <c r="L4160" s="1285"/>
    </row>
    <row r="4161" spans="1:12" ht="11.15" customHeight="1">
      <c r="A4161" s="29" t="s">
        <v>5784</v>
      </c>
      <c r="B4161" s="59" t="s">
        <v>20916</v>
      </c>
      <c r="C4161" s="147" t="s">
        <v>20221</v>
      </c>
      <c r="D4161" s="284" t="s">
        <v>897</v>
      </c>
      <c r="E4161" s="178">
        <v>2014</v>
      </c>
      <c r="F4161" s="178" t="s">
        <v>7168</v>
      </c>
      <c r="G4161" s="496"/>
      <c r="H4161" s="994" t="s">
        <v>20221</v>
      </c>
      <c r="I4161" s="11" t="s">
        <v>5785</v>
      </c>
      <c r="J4161" s="1285"/>
      <c r="K4161" s="1285"/>
      <c r="L4161" s="1285"/>
    </row>
    <row r="4162" spans="1:12" ht="11.15" customHeight="1">
      <c r="A4162" s="29" t="s">
        <v>5786</v>
      </c>
      <c r="B4162" s="177" t="s">
        <v>5787</v>
      </c>
      <c r="C4162" s="147"/>
      <c r="D4162" s="161"/>
      <c r="E4162" s="36"/>
      <c r="F4162" s="178"/>
      <c r="G4162" s="671"/>
      <c r="H4162" s="36"/>
      <c r="I4162" s="11"/>
    </row>
    <row r="4163" spans="1:12" ht="10.5" customHeight="1">
      <c r="A4163" s="29" t="s">
        <v>5788</v>
      </c>
      <c r="B4163" s="59" t="s">
        <v>20917</v>
      </c>
      <c r="C4163" s="147" t="s">
        <v>20221</v>
      </c>
      <c r="D4163" s="284" t="s">
        <v>897</v>
      </c>
      <c r="E4163" s="178">
        <v>2021</v>
      </c>
      <c r="F4163" s="178" t="s">
        <v>4520</v>
      </c>
      <c r="G4163" s="496"/>
      <c r="H4163" s="994" t="s">
        <v>20221</v>
      </c>
      <c r="I4163" s="11" t="s">
        <v>5789</v>
      </c>
      <c r="J4163" s="1285"/>
      <c r="K4163" s="1285"/>
      <c r="L4163" s="1285"/>
    </row>
    <row r="4164" spans="1:12" ht="10.5" customHeight="1">
      <c r="A4164" s="181" t="s">
        <v>5790</v>
      </c>
      <c r="B4164" s="59" t="s">
        <v>20917</v>
      </c>
      <c r="C4164" s="147" t="s">
        <v>20221</v>
      </c>
      <c r="D4164" s="284" t="s">
        <v>897</v>
      </c>
      <c r="E4164" s="178">
        <v>2020</v>
      </c>
      <c r="F4164" s="178" t="s">
        <v>4520</v>
      </c>
      <c r="G4164" s="496"/>
      <c r="H4164" s="994" t="s">
        <v>20221</v>
      </c>
      <c r="I4164" s="11" t="s">
        <v>5791</v>
      </c>
      <c r="J4164" s="1285"/>
      <c r="K4164" s="1285"/>
      <c r="L4164" s="1285"/>
    </row>
    <row r="4165" spans="1:12" ht="11.15" customHeight="1">
      <c r="A4165" s="218" t="s">
        <v>5792</v>
      </c>
      <c r="B4165" s="59" t="s">
        <v>20918</v>
      </c>
      <c r="C4165" s="147" t="s">
        <v>20221</v>
      </c>
      <c r="D4165" s="284" t="s">
        <v>897</v>
      </c>
      <c r="E4165" s="178">
        <v>2021</v>
      </c>
      <c r="F4165" s="178" t="s">
        <v>4520</v>
      </c>
      <c r="G4165" s="496"/>
      <c r="H4165" s="994" t="s">
        <v>20221</v>
      </c>
      <c r="I4165" s="11" t="s">
        <v>5793</v>
      </c>
      <c r="J4165" s="1285"/>
      <c r="K4165" s="1285"/>
      <c r="L4165" s="1285"/>
    </row>
    <row r="4166" spans="1:12" ht="11.15" customHeight="1">
      <c r="A4166" s="181" t="s">
        <v>2536</v>
      </c>
      <c r="B4166" s="59" t="s">
        <v>20918</v>
      </c>
      <c r="C4166" s="147" t="s">
        <v>20221</v>
      </c>
      <c r="D4166" s="284" t="s">
        <v>897</v>
      </c>
      <c r="E4166" s="178">
        <v>2020</v>
      </c>
      <c r="F4166" s="178" t="s">
        <v>4520</v>
      </c>
      <c r="G4166" s="496"/>
      <c r="H4166" s="994" t="s">
        <v>20221</v>
      </c>
      <c r="I4166" s="11" t="s">
        <v>5794</v>
      </c>
      <c r="J4166" s="1285"/>
      <c r="K4166" s="1285"/>
      <c r="L4166" s="1285"/>
    </row>
    <row r="4167" spans="1:12" ht="11.15" customHeight="1">
      <c r="A4167" s="129" t="s">
        <v>1077</v>
      </c>
      <c r="B4167" s="59" t="s">
        <v>20756</v>
      </c>
      <c r="C4167" s="147" t="s">
        <v>20221</v>
      </c>
      <c r="D4167" s="284" t="s">
        <v>897</v>
      </c>
      <c r="E4167" s="178">
        <v>2021</v>
      </c>
      <c r="F4167" s="178" t="s">
        <v>4520</v>
      </c>
      <c r="G4167" s="496"/>
      <c r="H4167" s="994" t="s">
        <v>20224</v>
      </c>
      <c r="I4167" s="11" t="s">
        <v>5795</v>
      </c>
      <c r="J4167" s="1285"/>
      <c r="K4167" s="1285"/>
      <c r="L4167" s="1285"/>
    </row>
    <row r="4168" spans="1:12" ht="11.15" customHeight="1">
      <c r="A4168" s="162" t="s">
        <v>5796</v>
      </c>
      <c r="B4168" s="59" t="s">
        <v>20756</v>
      </c>
      <c r="C4168" s="147" t="s">
        <v>20221</v>
      </c>
      <c r="D4168" s="284" t="s">
        <v>897</v>
      </c>
      <c r="E4168" s="178">
        <v>2020</v>
      </c>
      <c r="F4168" s="178" t="s">
        <v>4520</v>
      </c>
      <c r="G4168" s="496"/>
      <c r="H4168" s="994" t="s">
        <v>20221</v>
      </c>
      <c r="I4168" s="11" t="s">
        <v>5797</v>
      </c>
      <c r="J4168" s="1285"/>
      <c r="K4168" s="1285"/>
      <c r="L4168" s="1285"/>
    </row>
    <row r="4169" spans="1:12" ht="11.15" customHeight="1">
      <c r="A4169" s="162" t="s">
        <v>5798</v>
      </c>
      <c r="B4169" s="59" t="s">
        <v>20919</v>
      </c>
      <c r="C4169" s="147" t="s">
        <v>23393</v>
      </c>
      <c r="D4169" s="284" t="s">
        <v>897</v>
      </c>
      <c r="E4169" s="178">
        <v>2021</v>
      </c>
      <c r="F4169" s="178" t="s">
        <v>4520</v>
      </c>
      <c r="G4169" s="496"/>
      <c r="H4169" s="994" t="s">
        <v>20221</v>
      </c>
      <c r="I4169" s="11" t="s">
        <v>5799</v>
      </c>
      <c r="J4169" s="1285"/>
      <c r="K4169" s="1285"/>
      <c r="L4169" s="1285"/>
    </row>
    <row r="4170" spans="1:12" ht="11.15" customHeight="1">
      <c r="A4170" s="162" t="s">
        <v>5800</v>
      </c>
      <c r="B4170" s="59" t="s">
        <v>20919</v>
      </c>
      <c r="C4170" s="147" t="s">
        <v>23393</v>
      </c>
      <c r="D4170" s="284" t="s">
        <v>897</v>
      </c>
      <c r="E4170" s="178">
        <v>2020</v>
      </c>
      <c r="F4170" s="178" t="s">
        <v>4520</v>
      </c>
      <c r="G4170" s="496"/>
      <c r="H4170" s="994" t="s">
        <v>20221</v>
      </c>
      <c r="I4170" s="11" t="s">
        <v>5801</v>
      </c>
      <c r="J4170" s="1285"/>
      <c r="K4170" s="1285"/>
      <c r="L4170" s="1285"/>
    </row>
    <row r="4171" spans="1:12" ht="11.15" customHeight="1">
      <c r="A4171" s="162" t="s">
        <v>5802</v>
      </c>
      <c r="B4171" s="59" t="s">
        <v>20725</v>
      </c>
      <c r="C4171" s="147" t="s">
        <v>20221</v>
      </c>
      <c r="D4171" s="284" t="s">
        <v>897</v>
      </c>
      <c r="E4171" s="178">
        <v>2022</v>
      </c>
      <c r="F4171" s="178" t="s">
        <v>4520</v>
      </c>
      <c r="G4171" s="496"/>
      <c r="H4171" s="994" t="s">
        <v>20343</v>
      </c>
      <c r="I4171" s="11" t="s">
        <v>5803</v>
      </c>
      <c r="J4171" s="1285"/>
      <c r="K4171" s="1285"/>
      <c r="L4171" s="1285"/>
    </row>
    <row r="4172" spans="1:12" ht="11.15" customHeight="1">
      <c r="A4172" s="162" t="s">
        <v>5804</v>
      </c>
      <c r="B4172" s="59" t="s">
        <v>20725</v>
      </c>
      <c r="C4172" s="147" t="s">
        <v>20221</v>
      </c>
      <c r="D4172" s="284" t="s">
        <v>897</v>
      </c>
      <c r="E4172" s="178">
        <v>2021</v>
      </c>
      <c r="F4172" s="178" t="s">
        <v>4520</v>
      </c>
      <c r="G4172" s="496"/>
      <c r="H4172" s="994" t="s">
        <v>20221</v>
      </c>
      <c r="I4172" s="11" t="s">
        <v>5805</v>
      </c>
      <c r="J4172" s="1285"/>
      <c r="K4172" s="1285"/>
      <c r="L4172" s="1285"/>
    </row>
    <row r="4173" spans="1:12" ht="11.15" customHeight="1">
      <c r="A4173" s="162" t="s">
        <v>5806</v>
      </c>
      <c r="B4173" s="59" t="s">
        <v>20725</v>
      </c>
      <c r="C4173" s="147" t="s">
        <v>20221</v>
      </c>
      <c r="D4173" s="284" t="s">
        <v>897</v>
      </c>
      <c r="E4173" s="178">
        <v>2020</v>
      </c>
      <c r="F4173" s="178" t="s">
        <v>4520</v>
      </c>
      <c r="G4173" s="496"/>
      <c r="H4173" s="994" t="s">
        <v>20221</v>
      </c>
      <c r="I4173" s="11" t="s">
        <v>5807</v>
      </c>
      <c r="J4173" s="1285"/>
      <c r="K4173" s="1285"/>
      <c r="L4173" s="1285"/>
    </row>
    <row r="4174" spans="1:12" ht="11.15" customHeight="1">
      <c r="A4174" s="162" t="s">
        <v>5808</v>
      </c>
      <c r="B4174" s="59" t="s">
        <v>20725</v>
      </c>
      <c r="C4174" s="147" t="s">
        <v>20221</v>
      </c>
      <c r="D4174" s="284" t="s">
        <v>897</v>
      </c>
      <c r="E4174" s="178">
        <v>2019</v>
      </c>
      <c r="F4174" s="178" t="s">
        <v>4520</v>
      </c>
      <c r="G4174" s="496"/>
      <c r="H4174" s="994" t="s">
        <v>20221</v>
      </c>
      <c r="I4174" s="11" t="s">
        <v>5809</v>
      </c>
      <c r="J4174" s="1285"/>
      <c r="K4174" s="1285"/>
      <c r="L4174" s="1285"/>
    </row>
    <row r="4175" spans="1:12" ht="11.15" customHeight="1">
      <c r="A4175" s="162" t="s">
        <v>5810</v>
      </c>
      <c r="B4175" s="59" t="s">
        <v>20725</v>
      </c>
      <c r="C4175" s="147" t="s">
        <v>20221</v>
      </c>
      <c r="D4175" s="284" t="s">
        <v>897</v>
      </c>
      <c r="E4175" s="178">
        <v>2018</v>
      </c>
      <c r="F4175" s="178" t="s">
        <v>4520</v>
      </c>
      <c r="G4175" s="496"/>
      <c r="H4175" s="994" t="s">
        <v>20221</v>
      </c>
      <c r="I4175" s="11" t="s">
        <v>5811</v>
      </c>
      <c r="J4175" s="1285"/>
      <c r="K4175" s="1285"/>
      <c r="L4175" s="1285"/>
    </row>
    <row r="4176" spans="1:12" ht="11.15" customHeight="1">
      <c r="A4176" s="162" t="s">
        <v>5812</v>
      </c>
      <c r="B4176" s="59" t="s">
        <v>20920</v>
      </c>
      <c r="C4176" s="147" t="s">
        <v>20221</v>
      </c>
      <c r="D4176" s="284" t="s">
        <v>897</v>
      </c>
      <c r="E4176" s="178">
        <v>2021</v>
      </c>
      <c r="F4176" s="178" t="s">
        <v>4520</v>
      </c>
      <c r="G4176" s="496"/>
      <c r="H4176" s="994" t="s">
        <v>20221</v>
      </c>
      <c r="I4176" s="11" t="s">
        <v>5813</v>
      </c>
      <c r="J4176" s="1285"/>
      <c r="K4176" s="1285"/>
      <c r="L4176" s="1285"/>
    </row>
    <row r="4177" spans="1:12" ht="11.15" customHeight="1">
      <c r="A4177" s="162" t="s">
        <v>5814</v>
      </c>
      <c r="B4177" s="59" t="s">
        <v>20920</v>
      </c>
      <c r="C4177" s="147" t="s">
        <v>20221</v>
      </c>
      <c r="D4177" s="284" t="s">
        <v>897</v>
      </c>
      <c r="E4177" s="178">
        <v>2019</v>
      </c>
      <c r="F4177" s="178" t="s">
        <v>4520</v>
      </c>
      <c r="G4177" s="496"/>
      <c r="H4177" s="994" t="s">
        <v>20221</v>
      </c>
      <c r="I4177" s="11" t="s">
        <v>5815</v>
      </c>
      <c r="J4177" s="1285"/>
      <c r="K4177" s="1285"/>
      <c r="L4177" s="1285"/>
    </row>
    <row r="4178" spans="1:12" ht="11.15" customHeight="1">
      <c r="A4178" s="162" t="s">
        <v>5816</v>
      </c>
      <c r="B4178" s="59" t="s">
        <v>20920</v>
      </c>
      <c r="C4178" s="147" t="s">
        <v>20221</v>
      </c>
      <c r="D4178" s="284" t="s">
        <v>897</v>
      </c>
      <c r="E4178" s="178">
        <v>2018</v>
      </c>
      <c r="F4178" s="178" t="s">
        <v>4520</v>
      </c>
      <c r="G4178" s="496"/>
      <c r="H4178" s="994" t="s">
        <v>20221</v>
      </c>
      <c r="I4178" s="11" t="s">
        <v>5817</v>
      </c>
      <c r="J4178" s="1285"/>
      <c r="K4178" s="1285"/>
      <c r="L4178" s="1285"/>
    </row>
    <row r="4179" spans="1:12" ht="11.15" customHeight="1">
      <c r="A4179" s="162" t="s">
        <v>5818</v>
      </c>
      <c r="B4179" s="59" t="s">
        <v>20920</v>
      </c>
      <c r="C4179" s="147" t="s">
        <v>20221</v>
      </c>
      <c r="D4179" s="284" t="s">
        <v>897</v>
      </c>
      <c r="E4179" s="178">
        <v>2017</v>
      </c>
      <c r="F4179" s="178" t="s">
        <v>4520</v>
      </c>
      <c r="G4179" s="496"/>
      <c r="H4179" s="994" t="s">
        <v>20221</v>
      </c>
      <c r="I4179" s="11" t="s">
        <v>5819</v>
      </c>
      <c r="J4179" s="1285"/>
      <c r="K4179" s="1285"/>
      <c r="L4179" s="1285"/>
    </row>
    <row r="4180" spans="1:12" ht="11.15" customHeight="1">
      <c r="A4180" s="162" t="s">
        <v>5820</v>
      </c>
      <c r="B4180" s="59" t="s">
        <v>20920</v>
      </c>
      <c r="C4180" s="147" t="s">
        <v>20221</v>
      </c>
      <c r="D4180" s="284" t="s">
        <v>897</v>
      </c>
      <c r="E4180" s="178">
        <v>2016</v>
      </c>
      <c r="F4180" s="178" t="s">
        <v>4520</v>
      </c>
      <c r="G4180" s="496"/>
      <c r="H4180" s="994" t="s">
        <v>20221</v>
      </c>
      <c r="I4180" s="11" t="s">
        <v>5821</v>
      </c>
      <c r="J4180" s="1285"/>
      <c r="K4180" s="1285"/>
      <c r="L4180" s="1285"/>
    </row>
    <row r="4181" spans="1:12" ht="11.15" customHeight="1">
      <c r="A4181" s="166" t="s">
        <v>5822</v>
      </c>
      <c r="B4181" s="59" t="s">
        <v>20741</v>
      </c>
      <c r="C4181" s="147" t="s">
        <v>23393</v>
      </c>
      <c r="D4181" s="284" t="s">
        <v>897</v>
      </c>
      <c r="E4181" s="178">
        <v>2021</v>
      </c>
      <c r="F4181" s="178" t="s">
        <v>4520</v>
      </c>
      <c r="G4181" s="496"/>
      <c r="H4181" s="994" t="s">
        <v>20221</v>
      </c>
      <c r="I4181" s="11" t="s">
        <v>5823</v>
      </c>
      <c r="J4181" s="1285"/>
      <c r="K4181" s="1285"/>
      <c r="L4181" s="1285"/>
    </row>
    <row r="4182" spans="1:12" ht="11.15" customHeight="1" thickBot="1">
      <c r="A4182" s="169" t="s">
        <v>5824</v>
      </c>
      <c r="B4182" s="59" t="s">
        <v>20741</v>
      </c>
      <c r="C4182" s="147" t="s">
        <v>23393</v>
      </c>
      <c r="D4182" s="284" t="s">
        <v>897</v>
      </c>
      <c r="E4182" s="178">
        <v>2020</v>
      </c>
      <c r="F4182" s="178" t="s">
        <v>4520</v>
      </c>
      <c r="G4182" s="496"/>
      <c r="H4182" s="994" t="s">
        <v>20221</v>
      </c>
      <c r="I4182" s="11" t="s">
        <v>5825</v>
      </c>
      <c r="J4182" s="1285"/>
      <c r="K4182" s="1285"/>
      <c r="L4182" s="1285"/>
    </row>
    <row r="4183" spans="1:12" ht="10.5" customHeight="1" thickBot="1">
      <c r="A4183" s="434" t="s">
        <v>5826</v>
      </c>
      <c r="B4183" s="59" t="s">
        <v>20741</v>
      </c>
      <c r="C4183" s="147" t="s">
        <v>23393</v>
      </c>
      <c r="D4183" s="284" t="s">
        <v>897</v>
      </c>
      <c r="E4183" s="178">
        <v>2019</v>
      </c>
      <c r="F4183" s="178" t="s">
        <v>4520</v>
      </c>
      <c r="G4183" s="496"/>
      <c r="H4183" s="994" t="s">
        <v>20221</v>
      </c>
      <c r="I4183" s="11" t="s">
        <v>5827</v>
      </c>
      <c r="J4183" s="1285"/>
      <c r="K4183" s="1285"/>
      <c r="L4183" s="1285"/>
    </row>
    <row r="4184" spans="1:12" ht="10.5" customHeight="1">
      <c r="A4184" s="129" t="s">
        <v>5828</v>
      </c>
      <c r="B4184" s="59" t="s">
        <v>20741</v>
      </c>
      <c r="C4184" s="147" t="s">
        <v>20221</v>
      </c>
      <c r="D4184" s="284" t="s">
        <v>897</v>
      </c>
      <c r="E4184" s="178">
        <v>2018</v>
      </c>
      <c r="F4184" s="178" t="s">
        <v>4520</v>
      </c>
      <c r="G4184" s="496"/>
      <c r="H4184" s="994" t="s">
        <v>20221</v>
      </c>
      <c r="I4184" s="11" t="s">
        <v>5829</v>
      </c>
      <c r="J4184" s="1285"/>
      <c r="K4184" s="1285"/>
      <c r="L4184" s="1285"/>
    </row>
    <row r="4185" spans="1:12" ht="10.5" customHeight="1">
      <c r="A4185" s="29"/>
      <c r="B4185" s="59" t="s">
        <v>20741</v>
      </c>
      <c r="C4185" s="147" t="s">
        <v>20221</v>
      </c>
      <c r="D4185" s="284" t="s">
        <v>897</v>
      </c>
      <c r="E4185" s="178">
        <v>2017</v>
      </c>
      <c r="F4185" s="178" t="s">
        <v>4520</v>
      </c>
      <c r="G4185" s="496"/>
      <c r="H4185" s="994" t="s">
        <v>20277</v>
      </c>
      <c r="I4185" s="11" t="s">
        <v>5830</v>
      </c>
      <c r="J4185" s="1285"/>
      <c r="K4185" s="1285"/>
      <c r="L4185" s="1285"/>
    </row>
    <row r="4186" spans="1:12" ht="11.15" customHeight="1">
      <c r="A4186" s="185"/>
      <c r="B4186" s="59" t="s">
        <v>20921</v>
      </c>
      <c r="C4186" s="147" t="s">
        <v>23393</v>
      </c>
      <c r="D4186" s="284" t="s">
        <v>897</v>
      </c>
      <c r="E4186" s="178">
        <v>2021</v>
      </c>
      <c r="F4186" s="178" t="s">
        <v>4520</v>
      </c>
      <c r="G4186" s="496"/>
      <c r="H4186" s="994" t="s">
        <v>20343</v>
      </c>
      <c r="I4186" s="11" t="s">
        <v>5831</v>
      </c>
      <c r="J4186" s="1285"/>
      <c r="K4186" s="1285"/>
      <c r="L4186" s="1285"/>
    </row>
    <row r="4187" spans="1:12" ht="11.15" customHeight="1">
      <c r="A4187" s="185"/>
      <c r="B4187" s="59" t="s">
        <v>20921</v>
      </c>
      <c r="C4187" s="147" t="s">
        <v>20221</v>
      </c>
      <c r="D4187" s="284" t="s">
        <v>897</v>
      </c>
      <c r="E4187" s="178">
        <v>2017</v>
      </c>
      <c r="F4187" s="178" t="s">
        <v>4520</v>
      </c>
      <c r="G4187" s="496"/>
      <c r="H4187" s="994" t="s">
        <v>20221</v>
      </c>
      <c r="I4187" s="11" t="s">
        <v>5832</v>
      </c>
      <c r="J4187" s="1285"/>
      <c r="K4187" s="1285"/>
      <c r="L4187" s="1285"/>
    </row>
    <row r="4188" spans="1:12" ht="11.15" customHeight="1">
      <c r="A4188" s="185"/>
      <c r="B4188" s="59" t="s">
        <v>20922</v>
      </c>
      <c r="C4188" s="147" t="s">
        <v>23393</v>
      </c>
      <c r="D4188" s="284" t="s">
        <v>897</v>
      </c>
      <c r="E4188" s="178">
        <v>2021</v>
      </c>
      <c r="F4188" s="178" t="s">
        <v>4520</v>
      </c>
      <c r="G4188" s="496"/>
      <c r="H4188" s="994" t="s">
        <v>20221</v>
      </c>
      <c r="I4188" s="11" t="s">
        <v>5833</v>
      </c>
      <c r="J4188" s="1285"/>
      <c r="K4188" s="1285"/>
      <c r="L4188" s="1285"/>
    </row>
    <row r="4189" spans="1:12" ht="11.15" customHeight="1">
      <c r="A4189" s="185"/>
      <c r="B4189" s="59" t="s">
        <v>20922</v>
      </c>
      <c r="C4189" s="147" t="s">
        <v>23393</v>
      </c>
      <c r="D4189" s="284" t="s">
        <v>897</v>
      </c>
      <c r="E4189" s="178">
        <v>2020</v>
      </c>
      <c r="F4189" s="178" t="s">
        <v>4520</v>
      </c>
      <c r="G4189" s="496"/>
      <c r="H4189" s="994" t="s">
        <v>20224</v>
      </c>
      <c r="I4189" s="11" t="s">
        <v>5834</v>
      </c>
      <c r="J4189" s="1285"/>
      <c r="K4189" s="1285"/>
      <c r="L4189" s="1285"/>
    </row>
    <row r="4190" spans="1:12" ht="11.15" customHeight="1">
      <c r="A4190" s="185"/>
      <c r="B4190" s="59" t="s">
        <v>20922</v>
      </c>
      <c r="C4190" s="147" t="s">
        <v>23393</v>
      </c>
      <c r="D4190" s="284" t="s">
        <v>897</v>
      </c>
      <c r="E4190" s="178">
        <v>2019</v>
      </c>
      <c r="F4190" s="178" t="s">
        <v>4520</v>
      </c>
      <c r="G4190" s="496"/>
      <c r="H4190" s="994" t="s">
        <v>20224</v>
      </c>
      <c r="I4190" s="11" t="s">
        <v>5835</v>
      </c>
      <c r="J4190" s="1285"/>
      <c r="K4190" s="1285"/>
      <c r="L4190" s="1285"/>
    </row>
    <row r="4191" spans="1:12" ht="11.15" customHeight="1">
      <c r="A4191" s="185"/>
      <c r="B4191" s="59" t="s">
        <v>20922</v>
      </c>
      <c r="C4191" s="147" t="s">
        <v>20221</v>
      </c>
      <c r="D4191" s="284" t="s">
        <v>897</v>
      </c>
      <c r="E4191" s="178">
        <v>2017</v>
      </c>
      <c r="F4191" s="178" t="s">
        <v>4520</v>
      </c>
      <c r="G4191" s="496"/>
      <c r="H4191" s="994" t="s">
        <v>20221</v>
      </c>
      <c r="I4191" s="11" t="s">
        <v>5836</v>
      </c>
      <c r="J4191" s="1285"/>
      <c r="K4191" s="1285"/>
      <c r="L4191" s="1285"/>
    </row>
    <row r="4192" spans="1:12" ht="11.15" customHeight="1">
      <c r="A4192" s="185"/>
      <c r="B4192" s="59" t="s">
        <v>20922</v>
      </c>
      <c r="C4192" s="147" t="s">
        <v>20221</v>
      </c>
      <c r="D4192" s="284" t="s">
        <v>897</v>
      </c>
      <c r="E4192" s="178">
        <v>2016</v>
      </c>
      <c r="F4192" s="178" t="s">
        <v>4520</v>
      </c>
      <c r="G4192" s="496"/>
      <c r="H4192" s="994" t="s">
        <v>20221</v>
      </c>
      <c r="I4192" s="11" t="s">
        <v>5837</v>
      </c>
      <c r="J4192" s="1285"/>
      <c r="K4192" s="1285"/>
      <c r="L4192" s="1285"/>
    </row>
    <row r="4193" spans="1:12" ht="11.15" customHeight="1">
      <c r="A4193" s="185"/>
      <c r="B4193" s="59" t="s">
        <v>20922</v>
      </c>
      <c r="C4193" s="147" t="s">
        <v>20221</v>
      </c>
      <c r="D4193" s="284" t="s">
        <v>897</v>
      </c>
      <c r="E4193" s="178">
        <v>2015</v>
      </c>
      <c r="F4193" s="178" t="s">
        <v>4520</v>
      </c>
      <c r="G4193" s="496"/>
      <c r="H4193" s="994" t="s">
        <v>20224</v>
      </c>
      <c r="I4193" s="11" t="s">
        <v>5838</v>
      </c>
      <c r="J4193" s="1285"/>
      <c r="K4193" s="1285"/>
      <c r="L4193" s="1285"/>
    </row>
    <row r="4194" spans="1:12" ht="11.15" customHeight="1">
      <c r="A4194" s="185"/>
      <c r="B4194" s="59" t="s">
        <v>20922</v>
      </c>
      <c r="C4194" s="147" t="s">
        <v>20221</v>
      </c>
      <c r="D4194" s="284" t="s">
        <v>897</v>
      </c>
      <c r="E4194" s="178">
        <v>2014</v>
      </c>
      <c r="F4194" s="178" t="s">
        <v>4520</v>
      </c>
      <c r="G4194" s="496"/>
      <c r="H4194" s="994" t="s">
        <v>20221</v>
      </c>
      <c r="I4194" s="11" t="s">
        <v>5839</v>
      </c>
      <c r="J4194" s="1285"/>
      <c r="K4194" s="1285"/>
      <c r="L4194" s="1285"/>
    </row>
    <row r="4195" spans="1:12" ht="11.15" customHeight="1">
      <c r="A4195" s="185"/>
      <c r="B4195" s="177" t="s">
        <v>5840</v>
      </c>
      <c r="C4195" s="147"/>
      <c r="D4195" s="161"/>
      <c r="E4195" s="36"/>
      <c r="F4195" s="178"/>
      <c r="G4195" s="671"/>
      <c r="H4195" s="36"/>
      <c r="I4195" s="11"/>
    </row>
    <row r="4196" spans="1:12" ht="10.5" customHeight="1">
      <c r="A4196" s="185"/>
      <c r="B4196" s="59" t="s">
        <v>20759</v>
      </c>
      <c r="C4196" s="147" t="s">
        <v>20221</v>
      </c>
      <c r="D4196" s="284" t="s">
        <v>897</v>
      </c>
      <c r="E4196" s="178">
        <v>2020</v>
      </c>
      <c r="F4196" s="178" t="s">
        <v>4520</v>
      </c>
      <c r="G4196" s="496"/>
      <c r="H4196" s="994" t="s">
        <v>20224</v>
      </c>
      <c r="I4196" s="11" t="s">
        <v>5841</v>
      </c>
      <c r="J4196" s="1285"/>
      <c r="K4196" s="1285"/>
      <c r="L4196" s="1285"/>
    </row>
    <row r="4197" spans="1:12" ht="11.15" customHeight="1">
      <c r="A4197" s="185"/>
      <c r="B4197" s="59" t="s">
        <v>20759</v>
      </c>
      <c r="C4197" s="147" t="s">
        <v>20221</v>
      </c>
      <c r="D4197" s="284" t="s">
        <v>897</v>
      </c>
      <c r="E4197" s="178">
        <v>2019</v>
      </c>
      <c r="F4197" s="178" t="s">
        <v>4520</v>
      </c>
      <c r="G4197" s="496"/>
      <c r="H4197" s="994" t="s">
        <v>20224</v>
      </c>
      <c r="I4197" s="11" t="s">
        <v>5842</v>
      </c>
      <c r="J4197" s="1285"/>
      <c r="K4197" s="1285"/>
      <c r="L4197" s="1285"/>
    </row>
    <row r="4198" spans="1:12" ht="11.15" customHeight="1">
      <c r="A4198" s="185"/>
      <c r="B4198" s="59" t="s">
        <v>20923</v>
      </c>
      <c r="C4198" s="147" t="s">
        <v>20221</v>
      </c>
      <c r="D4198" s="284" t="s">
        <v>897</v>
      </c>
      <c r="E4198" s="178">
        <v>2021</v>
      </c>
      <c r="F4198" s="178" t="s">
        <v>4520</v>
      </c>
      <c r="G4198" s="496"/>
      <c r="H4198" s="994" t="s">
        <v>20224</v>
      </c>
      <c r="I4198" s="11" t="s">
        <v>5843</v>
      </c>
      <c r="J4198" s="1285"/>
      <c r="K4198" s="1285"/>
      <c r="L4198" s="1285"/>
    </row>
    <row r="4199" spans="1:12" ht="11.15" customHeight="1">
      <c r="A4199" s="185"/>
      <c r="B4199" s="59" t="s">
        <v>20924</v>
      </c>
      <c r="C4199" s="147" t="s">
        <v>20221</v>
      </c>
      <c r="D4199" s="284" t="s">
        <v>897</v>
      </c>
      <c r="E4199" s="178">
        <v>2021</v>
      </c>
      <c r="F4199" s="178" t="s">
        <v>4520</v>
      </c>
      <c r="G4199" s="496"/>
      <c r="H4199" s="994" t="s">
        <v>20221</v>
      </c>
      <c r="I4199" s="11" t="s">
        <v>5844</v>
      </c>
      <c r="J4199" s="1285"/>
      <c r="K4199" s="1285"/>
      <c r="L4199" s="1285"/>
    </row>
    <row r="4200" spans="1:12" ht="11.15" customHeight="1">
      <c r="A4200" s="185"/>
      <c r="B4200" s="59" t="s">
        <v>20924</v>
      </c>
      <c r="C4200" s="147" t="s">
        <v>20221</v>
      </c>
      <c r="D4200" s="284" t="s">
        <v>897</v>
      </c>
      <c r="E4200" s="178">
        <v>2020</v>
      </c>
      <c r="F4200" s="178" t="s">
        <v>4520</v>
      </c>
      <c r="G4200" s="496"/>
      <c r="H4200" s="994" t="s">
        <v>20221</v>
      </c>
      <c r="I4200" s="11" t="s">
        <v>5845</v>
      </c>
      <c r="J4200" s="1285"/>
      <c r="K4200" s="1285"/>
      <c r="L4200" s="1285"/>
    </row>
    <row r="4201" spans="1:12" ht="11.15" customHeight="1">
      <c r="A4201" s="185"/>
      <c r="B4201" s="59" t="s">
        <v>20924</v>
      </c>
      <c r="C4201" s="147" t="s">
        <v>20221</v>
      </c>
      <c r="D4201" s="284" t="s">
        <v>897</v>
      </c>
      <c r="E4201" s="178">
        <v>2019</v>
      </c>
      <c r="F4201" s="178" t="s">
        <v>4520</v>
      </c>
      <c r="G4201" s="496"/>
      <c r="H4201" s="994" t="s">
        <v>20221</v>
      </c>
      <c r="I4201" s="11" t="s">
        <v>5846</v>
      </c>
      <c r="J4201" s="1285"/>
      <c r="K4201" s="1285"/>
      <c r="L4201" s="1285"/>
    </row>
    <row r="4202" spans="1:12" ht="11.15" customHeight="1">
      <c r="A4202" s="185"/>
      <c r="B4202" s="59" t="s">
        <v>20924</v>
      </c>
      <c r="C4202" s="147" t="s">
        <v>20221</v>
      </c>
      <c r="D4202" s="284" t="s">
        <v>897</v>
      </c>
      <c r="E4202" s="178">
        <v>2018</v>
      </c>
      <c r="F4202" s="178" t="s">
        <v>4520</v>
      </c>
      <c r="G4202" s="496"/>
      <c r="H4202" s="994" t="s">
        <v>20221</v>
      </c>
      <c r="I4202" s="11" t="s">
        <v>5847</v>
      </c>
      <c r="J4202" s="1285"/>
      <c r="K4202" s="1285"/>
      <c r="L4202" s="1285"/>
    </row>
    <row r="4203" spans="1:12" ht="11.15" customHeight="1">
      <c r="A4203" s="185"/>
      <c r="B4203" s="59" t="s">
        <v>20924</v>
      </c>
      <c r="C4203" s="147" t="s">
        <v>20221</v>
      </c>
      <c r="D4203" s="284" t="s">
        <v>897</v>
      </c>
      <c r="E4203" s="178">
        <v>2017</v>
      </c>
      <c r="F4203" s="178" t="s">
        <v>4520</v>
      </c>
      <c r="G4203" s="496"/>
      <c r="H4203" s="994" t="s">
        <v>20221</v>
      </c>
      <c r="I4203" s="11" t="s">
        <v>5848</v>
      </c>
      <c r="J4203" s="1285"/>
      <c r="K4203" s="1285"/>
      <c r="L4203" s="1285"/>
    </row>
    <row r="4204" spans="1:12" ht="11.15" customHeight="1">
      <c r="A4204" s="185"/>
      <c r="B4204" s="59" t="s">
        <v>20687</v>
      </c>
      <c r="C4204" s="147" t="s">
        <v>20221</v>
      </c>
      <c r="D4204" s="284" t="s">
        <v>897</v>
      </c>
      <c r="E4204" s="178">
        <v>2021</v>
      </c>
      <c r="F4204" s="178" t="s">
        <v>4520</v>
      </c>
      <c r="G4204" s="496"/>
      <c r="H4204" s="994" t="s">
        <v>20224</v>
      </c>
      <c r="I4204" s="11" t="s">
        <v>5849</v>
      </c>
      <c r="J4204" s="1285"/>
      <c r="K4204" s="1285"/>
      <c r="L4204" s="1285"/>
    </row>
    <row r="4205" spans="1:12" ht="11.15" customHeight="1">
      <c r="A4205" s="185"/>
      <c r="B4205" s="59" t="s">
        <v>20687</v>
      </c>
      <c r="C4205" s="147" t="s">
        <v>20221</v>
      </c>
      <c r="D4205" s="284" t="s">
        <v>897</v>
      </c>
      <c r="E4205" s="178">
        <v>2019</v>
      </c>
      <c r="F4205" s="178" t="s">
        <v>4520</v>
      </c>
      <c r="G4205" s="496"/>
      <c r="H4205" s="994" t="s">
        <v>20224</v>
      </c>
      <c r="I4205" s="11" t="s">
        <v>5850</v>
      </c>
      <c r="J4205" s="1285"/>
      <c r="K4205" s="1285"/>
      <c r="L4205" s="1285"/>
    </row>
    <row r="4206" spans="1:12" ht="11.15" customHeight="1">
      <c r="A4206" s="185"/>
      <c r="B4206" s="59" t="s">
        <v>20687</v>
      </c>
      <c r="C4206" s="147" t="s">
        <v>20221</v>
      </c>
      <c r="D4206" s="284" t="s">
        <v>897</v>
      </c>
      <c r="E4206" s="178">
        <v>2018</v>
      </c>
      <c r="F4206" s="178" t="s">
        <v>4520</v>
      </c>
      <c r="G4206" s="496"/>
      <c r="H4206" s="994" t="s">
        <v>20224</v>
      </c>
      <c r="I4206" s="11" t="s">
        <v>5851</v>
      </c>
      <c r="J4206" s="1285"/>
      <c r="K4206" s="1285"/>
      <c r="L4206" s="1285"/>
    </row>
    <row r="4207" spans="1:12" ht="11.15" customHeight="1">
      <c r="A4207" s="185"/>
      <c r="B4207" s="59" t="s">
        <v>20687</v>
      </c>
      <c r="C4207" s="147" t="s">
        <v>20221</v>
      </c>
      <c r="D4207" s="284" t="s">
        <v>897</v>
      </c>
      <c r="E4207" s="178">
        <v>2017</v>
      </c>
      <c r="F4207" s="178" t="s">
        <v>4520</v>
      </c>
      <c r="G4207" s="496"/>
      <c r="H4207" s="994" t="s">
        <v>20221</v>
      </c>
      <c r="I4207" s="11" t="s">
        <v>5852</v>
      </c>
      <c r="J4207" s="1285"/>
      <c r="K4207" s="1285"/>
      <c r="L4207" s="1285"/>
    </row>
    <row r="4208" spans="1:12" ht="11.15" customHeight="1">
      <c r="A4208" s="185"/>
      <c r="B4208" s="59" t="s">
        <v>20687</v>
      </c>
      <c r="C4208" s="147" t="s">
        <v>20221</v>
      </c>
      <c r="D4208" s="284" t="s">
        <v>897</v>
      </c>
      <c r="E4208" s="178">
        <v>2016</v>
      </c>
      <c r="F4208" s="178" t="s">
        <v>4520</v>
      </c>
      <c r="G4208" s="496"/>
      <c r="H4208" s="994" t="s">
        <v>20221</v>
      </c>
      <c r="I4208" s="11" t="s">
        <v>5853</v>
      </c>
      <c r="J4208" s="1285"/>
      <c r="K4208" s="1285"/>
      <c r="L4208" s="1285"/>
    </row>
    <row r="4209" spans="1:12" ht="11.15" customHeight="1">
      <c r="A4209" s="185"/>
      <c r="B4209" s="59" t="s">
        <v>20925</v>
      </c>
      <c r="C4209" s="147" t="s">
        <v>20221</v>
      </c>
      <c r="D4209" s="284" t="s">
        <v>897</v>
      </c>
      <c r="E4209" s="178">
        <v>2021</v>
      </c>
      <c r="F4209" s="178" t="s">
        <v>4520</v>
      </c>
      <c r="G4209" s="496"/>
      <c r="H4209" s="994" t="s">
        <v>20221</v>
      </c>
      <c r="I4209" s="11" t="s">
        <v>5854</v>
      </c>
      <c r="J4209" s="1285"/>
      <c r="K4209" s="1285"/>
      <c r="L4209" s="1285"/>
    </row>
    <row r="4210" spans="1:12" ht="11.15" customHeight="1">
      <c r="A4210" s="185"/>
      <c r="B4210" s="59" t="s">
        <v>20925</v>
      </c>
      <c r="C4210" s="147" t="s">
        <v>20221</v>
      </c>
      <c r="D4210" s="284" t="s">
        <v>897</v>
      </c>
      <c r="E4210" s="178">
        <v>2020</v>
      </c>
      <c r="F4210" s="178" t="s">
        <v>4520</v>
      </c>
      <c r="G4210" s="496"/>
      <c r="H4210" s="994" t="s">
        <v>20221</v>
      </c>
      <c r="I4210" s="11" t="s">
        <v>5855</v>
      </c>
      <c r="J4210" s="1285"/>
      <c r="K4210" s="1285"/>
      <c r="L4210" s="1285"/>
    </row>
    <row r="4211" spans="1:12" ht="11.15" customHeight="1">
      <c r="A4211" s="185"/>
      <c r="B4211" s="59" t="s">
        <v>20925</v>
      </c>
      <c r="C4211" s="147" t="s">
        <v>20221</v>
      </c>
      <c r="D4211" s="284" t="s">
        <v>897</v>
      </c>
      <c r="E4211" s="178">
        <v>2019</v>
      </c>
      <c r="F4211" s="178" t="s">
        <v>4520</v>
      </c>
      <c r="G4211" s="496"/>
      <c r="H4211" s="994" t="s">
        <v>20221</v>
      </c>
      <c r="I4211" s="11" t="s">
        <v>5856</v>
      </c>
      <c r="J4211" s="1285"/>
      <c r="K4211" s="1285"/>
      <c r="L4211" s="1285"/>
    </row>
    <row r="4212" spans="1:12" ht="11.15" customHeight="1">
      <c r="A4212" s="185"/>
      <c r="B4212" s="59" t="s">
        <v>20925</v>
      </c>
      <c r="C4212" s="147" t="s">
        <v>20221</v>
      </c>
      <c r="D4212" s="284" t="s">
        <v>897</v>
      </c>
      <c r="E4212" s="178">
        <v>2018</v>
      </c>
      <c r="F4212" s="178" t="s">
        <v>4520</v>
      </c>
      <c r="G4212" s="496"/>
      <c r="H4212" s="994" t="s">
        <v>20224</v>
      </c>
      <c r="I4212" s="11" t="s">
        <v>5857</v>
      </c>
      <c r="J4212" s="1285"/>
      <c r="K4212" s="1285"/>
      <c r="L4212" s="1285"/>
    </row>
    <row r="4213" spans="1:12" ht="11.15" customHeight="1">
      <c r="A4213" s="185"/>
      <c r="B4213" s="59" t="s">
        <v>20869</v>
      </c>
      <c r="C4213" s="147" t="s">
        <v>23393</v>
      </c>
      <c r="D4213" s="284" t="s">
        <v>897</v>
      </c>
      <c r="E4213" s="178">
        <v>2021</v>
      </c>
      <c r="F4213" s="178" t="s">
        <v>23394</v>
      </c>
      <c r="G4213" s="496"/>
      <c r="H4213" s="994" t="s">
        <v>20224</v>
      </c>
      <c r="I4213" s="11" t="s">
        <v>5858</v>
      </c>
      <c r="J4213" s="1285"/>
      <c r="K4213" s="1285"/>
      <c r="L4213" s="1285"/>
    </row>
    <row r="4214" spans="1:12" ht="11.15" customHeight="1">
      <c r="A4214" s="185"/>
      <c r="B4214" s="59" t="s">
        <v>20869</v>
      </c>
      <c r="C4214" s="147" t="s">
        <v>20221</v>
      </c>
      <c r="D4214" s="284" t="s">
        <v>897</v>
      </c>
      <c r="E4214" s="178">
        <v>2013</v>
      </c>
      <c r="F4214" s="178" t="s">
        <v>4520</v>
      </c>
      <c r="G4214" s="496"/>
      <c r="H4214" s="994" t="s">
        <v>20224</v>
      </c>
      <c r="I4214" s="11" t="s">
        <v>5859</v>
      </c>
      <c r="J4214" s="1285"/>
      <c r="K4214" s="1285"/>
      <c r="L4214" s="1285"/>
    </row>
    <row r="4215" spans="1:12" ht="11.15" customHeight="1">
      <c r="A4215" s="185"/>
      <c r="B4215" s="59" t="s">
        <v>20869</v>
      </c>
      <c r="C4215" s="147" t="s">
        <v>20221</v>
      </c>
      <c r="D4215" s="284" t="s">
        <v>897</v>
      </c>
      <c r="E4215" s="178">
        <v>2012</v>
      </c>
      <c r="F4215" s="178" t="s">
        <v>4520</v>
      </c>
      <c r="G4215" s="496"/>
      <c r="H4215" s="994" t="s">
        <v>20221</v>
      </c>
      <c r="I4215" s="11" t="s">
        <v>5860</v>
      </c>
      <c r="J4215" s="1285"/>
      <c r="K4215" s="1285"/>
      <c r="L4215" s="1285"/>
    </row>
    <row r="4216" spans="1:12" ht="11.15" customHeight="1">
      <c r="A4216" s="185"/>
      <c r="B4216" s="59" t="s">
        <v>20926</v>
      </c>
      <c r="C4216" s="147" t="s">
        <v>20221</v>
      </c>
      <c r="D4216" s="284" t="s">
        <v>897</v>
      </c>
      <c r="E4216" s="178">
        <v>2015</v>
      </c>
      <c r="F4216" s="178" t="s">
        <v>4520</v>
      </c>
      <c r="G4216" s="496"/>
      <c r="H4216" s="994" t="s">
        <v>20224</v>
      </c>
      <c r="I4216" s="11" t="s">
        <v>5861</v>
      </c>
      <c r="J4216" s="1285"/>
      <c r="K4216" s="1285"/>
      <c r="L4216" s="1285"/>
    </row>
    <row r="4217" spans="1:12" ht="11.15" customHeight="1">
      <c r="A4217" s="185"/>
      <c r="B4217" s="59" t="s">
        <v>20927</v>
      </c>
      <c r="C4217" s="147" t="s">
        <v>20221</v>
      </c>
      <c r="D4217" s="284" t="s">
        <v>897</v>
      </c>
      <c r="E4217" s="178">
        <v>2014</v>
      </c>
      <c r="F4217" s="178" t="s">
        <v>4520</v>
      </c>
      <c r="G4217" s="496"/>
      <c r="H4217" s="994" t="s">
        <v>20224</v>
      </c>
      <c r="I4217" s="11" t="s">
        <v>5862</v>
      </c>
      <c r="J4217" s="1285"/>
      <c r="K4217" s="1285"/>
      <c r="L4217" s="1285"/>
    </row>
    <row r="4218" spans="1:12" ht="11.15" customHeight="1">
      <c r="A4218" s="185"/>
      <c r="B4218" s="59" t="s">
        <v>20927</v>
      </c>
      <c r="C4218" s="147" t="s">
        <v>20221</v>
      </c>
      <c r="D4218" s="284" t="s">
        <v>897</v>
      </c>
      <c r="E4218" s="178">
        <v>2013</v>
      </c>
      <c r="F4218" s="178" t="s">
        <v>4520</v>
      </c>
      <c r="G4218" s="496"/>
      <c r="H4218" s="994" t="s">
        <v>20221</v>
      </c>
      <c r="I4218" s="11" t="s">
        <v>5863</v>
      </c>
      <c r="J4218" s="1285"/>
      <c r="K4218" s="1285"/>
      <c r="L4218" s="1285"/>
    </row>
    <row r="4219" spans="1:12" ht="11.15" customHeight="1">
      <c r="A4219" s="185"/>
      <c r="B4219" s="177" t="s">
        <v>5864</v>
      </c>
      <c r="C4219" s="147"/>
      <c r="D4219" s="161"/>
      <c r="E4219" s="36"/>
      <c r="F4219" s="178"/>
      <c r="G4219" s="496"/>
      <c r="H4219" s="36"/>
      <c r="I4219" s="11"/>
    </row>
    <row r="4220" spans="1:12" ht="11.15" customHeight="1">
      <c r="A4220" s="185"/>
      <c r="B4220" s="59" t="s">
        <v>20928</v>
      </c>
      <c r="C4220" s="147" t="s">
        <v>20221</v>
      </c>
      <c r="D4220" s="284" t="s">
        <v>897</v>
      </c>
      <c r="E4220" s="178">
        <v>2014</v>
      </c>
      <c r="F4220" s="178" t="s">
        <v>4520</v>
      </c>
      <c r="G4220" s="496"/>
      <c r="H4220" s="994" t="s">
        <v>20224</v>
      </c>
      <c r="I4220" s="11" t="s">
        <v>5865</v>
      </c>
      <c r="J4220" s="1285"/>
      <c r="K4220" s="1285"/>
      <c r="L4220" s="1285"/>
    </row>
    <row r="4221" spans="1:12" ht="11.15" customHeight="1">
      <c r="A4221" s="185"/>
      <c r="B4221" s="59" t="s">
        <v>20928</v>
      </c>
      <c r="C4221" s="147" t="s">
        <v>20221</v>
      </c>
      <c r="D4221" s="284" t="s">
        <v>897</v>
      </c>
      <c r="E4221" s="178">
        <v>2013</v>
      </c>
      <c r="F4221" s="178" t="s">
        <v>4520</v>
      </c>
      <c r="G4221" s="496"/>
      <c r="H4221" s="994" t="s">
        <v>20224</v>
      </c>
      <c r="I4221" s="11" t="s">
        <v>5866</v>
      </c>
      <c r="J4221" s="1285"/>
      <c r="K4221" s="1285"/>
      <c r="L4221" s="1285"/>
    </row>
    <row r="4222" spans="1:12" ht="11.15" customHeight="1">
      <c r="A4222" s="185"/>
      <c r="B4222" s="59" t="s">
        <v>20928</v>
      </c>
      <c r="C4222" s="147" t="s">
        <v>20221</v>
      </c>
      <c r="D4222" s="284" t="s">
        <v>897</v>
      </c>
      <c r="E4222" s="178">
        <v>2012</v>
      </c>
      <c r="F4222" s="178" t="s">
        <v>4520</v>
      </c>
      <c r="G4222" s="496"/>
      <c r="H4222" s="994" t="s">
        <v>20277</v>
      </c>
      <c r="I4222" s="11" t="s">
        <v>5867</v>
      </c>
      <c r="J4222" s="1285"/>
      <c r="K4222" s="1285"/>
      <c r="L4222" s="1285"/>
    </row>
    <row r="4223" spans="1:12" ht="11.15" customHeight="1">
      <c r="A4223" s="185"/>
      <c r="B4223" s="59" t="s">
        <v>20929</v>
      </c>
      <c r="C4223" s="147" t="s">
        <v>20221</v>
      </c>
      <c r="D4223" s="284" t="s">
        <v>897</v>
      </c>
      <c r="E4223" s="178" t="s">
        <v>20221</v>
      </c>
      <c r="F4223" s="178" t="s">
        <v>4520</v>
      </c>
      <c r="G4223" s="496" t="s">
        <v>20221</v>
      </c>
      <c r="H4223" s="994" t="s">
        <v>3907</v>
      </c>
      <c r="I4223" s="11" t="s">
        <v>5868</v>
      </c>
      <c r="J4223" s="1285"/>
      <c r="K4223" s="1285"/>
      <c r="L4223" s="1285"/>
    </row>
    <row r="4224" spans="1:12" ht="11.15" customHeight="1">
      <c r="A4224" s="185"/>
      <c r="B4224" s="59" t="s">
        <v>20930</v>
      </c>
      <c r="C4224" s="147" t="s">
        <v>20221</v>
      </c>
      <c r="D4224" s="284" t="s">
        <v>897</v>
      </c>
      <c r="E4224" s="178" t="s">
        <v>20221</v>
      </c>
      <c r="F4224" s="178" t="s">
        <v>4520</v>
      </c>
      <c r="G4224" s="496" t="s">
        <v>20221</v>
      </c>
      <c r="H4224" s="994" t="s">
        <v>3907</v>
      </c>
      <c r="I4224" s="11" t="s">
        <v>5869</v>
      </c>
      <c r="J4224" s="1285"/>
      <c r="K4224" s="1285"/>
      <c r="L4224" s="1285"/>
    </row>
    <row r="4225" spans="1:12" ht="11.15" customHeight="1">
      <c r="A4225" s="185"/>
      <c r="B4225" s="59" t="s">
        <v>20697</v>
      </c>
      <c r="C4225" s="147" t="s">
        <v>20221</v>
      </c>
      <c r="D4225" s="284" t="s">
        <v>897</v>
      </c>
      <c r="E4225" s="178">
        <v>2021</v>
      </c>
      <c r="F4225" s="178" t="s">
        <v>23394</v>
      </c>
      <c r="G4225" s="496"/>
      <c r="H4225" s="994" t="s">
        <v>20224</v>
      </c>
      <c r="I4225" s="11" t="s">
        <v>5870</v>
      </c>
      <c r="J4225" s="1285"/>
      <c r="K4225" s="1285"/>
      <c r="L4225" s="1285"/>
    </row>
    <row r="4226" spans="1:12" ht="11.15" customHeight="1">
      <c r="A4226" s="185"/>
      <c r="B4226" s="59" t="s">
        <v>20696</v>
      </c>
      <c r="C4226" s="147" t="s">
        <v>20221</v>
      </c>
      <c r="D4226" s="284" t="s">
        <v>897</v>
      </c>
      <c r="E4226" s="178" t="s">
        <v>20221</v>
      </c>
      <c r="F4226" s="178" t="s">
        <v>23394</v>
      </c>
      <c r="G4226" s="496" t="s">
        <v>20221</v>
      </c>
      <c r="H4226" s="994" t="s">
        <v>3907</v>
      </c>
      <c r="I4226" s="11" t="s">
        <v>5871</v>
      </c>
      <c r="J4226" s="1285"/>
      <c r="K4226" s="1285"/>
      <c r="L4226" s="1285"/>
    </row>
    <row r="4227" spans="1:12" ht="11.15" customHeight="1">
      <c r="A4227" s="185"/>
      <c r="B4227" s="59" t="s">
        <v>20698</v>
      </c>
      <c r="C4227" s="147" t="s">
        <v>20221</v>
      </c>
      <c r="D4227" s="284" t="s">
        <v>897</v>
      </c>
      <c r="E4227" s="178" t="s">
        <v>20221</v>
      </c>
      <c r="F4227" s="178" t="s">
        <v>23394</v>
      </c>
      <c r="G4227" s="496" t="s">
        <v>20221</v>
      </c>
      <c r="H4227" s="994" t="s">
        <v>3907</v>
      </c>
      <c r="I4227" s="11" t="s">
        <v>5872</v>
      </c>
      <c r="J4227" s="1285"/>
      <c r="K4227" s="1285"/>
      <c r="L4227" s="1285"/>
    </row>
    <row r="4228" spans="1:12" ht="11.15" customHeight="1">
      <c r="A4228" s="185"/>
      <c r="B4228" s="59" t="s">
        <v>20800</v>
      </c>
      <c r="C4228" s="147" t="s">
        <v>23393</v>
      </c>
      <c r="D4228" s="284" t="s">
        <v>897</v>
      </c>
      <c r="E4228" s="178" t="s">
        <v>20221</v>
      </c>
      <c r="F4228" s="178" t="s">
        <v>9658</v>
      </c>
      <c r="G4228" s="496" t="s">
        <v>20221</v>
      </c>
      <c r="H4228" s="994" t="s">
        <v>3907</v>
      </c>
      <c r="I4228" s="11" t="s">
        <v>5873</v>
      </c>
      <c r="J4228" s="1285"/>
      <c r="K4228" s="1285"/>
      <c r="L4228" s="1285"/>
    </row>
    <row r="4229" spans="1:12" ht="11.15" customHeight="1">
      <c r="A4229" s="185"/>
      <c r="B4229" s="177" t="s">
        <v>4329</v>
      </c>
      <c r="C4229" s="147"/>
      <c r="D4229" s="161"/>
      <c r="E4229" s="36"/>
      <c r="F4229" s="178"/>
      <c r="G4229" s="496"/>
      <c r="H4229" s="36"/>
      <c r="I4229" s="11"/>
    </row>
    <row r="4230" spans="1:12" ht="11.15" customHeight="1">
      <c r="A4230" s="185"/>
      <c r="B4230" s="59" t="s">
        <v>20749</v>
      </c>
      <c r="C4230" s="147" t="s">
        <v>20221</v>
      </c>
      <c r="D4230" s="284" t="s">
        <v>897</v>
      </c>
      <c r="E4230" s="178">
        <v>2010</v>
      </c>
      <c r="F4230" s="178" t="s">
        <v>5257</v>
      </c>
      <c r="G4230" s="496"/>
      <c r="H4230" s="994" t="s">
        <v>20277</v>
      </c>
      <c r="I4230" s="11" t="s">
        <v>5874</v>
      </c>
      <c r="J4230" s="1285"/>
      <c r="K4230" s="1285"/>
      <c r="L4230" s="1285"/>
    </row>
    <row r="4231" spans="1:12" ht="11.15" customHeight="1">
      <c r="A4231" s="185"/>
      <c r="B4231" s="59" t="s">
        <v>20931</v>
      </c>
      <c r="C4231" s="147" t="s">
        <v>20221</v>
      </c>
      <c r="D4231" s="284" t="s">
        <v>897</v>
      </c>
      <c r="E4231" s="178">
        <v>2013</v>
      </c>
      <c r="F4231" s="178" t="s">
        <v>11931</v>
      </c>
      <c r="G4231" s="496"/>
      <c r="H4231" s="994" t="s">
        <v>20224</v>
      </c>
      <c r="I4231" s="11" t="s">
        <v>5875</v>
      </c>
      <c r="J4231" s="1285"/>
      <c r="K4231" s="1285"/>
      <c r="L4231" s="1285"/>
    </row>
    <row r="4232" spans="1:12" ht="11.15" customHeight="1">
      <c r="A4232" s="185"/>
      <c r="B4232" s="59" t="s">
        <v>20932</v>
      </c>
      <c r="C4232" s="147" t="s">
        <v>20221</v>
      </c>
      <c r="D4232" s="284" t="s">
        <v>897</v>
      </c>
      <c r="E4232" s="178">
        <v>2013</v>
      </c>
      <c r="F4232" s="178" t="s">
        <v>11931</v>
      </c>
      <c r="G4232" s="496"/>
      <c r="H4232" s="994" t="s">
        <v>20224</v>
      </c>
      <c r="I4232" s="11" t="s">
        <v>5876</v>
      </c>
      <c r="J4232" s="1285"/>
      <c r="K4232" s="1285"/>
      <c r="L4232" s="1285"/>
    </row>
    <row r="4233" spans="1:12" ht="11.15" customHeight="1">
      <c r="A4233" s="185"/>
      <c r="B4233" s="59" t="s">
        <v>20932</v>
      </c>
      <c r="C4233" s="147" t="s">
        <v>20221</v>
      </c>
      <c r="D4233" s="284" t="s">
        <v>897</v>
      </c>
      <c r="E4233" s="178">
        <v>2012</v>
      </c>
      <c r="F4233" s="178" t="s">
        <v>11931</v>
      </c>
      <c r="G4233" s="496"/>
      <c r="H4233" s="994" t="s">
        <v>20224</v>
      </c>
      <c r="I4233" s="11" t="s">
        <v>5877</v>
      </c>
      <c r="J4233" s="1285"/>
      <c r="K4233" s="1285"/>
      <c r="L4233" s="1285"/>
    </row>
    <row r="4234" spans="1:12" ht="11.15" customHeight="1" thickBot="1">
      <c r="A4234" s="185"/>
      <c r="B4234" s="90"/>
      <c r="C4234" s="147"/>
      <c r="D4234" s="122"/>
      <c r="E4234" s="36"/>
      <c r="F4234" s="178"/>
      <c r="G4234" s="453"/>
      <c r="H4234" s="36"/>
      <c r="I4234" s="11"/>
    </row>
    <row r="4235" spans="1:12" ht="11.15" customHeight="1" thickBot="1">
      <c r="A4235" s="184" t="s">
        <v>5878</v>
      </c>
      <c r="B4235" s="154" t="s">
        <v>5879</v>
      </c>
      <c r="C4235" s="147"/>
      <c r="D4235" s="129"/>
      <c r="E4235" s="185"/>
      <c r="F4235" s="185"/>
      <c r="G4235" s="185"/>
      <c r="H4235" s="185"/>
      <c r="I4235" s="11"/>
    </row>
    <row r="4236" spans="1:12" ht="11.15" customHeight="1">
      <c r="A4236" s="29" t="s">
        <v>5880</v>
      </c>
      <c r="B4236" s="59" t="s">
        <v>20934</v>
      </c>
      <c r="C4236" s="147" t="s">
        <v>20221</v>
      </c>
      <c r="D4236" s="701" t="s">
        <v>1129</v>
      </c>
      <c r="E4236" s="178">
        <v>2022</v>
      </c>
      <c r="F4236" s="178" t="s">
        <v>4520</v>
      </c>
      <c r="G4236" s="496"/>
      <c r="H4236" s="994" t="s">
        <v>20221</v>
      </c>
      <c r="I4236" s="11" t="s">
        <v>5881</v>
      </c>
      <c r="J4236" s="1285"/>
      <c r="K4236" s="1285"/>
      <c r="L4236" s="1285"/>
    </row>
    <row r="4237" spans="1:12" ht="11.15" customHeight="1">
      <c r="A4237" s="29" t="s">
        <v>5882</v>
      </c>
      <c r="B4237" s="59" t="s">
        <v>20935</v>
      </c>
      <c r="C4237" s="147" t="s">
        <v>20221</v>
      </c>
      <c r="D4237" s="701" t="s">
        <v>1129</v>
      </c>
      <c r="E4237" s="178">
        <v>2020</v>
      </c>
      <c r="F4237" s="178" t="s">
        <v>5257</v>
      </c>
      <c r="G4237" s="496"/>
      <c r="H4237" s="994" t="s">
        <v>20224</v>
      </c>
      <c r="I4237" s="11" t="s">
        <v>5883</v>
      </c>
      <c r="J4237" s="1285"/>
      <c r="K4237" s="1285"/>
      <c r="L4237" s="1285"/>
    </row>
    <row r="4238" spans="1:12" ht="11.15" customHeight="1">
      <c r="A4238" s="722" t="s">
        <v>5884</v>
      </c>
      <c r="B4238" s="154" t="s">
        <v>1398</v>
      </c>
      <c r="C4238" s="147"/>
      <c r="D4238" s="122"/>
      <c r="E4238" s="36"/>
      <c r="F4238" s="178"/>
      <c r="G4238" s="453"/>
      <c r="H4238" s="36"/>
      <c r="I4238" s="11"/>
    </row>
    <row r="4239" spans="1:12" ht="11.15" customHeight="1">
      <c r="A4239" s="451" t="s">
        <v>5885</v>
      </c>
      <c r="B4239" s="59" t="s">
        <v>20936</v>
      </c>
      <c r="C4239" s="147" t="s">
        <v>20221</v>
      </c>
      <c r="D4239" s="284" t="s">
        <v>897</v>
      </c>
      <c r="E4239" s="178">
        <v>2020</v>
      </c>
      <c r="F4239" s="178" t="s">
        <v>4520</v>
      </c>
      <c r="G4239" s="496"/>
      <c r="H4239" s="994" t="s">
        <v>20221</v>
      </c>
      <c r="I4239" s="11" t="s">
        <v>5886</v>
      </c>
      <c r="J4239" s="1285"/>
      <c r="K4239" s="1285"/>
      <c r="L4239" s="1285"/>
    </row>
    <row r="4240" spans="1:12" ht="11.15" customHeight="1">
      <c r="A4240" s="129" t="s">
        <v>5887</v>
      </c>
      <c r="B4240" s="59" t="s">
        <v>20936</v>
      </c>
      <c r="C4240" s="147" t="s">
        <v>20221</v>
      </c>
      <c r="D4240" s="284" t="s">
        <v>897</v>
      </c>
      <c r="E4240" s="178">
        <v>2019</v>
      </c>
      <c r="F4240" s="178" t="s">
        <v>4520</v>
      </c>
      <c r="G4240" s="496"/>
      <c r="H4240" s="994" t="s">
        <v>20221</v>
      </c>
      <c r="I4240" s="11" t="s">
        <v>5888</v>
      </c>
      <c r="J4240" s="1285"/>
      <c r="K4240" s="1285"/>
      <c r="L4240" s="1285"/>
    </row>
    <row r="4241" spans="1:12" ht="11.15" customHeight="1">
      <c r="A4241" s="355" t="s">
        <v>5889</v>
      </c>
      <c r="B4241" s="59" t="s">
        <v>20936</v>
      </c>
      <c r="C4241" s="147" t="s">
        <v>20221</v>
      </c>
      <c r="D4241" s="284" t="s">
        <v>897</v>
      </c>
      <c r="E4241" s="178">
        <v>2018</v>
      </c>
      <c r="F4241" s="178" t="s">
        <v>4520</v>
      </c>
      <c r="G4241" s="496"/>
      <c r="H4241" s="994" t="s">
        <v>20221</v>
      </c>
      <c r="I4241" s="11" t="s">
        <v>5890</v>
      </c>
      <c r="J4241" s="1285"/>
      <c r="K4241" s="1285"/>
      <c r="L4241" s="1285"/>
    </row>
    <row r="4242" spans="1:12" ht="11.15" customHeight="1">
      <c r="A4242" s="162" t="s">
        <v>5891</v>
      </c>
      <c r="B4242" s="59" t="s">
        <v>20937</v>
      </c>
      <c r="C4242" s="147" t="s">
        <v>20221</v>
      </c>
      <c r="D4242" s="284" t="s">
        <v>897</v>
      </c>
      <c r="E4242" s="178">
        <v>2013</v>
      </c>
      <c r="F4242" s="178" t="s">
        <v>4520</v>
      </c>
      <c r="G4242" s="496"/>
      <c r="H4242" s="994" t="s">
        <v>20277</v>
      </c>
      <c r="I4242" s="11" t="s">
        <v>5892</v>
      </c>
      <c r="J4242" s="1285"/>
      <c r="K4242" s="1285"/>
      <c r="L4242" s="1285"/>
    </row>
    <row r="4243" spans="1:12" ht="11.15" customHeight="1">
      <c r="A4243" s="162" t="s">
        <v>5893</v>
      </c>
      <c r="B4243" s="59" t="s">
        <v>20938</v>
      </c>
      <c r="C4243" s="147" t="s">
        <v>20221</v>
      </c>
      <c r="D4243" s="284" t="s">
        <v>897</v>
      </c>
      <c r="E4243" s="178">
        <v>2018</v>
      </c>
      <c r="F4243" s="178" t="s">
        <v>4520</v>
      </c>
      <c r="G4243" s="496"/>
      <c r="H4243" s="994" t="s">
        <v>20221</v>
      </c>
      <c r="I4243" s="11" t="s">
        <v>5894</v>
      </c>
      <c r="J4243" s="1285"/>
      <c r="K4243" s="1285"/>
      <c r="L4243" s="1285"/>
    </row>
    <row r="4244" spans="1:12" ht="11.15" customHeight="1">
      <c r="A4244" s="162" t="s">
        <v>5895</v>
      </c>
      <c r="B4244" s="59" t="s">
        <v>20938</v>
      </c>
      <c r="C4244" s="147" t="s">
        <v>20221</v>
      </c>
      <c r="D4244" s="284" t="s">
        <v>897</v>
      </c>
      <c r="E4244" s="178">
        <v>2017</v>
      </c>
      <c r="F4244" s="178" t="s">
        <v>4520</v>
      </c>
      <c r="G4244" s="496"/>
      <c r="H4244" s="994" t="s">
        <v>20224</v>
      </c>
      <c r="I4244" s="11" t="s">
        <v>5896</v>
      </c>
      <c r="J4244" s="1285"/>
      <c r="K4244" s="1285"/>
      <c r="L4244" s="1285"/>
    </row>
    <row r="4245" spans="1:12" ht="11.15" customHeight="1">
      <c r="A4245" s="129" t="s">
        <v>903</v>
      </c>
      <c r="B4245" s="59" t="s">
        <v>20938</v>
      </c>
      <c r="C4245" s="147" t="s">
        <v>20221</v>
      </c>
      <c r="D4245" s="284" t="s">
        <v>897</v>
      </c>
      <c r="E4245" s="178">
        <v>2011</v>
      </c>
      <c r="F4245" s="178" t="s">
        <v>23395</v>
      </c>
      <c r="G4245" s="496"/>
      <c r="H4245" s="994" t="s">
        <v>20277</v>
      </c>
      <c r="I4245" s="11" t="s">
        <v>5897</v>
      </c>
      <c r="J4245" s="1285"/>
      <c r="K4245" s="1285"/>
      <c r="L4245" s="1285"/>
    </row>
    <row r="4246" spans="1:12" ht="11.15" customHeight="1">
      <c r="A4246" s="162" t="s">
        <v>5898</v>
      </c>
      <c r="B4246" s="154" t="s">
        <v>5452</v>
      </c>
      <c r="C4246" s="5"/>
      <c r="D4246" s="5"/>
      <c r="E4246" s="5"/>
      <c r="F4246" s="5"/>
      <c r="G4246" s="5"/>
      <c r="H4246" s="5"/>
      <c r="I4246" s="5"/>
      <c r="J4246" s="5"/>
    </row>
    <row r="4247" spans="1:12" ht="11.15" customHeight="1">
      <c r="A4247" s="162" t="s">
        <v>5899</v>
      </c>
      <c r="B4247" s="59" t="s">
        <v>20939</v>
      </c>
      <c r="C4247" s="147" t="s">
        <v>20221</v>
      </c>
      <c r="D4247" s="284" t="s">
        <v>897</v>
      </c>
      <c r="E4247" s="178">
        <v>2017</v>
      </c>
      <c r="F4247" s="178" t="s">
        <v>4520</v>
      </c>
      <c r="G4247" s="496"/>
      <c r="H4247" s="994" t="s">
        <v>20224</v>
      </c>
      <c r="I4247" s="11" t="s">
        <v>5900</v>
      </c>
      <c r="J4247" s="1285"/>
      <c r="K4247" s="1285"/>
      <c r="L4247" s="1285"/>
    </row>
    <row r="4248" spans="1:12" ht="11.15" customHeight="1">
      <c r="A4248" s="162" t="s">
        <v>5901</v>
      </c>
      <c r="B4248" s="59" t="s">
        <v>20939</v>
      </c>
      <c r="C4248" s="147" t="s">
        <v>20221</v>
      </c>
      <c r="D4248" s="284" t="s">
        <v>897</v>
      </c>
      <c r="E4248" s="178">
        <v>2012</v>
      </c>
      <c r="F4248" s="178" t="s">
        <v>4520</v>
      </c>
      <c r="G4248" s="496"/>
      <c r="H4248" s="994" t="s">
        <v>20277</v>
      </c>
      <c r="I4248" s="11" t="s">
        <v>5902</v>
      </c>
      <c r="J4248" s="1285"/>
      <c r="K4248" s="1285"/>
      <c r="L4248" s="1285"/>
    </row>
    <row r="4249" spans="1:12" ht="11.15" customHeight="1">
      <c r="A4249" s="162" t="s">
        <v>5903</v>
      </c>
      <c r="B4249" s="59" t="s">
        <v>20939</v>
      </c>
      <c r="C4249" s="147" t="s">
        <v>20221</v>
      </c>
      <c r="D4249" s="284" t="s">
        <v>897</v>
      </c>
      <c r="E4249" s="178">
        <v>2011</v>
      </c>
      <c r="F4249" s="178" t="s">
        <v>4520</v>
      </c>
      <c r="G4249" s="496"/>
      <c r="H4249" s="994" t="s">
        <v>20277</v>
      </c>
      <c r="I4249" s="11" t="s">
        <v>5904</v>
      </c>
      <c r="J4249" s="1285"/>
      <c r="K4249" s="1285"/>
      <c r="L4249" s="1285"/>
    </row>
    <row r="4250" spans="1:12" ht="11.15" customHeight="1">
      <c r="A4250" s="162" t="s">
        <v>1513</v>
      </c>
      <c r="B4250" s="59" t="s">
        <v>20940</v>
      </c>
      <c r="C4250" s="147" t="s">
        <v>20221</v>
      </c>
      <c r="D4250" s="284" t="s">
        <v>897</v>
      </c>
      <c r="E4250" s="178">
        <v>2022</v>
      </c>
      <c r="F4250" s="178" t="s">
        <v>4520</v>
      </c>
      <c r="G4250" s="496"/>
      <c r="H4250" s="994" t="s">
        <v>20224</v>
      </c>
      <c r="I4250" s="11" t="s">
        <v>5905</v>
      </c>
      <c r="J4250" s="1285"/>
      <c r="K4250" s="1285"/>
      <c r="L4250" s="1285"/>
    </row>
    <row r="4251" spans="1:12" ht="11.15" customHeight="1">
      <c r="A4251" s="162" t="s">
        <v>5906</v>
      </c>
      <c r="B4251" s="59" t="s">
        <v>20941</v>
      </c>
      <c r="C4251" s="147" t="s">
        <v>20221</v>
      </c>
      <c r="D4251" s="284" t="s">
        <v>897</v>
      </c>
      <c r="E4251" s="178" t="s">
        <v>20221</v>
      </c>
      <c r="F4251" s="178" t="s">
        <v>23394</v>
      </c>
      <c r="G4251" s="496" t="s">
        <v>20221</v>
      </c>
      <c r="H4251" s="994" t="s">
        <v>3907</v>
      </c>
      <c r="I4251" s="11" t="s">
        <v>5907</v>
      </c>
      <c r="J4251" s="1285"/>
      <c r="K4251" s="1285"/>
      <c r="L4251" s="1285"/>
    </row>
    <row r="4252" spans="1:12" ht="11.15" customHeight="1">
      <c r="A4252" s="162" t="s">
        <v>5908</v>
      </c>
      <c r="B4252" s="59" t="s">
        <v>20943</v>
      </c>
      <c r="C4252" s="147" t="s">
        <v>20221</v>
      </c>
      <c r="D4252" s="284" t="s">
        <v>897</v>
      </c>
      <c r="E4252" s="178">
        <v>2019</v>
      </c>
      <c r="F4252" s="178" t="s">
        <v>9658</v>
      </c>
      <c r="G4252" s="496"/>
      <c r="H4252" s="994" t="s">
        <v>20224</v>
      </c>
      <c r="I4252" s="11" t="s">
        <v>5909</v>
      </c>
      <c r="J4252" s="1285"/>
      <c r="K4252" s="1285"/>
      <c r="L4252" s="1285"/>
    </row>
    <row r="4253" spans="1:12" ht="11.15" customHeight="1">
      <c r="A4253" s="162" t="s">
        <v>5910</v>
      </c>
      <c r="B4253" s="59" t="s">
        <v>20944</v>
      </c>
      <c r="C4253" s="147" t="s">
        <v>20221</v>
      </c>
      <c r="D4253" s="284" t="s">
        <v>897</v>
      </c>
      <c r="E4253" s="178">
        <v>2019</v>
      </c>
      <c r="F4253" s="178" t="s">
        <v>9658</v>
      </c>
      <c r="G4253" s="496"/>
      <c r="H4253" s="994" t="s">
        <v>20224</v>
      </c>
      <c r="I4253" s="11" t="s">
        <v>5911</v>
      </c>
      <c r="J4253" s="1285"/>
      <c r="K4253" s="1285"/>
      <c r="L4253" s="1285"/>
    </row>
    <row r="4254" spans="1:12" ht="11.15" customHeight="1">
      <c r="A4254" s="162" t="s">
        <v>5912</v>
      </c>
      <c r="B4254" s="154" t="s">
        <v>4748</v>
      </c>
      <c r="C4254" s="5"/>
      <c r="D4254" s="5"/>
      <c r="E4254" s="5"/>
      <c r="F4254" s="5"/>
      <c r="G4254" s="5"/>
      <c r="H4254" s="5"/>
      <c r="I4254" s="5"/>
      <c r="J4254" s="5"/>
    </row>
    <row r="4255" spans="1:12" ht="11.15" customHeight="1">
      <c r="A4255" s="162" t="s">
        <v>5913</v>
      </c>
      <c r="B4255" s="59" t="s">
        <v>20942</v>
      </c>
      <c r="C4255" s="147" t="s">
        <v>20221</v>
      </c>
      <c r="D4255" s="284" t="s">
        <v>897</v>
      </c>
      <c r="E4255" s="178" t="s">
        <v>20221</v>
      </c>
      <c r="F4255" s="178" t="s">
        <v>23394</v>
      </c>
      <c r="G4255" s="496" t="s">
        <v>20221</v>
      </c>
      <c r="H4255" s="994" t="s">
        <v>3907</v>
      </c>
      <c r="I4255" s="11" t="s">
        <v>5914</v>
      </c>
      <c r="J4255" s="1285"/>
      <c r="K4255" s="1285"/>
      <c r="L4255" s="1285"/>
    </row>
    <row r="4256" spans="1:12" ht="11.15" customHeight="1">
      <c r="A4256" s="162" t="s">
        <v>5915</v>
      </c>
      <c r="B4256" s="59" t="s">
        <v>20798</v>
      </c>
      <c r="C4256" s="147" t="s">
        <v>20221</v>
      </c>
      <c r="D4256" s="284" t="s">
        <v>897</v>
      </c>
      <c r="E4256" s="178">
        <v>2022</v>
      </c>
      <c r="F4256" s="178" t="s">
        <v>23394</v>
      </c>
      <c r="G4256" s="496"/>
      <c r="H4256" s="994" t="s">
        <v>20224</v>
      </c>
      <c r="I4256" s="11" t="s">
        <v>5916</v>
      </c>
      <c r="J4256" s="1285"/>
      <c r="K4256" s="1285"/>
      <c r="L4256" s="1285"/>
    </row>
    <row r="4257" spans="1:12" ht="11.15" customHeight="1">
      <c r="A4257" s="162" t="s">
        <v>5917</v>
      </c>
      <c r="B4257" s="59" t="s">
        <v>20828</v>
      </c>
      <c r="C4257" s="147" t="s">
        <v>20221</v>
      </c>
      <c r="D4257" s="284" t="s">
        <v>897</v>
      </c>
      <c r="E4257" s="178" t="s">
        <v>19075</v>
      </c>
      <c r="F4257" s="178" t="s">
        <v>9658</v>
      </c>
      <c r="G4257" s="496"/>
      <c r="H4257" s="994" t="s">
        <v>20224</v>
      </c>
      <c r="I4257" s="11" t="s">
        <v>5918</v>
      </c>
      <c r="J4257" s="1285"/>
      <c r="K4257" s="1285"/>
      <c r="L4257" s="1285"/>
    </row>
    <row r="4258" spans="1:12" ht="11.15" customHeight="1">
      <c r="A4258" s="162" t="s">
        <v>5919</v>
      </c>
      <c r="B4258" s="185"/>
      <c r="C4258" s="147"/>
      <c r="D4258" s="185"/>
      <c r="E4258" s="185"/>
      <c r="F4258" s="185"/>
      <c r="G4258" s="185"/>
      <c r="H4258" s="185"/>
      <c r="I4258" s="11"/>
    </row>
    <row r="4259" spans="1:12" ht="11.15" customHeight="1">
      <c r="A4259" s="162" t="s">
        <v>5920</v>
      </c>
      <c r="B4259" s="185"/>
      <c r="C4259" s="147"/>
      <c r="D4259" s="185"/>
      <c r="E4259" s="185"/>
      <c r="F4259" s="185"/>
      <c r="G4259" s="185"/>
      <c r="H4259" s="185"/>
      <c r="I4259" s="11"/>
    </row>
    <row r="4260" spans="1:12" ht="11.15" customHeight="1">
      <c r="A4260" s="162" t="s">
        <v>5921</v>
      </c>
      <c r="B4260" s="185"/>
      <c r="C4260" s="147"/>
      <c r="D4260" s="185"/>
      <c r="E4260" s="185"/>
      <c r="F4260" s="185"/>
      <c r="G4260" s="185"/>
      <c r="H4260" s="185"/>
      <c r="I4260" s="11"/>
    </row>
    <row r="4261" spans="1:12" ht="11.15" customHeight="1">
      <c r="A4261" s="162" t="s">
        <v>5922</v>
      </c>
      <c r="B4261" s="185"/>
      <c r="C4261" s="147"/>
      <c r="D4261" s="185"/>
      <c r="E4261" s="185"/>
      <c r="F4261" s="185"/>
      <c r="G4261" s="185"/>
      <c r="H4261" s="185"/>
      <c r="I4261" s="11"/>
    </row>
    <row r="4262" spans="1:12" ht="11.15" customHeight="1">
      <c r="A4262" s="162" t="s">
        <v>5923</v>
      </c>
      <c r="B4262" s="185"/>
      <c r="C4262" s="147"/>
      <c r="D4262" s="185"/>
      <c r="E4262" s="185"/>
      <c r="F4262" s="185"/>
      <c r="G4262" s="185"/>
      <c r="H4262" s="185"/>
      <c r="I4262" s="11"/>
    </row>
    <row r="4263" spans="1:12" ht="11.15" customHeight="1">
      <c r="A4263" s="162" t="s">
        <v>5924</v>
      </c>
      <c r="B4263" s="185"/>
      <c r="C4263" s="147"/>
      <c r="D4263" s="185"/>
      <c r="E4263" s="185"/>
      <c r="F4263" s="185"/>
      <c r="G4263" s="185"/>
      <c r="H4263" s="185"/>
      <c r="I4263" s="11"/>
    </row>
    <row r="4264" spans="1:12" ht="11.15" customHeight="1">
      <c r="A4264" s="162" t="s">
        <v>5925</v>
      </c>
      <c r="B4264" s="5"/>
      <c r="C4264" s="5"/>
      <c r="D4264" s="5"/>
      <c r="E4264" s="5"/>
      <c r="F4264" s="5"/>
      <c r="G4264" s="5"/>
      <c r="H4264" s="5"/>
      <c r="I4264" s="5"/>
      <c r="J4264" s="5"/>
    </row>
    <row r="4265" spans="1:12" ht="11.15" customHeight="1">
      <c r="A4265" s="217" t="s">
        <v>5926</v>
      </c>
      <c r="B4265" s="5"/>
      <c r="C4265" s="5"/>
      <c r="D4265" s="5"/>
      <c r="E4265" s="5"/>
      <c r="F4265" s="5"/>
      <c r="G4265" s="5"/>
      <c r="H4265" s="5"/>
      <c r="I4265" s="5"/>
      <c r="J4265" s="5"/>
    </row>
    <row r="4266" spans="1:12" ht="11.15" customHeight="1">
      <c r="A4266" s="29" t="s">
        <v>5927</v>
      </c>
      <c r="B4266" s="185"/>
      <c r="C4266" s="147"/>
      <c r="D4266" s="129"/>
      <c r="E4266" s="185"/>
      <c r="F4266" s="185"/>
      <c r="G4266" s="185"/>
      <c r="H4266" s="185"/>
      <c r="I4266" s="11"/>
    </row>
    <row r="4267" spans="1:12" ht="11.15" customHeight="1">
      <c r="A4267" s="129" t="s">
        <v>5928</v>
      </c>
      <c r="B4267" s="185"/>
      <c r="C4267" s="147"/>
      <c r="D4267" s="129"/>
      <c r="E4267" s="185"/>
      <c r="F4267" s="185"/>
      <c r="G4267" s="185"/>
      <c r="H4267" s="185"/>
      <c r="I4267" s="11"/>
    </row>
    <row r="4268" spans="1:12" ht="11.15" customHeight="1">
      <c r="A4268" s="129" t="s">
        <v>5929</v>
      </c>
      <c r="B4268" s="185"/>
      <c r="C4268" s="147"/>
      <c r="D4268" s="129"/>
      <c r="E4268" s="185"/>
      <c r="F4268" s="185"/>
      <c r="G4268" s="185"/>
      <c r="H4268" s="185"/>
      <c r="I4268" s="11"/>
    </row>
    <row r="4269" spans="1:12" ht="11.15" customHeight="1">
      <c r="A4269" s="129" t="s">
        <v>5930</v>
      </c>
      <c r="B4269" s="185"/>
      <c r="C4269" s="147"/>
      <c r="D4269" s="129"/>
      <c r="E4269" s="185"/>
      <c r="F4269" s="185"/>
      <c r="G4269" s="185"/>
      <c r="H4269" s="185"/>
      <c r="I4269" s="11"/>
    </row>
    <row r="4270" spans="1:12" ht="11.15" customHeight="1">
      <c r="A4270" s="129" t="s">
        <v>5931</v>
      </c>
      <c r="B4270" s="185"/>
      <c r="C4270" s="147"/>
      <c r="D4270" s="129"/>
      <c r="E4270" s="185"/>
      <c r="F4270" s="185"/>
      <c r="G4270" s="185"/>
      <c r="H4270" s="185"/>
      <c r="I4270" s="11"/>
    </row>
    <row r="4271" spans="1:12" ht="11.15" customHeight="1">
      <c r="A4271" s="279" t="s">
        <v>5932</v>
      </c>
      <c r="B4271" s="185"/>
      <c r="C4271" s="147"/>
      <c r="D4271" s="129"/>
      <c r="E4271" s="185"/>
      <c r="F4271" s="185"/>
      <c r="G4271" s="185"/>
      <c r="H4271" s="185"/>
      <c r="I4271" s="11"/>
    </row>
    <row r="4272" spans="1:12" ht="11.15" customHeight="1">
      <c r="A4272" s="719" t="s">
        <v>5933</v>
      </c>
      <c r="B4272" s="185"/>
      <c r="C4272" s="147"/>
      <c r="D4272" s="129"/>
      <c r="E4272" s="185"/>
      <c r="F4272" s="185"/>
      <c r="G4272" s="185"/>
      <c r="H4272" s="185"/>
      <c r="I4272" s="11"/>
    </row>
    <row r="4273" spans="1:12" ht="10.5" customHeight="1">
      <c r="A4273" s="424" t="s">
        <v>5934</v>
      </c>
      <c r="B4273" s="364"/>
      <c r="C4273" s="147"/>
      <c r="D4273" s="161"/>
      <c r="E4273" s="36"/>
      <c r="F4273" s="178"/>
      <c r="G4273" s="671"/>
      <c r="H4273" s="36"/>
      <c r="I4273" s="11"/>
    </row>
    <row r="4274" spans="1:12" ht="11.15" customHeight="1">
      <c r="A4274" s="29"/>
      <c r="B4274" s="185"/>
      <c r="C4274" s="147"/>
      <c r="D4274" s="129"/>
      <c r="E4274" s="185"/>
      <c r="F4274" s="185"/>
      <c r="G4274" s="185"/>
      <c r="H4274" s="185"/>
      <c r="I4274" s="11"/>
    </row>
    <row r="4275" spans="1:12" ht="9" customHeight="1">
      <c r="A4275" s="185"/>
      <c r="B4275" s="150" t="s">
        <v>5935</v>
      </c>
      <c r="C4275" s="147"/>
      <c r="D4275" s="129"/>
      <c r="E4275" s="185"/>
      <c r="F4275" s="185"/>
      <c r="G4275" s="185"/>
      <c r="H4275" s="185"/>
      <c r="I4275" s="11"/>
    </row>
    <row r="4276" spans="1:12" ht="9" customHeight="1" thickBot="1">
      <c r="A4276" s="185"/>
      <c r="B4276" s="150" t="s">
        <v>5936</v>
      </c>
      <c r="C4276" s="147"/>
      <c r="D4276" s="129"/>
      <c r="E4276" s="185"/>
      <c r="F4276" s="185"/>
      <c r="G4276" s="185"/>
      <c r="H4276" s="185"/>
      <c r="I4276" s="11"/>
    </row>
    <row r="4277" spans="1:12" ht="11.15" customHeight="1">
      <c r="A4277" s="153" t="s">
        <v>5937</v>
      </c>
      <c r="B4277" s="177" t="s">
        <v>5938</v>
      </c>
      <c r="C4277" s="147"/>
      <c r="D4277" s="122"/>
      <c r="E4277" s="36"/>
      <c r="F4277" s="178"/>
      <c r="G4277" s="1221"/>
      <c r="H4277" s="36"/>
      <c r="I4277" s="11"/>
    </row>
    <row r="4278" spans="1:12" ht="11.15" customHeight="1" thickBot="1">
      <c r="A4278" s="230" t="s">
        <v>5939</v>
      </c>
      <c r="B4278" s="59" t="s">
        <v>20946</v>
      </c>
      <c r="C4278" s="147" t="s">
        <v>23393</v>
      </c>
      <c r="D4278" s="701" t="s">
        <v>1129</v>
      </c>
      <c r="E4278" s="178">
        <v>2019</v>
      </c>
      <c r="F4278" s="178" t="s">
        <v>4520</v>
      </c>
      <c r="G4278" s="496"/>
      <c r="H4278" s="994" t="s">
        <v>20221</v>
      </c>
      <c r="I4278" s="11" t="s">
        <v>5940</v>
      </c>
      <c r="J4278" s="1285"/>
      <c r="K4278" s="1285"/>
      <c r="L4278" s="1285"/>
    </row>
    <row r="4279" spans="1:12" ht="11.15" customHeight="1">
      <c r="A4279" s="29" t="s">
        <v>5941</v>
      </c>
      <c r="B4279" s="59" t="s">
        <v>20946</v>
      </c>
      <c r="C4279" s="147" t="s">
        <v>23393</v>
      </c>
      <c r="D4279" s="701" t="s">
        <v>1129</v>
      </c>
      <c r="E4279" s="178">
        <v>2018</v>
      </c>
      <c r="F4279" s="178" t="s">
        <v>23395</v>
      </c>
      <c r="G4279" s="496"/>
      <c r="H4279" s="994" t="s">
        <v>20221</v>
      </c>
      <c r="I4279" s="11" t="s">
        <v>4105</v>
      </c>
      <c r="J4279" s="1285"/>
      <c r="K4279" s="1285"/>
      <c r="L4279" s="1285"/>
    </row>
    <row r="4280" spans="1:12" ht="11.15" customHeight="1">
      <c r="A4280" s="29" t="s">
        <v>5942</v>
      </c>
      <c r="B4280" s="59" t="s">
        <v>20947</v>
      </c>
      <c r="C4280" s="147" t="s">
        <v>23393</v>
      </c>
      <c r="D4280" s="701" t="s">
        <v>1129</v>
      </c>
      <c r="E4280" s="178">
        <v>2017</v>
      </c>
      <c r="F4280" s="178" t="s">
        <v>4520</v>
      </c>
      <c r="G4280" s="496"/>
      <c r="H4280" s="994" t="s">
        <v>20221</v>
      </c>
      <c r="I4280" s="11" t="s">
        <v>5943</v>
      </c>
      <c r="J4280" s="1285"/>
      <c r="K4280" s="1285"/>
      <c r="L4280" s="1285"/>
    </row>
    <row r="4281" spans="1:12" ht="11.15" customHeight="1">
      <c r="A4281" s="181" t="s">
        <v>3464</v>
      </c>
      <c r="B4281" s="59" t="s">
        <v>20947</v>
      </c>
      <c r="C4281" s="147" t="s">
        <v>23393</v>
      </c>
      <c r="D4281" s="701" t="s">
        <v>1129</v>
      </c>
      <c r="E4281" s="178">
        <v>2016</v>
      </c>
      <c r="F4281" s="178" t="s">
        <v>23395</v>
      </c>
      <c r="G4281" s="496"/>
      <c r="H4281" s="994" t="s">
        <v>20221</v>
      </c>
      <c r="I4281" s="11" t="s">
        <v>4109</v>
      </c>
      <c r="J4281" s="1285"/>
      <c r="K4281" s="1285"/>
      <c r="L4281" s="1285"/>
    </row>
    <row r="4282" spans="1:12" ht="11.15" customHeight="1">
      <c r="A4282" s="181" t="s">
        <v>2536</v>
      </c>
      <c r="B4282" s="177" t="s">
        <v>5944</v>
      </c>
      <c r="C4282" s="147"/>
      <c r="D4282" s="129"/>
      <c r="E4282" s="185"/>
      <c r="F4282" s="185"/>
      <c r="G4282" s="185"/>
      <c r="H4282" s="185"/>
      <c r="I4282" s="11"/>
    </row>
    <row r="4283" spans="1:12" ht="11.15" customHeight="1">
      <c r="A4283" s="29" t="s">
        <v>5945</v>
      </c>
      <c r="B4283" s="59" t="s">
        <v>20946</v>
      </c>
      <c r="C4283" s="147" t="s">
        <v>23393</v>
      </c>
      <c r="D4283" s="284" t="s">
        <v>897</v>
      </c>
      <c r="E4283" s="178">
        <v>2022</v>
      </c>
      <c r="F4283" s="178" t="s">
        <v>23395</v>
      </c>
      <c r="G4283" s="496"/>
      <c r="H4283" s="994" t="s">
        <v>20221</v>
      </c>
      <c r="I4283" s="11" t="s">
        <v>5946</v>
      </c>
      <c r="J4283" s="1285"/>
      <c r="K4283" s="1285"/>
      <c r="L4283" s="1285"/>
    </row>
    <row r="4284" spans="1:12" ht="11.15" customHeight="1">
      <c r="A4284" s="29" t="s">
        <v>5947</v>
      </c>
      <c r="B4284" s="59" t="s">
        <v>20948</v>
      </c>
      <c r="C4284" s="147" t="s">
        <v>23393</v>
      </c>
      <c r="D4284" s="284" t="s">
        <v>897</v>
      </c>
      <c r="E4284" s="178">
        <v>2021</v>
      </c>
      <c r="F4284" s="178" t="s">
        <v>23395</v>
      </c>
      <c r="G4284" s="496"/>
      <c r="H4284" s="994" t="s">
        <v>20221</v>
      </c>
      <c r="I4284" s="11" t="s">
        <v>5948</v>
      </c>
      <c r="J4284" s="1285"/>
      <c r="K4284" s="1285"/>
      <c r="L4284" s="1285"/>
    </row>
    <row r="4285" spans="1:12" ht="11.15" customHeight="1">
      <c r="A4285" s="29" t="s">
        <v>5949</v>
      </c>
      <c r="B4285" s="59" t="s">
        <v>20948</v>
      </c>
      <c r="C4285" s="147" t="s">
        <v>23393</v>
      </c>
      <c r="D4285" s="284" t="s">
        <v>897</v>
      </c>
      <c r="E4285" s="178">
        <v>2020</v>
      </c>
      <c r="F4285" s="178" t="s">
        <v>23395</v>
      </c>
      <c r="G4285" s="496"/>
      <c r="H4285" s="994" t="s">
        <v>20221</v>
      </c>
      <c r="I4285" s="11" t="s">
        <v>5950</v>
      </c>
      <c r="J4285" s="1285"/>
      <c r="K4285" s="1285"/>
      <c r="L4285" s="1285"/>
    </row>
    <row r="4286" spans="1:12" ht="11.15" customHeight="1">
      <c r="A4286" s="129" t="s">
        <v>5141</v>
      </c>
      <c r="B4286" s="59" t="s">
        <v>20948</v>
      </c>
      <c r="C4286" s="147" t="s">
        <v>23393</v>
      </c>
      <c r="D4286" s="284" t="s">
        <v>897</v>
      </c>
      <c r="E4286" s="178">
        <v>2013</v>
      </c>
      <c r="F4286" s="178" t="s">
        <v>23395</v>
      </c>
      <c r="G4286" s="496"/>
      <c r="H4286" s="994" t="s">
        <v>20221</v>
      </c>
      <c r="I4286" s="11" t="s">
        <v>5951</v>
      </c>
      <c r="J4286" s="1285"/>
      <c r="K4286" s="1285"/>
      <c r="L4286" s="1285"/>
    </row>
    <row r="4287" spans="1:12" ht="11.15" customHeight="1">
      <c r="A4287" s="162" t="s">
        <v>5952</v>
      </c>
      <c r="B4287" s="59" t="s">
        <v>20949</v>
      </c>
      <c r="C4287" s="147" t="s">
        <v>23393</v>
      </c>
      <c r="D4287" s="284" t="s">
        <v>897</v>
      </c>
      <c r="E4287" s="178">
        <v>2022</v>
      </c>
      <c r="F4287" s="178" t="s">
        <v>23395</v>
      </c>
      <c r="G4287" s="496"/>
      <c r="H4287" s="994" t="s">
        <v>20221</v>
      </c>
      <c r="I4287" s="11" t="s">
        <v>5953</v>
      </c>
      <c r="J4287" s="1285"/>
      <c r="K4287" s="1285"/>
      <c r="L4287" s="1285"/>
    </row>
    <row r="4288" spans="1:12" ht="11.15" customHeight="1">
      <c r="A4288" s="162" t="s">
        <v>5954</v>
      </c>
      <c r="B4288" s="59" t="s">
        <v>20949</v>
      </c>
      <c r="C4288" s="147" t="s">
        <v>23393</v>
      </c>
      <c r="D4288" s="284" t="s">
        <v>897</v>
      </c>
      <c r="E4288" s="178">
        <v>2020</v>
      </c>
      <c r="F4288" s="178" t="s">
        <v>23395</v>
      </c>
      <c r="G4288" s="496"/>
      <c r="H4288" s="994" t="s">
        <v>20221</v>
      </c>
      <c r="I4288" s="11" t="s">
        <v>5955</v>
      </c>
      <c r="J4288" s="1285"/>
      <c r="K4288" s="1285"/>
      <c r="L4288" s="1285"/>
    </row>
    <row r="4289" spans="1:12" ht="11.15" customHeight="1">
      <c r="A4289" s="162" t="s">
        <v>5956</v>
      </c>
      <c r="B4289" s="59" t="s">
        <v>20949</v>
      </c>
      <c r="C4289" s="147" t="s">
        <v>23393</v>
      </c>
      <c r="D4289" s="284" t="s">
        <v>897</v>
      </c>
      <c r="E4289" s="178">
        <v>2019</v>
      </c>
      <c r="F4289" s="178" t="s">
        <v>4520</v>
      </c>
      <c r="G4289" s="496"/>
      <c r="H4289" s="994" t="s">
        <v>20221</v>
      </c>
      <c r="I4289" s="11" t="s">
        <v>5957</v>
      </c>
      <c r="J4289" s="1285"/>
      <c r="K4289" s="1285"/>
      <c r="L4289" s="1285"/>
    </row>
    <row r="4290" spans="1:12" ht="11.15" customHeight="1">
      <c r="A4290" s="162" t="s">
        <v>5958</v>
      </c>
      <c r="B4290" s="59" t="s">
        <v>20949</v>
      </c>
      <c r="C4290" s="147" t="s">
        <v>23393</v>
      </c>
      <c r="D4290" s="284" t="s">
        <v>897</v>
      </c>
      <c r="E4290" s="178">
        <v>2018</v>
      </c>
      <c r="F4290" s="178" t="s">
        <v>23395</v>
      </c>
      <c r="G4290" s="496"/>
      <c r="H4290" s="994" t="s">
        <v>20221</v>
      </c>
      <c r="I4290" s="11" t="s">
        <v>5959</v>
      </c>
      <c r="J4290" s="1285"/>
      <c r="K4290" s="1285"/>
      <c r="L4290" s="1285"/>
    </row>
    <row r="4291" spans="1:12" ht="11.15" customHeight="1">
      <c r="A4291" s="129" t="s">
        <v>1077</v>
      </c>
      <c r="B4291" s="59" t="s">
        <v>20950</v>
      </c>
      <c r="C4291" s="147" t="s">
        <v>23393</v>
      </c>
      <c r="D4291" s="284" t="s">
        <v>897</v>
      </c>
      <c r="E4291" s="178">
        <v>2022</v>
      </c>
      <c r="F4291" s="178" t="s">
        <v>23395</v>
      </c>
      <c r="G4291" s="496"/>
      <c r="H4291" s="994" t="s">
        <v>20221</v>
      </c>
      <c r="I4291" s="11" t="s">
        <v>5960</v>
      </c>
      <c r="J4291" s="1285"/>
      <c r="K4291" s="1285"/>
      <c r="L4291" s="1285"/>
    </row>
    <row r="4292" spans="1:12" ht="11.15" customHeight="1">
      <c r="A4292" s="162" t="s">
        <v>4842</v>
      </c>
      <c r="B4292" s="59" t="s">
        <v>20950</v>
      </c>
      <c r="C4292" s="147" t="s">
        <v>23393</v>
      </c>
      <c r="D4292" s="284" t="s">
        <v>897</v>
      </c>
      <c r="E4292" s="178">
        <v>2021</v>
      </c>
      <c r="F4292" s="178" t="s">
        <v>23395</v>
      </c>
      <c r="G4292" s="496"/>
      <c r="H4292" s="994" t="s">
        <v>20221</v>
      </c>
      <c r="I4292" s="11" t="s">
        <v>5961</v>
      </c>
      <c r="J4292" s="1285"/>
      <c r="K4292" s="1285"/>
      <c r="L4292" s="1285"/>
    </row>
    <row r="4293" spans="1:12" ht="11.15" customHeight="1">
      <c r="A4293" s="162" t="s">
        <v>5962</v>
      </c>
      <c r="B4293" s="59" t="s">
        <v>20950</v>
      </c>
      <c r="C4293" s="147" t="s">
        <v>23393</v>
      </c>
      <c r="D4293" s="284" t="s">
        <v>897</v>
      </c>
      <c r="E4293" s="178">
        <v>2020</v>
      </c>
      <c r="F4293" s="178" t="s">
        <v>23395</v>
      </c>
      <c r="G4293" s="496"/>
      <c r="H4293" s="994" t="s">
        <v>20221</v>
      </c>
      <c r="I4293" s="11" t="s">
        <v>5963</v>
      </c>
      <c r="J4293" s="1285"/>
      <c r="K4293" s="1285"/>
      <c r="L4293" s="1285"/>
    </row>
    <row r="4294" spans="1:12" ht="11.15" customHeight="1">
      <c r="A4294" s="162" t="s">
        <v>5964</v>
      </c>
      <c r="B4294" s="59" t="s">
        <v>20950</v>
      </c>
      <c r="C4294" s="147" t="s">
        <v>23393</v>
      </c>
      <c r="D4294" s="284" t="s">
        <v>897</v>
      </c>
      <c r="E4294" s="178">
        <v>2019</v>
      </c>
      <c r="F4294" s="178" t="s">
        <v>4520</v>
      </c>
      <c r="G4294" s="496"/>
      <c r="H4294" s="994" t="s">
        <v>20221</v>
      </c>
      <c r="I4294" s="11" t="s">
        <v>5965</v>
      </c>
      <c r="J4294" s="1285"/>
      <c r="K4294" s="1285"/>
      <c r="L4294" s="1285"/>
    </row>
    <row r="4295" spans="1:12" ht="11.15" customHeight="1">
      <c r="A4295" s="162" t="s">
        <v>5966</v>
      </c>
      <c r="B4295" s="59" t="s">
        <v>20950</v>
      </c>
      <c r="C4295" s="147" t="s">
        <v>23393</v>
      </c>
      <c r="D4295" s="284" t="s">
        <v>897</v>
      </c>
      <c r="E4295" s="178">
        <v>2018</v>
      </c>
      <c r="F4295" s="178" t="s">
        <v>23395</v>
      </c>
      <c r="G4295" s="496"/>
      <c r="H4295" s="994" t="s">
        <v>20221</v>
      </c>
      <c r="I4295" s="11" t="s">
        <v>5967</v>
      </c>
      <c r="J4295" s="1285"/>
      <c r="K4295" s="1285"/>
      <c r="L4295" s="1285"/>
    </row>
    <row r="4296" spans="1:12" ht="11.15" customHeight="1">
      <c r="A4296" s="162" t="s">
        <v>5968</v>
      </c>
      <c r="B4296" s="59" t="s">
        <v>20950</v>
      </c>
      <c r="C4296" s="147" t="s">
        <v>23393</v>
      </c>
      <c r="D4296" s="284" t="s">
        <v>897</v>
      </c>
      <c r="E4296" s="178">
        <v>2017</v>
      </c>
      <c r="F4296" s="178" t="s">
        <v>4520</v>
      </c>
      <c r="G4296" s="496"/>
      <c r="H4296" s="994" t="s">
        <v>20221</v>
      </c>
      <c r="I4296" s="11" t="s">
        <v>5969</v>
      </c>
      <c r="J4296" s="1285"/>
      <c r="K4296" s="1285"/>
      <c r="L4296" s="1285"/>
    </row>
    <row r="4297" spans="1:12" ht="11.15" customHeight="1">
      <c r="A4297" s="162" t="s">
        <v>5970</v>
      </c>
      <c r="B4297" s="59" t="s">
        <v>20950</v>
      </c>
      <c r="C4297" s="147" t="s">
        <v>23393</v>
      </c>
      <c r="D4297" s="284" t="s">
        <v>897</v>
      </c>
      <c r="E4297" s="178">
        <v>2016</v>
      </c>
      <c r="F4297" s="178" t="s">
        <v>23395</v>
      </c>
      <c r="G4297" s="496"/>
      <c r="H4297" s="994" t="s">
        <v>20221</v>
      </c>
      <c r="I4297" s="11" t="s">
        <v>5971</v>
      </c>
      <c r="J4297" s="1285"/>
      <c r="K4297" s="1285"/>
      <c r="L4297" s="1285"/>
    </row>
    <row r="4298" spans="1:12" ht="11.15" customHeight="1">
      <c r="A4298" s="162" t="s">
        <v>5972</v>
      </c>
      <c r="B4298" s="177" t="s">
        <v>5973</v>
      </c>
      <c r="C4298" s="147"/>
      <c r="D4298" s="129"/>
      <c r="E4298" s="185"/>
      <c r="F4298" s="185"/>
      <c r="G4298" s="185"/>
      <c r="H4298" s="185"/>
      <c r="I4298" s="11"/>
    </row>
    <row r="4299" spans="1:12" ht="10.5" customHeight="1">
      <c r="A4299" s="162" t="s">
        <v>5974</v>
      </c>
      <c r="B4299" s="59" t="s">
        <v>20951</v>
      </c>
      <c r="C4299" s="147" t="s">
        <v>23393</v>
      </c>
      <c r="D4299" s="284" t="s">
        <v>897</v>
      </c>
      <c r="E4299" s="178">
        <v>2022</v>
      </c>
      <c r="F4299" s="178" t="s">
        <v>4520</v>
      </c>
      <c r="G4299" s="496"/>
      <c r="H4299" s="994" t="s">
        <v>20221</v>
      </c>
      <c r="I4299" s="11" t="s">
        <v>5975</v>
      </c>
      <c r="J4299" s="1285"/>
      <c r="K4299" s="1285"/>
      <c r="L4299" s="1285"/>
    </row>
    <row r="4300" spans="1:12" ht="10.5" customHeight="1">
      <c r="A4300" s="162" t="s">
        <v>5976</v>
      </c>
      <c r="B4300" s="59" t="s">
        <v>20951</v>
      </c>
      <c r="C4300" s="147" t="s">
        <v>23393</v>
      </c>
      <c r="D4300" s="284" t="s">
        <v>897</v>
      </c>
      <c r="E4300" s="178">
        <v>2021</v>
      </c>
      <c r="F4300" s="178" t="s">
        <v>23395</v>
      </c>
      <c r="G4300" s="496"/>
      <c r="H4300" s="994" t="s">
        <v>20221</v>
      </c>
      <c r="I4300" s="11" t="s">
        <v>5977</v>
      </c>
      <c r="J4300" s="1285"/>
      <c r="K4300" s="1285"/>
      <c r="L4300" s="1285"/>
    </row>
    <row r="4301" spans="1:12" ht="11.15" customHeight="1">
      <c r="A4301" s="166" t="s">
        <v>5978</v>
      </c>
      <c r="B4301" s="59" t="s">
        <v>20951</v>
      </c>
      <c r="C4301" s="147" t="s">
        <v>23393</v>
      </c>
      <c r="D4301" s="284" t="s">
        <v>897</v>
      </c>
      <c r="E4301" s="178">
        <v>2019</v>
      </c>
      <c r="F4301" s="178" t="s">
        <v>4520</v>
      </c>
      <c r="G4301" s="496"/>
      <c r="H4301" s="994" t="s">
        <v>20221</v>
      </c>
      <c r="I4301" s="11" t="s">
        <v>5979</v>
      </c>
      <c r="J4301" s="1285"/>
      <c r="K4301" s="1285"/>
      <c r="L4301" s="1285"/>
    </row>
    <row r="4302" spans="1:12" ht="11.15" customHeight="1">
      <c r="A4302" s="169" t="s">
        <v>5980</v>
      </c>
      <c r="B4302" s="59" t="s">
        <v>20951</v>
      </c>
      <c r="C4302" s="147" t="s">
        <v>23393</v>
      </c>
      <c r="D4302" s="284" t="s">
        <v>897</v>
      </c>
      <c r="E4302" s="178">
        <v>2018</v>
      </c>
      <c r="F4302" s="178" t="s">
        <v>23395</v>
      </c>
      <c r="G4302" s="496"/>
      <c r="H4302" s="994" t="s">
        <v>20221</v>
      </c>
      <c r="I4302" s="11" t="s">
        <v>5981</v>
      </c>
      <c r="J4302" s="1285"/>
      <c r="K4302" s="1285"/>
      <c r="L4302" s="1285"/>
    </row>
    <row r="4303" spans="1:12" ht="11.15" customHeight="1">
      <c r="A4303" s="424" t="s">
        <v>5982</v>
      </c>
      <c r="B4303" s="59" t="s">
        <v>20951</v>
      </c>
      <c r="C4303" s="147" t="s">
        <v>23393</v>
      </c>
      <c r="D4303" s="284" t="s">
        <v>897</v>
      </c>
      <c r="E4303" s="178">
        <v>2017</v>
      </c>
      <c r="F4303" s="178" t="s">
        <v>4520</v>
      </c>
      <c r="G4303" s="496"/>
      <c r="H4303" s="994" t="s">
        <v>20221</v>
      </c>
      <c r="I4303" s="11" t="s">
        <v>5983</v>
      </c>
      <c r="J4303" s="1285"/>
      <c r="K4303" s="1285"/>
      <c r="L4303" s="1285"/>
    </row>
    <row r="4304" spans="1:12" ht="11.15" customHeight="1">
      <c r="A4304" s="29"/>
      <c r="B4304" s="90"/>
      <c r="C4304" s="147"/>
      <c r="D4304" s="161"/>
      <c r="E4304" s="36"/>
      <c r="F4304" s="178"/>
      <c r="G4304" s="496"/>
      <c r="H4304" s="36"/>
      <c r="I4304" s="11"/>
    </row>
    <row r="4305" spans="1:9" ht="11.15" customHeight="1">
      <c r="A4305" s="29"/>
      <c r="B4305" s="146" t="s">
        <v>5984</v>
      </c>
      <c r="C4305" s="147"/>
      <c r="D4305" s="161"/>
      <c r="E4305" s="36"/>
      <c r="F4305" s="178"/>
      <c r="G4305" s="496"/>
      <c r="H4305" s="36"/>
      <c r="I4305" s="11"/>
    </row>
    <row r="4306" spans="1:9" ht="9" customHeight="1">
      <c r="A4306" s="185"/>
      <c r="B4306" s="150" t="s">
        <v>5985</v>
      </c>
      <c r="C4306" s="147"/>
      <c r="D4306" s="161"/>
      <c r="E4306" s="36"/>
      <c r="F4306" s="178"/>
      <c r="G4306" s="496"/>
      <c r="H4306" s="36"/>
      <c r="I4306" s="11"/>
    </row>
    <row r="4307" spans="1:9" ht="9" customHeight="1">
      <c r="A4307" s="185"/>
      <c r="B4307" s="150" t="s">
        <v>5986</v>
      </c>
      <c r="C4307" s="147"/>
      <c r="D4307" s="161"/>
      <c r="E4307" s="36"/>
      <c r="F4307" s="178"/>
      <c r="G4307" s="496"/>
      <c r="H4307" s="36"/>
      <c r="I4307" s="11"/>
    </row>
    <row r="4308" spans="1:9" ht="9" customHeight="1">
      <c r="A4308" s="185"/>
      <c r="B4308" s="150" t="s">
        <v>5987</v>
      </c>
      <c r="C4308" s="147"/>
      <c r="D4308" s="161"/>
      <c r="E4308" s="36"/>
      <c r="F4308" s="178"/>
      <c r="G4308" s="496"/>
      <c r="H4308" s="36"/>
      <c r="I4308" s="11"/>
    </row>
    <row r="4309" spans="1:9" ht="9" customHeight="1">
      <c r="A4309" s="29"/>
      <c r="B4309" s="150" t="s">
        <v>5988</v>
      </c>
      <c r="C4309" s="147"/>
      <c r="D4309" s="161"/>
      <c r="E4309" s="36"/>
      <c r="F4309" s="178"/>
      <c r="G4309" s="496"/>
      <c r="H4309" s="36"/>
      <c r="I4309" s="11"/>
    </row>
    <row r="4310" spans="1:9" ht="9" customHeight="1">
      <c r="A4310" s="29"/>
      <c r="B4310" s="150" t="s">
        <v>5989</v>
      </c>
      <c r="C4310" s="147"/>
      <c r="D4310" s="161"/>
      <c r="E4310" s="36"/>
      <c r="F4310" s="178"/>
      <c r="G4310" s="496"/>
      <c r="H4310" s="36"/>
      <c r="I4310" s="11"/>
    </row>
    <row r="4311" spans="1:9" ht="9" customHeight="1">
      <c r="A4311" s="29"/>
      <c r="B4311" s="150" t="s">
        <v>5990</v>
      </c>
      <c r="C4311" s="147"/>
      <c r="D4311" s="161"/>
      <c r="E4311" s="36"/>
      <c r="F4311" s="178"/>
      <c r="G4311" s="496"/>
      <c r="H4311" s="36"/>
      <c r="I4311" s="11"/>
    </row>
    <row r="4312" spans="1:9" ht="9" customHeight="1">
      <c r="A4312" s="29"/>
      <c r="B4312" s="150" t="s">
        <v>5991</v>
      </c>
      <c r="C4312" s="147"/>
      <c r="D4312" s="161"/>
      <c r="E4312" s="36"/>
      <c r="F4312" s="178"/>
      <c r="G4312" s="496"/>
      <c r="H4312" s="36"/>
      <c r="I4312" s="11"/>
    </row>
    <row r="4313" spans="1:9" ht="9" customHeight="1">
      <c r="A4313" s="185"/>
      <c r="B4313" s="209" t="s">
        <v>5992</v>
      </c>
      <c r="C4313" s="147"/>
      <c r="D4313" s="161"/>
      <c r="E4313" s="36"/>
      <c r="F4313" s="178"/>
      <c r="G4313" s="496"/>
      <c r="H4313" s="36"/>
      <c r="I4313" s="11"/>
    </row>
    <row r="4314" spans="1:9" ht="9" customHeight="1">
      <c r="A4314" s="29"/>
      <c r="B4314" s="150" t="s">
        <v>5993</v>
      </c>
      <c r="C4314" s="147"/>
      <c r="D4314" s="161"/>
      <c r="E4314" s="36"/>
      <c r="F4314" s="178"/>
      <c r="G4314" s="496"/>
      <c r="H4314" s="36"/>
      <c r="I4314" s="11"/>
    </row>
    <row r="4315" spans="1:9" ht="9" customHeight="1">
      <c r="A4315" s="217"/>
      <c r="B4315" s="209" t="s">
        <v>5994</v>
      </c>
      <c r="C4315" s="147"/>
      <c r="D4315" s="122"/>
      <c r="E4315" s="178"/>
      <c r="F4315" s="178"/>
      <c r="G4315" s="453"/>
      <c r="H4315" s="178"/>
      <c r="I4315" s="11"/>
    </row>
    <row r="4316" spans="1:9" ht="9" customHeight="1">
      <c r="A4316" s="217"/>
      <c r="B4316" s="150" t="s">
        <v>5995</v>
      </c>
      <c r="C4316" s="147"/>
      <c r="D4316" s="122"/>
      <c r="E4316" s="178"/>
      <c r="F4316" s="178"/>
      <c r="G4316" s="453"/>
      <c r="H4316" s="178"/>
      <c r="I4316" s="11"/>
    </row>
    <row r="4317" spans="1:9" ht="9" customHeight="1">
      <c r="A4317" s="217"/>
      <c r="B4317" s="150" t="s">
        <v>5996</v>
      </c>
      <c r="C4317" s="147"/>
      <c r="D4317" s="122"/>
      <c r="E4317" s="178"/>
      <c r="F4317" s="178"/>
      <c r="G4317" s="453"/>
      <c r="H4317" s="178"/>
      <c r="I4317" s="11"/>
    </row>
    <row r="4318" spans="1:9" ht="9" customHeight="1">
      <c r="A4318" s="217"/>
      <c r="B4318" s="150" t="s">
        <v>5997</v>
      </c>
      <c r="C4318" s="147"/>
      <c r="D4318" s="122"/>
      <c r="E4318" s="178"/>
      <c r="F4318" s="178"/>
      <c r="G4318" s="453"/>
      <c r="H4318" s="178"/>
      <c r="I4318" s="11"/>
    </row>
    <row r="4319" spans="1:9" ht="9" customHeight="1">
      <c r="A4319" s="217"/>
      <c r="B4319" s="150" t="s">
        <v>5998</v>
      </c>
      <c r="C4319" s="147"/>
      <c r="D4319" s="122"/>
      <c r="E4319" s="178"/>
      <c r="F4319" s="178"/>
      <c r="G4319" s="453"/>
      <c r="H4319" s="178"/>
      <c r="I4319" s="11"/>
    </row>
    <row r="4320" spans="1:9" ht="9" customHeight="1">
      <c r="A4320" s="217"/>
      <c r="B4320" s="150" t="s">
        <v>5999</v>
      </c>
      <c r="C4320" s="147"/>
      <c r="D4320" s="122"/>
      <c r="E4320" s="178"/>
      <c r="F4320" s="178"/>
      <c r="G4320" s="453"/>
      <c r="H4320" s="178"/>
      <c r="I4320" s="11"/>
    </row>
    <row r="4321" spans="1:12" ht="9" customHeight="1">
      <c r="A4321" s="217"/>
      <c r="B4321" s="150" t="s">
        <v>6000</v>
      </c>
      <c r="C4321" s="147"/>
      <c r="D4321" s="122"/>
      <c r="E4321" s="178"/>
      <c r="F4321" s="178"/>
      <c r="G4321" s="453"/>
      <c r="H4321" s="178"/>
      <c r="I4321" s="11"/>
    </row>
    <row r="4322" spans="1:12" ht="9" customHeight="1">
      <c r="A4322" s="217"/>
      <c r="B4322" s="150" t="s">
        <v>6001</v>
      </c>
      <c r="C4322" s="147"/>
      <c r="D4322" s="122"/>
      <c r="E4322" s="178"/>
      <c r="F4322" s="178"/>
      <c r="G4322" s="453"/>
      <c r="H4322" s="178"/>
      <c r="I4322" s="11"/>
    </row>
    <row r="4323" spans="1:12" ht="9" customHeight="1">
      <c r="A4323" s="217"/>
      <c r="B4323" s="150" t="s">
        <v>6002</v>
      </c>
      <c r="C4323" s="147"/>
      <c r="D4323" s="122"/>
      <c r="E4323" s="178"/>
      <c r="F4323" s="178"/>
      <c r="G4323" s="453"/>
      <c r="H4323" s="178"/>
      <c r="I4323" s="11"/>
    </row>
    <row r="4324" spans="1:12" ht="9" customHeight="1">
      <c r="A4324" s="217"/>
      <c r="B4324" s="150" t="s">
        <v>6003</v>
      </c>
      <c r="C4324" s="147"/>
      <c r="D4324" s="122"/>
      <c r="E4324" s="178"/>
      <c r="F4324" s="178"/>
      <c r="G4324" s="453"/>
      <c r="H4324" s="178"/>
      <c r="I4324" s="11"/>
    </row>
    <row r="4325" spans="1:12" ht="9" customHeight="1">
      <c r="A4325" s="217"/>
      <c r="B4325" s="150" t="s">
        <v>6004</v>
      </c>
      <c r="C4325" s="147"/>
      <c r="D4325" s="122"/>
      <c r="E4325" s="178"/>
      <c r="F4325" s="178"/>
      <c r="G4325" s="453"/>
      <c r="H4325" s="178"/>
      <c r="I4325" s="11"/>
    </row>
    <row r="4326" spans="1:12" ht="9" customHeight="1">
      <c r="A4326" s="217"/>
      <c r="B4326" s="150" t="s">
        <v>6005</v>
      </c>
      <c r="C4326" s="147"/>
      <c r="D4326" s="122"/>
      <c r="E4326" s="178"/>
      <c r="F4326" s="178"/>
      <c r="G4326" s="453"/>
      <c r="H4326" s="178"/>
      <c r="I4326" s="11"/>
    </row>
    <row r="4327" spans="1:12" ht="9" customHeight="1">
      <c r="A4327" s="217"/>
      <c r="B4327" s="150" t="s">
        <v>6006</v>
      </c>
      <c r="C4327" s="147"/>
      <c r="D4327" s="122"/>
      <c r="E4327" s="178"/>
      <c r="F4327" s="178"/>
      <c r="G4327" s="453"/>
      <c r="H4327" s="178"/>
      <c r="I4327" s="11"/>
    </row>
    <row r="4328" spans="1:12" ht="9" customHeight="1">
      <c r="A4328" s="217"/>
      <c r="B4328" s="150" t="s">
        <v>6007</v>
      </c>
      <c r="C4328" s="147"/>
      <c r="D4328" s="122"/>
      <c r="E4328" s="178"/>
      <c r="F4328" s="178"/>
      <c r="G4328" s="453"/>
      <c r="H4328" s="178"/>
      <c r="I4328" s="11"/>
    </row>
    <row r="4329" spans="1:12" ht="9" customHeight="1" thickBot="1">
      <c r="A4329" s="217"/>
      <c r="B4329" s="150" t="s">
        <v>6008</v>
      </c>
      <c r="C4329" s="147"/>
      <c r="D4329" s="122"/>
      <c r="E4329" s="178"/>
      <c r="F4329" s="178"/>
      <c r="G4329" s="453"/>
      <c r="H4329" s="178"/>
      <c r="I4329" s="11"/>
    </row>
    <row r="4330" spans="1:12" ht="11.15" customHeight="1" thickBot="1">
      <c r="A4330" s="184" t="s">
        <v>6009</v>
      </c>
      <c r="B4330" s="59" t="s">
        <v>20952</v>
      </c>
      <c r="C4330" s="147" t="s">
        <v>20221</v>
      </c>
      <c r="D4330" s="284" t="s">
        <v>897</v>
      </c>
      <c r="E4330" s="178">
        <v>2022</v>
      </c>
      <c r="F4330" s="178" t="s">
        <v>4520</v>
      </c>
      <c r="G4330" s="496"/>
      <c r="H4330" s="994" t="s">
        <v>20224</v>
      </c>
      <c r="I4330" s="11" t="s">
        <v>6010</v>
      </c>
      <c r="J4330" s="1285"/>
      <c r="K4330" s="1285"/>
      <c r="L4330" s="1285"/>
    </row>
    <row r="4331" spans="1:12" ht="11.15" customHeight="1">
      <c r="A4331" s="29" t="s">
        <v>6011</v>
      </c>
      <c r="B4331" s="59" t="s">
        <v>20725</v>
      </c>
      <c r="C4331" s="147" t="s">
        <v>20221</v>
      </c>
      <c r="D4331" s="284" t="s">
        <v>897</v>
      </c>
      <c r="E4331" s="178">
        <v>2022</v>
      </c>
      <c r="F4331" s="178" t="s">
        <v>4520</v>
      </c>
      <c r="G4331" s="496"/>
      <c r="H4331" s="994" t="s">
        <v>20224</v>
      </c>
      <c r="I4331" s="11" t="s">
        <v>6012</v>
      </c>
      <c r="J4331" s="1285"/>
      <c r="K4331" s="1285"/>
      <c r="L4331" s="1285"/>
    </row>
    <row r="4332" spans="1:12" ht="11.15" customHeight="1">
      <c r="A4332" s="29" t="s">
        <v>6013</v>
      </c>
      <c r="B4332" s="59" t="s">
        <v>20728</v>
      </c>
      <c r="C4332" s="147" t="s">
        <v>20221</v>
      </c>
      <c r="D4332" s="284" t="s">
        <v>897</v>
      </c>
      <c r="E4332" s="178" t="s">
        <v>19075</v>
      </c>
      <c r="F4332" s="178" t="s">
        <v>23394</v>
      </c>
      <c r="G4332" s="496"/>
      <c r="H4332" s="994" t="s">
        <v>20224</v>
      </c>
      <c r="I4332" s="11" t="s">
        <v>6014</v>
      </c>
      <c r="J4332" s="1285"/>
      <c r="K4332" s="1285"/>
      <c r="L4332" s="1285"/>
    </row>
    <row r="4333" spans="1:12" ht="11.15" customHeight="1">
      <c r="A4333" s="29" t="s">
        <v>6015</v>
      </c>
      <c r="B4333" s="59" t="s">
        <v>20953</v>
      </c>
      <c r="C4333" s="147" t="s">
        <v>20221</v>
      </c>
      <c r="D4333" s="284" t="s">
        <v>897</v>
      </c>
      <c r="E4333" s="178" t="s">
        <v>19075</v>
      </c>
      <c r="F4333" s="178" t="s">
        <v>23394</v>
      </c>
      <c r="G4333" s="496"/>
      <c r="H4333" s="994" t="s">
        <v>20224</v>
      </c>
      <c r="I4333" s="11" t="s">
        <v>6016</v>
      </c>
      <c r="J4333" s="1285"/>
      <c r="K4333" s="1285"/>
      <c r="L4333" s="1285"/>
    </row>
    <row r="4334" spans="1:12" ht="11.15" customHeight="1">
      <c r="A4334" s="29" t="s">
        <v>6017</v>
      </c>
      <c r="B4334" s="59" t="s">
        <v>20954</v>
      </c>
      <c r="C4334" s="147" t="s">
        <v>20221</v>
      </c>
      <c r="D4334" s="284" t="s">
        <v>897</v>
      </c>
      <c r="E4334" s="178">
        <v>2017</v>
      </c>
      <c r="F4334" s="178" t="s">
        <v>23394</v>
      </c>
      <c r="G4334" s="496"/>
      <c r="H4334" s="994" t="s">
        <v>20224</v>
      </c>
      <c r="I4334" s="11" t="s">
        <v>6018</v>
      </c>
      <c r="J4334" s="1285"/>
      <c r="K4334" s="1285"/>
      <c r="L4334" s="1285"/>
    </row>
    <row r="4335" spans="1:12" ht="11.15" customHeight="1">
      <c r="A4335" s="29" t="s">
        <v>6019</v>
      </c>
      <c r="B4335" s="185"/>
      <c r="C4335" s="147"/>
      <c r="D4335" s="129"/>
      <c r="E4335" s="185"/>
      <c r="F4335" s="185"/>
      <c r="G4335" s="185"/>
      <c r="H4335" s="185"/>
      <c r="I4335" s="11"/>
    </row>
    <row r="4336" spans="1:12" ht="11.15" customHeight="1">
      <c r="A4336" s="137" t="s">
        <v>6020</v>
      </c>
      <c r="B4336" s="185"/>
      <c r="C4336" s="147"/>
      <c r="D4336" s="129"/>
      <c r="E4336" s="185"/>
      <c r="F4336" s="185"/>
      <c r="G4336" s="185"/>
      <c r="H4336" s="185"/>
      <c r="I4336" s="11"/>
    </row>
    <row r="4337" spans="1:9" ht="11.15" customHeight="1">
      <c r="A4337" s="29" t="s">
        <v>6021</v>
      </c>
      <c r="B4337" s="185"/>
      <c r="C4337" s="147"/>
      <c r="D4337" s="129"/>
      <c r="E4337" s="185"/>
      <c r="F4337" s="185"/>
      <c r="G4337" s="185"/>
      <c r="H4337" s="185"/>
      <c r="I4337" s="11"/>
    </row>
    <row r="4338" spans="1:9" ht="11.15" customHeight="1">
      <c r="A4338" s="129" t="s">
        <v>1308</v>
      </c>
      <c r="B4338" s="185"/>
      <c r="C4338" s="147"/>
      <c r="D4338" s="129"/>
      <c r="E4338" s="185"/>
      <c r="F4338" s="185"/>
      <c r="G4338" s="185"/>
      <c r="H4338" s="185"/>
      <c r="I4338" s="11"/>
    </row>
    <row r="4339" spans="1:9" ht="11.15" customHeight="1">
      <c r="A4339" s="162" t="s">
        <v>6022</v>
      </c>
      <c r="B4339" s="185"/>
      <c r="C4339" s="147"/>
      <c r="D4339" s="129"/>
      <c r="E4339" s="185"/>
      <c r="F4339" s="185"/>
      <c r="G4339" s="185"/>
      <c r="H4339" s="185"/>
      <c r="I4339" s="11"/>
    </row>
    <row r="4340" spans="1:9" ht="11.15" customHeight="1">
      <c r="A4340" s="162" t="s">
        <v>6023</v>
      </c>
      <c r="B4340" s="185"/>
      <c r="C4340" s="147"/>
      <c r="D4340" s="129"/>
      <c r="E4340" s="185"/>
      <c r="F4340" s="185"/>
      <c r="G4340" s="185"/>
      <c r="H4340" s="185"/>
      <c r="I4340" s="11"/>
    </row>
    <row r="4341" spans="1:9" ht="11.15" customHeight="1">
      <c r="A4341" s="162" t="s">
        <v>6024</v>
      </c>
      <c r="B4341" s="185"/>
      <c r="C4341" s="147"/>
      <c r="D4341" s="129"/>
      <c r="E4341" s="185"/>
      <c r="F4341" s="185"/>
      <c r="G4341" s="185"/>
      <c r="H4341" s="185"/>
      <c r="I4341" s="11"/>
    </row>
    <row r="4342" spans="1:9" ht="11.15" customHeight="1">
      <c r="A4342" s="162" t="s">
        <v>6025</v>
      </c>
      <c r="B4342" s="90"/>
      <c r="C4342" s="147"/>
      <c r="D4342" s="161"/>
      <c r="E4342" s="36"/>
      <c r="F4342" s="178"/>
      <c r="G4342" s="1181"/>
      <c r="H4342" s="36"/>
      <c r="I4342" s="11"/>
    </row>
    <row r="4343" spans="1:9" ht="11.15" customHeight="1">
      <c r="A4343" s="162" t="s">
        <v>6026</v>
      </c>
      <c r="B4343" s="90"/>
      <c r="C4343" s="147"/>
      <c r="D4343" s="161"/>
      <c r="E4343" s="36"/>
      <c r="F4343" s="178"/>
      <c r="G4343" s="1181"/>
      <c r="H4343" s="36"/>
      <c r="I4343" s="11"/>
    </row>
    <row r="4344" spans="1:9" ht="11.15" customHeight="1">
      <c r="A4344" s="162" t="s">
        <v>6027</v>
      </c>
      <c r="B4344" s="185"/>
      <c r="C4344" s="147"/>
      <c r="D4344" s="129"/>
      <c r="E4344" s="185"/>
      <c r="F4344" s="185"/>
      <c r="G4344" s="185"/>
      <c r="H4344" s="185"/>
      <c r="I4344" s="11"/>
    </row>
    <row r="4345" spans="1:9" ht="11.15" customHeight="1">
      <c r="A4345" s="162" t="s">
        <v>6028</v>
      </c>
      <c r="B4345" s="185"/>
      <c r="C4345" s="147"/>
      <c r="D4345" s="129"/>
      <c r="E4345" s="185"/>
      <c r="F4345" s="185"/>
      <c r="G4345" s="185"/>
      <c r="H4345" s="185"/>
      <c r="I4345" s="11"/>
    </row>
    <row r="4346" spans="1:9" ht="11.15" customHeight="1">
      <c r="A4346" s="162" t="s">
        <v>6029</v>
      </c>
      <c r="B4346" s="185"/>
      <c r="C4346" s="147"/>
      <c r="D4346" s="129"/>
      <c r="E4346" s="185"/>
      <c r="F4346" s="185"/>
      <c r="G4346" s="185"/>
      <c r="H4346" s="185"/>
      <c r="I4346" s="11"/>
    </row>
    <row r="4347" spans="1:9" ht="11.15" customHeight="1">
      <c r="A4347" s="162" t="s">
        <v>6030</v>
      </c>
      <c r="B4347" s="185"/>
      <c r="C4347" s="147"/>
      <c r="D4347" s="129"/>
      <c r="E4347" s="185"/>
      <c r="F4347" s="185"/>
      <c r="G4347" s="185"/>
      <c r="H4347" s="185"/>
      <c r="I4347" s="11"/>
    </row>
    <row r="4348" spans="1:9" ht="11.15" customHeight="1">
      <c r="A4348" s="162" t="s">
        <v>6031</v>
      </c>
      <c r="B4348" s="185"/>
      <c r="C4348" s="147"/>
      <c r="D4348" s="129"/>
      <c r="E4348" s="185"/>
      <c r="F4348" s="185"/>
      <c r="G4348" s="185"/>
      <c r="H4348" s="185"/>
      <c r="I4348" s="11"/>
    </row>
    <row r="4349" spans="1:9" ht="11.15" customHeight="1">
      <c r="A4349" s="162" t="s">
        <v>6032</v>
      </c>
      <c r="B4349" s="185"/>
      <c r="C4349" s="147"/>
      <c r="D4349" s="129"/>
      <c r="E4349" s="185"/>
      <c r="F4349" s="185"/>
      <c r="G4349" s="185"/>
      <c r="H4349" s="185"/>
      <c r="I4349" s="11"/>
    </row>
    <row r="4350" spans="1:9" ht="11.15" customHeight="1">
      <c r="A4350" s="162" t="s">
        <v>6033</v>
      </c>
      <c r="B4350" s="185"/>
      <c r="C4350" s="147"/>
      <c r="D4350" s="129"/>
      <c r="E4350" s="185"/>
      <c r="F4350" s="185"/>
      <c r="G4350" s="185"/>
      <c r="H4350" s="185"/>
      <c r="I4350" s="11"/>
    </row>
    <row r="4351" spans="1:9" ht="11.15" customHeight="1">
      <c r="A4351" s="162" t="s">
        <v>6034</v>
      </c>
      <c r="B4351" s="185"/>
      <c r="C4351" s="147"/>
      <c r="D4351" s="129"/>
      <c r="E4351" s="185"/>
      <c r="F4351" s="185"/>
      <c r="G4351" s="185"/>
      <c r="H4351" s="185"/>
      <c r="I4351" s="11"/>
    </row>
    <row r="4352" spans="1:9" ht="11.15" customHeight="1">
      <c r="A4352" s="162" t="s">
        <v>6035</v>
      </c>
      <c r="B4352" s="185"/>
      <c r="C4352" s="147"/>
      <c r="D4352" s="129"/>
      <c r="E4352" s="185"/>
      <c r="F4352" s="185"/>
      <c r="G4352" s="185"/>
      <c r="H4352" s="185"/>
      <c r="I4352" s="11"/>
    </row>
    <row r="4353" spans="1:9" ht="11.15" customHeight="1">
      <c r="A4353" s="162" t="s">
        <v>6036</v>
      </c>
      <c r="B4353" s="185"/>
      <c r="C4353" s="147"/>
      <c r="D4353" s="129"/>
      <c r="E4353" s="185"/>
      <c r="F4353" s="185"/>
      <c r="G4353" s="185"/>
      <c r="H4353" s="185"/>
      <c r="I4353" s="11"/>
    </row>
    <row r="4354" spans="1:9" ht="11.15" customHeight="1">
      <c r="A4354" s="162" t="s">
        <v>6037</v>
      </c>
      <c r="B4354" s="185"/>
      <c r="C4354" s="147"/>
      <c r="D4354" s="129"/>
      <c r="E4354" s="185"/>
      <c r="F4354" s="185"/>
      <c r="G4354" s="185"/>
      <c r="H4354" s="185"/>
      <c r="I4354" s="11"/>
    </row>
    <row r="4355" spans="1:9" ht="11.15" customHeight="1">
      <c r="A4355" s="162" t="s">
        <v>6038</v>
      </c>
      <c r="B4355" s="185"/>
      <c r="C4355" s="147"/>
      <c r="D4355" s="129"/>
      <c r="E4355" s="185"/>
      <c r="F4355" s="185"/>
      <c r="G4355" s="185"/>
      <c r="H4355" s="185"/>
      <c r="I4355" s="11"/>
    </row>
    <row r="4356" spans="1:9" ht="11.15" customHeight="1">
      <c r="A4356" s="162" t="s">
        <v>6039</v>
      </c>
      <c r="B4356" s="185"/>
      <c r="C4356" s="147"/>
      <c r="D4356" s="129"/>
      <c r="E4356" s="185"/>
      <c r="F4356" s="185"/>
      <c r="G4356" s="185"/>
      <c r="H4356" s="185"/>
      <c r="I4356" s="11"/>
    </row>
    <row r="4357" spans="1:9" ht="11.15" customHeight="1">
      <c r="A4357" s="162" t="s">
        <v>6040</v>
      </c>
      <c r="B4357" s="185"/>
      <c r="C4357" s="147"/>
      <c r="D4357" s="129"/>
      <c r="E4357" s="185"/>
      <c r="F4357" s="185"/>
      <c r="G4357" s="185"/>
      <c r="H4357" s="185"/>
      <c r="I4357" s="11"/>
    </row>
    <row r="4358" spans="1:9" ht="11.15" customHeight="1">
      <c r="A4358" s="162" t="s">
        <v>6041</v>
      </c>
      <c r="B4358" s="185"/>
      <c r="C4358" s="147"/>
      <c r="D4358" s="129"/>
      <c r="E4358" s="185"/>
      <c r="F4358" s="185"/>
      <c r="G4358" s="185"/>
      <c r="H4358" s="185"/>
      <c r="I4358" s="11"/>
    </row>
    <row r="4359" spans="1:9" ht="11.15" customHeight="1">
      <c r="A4359" s="162" t="s">
        <v>6042</v>
      </c>
      <c r="B4359" s="185"/>
      <c r="C4359" s="147"/>
      <c r="D4359" s="129"/>
      <c r="E4359" s="185"/>
      <c r="F4359" s="185"/>
      <c r="G4359" s="185"/>
      <c r="H4359" s="185"/>
      <c r="I4359" s="11"/>
    </row>
    <row r="4360" spans="1:9" ht="11.15" customHeight="1">
      <c r="A4360" s="162" t="s">
        <v>6043</v>
      </c>
      <c r="B4360" s="185"/>
      <c r="C4360" s="147"/>
      <c r="D4360" s="129"/>
      <c r="E4360" s="185"/>
      <c r="F4360" s="185"/>
      <c r="G4360" s="185"/>
      <c r="H4360" s="185"/>
      <c r="I4360" s="11"/>
    </row>
    <row r="4361" spans="1:9" ht="11.15" customHeight="1">
      <c r="A4361" s="162" t="s">
        <v>6044</v>
      </c>
      <c r="B4361" s="185"/>
      <c r="C4361" s="147"/>
      <c r="D4361" s="129"/>
      <c r="E4361" s="185"/>
      <c r="F4361" s="185"/>
      <c r="G4361" s="185"/>
      <c r="H4361" s="185"/>
      <c r="I4361" s="11"/>
    </row>
    <row r="4362" spans="1:9" ht="11.15" customHeight="1">
      <c r="A4362" s="162" t="s">
        <v>6045</v>
      </c>
      <c r="B4362" s="185"/>
      <c r="C4362" s="147"/>
      <c r="D4362" s="129"/>
      <c r="E4362" s="185"/>
      <c r="F4362" s="185"/>
      <c r="G4362" s="185"/>
      <c r="H4362" s="185"/>
      <c r="I4362" s="11"/>
    </row>
    <row r="4363" spans="1:9" ht="11.15" customHeight="1">
      <c r="A4363" s="162" t="s">
        <v>6046</v>
      </c>
      <c r="B4363" s="185"/>
      <c r="C4363" s="147"/>
      <c r="D4363" s="129"/>
      <c r="E4363" s="185"/>
      <c r="F4363" s="185"/>
      <c r="G4363" s="185"/>
      <c r="H4363" s="185"/>
      <c r="I4363" s="11"/>
    </row>
    <row r="4364" spans="1:9" ht="11.15" customHeight="1">
      <c r="A4364" s="29" t="s">
        <v>6047</v>
      </c>
      <c r="B4364" s="185"/>
      <c r="C4364" s="147"/>
      <c r="D4364" s="129"/>
      <c r="E4364" s="185"/>
      <c r="F4364" s="185"/>
      <c r="G4364" s="185"/>
      <c r="H4364" s="185"/>
      <c r="I4364" s="11"/>
    </row>
    <row r="4365" spans="1:9" ht="11.15" customHeight="1">
      <c r="A4365" s="212" t="s">
        <v>6048</v>
      </c>
      <c r="B4365" s="185"/>
      <c r="C4365" s="147"/>
      <c r="D4365" s="122"/>
      <c r="E4365" s="36"/>
      <c r="F4365" s="178"/>
      <c r="G4365" s="453"/>
      <c r="H4365" s="36"/>
      <c r="I4365" s="11"/>
    </row>
    <row r="4366" spans="1:9" ht="11.15" customHeight="1">
      <c r="A4366" s="129" t="s">
        <v>6049</v>
      </c>
      <c r="B4366" s="185"/>
      <c r="C4366" s="147"/>
      <c r="D4366" s="122"/>
      <c r="E4366" s="36"/>
      <c r="F4366" s="178"/>
      <c r="G4366" s="453"/>
      <c r="H4366" s="36"/>
      <c r="I4366" s="11"/>
    </row>
    <row r="4367" spans="1:9" ht="11.15" customHeight="1">
      <c r="A4367" s="424" t="s">
        <v>6050</v>
      </c>
      <c r="B4367" s="185"/>
      <c r="C4367" s="147"/>
      <c r="D4367" s="122"/>
      <c r="E4367" s="36"/>
      <c r="F4367" s="178"/>
      <c r="G4367" s="453"/>
      <c r="H4367" s="36"/>
      <c r="I4367" s="11"/>
    </row>
    <row r="4368" spans="1:9" ht="11.15" customHeight="1">
      <c r="A4368" s="29"/>
      <c r="B4368" s="146" t="s">
        <v>6051</v>
      </c>
      <c r="C4368" s="147"/>
      <c r="D4368" s="122"/>
      <c r="E4368" s="36"/>
      <c r="F4368" s="178"/>
      <c r="G4368" s="453"/>
      <c r="H4368" s="36"/>
      <c r="I4368" s="11"/>
    </row>
    <row r="4369" spans="1:12" ht="9" customHeight="1">
      <c r="A4369" s="185"/>
      <c r="B4369" s="209" t="s">
        <v>6052</v>
      </c>
      <c r="C4369" s="147"/>
      <c r="D4369" s="122"/>
      <c r="E4369" s="36"/>
      <c r="F4369" s="178"/>
      <c r="G4369" s="453"/>
      <c r="H4369" s="36"/>
      <c r="I4369" s="11"/>
    </row>
    <row r="4370" spans="1:12" ht="9" customHeight="1">
      <c r="A4370" s="29"/>
      <c r="B4370" s="209" t="s">
        <v>6053</v>
      </c>
      <c r="C4370" s="147"/>
      <c r="D4370" s="122"/>
      <c r="E4370" s="36"/>
      <c r="F4370" s="178"/>
      <c r="G4370" s="453"/>
      <c r="H4370" s="36"/>
      <c r="I4370" s="11"/>
    </row>
    <row r="4371" spans="1:12" ht="9" customHeight="1">
      <c r="A4371" s="29"/>
      <c r="B4371" s="150" t="s">
        <v>6054</v>
      </c>
      <c r="C4371" s="147"/>
      <c r="D4371" s="122"/>
      <c r="E4371" s="36"/>
      <c r="F4371" s="178"/>
      <c r="G4371" s="453"/>
      <c r="H4371" s="36"/>
      <c r="I4371" s="11"/>
    </row>
    <row r="4372" spans="1:12" ht="9" customHeight="1">
      <c r="A4372" s="29"/>
      <c r="B4372" s="209" t="s">
        <v>6055</v>
      </c>
      <c r="C4372" s="147"/>
      <c r="D4372" s="122"/>
      <c r="E4372" s="36"/>
      <c r="F4372" s="178"/>
      <c r="G4372" s="453"/>
      <c r="H4372" s="36"/>
      <c r="I4372" s="11"/>
    </row>
    <row r="4373" spans="1:12" ht="9" customHeight="1">
      <c r="A4373" s="185"/>
      <c r="B4373" s="420" t="s">
        <v>6056</v>
      </c>
      <c r="C4373" s="147"/>
      <c r="D4373" s="122"/>
      <c r="E4373" s="36"/>
      <c r="F4373" s="178"/>
      <c r="G4373" s="453"/>
      <c r="H4373" s="36"/>
      <c r="I4373" s="11"/>
    </row>
    <row r="4374" spans="1:12" ht="9" customHeight="1">
      <c r="A4374" s="29"/>
      <c r="B4374" s="209" t="s">
        <v>6057</v>
      </c>
      <c r="C4374" s="147"/>
      <c r="D4374" s="122"/>
      <c r="E4374" s="36"/>
      <c r="F4374" s="178"/>
      <c r="G4374" s="453"/>
      <c r="H4374" s="36"/>
      <c r="I4374" s="11"/>
    </row>
    <row r="4375" spans="1:12" ht="9" customHeight="1" thickBot="1">
      <c r="A4375" s="29"/>
      <c r="B4375" s="150" t="s">
        <v>6058</v>
      </c>
      <c r="C4375" s="147"/>
      <c r="D4375" s="122"/>
      <c r="E4375" s="36"/>
      <c r="F4375" s="178"/>
      <c r="G4375" s="453"/>
      <c r="H4375" s="36"/>
      <c r="I4375" s="11"/>
    </row>
    <row r="4376" spans="1:12" ht="11.15" customHeight="1">
      <c r="A4376" s="153" t="s">
        <v>6059</v>
      </c>
      <c r="B4376" s="59" t="s">
        <v>20956</v>
      </c>
      <c r="C4376" s="147" t="s">
        <v>20221</v>
      </c>
      <c r="D4376" s="284" t="s">
        <v>897</v>
      </c>
      <c r="E4376" s="178">
        <v>2018</v>
      </c>
      <c r="F4376" s="178" t="s">
        <v>4520</v>
      </c>
      <c r="G4376" s="496"/>
      <c r="H4376" s="994" t="s">
        <v>20224</v>
      </c>
      <c r="I4376" s="11" t="s">
        <v>6060</v>
      </c>
      <c r="J4376" s="1285"/>
      <c r="K4376" s="1285"/>
      <c r="L4376" s="1285"/>
    </row>
    <row r="4377" spans="1:12" ht="11.15" customHeight="1" thickBot="1">
      <c r="A4377" s="230" t="s">
        <v>6061</v>
      </c>
      <c r="B4377" s="59" t="s">
        <v>20924</v>
      </c>
      <c r="C4377" s="147" t="s">
        <v>20221</v>
      </c>
      <c r="D4377" s="284" t="s">
        <v>897</v>
      </c>
      <c r="E4377" s="178">
        <v>2012</v>
      </c>
      <c r="F4377" s="178" t="s">
        <v>4520</v>
      </c>
      <c r="G4377" s="496"/>
      <c r="H4377" s="994" t="s">
        <v>20221</v>
      </c>
      <c r="I4377" s="12" t="s">
        <v>6062</v>
      </c>
      <c r="J4377" s="1285"/>
      <c r="K4377" s="1285"/>
      <c r="L4377" s="1285"/>
    </row>
    <row r="4378" spans="1:12" ht="11.15" customHeight="1">
      <c r="A4378" s="29" t="s">
        <v>6063</v>
      </c>
      <c r="B4378" s="154" t="s">
        <v>6064</v>
      </c>
      <c r="C4378" s="147"/>
      <c r="D4378" s="161"/>
      <c r="E4378" s="36"/>
      <c r="F4378" s="178"/>
      <c r="G4378" s="671"/>
      <c r="H4378" s="36"/>
      <c r="I4378" s="11"/>
    </row>
    <row r="4379" spans="1:12" ht="11.15" customHeight="1">
      <c r="A4379" s="229" t="s">
        <v>6065</v>
      </c>
      <c r="B4379" s="59" t="s">
        <v>20957</v>
      </c>
      <c r="C4379" s="147" t="s">
        <v>20221</v>
      </c>
      <c r="D4379" s="284" t="s">
        <v>897</v>
      </c>
      <c r="E4379" s="178">
        <v>2022</v>
      </c>
      <c r="F4379" s="178" t="s">
        <v>4520</v>
      </c>
      <c r="G4379" s="496"/>
      <c r="H4379" s="994" t="s">
        <v>20221</v>
      </c>
      <c r="I4379" s="11" t="s">
        <v>6066</v>
      </c>
      <c r="J4379" s="1285"/>
      <c r="K4379" s="1285"/>
      <c r="L4379" s="1285"/>
    </row>
    <row r="4380" spans="1:12" ht="11.15" customHeight="1">
      <c r="A4380" s="218" t="s">
        <v>1595</v>
      </c>
      <c r="B4380" s="59" t="s">
        <v>20957</v>
      </c>
      <c r="C4380" s="147" t="s">
        <v>20221</v>
      </c>
      <c r="D4380" s="284" t="s">
        <v>897</v>
      </c>
      <c r="E4380" s="178">
        <v>2021</v>
      </c>
      <c r="F4380" s="178" t="s">
        <v>4520</v>
      </c>
      <c r="G4380" s="496"/>
      <c r="H4380" s="994" t="s">
        <v>20221</v>
      </c>
      <c r="I4380" s="11" t="s">
        <v>6067</v>
      </c>
      <c r="J4380" s="1285"/>
      <c r="K4380" s="1285"/>
      <c r="L4380" s="1285"/>
    </row>
    <row r="4381" spans="1:12" ht="11.15" customHeight="1">
      <c r="A4381" s="29" t="s">
        <v>6068</v>
      </c>
      <c r="B4381" s="59" t="s">
        <v>20957</v>
      </c>
      <c r="C4381" s="147" t="s">
        <v>20221</v>
      </c>
      <c r="D4381" s="284" t="s">
        <v>897</v>
      </c>
      <c r="E4381" s="178">
        <v>2020</v>
      </c>
      <c r="F4381" s="178" t="s">
        <v>4520</v>
      </c>
      <c r="G4381" s="496"/>
      <c r="H4381" s="994" t="s">
        <v>20221</v>
      </c>
      <c r="I4381" s="11" t="s">
        <v>6069</v>
      </c>
      <c r="J4381" s="1285"/>
      <c r="K4381" s="1285"/>
      <c r="L4381" s="1285"/>
    </row>
    <row r="4382" spans="1:12" ht="11.15" customHeight="1">
      <c r="A4382" s="29" t="s">
        <v>6070</v>
      </c>
      <c r="B4382" s="59" t="s">
        <v>20957</v>
      </c>
      <c r="C4382" s="147" t="s">
        <v>20221</v>
      </c>
      <c r="D4382" s="284" t="s">
        <v>897</v>
      </c>
      <c r="E4382" s="178">
        <v>2019</v>
      </c>
      <c r="F4382" s="178" t="s">
        <v>4520</v>
      </c>
      <c r="G4382" s="496"/>
      <c r="H4382" s="994" t="s">
        <v>20221</v>
      </c>
      <c r="I4382" s="11" t="s">
        <v>6071</v>
      </c>
      <c r="J4382" s="1285"/>
      <c r="K4382" s="1285"/>
      <c r="L4382" s="1285"/>
    </row>
    <row r="4383" spans="1:12" ht="11.15" customHeight="1">
      <c r="A4383" s="29" t="s">
        <v>6072</v>
      </c>
      <c r="B4383" s="59" t="s">
        <v>20957</v>
      </c>
      <c r="C4383" s="147" t="s">
        <v>20221</v>
      </c>
      <c r="D4383" s="284" t="s">
        <v>897</v>
      </c>
      <c r="E4383" s="178">
        <v>2018</v>
      </c>
      <c r="F4383" s="178" t="s">
        <v>4520</v>
      </c>
      <c r="G4383" s="496"/>
      <c r="H4383" s="994" t="s">
        <v>20221</v>
      </c>
      <c r="I4383" s="11" t="s">
        <v>6073</v>
      </c>
      <c r="J4383" s="1285"/>
      <c r="K4383" s="1285"/>
      <c r="L4383" s="1285"/>
    </row>
    <row r="4384" spans="1:12" ht="11.15" customHeight="1">
      <c r="A4384" s="29" t="s">
        <v>6074</v>
      </c>
      <c r="B4384" s="59" t="s">
        <v>20957</v>
      </c>
      <c r="C4384" s="147" t="s">
        <v>20221</v>
      </c>
      <c r="D4384" s="284" t="s">
        <v>897</v>
      </c>
      <c r="E4384" s="178">
        <v>2017</v>
      </c>
      <c r="F4384" s="178" t="s">
        <v>4520</v>
      </c>
      <c r="G4384" s="496"/>
      <c r="H4384" s="994" t="s">
        <v>20221</v>
      </c>
      <c r="I4384" s="11" t="s">
        <v>6075</v>
      </c>
      <c r="J4384" s="1285"/>
      <c r="K4384" s="1285"/>
      <c r="L4384" s="1285"/>
    </row>
    <row r="4385" spans="1:12" ht="11.15" customHeight="1">
      <c r="A4385" s="129" t="s">
        <v>6076</v>
      </c>
      <c r="B4385" s="59" t="s">
        <v>20957</v>
      </c>
      <c r="C4385" s="147" t="s">
        <v>20221</v>
      </c>
      <c r="D4385" s="284" t="s">
        <v>897</v>
      </c>
      <c r="E4385" s="178">
        <v>2014</v>
      </c>
      <c r="F4385" s="178" t="s">
        <v>4520</v>
      </c>
      <c r="G4385" s="496"/>
      <c r="H4385" s="994" t="s">
        <v>20277</v>
      </c>
      <c r="I4385" s="11" t="s">
        <v>6078</v>
      </c>
      <c r="J4385" s="1285"/>
      <c r="K4385" s="1285"/>
      <c r="L4385" s="1285"/>
    </row>
    <row r="4386" spans="1:12" ht="11.15" customHeight="1">
      <c r="A4386" s="162" t="s">
        <v>6077</v>
      </c>
      <c r="B4386" s="59" t="s">
        <v>20957</v>
      </c>
      <c r="C4386" s="147" t="s">
        <v>20221</v>
      </c>
      <c r="D4386" s="284" t="s">
        <v>897</v>
      </c>
      <c r="E4386" s="178">
        <v>2011</v>
      </c>
      <c r="F4386" s="178" t="s">
        <v>4520</v>
      </c>
      <c r="G4386" s="496"/>
      <c r="H4386" s="994" t="s">
        <v>20221</v>
      </c>
      <c r="I4386" s="11" t="s">
        <v>6080</v>
      </c>
      <c r="J4386" s="1285"/>
      <c r="K4386" s="1285"/>
      <c r="L4386" s="1285"/>
    </row>
    <row r="4387" spans="1:12" ht="11.15" customHeight="1">
      <c r="A4387" s="162" t="s">
        <v>6079</v>
      </c>
      <c r="B4387" s="59" t="s">
        <v>20958</v>
      </c>
      <c r="C4387" s="147" t="s">
        <v>20221</v>
      </c>
      <c r="D4387" s="284" t="s">
        <v>897</v>
      </c>
      <c r="E4387" s="178">
        <v>2022</v>
      </c>
      <c r="F4387" s="178" t="s">
        <v>11938</v>
      </c>
      <c r="G4387" s="496"/>
      <c r="H4387" s="994" t="s">
        <v>20224</v>
      </c>
      <c r="I4387" s="11" t="s">
        <v>6082</v>
      </c>
      <c r="J4387" s="1285"/>
      <c r="K4387" s="1285"/>
      <c r="L4387" s="1285"/>
    </row>
    <row r="4388" spans="1:12" ht="11.15" customHeight="1">
      <c r="A4388" s="162" t="s">
        <v>6081</v>
      </c>
      <c r="B4388" s="59" t="s">
        <v>20958</v>
      </c>
      <c r="C4388" s="147" t="s">
        <v>20221</v>
      </c>
      <c r="D4388" s="284" t="s">
        <v>897</v>
      </c>
      <c r="E4388" s="178">
        <v>2013</v>
      </c>
      <c r="F4388" s="178" t="s">
        <v>11938</v>
      </c>
      <c r="G4388" s="496"/>
      <c r="H4388" s="994" t="s">
        <v>20224</v>
      </c>
      <c r="I4388" s="11" t="s">
        <v>6084</v>
      </c>
      <c r="J4388" s="1285"/>
      <c r="K4388" s="1285"/>
      <c r="L4388" s="1285"/>
    </row>
    <row r="4389" spans="1:12" ht="11.15" customHeight="1">
      <c r="A4389" s="162" t="s">
        <v>6083</v>
      </c>
      <c r="B4389" s="177" t="s">
        <v>6086</v>
      </c>
      <c r="C4389" s="147"/>
      <c r="D4389" s="161"/>
      <c r="E4389" s="36"/>
      <c r="F4389" s="178"/>
      <c r="G4389" s="1181"/>
      <c r="H4389" s="36"/>
      <c r="I4389" s="11"/>
    </row>
    <row r="4390" spans="1:12" ht="11.15" customHeight="1">
      <c r="A4390" s="162" t="s">
        <v>6085</v>
      </c>
      <c r="B4390" s="59" t="s">
        <v>20959</v>
      </c>
      <c r="C4390" s="147" t="s">
        <v>20221</v>
      </c>
      <c r="D4390" s="284" t="s">
        <v>897</v>
      </c>
      <c r="E4390" s="178">
        <v>2022</v>
      </c>
      <c r="F4390" s="178" t="s">
        <v>23394</v>
      </c>
      <c r="G4390" s="496"/>
      <c r="H4390" s="994" t="s">
        <v>20224</v>
      </c>
      <c r="I4390" s="11" t="s">
        <v>6087</v>
      </c>
      <c r="J4390" s="1285"/>
      <c r="K4390" s="1285"/>
      <c r="L4390" s="1285"/>
    </row>
    <row r="4391" spans="1:12" ht="11.15" customHeight="1">
      <c r="A4391" s="129" t="s">
        <v>1308</v>
      </c>
      <c r="B4391" s="59" t="s">
        <v>20959</v>
      </c>
      <c r="C4391" s="147" t="s">
        <v>20221</v>
      </c>
      <c r="D4391" s="284" t="s">
        <v>897</v>
      </c>
      <c r="E4391" s="178">
        <v>2021</v>
      </c>
      <c r="F4391" s="178" t="s">
        <v>23394</v>
      </c>
      <c r="G4391" s="496"/>
      <c r="H4391" s="994" t="s">
        <v>20224</v>
      </c>
      <c r="I4391" s="11" t="s">
        <v>6089</v>
      </c>
      <c r="J4391" s="1285"/>
      <c r="K4391" s="1285"/>
      <c r="L4391" s="1285"/>
    </row>
    <row r="4392" spans="1:12" ht="11.15" customHeight="1">
      <c r="A4392" s="162" t="s">
        <v>6088</v>
      </c>
      <c r="B4392" s="59" t="s">
        <v>20959</v>
      </c>
      <c r="C4392" s="147" t="s">
        <v>20221</v>
      </c>
      <c r="D4392" s="284" t="s">
        <v>897</v>
      </c>
      <c r="E4392" s="178">
        <v>2020</v>
      </c>
      <c r="F4392" s="178" t="s">
        <v>23394</v>
      </c>
      <c r="G4392" s="496"/>
      <c r="H4392" s="994" t="s">
        <v>20224</v>
      </c>
      <c r="I4392" s="11" t="s">
        <v>6091</v>
      </c>
      <c r="J4392" s="1285"/>
      <c r="K4392" s="1285"/>
      <c r="L4392" s="1285"/>
    </row>
    <row r="4393" spans="1:12" ht="11.15" customHeight="1">
      <c r="A4393" s="162" t="s">
        <v>6090</v>
      </c>
      <c r="B4393" s="59" t="s">
        <v>20959</v>
      </c>
      <c r="C4393" s="147" t="s">
        <v>20221</v>
      </c>
      <c r="D4393" s="284" t="s">
        <v>897</v>
      </c>
      <c r="E4393" s="178">
        <v>2019</v>
      </c>
      <c r="F4393" s="178" t="s">
        <v>4520</v>
      </c>
      <c r="G4393" s="496"/>
      <c r="H4393" s="994" t="s">
        <v>20221</v>
      </c>
      <c r="I4393" s="11" t="s">
        <v>6093</v>
      </c>
      <c r="J4393" s="1285"/>
      <c r="K4393" s="1285"/>
      <c r="L4393" s="1285"/>
    </row>
    <row r="4394" spans="1:12" ht="11.15" customHeight="1">
      <c r="A4394" s="162" t="s">
        <v>6092</v>
      </c>
      <c r="B4394" s="59" t="s">
        <v>20959</v>
      </c>
      <c r="C4394" s="147" t="s">
        <v>20221</v>
      </c>
      <c r="D4394" s="284" t="s">
        <v>897</v>
      </c>
      <c r="E4394" s="178">
        <v>2017</v>
      </c>
      <c r="F4394" s="178" t="s">
        <v>4520</v>
      </c>
      <c r="G4394" s="496"/>
      <c r="H4394" s="994" t="s">
        <v>20221</v>
      </c>
      <c r="I4394" s="11" t="s">
        <v>6095</v>
      </c>
      <c r="J4394" s="1285"/>
      <c r="K4394" s="1285"/>
      <c r="L4394" s="1285"/>
    </row>
    <row r="4395" spans="1:12" ht="11.15" customHeight="1">
      <c r="A4395" s="162" t="s">
        <v>6094</v>
      </c>
      <c r="B4395" s="59" t="s">
        <v>20959</v>
      </c>
      <c r="C4395" s="147" t="s">
        <v>20221</v>
      </c>
      <c r="D4395" s="284" t="s">
        <v>897</v>
      </c>
      <c r="E4395" s="178">
        <v>2016</v>
      </c>
      <c r="F4395" s="178" t="s">
        <v>4520</v>
      </c>
      <c r="G4395" s="496"/>
      <c r="H4395" s="994" t="s">
        <v>20221</v>
      </c>
      <c r="I4395" s="11" t="s">
        <v>6097</v>
      </c>
      <c r="J4395" s="1285"/>
      <c r="K4395" s="1285"/>
      <c r="L4395" s="1285"/>
    </row>
    <row r="4396" spans="1:12" ht="11.15" customHeight="1">
      <c r="A4396" s="162" t="s">
        <v>6096</v>
      </c>
      <c r="B4396" s="59" t="s">
        <v>20959</v>
      </c>
      <c r="C4396" s="147" t="s">
        <v>20221</v>
      </c>
      <c r="D4396" s="284" t="s">
        <v>897</v>
      </c>
      <c r="E4396" s="178">
        <v>2015</v>
      </c>
      <c r="F4396" s="178" t="s">
        <v>4520</v>
      </c>
      <c r="G4396" s="496"/>
      <c r="H4396" s="994" t="s">
        <v>20221</v>
      </c>
      <c r="I4396" s="11" t="s">
        <v>6099</v>
      </c>
      <c r="J4396" s="1285"/>
      <c r="K4396" s="1285"/>
      <c r="L4396" s="1285"/>
    </row>
    <row r="4397" spans="1:12" ht="11.15" customHeight="1">
      <c r="A4397" s="162" t="s">
        <v>6098</v>
      </c>
      <c r="B4397" s="59" t="s">
        <v>20959</v>
      </c>
      <c r="C4397" s="147" t="s">
        <v>20221</v>
      </c>
      <c r="D4397" s="284" t="s">
        <v>897</v>
      </c>
      <c r="E4397" s="178">
        <v>2014</v>
      </c>
      <c r="F4397" s="178" t="s">
        <v>4520</v>
      </c>
      <c r="G4397" s="496"/>
      <c r="H4397" s="994" t="s">
        <v>20224</v>
      </c>
      <c r="I4397" s="11" t="s">
        <v>6101</v>
      </c>
      <c r="J4397" s="1285"/>
      <c r="K4397" s="1285"/>
      <c r="L4397" s="1285"/>
    </row>
    <row r="4398" spans="1:12" ht="11.15" customHeight="1">
      <c r="A4398" s="162" t="s">
        <v>6100</v>
      </c>
      <c r="B4398" s="59" t="s">
        <v>20959</v>
      </c>
      <c r="C4398" s="147" t="s">
        <v>20221</v>
      </c>
      <c r="D4398" s="284" t="s">
        <v>897</v>
      </c>
      <c r="E4398" s="178">
        <v>2013</v>
      </c>
      <c r="F4398" s="178" t="s">
        <v>4520</v>
      </c>
      <c r="G4398" s="496"/>
      <c r="H4398" s="994" t="s">
        <v>20221</v>
      </c>
      <c r="I4398" s="11" t="s">
        <v>6103</v>
      </c>
      <c r="J4398" s="1285"/>
      <c r="K4398" s="1285"/>
      <c r="L4398" s="1285"/>
    </row>
    <row r="4399" spans="1:12" ht="11.15" customHeight="1">
      <c r="A4399" s="162" t="s">
        <v>6102</v>
      </c>
      <c r="B4399" s="59" t="s">
        <v>20960</v>
      </c>
      <c r="C4399" s="147" t="s">
        <v>20221</v>
      </c>
      <c r="D4399" s="284" t="s">
        <v>897</v>
      </c>
      <c r="E4399" s="178">
        <v>2014</v>
      </c>
      <c r="F4399" s="178" t="s">
        <v>11931</v>
      </c>
      <c r="G4399" s="496"/>
      <c r="H4399" s="994" t="s">
        <v>20224</v>
      </c>
      <c r="I4399" s="11" t="s">
        <v>6105</v>
      </c>
      <c r="J4399" s="1285"/>
      <c r="K4399" s="1285"/>
      <c r="L4399" s="1285"/>
    </row>
    <row r="4400" spans="1:12" ht="11.15" customHeight="1">
      <c r="A4400" s="162" t="s">
        <v>6104</v>
      </c>
      <c r="B4400" s="59" t="s">
        <v>20961</v>
      </c>
      <c r="C4400" s="147" t="s">
        <v>20221</v>
      </c>
      <c r="D4400" s="284" t="s">
        <v>897</v>
      </c>
      <c r="E4400" s="178">
        <v>2022</v>
      </c>
      <c r="F4400" s="178" t="s">
        <v>11938</v>
      </c>
      <c r="G4400" s="496"/>
      <c r="H4400" s="994" t="s">
        <v>20224</v>
      </c>
      <c r="I4400" s="11" t="s">
        <v>6107</v>
      </c>
      <c r="J4400" s="1285"/>
      <c r="K4400" s="1285"/>
      <c r="L4400" s="1285"/>
    </row>
    <row r="4401" spans="1:12" ht="11.15" customHeight="1">
      <c r="A4401" s="162" t="s">
        <v>6106</v>
      </c>
      <c r="B4401" s="177" t="s">
        <v>6109</v>
      </c>
      <c r="C4401" s="147"/>
      <c r="D4401" s="161"/>
      <c r="E4401" s="36"/>
      <c r="F4401" s="183"/>
      <c r="G4401" s="1181"/>
      <c r="H4401" s="34"/>
      <c r="I4401" s="11"/>
    </row>
    <row r="4402" spans="1:12" ht="11.15" customHeight="1">
      <c r="A4402" s="162" t="s">
        <v>6108</v>
      </c>
      <c r="B4402" s="59" t="s">
        <v>20962</v>
      </c>
      <c r="C4402" s="147" t="s">
        <v>20221</v>
      </c>
      <c r="D4402" s="284" t="s">
        <v>897</v>
      </c>
      <c r="E4402" s="178">
        <v>2022</v>
      </c>
      <c r="F4402" s="178" t="s">
        <v>23394</v>
      </c>
      <c r="G4402" s="496"/>
      <c r="H4402" s="994" t="s">
        <v>20221</v>
      </c>
      <c r="I4402" s="11" t="s">
        <v>6111</v>
      </c>
      <c r="J4402" s="1285"/>
      <c r="K4402" s="1285"/>
      <c r="L4402" s="1285"/>
    </row>
    <row r="4403" spans="1:12" ht="11.15" customHeight="1">
      <c r="A4403" s="162" t="s">
        <v>6110</v>
      </c>
      <c r="B4403" s="59" t="s">
        <v>20962</v>
      </c>
      <c r="C4403" s="147" t="s">
        <v>20221</v>
      </c>
      <c r="D4403" s="284" t="s">
        <v>897</v>
      </c>
      <c r="E4403" s="178">
        <v>2021</v>
      </c>
      <c r="F4403" s="178" t="s">
        <v>23394</v>
      </c>
      <c r="G4403" s="496"/>
      <c r="H4403" s="994" t="s">
        <v>20221</v>
      </c>
      <c r="I4403" s="11" t="s">
        <v>6113</v>
      </c>
      <c r="J4403" s="1285"/>
      <c r="K4403" s="1285"/>
      <c r="L4403" s="1285"/>
    </row>
    <row r="4404" spans="1:12" ht="11.15" customHeight="1">
      <c r="A4404" s="162" t="s">
        <v>6112</v>
      </c>
      <c r="B4404" s="59" t="s">
        <v>20962</v>
      </c>
      <c r="C4404" s="147" t="s">
        <v>20221</v>
      </c>
      <c r="D4404" s="284" t="s">
        <v>897</v>
      </c>
      <c r="E4404" s="178">
        <v>2020</v>
      </c>
      <c r="F4404" s="178" t="s">
        <v>23394</v>
      </c>
      <c r="G4404" s="496"/>
      <c r="H4404" s="994" t="s">
        <v>20221</v>
      </c>
      <c r="I4404" s="11" t="s">
        <v>6115</v>
      </c>
      <c r="J4404" s="1285"/>
      <c r="K4404" s="1285"/>
      <c r="L4404" s="1285"/>
    </row>
    <row r="4405" spans="1:12" ht="11.15" customHeight="1">
      <c r="A4405" s="162" t="s">
        <v>6114</v>
      </c>
      <c r="B4405" s="59" t="s">
        <v>20962</v>
      </c>
      <c r="C4405" s="147" t="s">
        <v>20221</v>
      </c>
      <c r="D4405" s="284" t="s">
        <v>897</v>
      </c>
      <c r="E4405" s="178">
        <v>2019</v>
      </c>
      <c r="F4405" s="178" t="s">
        <v>4520</v>
      </c>
      <c r="G4405" s="496"/>
      <c r="H4405" s="994" t="s">
        <v>20221</v>
      </c>
      <c r="I4405" s="11" t="s">
        <v>6116</v>
      </c>
      <c r="J4405" s="1285"/>
      <c r="K4405" s="1285"/>
      <c r="L4405" s="1285"/>
    </row>
    <row r="4406" spans="1:12" ht="11.15" customHeight="1">
      <c r="A4406" s="29" t="s">
        <v>3647</v>
      </c>
      <c r="B4406" s="59" t="s">
        <v>20962</v>
      </c>
      <c r="C4406" s="147" t="s">
        <v>20221</v>
      </c>
      <c r="D4406" s="284" t="s">
        <v>897</v>
      </c>
      <c r="E4406" s="178">
        <v>2018</v>
      </c>
      <c r="F4406" s="178" t="s">
        <v>4520</v>
      </c>
      <c r="G4406" s="496"/>
      <c r="H4406" s="994" t="s">
        <v>20221</v>
      </c>
      <c r="I4406" s="11" t="s">
        <v>6118</v>
      </c>
      <c r="J4406" s="1285"/>
      <c r="K4406" s="1285"/>
      <c r="L4406" s="1285"/>
    </row>
    <row r="4407" spans="1:12" ht="11.15" customHeight="1">
      <c r="A4407" s="129" t="s">
        <v>6117</v>
      </c>
      <c r="B4407" s="59" t="s">
        <v>20962</v>
      </c>
      <c r="C4407" s="147" t="s">
        <v>20221</v>
      </c>
      <c r="D4407" s="284" t="s">
        <v>897</v>
      </c>
      <c r="E4407" s="178">
        <v>2017</v>
      </c>
      <c r="F4407" s="178" t="s">
        <v>4520</v>
      </c>
      <c r="G4407" s="496"/>
      <c r="H4407" s="994" t="s">
        <v>20221</v>
      </c>
      <c r="I4407" s="11" t="s">
        <v>6120</v>
      </c>
      <c r="J4407" s="1285"/>
      <c r="K4407" s="1285"/>
      <c r="L4407" s="1285"/>
    </row>
    <row r="4408" spans="1:12" ht="11.15" customHeight="1">
      <c r="A4408" s="424" t="s">
        <v>6119</v>
      </c>
      <c r="B4408" s="59" t="s">
        <v>20962</v>
      </c>
      <c r="C4408" s="147" t="s">
        <v>20221</v>
      </c>
      <c r="D4408" s="284" t="s">
        <v>897</v>
      </c>
      <c r="E4408" s="178">
        <v>2015</v>
      </c>
      <c r="F4408" s="178" t="s">
        <v>4520</v>
      </c>
      <c r="G4408" s="496"/>
      <c r="H4408" s="994" t="s">
        <v>20221</v>
      </c>
      <c r="I4408" s="11" t="s">
        <v>6121</v>
      </c>
      <c r="J4408" s="1285"/>
      <c r="K4408" s="1285"/>
      <c r="L4408" s="1285"/>
    </row>
    <row r="4409" spans="1:12" ht="11.15" customHeight="1">
      <c r="B4409" s="59" t="s">
        <v>20962</v>
      </c>
      <c r="C4409" s="147" t="s">
        <v>20221</v>
      </c>
      <c r="D4409" s="284" t="s">
        <v>897</v>
      </c>
      <c r="E4409" s="178">
        <v>2014</v>
      </c>
      <c r="F4409" s="178" t="s">
        <v>4520</v>
      </c>
      <c r="G4409" s="496"/>
      <c r="H4409" s="994" t="s">
        <v>20224</v>
      </c>
      <c r="I4409" s="11" t="s">
        <v>6122</v>
      </c>
      <c r="J4409" s="1285"/>
      <c r="K4409" s="1285"/>
      <c r="L4409" s="1285"/>
    </row>
    <row r="4410" spans="1:12" ht="11.15" customHeight="1">
      <c r="A4410" s="29"/>
      <c r="B4410" s="59" t="s">
        <v>20962</v>
      </c>
      <c r="C4410" s="147" t="s">
        <v>20221</v>
      </c>
      <c r="D4410" s="284" t="s">
        <v>897</v>
      </c>
      <c r="E4410" s="178">
        <v>2013</v>
      </c>
      <c r="F4410" s="178" t="s">
        <v>4520</v>
      </c>
      <c r="G4410" s="496"/>
      <c r="H4410" s="994" t="s">
        <v>20224</v>
      </c>
      <c r="I4410" s="11" t="s">
        <v>6123</v>
      </c>
      <c r="J4410" s="1285"/>
      <c r="K4410" s="1285"/>
      <c r="L4410" s="1285"/>
    </row>
    <row r="4411" spans="1:12" ht="11.15" customHeight="1">
      <c r="A4411" s="185"/>
      <c r="B4411" s="59" t="s">
        <v>20962</v>
      </c>
      <c r="C4411" s="147" t="s">
        <v>20221</v>
      </c>
      <c r="D4411" s="284" t="s">
        <v>897</v>
      </c>
      <c r="E4411" s="178">
        <v>2011</v>
      </c>
      <c r="F4411" s="178" t="s">
        <v>4520</v>
      </c>
      <c r="G4411" s="496"/>
      <c r="H4411" s="994" t="s">
        <v>20224</v>
      </c>
      <c r="I4411" s="11" t="s">
        <v>6124</v>
      </c>
      <c r="J4411" s="1285"/>
      <c r="K4411" s="1285"/>
      <c r="L4411" s="1285"/>
    </row>
    <row r="4412" spans="1:12" ht="11.15" customHeight="1">
      <c r="A4412" s="185"/>
      <c r="B4412" s="59" t="s">
        <v>20963</v>
      </c>
      <c r="C4412" s="147" t="s">
        <v>20221</v>
      </c>
      <c r="D4412" s="284" t="s">
        <v>897</v>
      </c>
      <c r="E4412" s="178">
        <v>2022</v>
      </c>
      <c r="F4412" s="178" t="s">
        <v>11938</v>
      </c>
      <c r="G4412" s="496"/>
      <c r="H4412" s="994" t="s">
        <v>20224</v>
      </c>
      <c r="I4412" s="11" t="s">
        <v>6125</v>
      </c>
      <c r="J4412" s="1285"/>
      <c r="K4412" s="1285"/>
      <c r="L4412" s="1285"/>
    </row>
    <row r="4413" spans="1:12" ht="11.15" customHeight="1">
      <c r="A4413" s="185"/>
      <c r="B4413" s="177" t="s">
        <v>6126</v>
      </c>
      <c r="C4413" s="147"/>
      <c r="D4413" s="161"/>
      <c r="E4413" s="36"/>
      <c r="F4413" s="183"/>
      <c r="G4413" s="1181"/>
      <c r="H4413" s="34"/>
      <c r="I4413" s="11"/>
    </row>
    <row r="4414" spans="1:12" ht="11.15" customHeight="1">
      <c r="A4414" s="185"/>
      <c r="B4414" s="59" t="s">
        <v>20964</v>
      </c>
      <c r="C4414" s="147" t="s">
        <v>20221</v>
      </c>
      <c r="D4414" s="284" t="s">
        <v>897</v>
      </c>
      <c r="E4414" s="178">
        <v>2022</v>
      </c>
      <c r="F4414" s="178" t="s">
        <v>23394</v>
      </c>
      <c r="G4414" s="496"/>
      <c r="H4414" s="994" t="s">
        <v>20224</v>
      </c>
      <c r="I4414" s="11" t="s">
        <v>6127</v>
      </c>
      <c r="J4414" s="1285"/>
      <c r="K4414" s="1285"/>
      <c r="L4414" s="1285"/>
    </row>
    <row r="4415" spans="1:12" ht="11.15" customHeight="1">
      <c r="A4415" s="185"/>
      <c r="B4415" s="59" t="s">
        <v>20964</v>
      </c>
      <c r="C4415" s="147" t="s">
        <v>20221</v>
      </c>
      <c r="D4415" s="284" t="s">
        <v>897</v>
      </c>
      <c r="E4415" s="178">
        <v>2021</v>
      </c>
      <c r="F4415" s="178" t="s">
        <v>23394</v>
      </c>
      <c r="G4415" s="496"/>
      <c r="H4415" s="994" t="s">
        <v>20224</v>
      </c>
      <c r="I4415" s="11" t="s">
        <v>6128</v>
      </c>
      <c r="J4415" s="1285"/>
      <c r="K4415" s="1285"/>
      <c r="L4415" s="1285"/>
    </row>
    <row r="4416" spans="1:12" ht="11.15" customHeight="1">
      <c r="A4416" s="185"/>
      <c r="B4416" s="59" t="s">
        <v>20964</v>
      </c>
      <c r="C4416" s="147" t="s">
        <v>20221</v>
      </c>
      <c r="D4416" s="284" t="s">
        <v>897</v>
      </c>
      <c r="E4416" s="178">
        <v>2020</v>
      </c>
      <c r="F4416" s="178" t="s">
        <v>23394</v>
      </c>
      <c r="G4416" s="496"/>
      <c r="H4416" s="994" t="s">
        <v>20224</v>
      </c>
      <c r="I4416" s="11" t="s">
        <v>6129</v>
      </c>
      <c r="J4416" s="1285"/>
      <c r="K4416" s="1285"/>
      <c r="L4416" s="1285"/>
    </row>
    <row r="4417" spans="1:12" ht="11.15" customHeight="1">
      <c r="A4417" s="185"/>
      <c r="B4417" s="59" t="s">
        <v>20964</v>
      </c>
      <c r="C4417" s="147" t="s">
        <v>20221</v>
      </c>
      <c r="D4417" s="284" t="s">
        <v>897</v>
      </c>
      <c r="E4417" s="178">
        <v>2019</v>
      </c>
      <c r="F4417" s="178" t="s">
        <v>4520</v>
      </c>
      <c r="G4417" s="496"/>
      <c r="H4417" s="994" t="s">
        <v>20224</v>
      </c>
      <c r="I4417" s="11" t="s">
        <v>6130</v>
      </c>
      <c r="J4417" s="1285"/>
      <c r="K4417" s="1285"/>
      <c r="L4417" s="1285"/>
    </row>
    <row r="4418" spans="1:12" ht="11.15" customHeight="1">
      <c r="A4418" s="185"/>
      <c r="B4418" s="59" t="s">
        <v>20964</v>
      </c>
      <c r="C4418" s="147" t="s">
        <v>20221</v>
      </c>
      <c r="D4418" s="284" t="s">
        <v>897</v>
      </c>
      <c r="E4418" s="178">
        <v>2018</v>
      </c>
      <c r="F4418" s="178" t="s">
        <v>4520</v>
      </c>
      <c r="G4418" s="496"/>
      <c r="H4418" s="994" t="s">
        <v>20221</v>
      </c>
      <c r="I4418" s="11" t="s">
        <v>6131</v>
      </c>
      <c r="J4418" s="1285"/>
      <c r="K4418" s="1285"/>
      <c r="L4418" s="1285"/>
    </row>
    <row r="4419" spans="1:12" ht="11.15" customHeight="1">
      <c r="A4419" s="162"/>
      <c r="B4419" s="59" t="s">
        <v>20964</v>
      </c>
      <c r="C4419" s="147" t="s">
        <v>20221</v>
      </c>
      <c r="D4419" s="284" t="s">
        <v>897</v>
      </c>
      <c r="E4419" s="178">
        <v>2017</v>
      </c>
      <c r="F4419" s="178" t="s">
        <v>4520</v>
      </c>
      <c r="G4419" s="496"/>
      <c r="H4419" s="994" t="s">
        <v>20224</v>
      </c>
      <c r="I4419" s="11" t="s">
        <v>6132</v>
      </c>
      <c r="J4419" s="1285"/>
      <c r="K4419" s="1285"/>
      <c r="L4419" s="1285"/>
    </row>
    <row r="4420" spans="1:12" ht="11.15" customHeight="1">
      <c r="A4420" s="185"/>
      <c r="B4420" s="59" t="s">
        <v>20965</v>
      </c>
      <c r="C4420" s="147" t="s">
        <v>20221</v>
      </c>
      <c r="D4420" s="284" t="s">
        <v>897</v>
      </c>
      <c r="E4420" s="178">
        <v>2008</v>
      </c>
      <c r="F4420" s="178" t="s">
        <v>11931</v>
      </c>
      <c r="G4420" s="496"/>
      <c r="H4420" s="994" t="s">
        <v>20224</v>
      </c>
      <c r="I4420" s="11" t="s">
        <v>6133</v>
      </c>
      <c r="J4420" s="1285"/>
      <c r="K4420" s="1285"/>
      <c r="L4420" s="1285"/>
    </row>
    <row r="4421" spans="1:12" ht="11.15" customHeight="1">
      <c r="A4421" s="185"/>
      <c r="B4421" s="59" t="s">
        <v>20965</v>
      </c>
      <c r="C4421" s="147" t="s">
        <v>20221</v>
      </c>
      <c r="D4421" s="284" t="s">
        <v>897</v>
      </c>
      <c r="E4421" s="178">
        <v>2007</v>
      </c>
      <c r="F4421" s="178" t="s">
        <v>11931</v>
      </c>
      <c r="G4421" s="496"/>
      <c r="H4421" s="994" t="s">
        <v>20224</v>
      </c>
      <c r="I4421" s="11" t="s">
        <v>6134</v>
      </c>
      <c r="J4421" s="1285"/>
      <c r="K4421" s="1285"/>
      <c r="L4421" s="1285"/>
    </row>
    <row r="4422" spans="1:12" ht="11.15" customHeight="1">
      <c r="A4422" s="454"/>
      <c r="B4422" s="90"/>
      <c r="C4422" s="147"/>
      <c r="D4422" s="161"/>
      <c r="E4422" s="36"/>
      <c r="F4422" s="178"/>
      <c r="G4422" s="60"/>
      <c r="H4422" s="36"/>
      <c r="I4422" s="11"/>
    </row>
    <row r="4423" spans="1:12" ht="11.15" customHeight="1" thickBot="1">
      <c r="A4423" s="454"/>
      <c r="B4423" s="150" t="s">
        <v>6135</v>
      </c>
      <c r="C4423" s="147"/>
      <c r="D4423" s="161"/>
      <c r="E4423" s="36"/>
      <c r="F4423" s="178"/>
      <c r="G4423" s="60"/>
      <c r="H4423" s="36"/>
      <c r="I4423" s="11"/>
    </row>
    <row r="4424" spans="1:12" ht="11.15" customHeight="1" thickBot="1">
      <c r="A4424" s="184" t="s">
        <v>4090</v>
      </c>
      <c r="B4424" s="59" t="s">
        <v>20966</v>
      </c>
      <c r="C4424" s="147" t="s">
        <v>20221</v>
      </c>
      <c r="D4424" s="284" t="s">
        <v>897</v>
      </c>
      <c r="E4424" s="178">
        <v>2021</v>
      </c>
      <c r="F4424" s="178" t="s">
        <v>4520</v>
      </c>
      <c r="G4424" s="496"/>
      <c r="H4424" s="994" t="s">
        <v>20221</v>
      </c>
      <c r="I4424" s="11" t="s">
        <v>6136</v>
      </c>
      <c r="J4424" s="1285"/>
      <c r="K4424" s="1285"/>
      <c r="L4424" s="1285"/>
    </row>
    <row r="4425" spans="1:12" ht="11.15" customHeight="1">
      <c r="A4425" s="29" t="s">
        <v>6137</v>
      </c>
      <c r="B4425" s="59" t="s">
        <v>20966</v>
      </c>
      <c r="C4425" s="147" t="s">
        <v>20221</v>
      </c>
      <c r="D4425" s="284" t="s">
        <v>897</v>
      </c>
      <c r="E4425" s="178">
        <v>2020</v>
      </c>
      <c r="F4425" s="178" t="s">
        <v>4520</v>
      </c>
      <c r="G4425" s="496"/>
      <c r="H4425" s="994" t="s">
        <v>20221</v>
      </c>
      <c r="I4425" s="11" t="s">
        <v>6138</v>
      </c>
      <c r="J4425" s="1285"/>
      <c r="K4425" s="1285"/>
      <c r="L4425" s="1285"/>
    </row>
    <row r="4426" spans="1:12" ht="11.15" customHeight="1">
      <c r="A4426" s="29" t="s">
        <v>6139</v>
      </c>
      <c r="B4426" s="59" t="s">
        <v>20967</v>
      </c>
      <c r="C4426" s="147" t="s">
        <v>20221</v>
      </c>
      <c r="D4426" s="284" t="s">
        <v>897</v>
      </c>
      <c r="E4426" s="178">
        <v>2021</v>
      </c>
      <c r="F4426" s="178" t="s">
        <v>4520</v>
      </c>
      <c r="G4426" s="496"/>
      <c r="H4426" s="994" t="s">
        <v>20221</v>
      </c>
      <c r="I4426" s="11" t="s">
        <v>6140</v>
      </c>
      <c r="J4426" s="1285"/>
      <c r="K4426" s="1285"/>
      <c r="L4426" s="1285"/>
    </row>
    <row r="4427" spans="1:12" ht="11.15" customHeight="1">
      <c r="A4427" s="195" t="s">
        <v>6141</v>
      </c>
      <c r="B4427" s="59" t="s">
        <v>20967</v>
      </c>
      <c r="C4427" s="147" t="s">
        <v>20221</v>
      </c>
      <c r="D4427" s="284" t="s">
        <v>897</v>
      </c>
      <c r="E4427" s="178">
        <v>2020</v>
      </c>
      <c r="F4427" s="178" t="s">
        <v>4520</v>
      </c>
      <c r="G4427" s="496"/>
      <c r="H4427" s="994" t="s">
        <v>20221</v>
      </c>
      <c r="I4427" s="11" t="s">
        <v>6142</v>
      </c>
      <c r="J4427" s="1285"/>
      <c r="K4427" s="1285"/>
      <c r="L4427" s="1285"/>
    </row>
    <row r="4428" spans="1:12" ht="11.15" customHeight="1">
      <c r="A4428" s="272" t="s">
        <v>6143</v>
      </c>
      <c r="B4428" s="59" t="s">
        <v>20967</v>
      </c>
      <c r="C4428" s="147" t="s">
        <v>20221</v>
      </c>
      <c r="D4428" s="284" t="s">
        <v>897</v>
      </c>
      <c r="E4428" s="178">
        <v>2013</v>
      </c>
      <c r="F4428" s="178" t="s">
        <v>4520</v>
      </c>
      <c r="G4428" s="496"/>
      <c r="H4428" s="994" t="s">
        <v>20224</v>
      </c>
      <c r="I4428" s="11" t="s">
        <v>6144</v>
      </c>
      <c r="J4428" s="1285"/>
      <c r="K4428" s="1285"/>
      <c r="L4428" s="1285"/>
    </row>
    <row r="4429" spans="1:12" ht="11.15" customHeight="1">
      <c r="A4429" s="29" t="s">
        <v>6145</v>
      </c>
      <c r="B4429" s="59" t="s">
        <v>20968</v>
      </c>
      <c r="C4429" s="147" t="s">
        <v>20221</v>
      </c>
      <c r="D4429" s="284" t="s">
        <v>897</v>
      </c>
      <c r="E4429" s="178">
        <v>2021</v>
      </c>
      <c r="F4429" s="178" t="s">
        <v>23394</v>
      </c>
      <c r="G4429" s="496"/>
      <c r="H4429" s="994" t="s">
        <v>20221</v>
      </c>
      <c r="I4429" s="11" t="s">
        <v>6146</v>
      </c>
      <c r="J4429" s="1285"/>
      <c r="K4429" s="1285"/>
      <c r="L4429" s="1285"/>
    </row>
    <row r="4430" spans="1:12" ht="11.15" customHeight="1">
      <c r="A4430" s="29" t="s">
        <v>6147</v>
      </c>
      <c r="B4430" s="59" t="s">
        <v>20968</v>
      </c>
      <c r="C4430" s="147" t="s">
        <v>20221</v>
      </c>
      <c r="D4430" s="284" t="s">
        <v>897</v>
      </c>
      <c r="E4430" s="178">
        <v>2020</v>
      </c>
      <c r="F4430" s="178" t="s">
        <v>4520</v>
      </c>
      <c r="G4430" s="496"/>
      <c r="H4430" s="994" t="s">
        <v>20221</v>
      </c>
      <c r="I4430" s="11" t="s">
        <v>6148</v>
      </c>
      <c r="J4430" s="1285"/>
      <c r="K4430" s="1285"/>
      <c r="L4430" s="1285"/>
    </row>
    <row r="4431" spans="1:12" ht="11.15" customHeight="1">
      <c r="A4431" s="181" t="s">
        <v>2377</v>
      </c>
      <c r="B4431" s="59" t="s">
        <v>20969</v>
      </c>
      <c r="C4431" s="147" t="s">
        <v>20221</v>
      </c>
      <c r="D4431" s="284" t="s">
        <v>897</v>
      </c>
      <c r="E4431" s="178" t="s">
        <v>19075</v>
      </c>
      <c r="F4431" s="178" t="s">
        <v>9678</v>
      </c>
      <c r="G4431" s="496"/>
      <c r="H4431" s="994" t="s">
        <v>20224</v>
      </c>
      <c r="I4431" s="11" t="s">
        <v>6149</v>
      </c>
      <c r="J4431" s="1285"/>
      <c r="K4431" s="1285"/>
      <c r="L4431" s="1285"/>
    </row>
    <row r="4432" spans="1:12" ht="11.15" customHeight="1">
      <c r="A4432" s="218" t="s">
        <v>6150</v>
      </c>
      <c r="B4432" s="59" t="s">
        <v>20970</v>
      </c>
      <c r="C4432" s="147" t="s">
        <v>20221</v>
      </c>
      <c r="D4432" s="284" t="s">
        <v>897</v>
      </c>
      <c r="E4432" s="178">
        <v>2021</v>
      </c>
      <c r="F4432" s="178" t="s">
        <v>4520</v>
      </c>
      <c r="G4432" s="496"/>
      <c r="H4432" s="994" t="s">
        <v>20221</v>
      </c>
      <c r="I4432" s="11" t="s">
        <v>6151</v>
      </c>
      <c r="J4432" s="1285"/>
      <c r="K4432" s="1285"/>
      <c r="L4432" s="1285"/>
    </row>
    <row r="4433" spans="1:12" ht="11.15" customHeight="1">
      <c r="A4433" s="181" t="s">
        <v>6152</v>
      </c>
      <c r="B4433" s="59" t="s">
        <v>20971</v>
      </c>
      <c r="C4433" s="147" t="s">
        <v>20221</v>
      </c>
      <c r="D4433" s="284" t="s">
        <v>897</v>
      </c>
      <c r="E4433" s="178">
        <v>2021</v>
      </c>
      <c r="F4433" s="178" t="s">
        <v>4520</v>
      </c>
      <c r="G4433" s="496"/>
      <c r="H4433" s="994" t="s">
        <v>20221</v>
      </c>
      <c r="I4433" s="11" t="s">
        <v>6153</v>
      </c>
      <c r="J4433" s="1285"/>
      <c r="K4433" s="1285"/>
      <c r="L4433" s="1285"/>
    </row>
    <row r="4434" spans="1:12" ht="11.15" customHeight="1">
      <c r="A4434" s="455" t="s">
        <v>6154</v>
      </c>
      <c r="B4434" s="59" t="s">
        <v>20971</v>
      </c>
      <c r="C4434" s="147" t="s">
        <v>20221</v>
      </c>
      <c r="D4434" s="284" t="s">
        <v>897</v>
      </c>
      <c r="E4434" s="178">
        <v>2020</v>
      </c>
      <c r="F4434" s="178" t="s">
        <v>4520</v>
      </c>
      <c r="G4434" s="496"/>
      <c r="H4434" s="994" t="s">
        <v>20221</v>
      </c>
      <c r="I4434" s="11" t="s">
        <v>6155</v>
      </c>
      <c r="J4434" s="1285"/>
      <c r="K4434" s="1285"/>
      <c r="L4434" s="1285"/>
    </row>
    <row r="4435" spans="1:12" ht="11.15" customHeight="1">
      <c r="A4435" s="291" t="s">
        <v>6156</v>
      </c>
      <c r="B4435" s="59" t="s">
        <v>20972</v>
      </c>
      <c r="C4435" s="147" t="s">
        <v>20221</v>
      </c>
      <c r="D4435" s="284" t="s">
        <v>897</v>
      </c>
      <c r="E4435" s="178">
        <v>2020</v>
      </c>
      <c r="F4435" s="178" t="s">
        <v>23394</v>
      </c>
      <c r="G4435" s="496"/>
      <c r="H4435" s="994" t="s">
        <v>20224</v>
      </c>
      <c r="I4435" s="11" t="s">
        <v>6157</v>
      </c>
      <c r="J4435" s="1285"/>
      <c r="K4435" s="1285"/>
      <c r="L4435" s="1285"/>
    </row>
    <row r="4436" spans="1:12" ht="11.15" customHeight="1">
      <c r="A4436" s="291" t="s">
        <v>6158</v>
      </c>
      <c r="B4436" s="59" t="s">
        <v>20973</v>
      </c>
      <c r="C4436" s="147" t="s">
        <v>20221</v>
      </c>
      <c r="D4436" s="284" t="s">
        <v>897</v>
      </c>
      <c r="E4436" s="178">
        <v>2020</v>
      </c>
      <c r="F4436" s="178" t="s">
        <v>23394</v>
      </c>
      <c r="G4436" s="496"/>
      <c r="H4436" s="994" t="s">
        <v>20224</v>
      </c>
      <c r="I4436" s="11" t="s">
        <v>6159</v>
      </c>
      <c r="J4436" s="1285"/>
      <c r="K4436" s="1285"/>
      <c r="L4436" s="1285"/>
    </row>
    <row r="4437" spans="1:12" ht="11.15" customHeight="1">
      <c r="A4437" s="456" t="s">
        <v>6160</v>
      </c>
      <c r="B4437" s="59" t="s">
        <v>20974</v>
      </c>
      <c r="C4437" s="147" t="s">
        <v>20221</v>
      </c>
      <c r="D4437" s="284" t="s">
        <v>897</v>
      </c>
      <c r="E4437" s="178">
        <v>2021</v>
      </c>
      <c r="F4437" s="178" t="s">
        <v>23394</v>
      </c>
      <c r="G4437" s="496"/>
      <c r="H4437" s="994" t="s">
        <v>20224</v>
      </c>
      <c r="I4437" s="11" t="s">
        <v>6161</v>
      </c>
      <c r="J4437" s="1285"/>
      <c r="K4437" s="1285"/>
      <c r="L4437" s="1285"/>
    </row>
    <row r="4438" spans="1:12" ht="11.15" customHeight="1">
      <c r="A4438" s="355" t="s">
        <v>6162</v>
      </c>
      <c r="B4438" s="59" t="s">
        <v>20974</v>
      </c>
      <c r="C4438" s="147" t="s">
        <v>20221</v>
      </c>
      <c r="D4438" s="284" t="s">
        <v>897</v>
      </c>
      <c r="E4438" s="178">
        <v>2020</v>
      </c>
      <c r="F4438" s="178" t="s">
        <v>23394</v>
      </c>
      <c r="G4438" s="496"/>
      <c r="H4438" s="994" t="s">
        <v>20224</v>
      </c>
      <c r="I4438" s="11" t="s">
        <v>6163</v>
      </c>
      <c r="J4438" s="1285"/>
      <c r="K4438" s="1285"/>
      <c r="L4438" s="1285"/>
    </row>
    <row r="4439" spans="1:12" ht="11.15" customHeight="1">
      <c r="A4439" s="291" t="s">
        <v>6164</v>
      </c>
      <c r="B4439" s="59" t="s">
        <v>20975</v>
      </c>
      <c r="C4439" s="147" t="s">
        <v>20221</v>
      </c>
      <c r="D4439" s="284" t="s">
        <v>897</v>
      </c>
      <c r="E4439" s="178">
        <v>2021</v>
      </c>
      <c r="F4439" s="178" t="s">
        <v>23394</v>
      </c>
      <c r="G4439" s="496"/>
      <c r="H4439" s="994" t="s">
        <v>20221</v>
      </c>
      <c r="I4439" s="11" t="s">
        <v>6165</v>
      </c>
      <c r="J4439" s="1285"/>
      <c r="K4439" s="1285"/>
      <c r="L4439" s="1285"/>
    </row>
    <row r="4440" spans="1:12" ht="11.15" customHeight="1">
      <c r="A4440" s="291" t="s">
        <v>6166</v>
      </c>
      <c r="B4440" s="59" t="s">
        <v>20975</v>
      </c>
      <c r="C4440" s="147" t="s">
        <v>20221</v>
      </c>
      <c r="D4440" s="284" t="s">
        <v>897</v>
      </c>
      <c r="E4440" s="178">
        <v>2020</v>
      </c>
      <c r="F4440" s="178" t="s">
        <v>23394</v>
      </c>
      <c r="G4440" s="496"/>
      <c r="H4440" s="994" t="s">
        <v>20224</v>
      </c>
      <c r="I4440" s="11" t="s">
        <v>6167</v>
      </c>
      <c r="J4440" s="1285"/>
      <c r="K4440" s="1285"/>
      <c r="L4440" s="1285"/>
    </row>
    <row r="4441" spans="1:12" ht="11.15" customHeight="1">
      <c r="A4441" s="291" t="s">
        <v>6168</v>
      </c>
      <c r="B4441" s="185"/>
      <c r="C4441" s="147"/>
      <c r="D4441" s="122"/>
      <c r="E4441" s="36"/>
      <c r="F4441" s="178"/>
      <c r="G4441" s="453"/>
      <c r="H4441" s="36"/>
      <c r="I4441" s="11"/>
    </row>
    <row r="4442" spans="1:12" ht="11.15" customHeight="1">
      <c r="A4442" s="291" t="s">
        <v>6169</v>
      </c>
      <c r="B4442" s="90"/>
      <c r="C4442" s="147"/>
      <c r="D4442" s="122"/>
      <c r="E4442" s="36"/>
      <c r="F4442" s="178"/>
      <c r="G4442" s="453"/>
      <c r="H4442" s="36"/>
      <c r="I4442" s="11"/>
    </row>
    <row r="4443" spans="1:12" ht="11.15" customHeight="1">
      <c r="A4443" s="291" t="s">
        <v>6170</v>
      </c>
      <c r="B4443" s="90"/>
      <c r="C4443" s="147"/>
      <c r="D4443" s="122"/>
      <c r="E4443" s="36"/>
      <c r="F4443" s="178"/>
      <c r="G4443" s="453"/>
      <c r="H4443" s="36"/>
      <c r="I4443" s="11"/>
    </row>
    <row r="4444" spans="1:12" ht="9.75" customHeight="1">
      <c r="A4444" s="162" t="s">
        <v>6171</v>
      </c>
      <c r="B4444" s="90"/>
      <c r="C4444" s="147"/>
      <c r="D4444" s="122"/>
      <c r="E4444" s="36"/>
      <c r="F4444" s="178"/>
      <c r="G4444" s="453"/>
      <c r="H4444" s="36"/>
      <c r="I4444" s="11"/>
    </row>
    <row r="4445" spans="1:12" ht="11.15" customHeight="1">
      <c r="A4445" s="162" t="s">
        <v>6172</v>
      </c>
      <c r="B4445" s="90"/>
      <c r="C4445" s="147"/>
      <c r="D4445" s="161"/>
      <c r="E4445" s="36"/>
      <c r="F4445" s="178"/>
      <c r="G4445" s="671"/>
      <c r="H4445" s="36"/>
      <c r="I4445" s="11"/>
    </row>
    <row r="4446" spans="1:12" ht="11.15" customHeight="1">
      <c r="A4446" s="29" t="s">
        <v>4848</v>
      </c>
      <c r="B4446" s="90"/>
      <c r="C4446" s="147"/>
      <c r="D4446" s="161"/>
      <c r="E4446" s="36"/>
      <c r="F4446" s="178"/>
      <c r="G4446" s="671"/>
      <c r="H4446" s="36"/>
      <c r="I4446" s="11"/>
    </row>
    <row r="4447" spans="1:12" ht="9.75" customHeight="1">
      <c r="A4447" s="169" t="s">
        <v>6173</v>
      </c>
      <c r="B4447" s="90"/>
      <c r="C4447" s="147"/>
      <c r="D4447" s="122"/>
      <c r="E4447" s="36"/>
      <c r="F4447" s="178"/>
      <c r="G4447" s="453"/>
      <c r="H4447" s="36"/>
      <c r="I4447" s="11"/>
    </row>
    <row r="4448" spans="1:12" ht="11.15" customHeight="1">
      <c r="A4448" s="129" t="s">
        <v>6174</v>
      </c>
      <c r="B4448" s="90"/>
      <c r="C4448" s="147"/>
      <c r="D4448" s="161"/>
      <c r="E4448" s="36"/>
      <c r="F4448" s="178"/>
      <c r="G4448" s="497"/>
      <c r="H4448" s="36"/>
      <c r="I4448" s="11"/>
    </row>
    <row r="4449" spans="1:12" ht="11.15" customHeight="1" thickBot="1">
      <c r="A4449" s="129"/>
      <c r="B4449" s="90"/>
      <c r="C4449" s="147"/>
      <c r="D4449" s="122"/>
      <c r="E4449" s="36"/>
      <c r="F4449" s="178"/>
      <c r="G4449" s="453"/>
      <c r="H4449" s="36"/>
      <c r="I4449" s="11"/>
    </row>
    <row r="4450" spans="1:12" ht="11.15" customHeight="1" thickBot="1">
      <c r="A4450" s="184" t="s">
        <v>6175</v>
      </c>
      <c r="B4450" s="90" t="s">
        <v>6176</v>
      </c>
      <c r="C4450" s="147" t="s">
        <v>20221</v>
      </c>
      <c r="D4450" s="284" t="s">
        <v>897</v>
      </c>
      <c r="E4450" s="36"/>
      <c r="F4450" s="178"/>
      <c r="G4450" s="496" t="s">
        <v>20221</v>
      </c>
      <c r="H4450" s="996" t="s">
        <v>3907</v>
      </c>
      <c r="I4450" s="11" t="s">
        <v>6177</v>
      </c>
      <c r="J4450" s="1285"/>
      <c r="K4450" s="1285"/>
      <c r="L4450" s="1285"/>
    </row>
    <row r="4451" spans="1:12" ht="11.15" customHeight="1">
      <c r="A4451" s="29" t="s">
        <v>6178</v>
      </c>
      <c r="B4451" s="90" t="s">
        <v>6179</v>
      </c>
      <c r="C4451" s="147" t="s">
        <v>20221</v>
      </c>
      <c r="D4451" s="284" t="s">
        <v>897</v>
      </c>
      <c r="E4451" s="36"/>
      <c r="F4451" s="178"/>
      <c r="G4451" s="496" t="s">
        <v>20221</v>
      </c>
      <c r="H4451" s="996" t="s">
        <v>3907</v>
      </c>
      <c r="I4451" s="11" t="s">
        <v>6180</v>
      </c>
      <c r="J4451" s="1285"/>
      <c r="K4451" s="1285"/>
      <c r="L4451" s="1285"/>
    </row>
    <row r="4452" spans="1:12" ht="11.15" customHeight="1">
      <c r="A4452" s="29" t="s">
        <v>6181</v>
      </c>
      <c r="B4452" s="90" t="s">
        <v>6182</v>
      </c>
      <c r="C4452" s="147" t="s">
        <v>20221</v>
      </c>
      <c r="D4452" s="284" t="s">
        <v>897</v>
      </c>
      <c r="E4452" s="36"/>
      <c r="F4452" s="178"/>
      <c r="G4452" s="496" t="s">
        <v>20221</v>
      </c>
      <c r="H4452" s="996" t="s">
        <v>3907</v>
      </c>
      <c r="I4452" s="11" t="s">
        <v>6183</v>
      </c>
      <c r="J4452" s="1285"/>
      <c r="K4452" s="1285"/>
      <c r="L4452" s="1285"/>
    </row>
    <row r="4453" spans="1:12" ht="11.15" customHeight="1">
      <c r="A4453" s="181" t="s">
        <v>6152</v>
      </c>
      <c r="B4453" s="90"/>
      <c r="C4453" s="147"/>
      <c r="D4453" s="161"/>
      <c r="E4453" s="36"/>
      <c r="F4453" s="178"/>
      <c r="G4453" s="496"/>
      <c r="H4453" s="36"/>
      <c r="I4453" s="11"/>
    </row>
    <row r="4454" spans="1:12" ht="11.15" customHeight="1">
      <c r="A4454" s="29" t="s">
        <v>6184</v>
      </c>
      <c r="B4454" s="90"/>
      <c r="C4454" s="147"/>
      <c r="D4454" s="161"/>
      <c r="E4454" s="36"/>
      <c r="F4454" s="178"/>
      <c r="G4454" s="496"/>
      <c r="H4454" s="36"/>
      <c r="I4454" s="11"/>
    </row>
    <row r="4455" spans="1:12" ht="11.15" customHeight="1">
      <c r="A4455" s="129" t="s">
        <v>6185</v>
      </c>
      <c r="B4455" s="90"/>
      <c r="C4455" s="147"/>
      <c r="D4455" s="161"/>
      <c r="E4455" s="36"/>
      <c r="F4455" s="178"/>
      <c r="G4455" s="496"/>
      <c r="H4455" s="36"/>
      <c r="I4455" s="11"/>
    </row>
    <row r="4456" spans="1:12" ht="11.15" customHeight="1">
      <c r="A4456" s="162" t="s">
        <v>6186</v>
      </c>
      <c r="B4456" s="185"/>
      <c r="C4456" s="147"/>
      <c r="D4456" s="129"/>
      <c r="E4456" s="185"/>
      <c r="F4456" s="185"/>
      <c r="G4456" s="185"/>
      <c r="H4456" s="185"/>
      <c r="I4456" s="11"/>
    </row>
    <row r="4457" spans="1:12" ht="11.15" customHeight="1">
      <c r="A4457" s="162" t="s">
        <v>6187</v>
      </c>
      <c r="B4457" s="90"/>
      <c r="C4457" s="147"/>
      <c r="D4457" s="161"/>
      <c r="E4457" s="36"/>
      <c r="F4457" s="178"/>
      <c r="G4457" s="496"/>
      <c r="H4457" s="36"/>
      <c r="I4457" s="11"/>
    </row>
    <row r="4458" spans="1:12" ht="11.15" customHeight="1">
      <c r="A4458" s="162" t="s">
        <v>6188</v>
      </c>
      <c r="B4458" s="90"/>
      <c r="C4458" s="147"/>
      <c r="D4458" s="161"/>
      <c r="E4458" s="36"/>
      <c r="F4458" s="178"/>
      <c r="G4458" s="496"/>
      <c r="H4458" s="36"/>
      <c r="I4458" s="11"/>
    </row>
    <row r="4459" spans="1:12" ht="11.15" customHeight="1">
      <c r="A4459" s="29" t="s">
        <v>6189</v>
      </c>
      <c r="B4459" s="90"/>
      <c r="C4459" s="147"/>
      <c r="D4459" s="161"/>
      <c r="E4459" s="36"/>
      <c r="F4459" s="178"/>
      <c r="G4459" s="496"/>
      <c r="H4459" s="36"/>
      <c r="I4459" s="11"/>
    </row>
    <row r="4460" spans="1:12" ht="11.15" customHeight="1" thickBot="1">
      <c r="A4460" s="185"/>
      <c r="B4460" s="185"/>
      <c r="C4460" s="147"/>
      <c r="D4460" s="129"/>
      <c r="E4460" s="185"/>
      <c r="F4460" s="185"/>
      <c r="G4460" s="185"/>
      <c r="H4460" s="185"/>
      <c r="I4460" s="11"/>
    </row>
    <row r="4461" spans="1:12" ht="11.15" customHeight="1" thickBot="1">
      <c r="A4461" s="184" t="s">
        <v>6190</v>
      </c>
      <c r="B4461" s="177" t="s">
        <v>6191</v>
      </c>
      <c r="C4461" s="147"/>
      <c r="D4461" s="159"/>
      <c r="E4461" s="36"/>
      <c r="F4461" s="178"/>
      <c r="G4461" s="496"/>
      <c r="H4461" s="36"/>
      <c r="I4461" s="11"/>
    </row>
    <row r="4462" spans="1:12" ht="11.15" customHeight="1">
      <c r="A4462" s="29" t="s">
        <v>6192</v>
      </c>
      <c r="B4462" s="59" t="s">
        <v>20978</v>
      </c>
      <c r="C4462" s="147" t="s">
        <v>23393</v>
      </c>
      <c r="D4462" s="701" t="s">
        <v>1129</v>
      </c>
      <c r="E4462" s="178">
        <v>2022</v>
      </c>
      <c r="F4462" s="178" t="s">
        <v>4520</v>
      </c>
      <c r="G4462" s="496"/>
      <c r="H4462" s="994" t="s">
        <v>20221</v>
      </c>
      <c r="I4462" s="11" t="s">
        <v>6193</v>
      </c>
      <c r="J4462" s="1285"/>
      <c r="K4462" s="1285"/>
      <c r="L4462" s="1285"/>
    </row>
    <row r="4463" spans="1:12" ht="11.15" customHeight="1">
      <c r="A4463" s="29" t="s">
        <v>6194</v>
      </c>
      <c r="B4463" s="59" t="s">
        <v>20978</v>
      </c>
      <c r="C4463" s="147" t="s">
        <v>23393</v>
      </c>
      <c r="D4463" s="701" t="s">
        <v>1129</v>
      </c>
      <c r="E4463" s="178">
        <v>2020</v>
      </c>
      <c r="F4463" s="178" t="s">
        <v>4520</v>
      </c>
      <c r="G4463" s="496"/>
      <c r="H4463" s="994" t="s">
        <v>20221</v>
      </c>
      <c r="I4463" s="11" t="s">
        <v>6195</v>
      </c>
      <c r="J4463" s="1285"/>
      <c r="K4463" s="1285"/>
      <c r="L4463" s="1285"/>
    </row>
    <row r="4464" spans="1:12" ht="11.15" customHeight="1">
      <c r="A4464" s="29" t="s">
        <v>6196</v>
      </c>
      <c r="B4464" s="59" t="s">
        <v>20978</v>
      </c>
      <c r="C4464" s="147" t="s">
        <v>23393</v>
      </c>
      <c r="D4464" s="701" t="s">
        <v>1129</v>
      </c>
      <c r="E4464" s="178">
        <v>2019</v>
      </c>
      <c r="F4464" s="178" t="s">
        <v>4520</v>
      </c>
      <c r="G4464" s="496"/>
      <c r="H4464" s="994" t="s">
        <v>20221</v>
      </c>
      <c r="I4464" s="11" t="s">
        <v>6197</v>
      </c>
      <c r="J4464" s="1285"/>
      <c r="K4464" s="1285"/>
      <c r="L4464" s="1285"/>
    </row>
    <row r="4465" spans="1:12" ht="11.15" customHeight="1">
      <c r="A4465" s="181" t="s">
        <v>3685</v>
      </c>
      <c r="B4465" s="59" t="s">
        <v>20978</v>
      </c>
      <c r="C4465" s="147" t="s">
        <v>23393</v>
      </c>
      <c r="D4465" s="701" t="s">
        <v>1129</v>
      </c>
      <c r="E4465" s="178">
        <v>2018</v>
      </c>
      <c r="F4465" s="178" t="s">
        <v>4520</v>
      </c>
      <c r="G4465" s="496"/>
      <c r="H4465" s="994" t="s">
        <v>20221</v>
      </c>
      <c r="I4465" s="11" t="s">
        <v>6198</v>
      </c>
      <c r="J4465" s="1285"/>
      <c r="K4465" s="1285"/>
      <c r="L4465" s="1285"/>
    </row>
    <row r="4466" spans="1:12" ht="11.15" customHeight="1">
      <c r="A4466" s="218" t="s">
        <v>6199</v>
      </c>
      <c r="B4466" s="59" t="s">
        <v>20978</v>
      </c>
      <c r="C4466" s="147" t="s">
        <v>23393</v>
      </c>
      <c r="D4466" s="701" t="s">
        <v>1129</v>
      </c>
      <c r="E4466" s="178">
        <v>2017</v>
      </c>
      <c r="F4466" s="178" t="s">
        <v>4520</v>
      </c>
      <c r="G4466" s="496"/>
      <c r="H4466" s="994" t="s">
        <v>20221</v>
      </c>
      <c r="I4466" s="11" t="s">
        <v>6200</v>
      </c>
      <c r="J4466" s="1285"/>
      <c r="K4466" s="1285"/>
      <c r="L4466" s="1285"/>
    </row>
    <row r="4467" spans="1:12" ht="11.15" customHeight="1">
      <c r="A4467" s="29" t="s">
        <v>6201</v>
      </c>
      <c r="B4467" s="59" t="s">
        <v>20978</v>
      </c>
      <c r="C4467" s="147" t="s">
        <v>20221</v>
      </c>
      <c r="D4467" s="701" t="s">
        <v>1129</v>
      </c>
      <c r="E4467" s="178">
        <v>2016</v>
      </c>
      <c r="F4467" s="178" t="s">
        <v>4520</v>
      </c>
      <c r="G4467" s="496"/>
      <c r="H4467" s="994" t="s">
        <v>20221</v>
      </c>
      <c r="I4467" s="11" t="s">
        <v>6202</v>
      </c>
      <c r="J4467" s="1285"/>
      <c r="K4467" s="1285"/>
      <c r="L4467" s="1285"/>
    </row>
    <row r="4468" spans="1:12" ht="11.15" customHeight="1">
      <c r="A4468" s="29" t="s">
        <v>6203</v>
      </c>
      <c r="B4468" s="59" t="s">
        <v>20978</v>
      </c>
      <c r="C4468" s="147" t="s">
        <v>20221</v>
      </c>
      <c r="D4468" s="701" t="s">
        <v>1129</v>
      </c>
      <c r="E4468" s="178">
        <v>2015</v>
      </c>
      <c r="F4468" s="178" t="s">
        <v>4520</v>
      </c>
      <c r="G4468" s="496"/>
      <c r="H4468" s="994" t="s">
        <v>20221</v>
      </c>
      <c r="I4468" s="11" t="s">
        <v>4102</v>
      </c>
      <c r="J4468" s="1285"/>
      <c r="K4468" s="1285"/>
      <c r="L4468" s="1285"/>
    </row>
    <row r="4469" spans="1:12" ht="11.15" customHeight="1">
      <c r="A4469" s="129" t="s">
        <v>1077</v>
      </c>
      <c r="B4469" s="59" t="s">
        <v>20978</v>
      </c>
      <c r="C4469" s="147" t="s">
        <v>20221</v>
      </c>
      <c r="D4469" s="701" t="s">
        <v>1129</v>
      </c>
      <c r="E4469" s="178">
        <v>2014</v>
      </c>
      <c r="F4469" s="178" t="s">
        <v>4520</v>
      </c>
      <c r="G4469" s="496"/>
      <c r="H4469" s="994" t="s">
        <v>20277</v>
      </c>
      <c r="I4469" s="11" t="s">
        <v>6204</v>
      </c>
      <c r="J4469" s="1285"/>
      <c r="K4469" s="1285"/>
      <c r="L4469" s="1285"/>
    </row>
    <row r="4470" spans="1:12" ht="11.15" customHeight="1">
      <c r="A4470" s="162" t="s">
        <v>2152</v>
      </c>
      <c r="B4470" s="177" t="s">
        <v>6205</v>
      </c>
      <c r="C4470" s="147"/>
      <c r="D4470" s="159"/>
      <c r="E4470" s="36"/>
      <c r="F4470" s="178"/>
      <c r="G4470" s="496"/>
      <c r="H4470" s="36"/>
      <c r="I4470" s="11"/>
    </row>
    <row r="4471" spans="1:12" ht="11.15" customHeight="1">
      <c r="A4471" s="162" t="s">
        <v>6206</v>
      </c>
      <c r="B4471" s="59" t="s">
        <v>20979</v>
      </c>
      <c r="C4471" s="147" t="s">
        <v>20221</v>
      </c>
      <c r="D4471" s="701" t="s">
        <v>1129</v>
      </c>
      <c r="E4471" s="178">
        <v>2022</v>
      </c>
      <c r="F4471" s="178" t="s">
        <v>4520</v>
      </c>
      <c r="G4471" s="496"/>
      <c r="H4471" s="994" t="s">
        <v>20221</v>
      </c>
      <c r="I4471" s="11" t="s">
        <v>6207</v>
      </c>
      <c r="J4471" s="1285"/>
      <c r="K4471" s="1285"/>
      <c r="L4471" s="1285"/>
    </row>
    <row r="4472" spans="1:12" ht="11.15" customHeight="1">
      <c r="A4472" s="162" t="s">
        <v>6208</v>
      </c>
      <c r="B4472" s="59" t="s">
        <v>20980</v>
      </c>
      <c r="C4472" s="147" t="s">
        <v>20221</v>
      </c>
      <c r="D4472" s="701" t="s">
        <v>1129</v>
      </c>
      <c r="E4472" s="178">
        <v>2022</v>
      </c>
      <c r="F4472" s="178" t="s">
        <v>4520</v>
      </c>
      <c r="G4472" s="496"/>
      <c r="H4472" s="994" t="s">
        <v>20221</v>
      </c>
      <c r="I4472" s="11" t="s">
        <v>6209</v>
      </c>
      <c r="J4472" s="1285"/>
      <c r="K4472" s="1285"/>
      <c r="L4472" s="1285"/>
    </row>
    <row r="4473" spans="1:12" ht="11.15" customHeight="1">
      <c r="A4473" s="162" t="s">
        <v>6210</v>
      </c>
      <c r="B4473" s="177" t="s">
        <v>4692</v>
      </c>
      <c r="C4473" s="147"/>
      <c r="D4473" s="159"/>
      <c r="E4473" s="36"/>
      <c r="F4473" s="178"/>
      <c r="G4473" s="496"/>
      <c r="H4473" s="36"/>
      <c r="I4473" s="11"/>
    </row>
    <row r="4474" spans="1:12" ht="11.15" customHeight="1">
      <c r="A4474" s="162" t="s">
        <v>6211</v>
      </c>
      <c r="B4474" s="59" t="s">
        <v>20784</v>
      </c>
      <c r="C4474" s="147" t="s">
        <v>20221</v>
      </c>
      <c r="D4474" s="701" t="s">
        <v>1129</v>
      </c>
      <c r="E4474" s="178">
        <v>2022</v>
      </c>
      <c r="F4474" s="178" t="s">
        <v>23394</v>
      </c>
      <c r="G4474" s="496"/>
      <c r="H4474" s="994" t="s">
        <v>20224</v>
      </c>
      <c r="I4474" s="11" t="s">
        <v>6212</v>
      </c>
      <c r="J4474" s="1285"/>
      <c r="K4474" s="1285"/>
      <c r="L4474" s="1285"/>
    </row>
    <row r="4475" spans="1:12" ht="11.15" customHeight="1">
      <c r="A4475" s="162" t="s">
        <v>6213</v>
      </c>
      <c r="B4475" s="59" t="s">
        <v>20981</v>
      </c>
      <c r="C4475" s="147" t="s">
        <v>23393</v>
      </c>
      <c r="D4475" s="701" t="s">
        <v>1129</v>
      </c>
      <c r="E4475" s="178" t="s">
        <v>20221</v>
      </c>
      <c r="F4475" s="178" t="s">
        <v>4520</v>
      </c>
      <c r="G4475" s="496" t="s">
        <v>20221</v>
      </c>
      <c r="H4475" s="994" t="s">
        <v>3907</v>
      </c>
      <c r="I4475" s="11" t="s">
        <v>6214</v>
      </c>
      <c r="J4475" s="1285"/>
      <c r="K4475" s="1285"/>
      <c r="L4475" s="1285"/>
    </row>
    <row r="4476" spans="1:12" ht="11.15" customHeight="1">
      <c r="A4476" s="162" t="s">
        <v>6215</v>
      </c>
      <c r="B4476" s="59" t="s">
        <v>20982</v>
      </c>
      <c r="C4476" s="147" t="s">
        <v>20221</v>
      </c>
      <c r="D4476" s="701" t="s">
        <v>1129</v>
      </c>
      <c r="E4476" s="178" t="s">
        <v>20221</v>
      </c>
      <c r="F4476" s="178" t="s">
        <v>23394</v>
      </c>
      <c r="G4476" s="496" t="s">
        <v>20221</v>
      </c>
      <c r="H4476" s="994" t="s">
        <v>3907</v>
      </c>
      <c r="I4476" s="11" t="s">
        <v>6216</v>
      </c>
      <c r="J4476" s="1285"/>
      <c r="K4476" s="1285"/>
      <c r="L4476" s="1285"/>
    </row>
    <row r="4477" spans="1:12" ht="11.15" customHeight="1">
      <c r="A4477" s="162" t="s">
        <v>6217</v>
      </c>
      <c r="B4477" s="177" t="s">
        <v>6218</v>
      </c>
      <c r="C4477" s="147"/>
      <c r="D4477" s="159"/>
      <c r="E4477" s="36"/>
      <c r="F4477" s="178"/>
      <c r="G4477" s="496"/>
      <c r="H4477" s="36"/>
      <c r="I4477" s="11"/>
    </row>
    <row r="4478" spans="1:12" ht="11.15" customHeight="1">
      <c r="A4478" s="162" t="s">
        <v>6219</v>
      </c>
      <c r="B4478" s="59" t="s">
        <v>20983</v>
      </c>
      <c r="C4478" s="147" t="s">
        <v>23393</v>
      </c>
      <c r="D4478" s="284" t="s">
        <v>897</v>
      </c>
      <c r="E4478" s="178">
        <v>2022</v>
      </c>
      <c r="F4478" s="178" t="s">
        <v>4520</v>
      </c>
      <c r="G4478" s="496"/>
      <c r="H4478" s="994" t="s">
        <v>20221</v>
      </c>
      <c r="I4478" s="11" t="s">
        <v>6220</v>
      </c>
      <c r="J4478" s="1285"/>
      <c r="K4478" s="1285"/>
      <c r="L4478" s="1285"/>
    </row>
    <row r="4479" spans="1:12" ht="11.15" customHeight="1">
      <c r="A4479" s="129" t="s">
        <v>6221</v>
      </c>
      <c r="B4479" s="59" t="s">
        <v>20983</v>
      </c>
      <c r="C4479" s="147" t="s">
        <v>23393</v>
      </c>
      <c r="D4479" s="284" t="s">
        <v>897</v>
      </c>
      <c r="E4479" s="178">
        <v>2021</v>
      </c>
      <c r="F4479" s="178" t="s">
        <v>4520</v>
      </c>
      <c r="G4479" s="496"/>
      <c r="H4479" s="994" t="s">
        <v>20221</v>
      </c>
      <c r="I4479" s="11" t="s">
        <v>6222</v>
      </c>
      <c r="J4479" s="1285"/>
      <c r="K4479" s="1285"/>
      <c r="L4479" s="1285"/>
    </row>
    <row r="4480" spans="1:12" ht="11.15" customHeight="1">
      <c r="A4480" s="162" t="s">
        <v>6223</v>
      </c>
      <c r="B4480" s="59" t="s">
        <v>20983</v>
      </c>
      <c r="C4480" s="147" t="s">
        <v>23393</v>
      </c>
      <c r="D4480" s="284" t="s">
        <v>897</v>
      </c>
      <c r="E4480" s="178">
        <v>2020</v>
      </c>
      <c r="F4480" s="178" t="s">
        <v>4520</v>
      </c>
      <c r="G4480" s="496"/>
      <c r="H4480" s="994" t="s">
        <v>20221</v>
      </c>
      <c r="I4480" s="11" t="s">
        <v>6224</v>
      </c>
      <c r="J4480" s="1285"/>
      <c r="K4480" s="1285"/>
      <c r="L4480" s="1285"/>
    </row>
    <row r="4481" spans="1:12" ht="11.15" customHeight="1">
      <c r="A4481" s="162" t="s">
        <v>6225</v>
      </c>
      <c r="B4481" s="59" t="s">
        <v>20983</v>
      </c>
      <c r="C4481" s="147" t="s">
        <v>23393</v>
      </c>
      <c r="D4481" s="284" t="s">
        <v>897</v>
      </c>
      <c r="E4481" s="178">
        <v>2019</v>
      </c>
      <c r="F4481" s="178" t="s">
        <v>4520</v>
      </c>
      <c r="G4481" s="496"/>
      <c r="H4481" s="994" t="s">
        <v>20221</v>
      </c>
      <c r="I4481" s="11" t="s">
        <v>6226</v>
      </c>
      <c r="J4481" s="1285"/>
      <c r="K4481" s="1285"/>
      <c r="L4481" s="1285"/>
    </row>
    <row r="4482" spans="1:12" ht="11.15" customHeight="1">
      <c r="A4482" s="162" t="s">
        <v>6227</v>
      </c>
      <c r="B4482" s="59" t="s">
        <v>20983</v>
      </c>
      <c r="C4482" s="147" t="s">
        <v>23393</v>
      </c>
      <c r="D4482" s="284" t="s">
        <v>897</v>
      </c>
      <c r="E4482" s="178">
        <v>2018</v>
      </c>
      <c r="F4482" s="178" t="s">
        <v>4520</v>
      </c>
      <c r="G4482" s="496"/>
      <c r="H4482" s="994" t="s">
        <v>20221</v>
      </c>
      <c r="I4482" s="11" t="s">
        <v>6228</v>
      </c>
      <c r="J4482" s="1285"/>
      <c r="K4482" s="1285"/>
      <c r="L4482" s="1285"/>
    </row>
    <row r="4483" spans="1:12" ht="11.15" customHeight="1">
      <c r="A4483" s="162" t="s">
        <v>6229</v>
      </c>
      <c r="B4483" s="59" t="s">
        <v>20983</v>
      </c>
      <c r="C4483" s="147" t="s">
        <v>23393</v>
      </c>
      <c r="D4483" s="284" t="s">
        <v>897</v>
      </c>
      <c r="E4483" s="178">
        <v>2017</v>
      </c>
      <c r="F4483" s="178" t="s">
        <v>4520</v>
      </c>
      <c r="G4483" s="496"/>
      <c r="H4483" s="994" t="s">
        <v>20221</v>
      </c>
      <c r="I4483" s="11" t="s">
        <v>6230</v>
      </c>
      <c r="J4483" s="1285"/>
      <c r="K4483" s="1285"/>
      <c r="L4483" s="1285"/>
    </row>
    <row r="4484" spans="1:12" ht="11.15" customHeight="1">
      <c r="A4484" s="162" t="s">
        <v>6231</v>
      </c>
      <c r="B4484" s="59" t="s">
        <v>20983</v>
      </c>
      <c r="C4484" s="147" t="s">
        <v>20221</v>
      </c>
      <c r="D4484" s="284" t="s">
        <v>897</v>
      </c>
      <c r="E4484" s="178">
        <v>2016</v>
      </c>
      <c r="F4484" s="178" t="s">
        <v>4520</v>
      </c>
      <c r="G4484" s="496"/>
      <c r="H4484" s="994" t="s">
        <v>20221</v>
      </c>
      <c r="I4484" s="11" t="s">
        <v>6232</v>
      </c>
      <c r="J4484" s="1285"/>
      <c r="K4484" s="1285"/>
      <c r="L4484" s="1285"/>
    </row>
    <row r="4485" spans="1:12" ht="11.15" customHeight="1">
      <c r="A4485" s="162" t="s">
        <v>6233</v>
      </c>
      <c r="B4485" s="59" t="s">
        <v>20983</v>
      </c>
      <c r="C4485" s="147" t="s">
        <v>20221</v>
      </c>
      <c r="D4485" s="284" t="s">
        <v>897</v>
      </c>
      <c r="E4485" s="178">
        <v>2015</v>
      </c>
      <c r="F4485" s="178" t="s">
        <v>4520</v>
      </c>
      <c r="G4485" s="496"/>
      <c r="H4485" s="994" t="s">
        <v>20465</v>
      </c>
      <c r="I4485" s="11" t="s">
        <v>6234</v>
      </c>
      <c r="J4485" s="1285"/>
      <c r="K4485" s="1285"/>
      <c r="L4485" s="1285"/>
    </row>
    <row r="4486" spans="1:12" ht="11.15" customHeight="1">
      <c r="A4486" s="162" t="s">
        <v>6235</v>
      </c>
      <c r="B4486" s="177" t="s">
        <v>5405</v>
      </c>
      <c r="C4486" s="147"/>
      <c r="D4486" s="161"/>
      <c r="E4486" s="36"/>
      <c r="F4486" s="178"/>
      <c r="G4486" s="496"/>
      <c r="H4486" s="36"/>
      <c r="I4486" s="11"/>
    </row>
    <row r="4487" spans="1:12" ht="11.15" customHeight="1">
      <c r="A4487" s="162" t="s">
        <v>6236</v>
      </c>
      <c r="B4487" s="59" t="s">
        <v>20984</v>
      </c>
      <c r="C4487" s="147" t="s">
        <v>23393</v>
      </c>
      <c r="D4487" s="284" t="s">
        <v>897</v>
      </c>
      <c r="E4487" s="178">
        <v>2022</v>
      </c>
      <c r="F4487" s="178" t="s">
        <v>4520</v>
      </c>
      <c r="G4487" s="496"/>
      <c r="H4487" s="994" t="s">
        <v>20221</v>
      </c>
      <c r="I4487" s="11" t="s">
        <v>6237</v>
      </c>
      <c r="J4487" s="1285"/>
      <c r="K4487" s="1285"/>
      <c r="L4487" s="1285"/>
    </row>
    <row r="4488" spans="1:12" ht="11.15" customHeight="1">
      <c r="A4488" s="129" t="s">
        <v>6238</v>
      </c>
      <c r="B4488" s="59" t="s">
        <v>20984</v>
      </c>
      <c r="C4488" s="147" t="s">
        <v>23393</v>
      </c>
      <c r="D4488" s="284" t="s">
        <v>897</v>
      </c>
      <c r="E4488" s="178">
        <v>2020</v>
      </c>
      <c r="F4488" s="178" t="s">
        <v>4520</v>
      </c>
      <c r="G4488" s="496"/>
      <c r="H4488" s="994" t="s">
        <v>20221</v>
      </c>
      <c r="I4488" s="11" t="s">
        <v>6239</v>
      </c>
      <c r="J4488" s="1285"/>
      <c r="K4488" s="1285"/>
      <c r="L4488" s="1285"/>
    </row>
    <row r="4489" spans="1:12" ht="11.15" customHeight="1">
      <c r="A4489" s="162" t="s">
        <v>6240</v>
      </c>
      <c r="B4489" s="59" t="s">
        <v>20984</v>
      </c>
      <c r="C4489" s="147" t="s">
        <v>23393</v>
      </c>
      <c r="D4489" s="284" t="s">
        <v>897</v>
      </c>
      <c r="E4489" s="178">
        <v>2019</v>
      </c>
      <c r="F4489" s="178" t="s">
        <v>4520</v>
      </c>
      <c r="G4489" s="496"/>
      <c r="H4489" s="994" t="s">
        <v>20224</v>
      </c>
      <c r="I4489" s="11" t="s">
        <v>6241</v>
      </c>
      <c r="J4489" s="1285"/>
      <c r="K4489" s="1285"/>
      <c r="L4489" s="1285"/>
    </row>
    <row r="4490" spans="1:12" ht="11.15" customHeight="1">
      <c r="A4490" s="162" t="s">
        <v>6242</v>
      </c>
      <c r="B4490" s="59" t="s">
        <v>20985</v>
      </c>
      <c r="C4490" s="147" t="s">
        <v>23393</v>
      </c>
      <c r="D4490" s="284" t="s">
        <v>897</v>
      </c>
      <c r="E4490" s="178">
        <v>2022</v>
      </c>
      <c r="F4490" s="178" t="s">
        <v>4520</v>
      </c>
      <c r="G4490" s="496"/>
      <c r="H4490" s="994" t="s">
        <v>20221</v>
      </c>
      <c r="I4490" s="11" t="s">
        <v>6243</v>
      </c>
      <c r="J4490" s="1285"/>
      <c r="K4490" s="1285"/>
      <c r="L4490" s="1285"/>
    </row>
    <row r="4491" spans="1:12" ht="11.15" customHeight="1">
      <c r="A4491" s="162" t="s">
        <v>6244</v>
      </c>
      <c r="B4491" s="59" t="s">
        <v>20985</v>
      </c>
      <c r="C4491" s="147" t="s">
        <v>23393</v>
      </c>
      <c r="D4491" s="284" t="s">
        <v>897</v>
      </c>
      <c r="E4491" s="178">
        <v>2020</v>
      </c>
      <c r="F4491" s="178" t="s">
        <v>4520</v>
      </c>
      <c r="G4491" s="496"/>
      <c r="H4491" s="994" t="s">
        <v>20221</v>
      </c>
      <c r="I4491" s="11" t="s">
        <v>6245</v>
      </c>
      <c r="J4491" s="1285"/>
      <c r="K4491" s="1285"/>
      <c r="L4491" s="1285"/>
    </row>
    <row r="4492" spans="1:12" ht="11.15" customHeight="1">
      <c r="A4492" s="162" t="s">
        <v>6246</v>
      </c>
      <c r="B4492" s="59" t="s">
        <v>20985</v>
      </c>
      <c r="C4492" s="147" t="s">
        <v>23393</v>
      </c>
      <c r="D4492" s="284" t="s">
        <v>897</v>
      </c>
      <c r="E4492" s="178">
        <v>2018</v>
      </c>
      <c r="F4492" s="178" t="s">
        <v>4520</v>
      </c>
      <c r="G4492" s="496"/>
      <c r="H4492" s="994" t="s">
        <v>20221</v>
      </c>
      <c r="I4492" s="11" t="s">
        <v>6247</v>
      </c>
      <c r="J4492" s="1285"/>
      <c r="K4492" s="1285"/>
      <c r="L4492" s="1285"/>
    </row>
    <row r="4493" spans="1:12" ht="11.15" customHeight="1">
      <c r="A4493" s="162" t="s">
        <v>6248</v>
      </c>
      <c r="B4493" s="59" t="s">
        <v>20985</v>
      </c>
      <c r="C4493" s="147" t="s">
        <v>23393</v>
      </c>
      <c r="D4493" s="284" t="s">
        <v>897</v>
      </c>
      <c r="E4493" s="178">
        <v>2017</v>
      </c>
      <c r="F4493" s="178" t="s">
        <v>4520</v>
      </c>
      <c r="G4493" s="496"/>
      <c r="H4493" s="994" t="s">
        <v>20224</v>
      </c>
      <c r="I4493" s="11" t="s">
        <v>6249</v>
      </c>
      <c r="J4493" s="1285"/>
      <c r="K4493" s="1285"/>
      <c r="L4493" s="1285"/>
    </row>
    <row r="4494" spans="1:12" ht="11.15" customHeight="1">
      <c r="A4494" s="162" t="s">
        <v>6250</v>
      </c>
      <c r="B4494" s="59" t="s">
        <v>20985</v>
      </c>
      <c r="C4494" s="147" t="s">
        <v>20221</v>
      </c>
      <c r="D4494" s="284" t="s">
        <v>897</v>
      </c>
      <c r="E4494" s="178">
        <v>2016</v>
      </c>
      <c r="F4494" s="178" t="s">
        <v>4520</v>
      </c>
      <c r="G4494" s="496"/>
      <c r="H4494" s="994" t="s">
        <v>20224</v>
      </c>
      <c r="I4494" s="11" t="s">
        <v>6251</v>
      </c>
      <c r="J4494" s="1285"/>
      <c r="K4494" s="1285"/>
      <c r="L4494" s="1285"/>
    </row>
    <row r="4495" spans="1:12" ht="11.15" customHeight="1">
      <c r="A4495" s="162" t="s">
        <v>6252</v>
      </c>
      <c r="B4495" s="59" t="s">
        <v>20985</v>
      </c>
      <c r="C4495" s="147" t="s">
        <v>20221</v>
      </c>
      <c r="D4495" s="284" t="s">
        <v>897</v>
      </c>
      <c r="E4495" s="178">
        <v>2015</v>
      </c>
      <c r="F4495" s="178" t="s">
        <v>4520</v>
      </c>
      <c r="G4495" s="496"/>
      <c r="H4495" s="994" t="s">
        <v>20224</v>
      </c>
      <c r="I4495" s="11" t="s">
        <v>6253</v>
      </c>
      <c r="J4495" s="1285"/>
      <c r="K4495" s="1285"/>
      <c r="L4495" s="1285"/>
    </row>
    <row r="4496" spans="1:12" ht="11.15" customHeight="1">
      <c r="A4496" s="162" t="s">
        <v>6254</v>
      </c>
      <c r="B4496" s="177" t="s">
        <v>5477</v>
      </c>
      <c r="C4496" s="147"/>
      <c r="D4496" s="161"/>
      <c r="E4496" s="90"/>
      <c r="F4496" s="59"/>
      <c r="G4496" s="496"/>
      <c r="H4496" s="90"/>
      <c r="I4496" s="11"/>
    </row>
    <row r="4497" spans="1:12" ht="11.15" customHeight="1">
      <c r="A4497" s="162" t="s">
        <v>6255</v>
      </c>
      <c r="B4497" s="59" t="s">
        <v>20986</v>
      </c>
      <c r="C4497" s="147" t="s">
        <v>23393</v>
      </c>
      <c r="D4497" s="284" t="s">
        <v>897</v>
      </c>
      <c r="E4497" s="178">
        <v>2022</v>
      </c>
      <c r="F4497" s="178" t="s">
        <v>5257</v>
      </c>
      <c r="G4497" s="496"/>
      <c r="H4497" s="994" t="s">
        <v>20221</v>
      </c>
      <c r="I4497" s="11" t="s">
        <v>6256</v>
      </c>
      <c r="J4497" s="1285"/>
      <c r="K4497" s="1285"/>
      <c r="L4497" s="1285"/>
    </row>
    <row r="4498" spans="1:12" ht="11.15" customHeight="1">
      <c r="A4498" s="29" t="s">
        <v>6257</v>
      </c>
      <c r="B4498" s="59" t="s">
        <v>20986</v>
      </c>
      <c r="C4498" s="147" t="s">
        <v>23393</v>
      </c>
      <c r="D4498" s="284" t="s">
        <v>897</v>
      </c>
      <c r="E4498" s="178">
        <v>2020</v>
      </c>
      <c r="F4498" s="178" t="s">
        <v>5257</v>
      </c>
      <c r="G4498" s="496"/>
      <c r="H4498" s="994" t="s">
        <v>20224</v>
      </c>
      <c r="I4498" s="11" t="s">
        <v>6258</v>
      </c>
      <c r="J4498" s="1285"/>
      <c r="K4498" s="1285"/>
      <c r="L4498" s="1285"/>
    </row>
    <row r="4499" spans="1:12" ht="11.15" customHeight="1">
      <c r="A4499" s="29" t="s">
        <v>6259</v>
      </c>
      <c r="B4499" s="59" t="s">
        <v>20986</v>
      </c>
      <c r="C4499" s="147" t="s">
        <v>23393</v>
      </c>
      <c r="D4499" s="284" t="s">
        <v>897</v>
      </c>
      <c r="E4499" s="178">
        <v>2019</v>
      </c>
      <c r="F4499" s="178" t="s">
        <v>5257</v>
      </c>
      <c r="G4499" s="496"/>
      <c r="H4499" s="994" t="s">
        <v>20224</v>
      </c>
      <c r="I4499" s="11" t="s">
        <v>6260</v>
      </c>
      <c r="J4499" s="1285"/>
      <c r="K4499" s="1285"/>
      <c r="L4499" s="1285"/>
    </row>
    <row r="4500" spans="1:12" ht="11.15" customHeight="1">
      <c r="A4500" s="29" t="s">
        <v>6261</v>
      </c>
      <c r="B4500" s="59" t="s">
        <v>20986</v>
      </c>
      <c r="C4500" s="147" t="s">
        <v>23393</v>
      </c>
      <c r="D4500" s="284" t="s">
        <v>897</v>
      </c>
      <c r="E4500" s="178">
        <v>2018</v>
      </c>
      <c r="F4500" s="178" t="s">
        <v>5257</v>
      </c>
      <c r="G4500" s="496"/>
      <c r="H4500" s="994" t="s">
        <v>20221</v>
      </c>
      <c r="I4500" s="11" t="s">
        <v>6262</v>
      </c>
      <c r="J4500" s="1285"/>
      <c r="K4500" s="1285"/>
      <c r="L4500" s="1285"/>
    </row>
    <row r="4501" spans="1:12" ht="11.15" customHeight="1">
      <c r="A4501" s="166" t="s">
        <v>6263</v>
      </c>
      <c r="B4501" s="59" t="s">
        <v>20986</v>
      </c>
      <c r="C4501" s="147" t="s">
        <v>23393</v>
      </c>
      <c r="D4501" s="284" t="s">
        <v>897</v>
      </c>
      <c r="E4501" s="178">
        <v>2017</v>
      </c>
      <c r="F4501" s="178" t="s">
        <v>5257</v>
      </c>
      <c r="G4501" s="496"/>
      <c r="H4501" s="994" t="s">
        <v>20221</v>
      </c>
      <c r="I4501" s="11" t="s">
        <v>6264</v>
      </c>
      <c r="J4501" s="1285"/>
      <c r="K4501" s="1285"/>
      <c r="L4501" s="1285"/>
    </row>
    <row r="4502" spans="1:12" ht="11.15" customHeight="1">
      <c r="A4502" s="169" t="s">
        <v>6265</v>
      </c>
      <c r="B4502" s="177" t="s">
        <v>4748</v>
      </c>
      <c r="C4502" s="147"/>
      <c r="D4502" s="159"/>
      <c r="E4502" s="36"/>
      <c r="F4502" s="178"/>
      <c r="G4502" s="496"/>
      <c r="H4502" s="36"/>
      <c r="I4502" s="11"/>
    </row>
    <row r="4503" spans="1:12" ht="11.15" customHeight="1">
      <c r="A4503" s="424" t="s">
        <v>6266</v>
      </c>
      <c r="B4503" s="59" t="s">
        <v>20798</v>
      </c>
      <c r="C4503" s="147" t="s">
        <v>23393</v>
      </c>
      <c r="D4503" s="284" t="s">
        <v>897</v>
      </c>
      <c r="E4503" s="178">
        <v>2019</v>
      </c>
      <c r="F4503" s="178" t="s">
        <v>4520</v>
      </c>
      <c r="G4503" s="496"/>
      <c r="H4503" s="994" t="s">
        <v>20224</v>
      </c>
      <c r="I4503" s="11" t="s">
        <v>6267</v>
      </c>
      <c r="J4503" s="1285"/>
      <c r="K4503" s="1285"/>
      <c r="L4503" s="1285"/>
    </row>
    <row r="4504" spans="1:12" ht="11.15" customHeight="1">
      <c r="A4504" s="29"/>
      <c r="B4504" s="59" t="s">
        <v>20798</v>
      </c>
      <c r="C4504" s="147" t="s">
        <v>23393</v>
      </c>
      <c r="D4504" s="284" t="s">
        <v>897</v>
      </c>
      <c r="E4504" s="178">
        <v>2018</v>
      </c>
      <c r="F4504" s="178" t="s">
        <v>4520</v>
      </c>
      <c r="G4504" s="496"/>
      <c r="H4504" s="994" t="s">
        <v>20221</v>
      </c>
      <c r="I4504" s="11" t="s">
        <v>6268</v>
      </c>
      <c r="J4504" s="1285"/>
      <c r="K4504" s="1285"/>
      <c r="L4504" s="1285"/>
    </row>
    <row r="4505" spans="1:12" ht="11.15" customHeight="1">
      <c r="A4505" s="29"/>
      <c r="B4505" s="59" t="s">
        <v>20798</v>
      </c>
      <c r="C4505" s="147" t="s">
        <v>23393</v>
      </c>
      <c r="D4505" s="284" t="s">
        <v>897</v>
      </c>
      <c r="E4505" s="178">
        <v>2017</v>
      </c>
      <c r="F4505" s="178" t="s">
        <v>4520</v>
      </c>
      <c r="G4505" s="496"/>
      <c r="H4505" s="994" t="s">
        <v>20224</v>
      </c>
      <c r="I4505" s="11" t="s">
        <v>6269</v>
      </c>
      <c r="J4505" s="1285"/>
      <c r="K4505" s="1285"/>
      <c r="L4505" s="1285"/>
    </row>
    <row r="4506" spans="1:12" ht="11.15" customHeight="1">
      <c r="A4506" s="29"/>
      <c r="B4506" s="59" t="s">
        <v>20798</v>
      </c>
      <c r="C4506" s="147" t="s">
        <v>20221</v>
      </c>
      <c r="D4506" s="284" t="s">
        <v>897</v>
      </c>
      <c r="E4506" s="178">
        <v>2016</v>
      </c>
      <c r="F4506" s="178" t="s">
        <v>4520</v>
      </c>
      <c r="G4506" s="496"/>
      <c r="H4506" s="994" t="s">
        <v>20224</v>
      </c>
      <c r="I4506" s="11" t="s">
        <v>6270</v>
      </c>
      <c r="J4506" s="1285"/>
      <c r="K4506" s="1285"/>
      <c r="L4506" s="1285"/>
    </row>
    <row r="4507" spans="1:12" ht="11.15" customHeight="1">
      <c r="A4507" s="29"/>
      <c r="B4507" s="59" t="s">
        <v>20987</v>
      </c>
      <c r="C4507" s="147" t="s">
        <v>23393</v>
      </c>
      <c r="D4507" s="284" t="s">
        <v>897</v>
      </c>
      <c r="E4507" s="178">
        <v>2022</v>
      </c>
      <c r="F4507" s="178" t="s">
        <v>23394</v>
      </c>
      <c r="G4507" s="496"/>
      <c r="H4507" s="994" t="s">
        <v>20224</v>
      </c>
      <c r="I4507" s="11" t="s">
        <v>6271</v>
      </c>
      <c r="J4507" s="1285"/>
      <c r="K4507" s="1285"/>
      <c r="L4507" s="1285"/>
    </row>
    <row r="4508" spans="1:12" ht="11.15" customHeight="1">
      <c r="A4508" s="29"/>
      <c r="B4508" s="59" t="s">
        <v>20987</v>
      </c>
      <c r="C4508" s="147" t="s">
        <v>23393</v>
      </c>
      <c r="D4508" s="284" t="s">
        <v>897</v>
      </c>
      <c r="E4508" s="178">
        <v>2021</v>
      </c>
      <c r="F4508" s="178" t="s">
        <v>23394</v>
      </c>
      <c r="G4508" s="496"/>
      <c r="H4508" s="994" t="s">
        <v>20224</v>
      </c>
      <c r="I4508" s="11" t="s">
        <v>6272</v>
      </c>
      <c r="J4508" s="1285"/>
      <c r="K4508" s="1285"/>
      <c r="L4508" s="1285"/>
    </row>
    <row r="4509" spans="1:12" ht="11.15" customHeight="1">
      <c r="A4509" s="29"/>
      <c r="B4509" s="59" t="s">
        <v>20987</v>
      </c>
      <c r="C4509" s="147" t="s">
        <v>23393</v>
      </c>
      <c r="D4509" s="284" t="s">
        <v>897</v>
      </c>
      <c r="E4509" s="178">
        <v>2020</v>
      </c>
      <c r="F4509" s="178" t="s">
        <v>4520</v>
      </c>
      <c r="G4509" s="496"/>
      <c r="H4509" s="994" t="s">
        <v>20224</v>
      </c>
      <c r="I4509" s="11" t="s">
        <v>6273</v>
      </c>
      <c r="J4509" s="1285"/>
      <c r="K4509" s="1285"/>
      <c r="L4509" s="1285"/>
    </row>
    <row r="4510" spans="1:12" ht="11.15" customHeight="1">
      <c r="A4510" s="29"/>
      <c r="B4510" s="59" t="s">
        <v>20987</v>
      </c>
      <c r="C4510" s="147" t="s">
        <v>23393</v>
      </c>
      <c r="D4510" s="284" t="s">
        <v>897</v>
      </c>
      <c r="E4510" s="178">
        <v>2019</v>
      </c>
      <c r="F4510" s="178" t="s">
        <v>4520</v>
      </c>
      <c r="G4510" s="496"/>
      <c r="H4510" s="994" t="s">
        <v>20224</v>
      </c>
      <c r="I4510" s="11" t="s">
        <v>6274</v>
      </c>
      <c r="J4510" s="1285"/>
      <c r="K4510" s="1285"/>
      <c r="L4510" s="1285"/>
    </row>
    <row r="4511" spans="1:12" ht="11.15" customHeight="1">
      <c r="A4511" s="29"/>
      <c r="B4511" s="59" t="s">
        <v>20987</v>
      </c>
      <c r="C4511" s="147" t="s">
        <v>23393</v>
      </c>
      <c r="D4511" s="284" t="s">
        <v>897</v>
      </c>
      <c r="E4511" s="178">
        <v>2018</v>
      </c>
      <c r="F4511" s="178" t="s">
        <v>4520</v>
      </c>
      <c r="G4511" s="496"/>
      <c r="H4511" s="994" t="s">
        <v>20224</v>
      </c>
      <c r="I4511" s="11" t="s">
        <v>6275</v>
      </c>
      <c r="J4511" s="1285"/>
      <c r="K4511" s="1285"/>
      <c r="L4511" s="1285"/>
    </row>
    <row r="4512" spans="1:12" ht="11.15" customHeight="1">
      <c r="A4512" s="29"/>
      <c r="B4512" s="59" t="s">
        <v>20698</v>
      </c>
      <c r="C4512" s="147" t="s">
        <v>20221</v>
      </c>
      <c r="D4512" s="284" t="s">
        <v>897</v>
      </c>
      <c r="E4512" s="178">
        <v>2022</v>
      </c>
      <c r="F4512" s="178" t="s">
        <v>23394</v>
      </c>
      <c r="G4512" s="496"/>
      <c r="H4512" s="994" t="s">
        <v>20224</v>
      </c>
      <c r="I4512" s="11" t="s">
        <v>6276</v>
      </c>
      <c r="J4512" s="1285"/>
      <c r="K4512" s="1285"/>
      <c r="L4512" s="1285"/>
    </row>
    <row r="4513" spans="1:12" ht="11.15" customHeight="1">
      <c r="A4513" s="29"/>
      <c r="B4513" s="59" t="s">
        <v>20800</v>
      </c>
      <c r="C4513" s="147" t="s">
        <v>23393</v>
      </c>
      <c r="D4513" s="284" t="s">
        <v>897</v>
      </c>
      <c r="E4513" s="178">
        <v>2022</v>
      </c>
      <c r="F4513" s="178" t="s">
        <v>23394</v>
      </c>
      <c r="G4513" s="496"/>
      <c r="H4513" s="994" t="s">
        <v>20224</v>
      </c>
      <c r="I4513" s="11" t="s">
        <v>6277</v>
      </c>
      <c r="J4513" s="1285"/>
      <c r="K4513" s="1285"/>
      <c r="L4513" s="1285"/>
    </row>
    <row r="4514" spans="1:12" ht="11.15" customHeight="1">
      <c r="A4514" s="29"/>
      <c r="B4514" s="59" t="s">
        <v>20800</v>
      </c>
      <c r="C4514" s="147" t="s">
        <v>23393</v>
      </c>
      <c r="D4514" s="284" t="s">
        <v>897</v>
      </c>
      <c r="E4514" s="178">
        <v>2021</v>
      </c>
      <c r="F4514" s="178" t="s">
        <v>23394</v>
      </c>
      <c r="G4514" s="496"/>
      <c r="H4514" s="994" t="s">
        <v>20224</v>
      </c>
      <c r="I4514" s="11" t="s">
        <v>6278</v>
      </c>
      <c r="J4514" s="1285"/>
      <c r="K4514" s="1285"/>
      <c r="L4514" s="1285"/>
    </row>
    <row r="4515" spans="1:12" ht="11.15" customHeight="1" thickBot="1">
      <c r="A4515" s="185"/>
      <c r="B4515" s="90"/>
      <c r="C4515" s="147"/>
      <c r="D4515" s="161"/>
      <c r="E4515" s="36"/>
      <c r="F4515" s="178"/>
      <c r="G4515" s="497"/>
      <c r="H4515" s="36"/>
      <c r="I4515" s="11"/>
    </row>
    <row r="4516" spans="1:12" ht="24" customHeight="1" thickBot="1">
      <c r="A4516" s="457" t="s">
        <v>6279</v>
      </c>
      <c r="B4516" s="393"/>
      <c r="C4516" s="170"/>
      <c r="D4516" s="139"/>
      <c r="E4516" s="394"/>
      <c r="F4516" s="1076"/>
      <c r="G4516" s="1211"/>
      <c r="H4516" s="394"/>
      <c r="I4516" s="1131"/>
    </row>
    <row r="4517" spans="1:12" ht="10.5" customHeight="1">
      <c r="A4517" s="239" t="s">
        <v>3877</v>
      </c>
      <c r="B4517" s="395"/>
      <c r="C4517" s="147"/>
      <c r="D4517" s="87"/>
      <c r="E4517" s="36"/>
      <c r="F4517" s="178"/>
      <c r="G4517" s="60"/>
      <c r="H4517" s="36"/>
      <c r="I4517" s="11"/>
    </row>
    <row r="4518" spans="1:12" ht="10.5" customHeight="1" thickBot="1">
      <c r="A4518" s="239"/>
      <c r="B4518" s="395"/>
      <c r="C4518" s="147"/>
      <c r="D4518" s="87"/>
      <c r="E4518" s="36"/>
      <c r="F4518" s="178"/>
      <c r="G4518" s="60"/>
      <c r="H4518" s="36"/>
      <c r="I4518" s="11"/>
    </row>
    <row r="4519" spans="1:12" ht="24" customHeight="1">
      <c r="A4519" s="458" t="s">
        <v>4092</v>
      </c>
      <c r="B4519" s="459" t="s">
        <v>6280</v>
      </c>
      <c r="C4519" s="460"/>
      <c r="D4519" s="461"/>
      <c r="E4519" s="462"/>
      <c r="F4519" s="463"/>
      <c r="G4519" s="1222"/>
      <c r="H4519" s="1144"/>
      <c r="I4519" s="11"/>
    </row>
    <row r="4520" spans="1:12" ht="320.5" customHeight="1">
      <c r="A4520" s="1172"/>
      <c r="B4520" s="464"/>
      <c r="C4520" s="464"/>
      <c r="D4520" s="465"/>
      <c r="E4520" s="464"/>
      <c r="F4520" s="465"/>
      <c r="G4520" s="465"/>
      <c r="H4520" s="466"/>
      <c r="I4520" s="11"/>
    </row>
    <row r="4521" spans="1:12" ht="11.15" customHeight="1">
      <c r="A4521" s="467" t="s">
        <v>4094</v>
      </c>
      <c r="B4521" s="468" t="s">
        <v>6281</v>
      </c>
      <c r="C4521" s="469"/>
      <c r="D4521" s="470"/>
      <c r="E4521" s="1045"/>
      <c r="F4521" s="471"/>
      <c r="G4521" s="1223"/>
      <c r="H4521" s="1145"/>
      <c r="I4521" s="11"/>
    </row>
    <row r="4522" spans="1:12" ht="11.15" customHeight="1">
      <c r="A4522" s="472" t="s">
        <v>6282</v>
      </c>
      <c r="B4522" s="1306" t="s">
        <v>21171</v>
      </c>
      <c r="C4522" s="469" t="s">
        <v>23393</v>
      </c>
      <c r="D4522" s="1307" t="s">
        <v>1129</v>
      </c>
      <c r="E4522" s="1046">
        <v>2022</v>
      </c>
      <c r="F4522" s="1046" t="s">
        <v>4520</v>
      </c>
      <c r="G4522" s="1224"/>
      <c r="H4522" s="1146" t="s">
        <v>20221</v>
      </c>
      <c r="I4522" s="11" t="s">
        <v>6283</v>
      </c>
      <c r="J4522" s="1285"/>
      <c r="K4522" s="1285"/>
      <c r="L4522" s="1285"/>
    </row>
    <row r="4523" spans="1:12" ht="11.15" customHeight="1">
      <c r="A4523" s="472" t="s">
        <v>6282</v>
      </c>
      <c r="B4523" s="1306" t="s">
        <v>21171</v>
      </c>
      <c r="C4523" s="469" t="s">
        <v>23393</v>
      </c>
      <c r="D4523" s="1307" t="s">
        <v>1129</v>
      </c>
      <c r="E4523" s="1046">
        <v>2020</v>
      </c>
      <c r="F4523" s="1046" t="s">
        <v>4520</v>
      </c>
      <c r="G4523" s="1224"/>
      <c r="H4523" s="1146" t="s">
        <v>20221</v>
      </c>
      <c r="I4523" s="11" t="s">
        <v>6284</v>
      </c>
      <c r="J4523" s="1285"/>
      <c r="K4523" s="1285"/>
      <c r="L4523" s="1285"/>
    </row>
    <row r="4524" spans="1:12" ht="11.15" customHeight="1">
      <c r="A4524" s="472"/>
      <c r="B4524" s="468" t="s">
        <v>6285</v>
      </c>
      <c r="C4524" s="469"/>
      <c r="D4524" s="473"/>
      <c r="E4524" s="474"/>
      <c r="F4524" s="1046"/>
      <c r="G4524" s="1224"/>
      <c r="H4524" s="1146"/>
      <c r="I4524" s="11"/>
    </row>
    <row r="4525" spans="1:12" ht="11.15" customHeight="1">
      <c r="A4525" s="472" t="s">
        <v>6282</v>
      </c>
      <c r="B4525" s="1306" t="s">
        <v>21181</v>
      </c>
      <c r="C4525" s="469" t="s">
        <v>23393</v>
      </c>
      <c r="D4525" s="1308" t="s">
        <v>897</v>
      </c>
      <c r="E4525" s="1046">
        <v>2017</v>
      </c>
      <c r="F4525" s="1046" t="s">
        <v>4520</v>
      </c>
      <c r="G4525" s="1224"/>
      <c r="H4525" s="1146" t="s">
        <v>20221</v>
      </c>
      <c r="I4525" s="11" t="s">
        <v>6286</v>
      </c>
      <c r="J4525" s="1285"/>
      <c r="K4525" s="1285"/>
      <c r="L4525" s="1285"/>
    </row>
    <row r="4526" spans="1:12" ht="11.15" customHeight="1">
      <c r="A4526" s="472" t="s">
        <v>6287</v>
      </c>
      <c r="B4526" s="1306" t="s">
        <v>21125</v>
      </c>
      <c r="C4526" s="469" t="s">
        <v>20221</v>
      </c>
      <c r="D4526" s="1308" t="s">
        <v>897</v>
      </c>
      <c r="E4526" s="1046">
        <v>2014</v>
      </c>
      <c r="F4526" s="1046" t="s">
        <v>23395</v>
      </c>
      <c r="G4526" s="1224"/>
      <c r="H4526" s="1146" t="s">
        <v>20221</v>
      </c>
      <c r="I4526" s="11" t="s">
        <v>6288</v>
      </c>
      <c r="J4526" s="1285"/>
      <c r="K4526" s="1285"/>
      <c r="L4526" s="1285"/>
    </row>
    <row r="4527" spans="1:12" ht="11.15" customHeight="1">
      <c r="A4527" s="472" t="s">
        <v>6282</v>
      </c>
      <c r="B4527" s="1306" t="s">
        <v>21182</v>
      </c>
      <c r="C4527" s="469" t="s">
        <v>23393</v>
      </c>
      <c r="D4527" s="1308" t="s">
        <v>897</v>
      </c>
      <c r="E4527" s="1046">
        <v>2014</v>
      </c>
      <c r="F4527" s="1046" t="s">
        <v>4520</v>
      </c>
      <c r="G4527" s="1224"/>
      <c r="H4527" s="1146" t="s">
        <v>20221</v>
      </c>
      <c r="I4527" s="11" t="s">
        <v>6289</v>
      </c>
      <c r="J4527" s="1285"/>
      <c r="K4527" s="1285"/>
      <c r="L4527" s="1285"/>
    </row>
    <row r="4528" spans="1:12" ht="11.15" customHeight="1">
      <c r="A4528" s="472"/>
      <c r="B4528" s="468" t="s">
        <v>6290</v>
      </c>
      <c r="C4528" s="469"/>
      <c r="D4528" s="473"/>
      <c r="E4528" s="474"/>
      <c r="F4528" s="1046"/>
      <c r="G4528" s="1224"/>
      <c r="H4528" s="1146"/>
      <c r="I4528" s="11"/>
    </row>
    <row r="4529" spans="1:12" ht="11.15" customHeight="1">
      <c r="A4529" s="472" t="s">
        <v>6291</v>
      </c>
      <c r="B4529" s="1306" t="s">
        <v>21219</v>
      </c>
      <c r="C4529" s="469" t="s">
        <v>20221</v>
      </c>
      <c r="D4529" s="1308" t="s">
        <v>897</v>
      </c>
      <c r="E4529" s="1046">
        <v>2016</v>
      </c>
      <c r="F4529" s="1046" t="s">
        <v>4520</v>
      </c>
      <c r="G4529" s="1224"/>
      <c r="H4529" s="1146" t="s">
        <v>20221</v>
      </c>
      <c r="I4529" s="11" t="s">
        <v>6292</v>
      </c>
      <c r="J4529" s="1285"/>
      <c r="K4529" s="1285"/>
      <c r="L4529" s="1285"/>
    </row>
    <row r="4530" spans="1:12" ht="11.15" customHeight="1">
      <c r="A4530" s="472" t="s">
        <v>6293</v>
      </c>
      <c r="B4530" s="1306" t="s">
        <v>21238</v>
      </c>
      <c r="C4530" s="469" t="s">
        <v>20221</v>
      </c>
      <c r="D4530" s="1308" t="s">
        <v>897</v>
      </c>
      <c r="E4530" s="1046">
        <v>2014</v>
      </c>
      <c r="F4530" s="1046" t="s">
        <v>4520</v>
      </c>
      <c r="G4530" s="1224"/>
      <c r="H4530" s="1146" t="s">
        <v>20221</v>
      </c>
      <c r="I4530" s="11" t="s">
        <v>6294</v>
      </c>
      <c r="J4530" s="1285"/>
      <c r="K4530" s="1285"/>
      <c r="L4530" s="1285"/>
    </row>
    <row r="4531" spans="1:12" ht="11.15" customHeight="1">
      <c r="A4531" s="472" t="s">
        <v>6295</v>
      </c>
      <c r="B4531" s="1306" t="s">
        <v>21195</v>
      </c>
      <c r="C4531" s="469" t="s">
        <v>20221</v>
      </c>
      <c r="D4531" s="1308" t="s">
        <v>897</v>
      </c>
      <c r="E4531" s="1046">
        <v>2000</v>
      </c>
      <c r="F4531" s="1046" t="s">
        <v>4520</v>
      </c>
      <c r="G4531" s="1224"/>
      <c r="H4531" s="1146" t="s">
        <v>20221</v>
      </c>
      <c r="I4531" s="11" t="s">
        <v>6296</v>
      </c>
      <c r="J4531" s="1285"/>
      <c r="K4531" s="1285"/>
      <c r="L4531" s="1285"/>
    </row>
    <row r="4532" spans="1:12" ht="11.15" customHeight="1">
      <c r="A4532" s="472"/>
      <c r="B4532" s="468" t="s">
        <v>6297</v>
      </c>
      <c r="C4532" s="469"/>
      <c r="D4532" s="473"/>
      <c r="E4532" s="474"/>
      <c r="F4532" s="1046"/>
      <c r="G4532" s="1224"/>
      <c r="H4532" s="1146"/>
      <c r="I4532" s="11"/>
    </row>
    <row r="4533" spans="1:12" ht="11.15" customHeight="1">
      <c r="A4533" s="472" t="s">
        <v>6287</v>
      </c>
      <c r="B4533" s="1306" t="s">
        <v>21126</v>
      </c>
      <c r="C4533" s="469" t="s">
        <v>20221</v>
      </c>
      <c r="D4533" s="1308" t="s">
        <v>897</v>
      </c>
      <c r="E4533" s="1046">
        <v>2011</v>
      </c>
      <c r="F4533" s="1046" t="s">
        <v>11931</v>
      </c>
      <c r="G4533" s="1224"/>
      <c r="H4533" s="1309" t="s">
        <v>20224</v>
      </c>
      <c r="I4533" s="11" t="s">
        <v>6298</v>
      </c>
      <c r="J4533" s="1285"/>
      <c r="K4533" s="1285"/>
      <c r="L4533" s="1285"/>
    </row>
    <row r="4534" spans="1:12" ht="11.15" customHeight="1" thickBot="1">
      <c r="A4534" s="475" t="s">
        <v>6282</v>
      </c>
      <c r="B4534" s="1310" t="s">
        <v>21183</v>
      </c>
      <c r="C4534" s="476" t="s">
        <v>20221</v>
      </c>
      <c r="D4534" s="1311" t="s">
        <v>897</v>
      </c>
      <c r="E4534" s="1110">
        <v>2013</v>
      </c>
      <c r="F4534" s="1110" t="s">
        <v>5257</v>
      </c>
      <c r="G4534" s="1225"/>
      <c r="H4534" s="1312" t="s">
        <v>20224</v>
      </c>
      <c r="I4534" s="11" t="s">
        <v>6299</v>
      </c>
      <c r="J4534" s="1285"/>
      <c r="K4534" s="1285"/>
      <c r="L4534" s="1285"/>
    </row>
    <row r="4535" spans="1:12" ht="9" customHeight="1">
      <c r="A4535" s="129"/>
      <c r="B4535" s="477" t="s">
        <v>6300</v>
      </c>
      <c r="C4535" s="147"/>
      <c r="D4535" s="87"/>
      <c r="E4535" s="90"/>
      <c r="F4535" s="59"/>
      <c r="G4535" s="74"/>
      <c r="H4535" s="90"/>
      <c r="I4535" s="11"/>
    </row>
    <row r="4536" spans="1:12" ht="9" customHeight="1">
      <c r="A4536" s="129"/>
      <c r="B4536" s="150" t="s">
        <v>6301</v>
      </c>
      <c r="C4536" s="147"/>
      <c r="D4536" s="87"/>
      <c r="E4536" s="36"/>
      <c r="F4536" s="178"/>
      <c r="G4536" s="60"/>
      <c r="H4536" s="36"/>
      <c r="I4536" s="11"/>
    </row>
    <row r="4537" spans="1:12" ht="9" customHeight="1" thickBot="1">
      <c r="A4537" s="129"/>
      <c r="B4537" s="477" t="s">
        <v>6302</v>
      </c>
      <c r="C4537" s="147"/>
      <c r="D4537" s="87"/>
      <c r="E4537" s="36"/>
      <c r="F4537" s="178"/>
      <c r="G4537" s="60"/>
      <c r="H4537" s="36"/>
      <c r="I4537" s="11"/>
    </row>
    <row r="4538" spans="1:12" ht="11.15" customHeight="1">
      <c r="A4538" s="153" t="s">
        <v>6303</v>
      </c>
      <c r="B4538" s="177" t="s">
        <v>2242</v>
      </c>
      <c r="C4538" s="147"/>
      <c r="D4538" s="87"/>
      <c r="E4538" s="36"/>
      <c r="F4538" s="178"/>
      <c r="G4538" s="60"/>
      <c r="H4538" s="36"/>
      <c r="I4538" s="11"/>
    </row>
    <row r="4539" spans="1:12" ht="11.15" customHeight="1" thickBot="1">
      <c r="A4539" s="230" t="s">
        <v>6304</v>
      </c>
      <c r="B4539" s="59" t="s">
        <v>20988</v>
      </c>
      <c r="C4539" s="147" t="s">
        <v>20221</v>
      </c>
      <c r="D4539" s="701" t="s">
        <v>1129</v>
      </c>
      <c r="E4539" s="178">
        <v>2021</v>
      </c>
      <c r="F4539" s="178" t="s">
        <v>23395</v>
      </c>
      <c r="G4539" s="496"/>
      <c r="H4539" s="994" t="s">
        <v>20221</v>
      </c>
      <c r="I4539" s="11" t="s">
        <v>6305</v>
      </c>
      <c r="J4539" s="1285"/>
      <c r="K4539" s="1285"/>
      <c r="L4539" s="1285"/>
    </row>
    <row r="4540" spans="1:12" ht="11.15" customHeight="1">
      <c r="A4540" s="29" t="s">
        <v>6306</v>
      </c>
      <c r="B4540" s="59" t="s">
        <v>20989</v>
      </c>
      <c r="C4540" s="147" t="s">
        <v>20221</v>
      </c>
      <c r="D4540" s="701" t="s">
        <v>1129</v>
      </c>
      <c r="E4540" s="178">
        <v>2020</v>
      </c>
      <c r="F4540" s="178" t="s">
        <v>4520</v>
      </c>
      <c r="G4540" s="496"/>
      <c r="H4540" s="994" t="s">
        <v>20221</v>
      </c>
      <c r="I4540" s="11" t="s">
        <v>6307</v>
      </c>
      <c r="J4540" s="1285"/>
      <c r="K4540" s="1285"/>
      <c r="L4540" s="1285"/>
    </row>
    <row r="4541" spans="1:12" ht="11.15" customHeight="1">
      <c r="A4541" s="29" t="s">
        <v>6308</v>
      </c>
      <c r="B4541" s="59" t="s">
        <v>20990</v>
      </c>
      <c r="C4541" s="147" t="s">
        <v>20221</v>
      </c>
      <c r="D4541" s="701" t="s">
        <v>1129</v>
      </c>
      <c r="E4541" s="178">
        <v>2018</v>
      </c>
      <c r="F4541" s="178" t="s">
        <v>23395</v>
      </c>
      <c r="G4541" s="496"/>
      <c r="H4541" s="994" t="s">
        <v>20221</v>
      </c>
      <c r="I4541" s="11" t="s">
        <v>6309</v>
      </c>
      <c r="J4541" s="1285"/>
      <c r="K4541" s="1285"/>
      <c r="L4541" s="1285"/>
    </row>
    <row r="4542" spans="1:12" ht="11.15" customHeight="1">
      <c r="A4542" s="29" t="s">
        <v>6310</v>
      </c>
      <c r="B4542" s="59" t="s">
        <v>20991</v>
      </c>
      <c r="C4542" s="147" t="s">
        <v>20221</v>
      </c>
      <c r="D4542" s="701" t="s">
        <v>1129</v>
      </c>
      <c r="E4542" s="178">
        <v>2022</v>
      </c>
      <c r="F4542" s="178" t="s">
        <v>23395</v>
      </c>
      <c r="G4542" s="496"/>
      <c r="H4542" s="994" t="s">
        <v>20221</v>
      </c>
      <c r="I4542" s="11" t="s">
        <v>6311</v>
      </c>
      <c r="J4542" s="1285"/>
      <c r="K4542" s="1285"/>
      <c r="L4542" s="1285"/>
    </row>
    <row r="4543" spans="1:12" ht="11.15" customHeight="1">
      <c r="A4543" s="29" t="s">
        <v>6312</v>
      </c>
      <c r="B4543" s="59" t="s">
        <v>20992</v>
      </c>
      <c r="C4543" s="147" t="s">
        <v>20221</v>
      </c>
      <c r="D4543" s="701" t="s">
        <v>1129</v>
      </c>
      <c r="E4543" s="178">
        <v>2022</v>
      </c>
      <c r="F4543" s="178" t="s">
        <v>23395</v>
      </c>
      <c r="G4543" s="496"/>
      <c r="H4543" s="994" t="s">
        <v>20221</v>
      </c>
      <c r="I4543" s="11" t="s">
        <v>6313</v>
      </c>
      <c r="J4543" s="1285"/>
      <c r="K4543" s="1285"/>
      <c r="L4543" s="1285"/>
    </row>
    <row r="4544" spans="1:12" ht="11.15" customHeight="1">
      <c r="A4544" s="218" t="s">
        <v>6314</v>
      </c>
      <c r="B4544" s="177" t="s">
        <v>6315</v>
      </c>
      <c r="C4544" s="147"/>
      <c r="D4544" s="159"/>
      <c r="E4544" s="36"/>
      <c r="F4544" s="183"/>
      <c r="G4544" s="496"/>
      <c r="H4544" s="34"/>
      <c r="I4544" s="11"/>
    </row>
    <row r="4545" spans="1:12" ht="11.15" customHeight="1">
      <c r="A4545" s="181" t="s">
        <v>2536</v>
      </c>
      <c r="B4545" s="59" t="s">
        <v>20993</v>
      </c>
      <c r="C4545" s="147" t="s">
        <v>20221</v>
      </c>
      <c r="D4545" s="701" t="s">
        <v>1129</v>
      </c>
      <c r="E4545" s="178">
        <v>2020</v>
      </c>
      <c r="F4545" s="178" t="s">
        <v>4520</v>
      </c>
      <c r="G4545" s="496"/>
      <c r="H4545" s="994" t="s">
        <v>20221</v>
      </c>
      <c r="I4545" s="11" t="s">
        <v>6316</v>
      </c>
      <c r="J4545" s="1285"/>
      <c r="K4545" s="1285"/>
      <c r="L4545" s="1285"/>
    </row>
    <row r="4546" spans="1:12" ht="11.15" customHeight="1">
      <c r="A4546" s="195" t="s">
        <v>6317</v>
      </c>
      <c r="B4546" s="59" t="s">
        <v>20993</v>
      </c>
      <c r="C4546" s="147" t="s">
        <v>20221</v>
      </c>
      <c r="D4546" s="701" t="s">
        <v>1129</v>
      </c>
      <c r="E4546" s="178">
        <v>2019</v>
      </c>
      <c r="F4546" s="178" t="s">
        <v>4520</v>
      </c>
      <c r="G4546" s="496"/>
      <c r="H4546" s="994" t="s">
        <v>20221</v>
      </c>
      <c r="I4546" s="11" t="s">
        <v>6318</v>
      </c>
      <c r="J4546" s="1285"/>
      <c r="K4546" s="1285"/>
      <c r="L4546" s="1285"/>
    </row>
    <row r="4547" spans="1:12" ht="11.15" customHeight="1">
      <c r="A4547" s="29" t="s">
        <v>6319</v>
      </c>
      <c r="B4547" s="59" t="s">
        <v>20993</v>
      </c>
      <c r="C4547" s="147" t="s">
        <v>20221</v>
      </c>
      <c r="D4547" s="701" t="s">
        <v>1129</v>
      </c>
      <c r="E4547" s="178">
        <v>2018</v>
      </c>
      <c r="F4547" s="178" t="s">
        <v>23395</v>
      </c>
      <c r="G4547" s="496"/>
      <c r="H4547" s="994" t="s">
        <v>20221</v>
      </c>
      <c r="I4547" s="11" t="s">
        <v>6320</v>
      </c>
      <c r="J4547" s="1285"/>
      <c r="K4547" s="1285"/>
      <c r="L4547" s="1285"/>
    </row>
    <row r="4548" spans="1:12" ht="11.15" customHeight="1">
      <c r="A4548" s="29" t="s">
        <v>6321</v>
      </c>
      <c r="B4548" s="177" t="s">
        <v>6322</v>
      </c>
      <c r="C4548" s="147"/>
      <c r="D4548" s="159"/>
      <c r="E4548" s="36"/>
      <c r="F4548" s="183"/>
      <c r="G4548" s="496"/>
      <c r="H4548" s="34"/>
      <c r="I4548" s="11"/>
    </row>
    <row r="4549" spans="1:12" ht="11.15" customHeight="1">
      <c r="A4549" s="29" t="s">
        <v>6323</v>
      </c>
      <c r="B4549" s="59" t="s">
        <v>20994</v>
      </c>
      <c r="C4549" s="147" t="s">
        <v>20221</v>
      </c>
      <c r="D4549" s="284" t="s">
        <v>897</v>
      </c>
      <c r="E4549" s="178">
        <v>2020</v>
      </c>
      <c r="F4549" s="178" t="s">
        <v>4520</v>
      </c>
      <c r="G4549" s="496"/>
      <c r="H4549" s="994" t="s">
        <v>20221</v>
      </c>
      <c r="I4549" s="11" t="s">
        <v>6324</v>
      </c>
      <c r="J4549" s="1285"/>
      <c r="K4549" s="1285"/>
      <c r="L4549" s="1285"/>
    </row>
    <row r="4550" spans="1:12" ht="11.15" customHeight="1">
      <c r="A4550" s="29" t="s">
        <v>6325</v>
      </c>
      <c r="B4550" s="59" t="s">
        <v>20994</v>
      </c>
      <c r="C4550" s="147" t="s">
        <v>20221</v>
      </c>
      <c r="D4550" s="284" t="s">
        <v>897</v>
      </c>
      <c r="E4550" s="178">
        <v>2018</v>
      </c>
      <c r="F4550" s="178" t="s">
        <v>23395</v>
      </c>
      <c r="G4550" s="496"/>
      <c r="H4550" s="994" t="s">
        <v>20277</v>
      </c>
      <c r="I4550" s="11" t="s">
        <v>6326</v>
      </c>
      <c r="J4550" s="1285"/>
      <c r="K4550" s="1285"/>
      <c r="L4550" s="1285"/>
    </row>
    <row r="4551" spans="1:12" ht="11.15" customHeight="1">
      <c r="A4551" s="129" t="s">
        <v>1077</v>
      </c>
      <c r="B4551" s="59" t="s">
        <v>20995</v>
      </c>
      <c r="C4551" s="147" t="s">
        <v>20221</v>
      </c>
      <c r="D4551" s="284" t="s">
        <v>897</v>
      </c>
      <c r="E4551" s="178">
        <v>2017</v>
      </c>
      <c r="F4551" s="178" t="s">
        <v>23395</v>
      </c>
      <c r="G4551" s="496"/>
      <c r="H4551" s="994" t="s">
        <v>20221</v>
      </c>
      <c r="I4551" s="11" t="s">
        <v>6327</v>
      </c>
      <c r="J4551" s="1285"/>
      <c r="K4551" s="1285"/>
      <c r="L4551" s="1285"/>
    </row>
    <row r="4552" spans="1:12" ht="11.15" customHeight="1">
      <c r="A4552" s="162" t="s">
        <v>6328</v>
      </c>
      <c r="B4552" s="177" t="s">
        <v>1398</v>
      </c>
      <c r="C4552" s="147"/>
      <c r="D4552" s="159"/>
      <c r="E4552" s="36"/>
      <c r="F4552" s="183"/>
      <c r="G4552" s="496"/>
      <c r="H4552" s="34"/>
      <c r="I4552" s="11"/>
    </row>
    <row r="4553" spans="1:12" ht="11.15" customHeight="1">
      <c r="A4553" s="162" t="s">
        <v>6329</v>
      </c>
      <c r="B4553" s="59" t="s">
        <v>20996</v>
      </c>
      <c r="C4553" s="147" t="s">
        <v>20221</v>
      </c>
      <c r="D4553" s="284" t="s">
        <v>897</v>
      </c>
      <c r="E4553" s="178">
        <v>2022</v>
      </c>
      <c r="F4553" s="178" t="s">
        <v>4520</v>
      </c>
      <c r="G4553" s="496"/>
      <c r="H4553" s="994" t="s">
        <v>20221</v>
      </c>
      <c r="I4553" s="11" t="s">
        <v>6330</v>
      </c>
      <c r="J4553" s="1285"/>
      <c r="K4553" s="1285"/>
      <c r="L4553" s="1285"/>
    </row>
    <row r="4554" spans="1:12" ht="11.15" customHeight="1">
      <c r="A4554" s="162" t="s">
        <v>6331</v>
      </c>
      <c r="B4554" s="59" t="s">
        <v>20997</v>
      </c>
      <c r="C4554" s="147" t="s">
        <v>20221</v>
      </c>
      <c r="D4554" s="284" t="s">
        <v>897</v>
      </c>
      <c r="E4554" s="178">
        <v>2021</v>
      </c>
      <c r="F4554" s="178" t="s">
        <v>23395</v>
      </c>
      <c r="G4554" s="496"/>
      <c r="H4554" s="994" t="s">
        <v>20221</v>
      </c>
      <c r="I4554" s="11" t="s">
        <v>6332</v>
      </c>
      <c r="J4554" s="1285"/>
      <c r="K4554" s="1285"/>
      <c r="L4554" s="1285"/>
    </row>
    <row r="4555" spans="1:12" ht="11.15" customHeight="1">
      <c r="A4555" s="162" t="s">
        <v>6333</v>
      </c>
      <c r="B4555" s="59" t="s">
        <v>20997</v>
      </c>
      <c r="C4555" s="147" t="s">
        <v>20221</v>
      </c>
      <c r="D4555" s="284" t="s">
        <v>897</v>
      </c>
      <c r="E4555" s="178">
        <v>2020</v>
      </c>
      <c r="F4555" s="178" t="s">
        <v>4520</v>
      </c>
      <c r="G4555" s="496"/>
      <c r="H4555" s="994" t="s">
        <v>20221</v>
      </c>
      <c r="I4555" s="11" t="s">
        <v>6334</v>
      </c>
      <c r="J4555" s="1285"/>
      <c r="K4555" s="1285"/>
      <c r="L4555" s="1285"/>
    </row>
    <row r="4556" spans="1:12" ht="11.15" customHeight="1">
      <c r="A4556" s="162" t="s">
        <v>6335</v>
      </c>
      <c r="B4556" s="59" t="s">
        <v>20997</v>
      </c>
      <c r="C4556" s="147" t="s">
        <v>20221</v>
      </c>
      <c r="D4556" s="284" t="s">
        <v>897</v>
      </c>
      <c r="E4556" s="178">
        <v>2019</v>
      </c>
      <c r="F4556" s="178" t="s">
        <v>4520</v>
      </c>
      <c r="G4556" s="496"/>
      <c r="H4556" s="994" t="s">
        <v>20221</v>
      </c>
      <c r="I4556" s="11" t="s">
        <v>6336</v>
      </c>
      <c r="J4556" s="1285"/>
      <c r="K4556" s="1285"/>
      <c r="L4556" s="1285"/>
    </row>
    <row r="4557" spans="1:12" ht="11.15" customHeight="1">
      <c r="A4557" s="162" t="s">
        <v>6337</v>
      </c>
      <c r="B4557" s="59" t="s">
        <v>20997</v>
      </c>
      <c r="C4557" s="147" t="s">
        <v>20221</v>
      </c>
      <c r="D4557" s="284" t="s">
        <v>897</v>
      </c>
      <c r="E4557" s="178">
        <v>2018</v>
      </c>
      <c r="F4557" s="178" t="s">
        <v>23395</v>
      </c>
      <c r="G4557" s="496"/>
      <c r="H4557" s="994" t="s">
        <v>20221</v>
      </c>
      <c r="I4557" s="11" t="s">
        <v>6338</v>
      </c>
      <c r="J4557" s="1285"/>
      <c r="K4557" s="1285"/>
      <c r="L4557" s="1285"/>
    </row>
    <row r="4558" spans="1:12" ht="11.15" customHeight="1">
      <c r="A4558" s="162" t="s">
        <v>6339</v>
      </c>
      <c r="B4558" s="59" t="s">
        <v>20937</v>
      </c>
      <c r="C4558" s="147" t="s">
        <v>20221</v>
      </c>
      <c r="D4558" s="284" t="s">
        <v>897</v>
      </c>
      <c r="E4558" s="178">
        <v>2017</v>
      </c>
      <c r="F4558" s="178" t="s">
        <v>23395</v>
      </c>
      <c r="G4558" s="496"/>
      <c r="H4558" s="994" t="s">
        <v>20221</v>
      </c>
      <c r="I4558" s="11" t="s">
        <v>6340</v>
      </c>
      <c r="J4558" s="1285"/>
      <c r="K4558" s="1285"/>
      <c r="L4558" s="1285"/>
    </row>
    <row r="4559" spans="1:12" ht="11.15" customHeight="1">
      <c r="A4559" s="162" t="s">
        <v>6341</v>
      </c>
      <c r="B4559" s="59" t="s">
        <v>20937</v>
      </c>
      <c r="C4559" s="147" t="s">
        <v>20221</v>
      </c>
      <c r="D4559" s="284" t="s">
        <v>897</v>
      </c>
      <c r="E4559" s="178">
        <v>2016</v>
      </c>
      <c r="F4559" s="178" t="s">
        <v>23395</v>
      </c>
      <c r="G4559" s="496"/>
      <c r="H4559" s="994" t="s">
        <v>20277</v>
      </c>
      <c r="I4559" s="11" t="s">
        <v>6342</v>
      </c>
      <c r="J4559" s="1285"/>
      <c r="K4559" s="1285"/>
      <c r="L4559" s="1285"/>
    </row>
    <row r="4560" spans="1:12" ht="11.15" customHeight="1">
      <c r="A4560" s="162" t="s">
        <v>6343</v>
      </c>
      <c r="B4560" s="59" t="s">
        <v>20998</v>
      </c>
      <c r="C4560" s="147" t="s">
        <v>20221</v>
      </c>
      <c r="D4560" s="284" t="s">
        <v>897</v>
      </c>
      <c r="E4560" s="178">
        <v>2022</v>
      </c>
      <c r="F4560" s="178" t="s">
        <v>4520</v>
      </c>
      <c r="G4560" s="496"/>
      <c r="H4560" s="994" t="s">
        <v>20221</v>
      </c>
      <c r="I4560" s="11" t="s">
        <v>6344</v>
      </c>
      <c r="J4560" s="1285"/>
      <c r="K4560" s="1285"/>
      <c r="L4560" s="1285"/>
    </row>
    <row r="4561" spans="1:12" ht="11.15" customHeight="1">
      <c r="A4561" s="162" t="s">
        <v>6345</v>
      </c>
      <c r="B4561" s="59" t="s">
        <v>20998</v>
      </c>
      <c r="C4561" s="147" t="s">
        <v>20221</v>
      </c>
      <c r="D4561" s="284" t="s">
        <v>897</v>
      </c>
      <c r="E4561" s="178">
        <v>2021</v>
      </c>
      <c r="F4561" s="178" t="s">
        <v>23395</v>
      </c>
      <c r="G4561" s="496"/>
      <c r="H4561" s="994" t="s">
        <v>20221</v>
      </c>
      <c r="I4561" s="11" t="s">
        <v>6346</v>
      </c>
      <c r="J4561" s="1285"/>
      <c r="K4561" s="1285"/>
      <c r="L4561" s="1285"/>
    </row>
    <row r="4562" spans="1:12" ht="11.15" customHeight="1">
      <c r="A4562" s="162" t="s">
        <v>6347</v>
      </c>
      <c r="B4562" s="59" t="s">
        <v>20998</v>
      </c>
      <c r="C4562" s="147" t="s">
        <v>20221</v>
      </c>
      <c r="D4562" s="284" t="s">
        <v>897</v>
      </c>
      <c r="E4562" s="178">
        <v>2020</v>
      </c>
      <c r="F4562" s="178" t="s">
        <v>4520</v>
      </c>
      <c r="G4562" s="496"/>
      <c r="H4562" s="994" t="s">
        <v>20221</v>
      </c>
      <c r="I4562" s="11" t="s">
        <v>6348</v>
      </c>
      <c r="J4562" s="1285"/>
      <c r="K4562" s="1285"/>
      <c r="L4562" s="1285"/>
    </row>
    <row r="4563" spans="1:12" ht="11.15" customHeight="1">
      <c r="A4563" s="169" t="s">
        <v>6349</v>
      </c>
      <c r="B4563" s="59" t="s">
        <v>20998</v>
      </c>
      <c r="C4563" s="147" t="s">
        <v>20221</v>
      </c>
      <c r="D4563" s="284" t="s">
        <v>897</v>
      </c>
      <c r="E4563" s="178">
        <v>2017</v>
      </c>
      <c r="F4563" s="178" t="s">
        <v>23395</v>
      </c>
      <c r="G4563" s="496"/>
      <c r="H4563" s="994" t="s">
        <v>20221</v>
      </c>
      <c r="I4563" s="11" t="s">
        <v>6350</v>
      </c>
      <c r="J4563" s="1285"/>
      <c r="K4563" s="1285"/>
      <c r="L4563" s="1285"/>
    </row>
    <row r="4564" spans="1:12" ht="11.15" customHeight="1">
      <c r="A4564" s="169" t="s">
        <v>6351</v>
      </c>
      <c r="B4564" s="177" t="s">
        <v>6352</v>
      </c>
      <c r="C4564" s="147"/>
      <c r="D4564" s="159"/>
      <c r="E4564" s="36"/>
      <c r="F4564" s="183"/>
      <c r="G4564" s="496"/>
      <c r="H4564" s="34"/>
      <c r="I4564" s="11"/>
    </row>
    <row r="4565" spans="1:12" ht="11.15" customHeight="1">
      <c r="A4565" s="424" t="s">
        <v>6353</v>
      </c>
      <c r="B4565" s="59" t="s">
        <v>20999</v>
      </c>
      <c r="C4565" s="147" t="s">
        <v>20221</v>
      </c>
      <c r="D4565" s="284" t="s">
        <v>897</v>
      </c>
      <c r="E4565" s="178">
        <v>2022</v>
      </c>
      <c r="F4565" s="178" t="s">
        <v>4520</v>
      </c>
      <c r="G4565" s="496"/>
      <c r="H4565" s="994" t="s">
        <v>20221</v>
      </c>
      <c r="I4565" s="11" t="s">
        <v>6354</v>
      </c>
      <c r="J4565" s="1285"/>
      <c r="K4565" s="1285"/>
      <c r="L4565" s="1285"/>
    </row>
    <row r="4566" spans="1:12" ht="11.15" customHeight="1">
      <c r="A4566" s="29"/>
      <c r="B4566" s="59" t="s">
        <v>21000</v>
      </c>
      <c r="C4566" s="147" t="s">
        <v>20221</v>
      </c>
      <c r="D4566" s="284" t="s">
        <v>897</v>
      </c>
      <c r="E4566" s="178">
        <v>2021</v>
      </c>
      <c r="F4566" s="178" t="s">
        <v>23395</v>
      </c>
      <c r="G4566" s="496"/>
      <c r="H4566" s="994" t="s">
        <v>20221</v>
      </c>
      <c r="I4566" s="11" t="s">
        <v>6355</v>
      </c>
      <c r="J4566" s="1285"/>
      <c r="K4566" s="1285"/>
      <c r="L4566" s="1285"/>
    </row>
    <row r="4567" spans="1:12" ht="11.15" customHeight="1">
      <c r="A4567" s="185"/>
      <c r="B4567" s="59" t="s">
        <v>21001</v>
      </c>
      <c r="C4567" s="147" t="s">
        <v>20221</v>
      </c>
      <c r="D4567" s="284" t="s">
        <v>897</v>
      </c>
      <c r="E4567" s="178">
        <v>2020</v>
      </c>
      <c r="F4567" s="178" t="s">
        <v>4520</v>
      </c>
      <c r="G4567" s="496"/>
      <c r="H4567" s="994" t="s">
        <v>20221</v>
      </c>
      <c r="I4567" s="11" t="s">
        <v>6356</v>
      </c>
      <c r="J4567" s="1285"/>
      <c r="K4567" s="1285"/>
      <c r="L4567" s="1285"/>
    </row>
    <row r="4568" spans="1:12" ht="11.15" customHeight="1">
      <c r="A4568" s="185"/>
      <c r="B4568" s="59" t="s">
        <v>18808</v>
      </c>
      <c r="C4568" s="147" t="s">
        <v>20221</v>
      </c>
      <c r="D4568" s="284" t="s">
        <v>897</v>
      </c>
      <c r="E4568" s="178">
        <v>2017</v>
      </c>
      <c r="F4568" s="178" t="s">
        <v>23395</v>
      </c>
      <c r="G4568" s="496"/>
      <c r="H4568" s="994" t="s">
        <v>20221</v>
      </c>
      <c r="I4568" s="11" t="s">
        <v>6357</v>
      </c>
      <c r="J4568" s="1285"/>
      <c r="K4568" s="1285"/>
      <c r="L4568" s="1285"/>
    </row>
    <row r="4569" spans="1:12" ht="11.15" customHeight="1">
      <c r="A4569" s="185"/>
      <c r="B4569" s="59" t="s">
        <v>18810</v>
      </c>
      <c r="C4569" s="147" t="s">
        <v>20221</v>
      </c>
      <c r="D4569" s="284" t="s">
        <v>897</v>
      </c>
      <c r="E4569" s="178">
        <v>2019</v>
      </c>
      <c r="F4569" s="178" t="s">
        <v>4520</v>
      </c>
      <c r="G4569" s="496"/>
      <c r="H4569" s="994" t="s">
        <v>20224</v>
      </c>
      <c r="I4569" s="11" t="s">
        <v>6358</v>
      </c>
      <c r="J4569" s="1285"/>
      <c r="K4569" s="1285"/>
      <c r="L4569" s="1285"/>
    </row>
    <row r="4570" spans="1:12" ht="11.15" customHeight="1">
      <c r="A4570" s="185"/>
      <c r="B4570" s="59" t="s">
        <v>18810</v>
      </c>
      <c r="C4570" s="147" t="s">
        <v>20221</v>
      </c>
      <c r="D4570" s="284" t="s">
        <v>897</v>
      </c>
      <c r="E4570" s="178">
        <v>2018</v>
      </c>
      <c r="F4570" s="178" t="s">
        <v>23395</v>
      </c>
      <c r="G4570" s="496"/>
      <c r="H4570" s="994" t="s">
        <v>20221</v>
      </c>
      <c r="I4570" s="11" t="s">
        <v>6359</v>
      </c>
      <c r="J4570" s="1285"/>
      <c r="K4570" s="1285"/>
      <c r="L4570" s="1285"/>
    </row>
    <row r="4571" spans="1:12" ht="11.15" customHeight="1">
      <c r="A4571" s="185"/>
      <c r="B4571" s="59" t="s">
        <v>18810</v>
      </c>
      <c r="C4571" s="147" t="s">
        <v>20221</v>
      </c>
      <c r="D4571" s="284" t="s">
        <v>897</v>
      </c>
      <c r="E4571" s="178">
        <v>2015</v>
      </c>
      <c r="F4571" s="178" t="s">
        <v>23395</v>
      </c>
      <c r="G4571" s="496"/>
      <c r="H4571" s="994" t="s">
        <v>20221</v>
      </c>
      <c r="I4571" s="11" t="s">
        <v>6360</v>
      </c>
      <c r="J4571" s="1285"/>
      <c r="K4571" s="1285"/>
      <c r="L4571" s="1285"/>
    </row>
    <row r="4572" spans="1:12" ht="11.15" customHeight="1">
      <c r="A4572" s="185"/>
      <c r="B4572" s="59" t="s">
        <v>21002</v>
      </c>
      <c r="C4572" s="147" t="s">
        <v>20221</v>
      </c>
      <c r="D4572" s="284" t="s">
        <v>897</v>
      </c>
      <c r="E4572" s="178">
        <v>2022</v>
      </c>
      <c r="F4572" s="178" t="s">
        <v>4520</v>
      </c>
      <c r="G4572" s="496"/>
      <c r="H4572" s="994" t="s">
        <v>20221</v>
      </c>
      <c r="I4572" s="11" t="s">
        <v>6361</v>
      </c>
      <c r="J4572" s="1285"/>
      <c r="K4572" s="1285"/>
      <c r="L4572" s="1285"/>
    </row>
    <row r="4573" spans="1:12" ht="11.15" customHeight="1">
      <c r="A4573" s="185"/>
      <c r="B4573" s="177" t="s">
        <v>6362</v>
      </c>
      <c r="C4573" s="147"/>
      <c r="D4573" s="159"/>
      <c r="E4573" s="36"/>
      <c r="F4573" s="183"/>
      <c r="G4573" s="496"/>
      <c r="H4573" s="34"/>
      <c r="I4573" s="11"/>
    </row>
    <row r="4574" spans="1:12" ht="11.15" customHeight="1">
      <c r="A4574" s="185"/>
      <c r="B4574" s="59" t="s">
        <v>21003</v>
      </c>
      <c r="C4574" s="147" t="s">
        <v>20221</v>
      </c>
      <c r="D4574" s="284" t="s">
        <v>897</v>
      </c>
      <c r="E4574" s="178">
        <v>2022</v>
      </c>
      <c r="F4574" s="178" t="s">
        <v>4520</v>
      </c>
      <c r="G4574" s="496"/>
      <c r="H4574" s="994" t="s">
        <v>20221</v>
      </c>
      <c r="I4574" s="11" t="s">
        <v>6363</v>
      </c>
      <c r="J4574" s="1285"/>
      <c r="K4574" s="1285"/>
      <c r="L4574" s="1285"/>
    </row>
    <row r="4575" spans="1:12" ht="11.15" customHeight="1">
      <c r="A4575" s="185"/>
      <c r="B4575" s="59" t="s">
        <v>21003</v>
      </c>
      <c r="C4575" s="147" t="s">
        <v>20221</v>
      </c>
      <c r="D4575" s="284" t="s">
        <v>897</v>
      </c>
      <c r="E4575" s="178">
        <v>2021</v>
      </c>
      <c r="F4575" s="178" t="s">
        <v>23395</v>
      </c>
      <c r="G4575" s="496"/>
      <c r="H4575" s="994" t="s">
        <v>20221</v>
      </c>
      <c r="I4575" s="11" t="s">
        <v>6364</v>
      </c>
      <c r="J4575" s="1285"/>
      <c r="K4575" s="1285"/>
      <c r="L4575" s="1285"/>
    </row>
    <row r="4576" spans="1:12" ht="11.15" customHeight="1">
      <c r="A4576" s="185"/>
      <c r="B4576" s="59" t="s">
        <v>21003</v>
      </c>
      <c r="C4576" s="147" t="s">
        <v>20221</v>
      </c>
      <c r="D4576" s="284" t="s">
        <v>897</v>
      </c>
      <c r="E4576" s="178">
        <v>2020</v>
      </c>
      <c r="F4576" s="178" t="s">
        <v>4520</v>
      </c>
      <c r="G4576" s="496"/>
      <c r="H4576" s="994" t="s">
        <v>20221</v>
      </c>
      <c r="I4576" s="11" t="s">
        <v>6365</v>
      </c>
      <c r="J4576" s="1285"/>
      <c r="K4576" s="1285"/>
      <c r="L4576" s="1285"/>
    </row>
    <row r="4577" spans="1:12" ht="11.15" customHeight="1">
      <c r="A4577" s="185"/>
      <c r="B4577" s="59" t="s">
        <v>21003</v>
      </c>
      <c r="C4577" s="147" t="s">
        <v>20221</v>
      </c>
      <c r="D4577" s="284" t="s">
        <v>897</v>
      </c>
      <c r="E4577" s="178">
        <v>2019</v>
      </c>
      <c r="F4577" s="178" t="s">
        <v>4520</v>
      </c>
      <c r="G4577" s="496"/>
      <c r="H4577" s="994" t="s">
        <v>20221</v>
      </c>
      <c r="I4577" s="11" t="s">
        <v>6366</v>
      </c>
      <c r="J4577" s="1285"/>
      <c r="K4577" s="1285"/>
      <c r="L4577" s="1285"/>
    </row>
    <row r="4578" spans="1:12" ht="11.15" customHeight="1">
      <c r="A4578" s="185"/>
      <c r="B4578" s="59" t="s">
        <v>21003</v>
      </c>
      <c r="C4578" s="147" t="s">
        <v>20221</v>
      </c>
      <c r="D4578" s="284" t="s">
        <v>897</v>
      </c>
      <c r="E4578" s="178">
        <v>2018</v>
      </c>
      <c r="F4578" s="178" t="s">
        <v>23395</v>
      </c>
      <c r="G4578" s="496"/>
      <c r="H4578" s="994" t="s">
        <v>20221</v>
      </c>
      <c r="I4578" s="11" t="s">
        <v>6367</v>
      </c>
      <c r="J4578" s="1285"/>
      <c r="K4578" s="1285"/>
      <c r="L4578" s="1285"/>
    </row>
    <row r="4579" spans="1:12" ht="11.15" customHeight="1">
      <c r="A4579" s="185"/>
      <c r="B4579" s="59" t="s">
        <v>21003</v>
      </c>
      <c r="C4579" s="147" t="s">
        <v>20221</v>
      </c>
      <c r="D4579" s="284" t="s">
        <v>897</v>
      </c>
      <c r="E4579" s="178">
        <v>2017</v>
      </c>
      <c r="F4579" s="178" t="s">
        <v>23395</v>
      </c>
      <c r="G4579" s="496"/>
      <c r="H4579" s="994" t="s">
        <v>20277</v>
      </c>
      <c r="I4579" s="11" t="s">
        <v>6368</v>
      </c>
      <c r="J4579" s="1285"/>
      <c r="K4579" s="1285"/>
      <c r="L4579" s="1285"/>
    </row>
    <row r="4580" spans="1:12" ht="11.15" customHeight="1">
      <c r="A4580" s="185"/>
      <c r="B4580" s="59" t="s">
        <v>21004</v>
      </c>
      <c r="C4580" s="147" t="s">
        <v>20221</v>
      </c>
      <c r="D4580" s="284" t="s">
        <v>897</v>
      </c>
      <c r="E4580" s="178">
        <v>2021</v>
      </c>
      <c r="F4580" s="178" t="s">
        <v>23395</v>
      </c>
      <c r="G4580" s="496"/>
      <c r="H4580" s="994" t="s">
        <v>20221</v>
      </c>
      <c r="I4580" s="11" t="s">
        <v>6369</v>
      </c>
      <c r="J4580" s="1285"/>
      <c r="K4580" s="1285"/>
      <c r="L4580" s="1285"/>
    </row>
    <row r="4581" spans="1:12" ht="11.15" customHeight="1">
      <c r="A4581" s="185"/>
      <c r="B4581" s="59" t="s">
        <v>21004</v>
      </c>
      <c r="C4581" s="147" t="s">
        <v>20221</v>
      </c>
      <c r="D4581" s="284" t="s">
        <v>897</v>
      </c>
      <c r="E4581" s="178">
        <v>2019</v>
      </c>
      <c r="F4581" s="178" t="s">
        <v>4520</v>
      </c>
      <c r="G4581" s="496"/>
      <c r="H4581" s="994" t="s">
        <v>20221</v>
      </c>
      <c r="I4581" s="11" t="s">
        <v>6370</v>
      </c>
      <c r="J4581" s="1285"/>
      <c r="K4581" s="1285"/>
      <c r="L4581" s="1285"/>
    </row>
    <row r="4582" spans="1:12" ht="11.15" customHeight="1">
      <c r="A4582" s="185"/>
      <c r="B4582" s="59" t="s">
        <v>21004</v>
      </c>
      <c r="C4582" s="147" t="s">
        <v>20221</v>
      </c>
      <c r="D4582" s="284" t="s">
        <v>897</v>
      </c>
      <c r="E4582" s="178">
        <v>2017</v>
      </c>
      <c r="F4582" s="178" t="s">
        <v>23395</v>
      </c>
      <c r="G4582" s="496"/>
      <c r="H4582" s="994" t="s">
        <v>20221</v>
      </c>
      <c r="I4582" s="11" t="s">
        <v>6371</v>
      </c>
      <c r="J4582" s="1285"/>
      <c r="K4582" s="1285"/>
      <c r="L4582" s="1285"/>
    </row>
    <row r="4583" spans="1:12" ht="11.15" customHeight="1">
      <c r="A4583" s="185"/>
      <c r="B4583" s="59" t="s">
        <v>21005</v>
      </c>
      <c r="C4583" s="147" t="s">
        <v>20221</v>
      </c>
      <c r="D4583" s="284" t="s">
        <v>897</v>
      </c>
      <c r="E4583" s="178">
        <v>2020</v>
      </c>
      <c r="F4583" s="178" t="s">
        <v>4520</v>
      </c>
      <c r="G4583" s="496"/>
      <c r="H4583" s="994" t="s">
        <v>20221</v>
      </c>
      <c r="I4583" s="11" t="s">
        <v>6372</v>
      </c>
      <c r="J4583" s="1285"/>
      <c r="K4583" s="1285"/>
      <c r="L4583" s="1285"/>
    </row>
    <row r="4584" spans="1:12" ht="11.15" customHeight="1">
      <c r="A4584" s="185"/>
      <c r="B4584" s="59" t="s">
        <v>21005</v>
      </c>
      <c r="C4584" s="147" t="s">
        <v>20221</v>
      </c>
      <c r="D4584" s="284" t="s">
        <v>897</v>
      </c>
      <c r="E4584" s="178">
        <v>2019</v>
      </c>
      <c r="F4584" s="178" t="s">
        <v>4520</v>
      </c>
      <c r="G4584" s="496"/>
      <c r="H4584" s="994" t="s">
        <v>20221</v>
      </c>
      <c r="I4584" s="11" t="s">
        <v>6373</v>
      </c>
      <c r="J4584" s="1285"/>
      <c r="K4584" s="1285"/>
      <c r="L4584" s="1285"/>
    </row>
    <row r="4585" spans="1:12" ht="11.15" customHeight="1">
      <c r="A4585" s="185"/>
      <c r="B4585" s="59" t="s">
        <v>21005</v>
      </c>
      <c r="C4585" s="147" t="s">
        <v>20221</v>
      </c>
      <c r="D4585" s="284" t="s">
        <v>897</v>
      </c>
      <c r="E4585" s="178">
        <v>2017</v>
      </c>
      <c r="F4585" s="178" t="s">
        <v>23395</v>
      </c>
      <c r="G4585" s="496"/>
      <c r="H4585" s="994" t="s">
        <v>20221</v>
      </c>
      <c r="I4585" s="11" t="s">
        <v>6374</v>
      </c>
      <c r="J4585" s="1285"/>
      <c r="K4585" s="1285"/>
      <c r="L4585" s="1285"/>
    </row>
    <row r="4586" spans="1:12" ht="11.15" customHeight="1">
      <c r="A4586" s="185"/>
      <c r="B4586" s="59"/>
      <c r="C4586" s="147"/>
      <c r="D4586" s="161"/>
      <c r="E4586" s="36"/>
      <c r="F4586" s="178"/>
      <c r="G4586" s="671"/>
      <c r="H4586" s="36"/>
      <c r="I4586" s="11"/>
    </row>
    <row r="4587" spans="1:12" ht="11.15" customHeight="1">
      <c r="A4587" s="185"/>
      <c r="B4587" s="146" t="s">
        <v>6375</v>
      </c>
      <c r="C4587" s="147"/>
      <c r="D4587" s="161"/>
      <c r="E4587" s="36"/>
      <c r="F4587" s="178"/>
      <c r="G4587" s="496"/>
      <c r="H4587" s="36"/>
      <c r="I4587" s="11"/>
    </row>
    <row r="4588" spans="1:12" ht="9" customHeight="1">
      <c r="A4588" s="137"/>
      <c r="B4588" s="150" t="s">
        <v>6376</v>
      </c>
      <c r="C4588" s="147"/>
      <c r="D4588" s="478"/>
      <c r="E4588" s="36"/>
      <c r="F4588" s="178"/>
      <c r="G4588" s="496"/>
      <c r="H4588" s="36"/>
      <c r="I4588" s="11"/>
    </row>
    <row r="4589" spans="1:12" ht="9" customHeight="1">
      <c r="A4589" s="137"/>
      <c r="B4589" s="150" t="s">
        <v>6377</v>
      </c>
      <c r="C4589" s="147"/>
      <c r="D4589" s="478"/>
      <c r="E4589" s="36"/>
      <c r="F4589" s="178"/>
      <c r="G4589" s="496"/>
      <c r="H4589" s="36"/>
      <c r="I4589" s="11"/>
    </row>
    <row r="4590" spans="1:12" ht="9" customHeight="1">
      <c r="A4590" s="137"/>
      <c r="B4590" s="150" t="s">
        <v>6378</v>
      </c>
      <c r="C4590" s="147"/>
      <c r="D4590" s="478"/>
      <c r="E4590" s="36"/>
      <c r="F4590" s="178"/>
      <c r="G4590" s="496"/>
      <c r="H4590" s="36"/>
      <c r="I4590" s="11"/>
    </row>
    <row r="4591" spans="1:12" ht="9" customHeight="1">
      <c r="A4591" s="137"/>
      <c r="B4591" s="150" t="s">
        <v>6379</v>
      </c>
      <c r="C4591" s="147"/>
      <c r="D4591" s="478"/>
      <c r="E4591" s="36"/>
      <c r="F4591" s="178"/>
      <c r="G4591" s="496"/>
      <c r="H4591" s="36"/>
      <c r="I4591" s="11"/>
    </row>
    <row r="4592" spans="1:12" ht="9" customHeight="1">
      <c r="A4592" s="137"/>
      <c r="B4592" s="150" t="s">
        <v>6380</v>
      </c>
      <c r="C4592" s="147"/>
      <c r="D4592" s="478"/>
      <c r="E4592" s="36"/>
      <c r="F4592" s="178"/>
      <c r="G4592" s="496"/>
      <c r="H4592" s="36"/>
      <c r="I4592" s="11"/>
    </row>
    <row r="4593" spans="1:12" ht="9" customHeight="1">
      <c r="A4593" s="137"/>
      <c r="B4593" s="150" t="s">
        <v>6381</v>
      </c>
      <c r="C4593" s="147"/>
      <c r="D4593" s="478"/>
      <c r="E4593" s="36"/>
      <c r="F4593" s="178"/>
      <c r="G4593" s="496"/>
      <c r="H4593" s="36"/>
      <c r="I4593" s="11"/>
    </row>
    <row r="4594" spans="1:12" ht="9" customHeight="1">
      <c r="A4594" s="137"/>
      <c r="B4594" s="150" t="s">
        <v>6382</v>
      </c>
      <c r="C4594" s="147"/>
      <c r="D4594" s="478"/>
      <c r="E4594" s="36"/>
      <c r="F4594" s="178"/>
      <c r="G4594" s="496"/>
      <c r="H4594" s="36"/>
      <c r="I4594" s="11"/>
    </row>
    <row r="4595" spans="1:12" ht="9" customHeight="1">
      <c r="A4595" s="137"/>
      <c r="B4595" s="150" t="s">
        <v>6383</v>
      </c>
      <c r="C4595" s="147"/>
      <c r="D4595" s="478"/>
      <c r="E4595" s="36"/>
      <c r="F4595" s="178"/>
      <c r="G4595" s="496"/>
      <c r="H4595" s="36"/>
      <c r="I4595" s="11"/>
    </row>
    <row r="4596" spans="1:12" ht="9" customHeight="1">
      <c r="A4596" s="137"/>
      <c r="B4596" s="150" t="s">
        <v>6384</v>
      </c>
      <c r="C4596" s="147"/>
      <c r="D4596" s="284"/>
      <c r="E4596" s="36"/>
      <c r="F4596" s="178"/>
      <c r="G4596" s="496"/>
      <c r="H4596" s="36"/>
      <c r="I4596" s="11"/>
    </row>
    <row r="4597" spans="1:12" ht="9" customHeight="1">
      <c r="A4597" s="137"/>
      <c r="B4597" s="150" t="s">
        <v>6385</v>
      </c>
      <c r="C4597" s="147"/>
      <c r="D4597" s="284"/>
      <c r="E4597" s="36"/>
      <c r="F4597" s="178"/>
      <c r="G4597" s="496"/>
      <c r="H4597" s="36"/>
      <c r="I4597" s="11"/>
    </row>
    <row r="4598" spans="1:12" ht="9" customHeight="1">
      <c r="A4598" s="137"/>
      <c r="B4598" s="150" t="s">
        <v>6386</v>
      </c>
      <c r="C4598" s="147"/>
      <c r="D4598" s="284"/>
      <c r="E4598" s="36"/>
      <c r="F4598" s="178"/>
      <c r="G4598" s="496"/>
      <c r="H4598" s="36"/>
      <c r="I4598" s="11"/>
    </row>
    <row r="4599" spans="1:12" ht="9" customHeight="1">
      <c r="A4599" s="137"/>
      <c r="B4599" s="150" t="s">
        <v>6387</v>
      </c>
      <c r="C4599" s="147"/>
      <c r="D4599" s="284"/>
      <c r="E4599" s="36"/>
      <c r="F4599" s="178"/>
      <c r="G4599" s="496"/>
      <c r="H4599" s="36"/>
      <c r="I4599" s="11"/>
    </row>
    <row r="4600" spans="1:12" ht="9" customHeight="1">
      <c r="A4600" s="137"/>
      <c r="B4600" s="150" t="s">
        <v>6388</v>
      </c>
      <c r="C4600" s="147"/>
      <c r="D4600" s="284"/>
      <c r="E4600" s="36"/>
      <c r="F4600" s="178"/>
      <c r="G4600" s="496"/>
      <c r="H4600" s="36"/>
      <c r="I4600" s="11"/>
    </row>
    <row r="4601" spans="1:12" ht="9" customHeight="1" thickBot="1">
      <c r="A4601" s="137"/>
      <c r="B4601" s="209" t="s">
        <v>6389</v>
      </c>
      <c r="C4601" s="147"/>
      <c r="D4601" s="479"/>
      <c r="E4601" s="36"/>
      <c r="F4601" s="178"/>
      <c r="G4601" s="60"/>
      <c r="H4601" s="36"/>
      <c r="I4601" s="11"/>
    </row>
    <row r="4602" spans="1:12" ht="11.15" customHeight="1">
      <c r="A4602" s="281" t="s">
        <v>6390</v>
      </c>
      <c r="B4602" s="154" t="s">
        <v>6391</v>
      </c>
      <c r="C4602" s="147"/>
      <c r="D4602" s="159"/>
      <c r="E4602" s="36"/>
      <c r="F4602" s="178"/>
      <c r="G4602" s="496"/>
      <c r="H4602" s="36"/>
      <c r="I4602" s="11"/>
    </row>
    <row r="4603" spans="1:12" ht="11.15" customHeight="1" thickBot="1">
      <c r="A4603" s="480" t="s">
        <v>6392</v>
      </c>
      <c r="B4603" s="59" t="s">
        <v>21006</v>
      </c>
      <c r="C4603" s="147" t="s">
        <v>20221</v>
      </c>
      <c r="D4603" s="284" t="s">
        <v>897</v>
      </c>
      <c r="E4603" s="178">
        <v>2014</v>
      </c>
      <c r="F4603" s="178" t="s">
        <v>7168</v>
      </c>
      <c r="G4603" s="496"/>
      <c r="H4603" s="994" t="s">
        <v>20221</v>
      </c>
      <c r="I4603" s="11" t="s">
        <v>6393</v>
      </c>
      <c r="J4603" s="1285"/>
      <c r="K4603" s="1285"/>
      <c r="L4603" s="1285"/>
    </row>
    <row r="4604" spans="1:12" ht="11.15" customHeight="1">
      <c r="A4604" s="29" t="s">
        <v>6394</v>
      </c>
      <c r="B4604" s="154" t="s">
        <v>1398</v>
      </c>
      <c r="C4604" s="147"/>
      <c r="D4604" s="161"/>
      <c r="E4604" s="36"/>
      <c r="F4604" s="183"/>
      <c r="G4604" s="496"/>
      <c r="H4604" s="183"/>
      <c r="I4604" s="11"/>
    </row>
    <row r="4605" spans="1:12" ht="11.15" customHeight="1">
      <c r="A4605" s="29" t="s">
        <v>6395</v>
      </c>
      <c r="B4605" s="59" t="s">
        <v>21007</v>
      </c>
      <c r="C4605" s="147" t="s">
        <v>20221</v>
      </c>
      <c r="D4605" s="284" t="s">
        <v>897</v>
      </c>
      <c r="E4605" s="178">
        <v>2022</v>
      </c>
      <c r="F4605" s="178" t="s">
        <v>4520</v>
      </c>
      <c r="G4605" s="496"/>
      <c r="H4605" s="994" t="s">
        <v>20221</v>
      </c>
      <c r="I4605" s="11" t="s">
        <v>6396</v>
      </c>
      <c r="J4605" s="1285"/>
      <c r="K4605" s="1285"/>
      <c r="L4605" s="1285"/>
    </row>
    <row r="4606" spans="1:12" ht="11.15" customHeight="1">
      <c r="A4606" s="218" t="s">
        <v>6397</v>
      </c>
      <c r="B4606" s="59" t="s">
        <v>21007</v>
      </c>
      <c r="C4606" s="147" t="s">
        <v>20221</v>
      </c>
      <c r="D4606" s="284" t="s">
        <v>897</v>
      </c>
      <c r="E4606" s="178">
        <v>2021</v>
      </c>
      <c r="F4606" s="178" t="s">
        <v>4520</v>
      </c>
      <c r="G4606" s="496"/>
      <c r="H4606" s="994" t="s">
        <v>20221</v>
      </c>
      <c r="I4606" s="11" t="s">
        <v>6398</v>
      </c>
      <c r="J4606" s="1285"/>
      <c r="K4606" s="1285"/>
      <c r="L4606" s="1285"/>
    </row>
    <row r="4607" spans="1:12" ht="11.15" customHeight="1">
      <c r="A4607" s="218" t="s">
        <v>2377</v>
      </c>
      <c r="B4607" s="59" t="s">
        <v>21007</v>
      </c>
      <c r="C4607" s="147" t="s">
        <v>20221</v>
      </c>
      <c r="D4607" s="284" t="s">
        <v>897</v>
      </c>
      <c r="E4607" s="178">
        <v>2020</v>
      </c>
      <c r="F4607" s="178" t="s">
        <v>4520</v>
      </c>
      <c r="G4607" s="496"/>
      <c r="H4607" s="994" t="s">
        <v>20221</v>
      </c>
      <c r="I4607" s="11" t="s">
        <v>6399</v>
      </c>
      <c r="J4607" s="1285"/>
      <c r="K4607" s="1285"/>
      <c r="L4607" s="1285"/>
    </row>
    <row r="4608" spans="1:12" ht="11.15" customHeight="1">
      <c r="A4608" s="29" t="s">
        <v>6400</v>
      </c>
      <c r="B4608" s="59" t="s">
        <v>21007</v>
      </c>
      <c r="C4608" s="147" t="s">
        <v>20221</v>
      </c>
      <c r="D4608" s="284" t="s">
        <v>897</v>
      </c>
      <c r="E4608" s="178">
        <v>2019</v>
      </c>
      <c r="F4608" s="178" t="s">
        <v>4520</v>
      </c>
      <c r="G4608" s="496"/>
      <c r="H4608" s="994" t="s">
        <v>20221</v>
      </c>
      <c r="I4608" s="11" t="s">
        <v>6401</v>
      </c>
      <c r="J4608" s="1285"/>
      <c r="K4608" s="1285"/>
      <c r="L4608" s="1285"/>
    </row>
    <row r="4609" spans="1:12" ht="11.15" customHeight="1">
      <c r="A4609" s="29" t="s">
        <v>6402</v>
      </c>
      <c r="B4609" s="59" t="s">
        <v>21007</v>
      </c>
      <c r="C4609" s="147" t="s">
        <v>20221</v>
      </c>
      <c r="D4609" s="284" t="s">
        <v>897</v>
      </c>
      <c r="E4609" s="178">
        <v>2018</v>
      </c>
      <c r="F4609" s="178" t="s">
        <v>4520</v>
      </c>
      <c r="G4609" s="496"/>
      <c r="H4609" s="994" t="s">
        <v>20221</v>
      </c>
      <c r="I4609" s="11" t="s">
        <v>6403</v>
      </c>
      <c r="J4609" s="1285"/>
      <c r="K4609" s="1285"/>
      <c r="L4609" s="1285"/>
    </row>
    <row r="4610" spans="1:12" ht="11.15" customHeight="1">
      <c r="A4610" s="29" t="s">
        <v>6404</v>
      </c>
      <c r="B4610" s="59" t="s">
        <v>21007</v>
      </c>
      <c r="C4610" s="147" t="s">
        <v>20221</v>
      </c>
      <c r="D4610" s="284" t="s">
        <v>897</v>
      </c>
      <c r="E4610" s="178">
        <v>2017</v>
      </c>
      <c r="F4610" s="178" t="s">
        <v>4520</v>
      </c>
      <c r="G4610" s="496"/>
      <c r="H4610" s="994" t="s">
        <v>20221</v>
      </c>
      <c r="I4610" s="11" t="s">
        <v>6405</v>
      </c>
      <c r="J4610" s="1285"/>
      <c r="K4610" s="1285"/>
      <c r="L4610" s="1285"/>
    </row>
    <row r="4611" spans="1:12" ht="11.15" customHeight="1">
      <c r="A4611" s="29" t="s">
        <v>6406</v>
      </c>
      <c r="B4611" s="59" t="s">
        <v>21007</v>
      </c>
      <c r="C4611" s="147" t="s">
        <v>20221</v>
      </c>
      <c r="D4611" s="284" t="s">
        <v>897</v>
      </c>
      <c r="E4611" s="178">
        <v>2016</v>
      </c>
      <c r="F4611" s="178" t="s">
        <v>4520</v>
      </c>
      <c r="G4611" s="496"/>
      <c r="H4611" s="994" t="s">
        <v>20221</v>
      </c>
      <c r="I4611" s="11" t="s">
        <v>6407</v>
      </c>
      <c r="J4611" s="1285"/>
      <c r="K4611" s="1285"/>
      <c r="L4611" s="1285"/>
    </row>
    <row r="4612" spans="1:12" ht="11.15" customHeight="1">
      <c r="A4612" s="129" t="s">
        <v>1077</v>
      </c>
      <c r="B4612" s="59" t="s">
        <v>21008</v>
      </c>
      <c r="C4612" s="147" t="s">
        <v>20221</v>
      </c>
      <c r="D4612" s="284" t="s">
        <v>897</v>
      </c>
      <c r="E4612" s="178">
        <v>2022</v>
      </c>
      <c r="F4612" s="178" t="s">
        <v>4520</v>
      </c>
      <c r="G4612" s="496"/>
      <c r="H4612" s="994" t="s">
        <v>20221</v>
      </c>
      <c r="I4612" s="11" t="s">
        <v>6408</v>
      </c>
      <c r="J4612" s="1285"/>
      <c r="K4612" s="1285"/>
      <c r="L4612" s="1285"/>
    </row>
    <row r="4613" spans="1:12" ht="11.15" customHeight="1">
      <c r="A4613" s="162" t="s">
        <v>6409</v>
      </c>
      <c r="B4613" s="59" t="s">
        <v>21008</v>
      </c>
      <c r="C4613" s="147" t="s">
        <v>20221</v>
      </c>
      <c r="D4613" s="284" t="s">
        <v>897</v>
      </c>
      <c r="E4613" s="178">
        <v>2021</v>
      </c>
      <c r="F4613" s="178" t="s">
        <v>4520</v>
      </c>
      <c r="G4613" s="496"/>
      <c r="H4613" s="994" t="s">
        <v>20221</v>
      </c>
      <c r="I4613" s="11" t="s">
        <v>6410</v>
      </c>
      <c r="J4613" s="1285"/>
      <c r="K4613" s="1285"/>
      <c r="L4613" s="1285"/>
    </row>
    <row r="4614" spans="1:12" ht="11.15" customHeight="1">
      <c r="A4614" s="162" t="s">
        <v>6411</v>
      </c>
      <c r="B4614" s="59" t="s">
        <v>21008</v>
      </c>
      <c r="C4614" s="147" t="s">
        <v>20221</v>
      </c>
      <c r="D4614" s="284" t="s">
        <v>897</v>
      </c>
      <c r="E4614" s="178">
        <v>2020</v>
      </c>
      <c r="F4614" s="178" t="s">
        <v>4520</v>
      </c>
      <c r="G4614" s="496"/>
      <c r="H4614" s="994" t="s">
        <v>20221</v>
      </c>
      <c r="I4614" s="11" t="s">
        <v>6412</v>
      </c>
      <c r="J4614" s="1285"/>
      <c r="K4614" s="1285"/>
      <c r="L4614" s="1285"/>
    </row>
    <row r="4615" spans="1:12" ht="11.15" customHeight="1">
      <c r="A4615" s="162" t="s">
        <v>6413</v>
      </c>
      <c r="B4615" s="59" t="s">
        <v>21008</v>
      </c>
      <c r="C4615" s="147" t="s">
        <v>20221</v>
      </c>
      <c r="D4615" s="284" t="s">
        <v>897</v>
      </c>
      <c r="E4615" s="178">
        <v>2019</v>
      </c>
      <c r="F4615" s="178" t="s">
        <v>4520</v>
      </c>
      <c r="G4615" s="496"/>
      <c r="H4615" s="994" t="s">
        <v>20221</v>
      </c>
      <c r="I4615" s="11" t="s">
        <v>6414</v>
      </c>
      <c r="J4615" s="1285"/>
      <c r="K4615" s="1285"/>
      <c r="L4615" s="1285"/>
    </row>
    <row r="4616" spans="1:12" ht="11.15" customHeight="1">
      <c r="A4616" s="162" t="s">
        <v>6415</v>
      </c>
      <c r="B4616" s="59" t="s">
        <v>21008</v>
      </c>
      <c r="C4616" s="147" t="s">
        <v>20221</v>
      </c>
      <c r="D4616" s="284" t="s">
        <v>897</v>
      </c>
      <c r="E4616" s="178">
        <v>2018</v>
      </c>
      <c r="F4616" s="178" t="s">
        <v>4520</v>
      </c>
      <c r="G4616" s="496"/>
      <c r="H4616" s="994" t="s">
        <v>20221</v>
      </c>
      <c r="I4616" s="11" t="s">
        <v>6416</v>
      </c>
      <c r="J4616" s="1285"/>
      <c r="K4616" s="1285"/>
      <c r="L4616" s="1285"/>
    </row>
    <row r="4617" spans="1:12" ht="11.15" customHeight="1">
      <c r="A4617" s="162" t="s">
        <v>6417</v>
      </c>
      <c r="B4617" s="59" t="s">
        <v>21009</v>
      </c>
      <c r="C4617" s="147" t="s">
        <v>20221</v>
      </c>
      <c r="D4617" s="284" t="s">
        <v>897</v>
      </c>
      <c r="E4617" s="178">
        <v>2017</v>
      </c>
      <c r="F4617" s="178" t="s">
        <v>4520</v>
      </c>
      <c r="G4617" s="496"/>
      <c r="H4617" s="994" t="s">
        <v>20221</v>
      </c>
      <c r="I4617" s="11" t="s">
        <v>6418</v>
      </c>
      <c r="J4617" s="1285"/>
      <c r="K4617" s="1285"/>
      <c r="L4617" s="1285"/>
    </row>
    <row r="4618" spans="1:12" ht="11.15" customHeight="1">
      <c r="A4618" s="162" t="s">
        <v>6419</v>
      </c>
      <c r="B4618" s="59" t="s">
        <v>21009</v>
      </c>
      <c r="C4618" s="147" t="s">
        <v>20221</v>
      </c>
      <c r="D4618" s="284" t="s">
        <v>897</v>
      </c>
      <c r="E4618" s="178">
        <v>2016</v>
      </c>
      <c r="F4618" s="178" t="s">
        <v>4520</v>
      </c>
      <c r="G4618" s="496"/>
      <c r="H4618" s="994" t="s">
        <v>20221</v>
      </c>
      <c r="I4618" s="11" t="s">
        <v>6420</v>
      </c>
      <c r="J4618" s="1285"/>
      <c r="K4618" s="1285"/>
      <c r="L4618" s="1285"/>
    </row>
    <row r="4619" spans="1:12" ht="11.15" customHeight="1">
      <c r="A4619" s="162" t="s">
        <v>6421</v>
      </c>
      <c r="B4619" s="59" t="s">
        <v>21009</v>
      </c>
      <c r="C4619" s="147" t="s">
        <v>20221</v>
      </c>
      <c r="D4619" s="284" t="s">
        <v>897</v>
      </c>
      <c r="E4619" s="178">
        <v>2015</v>
      </c>
      <c r="F4619" s="178" t="s">
        <v>4520</v>
      </c>
      <c r="G4619" s="496"/>
      <c r="H4619" s="994" t="s">
        <v>20221</v>
      </c>
      <c r="I4619" s="11" t="s">
        <v>6422</v>
      </c>
      <c r="J4619" s="1285"/>
      <c r="K4619" s="1285"/>
      <c r="L4619" s="1285"/>
    </row>
    <row r="4620" spans="1:12" ht="11.15" customHeight="1">
      <c r="A4620" s="29" t="s">
        <v>6423</v>
      </c>
      <c r="B4620" s="59" t="s">
        <v>21009</v>
      </c>
      <c r="C4620" s="147" t="s">
        <v>20221</v>
      </c>
      <c r="D4620" s="284" t="s">
        <v>897</v>
      </c>
      <c r="E4620" s="178">
        <v>2014</v>
      </c>
      <c r="F4620" s="178" t="s">
        <v>4520</v>
      </c>
      <c r="G4620" s="496"/>
      <c r="H4620" s="994" t="s">
        <v>20221</v>
      </c>
      <c r="I4620" s="11" t="s">
        <v>6424</v>
      </c>
      <c r="J4620" s="1285"/>
      <c r="K4620" s="1285"/>
      <c r="L4620" s="1285"/>
    </row>
    <row r="4621" spans="1:12" ht="11.15" customHeight="1">
      <c r="A4621" s="166" t="s">
        <v>6425</v>
      </c>
      <c r="B4621" s="154" t="s">
        <v>6426</v>
      </c>
      <c r="C4621" s="147"/>
      <c r="D4621" s="161"/>
      <c r="E4621" s="36"/>
      <c r="F4621" s="178"/>
      <c r="G4621" s="496"/>
      <c r="H4621" s="36"/>
      <c r="I4621" s="11"/>
    </row>
    <row r="4622" spans="1:12" ht="11.15" customHeight="1">
      <c r="A4622" s="166" t="s">
        <v>6427</v>
      </c>
      <c r="B4622" s="59" t="s">
        <v>21010</v>
      </c>
      <c r="C4622" s="147" t="s">
        <v>20221</v>
      </c>
      <c r="D4622" s="284" t="s">
        <v>897</v>
      </c>
      <c r="E4622" s="178">
        <v>2020</v>
      </c>
      <c r="F4622" s="178" t="s">
        <v>11938</v>
      </c>
      <c r="G4622" s="496"/>
      <c r="H4622" s="994" t="s">
        <v>20224</v>
      </c>
      <c r="I4622" s="11" t="s">
        <v>6428</v>
      </c>
      <c r="J4622" s="1285"/>
      <c r="K4622" s="1285"/>
      <c r="L4622" s="1285"/>
    </row>
    <row r="4623" spans="1:12" ht="11.15" customHeight="1">
      <c r="A4623" s="481" t="s">
        <v>6429</v>
      </c>
      <c r="B4623" s="59" t="s">
        <v>21011</v>
      </c>
      <c r="C4623" s="147" t="s">
        <v>20221</v>
      </c>
      <c r="D4623" s="284" t="s">
        <v>897</v>
      </c>
      <c r="E4623" s="178">
        <v>2014</v>
      </c>
      <c r="F4623" s="178" t="s">
        <v>11931</v>
      </c>
      <c r="G4623" s="496"/>
      <c r="H4623" s="994" t="s">
        <v>20224</v>
      </c>
      <c r="I4623" s="11" t="s">
        <v>6430</v>
      </c>
      <c r="J4623" s="1285"/>
      <c r="K4623" s="1285"/>
      <c r="L4623" s="1285"/>
    </row>
    <row r="4624" spans="1:12" ht="11.15" customHeight="1">
      <c r="A4624" s="29"/>
      <c r="B4624" s="59" t="s">
        <v>21012</v>
      </c>
      <c r="C4624" s="147" t="s">
        <v>20221</v>
      </c>
      <c r="D4624" s="284" t="s">
        <v>897</v>
      </c>
      <c r="E4624" s="178">
        <v>2015</v>
      </c>
      <c r="F4624" s="178" t="s">
        <v>11931</v>
      </c>
      <c r="G4624" s="496"/>
      <c r="H4624" s="994" t="s">
        <v>20221</v>
      </c>
      <c r="I4624" s="11" t="s">
        <v>6431</v>
      </c>
      <c r="J4624" s="1285"/>
      <c r="K4624" s="1285"/>
      <c r="L4624" s="1285"/>
    </row>
    <row r="4625" spans="1:12" ht="11.15" customHeight="1">
      <c r="A4625" s="185"/>
      <c r="B4625" s="59" t="s">
        <v>21012</v>
      </c>
      <c r="C4625" s="147" t="s">
        <v>20221</v>
      </c>
      <c r="D4625" s="284" t="s">
        <v>897</v>
      </c>
      <c r="E4625" s="178">
        <v>2014</v>
      </c>
      <c r="F4625" s="178" t="s">
        <v>11931</v>
      </c>
      <c r="G4625" s="496"/>
      <c r="H4625" s="994" t="s">
        <v>20221</v>
      </c>
      <c r="I4625" s="11" t="s">
        <v>6432</v>
      </c>
      <c r="J4625" s="1285"/>
      <c r="K4625" s="1285"/>
      <c r="L4625" s="1285"/>
    </row>
    <row r="4626" spans="1:12" ht="11.15" customHeight="1">
      <c r="A4626" s="185"/>
      <c r="B4626" s="59" t="s">
        <v>21012</v>
      </c>
      <c r="C4626" s="147" t="s">
        <v>20221</v>
      </c>
      <c r="D4626" s="284" t="s">
        <v>897</v>
      </c>
      <c r="E4626" s="178">
        <v>2013</v>
      </c>
      <c r="F4626" s="178" t="s">
        <v>11931</v>
      </c>
      <c r="G4626" s="496"/>
      <c r="H4626" s="994" t="s">
        <v>20221</v>
      </c>
      <c r="I4626" s="11" t="s">
        <v>6433</v>
      </c>
      <c r="J4626" s="1285"/>
      <c r="K4626" s="1285"/>
      <c r="L4626" s="1285"/>
    </row>
    <row r="4627" spans="1:12" ht="11.15" customHeight="1">
      <c r="A4627" s="185"/>
      <c r="B4627" s="154" t="s">
        <v>5398</v>
      </c>
      <c r="C4627" s="147"/>
      <c r="D4627" s="159"/>
      <c r="E4627" s="36"/>
      <c r="F4627" s="183"/>
      <c r="G4627" s="496"/>
      <c r="H4627" s="34"/>
      <c r="I4627" s="11"/>
    </row>
    <row r="4628" spans="1:12" ht="11.15" customHeight="1">
      <c r="A4628" s="185"/>
      <c r="B4628" s="59" t="s">
        <v>21013</v>
      </c>
      <c r="C4628" s="147" t="s">
        <v>20221</v>
      </c>
      <c r="D4628" s="701" t="s">
        <v>1129</v>
      </c>
      <c r="E4628" s="178">
        <v>2022</v>
      </c>
      <c r="F4628" s="178" t="s">
        <v>4520</v>
      </c>
      <c r="G4628" s="496"/>
      <c r="H4628" s="994" t="s">
        <v>20221</v>
      </c>
      <c r="I4628" s="11" t="s">
        <v>6434</v>
      </c>
      <c r="J4628" s="1285"/>
      <c r="K4628" s="1285"/>
      <c r="L4628" s="1285"/>
    </row>
    <row r="4629" spans="1:12" ht="11.15" customHeight="1">
      <c r="A4629" s="185"/>
      <c r="B4629" s="154" t="s">
        <v>6435</v>
      </c>
      <c r="C4629" s="147"/>
      <c r="D4629" s="159"/>
      <c r="E4629" s="36"/>
      <c r="F4629" s="183"/>
      <c r="G4629" s="496"/>
      <c r="H4629" s="34"/>
      <c r="I4629" s="11"/>
    </row>
    <row r="4630" spans="1:12" ht="11.15" customHeight="1">
      <c r="A4630" s="185"/>
      <c r="B4630" s="59" t="s">
        <v>21014</v>
      </c>
      <c r="C4630" s="147" t="s">
        <v>20221</v>
      </c>
      <c r="D4630" s="701" t="s">
        <v>1129</v>
      </c>
      <c r="E4630" s="178">
        <v>2022</v>
      </c>
      <c r="F4630" s="178" t="s">
        <v>4520</v>
      </c>
      <c r="G4630" s="496"/>
      <c r="H4630" s="994" t="s">
        <v>20221</v>
      </c>
      <c r="I4630" s="11" t="s">
        <v>6436</v>
      </c>
      <c r="J4630" s="1285"/>
      <c r="K4630" s="1285"/>
      <c r="L4630" s="1285"/>
    </row>
    <row r="4631" spans="1:12" ht="11.15" customHeight="1">
      <c r="A4631" s="482"/>
      <c r="B4631" s="59" t="s">
        <v>21014</v>
      </c>
      <c r="C4631" s="147" t="s">
        <v>20221</v>
      </c>
      <c r="D4631" s="701" t="s">
        <v>1129</v>
      </c>
      <c r="E4631" s="178">
        <v>2020</v>
      </c>
      <c r="F4631" s="178" t="s">
        <v>4520</v>
      </c>
      <c r="G4631" s="496"/>
      <c r="H4631" s="994" t="s">
        <v>20221</v>
      </c>
      <c r="I4631" s="11" t="s">
        <v>6437</v>
      </c>
      <c r="J4631" s="1285"/>
      <c r="K4631" s="1285"/>
      <c r="L4631" s="1285"/>
    </row>
    <row r="4632" spans="1:12" ht="11.15" customHeight="1">
      <c r="A4632" s="185"/>
      <c r="B4632" s="59" t="s">
        <v>21015</v>
      </c>
      <c r="C4632" s="147" t="s">
        <v>20221</v>
      </c>
      <c r="D4632" s="701" t="s">
        <v>1129</v>
      </c>
      <c r="E4632" s="178">
        <v>2022</v>
      </c>
      <c r="F4632" s="178" t="s">
        <v>4520</v>
      </c>
      <c r="G4632" s="496"/>
      <c r="H4632" s="994" t="s">
        <v>20221</v>
      </c>
      <c r="I4632" s="11" t="s">
        <v>6438</v>
      </c>
      <c r="J4632" s="1285"/>
      <c r="K4632" s="1285"/>
      <c r="L4632" s="1285"/>
    </row>
    <row r="4633" spans="1:12" ht="11.15" customHeight="1" thickBot="1">
      <c r="A4633" s="129"/>
      <c r="B4633" s="90"/>
      <c r="C4633" s="147"/>
      <c r="D4633" s="159"/>
      <c r="E4633" s="36"/>
      <c r="F4633" s="178"/>
      <c r="G4633" s="453"/>
      <c r="H4633" s="36"/>
      <c r="I4633" s="11"/>
    </row>
    <row r="4634" spans="1:12" ht="11.15" customHeight="1" thickBot="1">
      <c r="A4634" s="184" t="s">
        <v>6439</v>
      </c>
      <c r="B4634" s="177" t="s">
        <v>4832</v>
      </c>
      <c r="C4634" s="147"/>
      <c r="D4634" s="129"/>
      <c r="E4634" s="185"/>
      <c r="F4634" s="185"/>
      <c r="G4634" s="416"/>
      <c r="H4634" s="185"/>
      <c r="I4634" s="11"/>
    </row>
    <row r="4635" spans="1:12" ht="11.15" customHeight="1">
      <c r="A4635" s="29" t="s">
        <v>6440</v>
      </c>
      <c r="B4635" s="59" t="s">
        <v>6176</v>
      </c>
      <c r="C4635" s="147" t="s">
        <v>20221</v>
      </c>
      <c r="D4635" s="284" t="s">
        <v>897</v>
      </c>
      <c r="E4635" s="178">
        <v>2015</v>
      </c>
      <c r="F4635" s="178" t="s">
        <v>4520</v>
      </c>
      <c r="G4635" s="496"/>
      <c r="H4635" s="994" t="s">
        <v>20224</v>
      </c>
      <c r="I4635" s="11" t="s">
        <v>6441</v>
      </c>
      <c r="J4635" s="1285"/>
      <c r="K4635" s="1285"/>
      <c r="L4635" s="1285"/>
    </row>
    <row r="4636" spans="1:12" ht="11.15" customHeight="1">
      <c r="A4636" s="29" t="s">
        <v>6442</v>
      </c>
      <c r="B4636" s="59" t="s">
        <v>6176</v>
      </c>
      <c r="C4636" s="147" t="s">
        <v>20221</v>
      </c>
      <c r="D4636" s="284" t="s">
        <v>897</v>
      </c>
      <c r="E4636" s="178">
        <v>2014</v>
      </c>
      <c r="F4636" s="178" t="s">
        <v>4520</v>
      </c>
      <c r="G4636" s="496"/>
      <c r="H4636" s="994" t="s">
        <v>20224</v>
      </c>
      <c r="I4636" s="11" t="s">
        <v>6443</v>
      </c>
      <c r="J4636" s="1285"/>
      <c r="K4636" s="1285"/>
      <c r="L4636" s="1285"/>
    </row>
    <row r="4637" spans="1:12" ht="11.15" customHeight="1">
      <c r="A4637" s="29" t="s">
        <v>6444</v>
      </c>
      <c r="B4637" s="177" t="s">
        <v>6445</v>
      </c>
      <c r="C4637" s="147"/>
      <c r="D4637" s="161"/>
      <c r="E4637" s="36"/>
      <c r="F4637" s="178"/>
      <c r="G4637" s="496"/>
      <c r="H4637" s="36"/>
      <c r="I4637" s="11"/>
    </row>
    <row r="4638" spans="1:12" ht="11.15" customHeight="1">
      <c r="A4638" s="29" t="s">
        <v>6446</v>
      </c>
      <c r="B4638" s="59" t="s">
        <v>21016</v>
      </c>
      <c r="C4638" s="147" t="s">
        <v>20221</v>
      </c>
      <c r="D4638" s="284" t="s">
        <v>897</v>
      </c>
      <c r="E4638" s="178">
        <v>2012</v>
      </c>
      <c r="F4638" s="178" t="s">
        <v>4520</v>
      </c>
      <c r="G4638" s="496"/>
      <c r="H4638" s="994" t="s">
        <v>20224</v>
      </c>
      <c r="I4638" s="11" t="s">
        <v>6447</v>
      </c>
      <c r="J4638" s="1285"/>
      <c r="K4638" s="1285"/>
      <c r="L4638" s="1285"/>
    </row>
    <row r="4639" spans="1:12" ht="11.15" customHeight="1">
      <c r="A4639" s="29" t="s">
        <v>6448</v>
      </c>
      <c r="B4639" s="59" t="s">
        <v>21016</v>
      </c>
      <c r="C4639" s="147" t="s">
        <v>20221</v>
      </c>
      <c r="D4639" s="284" t="s">
        <v>897</v>
      </c>
      <c r="E4639" s="178">
        <v>2011</v>
      </c>
      <c r="F4639" s="178" t="s">
        <v>4520</v>
      </c>
      <c r="G4639" s="496"/>
      <c r="H4639" s="994" t="s">
        <v>20224</v>
      </c>
      <c r="I4639" s="11" t="s">
        <v>6449</v>
      </c>
      <c r="J4639" s="1285"/>
      <c r="K4639" s="1285"/>
      <c r="L4639" s="1285"/>
    </row>
    <row r="4640" spans="1:12" ht="11.15" customHeight="1">
      <c r="A4640" s="29" t="s">
        <v>6450</v>
      </c>
      <c r="B4640" s="59" t="s">
        <v>18810</v>
      </c>
      <c r="C4640" s="147" t="s">
        <v>20221</v>
      </c>
      <c r="D4640" s="284" t="s">
        <v>897</v>
      </c>
      <c r="E4640" s="178">
        <v>2009</v>
      </c>
      <c r="F4640" s="178" t="s">
        <v>4520</v>
      </c>
      <c r="G4640" s="496"/>
      <c r="H4640" s="994" t="s">
        <v>20224</v>
      </c>
      <c r="I4640" s="12" t="s">
        <v>6451</v>
      </c>
      <c r="J4640" s="1285"/>
      <c r="K4640" s="1285"/>
      <c r="L4640" s="1285"/>
    </row>
    <row r="4641" spans="1:12" ht="11.15" customHeight="1">
      <c r="A4641" s="29" t="s">
        <v>6452</v>
      </c>
      <c r="B4641" s="59" t="s">
        <v>21017</v>
      </c>
      <c r="C4641" s="147" t="s">
        <v>20221</v>
      </c>
      <c r="D4641" s="284" t="s">
        <v>897</v>
      </c>
      <c r="E4641" s="178">
        <v>2022</v>
      </c>
      <c r="F4641" s="178" t="s">
        <v>4520</v>
      </c>
      <c r="G4641" s="496"/>
      <c r="H4641" s="994" t="s">
        <v>20221</v>
      </c>
      <c r="I4641" s="11" t="s">
        <v>6453</v>
      </c>
      <c r="J4641" s="1285"/>
      <c r="K4641" s="1285"/>
      <c r="L4641" s="1285"/>
    </row>
    <row r="4642" spans="1:12" ht="11.15" customHeight="1">
      <c r="A4642" s="29" t="s">
        <v>6454</v>
      </c>
      <c r="B4642" s="59" t="s">
        <v>21017</v>
      </c>
      <c r="C4642" s="147" t="s">
        <v>20221</v>
      </c>
      <c r="D4642" s="284" t="s">
        <v>897</v>
      </c>
      <c r="E4642" s="178">
        <v>2019</v>
      </c>
      <c r="F4642" s="178" t="s">
        <v>4520</v>
      </c>
      <c r="G4642" s="496"/>
      <c r="H4642" s="994" t="s">
        <v>20224</v>
      </c>
      <c r="I4642" s="11" t="s">
        <v>6455</v>
      </c>
      <c r="J4642" s="1285"/>
      <c r="K4642" s="1285"/>
      <c r="L4642" s="1285"/>
    </row>
    <row r="4643" spans="1:12" ht="11.15" customHeight="1">
      <c r="A4643" s="181" t="s">
        <v>2536</v>
      </c>
      <c r="B4643" s="59" t="s">
        <v>21018</v>
      </c>
      <c r="C4643" s="147" t="s">
        <v>20221</v>
      </c>
      <c r="D4643" s="284" t="s">
        <v>897</v>
      </c>
      <c r="E4643" s="178">
        <v>2018</v>
      </c>
      <c r="F4643" s="178" t="s">
        <v>4520</v>
      </c>
      <c r="G4643" s="496"/>
      <c r="H4643" s="994" t="s">
        <v>20224</v>
      </c>
      <c r="I4643" s="11" t="s">
        <v>6456</v>
      </c>
      <c r="J4643" s="1285"/>
      <c r="K4643" s="1285"/>
      <c r="L4643" s="1285"/>
    </row>
    <row r="4644" spans="1:12" ht="11.15" customHeight="1">
      <c r="A4644" s="129" t="s">
        <v>6457</v>
      </c>
      <c r="B4644" s="177" t="s">
        <v>6458</v>
      </c>
      <c r="C4644" s="147"/>
      <c r="D4644" s="129"/>
      <c r="E4644" s="185"/>
      <c r="F4644" s="185"/>
      <c r="G4644" s="185"/>
      <c r="H4644" s="185"/>
      <c r="I4644" s="11"/>
    </row>
    <row r="4645" spans="1:12" ht="11.15" customHeight="1">
      <c r="A4645" s="162" t="s">
        <v>6459</v>
      </c>
      <c r="B4645" s="59" t="s">
        <v>21019</v>
      </c>
      <c r="C4645" s="147" t="s">
        <v>20221</v>
      </c>
      <c r="D4645" s="284" t="s">
        <v>897</v>
      </c>
      <c r="E4645" s="178">
        <v>2022</v>
      </c>
      <c r="F4645" s="178" t="s">
        <v>4520</v>
      </c>
      <c r="G4645" s="496"/>
      <c r="H4645" s="994" t="s">
        <v>20224</v>
      </c>
      <c r="I4645" s="11" t="s">
        <v>6460</v>
      </c>
      <c r="J4645" s="1285"/>
      <c r="K4645" s="1285"/>
      <c r="L4645" s="1285"/>
    </row>
    <row r="4646" spans="1:12" ht="11.15" customHeight="1">
      <c r="A4646" s="162" t="s">
        <v>6461</v>
      </c>
      <c r="B4646" s="59" t="s">
        <v>21019</v>
      </c>
      <c r="C4646" s="147" t="s">
        <v>20221</v>
      </c>
      <c r="D4646" s="284" t="s">
        <v>897</v>
      </c>
      <c r="E4646" s="178">
        <v>2018</v>
      </c>
      <c r="F4646" s="178" t="s">
        <v>4520</v>
      </c>
      <c r="G4646" s="496"/>
      <c r="H4646" s="994" t="s">
        <v>20221</v>
      </c>
      <c r="I4646" s="11" t="s">
        <v>6462</v>
      </c>
      <c r="J4646" s="1285"/>
      <c r="K4646" s="1285"/>
      <c r="L4646" s="1285"/>
    </row>
    <row r="4647" spans="1:12" ht="11.15" customHeight="1">
      <c r="A4647" s="162" t="s">
        <v>6463</v>
      </c>
      <c r="B4647" s="59" t="s">
        <v>21019</v>
      </c>
      <c r="C4647" s="147" t="s">
        <v>20221</v>
      </c>
      <c r="D4647" s="284" t="s">
        <v>897</v>
      </c>
      <c r="E4647" s="178">
        <v>2017</v>
      </c>
      <c r="F4647" s="178" t="s">
        <v>4520</v>
      </c>
      <c r="G4647" s="496"/>
      <c r="H4647" s="994" t="s">
        <v>20221</v>
      </c>
      <c r="I4647" s="11" t="s">
        <v>6464</v>
      </c>
      <c r="J4647" s="1285"/>
      <c r="K4647" s="1285"/>
      <c r="L4647" s="1285"/>
    </row>
    <row r="4648" spans="1:12" ht="11.15" customHeight="1">
      <c r="A4648" s="129" t="s">
        <v>3690</v>
      </c>
      <c r="B4648" s="59" t="s">
        <v>21019</v>
      </c>
      <c r="C4648" s="147" t="s">
        <v>20221</v>
      </c>
      <c r="D4648" s="284" t="s">
        <v>897</v>
      </c>
      <c r="E4648" s="178">
        <v>2015</v>
      </c>
      <c r="F4648" s="178" t="s">
        <v>4520</v>
      </c>
      <c r="G4648" s="496"/>
      <c r="H4648" s="994" t="s">
        <v>20224</v>
      </c>
      <c r="I4648" s="11" t="s">
        <v>6465</v>
      </c>
      <c r="J4648" s="1285"/>
      <c r="K4648" s="1285"/>
      <c r="L4648" s="1285"/>
    </row>
    <row r="4649" spans="1:12" ht="11.15" customHeight="1">
      <c r="A4649" s="162" t="s">
        <v>6466</v>
      </c>
      <c r="B4649" s="59" t="s">
        <v>21019</v>
      </c>
      <c r="C4649" s="147" t="s">
        <v>20221</v>
      </c>
      <c r="D4649" s="284" t="s">
        <v>897</v>
      </c>
      <c r="E4649" s="178">
        <v>2014</v>
      </c>
      <c r="F4649" s="178" t="s">
        <v>4520</v>
      </c>
      <c r="G4649" s="496"/>
      <c r="H4649" s="994" t="s">
        <v>20224</v>
      </c>
      <c r="I4649" s="11" t="s">
        <v>6467</v>
      </c>
      <c r="J4649" s="1285"/>
      <c r="K4649" s="1285"/>
      <c r="L4649" s="1285"/>
    </row>
    <row r="4650" spans="1:12" ht="11.15" customHeight="1">
      <c r="A4650" s="162" t="s">
        <v>6468</v>
      </c>
      <c r="B4650" s="59" t="s">
        <v>21019</v>
      </c>
      <c r="C4650" s="147" t="s">
        <v>20221</v>
      </c>
      <c r="D4650" s="284" t="s">
        <v>897</v>
      </c>
      <c r="E4650" s="178">
        <v>2007</v>
      </c>
      <c r="F4650" s="178" t="s">
        <v>4520</v>
      </c>
      <c r="G4650" s="496"/>
      <c r="H4650" s="994" t="s">
        <v>20277</v>
      </c>
      <c r="I4650" s="11" t="s">
        <v>6469</v>
      </c>
      <c r="J4650" s="1285"/>
      <c r="K4650" s="1285"/>
      <c r="L4650" s="1285"/>
    </row>
    <row r="4651" spans="1:12" ht="11.15" customHeight="1">
      <c r="A4651" s="162" t="s">
        <v>6470</v>
      </c>
      <c r="B4651" s="59" t="s">
        <v>21020</v>
      </c>
      <c r="C4651" s="147" t="s">
        <v>20221</v>
      </c>
      <c r="D4651" s="284" t="s">
        <v>897</v>
      </c>
      <c r="E4651" s="178">
        <v>2022</v>
      </c>
      <c r="F4651" s="178" t="s">
        <v>4520</v>
      </c>
      <c r="G4651" s="496"/>
      <c r="H4651" s="994" t="s">
        <v>20221</v>
      </c>
      <c r="I4651" s="11" t="s">
        <v>6471</v>
      </c>
      <c r="J4651" s="1285"/>
      <c r="K4651" s="1285"/>
      <c r="L4651" s="1285"/>
    </row>
    <row r="4652" spans="1:12" ht="11.15" customHeight="1">
      <c r="A4652" s="162" t="s">
        <v>6472</v>
      </c>
      <c r="B4652" s="59" t="s">
        <v>21020</v>
      </c>
      <c r="C4652" s="147" t="s">
        <v>20221</v>
      </c>
      <c r="D4652" s="284" t="s">
        <v>897</v>
      </c>
      <c r="E4652" s="178">
        <v>2018</v>
      </c>
      <c r="F4652" s="178" t="s">
        <v>4520</v>
      </c>
      <c r="G4652" s="496"/>
      <c r="H4652" s="994" t="s">
        <v>20221</v>
      </c>
      <c r="I4652" s="11" t="s">
        <v>6473</v>
      </c>
      <c r="J4652" s="1285"/>
      <c r="K4652" s="1285"/>
      <c r="L4652" s="1285"/>
    </row>
    <row r="4653" spans="1:12" ht="11.15" customHeight="1">
      <c r="A4653" s="162" t="s">
        <v>6474</v>
      </c>
      <c r="B4653" s="59" t="s">
        <v>21020</v>
      </c>
      <c r="C4653" s="147" t="s">
        <v>20221</v>
      </c>
      <c r="D4653" s="284" t="s">
        <v>897</v>
      </c>
      <c r="E4653" s="178">
        <v>2017</v>
      </c>
      <c r="F4653" s="178" t="s">
        <v>4520</v>
      </c>
      <c r="G4653" s="496"/>
      <c r="H4653" s="994" t="s">
        <v>20224</v>
      </c>
      <c r="I4653" s="11" t="s">
        <v>6475</v>
      </c>
      <c r="J4653" s="1285"/>
      <c r="K4653" s="1285"/>
      <c r="L4653" s="1285"/>
    </row>
    <row r="4654" spans="1:12" ht="11.15" customHeight="1">
      <c r="A4654" s="162" t="s">
        <v>6476</v>
      </c>
      <c r="B4654" s="59" t="s">
        <v>21020</v>
      </c>
      <c r="C4654" s="147" t="s">
        <v>20221</v>
      </c>
      <c r="D4654" s="284" t="s">
        <v>897</v>
      </c>
      <c r="E4654" s="178">
        <v>2016</v>
      </c>
      <c r="F4654" s="178" t="s">
        <v>4520</v>
      </c>
      <c r="G4654" s="496"/>
      <c r="H4654" s="994" t="s">
        <v>20221</v>
      </c>
      <c r="I4654" s="11" t="s">
        <v>6477</v>
      </c>
      <c r="J4654" s="1285"/>
      <c r="K4654" s="1285"/>
      <c r="L4654" s="1285"/>
    </row>
    <row r="4655" spans="1:12" ht="11.15" customHeight="1">
      <c r="A4655" s="162" t="s">
        <v>6478</v>
      </c>
      <c r="B4655" s="59" t="s">
        <v>21020</v>
      </c>
      <c r="C4655" s="147" t="s">
        <v>20221</v>
      </c>
      <c r="D4655" s="284" t="s">
        <v>897</v>
      </c>
      <c r="E4655" s="178">
        <v>2013</v>
      </c>
      <c r="F4655" s="178" t="s">
        <v>4520</v>
      </c>
      <c r="G4655" s="496"/>
      <c r="H4655" s="994" t="s">
        <v>20221</v>
      </c>
      <c r="I4655" s="11" t="s">
        <v>6479</v>
      </c>
      <c r="J4655" s="1285"/>
      <c r="K4655" s="1285"/>
      <c r="L4655" s="1285"/>
    </row>
    <row r="4656" spans="1:12" ht="11.15" customHeight="1">
      <c r="A4656" s="162" t="s">
        <v>6480</v>
      </c>
      <c r="B4656" s="59" t="s">
        <v>21020</v>
      </c>
      <c r="C4656" s="147" t="s">
        <v>20221</v>
      </c>
      <c r="D4656" s="284" t="s">
        <v>897</v>
      </c>
      <c r="E4656" s="178">
        <v>2012</v>
      </c>
      <c r="F4656" s="178" t="s">
        <v>4520</v>
      </c>
      <c r="G4656" s="496"/>
      <c r="H4656" s="994" t="s">
        <v>20221</v>
      </c>
      <c r="I4656" s="11" t="s">
        <v>6481</v>
      </c>
      <c r="J4656" s="1285"/>
      <c r="K4656" s="1285"/>
      <c r="L4656" s="1285"/>
    </row>
    <row r="4657" spans="1:12" ht="11.15" customHeight="1">
      <c r="A4657" s="291" t="s">
        <v>6482</v>
      </c>
      <c r="B4657" s="59" t="s">
        <v>21020</v>
      </c>
      <c r="C4657" s="147" t="s">
        <v>20221</v>
      </c>
      <c r="D4657" s="284" t="s">
        <v>897</v>
      </c>
      <c r="E4657" s="178">
        <v>2011</v>
      </c>
      <c r="F4657" s="178" t="s">
        <v>4520</v>
      </c>
      <c r="G4657" s="496"/>
      <c r="H4657" s="994" t="s">
        <v>20224</v>
      </c>
      <c r="I4657" s="11" t="s">
        <v>6483</v>
      </c>
      <c r="J4657" s="1285"/>
      <c r="K4657" s="1285"/>
      <c r="L4657" s="1285"/>
    </row>
    <row r="4658" spans="1:12" ht="11.15" customHeight="1">
      <c r="A4658" s="291" t="s">
        <v>6484</v>
      </c>
      <c r="B4658" s="59" t="s">
        <v>21020</v>
      </c>
      <c r="C4658" s="147" t="s">
        <v>20221</v>
      </c>
      <c r="D4658" s="284" t="s">
        <v>897</v>
      </c>
      <c r="E4658" s="178">
        <v>2008</v>
      </c>
      <c r="F4658" s="178" t="s">
        <v>4520</v>
      </c>
      <c r="G4658" s="496"/>
      <c r="H4658" s="994" t="s">
        <v>20224</v>
      </c>
      <c r="I4658" s="11" t="s">
        <v>6485</v>
      </c>
      <c r="J4658" s="1285"/>
      <c r="K4658" s="1285"/>
      <c r="L4658" s="1285"/>
    </row>
    <row r="4659" spans="1:12" ht="11.15" customHeight="1">
      <c r="A4659" s="291" t="s">
        <v>6486</v>
      </c>
      <c r="B4659" s="59" t="s">
        <v>21020</v>
      </c>
      <c r="C4659" s="147" t="s">
        <v>20221</v>
      </c>
      <c r="D4659" s="284" t="s">
        <v>897</v>
      </c>
      <c r="E4659" s="178">
        <v>2007</v>
      </c>
      <c r="F4659" s="178" t="s">
        <v>4520</v>
      </c>
      <c r="G4659" s="496"/>
      <c r="H4659" s="994" t="s">
        <v>20277</v>
      </c>
      <c r="I4659" s="11" t="s">
        <v>6487</v>
      </c>
      <c r="J4659" s="1285"/>
      <c r="K4659" s="1285"/>
      <c r="L4659" s="1285"/>
    </row>
    <row r="4660" spans="1:12" ht="11.15" customHeight="1">
      <c r="A4660" s="129" t="s">
        <v>3659</v>
      </c>
      <c r="B4660" s="59" t="s">
        <v>21021</v>
      </c>
      <c r="C4660" s="147" t="s">
        <v>20221</v>
      </c>
      <c r="D4660" s="284" t="s">
        <v>897</v>
      </c>
      <c r="E4660" s="178">
        <v>2022</v>
      </c>
      <c r="F4660" s="178" t="s">
        <v>4520</v>
      </c>
      <c r="G4660" s="496"/>
      <c r="H4660" s="994" t="s">
        <v>20221</v>
      </c>
      <c r="I4660" s="11" t="s">
        <v>6488</v>
      </c>
      <c r="J4660" s="1285"/>
      <c r="K4660" s="1285"/>
      <c r="L4660" s="1285"/>
    </row>
    <row r="4661" spans="1:12" ht="11.15" customHeight="1">
      <c r="A4661" s="162" t="s">
        <v>6489</v>
      </c>
      <c r="B4661" s="59" t="s">
        <v>21021</v>
      </c>
      <c r="C4661" s="147" t="s">
        <v>20221</v>
      </c>
      <c r="D4661" s="284" t="s">
        <v>897</v>
      </c>
      <c r="E4661" s="178">
        <v>2018</v>
      </c>
      <c r="F4661" s="178" t="s">
        <v>4520</v>
      </c>
      <c r="G4661" s="496"/>
      <c r="H4661" s="994" t="s">
        <v>20277</v>
      </c>
      <c r="I4661" s="11" t="s">
        <v>6490</v>
      </c>
      <c r="J4661" s="1285"/>
      <c r="K4661" s="1285"/>
      <c r="L4661" s="1285"/>
    </row>
    <row r="4662" spans="1:12" ht="11.15" customHeight="1">
      <c r="A4662" s="162" t="s">
        <v>3845</v>
      </c>
      <c r="B4662" s="59" t="s">
        <v>21021</v>
      </c>
      <c r="C4662" s="147" t="s">
        <v>20221</v>
      </c>
      <c r="D4662" s="284" t="s">
        <v>897</v>
      </c>
      <c r="E4662" s="178">
        <v>2014</v>
      </c>
      <c r="F4662" s="178" t="s">
        <v>4520</v>
      </c>
      <c r="G4662" s="496"/>
      <c r="H4662" s="994" t="s">
        <v>20224</v>
      </c>
      <c r="I4662" s="11" t="s">
        <v>6491</v>
      </c>
      <c r="J4662" s="1285"/>
      <c r="K4662" s="1285"/>
      <c r="L4662" s="1285"/>
    </row>
    <row r="4663" spans="1:12" ht="11.15" customHeight="1">
      <c r="A4663" s="29" t="s">
        <v>6492</v>
      </c>
      <c r="B4663" s="177" t="s">
        <v>6493</v>
      </c>
      <c r="C4663" s="147"/>
      <c r="D4663" s="161"/>
      <c r="E4663" s="36"/>
      <c r="F4663" s="178"/>
      <c r="G4663" s="496"/>
      <c r="H4663" s="36"/>
      <c r="I4663" s="11"/>
    </row>
    <row r="4664" spans="1:12" ht="11.15" customHeight="1">
      <c r="A4664" s="129" t="s">
        <v>6494</v>
      </c>
      <c r="B4664" s="59" t="s">
        <v>20798</v>
      </c>
      <c r="C4664" s="147" t="s">
        <v>20221</v>
      </c>
      <c r="D4664" s="284" t="s">
        <v>897</v>
      </c>
      <c r="E4664" s="178">
        <v>2022</v>
      </c>
      <c r="F4664" s="178" t="s">
        <v>23394</v>
      </c>
      <c r="G4664" s="496"/>
      <c r="H4664" s="994" t="s">
        <v>20224</v>
      </c>
      <c r="I4664" s="11" t="s">
        <v>6495</v>
      </c>
      <c r="J4664" s="1285"/>
      <c r="K4664" s="1285"/>
      <c r="L4664" s="1285"/>
    </row>
    <row r="4665" spans="1:12" ht="11.15" customHeight="1">
      <c r="A4665" s="169" t="s">
        <v>6496</v>
      </c>
      <c r="B4665" s="59" t="s">
        <v>20798</v>
      </c>
      <c r="C4665" s="147" t="s">
        <v>20221</v>
      </c>
      <c r="D4665" s="284" t="s">
        <v>897</v>
      </c>
      <c r="E4665" s="178">
        <v>2013</v>
      </c>
      <c r="F4665" s="178" t="s">
        <v>4520</v>
      </c>
      <c r="G4665" s="496"/>
      <c r="H4665" s="994" t="s">
        <v>20224</v>
      </c>
      <c r="I4665" s="12" t="s">
        <v>6497</v>
      </c>
      <c r="J4665" s="1285"/>
      <c r="K4665" s="1285"/>
      <c r="L4665" s="1285"/>
    </row>
    <row r="4666" spans="1:12" ht="11.15" customHeight="1">
      <c r="A4666" s="129" t="s">
        <v>6498</v>
      </c>
      <c r="B4666" s="59" t="s">
        <v>20670</v>
      </c>
      <c r="C4666" s="147" t="s">
        <v>20221</v>
      </c>
      <c r="D4666" s="284" t="s">
        <v>897</v>
      </c>
      <c r="E4666" s="178">
        <v>2022</v>
      </c>
      <c r="F4666" s="178" t="s">
        <v>23394</v>
      </c>
      <c r="G4666" s="496"/>
      <c r="H4666" s="994" t="s">
        <v>20224</v>
      </c>
      <c r="I4666" s="11" t="s">
        <v>6499</v>
      </c>
      <c r="J4666" s="1285"/>
      <c r="K4666" s="1285"/>
      <c r="L4666" s="1285"/>
    </row>
    <row r="4667" spans="1:12" ht="11.15" customHeight="1">
      <c r="A4667" s="481" t="s">
        <v>6500</v>
      </c>
      <c r="B4667" s="59" t="s">
        <v>20670</v>
      </c>
      <c r="C4667" s="147" t="s">
        <v>20221</v>
      </c>
      <c r="D4667" s="284" t="s">
        <v>897</v>
      </c>
      <c r="E4667" s="178">
        <v>2019</v>
      </c>
      <c r="F4667" s="178" t="s">
        <v>23394</v>
      </c>
      <c r="G4667" s="496"/>
      <c r="H4667" s="994" t="s">
        <v>20224</v>
      </c>
      <c r="I4667" s="11" t="s">
        <v>6501</v>
      </c>
      <c r="J4667" s="1285"/>
      <c r="K4667" s="1285"/>
      <c r="L4667" s="1285"/>
    </row>
    <row r="4668" spans="1:12" ht="11.15" customHeight="1">
      <c r="A4668" s="29"/>
      <c r="B4668" s="59" t="s">
        <v>20670</v>
      </c>
      <c r="C4668" s="147" t="s">
        <v>20221</v>
      </c>
      <c r="D4668" s="284" t="s">
        <v>897</v>
      </c>
      <c r="E4668" s="178">
        <v>2017</v>
      </c>
      <c r="F4668" s="178" t="s">
        <v>23394</v>
      </c>
      <c r="G4668" s="496"/>
      <c r="H4668" s="994" t="s">
        <v>20224</v>
      </c>
      <c r="I4668" s="11" t="s">
        <v>6502</v>
      </c>
      <c r="J4668" s="1285"/>
      <c r="K4668" s="1285"/>
      <c r="L4668" s="1285"/>
    </row>
    <row r="4669" spans="1:12" ht="11.15" customHeight="1">
      <c r="A4669" s="185"/>
      <c r="B4669" s="59" t="s">
        <v>20698</v>
      </c>
      <c r="C4669" s="147" t="s">
        <v>20221</v>
      </c>
      <c r="D4669" s="284" t="s">
        <v>897</v>
      </c>
      <c r="E4669" s="178">
        <v>2022</v>
      </c>
      <c r="F4669" s="178" t="s">
        <v>23394</v>
      </c>
      <c r="G4669" s="496"/>
      <c r="H4669" s="994" t="s">
        <v>20224</v>
      </c>
      <c r="I4669" s="11" t="s">
        <v>6503</v>
      </c>
      <c r="J4669" s="1285"/>
      <c r="K4669" s="1285"/>
      <c r="L4669" s="1285"/>
    </row>
    <row r="4670" spans="1:12" ht="11.15" customHeight="1">
      <c r="A4670" s="185"/>
      <c r="B4670" s="59" t="s">
        <v>20796</v>
      </c>
      <c r="C4670" s="147" t="s">
        <v>20221</v>
      </c>
      <c r="D4670" s="284" t="s">
        <v>897</v>
      </c>
      <c r="E4670" s="178">
        <v>2022</v>
      </c>
      <c r="F4670" s="178" t="s">
        <v>23394</v>
      </c>
      <c r="G4670" s="496"/>
      <c r="H4670" s="994" t="s">
        <v>20224</v>
      </c>
      <c r="I4670" s="11" t="s">
        <v>6504</v>
      </c>
      <c r="J4670" s="1285"/>
      <c r="K4670" s="1285"/>
      <c r="L4670" s="1285"/>
    </row>
    <row r="4671" spans="1:12" ht="11.15" customHeight="1">
      <c r="A4671" s="185"/>
      <c r="B4671" s="59" t="s">
        <v>20964</v>
      </c>
      <c r="C4671" s="147" t="s">
        <v>20221</v>
      </c>
      <c r="D4671" s="284" t="s">
        <v>897</v>
      </c>
      <c r="E4671" s="178">
        <v>2022</v>
      </c>
      <c r="F4671" s="178" t="s">
        <v>23394</v>
      </c>
      <c r="G4671" s="496"/>
      <c r="H4671" s="994" t="s">
        <v>20224</v>
      </c>
      <c r="I4671" s="11" t="s">
        <v>6505</v>
      </c>
      <c r="J4671" s="1285"/>
      <c r="K4671" s="1285"/>
      <c r="L4671" s="1285"/>
    </row>
    <row r="4672" spans="1:12" ht="11.15" customHeight="1">
      <c r="A4672" s="185"/>
      <c r="B4672" s="177" t="s">
        <v>6506</v>
      </c>
      <c r="C4672" s="147"/>
      <c r="D4672" s="161"/>
      <c r="E4672" s="36"/>
      <c r="F4672" s="178"/>
      <c r="G4672" s="496"/>
      <c r="H4672" s="36"/>
      <c r="I4672" s="11"/>
    </row>
    <row r="4673" spans="1:12" ht="11.15" customHeight="1">
      <c r="A4673" s="185"/>
      <c r="B4673" s="59" t="s">
        <v>21022</v>
      </c>
      <c r="C4673" s="147" t="s">
        <v>20221</v>
      </c>
      <c r="D4673" s="284" t="s">
        <v>897</v>
      </c>
      <c r="E4673" s="178">
        <v>2019</v>
      </c>
      <c r="F4673" s="178" t="s">
        <v>5257</v>
      </c>
      <c r="G4673" s="496"/>
      <c r="H4673" s="994" t="s">
        <v>20224</v>
      </c>
      <c r="I4673" s="11" t="s">
        <v>6507</v>
      </c>
      <c r="J4673" s="1285"/>
      <c r="K4673" s="1285"/>
      <c r="L4673" s="1285"/>
    </row>
    <row r="4674" spans="1:12" ht="11.15" customHeight="1">
      <c r="A4674" s="185"/>
      <c r="B4674" s="59" t="s">
        <v>21023</v>
      </c>
      <c r="C4674" s="147" t="s">
        <v>20221</v>
      </c>
      <c r="D4674" s="284" t="s">
        <v>897</v>
      </c>
      <c r="E4674" s="178">
        <v>2019</v>
      </c>
      <c r="F4674" s="178" t="s">
        <v>5257</v>
      </c>
      <c r="G4674" s="496"/>
      <c r="H4674" s="994" t="s">
        <v>20224</v>
      </c>
      <c r="I4674" s="11" t="s">
        <v>6508</v>
      </c>
      <c r="J4674" s="1285"/>
      <c r="K4674" s="1285"/>
      <c r="L4674" s="1285"/>
    </row>
    <row r="4675" spans="1:12" ht="11.15" customHeight="1">
      <c r="A4675" s="185"/>
      <c r="B4675" s="59" t="s">
        <v>20910</v>
      </c>
      <c r="C4675" s="147" t="s">
        <v>20221</v>
      </c>
      <c r="D4675" s="284" t="s">
        <v>897</v>
      </c>
      <c r="E4675" s="178">
        <v>2018</v>
      </c>
      <c r="F4675" s="178" t="s">
        <v>5257</v>
      </c>
      <c r="G4675" s="496"/>
      <c r="H4675" s="994" t="s">
        <v>20224</v>
      </c>
      <c r="I4675" s="11" t="s">
        <v>6509</v>
      </c>
      <c r="J4675" s="1285"/>
      <c r="K4675" s="1285"/>
      <c r="L4675" s="1285"/>
    </row>
    <row r="4676" spans="1:12" ht="11.15" customHeight="1">
      <c r="A4676" s="185"/>
      <c r="B4676" s="59" t="s">
        <v>21024</v>
      </c>
      <c r="C4676" s="147" t="s">
        <v>20221</v>
      </c>
      <c r="D4676" s="284" t="s">
        <v>897</v>
      </c>
      <c r="E4676" s="178">
        <v>2019</v>
      </c>
      <c r="F4676" s="178" t="s">
        <v>5257</v>
      </c>
      <c r="G4676" s="496"/>
      <c r="H4676" s="994" t="s">
        <v>20224</v>
      </c>
      <c r="I4676" s="11" t="s">
        <v>6510</v>
      </c>
      <c r="J4676" s="1285"/>
      <c r="K4676" s="1285"/>
      <c r="L4676" s="1285"/>
    </row>
    <row r="4677" spans="1:12" ht="11.15" customHeight="1">
      <c r="A4677" s="185"/>
      <c r="B4677" s="59" t="s">
        <v>21024</v>
      </c>
      <c r="C4677" s="147" t="s">
        <v>20221</v>
      </c>
      <c r="D4677" s="284" t="s">
        <v>897</v>
      </c>
      <c r="E4677" s="178">
        <v>2018</v>
      </c>
      <c r="F4677" s="178" t="s">
        <v>5257</v>
      </c>
      <c r="G4677" s="496"/>
      <c r="H4677" s="994" t="s">
        <v>20224</v>
      </c>
      <c r="I4677" s="11" t="s">
        <v>6511</v>
      </c>
      <c r="J4677" s="1285"/>
      <c r="K4677" s="1285"/>
      <c r="L4677" s="1285"/>
    </row>
    <row r="4678" spans="1:12" ht="11.15" customHeight="1">
      <c r="A4678" s="185"/>
      <c r="B4678" s="177" t="s">
        <v>6512</v>
      </c>
      <c r="C4678" s="147"/>
      <c r="D4678" s="159"/>
      <c r="E4678" s="36"/>
      <c r="F4678" s="178"/>
      <c r="G4678" s="453"/>
      <c r="H4678" s="36"/>
      <c r="I4678" s="11"/>
    </row>
    <row r="4679" spans="1:12" ht="11.15" customHeight="1">
      <c r="A4679" s="185"/>
      <c r="B4679" s="59" t="s">
        <v>21025</v>
      </c>
      <c r="C4679" s="147" t="s">
        <v>20221</v>
      </c>
      <c r="D4679" s="701" t="s">
        <v>1129</v>
      </c>
      <c r="E4679" s="178">
        <v>2022</v>
      </c>
      <c r="F4679" s="178" t="s">
        <v>4520</v>
      </c>
      <c r="G4679" s="496"/>
      <c r="H4679" s="994" t="s">
        <v>20221</v>
      </c>
      <c r="I4679" s="11" t="s">
        <v>6513</v>
      </c>
      <c r="J4679" s="1285"/>
      <c r="K4679" s="1285"/>
      <c r="L4679" s="1285"/>
    </row>
    <row r="4680" spans="1:12" ht="11.15" customHeight="1">
      <c r="A4680" s="185"/>
      <c r="B4680" s="177" t="s">
        <v>6514</v>
      </c>
      <c r="C4680" s="147"/>
      <c r="D4680" s="159"/>
      <c r="E4680" s="36"/>
      <c r="F4680" s="178"/>
      <c r="G4680" s="496"/>
      <c r="H4680" s="36"/>
      <c r="I4680" s="11"/>
      <c r="J4680" s="1285"/>
      <c r="K4680" s="1285"/>
      <c r="L4680" s="1285"/>
    </row>
    <row r="4681" spans="1:12" ht="11.15" customHeight="1">
      <c r="A4681" s="185"/>
      <c r="B4681" s="59" t="s">
        <v>21026</v>
      </c>
      <c r="C4681" s="147" t="s">
        <v>20221</v>
      </c>
      <c r="D4681" s="701" t="s">
        <v>1129</v>
      </c>
      <c r="E4681" s="178">
        <v>2022</v>
      </c>
      <c r="F4681" s="178" t="s">
        <v>4520</v>
      </c>
      <c r="G4681" s="496"/>
      <c r="H4681" s="994" t="s">
        <v>20224</v>
      </c>
      <c r="I4681" s="19" t="s">
        <v>6515</v>
      </c>
      <c r="J4681" s="1285"/>
      <c r="K4681" s="1285"/>
      <c r="L4681" s="1285"/>
    </row>
    <row r="4682" spans="1:12" ht="11.15" customHeight="1">
      <c r="A4682" s="185"/>
      <c r="B4682" s="59" t="s">
        <v>21027</v>
      </c>
      <c r="C4682" s="147" t="s">
        <v>20221</v>
      </c>
      <c r="D4682" s="701" t="s">
        <v>1129</v>
      </c>
      <c r="E4682" s="178">
        <v>2022</v>
      </c>
      <c r="F4682" s="178" t="s">
        <v>4520</v>
      </c>
      <c r="G4682" s="496" t="s">
        <v>20221</v>
      </c>
      <c r="H4682" s="994" t="s">
        <v>3907</v>
      </c>
      <c r="I4682" s="11" t="s">
        <v>6516</v>
      </c>
      <c r="J4682" s="1285"/>
      <c r="K4682" s="1285"/>
      <c r="L4682" s="1285"/>
    </row>
    <row r="4683" spans="1:12" ht="11.15" customHeight="1">
      <c r="A4683" s="185"/>
      <c r="B4683" s="59" t="s">
        <v>21028</v>
      </c>
      <c r="C4683" s="147" t="s">
        <v>20221</v>
      </c>
      <c r="D4683" s="701" t="s">
        <v>1129</v>
      </c>
      <c r="E4683" s="178" t="s">
        <v>20221</v>
      </c>
      <c r="F4683" s="178" t="s">
        <v>4520</v>
      </c>
      <c r="G4683" s="496" t="s">
        <v>20221</v>
      </c>
      <c r="H4683" s="994" t="s">
        <v>3907</v>
      </c>
      <c r="I4683" s="11" t="s">
        <v>6517</v>
      </c>
      <c r="J4683" s="1285"/>
      <c r="K4683" s="1285"/>
      <c r="L4683" s="1285"/>
    </row>
    <row r="4684" spans="1:12" ht="11.15" customHeight="1">
      <c r="A4684" s="185"/>
      <c r="B4684" s="59" t="s">
        <v>21029</v>
      </c>
      <c r="C4684" s="147" t="s">
        <v>20221</v>
      </c>
      <c r="D4684" s="701" t="s">
        <v>1129</v>
      </c>
      <c r="E4684" s="178" t="s">
        <v>20221</v>
      </c>
      <c r="F4684" s="178" t="s">
        <v>4520</v>
      </c>
      <c r="G4684" s="496" t="s">
        <v>20221</v>
      </c>
      <c r="H4684" s="994" t="s">
        <v>3907</v>
      </c>
      <c r="I4684" s="11" t="s">
        <v>6518</v>
      </c>
      <c r="J4684" s="1285"/>
      <c r="K4684" s="1285"/>
      <c r="L4684" s="1285"/>
    </row>
    <row r="4685" spans="1:12" ht="11.15" customHeight="1">
      <c r="A4685" s="185"/>
      <c r="B4685" s="59" t="s">
        <v>21030</v>
      </c>
      <c r="C4685" s="147" t="s">
        <v>20221</v>
      </c>
      <c r="D4685" s="701" t="s">
        <v>1129</v>
      </c>
      <c r="E4685" s="178">
        <v>2022</v>
      </c>
      <c r="F4685" s="178" t="s">
        <v>4520</v>
      </c>
      <c r="G4685" s="496" t="s">
        <v>20221</v>
      </c>
      <c r="H4685" s="994" t="s">
        <v>3907</v>
      </c>
      <c r="I4685" s="11" t="s">
        <v>6519</v>
      </c>
      <c r="J4685" s="1285"/>
      <c r="K4685" s="1285"/>
      <c r="L4685" s="1285"/>
    </row>
    <row r="4686" spans="1:12" ht="11.15" customHeight="1">
      <c r="A4686" s="185"/>
      <c r="B4686" s="59" t="s">
        <v>21031</v>
      </c>
      <c r="C4686" s="147" t="s">
        <v>20221</v>
      </c>
      <c r="D4686" s="701" t="s">
        <v>1129</v>
      </c>
      <c r="E4686" s="178">
        <v>2022</v>
      </c>
      <c r="F4686" s="178" t="s">
        <v>4520</v>
      </c>
      <c r="G4686" s="496"/>
      <c r="H4686" s="994" t="s">
        <v>20224</v>
      </c>
      <c r="I4686" s="11" t="s">
        <v>6520</v>
      </c>
      <c r="J4686" s="1285"/>
      <c r="K4686" s="1285"/>
      <c r="L4686" s="1285"/>
    </row>
    <row r="4687" spans="1:12" ht="11.15" customHeight="1">
      <c r="A4687" s="185"/>
      <c r="B4687" s="59" t="s">
        <v>21032</v>
      </c>
      <c r="C4687" s="147" t="s">
        <v>20221</v>
      </c>
      <c r="D4687" s="701" t="s">
        <v>1129</v>
      </c>
      <c r="E4687" s="178" t="s">
        <v>20221</v>
      </c>
      <c r="F4687" s="178" t="s">
        <v>5257</v>
      </c>
      <c r="G4687" s="496" t="s">
        <v>20221</v>
      </c>
      <c r="H4687" s="994" t="s">
        <v>3907</v>
      </c>
      <c r="I4687" s="11" t="s">
        <v>6521</v>
      </c>
      <c r="J4687" s="1285"/>
      <c r="K4687" s="1285"/>
      <c r="L4687" s="1285"/>
    </row>
    <row r="4688" spans="1:12" ht="11.15" customHeight="1">
      <c r="A4688" s="185"/>
      <c r="B4688" s="177" t="s">
        <v>5398</v>
      </c>
      <c r="C4688" s="147"/>
      <c r="D4688" s="129"/>
      <c r="E4688" s="185"/>
      <c r="F4688" s="185"/>
      <c r="G4688" s="185"/>
      <c r="H4688" s="185"/>
      <c r="I4688" s="11"/>
      <c r="J4688" s="1285"/>
      <c r="K4688" s="1285"/>
      <c r="L4688" s="1285"/>
    </row>
    <row r="4689" spans="1:12" ht="11.15" customHeight="1">
      <c r="A4689" s="185"/>
      <c r="B4689" s="59" t="s">
        <v>21033</v>
      </c>
      <c r="C4689" s="147" t="s">
        <v>20221</v>
      </c>
      <c r="D4689" s="701" t="s">
        <v>1129</v>
      </c>
      <c r="E4689" s="178">
        <v>2022</v>
      </c>
      <c r="F4689" s="178" t="s">
        <v>4520</v>
      </c>
      <c r="G4689" s="496"/>
      <c r="H4689" s="994" t="s">
        <v>20343</v>
      </c>
      <c r="I4689" s="11" t="s">
        <v>6522</v>
      </c>
      <c r="J4689" s="1285"/>
      <c r="K4689" s="1285"/>
      <c r="L4689" s="1285"/>
    </row>
    <row r="4690" spans="1:12" ht="11.15" customHeight="1">
      <c r="A4690" s="185"/>
      <c r="B4690" s="59" t="s">
        <v>21034</v>
      </c>
      <c r="C4690" s="147" t="s">
        <v>20221</v>
      </c>
      <c r="D4690" s="701" t="s">
        <v>1129</v>
      </c>
      <c r="E4690" s="178">
        <v>2022</v>
      </c>
      <c r="F4690" s="178" t="s">
        <v>4520</v>
      </c>
      <c r="G4690" s="496"/>
      <c r="H4690" s="994" t="s">
        <v>20343</v>
      </c>
      <c r="I4690" s="11" t="s">
        <v>6523</v>
      </c>
      <c r="J4690" s="1285"/>
      <c r="K4690" s="1285"/>
      <c r="L4690" s="1285"/>
    </row>
    <row r="4691" spans="1:12" ht="11.15" customHeight="1">
      <c r="A4691" s="185"/>
      <c r="B4691" s="59" t="s">
        <v>21035</v>
      </c>
      <c r="C4691" s="147" t="s">
        <v>20221</v>
      </c>
      <c r="D4691" s="701" t="s">
        <v>1129</v>
      </c>
      <c r="E4691" s="178">
        <v>2022</v>
      </c>
      <c r="F4691" s="178" t="s">
        <v>4520</v>
      </c>
      <c r="G4691" s="496"/>
      <c r="H4691" s="994" t="s">
        <v>20343</v>
      </c>
      <c r="I4691" s="11" t="s">
        <v>6524</v>
      </c>
      <c r="J4691" s="1285"/>
      <c r="K4691" s="1285"/>
      <c r="L4691" s="1285"/>
    </row>
    <row r="4692" spans="1:12" ht="11.15" customHeight="1">
      <c r="A4692" s="185"/>
      <c r="B4692" s="59" t="s">
        <v>21036</v>
      </c>
      <c r="C4692" s="147" t="s">
        <v>20221</v>
      </c>
      <c r="D4692" s="701" t="s">
        <v>1129</v>
      </c>
      <c r="E4692" s="178">
        <v>2022</v>
      </c>
      <c r="F4692" s="178" t="s">
        <v>4520</v>
      </c>
      <c r="G4692" s="496"/>
      <c r="H4692" s="994" t="s">
        <v>20343</v>
      </c>
      <c r="I4692" s="11" t="s">
        <v>6525</v>
      </c>
      <c r="J4692" s="1285"/>
      <c r="K4692" s="1285"/>
      <c r="L4692" s="1285"/>
    </row>
    <row r="4693" spans="1:12" ht="11.15" customHeight="1">
      <c r="A4693" s="185"/>
      <c r="B4693" s="59" t="s">
        <v>21037</v>
      </c>
      <c r="C4693" s="147" t="s">
        <v>20221</v>
      </c>
      <c r="D4693" s="701" t="s">
        <v>1129</v>
      </c>
      <c r="E4693" s="178">
        <v>2022</v>
      </c>
      <c r="F4693" s="178" t="s">
        <v>4520</v>
      </c>
      <c r="G4693" s="496"/>
      <c r="H4693" s="994" t="s">
        <v>20343</v>
      </c>
      <c r="I4693" s="11" t="s">
        <v>6526</v>
      </c>
      <c r="J4693" s="1285"/>
      <c r="K4693" s="1285"/>
      <c r="L4693" s="1285"/>
    </row>
    <row r="4694" spans="1:12" ht="11.15" customHeight="1">
      <c r="A4694" s="185"/>
      <c r="B4694" s="177" t="s">
        <v>6527</v>
      </c>
      <c r="C4694" s="147"/>
      <c r="D4694" s="129"/>
      <c r="E4694" s="185"/>
      <c r="F4694" s="185"/>
      <c r="G4694" s="185"/>
      <c r="H4694" s="185"/>
      <c r="I4694" s="11"/>
      <c r="J4694" s="1285"/>
      <c r="K4694" s="1285"/>
      <c r="L4694" s="1285"/>
    </row>
    <row r="4695" spans="1:12" ht="11.15" customHeight="1">
      <c r="A4695" s="185"/>
      <c r="B4695" s="59" t="s">
        <v>20783</v>
      </c>
      <c r="C4695" s="147" t="s">
        <v>20221</v>
      </c>
      <c r="D4695" s="701" t="s">
        <v>1129</v>
      </c>
      <c r="E4695" s="178">
        <v>2022</v>
      </c>
      <c r="F4695" s="178" t="s">
        <v>23394</v>
      </c>
      <c r="G4695" s="496"/>
      <c r="H4695" s="994" t="s">
        <v>20224</v>
      </c>
      <c r="I4695" s="11" t="s">
        <v>6528</v>
      </c>
      <c r="J4695" s="1285"/>
      <c r="K4695" s="1285"/>
      <c r="L4695" s="1285"/>
    </row>
    <row r="4696" spans="1:12" ht="11.15" customHeight="1">
      <c r="A4696" s="185"/>
      <c r="B4696" s="59" t="s">
        <v>21038</v>
      </c>
      <c r="C4696" s="147" t="s">
        <v>20221</v>
      </c>
      <c r="D4696" s="701" t="s">
        <v>1129</v>
      </c>
      <c r="E4696" s="178">
        <v>2022</v>
      </c>
      <c r="F4696" s="178" t="s">
        <v>23394</v>
      </c>
      <c r="G4696" s="496"/>
      <c r="H4696" s="994" t="s">
        <v>20224</v>
      </c>
      <c r="I4696" s="11" t="s">
        <v>6529</v>
      </c>
      <c r="J4696" s="1285"/>
      <c r="K4696" s="1285"/>
      <c r="L4696" s="1285"/>
    </row>
    <row r="4697" spans="1:12" ht="11.15" customHeight="1">
      <c r="A4697" s="185"/>
      <c r="B4697" s="59" t="s">
        <v>21039</v>
      </c>
      <c r="C4697" s="147" t="s">
        <v>20221</v>
      </c>
      <c r="D4697" s="701" t="s">
        <v>1129</v>
      </c>
      <c r="E4697" s="178">
        <v>2022</v>
      </c>
      <c r="F4697" s="178" t="s">
        <v>23394</v>
      </c>
      <c r="G4697" s="496"/>
      <c r="H4697" s="994" t="s">
        <v>3907</v>
      </c>
      <c r="I4697" s="11" t="s">
        <v>6530</v>
      </c>
      <c r="J4697" s="1285"/>
      <c r="K4697" s="1285"/>
      <c r="L4697" s="1285"/>
    </row>
    <row r="4698" spans="1:12" ht="11.15" customHeight="1">
      <c r="A4698" s="185"/>
      <c r="B4698" s="90"/>
      <c r="C4698" s="147"/>
      <c r="D4698" s="159"/>
      <c r="E4698" s="36"/>
      <c r="F4698" s="178"/>
      <c r="G4698" s="497"/>
      <c r="H4698" s="36"/>
      <c r="I4698" s="11"/>
    </row>
    <row r="4699" spans="1:12" ht="11.15" customHeight="1">
      <c r="A4699" s="185"/>
      <c r="B4699" s="413" t="s">
        <v>6531</v>
      </c>
      <c r="C4699" s="147"/>
      <c r="D4699" s="159"/>
      <c r="E4699" s="36"/>
      <c r="F4699" s="178"/>
      <c r="G4699" s="497"/>
      <c r="H4699" s="36"/>
      <c r="I4699" s="11"/>
    </row>
    <row r="4700" spans="1:12" ht="9" customHeight="1">
      <c r="A4700" s="185"/>
      <c r="B4700" s="150" t="s">
        <v>6532</v>
      </c>
      <c r="C4700" s="147"/>
      <c r="D4700" s="159"/>
      <c r="E4700" s="36"/>
      <c r="F4700" s="178"/>
      <c r="G4700" s="497"/>
      <c r="H4700" s="36"/>
      <c r="I4700" s="11"/>
    </row>
    <row r="4701" spans="1:12" ht="9" customHeight="1">
      <c r="A4701" s="185"/>
      <c r="B4701" s="150" t="s">
        <v>6533</v>
      </c>
      <c r="C4701" s="147"/>
      <c r="D4701" s="159"/>
      <c r="E4701" s="36"/>
      <c r="F4701" s="178"/>
      <c r="G4701" s="497"/>
      <c r="H4701" s="36"/>
      <c r="I4701" s="11"/>
    </row>
    <row r="4702" spans="1:12" ht="9" customHeight="1">
      <c r="A4702" s="162"/>
      <c r="B4702" s="150" t="s">
        <v>6534</v>
      </c>
      <c r="C4702" s="147"/>
      <c r="D4702" s="209"/>
      <c r="E4702" s="210"/>
      <c r="F4702" s="209"/>
      <c r="G4702" s="886"/>
      <c r="H4702" s="216"/>
      <c r="I4702" s="11"/>
    </row>
    <row r="4703" spans="1:12" ht="9" customHeight="1">
      <c r="A4703" s="162"/>
      <c r="B4703" s="150" t="s">
        <v>6535</v>
      </c>
      <c r="C4703" s="147"/>
      <c r="D4703" s="209"/>
      <c r="E4703" s="210"/>
      <c r="F4703" s="209"/>
      <c r="G4703" s="886"/>
      <c r="H4703" s="216"/>
      <c r="I4703" s="11"/>
    </row>
    <row r="4704" spans="1:12" ht="9" customHeight="1">
      <c r="A4704" s="162"/>
      <c r="B4704" s="150" t="s">
        <v>6536</v>
      </c>
      <c r="C4704" s="147"/>
      <c r="D4704" s="209"/>
      <c r="E4704" s="210"/>
      <c r="F4704" s="209"/>
      <c r="G4704" s="886"/>
      <c r="H4704" s="216"/>
      <c r="I4704" s="11"/>
    </row>
    <row r="4705" spans="1:12" ht="9" customHeight="1" thickBot="1">
      <c r="A4705" s="162"/>
      <c r="B4705" s="150" t="s">
        <v>6537</v>
      </c>
      <c r="C4705" s="147"/>
      <c r="D4705" s="209"/>
      <c r="E4705" s="210"/>
      <c r="F4705" s="209"/>
      <c r="G4705" s="886"/>
      <c r="H4705" s="216"/>
      <c r="I4705" s="11"/>
    </row>
    <row r="4706" spans="1:12" ht="11.15" customHeight="1" thickBot="1">
      <c r="A4706" s="184" t="s">
        <v>6538</v>
      </c>
      <c r="B4706" s="177" t="s">
        <v>6539</v>
      </c>
      <c r="C4706" s="147"/>
      <c r="D4706" s="161"/>
      <c r="E4706" s="36"/>
      <c r="F4706" s="178"/>
      <c r="G4706" s="496"/>
      <c r="H4706" s="36"/>
      <c r="I4706" s="11"/>
    </row>
    <row r="4707" spans="1:12" ht="11.15" customHeight="1">
      <c r="A4707" s="29" t="s">
        <v>6540</v>
      </c>
      <c r="B4707" s="59" t="s">
        <v>21041</v>
      </c>
      <c r="C4707" s="147" t="s">
        <v>20221</v>
      </c>
      <c r="D4707" s="284" t="s">
        <v>897</v>
      </c>
      <c r="E4707" s="178">
        <v>2014</v>
      </c>
      <c r="F4707" s="178" t="s">
        <v>4520</v>
      </c>
      <c r="G4707" s="496"/>
      <c r="H4707" s="994" t="s">
        <v>20221</v>
      </c>
      <c r="I4707" s="11" t="s">
        <v>6541</v>
      </c>
      <c r="J4707" s="1285"/>
      <c r="K4707" s="1285"/>
      <c r="L4707" s="1285"/>
    </row>
    <row r="4708" spans="1:12" ht="11.15" customHeight="1">
      <c r="A4708" s="29" t="s">
        <v>6542</v>
      </c>
      <c r="B4708" s="59" t="s">
        <v>21041</v>
      </c>
      <c r="C4708" s="147" t="s">
        <v>20221</v>
      </c>
      <c r="D4708" s="284" t="s">
        <v>897</v>
      </c>
      <c r="E4708" s="178">
        <v>2012</v>
      </c>
      <c r="F4708" s="178" t="s">
        <v>23395</v>
      </c>
      <c r="G4708" s="496"/>
      <c r="H4708" s="994" t="s">
        <v>20224</v>
      </c>
      <c r="I4708" s="11" t="s">
        <v>6543</v>
      </c>
      <c r="J4708" s="1285"/>
      <c r="K4708" s="1285"/>
      <c r="L4708" s="1285"/>
    </row>
    <row r="4709" spans="1:12" ht="11.15" customHeight="1">
      <c r="A4709" s="29" t="s">
        <v>6544</v>
      </c>
      <c r="B4709" s="59" t="s">
        <v>21041</v>
      </c>
      <c r="C4709" s="147" t="s">
        <v>20221</v>
      </c>
      <c r="D4709" s="284" t="s">
        <v>897</v>
      </c>
      <c r="E4709" s="178">
        <v>2011</v>
      </c>
      <c r="F4709" s="178" t="s">
        <v>23395</v>
      </c>
      <c r="G4709" s="496"/>
      <c r="H4709" s="994" t="s">
        <v>20221</v>
      </c>
      <c r="I4709" s="11" t="s">
        <v>6545</v>
      </c>
      <c r="J4709" s="1285"/>
      <c r="K4709" s="1285"/>
      <c r="L4709" s="1285"/>
    </row>
    <row r="4710" spans="1:12" ht="11.15" customHeight="1">
      <c r="A4710" s="29" t="s">
        <v>6546</v>
      </c>
      <c r="B4710" s="59" t="s">
        <v>21041</v>
      </c>
      <c r="C4710" s="147" t="s">
        <v>20221</v>
      </c>
      <c r="D4710" s="284" t="s">
        <v>897</v>
      </c>
      <c r="E4710" s="178">
        <v>2010</v>
      </c>
      <c r="F4710" s="178" t="s">
        <v>23395</v>
      </c>
      <c r="G4710" s="496"/>
      <c r="H4710" s="994" t="s">
        <v>20221</v>
      </c>
      <c r="I4710" s="11" t="s">
        <v>6547</v>
      </c>
      <c r="J4710" s="1285"/>
      <c r="K4710" s="1285"/>
      <c r="L4710" s="1285"/>
    </row>
    <row r="4711" spans="1:12" ht="11.15" customHeight="1">
      <c r="A4711" s="29" t="s">
        <v>6548</v>
      </c>
      <c r="B4711" s="177" t="s">
        <v>6549</v>
      </c>
      <c r="C4711" s="147"/>
      <c r="D4711" s="161"/>
      <c r="E4711" s="36"/>
      <c r="F4711" s="178"/>
      <c r="G4711" s="496"/>
      <c r="H4711" s="36"/>
      <c r="I4711" s="11"/>
    </row>
    <row r="4712" spans="1:12" ht="11.15" customHeight="1">
      <c r="A4712" s="129" t="s">
        <v>903</v>
      </c>
      <c r="B4712" s="59" t="s">
        <v>21042</v>
      </c>
      <c r="C4712" s="147" t="s">
        <v>20221</v>
      </c>
      <c r="D4712" s="284" t="s">
        <v>897</v>
      </c>
      <c r="E4712" s="178">
        <v>2014</v>
      </c>
      <c r="F4712" s="178" t="s">
        <v>4520</v>
      </c>
      <c r="G4712" s="496"/>
      <c r="H4712" s="994" t="s">
        <v>20221</v>
      </c>
      <c r="I4712" s="11" t="s">
        <v>6550</v>
      </c>
      <c r="J4712" s="1285"/>
      <c r="K4712" s="1285"/>
      <c r="L4712" s="1285"/>
    </row>
    <row r="4713" spans="1:12" ht="11.15" customHeight="1">
      <c r="A4713" s="162" t="s">
        <v>6551</v>
      </c>
      <c r="B4713" s="59" t="s">
        <v>21042</v>
      </c>
      <c r="C4713" s="147" t="s">
        <v>20221</v>
      </c>
      <c r="D4713" s="284" t="s">
        <v>897</v>
      </c>
      <c r="E4713" s="178">
        <v>2013</v>
      </c>
      <c r="F4713" s="178" t="s">
        <v>4520</v>
      </c>
      <c r="G4713" s="496"/>
      <c r="H4713" s="994" t="s">
        <v>20221</v>
      </c>
      <c r="I4713" s="11" t="s">
        <v>6552</v>
      </c>
      <c r="J4713" s="1285"/>
      <c r="K4713" s="1285"/>
      <c r="L4713" s="1285"/>
    </row>
    <row r="4714" spans="1:12" ht="11.15" customHeight="1">
      <c r="A4714" s="162" t="s">
        <v>6553</v>
      </c>
      <c r="B4714" s="59" t="s">
        <v>21043</v>
      </c>
      <c r="C4714" s="147" t="s">
        <v>20221</v>
      </c>
      <c r="D4714" s="284" t="s">
        <v>897</v>
      </c>
      <c r="E4714" s="178">
        <v>2022</v>
      </c>
      <c r="F4714" s="178" t="s">
        <v>4520</v>
      </c>
      <c r="G4714" s="496"/>
      <c r="H4714" s="994" t="s">
        <v>20221</v>
      </c>
      <c r="I4714" s="11" t="s">
        <v>6554</v>
      </c>
      <c r="J4714" s="1285"/>
      <c r="K4714" s="1285"/>
      <c r="L4714" s="1285"/>
    </row>
    <row r="4715" spans="1:12" ht="11.15" customHeight="1">
      <c r="A4715" s="162" t="s">
        <v>6555</v>
      </c>
      <c r="B4715" s="59" t="s">
        <v>21043</v>
      </c>
      <c r="C4715" s="147" t="s">
        <v>20221</v>
      </c>
      <c r="D4715" s="284" t="s">
        <v>897</v>
      </c>
      <c r="E4715" s="178">
        <v>2021</v>
      </c>
      <c r="F4715" s="178" t="s">
        <v>4520</v>
      </c>
      <c r="G4715" s="496"/>
      <c r="H4715" s="994" t="s">
        <v>20221</v>
      </c>
      <c r="I4715" s="11" t="s">
        <v>6556</v>
      </c>
      <c r="J4715" s="1285"/>
      <c r="K4715" s="1285"/>
      <c r="L4715" s="1285"/>
    </row>
    <row r="4716" spans="1:12" ht="11.15" customHeight="1">
      <c r="A4716" s="162" t="s">
        <v>6557</v>
      </c>
      <c r="B4716" s="59" t="s">
        <v>21043</v>
      </c>
      <c r="C4716" s="147" t="s">
        <v>20221</v>
      </c>
      <c r="D4716" s="284" t="s">
        <v>897</v>
      </c>
      <c r="E4716" s="178">
        <v>2020</v>
      </c>
      <c r="F4716" s="178" t="s">
        <v>4520</v>
      </c>
      <c r="G4716" s="496"/>
      <c r="H4716" s="994" t="s">
        <v>20221</v>
      </c>
      <c r="I4716" s="11" t="s">
        <v>6558</v>
      </c>
      <c r="J4716" s="1285"/>
      <c r="K4716" s="1285"/>
      <c r="L4716" s="1285"/>
    </row>
    <row r="4717" spans="1:12" ht="11.15" customHeight="1">
      <c r="A4717" s="162" t="s">
        <v>6559</v>
      </c>
      <c r="B4717" s="59" t="s">
        <v>21043</v>
      </c>
      <c r="C4717" s="147" t="s">
        <v>20221</v>
      </c>
      <c r="D4717" s="284" t="s">
        <v>897</v>
      </c>
      <c r="E4717" s="178">
        <v>2019</v>
      </c>
      <c r="F4717" s="178" t="s">
        <v>4520</v>
      </c>
      <c r="G4717" s="496"/>
      <c r="H4717" s="994" t="s">
        <v>20221</v>
      </c>
      <c r="I4717" s="11" t="s">
        <v>6560</v>
      </c>
      <c r="J4717" s="1285"/>
      <c r="K4717" s="1285"/>
      <c r="L4717" s="1285"/>
    </row>
    <row r="4718" spans="1:12" ht="11.15" customHeight="1">
      <c r="A4718" s="162" t="s">
        <v>6561</v>
      </c>
      <c r="B4718" s="59" t="s">
        <v>21043</v>
      </c>
      <c r="C4718" s="147" t="s">
        <v>20221</v>
      </c>
      <c r="D4718" s="284" t="s">
        <v>897</v>
      </c>
      <c r="E4718" s="178">
        <v>2018</v>
      </c>
      <c r="F4718" s="178" t="s">
        <v>4520</v>
      </c>
      <c r="G4718" s="496"/>
      <c r="H4718" s="994" t="s">
        <v>20221</v>
      </c>
      <c r="I4718" s="11" t="s">
        <v>6562</v>
      </c>
      <c r="J4718" s="1285"/>
      <c r="K4718" s="1285"/>
      <c r="L4718" s="1285"/>
    </row>
    <row r="4719" spans="1:12" ht="11.15" customHeight="1">
      <c r="A4719" s="162" t="s">
        <v>6563</v>
      </c>
      <c r="B4719" s="59" t="s">
        <v>21043</v>
      </c>
      <c r="C4719" s="147" t="s">
        <v>20221</v>
      </c>
      <c r="D4719" s="284" t="s">
        <v>897</v>
      </c>
      <c r="E4719" s="178">
        <v>2016</v>
      </c>
      <c r="F4719" s="178" t="s">
        <v>4520</v>
      </c>
      <c r="G4719" s="496"/>
      <c r="H4719" s="994" t="s">
        <v>20465</v>
      </c>
      <c r="I4719" s="11" t="s">
        <v>6564</v>
      </c>
      <c r="J4719" s="1285"/>
      <c r="K4719" s="1285"/>
      <c r="L4719" s="1285"/>
    </row>
    <row r="4720" spans="1:12" ht="11.15" customHeight="1">
      <c r="A4720" s="162" t="s">
        <v>6565</v>
      </c>
      <c r="B4720" s="59" t="s">
        <v>21043</v>
      </c>
      <c r="C4720" s="147" t="s">
        <v>20221</v>
      </c>
      <c r="D4720" s="284" t="s">
        <v>897</v>
      </c>
      <c r="E4720" s="178">
        <v>2006</v>
      </c>
      <c r="F4720" s="178" t="s">
        <v>20220</v>
      </c>
      <c r="G4720" s="496"/>
      <c r="H4720" s="994" t="s">
        <v>20465</v>
      </c>
      <c r="I4720" s="11" t="s">
        <v>23273</v>
      </c>
      <c r="J4720" s="1285"/>
      <c r="K4720" s="1285"/>
      <c r="L4720" s="1285"/>
    </row>
    <row r="4721" spans="1:12" ht="10.5" customHeight="1">
      <c r="A4721" s="129" t="s">
        <v>6567</v>
      </c>
      <c r="B4721" s="59" t="s">
        <v>21044</v>
      </c>
      <c r="C4721" s="147" t="s">
        <v>20221</v>
      </c>
      <c r="D4721" s="284" t="s">
        <v>897</v>
      </c>
      <c r="E4721" s="178">
        <v>2022</v>
      </c>
      <c r="F4721" s="178" t="s">
        <v>4520</v>
      </c>
      <c r="G4721" s="496"/>
      <c r="H4721" s="994" t="s">
        <v>20221</v>
      </c>
      <c r="I4721" s="11" t="s">
        <v>6566</v>
      </c>
      <c r="J4721" s="1285"/>
      <c r="K4721" s="1285"/>
      <c r="L4721" s="1285"/>
    </row>
    <row r="4722" spans="1:12" ht="10.5" customHeight="1">
      <c r="A4722" s="162" t="s">
        <v>6569</v>
      </c>
      <c r="B4722" s="59" t="s">
        <v>21044</v>
      </c>
      <c r="C4722" s="147" t="s">
        <v>20221</v>
      </c>
      <c r="D4722" s="284" t="s">
        <v>897</v>
      </c>
      <c r="E4722" s="178">
        <v>2021</v>
      </c>
      <c r="F4722" s="178" t="s">
        <v>4520</v>
      </c>
      <c r="G4722" s="496"/>
      <c r="H4722" s="994" t="s">
        <v>20221</v>
      </c>
      <c r="I4722" s="11" t="s">
        <v>6568</v>
      </c>
      <c r="J4722" s="1285"/>
      <c r="K4722" s="1285"/>
      <c r="L4722" s="1285"/>
    </row>
    <row r="4723" spans="1:12" ht="10.5" customHeight="1">
      <c r="A4723" s="162" t="s">
        <v>6571</v>
      </c>
      <c r="B4723" s="59" t="s">
        <v>21044</v>
      </c>
      <c r="C4723" s="147" t="s">
        <v>20221</v>
      </c>
      <c r="D4723" s="284" t="s">
        <v>897</v>
      </c>
      <c r="E4723" s="178">
        <v>2020</v>
      </c>
      <c r="F4723" s="178" t="s">
        <v>4520</v>
      </c>
      <c r="G4723" s="496"/>
      <c r="H4723" s="994" t="s">
        <v>20221</v>
      </c>
      <c r="I4723" s="11" t="s">
        <v>6570</v>
      </c>
      <c r="J4723" s="1285"/>
      <c r="K4723" s="1285"/>
      <c r="L4723" s="1285"/>
    </row>
    <row r="4724" spans="1:12" ht="10.5" customHeight="1">
      <c r="A4724" s="162" t="s">
        <v>6573</v>
      </c>
      <c r="B4724" s="59" t="s">
        <v>21044</v>
      </c>
      <c r="C4724" s="147" t="s">
        <v>20221</v>
      </c>
      <c r="D4724" s="284" t="s">
        <v>897</v>
      </c>
      <c r="E4724" s="178">
        <v>2019</v>
      </c>
      <c r="F4724" s="178" t="s">
        <v>4520</v>
      </c>
      <c r="G4724" s="496"/>
      <c r="H4724" s="994" t="s">
        <v>20221</v>
      </c>
      <c r="I4724" s="11" t="s">
        <v>6572</v>
      </c>
      <c r="J4724" s="1285"/>
      <c r="K4724" s="1285"/>
      <c r="L4724" s="1285"/>
    </row>
    <row r="4725" spans="1:12" ht="11.15" customHeight="1">
      <c r="A4725" s="162" t="s">
        <v>6575</v>
      </c>
      <c r="B4725" s="59" t="s">
        <v>21044</v>
      </c>
      <c r="C4725" s="147" t="s">
        <v>20221</v>
      </c>
      <c r="D4725" s="284" t="s">
        <v>897</v>
      </c>
      <c r="E4725" s="178">
        <v>2018</v>
      </c>
      <c r="F4725" s="178" t="s">
        <v>4520</v>
      </c>
      <c r="G4725" s="496"/>
      <c r="H4725" s="994" t="s">
        <v>20221</v>
      </c>
      <c r="I4725" s="11" t="s">
        <v>6574</v>
      </c>
      <c r="J4725" s="1285"/>
      <c r="K4725" s="1285"/>
      <c r="L4725" s="1285"/>
    </row>
    <row r="4726" spans="1:12" ht="11.15" customHeight="1">
      <c r="A4726" s="162" t="s">
        <v>6577</v>
      </c>
      <c r="B4726" s="59" t="s">
        <v>21044</v>
      </c>
      <c r="C4726" s="147" t="s">
        <v>20221</v>
      </c>
      <c r="D4726" s="284" t="s">
        <v>897</v>
      </c>
      <c r="E4726" s="178">
        <v>2017</v>
      </c>
      <c r="F4726" s="178" t="s">
        <v>4520</v>
      </c>
      <c r="G4726" s="496"/>
      <c r="H4726" s="994" t="s">
        <v>20221</v>
      </c>
      <c r="I4726" s="11" t="s">
        <v>6576</v>
      </c>
      <c r="J4726" s="1285"/>
      <c r="K4726" s="1285"/>
      <c r="L4726" s="1285"/>
    </row>
    <row r="4727" spans="1:12" ht="11.15" customHeight="1">
      <c r="A4727" s="162" t="s">
        <v>6579</v>
      </c>
      <c r="B4727" s="59" t="s">
        <v>21044</v>
      </c>
      <c r="C4727" s="147" t="s">
        <v>20221</v>
      </c>
      <c r="D4727" s="284" t="s">
        <v>897</v>
      </c>
      <c r="E4727" s="178">
        <v>2016</v>
      </c>
      <c r="F4727" s="178" t="s">
        <v>4520</v>
      </c>
      <c r="G4727" s="496"/>
      <c r="H4727" s="994" t="s">
        <v>20221</v>
      </c>
      <c r="I4727" s="11" t="s">
        <v>6578</v>
      </c>
      <c r="J4727" s="1285"/>
      <c r="K4727" s="1285"/>
      <c r="L4727" s="1285"/>
    </row>
    <row r="4728" spans="1:12" ht="11.15" customHeight="1">
      <c r="A4728" s="162" t="s">
        <v>6581</v>
      </c>
      <c r="B4728" s="59" t="s">
        <v>21044</v>
      </c>
      <c r="C4728" s="147" t="s">
        <v>20221</v>
      </c>
      <c r="D4728" s="284" t="s">
        <v>897</v>
      </c>
      <c r="E4728" s="178">
        <v>2015</v>
      </c>
      <c r="F4728" s="178" t="s">
        <v>4520</v>
      </c>
      <c r="G4728" s="496"/>
      <c r="H4728" s="994" t="s">
        <v>20221</v>
      </c>
      <c r="I4728" s="11" t="s">
        <v>6580</v>
      </c>
      <c r="J4728" s="1285"/>
      <c r="K4728" s="1285"/>
      <c r="L4728" s="1285"/>
    </row>
    <row r="4729" spans="1:12" ht="11.15" customHeight="1">
      <c r="A4729" s="162" t="s">
        <v>6583</v>
      </c>
      <c r="B4729" s="59" t="s">
        <v>21016</v>
      </c>
      <c r="C4729" s="147" t="s">
        <v>20221</v>
      </c>
      <c r="D4729" s="284" t="s">
        <v>897</v>
      </c>
      <c r="E4729" s="178">
        <v>2022</v>
      </c>
      <c r="F4729" s="178" t="s">
        <v>4520</v>
      </c>
      <c r="G4729" s="496"/>
      <c r="H4729" s="994" t="s">
        <v>20221</v>
      </c>
      <c r="I4729" s="11" t="s">
        <v>6582</v>
      </c>
      <c r="J4729" s="1285"/>
      <c r="K4729" s="1285"/>
      <c r="L4729" s="1285"/>
    </row>
    <row r="4730" spans="1:12" ht="11.15" customHeight="1">
      <c r="A4730" s="162" t="s">
        <v>6585</v>
      </c>
      <c r="B4730" s="59" t="s">
        <v>21016</v>
      </c>
      <c r="C4730" s="147" t="s">
        <v>20221</v>
      </c>
      <c r="D4730" s="284" t="s">
        <v>897</v>
      </c>
      <c r="E4730" s="178">
        <v>2021</v>
      </c>
      <c r="F4730" s="178" t="s">
        <v>4520</v>
      </c>
      <c r="G4730" s="496"/>
      <c r="H4730" s="994" t="s">
        <v>20221</v>
      </c>
      <c r="I4730" s="11" t="s">
        <v>6584</v>
      </c>
      <c r="J4730" s="1285"/>
      <c r="K4730" s="1285"/>
      <c r="L4730" s="1285"/>
    </row>
    <row r="4731" spans="1:12" ht="11.15" customHeight="1">
      <c r="A4731" s="481" t="s">
        <v>6587</v>
      </c>
      <c r="B4731" s="59" t="s">
        <v>21016</v>
      </c>
      <c r="C4731" s="147" t="s">
        <v>20221</v>
      </c>
      <c r="D4731" s="284" t="s">
        <v>897</v>
      </c>
      <c r="E4731" s="178">
        <v>2020</v>
      </c>
      <c r="F4731" s="178" t="s">
        <v>4520</v>
      </c>
      <c r="G4731" s="496"/>
      <c r="H4731" s="994" t="s">
        <v>20221</v>
      </c>
      <c r="I4731" s="11" t="s">
        <v>6586</v>
      </c>
      <c r="J4731" s="1285"/>
      <c r="K4731" s="1285"/>
      <c r="L4731" s="1285"/>
    </row>
    <row r="4732" spans="1:12" ht="11.15" customHeight="1">
      <c r="A4732" s="29"/>
      <c r="B4732" s="59" t="s">
        <v>21016</v>
      </c>
      <c r="C4732" s="147" t="s">
        <v>20221</v>
      </c>
      <c r="D4732" s="284" t="s">
        <v>897</v>
      </c>
      <c r="E4732" s="178">
        <v>2019</v>
      </c>
      <c r="F4732" s="178" t="s">
        <v>4520</v>
      </c>
      <c r="G4732" s="496"/>
      <c r="H4732" s="994" t="s">
        <v>20221</v>
      </c>
      <c r="I4732" s="11" t="s">
        <v>6588</v>
      </c>
      <c r="J4732" s="1285"/>
      <c r="K4732" s="1285"/>
      <c r="L4732" s="1285"/>
    </row>
    <row r="4733" spans="1:12" ht="11.15" customHeight="1">
      <c r="A4733" s="185"/>
      <c r="B4733" s="59" t="s">
        <v>21016</v>
      </c>
      <c r="C4733" s="147" t="s">
        <v>20221</v>
      </c>
      <c r="D4733" s="284" t="s">
        <v>897</v>
      </c>
      <c r="E4733" s="178">
        <v>2018</v>
      </c>
      <c r="F4733" s="178" t="s">
        <v>4520</v>
      </c>
      <c r="G4733" s="496"/>
      <c r="H4733" s="994" t="s">
        <v>20221</v>
      </c>
      <c r="I4733" s="11" t="s">
        <v>6589</v>
      </c>
      <c r="J4733" s="1285"/>
      <c r="K4733" s="1285"/>
      <c r="L4733" s="1285"/>
    </row>
    <row r="4734" spans="1:12" ht="11.15" customHeight="1">
      <c r="A4734" s="185"/>
      <c r="B4734" s="59" t="s">
        <v>21016</v>
      </c>
      <c r="C4734" s="147" t="s">
        <v>20221</v>
      </c>
      <c r="D4734" s="284" t="s">
        <v>897</v>
      </c>
      <c r="E4734" s="178">
        <v>2017</v>
      </c>
      <c r="F4734" s="178" t="s">
        <v>4520</v>
      </c>
      <c r="G4734" s="496"/>
      <c r="H4734" s="994" t="s">
        <v>20221</v>
      </c>
      <c r="I4734" s="11" t="s">
        <v>6590</v>
      </c>
      <c r="J4734" s="1285"/>
      <c r="K4734" s="1285"/>
      <c r="L4734" s="1285"/>
    </row>
    <row r="4735" spans="1:12" ht="11.15" customHeight="1">
      <c r="A4735" s="185"/>
      <c r="B4735" s="59" t="s">
        <v>21016</v>
      </c>
      <c r="C4735" s="147" t="s">
        <v>20221</v>
      </c>
      <c r="D4735" s="284" t="s">
        <v>897</v>
      </c>
      <c r="E4735" s="178">
        <v>2016</v>
      </c>
      <c r="F4735" s="178" t="s">
        <v>4520</v>
      </c>
      <c r="G4735" s="496"/>
      <c r="H4735" s="994" t="s">
        <v>20221</v>
      </c>
      <c r="I4735" s="11" t="s">
        <v>6591</v>
      </c>
      <c r="J4735" s="1285"/>
      <c r="K4735" s="1285"/>
      <c r="L4735" s="1285"/>
    </row>
    <row r="4736" spans="1:12" ht="11.15" customHeight="1">
      <c r="A4736" s="185"/>
      <c r="B4736" s="59" t="s">
        <v>21016</v>
      </c>
      <c r="C4736" s="147" t="s">
        <v>20221</v>
      </c>
      <c r="D4736" s="284" t="s">
        <v>897</v>
      </c>
      <c r="E4736" s="178">
        <v>2015</v>
      </c>
      <c r="F4736" s="178" t="s">
        <v>4520</v>
      </c>
      <c r="G4736" s="496"/>
      <c r="H4736" s="994" t="s">
        <v>20224</v>
      </c>
      <c r="I4736" s="11" t="s">
        <v>6592</v>
      </c>
      <c r="J4736" s="1285"/>
      <c r="K4736" s="1285"/>
      <c r="L4736" s="1285"/>
    </row>
    <row r="4737" spans="1:12" ht="11.15" customHeight="1">
      <c r="A4737" s="185"/>
      <c r="B4737" s="59" t="s">
        <v>21016</v>
      </c>
      <c r="C4737" s="147" t="s">
        <v>20221</v>
      </c>
      <c r="D4737" s="284" t="s">
        <v>897</v>
      </c>
      <c r="E4737" s="178">
        <v>2014</v>
      </c>
      <c r="F4737" s="178" t="s">
        <v>4520</v>
      </c>
      <c r="G4737" s="496"/>
      <c r="H4737" s="994" t="s">
        <v>20221</v>
      </c>
      <c r="I4737" s="11" t="s">
        <v>6593</v>
      </c>
      <c r="J4737" s="1285"/>
      <c r="K4737" s="1285"/>
      <c r="L4737" s="1285"/>
    </row>
    <row r="4738" spans="1:12" ht="11.15" customHeight="1">
      <c r="A4738" s="185"/>
      <c r="B4738" s="59" t="s">
        <v>21016</v>
      </c>
      <c r="C4738" s="147" t="s">
        <v>20221</v>
      </c>
      <c r="D4738" s="284" t="s">
        <v>897</v>
      </c>
      <c r="E4738" s="178">
        <v>2013</v>
      </c>
      <c r="F4738" s="178" t="s">
        <v>4520</v>
      </c>
      <c r="G4738" s="496"/>
      <c r="H4738" s="994" t="s">
        <v>20465</v>
      </c>
      <c r="I4738" s="11" t="s">
        <v>6594</v>
      </c>
      <c r="J4738" s="1285"/>
      <c r="K4738" s="1285"/>
      <c r="L4738" s="1285"/>
    </row>
    <row r="4739" spans="1:12" ht="11.15" customHeight="1" thickBot="1">
      <c r="A4739" s="185"/>
      <c r="B4739" s="90"/>
      <c r="C4739" s="147"/>
      <c r="D4739" s="161"/>
      <c r="E4739" s="36"/>
      <c r="F4739" s="183"/>
      <c r="G4739" s="496"/>
      <c r="H4739" s="34"/>
      <c r="I4739" s="11"/>
    </row>
    <row r="4740" spans="1:12" ht="11.15" customHeight="1">
      <c r="A4740" s="153" t="s">
        <v>6595</v>
      </c>
      <c r="B4740" s="177" t="s">
        <v>5452</v>
      </c>
      <c r="C4740" s="147"/>
      <c r="D4740" s="185"/>
      <c r="E4740" s="185"/>
      <c r="F4740" s="185"/>
      <c r="G4740" s="185"/>
      <c r="H4740" s="185"/>
      <c r="I4740" s="11"/>
    </row>
    <row r="4741" spans="1:12" ht="11.15" customHeight="1" thickBot="1">
      <c r="A4741" s="230" t="s">
        <v>6596</v>
      </c>
      <c r="B4741" s="59" t="s">
        <v>21046</v>
      </c>
      <c r="C4741" s="147" t="s">
        <v>23393</v>
      </c>
      <c r="D4741" s="701" t="s">
        <v>1129</v>
      </c>
      <c r="E4741" s="178">
        <v>2020</v>
      </c>
      <c r="F4741" s="178" t="s">
        <v>4520</v>
      </c>
      <c r="G4741" s="496"/>
      <c r="H4741" s="994" t="s">
        <v>20224</v>
      </c>
      <c r="I4741" s="11" t="s">
        <v>6597</v>
      </c>
      <c r="J4741" s="1285"/>
      <c r="K4741" s="1285"/>
      <c r="L4741" s="1285"/>
    </row>
    <row r="4742" spans="1:12" ht="11.15" customHeight="1">
      <c r="A4742" s="29" t="s">
        <v>6598</v>
      </c>
      <c r="B4742" s="177" t="s">
        <v>5452</v>
      </c>
      <c r="C4742" s="147"/>
      <c r="D4742" s="185"/>
      <c r="E4742" s="185"/>
      <c r="F4742" s="185"/>
      <c r="G4742" s="185"/>
      <c r="H4742" s="185"/>
      <c r="I4742" s="11"/>
    </row>
    <row r="4743" spans="1:12" ht="10.5" customHeight="1">
      <c r="A4743" s="29" t="s">
        <v>6599</v>
      </c>
      <c r="B4743" s="59" t="s">
        <v>21047</v>
      </c>
      <c r="C4743" s="147" t="s">
        <v>23393</v>
      </c>
      <c r="D4743" s="284" t="s">
        <v>897</v>
      </c>
      <c r="E4743" s="178">
        <v>2022</v>
      </c>
      <c r="F4743" s="178" t="s">
        <v>4520</v>
      </c>
      <c r="G4743" s="496"/>
      <c r="H4743" s="994" t="s">
        <v>20221</v>
      </c>
      <c r="I4743" s="11" t="s">
        <v>6600</v>
      </c>
      <c r="J4743" s="1285"/>
      <c r="K4743" s="1285"/>
      <c r="L4743" s="1285"/>
    </row>
    <row r="4744" spans="1:12" ht="11.15" customHeight="1">
      <c r="A4744" s="181" t="s">
        <v>6601</v>
      </c>
      <c r="B4744" s="59" t="s">
        <v>21047</v>
      </c>
      <c r="C4744" s="147" t="s">
        <v>23393</v>
      </c>
      <c r="D4744" s="284" t="s">
        <v>897</v>
      </c>
      <c r="E4744" s="178">
        <v>2021</v>
      </c>
      <c r="F4744" s="178" t="s">
        <v>4520</v>
      </c>
      <c r="G4744" s="496"/>
      <c r="H4744" s="994" t="s">
        <v>20224</v>
      </c>
      <c r="I4744" s="11" t="s">
        <v>6602</v>
      </c>
      <c r="J4744" s="1285"/>
      <c r="K4744" s="1285"/>
      <c r="L4744" s="1285"/>
    </row>
    <row r="4745" spans="1:12" ht="11.15" customHeight="1">
      <c r="A4745" s="181" t="s">
        <v>3999</v>
      </c>
      <c r="B4745" s="59" t="s">
        <v>21047</v>
      </c>
      <c r="C4745" s="147" t="s">
        <v>23393</v>
      </c>
      <c r="D4745" s="284" t="s">
        <v>897</v>
      </c>
      <c r="E4745" s="178">
        <v>2020</v>
      </c>
      <c r="F4745" s="178" t="s">
        <v>4520</v>
      </c>
      <c r="G4745" s="496"/>
      <c r="H4745" s="994" t="s">
        <v>20221</v>
      </c>
      <c r="I4745" s="11" t="s">
        <v>6603</v>
      </c>
      <c r="J4745" s="1285"/>
      <c r="K4745" s="1285"/>
      <c r="L4745" s="1285"/>
    </row>
    <row r="4746" spans="1:12" ht="10.5" customHeight="1">
      <c r="A4746" s="29" t="s">
        <v>6604</v>
      </c>
      <c r="B4746" s="59" t="s">
        <v>21048</v>
      </c>
      <c r="C4746" s="147" t="s">
        <v>23393</v>
      </c>
      <c r="D4746" s="284" t="s">
        <v>897</v>
      </c>
      <c r="E4746" s="178">
        <v>2018</v>
      </c>
      <c r="F4746" s="178" t="s">
        <v>4520</v>
      </c>
      <c r="G4746" s="496"/>
      <c r="H4746" s="994" t="s">
        <v>20224</v>
      </c>
      <c r="I4746" s="11" t="s">
        <v>6605</v>
      </c>
      <c r="J4746" s="1285"/>
      <c r="K4746" s="1285"/>
      <c r="L4746" s="1285"/>
    </row>
    <row r="4747" spans="1:12" ht="10.5" customHeight="1">
      <c r="A4747" s="29" t="s">
        <v>6606</v>
      </c>
      <c r="B4747" s="59" t="s">
        <v>21049</v>
      </c>
      <c r="C4747" s="147" t="s">
        <v>23393</v>
      </c>
      <c r="D4747" s="284" t="s">
        <v>897</v>
      </c>
      <c r="E4747" s="178">
        <v>2020</v>
      </c>
      <c r="F4747" s="178" t="s">
        <v>4520</v>
      </c>
      <c r="G4747" s="496"/>
      <c r="H4747" s="994" t="s">
        <v>20221</v>
      </c>
      <c r="I4747" s="11" t="s">
        <v>6607</v>
      </c>
      <c r="J4747" s="1285"/>
      <c r="K4747" s="1285"/>
      <c r="L4747" s="1285"/>
    </row>
    <row r="4748" spans="1:12" ht="10.5" customHeight="1">
      <c r="A4748" s="129" t="s">
        <v>1077</v>
      </c>
      <c r="B4748" s="59" t="s">
        <v>21049</v>
      </c>
      <c r="C4748" s="147" t="s">
        <v>23393</v>
      </c>
      <c r="D4748" s="284" t="s">
        <v>897</v>
      </c>
      <c r="E4748" s="178">
        <v>2018</v>
      </c>
      <c r="F4748" s="178" t="s">
        <v>4520</v>
      </c>
      <c r="G4748" s="496"/>
      <c r="H4748" s="994" t="s">
        <v>20221</v>
      </c>
      <c r="I4748" s="11" t="s">
        <v>6608</v>
      </c>
      <c r="J4748" s="1285"/>
      <c r="K4748" s="1285"/>
      <c r="L4748" s="1285"/>
    </row>
    <row r="4749" spans="1:12" ht="10.5" customHeight="1">
      <c r="A4749" s="162" t="s">
        <v>6609</v>
      </c>
      <c r="B4749" s="59" t="s">
        <v>21050</v>
      </c>
      <c r="C4749" s="147" t="s">
        <v>23393</v>
      </c>
      <c r="D4749" s="284" t="s">
        <v>897</v>
      </c>
      <c r="E4749" s="178">
        <v>2019</v>
      </c>
      <c r="F4749" s="178" t="s">
        <v>4520</v>
      </c>
      <c r="G4749" s="496"/>
      <c r="H4749" s="994" t="s">
        <v>20224</v>
      </c>
      <c r="I4749" s="11" t="s">
        <v>6610</v>
      </c>
      <c r="J4749" s="1285"/>
      <c r="K4749" s="1285"/>
      <c r="L4749" s="1285"/>
    </row>
    <row r="4750" spans="1:12" ht="10.5" customHeight="1">
      <c r="A4750" s="162" t="s">
        <v>6611</v>
      </c>
      <c r="B4750" s="59" t="s">
        <v>21046</v>
      </c>
      <c r="C4750" s="147" t="s">
        <v>23393</v>
      </c>
      <c r="D4750" s="284" t="s">
        <v>897</v>
      </c>
      <c r="E4750" s="178">
        <v>2022</v>
      </c>
      <c r="F4750" s="178" t="s">
        <v>4520</v>
      </c>
      <c r="G4750" s="496"/>
      <c r="H4750" s="994" t="s">
        <v>20224</v>
      </c>
      <c r="I4750" s="11" t="s">
        <v>6612</v>
      </c>
      <c r="J4750" s="1285"/>
      <c r="K4750" s="1285"/>
      <c r="L4750" s="1285"/>
    </row>
    <row r="4751" spans="1:12" ht="10.5" customHeight="1">
      <c r="A4751" s="162" t="s">
        <v>6613</v>
      </c>
      <c r="B4751" s="59" t="s">
        <v>21046</v>
      </c>
      <c r="C4751" s="147" t="s">
        <v>23393</v>
      </c>
      <c r="D4751" s="284" t="s">
        <v>897</v>
      </c>
      <c r="E4751" s="178">
        <v>2021</v>
      </c>
      <c r="F4751" s="178" t="s">
        <v>4520</v>
      </c>
      <c r="G4751" s="496"/>
      <c r="H4751" s="994" t="s">
        <v>20224</v>
      </c>
      <c r="I4751" s="11" t="s">
        <v>6614</v>
      </c>
      <c r="J4751" s="1285"/>
      <c r="K4751" s="1285"/>
      <c r="L4751" s="1285"/>
    </row>
    <row r="4752" spans="1:12" ht="11.15" customHeight="1">
      <c r="A4752" s="162" t="s">
        <v>6615</v>
      </c>
      <c r="B4752" s="59" t="s">
        <v>21051</v>
      </c>
      <c r="C4752" s="147" t="s">
        <v>23393</v>
      </c>
      <c r="D4752" s="284" t="s">
        <v>897</v>
      </c>
      <c r="E4752" s="178">
        <v>2019</v>
      </c>
      <c r="F4752" s="178" t="s">
        <v>4520</v>
      </c>
      <c r="G4752" s="496"/>
      <c r="H4752" s="994" t="s">
        <v>20224</v>
      </c>
      <c r="I4752" s="11" t="s">
        <v>6616</v>
      </c>
      <c r="J4752" s="1285"/>
      <c r="K4752" s="1285"/>
      <c r="L4752" s="1285"/>
    </row>
    <row r="4753" spans="1:12" ht="11.15" customHeight="1">
      <c r="A4753" s="162" t="s">
        <v>6617</v>
      </c>
      <c r="B4753" s="59" t="s">
        <v>21051</v>
      </c>
      <c r="C4753" s="147" t="s">
        <v>23393</v>
      </c>
      <c r="D4753" s="284" t="s">
        <v>897</v>
      </c>
      <c r="E4753" s="178">
        <v>2018</v>
      </c>
      <c r="F4753" s="178" t="s">
        <v>4520</v>
      </c>
      <c r="G4753" s="496"/>
      <c r="H4753" s="994" t="s">
        <v>20221</v>
      </c>
      <c r="I4753" s="11" t="s">
        <v>6618</v>
      </c>
      <c r="J4753" s="1285"/>
      <c r="K4753" s="1285"/>
      <c r="L4753" s="1285"/>
    </row>
    <row r="4754" spans="1:12" ht="11.15" customHeight="1">
      <c r="A4754" s="162" t="s">
        <v>6619</v>
      </c>
      <c r="B4754" s="177" t="s">
        <v>4748</v>
      </c>
      <c r="C4754" s="147"/>
      <c r="D4754" s="185"/>
      <c r="E4754" s="185"/>
      <c r="F4754" s="185"/>
      <c r="G4754" s="185"/>
      <c r="H4754" s="185"/>
      <c r="I4754" s="11"/>
    </row>
    <row r="4755" spans="1:12" ht="11.15" customHeight="1">
      <c r="A4755" s="162" t="s">
        <v>6620</v>
      </c>
      <c r="B4755" s="59" t="s">
        <v>21052</v>
      </c>
      <c r="C4755" s="147" t="s">
        <v>23393</v>
      </c>
      <c r="D4755" s="284" t="s">
        <v>897</v>
      </c>
      <c r="E4755" s="178">
        <v>2022</v>
      </c>
      <c r="F4755" s="178" t="s">
        <v>4520</v>
      </c>
      <c r="G4755" s="496"/>
      <c r="H4755" s="994" t="s">
        <v>20221</v>
      </c>
      <c r="I4755" s="11" t="s">
        <v>6621</v>
      </c>
      <c r="J4755" s="1285"/>
      <c r="K4755" s="1285"/>
      <c r="L4755" s="1285"/>
    </row>
    <row r="4756" spans="1:12" ht="11.15" customHeight="1">
      <c r="A4756" s="162" t="s">
        <v>6622</v>
      </c>
      <c r="B4756" s="59" t="s">
        <v>21052</v>
      </c>
      <c r="C4756" s="147" t="s">
        <v>23393</v>
      </c>
      <c r="D4756" s="284" t="s">
        <v>897</v>
      </c>
      <c r="E4756" s="178">
        <v>2021</v>
      </c>
      <c r="F4756" s="178" t="s">
        <v>4520</v>
      </c>
      <c r="G4756" s="496"/>
      <c r="H4756" s="994" t="s">
        <v>20224</v>
      </c>
      <c r="I4756" s="11" t="s">
        <v>6623</v>
      </c>
      <c r="J4756" s="1285"/>
      <c r="K4756" s="1285"/>
      <c r="L4756" s="1285"/>
    </row>
    <row r="4757" spans="1:12" ht="11.15" customHeight="1">
      <c r="A4757" s="129" t="s">
        <v>6076</v>
      </c>
      <c r="B4757" s="59" t="s">
        <v>21052</v>
      </c>
      <c r="C4757" s="147" t="s">
        <v>23393</v>
      </c>
      <c r="D4757" s="284" t="s">
        <v>897</v>
      </c>
      <c r="E4757" s="178">
        <v>2018</v>
      </c>
      <c r="F4757" s="178" t="s">
        <v>4520</v>
      </c>
      <c r="G4757" s="496"/>
      <c r="H4757" s="994" t="s">
        <v>20224</v>
      </c>
      <c r="I4757" s="11" t="s">
        <v>6624</v>
      </c>
      <c r="J4757" s="1285"/>
      <c r="K4757" s="1285"/>
      <c r="L4757" s="1285"/>
    </row>
    <row r="4758" spans="1:12" ht="11.15" customHeight="1">
      <c r="A4758" s="162" t="s">
        <v>6625</v>
      </c>
      <c r="B4758" s="59"/>
      <c r="C4758" s="147"/>
      <c r="D4758" s="161"/>
      <c r="E4758" s="36"/>
      <c r="F4758" s="178"/>
      <c r="G4758" s="496"/>
      <c r="H4758" s="36"/>
      <c r="I4758" s="11"/>
    </row>
    <row r="4759" spans="1:12" ht="11.15" customHeight="1">
      <c r="A4759" s="162" t="s">
        <v>6626</v>
      </c>
      <c r="B4759" s="59"/>
      <c r="C4759" s="147"/>
      <c r="D4759" s="161"/>
      <c r="E4759" s="36"/>
      <c r="F4759" s="178"/>
      <c r="G4759" s="496"/>
      <c r="H4759" s="36"/>
      <c r="I4759" s="11"/>
    </row>
    <row r="4760" spans="1:12" ht="11.15" customHeight="1">
      <c r="A4760" s="162" t="s">
        <v>6627</v>
      </c>
      <c r="B4760" s="59"/>
      <c r="C4760" s="147"/>
      <c r="D4760" s="161"/>
      <c r="E4760" s="36"/>
      <c r="F4760" s="178"/>
      <c r="G4760" s="496"/>
      <c r="H4760" s="36"/>
      <c r="I4760" s="11"/>
    </row>
    <row r="4761" spans="1:12" ht="11.15" customHeight="1">
      <c r="A4761" s="162" t="s">
        <v>6628</v>
      </c>
      <c r="B4761" s="59"/>
      <c r="C4761" s="147"/>
      <c r="D4761" s="161"/>
      <c r="E4761" s="36"/>
      <c r="F4761" s="178"/>
      <c r="G4761" s="496"/>
      <c r="H4761" s="36"/>
      <c r="I4761" s="11"/>
    </row>
    <row r="4762" spans="1:12" ht="11.15" customHeight="1">
      <c r="A4762" s="162" t="s">
        <v>6629</v>
      </c>
      <c r="B4762" s="185"/>
      <c r="C4762" s="147"/>
      <c r="D4762" s="185"/>
      <c r="E4762" s="185"/>
      <c r="F4762" s="185"/>
      <c r="G4762" s="185"/>
      <c r="H4762" s="185"/>
      <c r="I4762" s="11"/>
    </row>
    <row r="4763" spans="1:12" ht="11.15" customHeight="1">
      <c r="A4763" s="162" t="s">
        <v>6630</v>
      </c>
      <c r="B4763" s="185"/>
      <c r="C4763" s="147"/>
      <c r="D4763" s="185"/>
      <c r="E4763" s="185"/>
      <c r="F4763" s="185"/>
      <c r="G4763" s="185"/>
      <c r="H4763" s="185"/>
      <c r="I4763" s="11"/>
    </row>
    <row r="4764" spans="1:12" ht="11.15" customHeight="1">
      <c r="A4764" s="169" t="s">
        <v>6631</v>
      </c>
      <c r="B4764" s="185"/>
      <c r="C4764" s="147"/>
      <c r="D4764" s="185"/>
      <c r="E4764" s="185"/>
      <c r="F4764" s="185"/>
      <c r="G4764" s="185"/>
      <c r="H4764" s="185"/>
      <c r="I4764" s="11"/>
    </row>
    <row r="4765" spans="1:12" ht="11.15" customHeight="1">
      <c r="A4765" s="483" t="s">
        <v>2482</v>
      </c>
      <c r="B4765" s="185"/>
      <c r="C4765" s="147"/>
      <c r="D4765" s="185"/>
      <c r="E4765" s="185"/>
      <c r="F4765" s="185"/>
      <c r="G4765" s="185"/>
      <c r="H4765" s="185"/>
      <c r="I4765" s="11"/>
    </row>
    <row r="4766" spans="1:12" ht="11.15" customHeight="1">
      <c r="A4766" s="481" t="s">
        <v>6632</v>
      </c>
      <c r="B4766" s="59"/>
      <c r="C4766" s="147"/>
      <c r="D4766" s="161"/>
      <c r="E4766" s="36"/>
      <c r="F4766" s="178"/>
      <c r="G4766" s="496"/>
      <c r="H4766" s="36"/>
      <c r="I4766" s="11"/>
    </row>
    <row r="4767" spans="1:12" ht="11.15" customHeight="1">
      <c r="A4767" s="484"/>
      <c r="B4767" s="59"/>
      <c r="C4767" s="147"/>
      <c r="D4767" s="161"/>
      <c r="E4767" s="36"/>
      <c r="F4767" s="178"/>
      <c r="G4767" s="496"/>
      <c r="H4767" s="36"/>
      <c r="I4767" s="11"/>
    </row>
    <row r="4768" spans="1:12" ht="9" customHeight="1">
      <c r="A4768" s="162"/>
      <c r="B4768" s="150" t="s">
        <v>6633</v>
      </c>
      <c r="C4768" s="147"/>
      <c r="D4768" s="355"/>
      <c r="E4768" s="162"/>
      <c r="F4768" s="162"/>
      <c r="G4768" s="162"/>
      <c r="H4768" s="162"/>
      <c r="I4768" s="11"/>
    </row>
    <row r="4769" spans="1:12" ht="9" customHeight="1">
      <c r="A4769" s="162"/>
      <c r="B4769" s="150" t="s">
        <v>6634</v>
      </c>
      <c r="C4769" s="147"/>
      <c r="D4769" s="355"/>
      <c r="E4769" s="162"/>
      <c r="F4769" s="162"/>
      <c r="G4769" s="162"/>
      <c r="H4769" s="162"/>
      <c r="I4769" s="11"/>
    </row>
    <row r="4770" spans="1:12" ht="9" customHeight="1">
      <c r="A4770" s="162"/>
      <c r="B4770" s="150" t="s">
        <v>6635</v>
      </c>
      <c r="C4770" s="147"/>
      <c r="D4770" s="355"/>
      <c r="E4770" s="162"/>
      <c r="F4770" s="162"/>
      <c r="G4770" s="162"/>
      <c r="H4770" s="162"/>
      <c r="I4770" s="11"/>
    </row>
    <row r="4771" spans="1:12" ht="9" customHeight="1">
      <c r="A4771" s="162"/>
      <c r="B4771" s="150" t="s">
        <v>6636</v>
      </c>
      <c r="C4771" s="147"/>
      <c r="D4771" s="355"/>
      <c r="E4771" s="162"/>
      <c r="F4771" s="162"/>
      <c r="G4771" s="162"/>
      <c r="H4771" s="162"/>
      <c r="I4771" s="11"/>
    </row>
    <row r="4772" spans="1:12" ht="9" customHeight="1">
      <c r="A4772" s="162"/>
      <c r="B4772" s="150" t="s">
        <v>6637</v>
      </c>
      <c r="C4772" s="147"/>
      <c r="D4772" s="355"/>
      <c r="E4772" s="162"/>
      <c r="F4772" s="162"/>
      <c r="G4772" s="162"/>
      <c r="H4772" s="162"/>
      <c r="I4772" s="11"/>
    </row>
    <row r="4773" spans="1:12" ht="9" customHeight="1">
      <c r="A4773" s="162"/>
      <c r="B4773" s="150" t="s">
        <v>6638</v>
      </c>
      <c r="C4773" s="147"/>
      <c r="D4773" s="355"/>
      <c r="E4773" s="162"/>
      <c r="F4773" s="162"/>
      <c r="G4773" s="162"/>
      <c r="H4773" s="162"/>
      <c r="I4773" s="11"/>
    </row>
    <row r="4774" spans="1:12" ht="9" customHeight="1">
      <c r="A4774" s="162"/>
      <c r="B4774" s="150" t="s">
        <v>6639</v>
      </c>
      <c r="C4774" s="147"/>
      <c r="D4774" s="355"/>
      <c r="E4774" s="162"/>
      <c r="F4774" s="162"/>
      <c r="G4774" s="162"/>
      <c r="H4774" s="162"/>
      <c r="I4774" s="11"/>
    </row>
    <row r="4775" spans="1:12" ht="9" customHeight="1">
      <c r="A4775" s="162"/>
      <c r="B4775" s="150" t="s">
        <v>6640</v>
      </c>
      <c r="C4775" s="147"/>
      <c r="D4775" s="355"/>
      <c r="E4775" s="162"/>
      <c r="F4775" s="162"/>
      <c r="G4775" s="162"/>
      <c r="H4775" s="162"/>
      <c r="I4775" s="11"/>
    </row>
    <row r="4776" spans="1:12" ht="9" customHeight="1">
      <c r="A4776" s="162"/>
      <c r="B4776" s="150" t="s">
        <v>6641</v>
      </c>
      <c r="C4776" s="147"/>
      <c r="D4776" s="355"/>
      <c r="E4776" s="162"/>
      <c r="F4776" s="162"/>
      <c r="G4776" s="162"/>
      <c r="H4776" s="162"/>
      <c r="I4776" s="11"/>
    </row>
    <row r="4777" spans="1:12" ht="9" customHeight="1" thickBot="1">
      <c r="A4777" s="489"/>
      <c r="B4777" s="150" t="s">
        <v>6642</v>
      </c>
      <c r="C4777" s="147"/>
      <c r="D4777" s="355"/>
      <c r="E4777" s="162"/>
      <c r="F4777" s="162"/>
      <c r="G4777" s="162"/>
      <c r="H4777" s="162"/>
      <c r="I4777" s="11"/>
    </row>
    <row r="4778" spans="1:12" ht="11.15" customHeight="1">
      <c r="A4778" s="277" t="s">
        <v>6643</v>
      </c>
      <c r="B4778" s="154" t="s">
        <v>2242</v>
      </c>
      <c r="C4778" s="147"/>
      <c r="D4778" s="129"/>
      <c r="E4778" s="185"/>
      <c r="F4778" s="185"/>
      <c r="G4778" s="185"/>
      <c r="H4778" s="185"/>
      <c r="I4778" s="11"/>
    </row>
    <row r="4779" spans="1:12" ht="11.15" customHeight="1" thickBot="1">
      <c r="A4779" s="230" t="s">
        <v>6644</v>
      </c>
      <c r="B4779" s="59" t="s">
        <v>21053</v>
      </c>
      <c r="C4779" s="147" t="s">
        <v>23393</v>
      </c>
      <c r="D4779" s="701" t="s">
        <v>1129</v>
      </c>
      <c r="E4779" s="178">
        <v>2022</v>
      </c>
      <c r="F4779" s="178" t="s">
        <v>4520</v>
      </c>
      <c r="G4779" s="496"/>
      <c r="H4779" s="994" t="s">
        <v>20221</v>
      </c>
      <c r="I4779" s="11" t="s">
        <v>6645</v>
      </c>
      <c r="J4779" s="1285"/>
      <c r="K4779" s="1285"/>
      <c r="L4779" s="1285"/>
    </row>
    <row r="4780" spans="1:12" ht="11.15" customHeight="1">
      <c r="A4780" s="29" t="s">
        <v>6646</v>
      </c>
      <c r="B4780" s="59" t="s">
        <v>21053</v>
      </c>
      <c r="C4780" s="147" t="s">
        <v>23393</v>
      </c>
      <c r="D4780" s="701" t="s">
        <v>1129</v>
      </c>
      <c r="E4780" s="178">
        <v>2020</v>
      </c>
      <c r="F4780" s="178" t="s">
        <v>4520</v>
      </c>
      <c r="G4780" s="496"/>
      <c r="H4780" s="994" t="s">
        <v>20221</v>
      </c>
      <c r="I4780" s="11" t="s">
        <v>6647</v>
      </c>
      <c r="J4780" s="1285"/>
      <c r="K4780" s="1285"/>
      <c r="L4780" s="1285"/>
    </row>
    <row r="4781" spans="1:12" ht="10.5" customHeight="1">
      <c r="A4781" s="29" t="s">
        <v>6648</v>
      </c>
      <c r="B4781" s="59" t="s">
        <v>21054</v>
      </c>
      <c r="C4781" s="147" t="s">
        <v>23393</v>
      </c>
      <c r="D4781" s="701" t="s">
        <v>1129</v>
      </c>
      <c r="E4781" s="178">
        <v>2020</v>
      </c>
      <c r="F4781" s="178" t="s">
        <v>4520</v>
      </c>
      <c r="G4781" s="496"/>
      <c r="H4781" s="994" t="s">
        <v>20221</v>
      </c>
      <c r="I4781" s="11" t="s">
        <v>6649</v>
      </c>
      <c r="J4781" s="1285"/>
      <c r="K4781" s="1285"/>
      <c r="L4781" s="1285"/>
    </row>
    <row r="4782" spans="1:12" ht="11.15" customHeight="1">
      <c r="A4782" s="29" t="s">
        <v>6650</v>
      </c>
      <c r="B4782" s="59" t="s">
        <v>21055</v>
      </c>
      <c r="C4782" s="147" t="s">
        <v>23393</v>
      </c>
      <c r="D4782" s="701" t="s">
        <v>1129</v>
      </c>
      <c r="E4782" s="178">
        <v>2022</v>
      </c>
      <c r="F4782" s="178" t="s">
        <v>4520</v>
      </c>
      <c r="G4782" s="496"/>
      <c r="H4782" s="994" t="s">
        <v>20221</v>
      </c>
      <c r="I4782" s="11" t="s">
        <v>6651</v>
      </c>
      <c r="J4782" s="1285"/>
      <c r="K4782" s="1285"/>
      <c r="L4782" s="1285"/>
    </row>
    <row r="4783" spans="1:12" ht="11.15" customHeight="1">
      <c r="A4783" s="181" t="s">
        <v>2070</v>
      </c>
      <c r="B4783" s="59" t="s">
        <v>21056</v>
      </c>
      <c r="C4783" s="147" t="s">
        <v>23393</v>
      </c>
      <c r="D4783" s="701" t="s">
        <v>1129</v>
      </c>
      <c r="E4783" s="178">
        <v>2020</v>
      </c>
      <c r="F4783" s="178" t="s">
        <v>4520</v>
      </c>
      <c r="G4783" s="496"/>
      <c r="H4783" s="994" t="s">
        <v>20224</v>
      </c>
      <c r="I4783" s="11" t="s">
        <v>6652</v>
      </c>
      <c r="J4783" s="1285"/>
      <c r="K4783" s="1285"/>
      <c r="L4783" s="1285"/>
    </row>
    <row r="4784" spans="1:12" ht="11.15" customHeight="1">
      <c r="A4784" s="29" t="s">
        <v>6653</v>
      </c>
      <c r="B4784" s="59" t="s">
        <v>21057</v>
      </c>
      <c r="C4784" s="147" t="s">
        <v>23393</v>
      </c>
      <c r="D4784" s="701" t="s">
        <v>1129</v>
      </c>
      <c r="E4784" s="178">
        <v>2019</v>
      </c>
      <c r="F4784" s="178" t="s">
        <v>4520</v>
      </c>
      <c r="G4784" s="496"/>
      <c r="H4784" s="994" t="s">
        <v>20221</v>
      </c>
      <c r="I4784" s="11" t="s">
        <v>6654</v>
      </c>
      <c r="J4784" s="1285"/>
      <c r="K4784" s="1285"/>
      <c r="L4784" s="1285"/>
    </row>
    <row r="4785" spans="1:12" ht="11.15" customHeight="1">
      <c r="A4785" s="29" t="s">
        <v>6655</v>
      </c>
      <c r="B4785" s="154" t="s">
        <v>1398</v>
      </c>
      <c r="C4785" s="147"/>
      <c r="D4785" s="129"/>
      <c r="E4785" s="185"/>
      <c r="F4785" s="185"/>
      <c r="G4785" s="185"/>
      <c r="H4785" s="185"/>
      <c r="I4785" s="11"/>
    </row>
    <row r="4786" spans="1:12" ht="11.15" customHeight="1">
      <c r="A4786" s="29" t="s">
        <v>6656</v>
      </c>
      <c r="B4786" s="59" t="s">
        <v>21058</v>
      </c>
      <c r="C4786" s="147" t="s">
        <v>20221</v>
      </c>
      <c r="D4786" s="284" t="s">
        <v>897</v>
      </c>
      <c r="E4786" s="178">
        <v>2022</v>
      </c>
      <c r="F4786" s="178" t="s">
        <v>4520</v>
      </c>
      <c r="G4786" s="496"/>
      <c r="H4786" s="994" t="s">
        <v>20221</v>
      </c>
      <c r="I4786" s="11" t="s">
        <v>6657</v>
      </c>
      <c r="J4786" s="1285"/>
      <c r="K4786" s="1285"/>
      <c r="L4786" s="1285"/>
    </row>
    <row r="4787" spans="1:12" ht="11.15" customHeight="1">
      <c r="A4787" s="29" t="s">
        <v>6606</v>
      </c>
      <c r="B4787" s="59" t="s">
        <v>21058</v>
      </c>
      <c r="C4787" s="147" t="s">
        <v>20221</v>
      </c>
      <c r="D4787" s="284" t="s">
        <v>897</v>
      </c>
      <c r="E4787" s="178">
        <v>2019</v>
      </c>
      <c r="F4787" s="178" t="s">
        <v>4520</v>
      </c>
      <c r="G4787" s="496"/>
      <c r="H4787" s="994" t="s">
        <v>20221</v>
      </c>
      <c r="I4787" s="11" t="s">
        <v>6658</v>
      </c>
      <c r="J4787" s="1285"/>
      <c r="K4787" s="1285"/>
      <c r="L4787" s="1285"/>
    </row>
    <row r="4788" spans="1:12" ht="11.15" customHeight="1">
      <c r="A4788" s="166" t="s">
        <v>6659</v>
      </c>
      <c r="B4788" s="185"/>
      <c r="C4788" s="147"/>
      <c r="D4788" s="185"/>
      <c r="E4788" s="185"/>
      <c r="F4788" s="185"/>
      <c r="G4788" s="185"/>
      <c r="H4788" s="185"/>
      <c r="I4788" s="11"/>
    </row>
    <row r="4789" spans="1:12" ht="11.15" customHeight="1">
      <c r="A4789" s="483" t="s">
        <v>2482</v>
      </c>
      <c r="B4789" s="185"/>
      <c r="C4789" s="147"/>
      <c r="D4789" s="185"/>
      <c r="E4789" s="185"/>
      <c r="F4789" s="185"/>
      <c r="G4789" s="185"/>
      <c r="H4789" s="185"/>
      <c r="I4789" s="11"/>
    </row>
    <row r="4790" spans="1:12" ht="11.15" customHeight="1">
      <c r="A4790" s="481" t="s">
        <v>6632</v>
      </c>
      <c r="B4790" s="59"/>
      <c r="C4790" s="147"/>
      <c r="D4790" s="161"/>
      <c r="E4790" s="36"/>
      <c r="F4790" s="178"/>
      <c r="G4790" s="496"/>
      <c r="H4790" s="36"/>
      <c r="I4790" s="11"/>
    </row>
    <row r="4791" spans="1:12" ht="11.15" customHeight="1">
      <c r="A4791" s="29"/>
      <c r="B4791" s="481"/>
      <c r="C4791" s="147"/>
      <c r="D4791" s="423"/>
      <c r="E4791" s="481"/>
      <c r="F4791" s="423"/>
      <c r="G4791" s="423"/>
      <c r="H4791" s="481"/>
      <c r="I4791" s="11"/>
    </row>
    <row r="4792" spans="1:12" ht="11.15" customHeight="1" thickBot="1">
      <c r="A4792" s="162"/>
      <c r="B4792" s="210" t="s">
        <v>6660</v>
      </c>
      <c r="C4792" s="147"/>
      <c r="D4792" s="209"/>
      <c r="E4792" s="210"/>
      <c r="F4792" s="150"/>
      <c r="G4792" s="1226"/>
      <c r="H4792" s="210"/>
      <c r="I4792" s="11"/>
    </row>
    <row r="4793" spans="1:12" ht="11.15" customHeight="1">
      <c r="A4793" s="153" t="s">
        <v>6661</v>
      </c>
      <c r="B4793" s="490" t="s">
        <v>2242</v>
      </c>
      <c r="C4793" s="147"/>
      <c r="D4793" s="161"/>
      <c r="E4793" s="36"/>
      <c r="F4793" s="178"/>
      <c r="G4793" s="1217"/>
      <c r="H4793" s="36"/>
      <c r="I4793" s="11"/>
    </row>
    <row r="4794" spans="1:12" ht="11.15" customHeight="1" thickBot="1">
      <c r="A4794" s="230" t="s">
        <v>6662</v>
      </c>
      <c r="B4794" s="59" t="s">
        <v>21060</v>
      </c>
      <c r="C4794" s="147" t="s">
        <v>20221</v>
      </c>
      <c r="D4794" s="701" t="s">
        <v>1129</v>
      </c>
      <c r="E4794" s="178">
        <v>2020</v>
      </c>
      <c r="F4794" s="178" t="s">
        <v>23394</v>
      </c>
      <c r="G4794" s="496"/>
      <c r="H4794" s="994" t="s">
        <v>20224</v>
      </c>
      <c r="I4794" s="11" t="s">
        <v>6663</v>
      </c>
      <c r="J4794" s="1285"/>
      <c r="K4794" s="1285"/>
      <c r="L4794" s="1285"/>
    </row>
    <row r="4795" spans="1:12" ht="11.15" customHeight="1">
      <c r="A4795" s="29" t="s">
        <v>6664</v>
      </c>
      <c r="B4795" s="490" t="s">
        <v>4195</v>
      </c>
      <c r="C4795" s="147"/>
      <c r="D4795" s="159"/>
      <c r="E4795" s="36"/>
      <c r="F4795" s="178"/>
      <c r="G4795" s="496"/>
      <c r="H4795" s="36"/>
      <c r="I4795" s="11"/>
    </row>
    <row r="4796" spans="1:12" ht="11.15" customHeight="1">
      <c r="A4796" s="29" t="s">
        <v>6665</v>
      </c>
      <c r="B4796" s="59" t="s">
        <v>6176</v>
      </c>
      <c r="C4796" s="147" t="s">
        <v>20221</v>
      </c>
      <c r="D4796" s="284" t="s">
        <v>897</v>
      </c>
      <c r="E4796" s="178">
        <v>2022</v>
      </c>
      <c r="F4796" s="178" t="s">
        <v>4520</v>
      </c>
      <c r="G4796" s="496"/>
      <c r="H4796" s="994" t="s">
        <v>20224</v>
      </c>
      <c r="I4796" s="11" t="s">
        <v>6666</v>
      </c>
      <c r="J4796" s="1285"/>
      <c r="K4796" s="1285"/>
      <c r="L4796" s="1285"/>
    </row>
    <row r="4797" spans="1:12" ht="11.15" customHeight="1">
      <c r="A4797" s="29" t="s">
        <v>6667</v>
      </c>
      <c r="B4797" s="59" t="s">
        <v>6176</v>
      </c>
      <c r="C4797" s="147" t="s">
        <v>20221</v>
      </c>
      <c r="D4797" s="284" t="s">
        <v>897</v>
      </c>
      <c r="E4797" s="178">
        <v>2021</v>
      </c>
      <c r="F4797" s="178" t="s">
        <v>4520</v>
      </c>
      <c r="G4797" s="496"/>
      <c r="H4797" s="994" t="s">
        <v>20224</v>
      </c>
      <c r="I4797" s="11" t="s">
        <v>6668</v>
      </c>
      <c r="J4797" s="1285"/>
      <c r="K4797" s="1285"/>
      <c r="L4797" s="1285"/>
    </row>
    <row r="4798" spans="1:12" ht="11.15" customHeight="1">
      <c r="A4798" s="29" t="s">
        <v>6669</v>
      </c>
      <c r="B4798" s="59" t="s">
        <v>18808</v>
      </c>
      <c r="C4798" s="147" t="s">
        <v>20221</v>
      </c>
      <c r="D4798" s="284" t="s">
        <v>897</v>
      </c>
      <c r="E4798" s="178">
        <v>2021</v>
      </c>
      <c r="F4798" s="178" t="s">
        <v>23394</v>
      </c>
      <c r="G4798" s="496"/>
      <c r="H4798" s="994" t="s">
        <v>20224</v>
      </c>
      <c r="I4798" s="11" t="s">
        <v>6670</v>
      </c>
      <c r="J4798" s="1285"/>
      <c r="K4798" s="1285"/>
      <c r="L4798" s="1285"/>
    </row>
    <row r="4799" spans="1:12" ht="11.15" customHeight="1">
      <c r="A4799" s="129" t="s">
        <v>1077</v>
      </c>
      <c r="B4799" s="59" t="s">
        <v>18808</v>
      </c>
      <c r="C4799" s="147" t="s">
        <v>20221</v>
      </c>
      <c r="D4799" s="284" t="s">
        <v>897</v>
      </c>
      <c r="E4799" s="178">
        <v>2018</v>
      </c>
      <c r="F4799" s="178" t="s">
        <v>4520</v>
      </c>
      <c r="G4799" s="496"/>
      <c r="H4799" s="994" t="s">
        <v>20224</v>
      </c>
      <c r="I4799" s="11" t="s">
        <v>6671</v>
      </c>
      <c r="J4799" s="1285"/>
      <c r="K4799" s="1285"/>
      <c r="L4799" s="1285"/>
    </row>
    <row r="4800" spans="1:12" ht="11.15" customHeight="1">
      <c r="A4800" s="162" t="s">
        <v>6672</v>
      </c>
      <c r="B4800" s="59" t="s">
        <v>18808</v>
      </c>
      <c r="C4800" s="147" t="s">
        <v>20221</v>
      </c>
      <c r="D4800" s="284" t="s">
        <v>897</v>
      </c>
      <c r="E4800" s="178">
        <v>2017</v>
      </c>
      <c r="F4800" s="178" t="s">
        <v>4520</v>
      </c>
      <c r="G4800" s="496"/>
      <c r="H4800" s="994" t="s">
        <v>20224</v>
      </c>
      <c r="I4800" s="11" t="s">
        <v>6673</v>
      </c>
      <c r="J4800" s="1285"/>
      <c r="K4800" s="1285"/>
      <c r="L4800" s="1285"/>
    </row>
    <row r="4801" spans="1:12" ht="11.15" customHeight="1">
      <c r="A4801" s="162" t="s">
        <v>6674</v>
      </c>
      <c r="B4801" s="59" t="s">
        <v>18808</v>
      </c>
      <c r="C4801" s="147" t="s">
        <v>20221</v>
      </c>
      <c r="D4801" s="284" t="s">
        <v>897</v>
      </c>
      <c r="E4801" s="178">
        <v>2016</v>
      </c>
      <c r="F4801" s="178" t="s">
        <v>4520</v>
      </c>
      <c r="G4801" s="496"/>
      <c r="H4801" s="994" t="s">
        <v>20224</v>
      </c>
      <c r="I4801" s="11" t="s">
        <v>6675</v>
      </c>
      <c r="J4801" s="1285"/>
      <c r="K4801" s="1285"/>
      <c r="L4801" s="1285"/>
    </row>
    <row r="4802" spans="1:12" ht="11.15" customHeight="1">
      <c r="A4802" s="162" t="s">
        <v>6676</v>
      </c>
      <c r="B4802" s="490" t="s">
        <v>4231</v>
      </c>
      <c r="C4802" s="147"/>
      <c r="D4802" s="159"/>
      <c r="E4802" s="36"/>
      <c r="F4802" s="178"/>
      <c r="G4802" s="496"/>
      <c r="H4802" s="36"/>
      <c r="I4802" s="11"/>
    </row>
    <row r="4803" spans="1:12" ht="11.15" customHeight="1">
      <c r="A4803" s="162" t="s">
        <v>6677</v>
      </c>
      <c r="B4803" s="59" t="s">
        <v>21061</v>
      </c>
      <c r="C4803" s="147" t="s">
        <v>20221</v>
      </c>
      <c r="D4803" s="284" t="s">
        <v>897</v>
      </c>
      <c r="E4803" s="178">
        <v>2022</v>
      </c>
      <c r="F4803" s="178" t="s">
        <v>4520</v>
      </c>
      <c r="G4803" s="496"/>
      <c r="H4803" s="994" t="s">
        <v>20221</v>
      </c>
      <c r="I4803" s="11" t="s">
        <v>6678</v>
      </c>
      <c r="J4803" s="1285"/>
      <c r="K4803" s="1285"/>
      <c r="L4803" s="1285"/>
    </row>
    <row r="4804" spans="1:12" ht="11.15" customHeight="1">
      <c r="A4804" s="162" t="s">
        <v>6679</v>
      </c>
      <c r="B4804" s="59" t="s">
        <v>21061</v>
      </c>
      <c r="C4804" s="147" t="s">
        <v>20221</v>
      </c>
      <c r="D4804" s="284" t="s">
        <v>897</v>
      </c>
      <c r="E4804" s="178">
        <v>2021</v>
      </c>
      <c r="F4804" s="178" t="s">
        <v>23394</v>
      </c>
      <c r="G4804" s="496"/>
      <c r="H4804" s="994" t="s">
        <v>20224</v>
      </c>
      <c r="I4804" s="11" t="s">
        <v>6680</v>
      </c>
      <c r="J4804" s="1285"/>
      <c r="K4804" s="1285"/>
      <c r="L4804" s="1285"/>
    </row>
    <row r="4805" spans="1:12" ht="11.15" customHeight="1">
      <c r="A4805" s="162" t="s">
        <v>6681</v>
      </c>
      <c r="B4805" s="59" t="s">
        <v>21061</v>
      </c>
      <c r="C4805" s="147" t="s">
        <v>20221</v>
      </c>
      <c r="D4805" s="284" t="s">
        <v>897</v>
      </c>
      <c r="E4805" s="178">
        <v>2020</v>
      </c>
      <c r="F4805" s="178" t="s">
        <v>4520</v>
      </c>
      <c r="G4805" s="496"/>
      <c r="H4805" s="994" t="s">
        <v>20224</v>
      </c>
      <c r="I4805" s="11" t="s">
        <v>6682</v>
      </c>
      <c r="J4805" s="1285"/>
      <c r="K4805" s="1285"/>
      <c r="L4805" s="1285"/>
    </row>
    <row r="4806" spans="1:12" ht="11.15" customHeight="1">
      <c r="A4806" s="162" t="s">
        <v>6683</v>
      </c>
      <c r="B4806" s="59" t="s">
        <v>21061</v>
      </c>
      <c r="C4806" s="147" t="s">
        <v>20221</v>
      </c>
      <c r="D4806" s="284" t="s">
        <v>897</v>
      </c>
      <c r="E4806" s="178">
        <v>2018</v>
      </c>
      <c r="F4806" s="178" t="s">
        <v>4520</v>
      </c>
      <c r="G4806" s="496"/>
      <c r="H4806" s="994" t="s">
        <v>20221</v>
      </c>
      <c r="I4806" s="11" t="s">
        <v>6684</v>
      </c>
      <c r="J4806" s="1285"/>
      <c r="K4806" s="1285"/>
      <c r="L4806" s="1285"/>
    </row>
    <row r="4807" spans="1:12" ht="11.15" customHeight="1">
      <c r="A4807" s="162" t="s">
        <v>6685</v>
      </c>
      <c r="B4807" s="59" t="s">
        <v>21061</v>
      </c>
      <c r="C4807" s="147" t="s">
        <v>20221</v>
      </c>
      <c r="D4807" s="284" t="s">
        <v>897</v>
      </c>
      <c r="E4807" s="178">
        <v>2017</v>
      </c>
      <c r="F4807" s="178" t="s">
        <v>4520</v>
      </c>
      <c r="G4807" s="496"/>
      <c r="H4807" s="994" t="s">
        <v>20221</v>
      </c>
      <c r="I4807" s="11" t="s">
        <v>6686</v>
      </c>
      <c r="J4807" s="1285"/>
      <c r="K4807" s="1285"/>
      <c r="L4807" s="1285"/>
    </row>
    <row r="4808" spans="1:12" ht="11.15" customHeight="1">
      <c r="A4808" s="162" t="s">
        <v>6687</v>
      </c>
      <c r="B4808" s="59" t="s">
        <v>21062</v>
      </c>
      <c r="C4808" s="147" t="s">
        <v>20221</v>
      </c>
      <c r="D4808" s="284" t="s">
        <v>897</v>
      </c>
      <c r="E4808" s="178">
        <v>2022</v>
      </c>
      <c r="F4808" s="178" t="s">
        <v>4520</v>
      </c>
      <c r="G4808" s="496"/>
      <c r="H4808" s="994" t="s">
        <v>20221</v>
      </c>
      <c r="I4808" s="11" t="s">
        <v>6688</v>
      </c>
      <c r="J4808" s="1285"/>
      <c r="K4808" s="1285"/>
      <c r="L4808" s="1285"/>
    </row>
    <row r="4809" spans="1:12" ht="11.15" customHeight="1">
      <c r="A4809" s="162" t="s">
        <v>6689</v>
      </c>
      <c r="B4809" s="59" t="s">
        <v>21062</v>
      </c>
      <c r="C4809" s="147" t="s">
        <v>20221</v>
      </c>
      <c r="D4809" s="284" t="s">
        <v>897</v>
      </c>
      <c r="E4809" s="178">
        <v>2020</v>
      </c>
      <c r="F4809" s="178" t="s">
        <v>4520</v>
      </c>
      <c r="G4809" s="496"/>
      <c r="H4809" s="994" t="s">
        <v>20224</v>
      </c>
      <c r="I4809" s="11" t="s">
        <v>6690</v>
      </c>
      <c r="J4809" s="1285"/>
      <c r="K4809" s="1285"/>
      <c r="L4809" s="1285"/>
    </row>
    <row r="4810" spans="1:12" ht="11.15" customHeight="1">
      <c r="A4810" s="129" t="s">
        <v>6154</v>
      </c>
      <c r="B4810" s="59" t="s">
        <v>21062</v>
      </c>
      <c r="C4810" s="147" t="s">
        <v>20221</v>
      </c>
      <c r="D4810" s="284" t="s">
        <v>897</v>
      </c>
      <c r="E4810" s="178">
        <v>2019</v>
      </c>
      <c r="F4810" s="178" t="s">
        <v>4520</v>
      </c>
      <c r="G4810" s="496"/>
      <c r="H4810" s="994" t="s">
        <v>20224</v>
      </c>
      <c r="I4810" s="11" t="s">
        <v>6691</v>
      </c>
      <c r="J4810" s="1285"/>
      <c r="K4810" s="1285"/>
      <c r="L4810" s="1285"/>
    </row>
    <row r="4811" spans="1:12" ht="11.15" customHeight="1">
      <c r="A4811" s="291" t="s">
        <v>6692</v>
      </c>
      <c r="B4811" s="59" t="s">
        <v>21062</v>
      </c>
      <c r="C4811" s="147" t="s">
        <v>20221</v>
      </c>
      <c r="D4811" s="284" t="s">
        <v>897</v>
      </c>
      <c r="E4811" s="178">
        <v>2018</v>
      </c>
      <c r="F4811" s="178" t="s">
        <v>4520</v>
      </c>
      <c r="G4811" s="496"/>
      <c r="H4811" s="994" t="s">
        <v>20224</v>
      </c>
      <c r="I4811" s="11" t="s">
        <v>6693</v>
      </c>
      <c r="J4811" s="1285"/>
      <c r="K4811" s="1285"/>
      <c r="L4811" s="1285"/>
    </row>
    <row r="4812" spans="1:12" ht="11.15" customHeight="1">
      <c r="A4812" s="456" t="s">
        <v>6694</v>
      </c>
      <c r="B4812" s="59" t="s">
        <v>21063</v>
      </c>
      <c r="C4812" s="147" t="s">
        <v>20221</v>
      </c>
      <c r="D4812" s="284" t="s">
        <v>897</v>
      </c>
      <c r="E4812" s="178">
        <v>2022</v>
      </c>
      <c r="F4812" s="178" t="s">
        <v>4520</v>
      </c>
      <c r="G4812" s="496"/>
      <c r="H4812" s="994" t="s">
        <v>20221</v>
      </c>
      <c r="I4812" s="11" t="s">
        <v>6695</v>
      </c>
      <c r="J4812" s="1285"/>
      <c r="K4812" s="1285"/>
      <c r="L4812" s="1285"/>
    </row>
    <row r="4813" spans="1:12" ht="11.15" customHeight="1">
      <c r="A4813" s="291" t="s">
        <v>6696</v>
      </c>
      <c r="B4813" s="59" t="s">
        <v>21063</v>
      </c>
      <c r="C4813" s="147" t="s">
        <v>20221</v>
      </c>
      <c r="D4813" s="284" t="s">
        <v>897</v>
      </c>
      <c r="E4813" s="178">
        <v>2020</v>
      </c>
      <c r="F4813" s="178" t="s">
        <v>4520</v>
      </c>
      <c r="G4813" s="496"/>
      <c r="H4813" s="994" t="s">
        <v>20224</v>
      </c>
      <c r="I4813" s="11" t="s">
        <v>6697</v>
      </c>
      <c r="J4813" s="1285"/>
      <c r="K4813" s="1285"/>
      <c r="L4813" s="1285"/>
    </row>
    <row r="4814" spans="1:12" ht="11.15" customHeight="1">
      <c r="A4814" s="291" t="s">
        <v>6698</v>
      </c>
      <c r="B4814" s="59" t="s">
        <v>21063</v>
      </c>
      <c r="C4814" s="147" t="s">
        <v>20221</v>
      </c>
      <c r="D4814" s="284" t="s">
        <v>897</v>
      </c>
      <c r="E4814" s="178">
        <v>2019</v>
      </c>
      <c r="F4814" s="178" t="s">
        <v>4520</v>
      </c>
      <c r="G4814" s="496"/>
      <c r="H4814" s="994" t="s">
        <v>20224</v>
      </c>
      <c r="I4814" s="11" t="s">
        <v>6699</v>
      </c>
      <c r="J4814" s="1285"/>
      <c r="K4814" s="1285"/>
      <c r="L4814" s="1285"/>
    </row>
    <row r="4815" spans="1:12" ht="11.15" customHeight="1">
      <c r="A4815" s="456" t="s">
        <v>6700</v>
      </c>
      <c r="B4815" s="59" t="s">
        <v>21063</v>
      </c>
      <c r="C4815" s="147" t="s">
        <v>20221</v>
      </c>
      <c r="D4815" s="284" t="s">
        <v>897</v>
      </c>
      <c r="E4815" s="178">
        <v>2018</v>
      </c>
      <c r="F4815" s="178" t="s">
        <v>4520</v>
      </c>
      <c r="G4815" s="496"/>
      <c r="H4815" s="994" t="s">
        <v>20224</v>
      </c>
      <c r="I4815" s="11" t="s">
        <v>6701</v>
      </c>
      <c r="J4815" s="1285"/>
      <c r="K4815" s="1285"/>
      <c r="L4815" s="1285"/>
    </row>
    <row r="4816" spans="1:12" ht="11.15" customHeight="1">
      <c r="A4816" s="291" t="s">
        <v>6702</v>
      </c>
      <c r="B4816" s="59" t="s">
        <v>21063</v>
      </c>
      <c r="C4816" s="147" t="s">
        <v>20221</v>
      </c>
      <c r="D4816" s="284" t="s">
        <v>897</v>
      </c>
      <c r="E4816" s="178">
        <v>2017</v>
      </c>
      <c r="F4816" s="178" t="s">
        <v>4520</v>
      </c>
      <c r="G4816" s="496"/>
      <c r="H4816" s="994" t="s">
        <v>20277</v>
      </c>
      <c r="I4816" s="11" t="s">
        <v>6703</v>
      </c>
      <c r="J4816" s="1285"/>
      <c r="K4816" s="1285"/>
      <c r="L4816" s="1285"/>
    </row>
    <row r="4817" spans="1:12" ht="11.15" customHeight="1">
      <c r="A4817" s="292" t="s">
        <v>6704</v>
      </c>
      <c r="B4817" s="59" t="s">
        <v>21064</v>
      </c>
      <c r="C4817" s="147" t="s">
        <v>20221</v>
      </c>
      <c r="D4817" s="284" t="s">
        <v>897</v>
      </c>
      <c r="E4817" s="178">
        <v>2022</v>
      </c>
      <c r="F4817" s="178" t="s">
        <v>4520</v>
      </c>
      <c r="G4817" s="496"/>
      <c r="H4817" s="994" t="s">
        <v>20221</v>
      </c>
      <c r="I4817" s="11" t="s">
        <v>6705</v>
      </c>
      <c r="J4817" s="1285"/>
      <c r="K4817" s="1285"/>
      <c r="L4817" s="1285"/>
    </row>
    <row r="4818" spans="1:12" ht="11.15" customHeight="1">
      <c r="A4818" s="491" t="s">
        <v>6706</v>
      </c>
      <c r="B4818" s="59" t="s">
        <v>21064</v>
      </c>
      <c r="C4818" s="147" t="s">
        <v>20221</v>
      </c>
      <c r="D4818" s="284" t="s">
        <v>897</v>
      </c>
      <c r="E4818" s="178">
        <v>2020</v>
      </c>
      <c r="F4818" s="178" t="s">
        <v>4520</v>
      </c>
      <c r="G4818" s="496"/>
      <c r="H4818" s="994" t="s">
        <v>20224</v>
      </c>
      <c r="I4818" s="11" t="s">
        <v>6707</v>
      </c>
      <c r="J4818" s="1285"/>
      <c r="K4818" s="1285"/>
      <c r="L4818" s="1285"/>
    </row>
    <row r="4819" spans="1:12" ht="11.15" customHeight="1">
      <c r="A4819" s="166" t="s">
        <v>6708</v>
      </c>
      <c r="B4819" s="59" t="s">
        <v>21064</v>
      </c>
      <c r="C4819" s="147" t="s">
        <v>20221</v>
      </c>
      <c r="D4819" s="284" t="s">
        <v>897</v>
      </c>
      <c r="E4819" s="178">
        <v>2018</v>
      </c>
      <c r="F4819" s="178" t="s">
        <v>4520</v>
      </c>
      <c r="G4819" s="496"/>
      <c r="H4819" s="994" t="s">
        <v>20224</v>
      </c>
      <c r="I4819" s="11" t="s">
        <v>6709</v>
      </c>
      <c r="J4819" s="1285"/>
      <c r="K4819" s="1285"/>
      <c r="L4819" s="1285"/>
    </row>
    <row r="4820" spans="1:12" ht="11.15" customHeight="1">
      <c r="A4820" s="169" t="s">
        <v>6710</v>
      </c>
      <c r="B4820" s="59" t="s">
        <v>20737</v>
      </c>
      <c r="C4820" s="147" t="s">
        <v>20221</v>
      </c>
      <c r="D4820" s="284" t="s">
        <v>897</v>
      </c>
      <c r="E4820" s="178">
        <v>2020</v>
      </c>
      <c r="F4820" s="178" t="s">
        <v>23394</v>
      </c>
      <c r="G4820" s="496"/>
      <c r="H4820" s="994" t="s">
        <v>20224</v>
      </c>
      <c r="I4820" s="11" t="s">
        <v>6711</v>
      </c>
      <c r="J4820" s="1285"/>
      <c r="K4820" s="1285"/>
      <c r="L4820" s="1285"/>
    </row>
    <row r="4821" spans="1:12" ht="11.15" customHeight="1">
      <c r="A4821" s="169" t="s">
        <v>6712</v>
      </c>
      <c r="B4821" s="59" t="s">
        <v>21065</v>
      </c>
      <c r="C4821" s="147" t="s">
        <v>20221</v>
      </c>
      <c r="D4821" s="284" t="s">
        <v>897</v>
      </c>
      <c r="E4821" s="178" t="s">
        <v>20221</v>
      </c>
      <c r="F4821" s="178" t="s">
        <v>5257</v>
      </c>
      <c r="G4821" s="496" t="s">
        <v>20221</v>
      </c>
      <c r="H4821" s="994" t="s">
        <v>3907</v>
      </c>
      <c r="I4821" s="11" t="s">
        <v>6713</v>
      </c>
      <c r="J4821" s="1285"/>
      <c r="K4821" s="1285"/>
      <c r="L4821" s="1285"/>
    </row>
    <row r="4822" spans="1:12" ht="11.15" customHeight="1">
      <c r="A4822" s="492" t="s">
        <v>6714</v>
      </c>
      <c r="B4822" s="59" t="s">
        <v>21066</v>
      </c>
      <c r="C4822" s="147" t="s">
        <v>20221</v>
      </c>
      <c r="D4822" s="284" t="s">
        <v>897</v>
      </c>
      <c r="E4822" s="178">
        <v>2022</v>
      </c>
      <c r="F4822" s="178" t="s">
        <v>4520</v>
      </c>
      <c r="G4822" s="496"/>
      <c r="H4822" s="994" t="s">
        <v>20221</v>
      </c>
      <c r="I4822" s="11" t="s">
        <v>6715</v>
      </c>
      <c r="J4822" s="1285"/>
      <c r="K4822" s="1285"/>
      <c r="L4822" s="1285"/>
    </row>
    <row r="4823" spans="1:12" ht="11.15" customHeight="1">
      <c r="A4823" s="129" t="s">
        <v>2579</v>
      </c>
      <c r="B4823" s="59" t="s">
        <v>21066</v>
      </c>
      <c r="C4823" s="147" t="s">
        <v>20221</v>
      </c>
      <c r="D4823" s="284" t="s">
        <v>897</v>
      </c>
      <c r="E4823" s="178">
        <v>2021</v>
      </c>
      <c r="F4823" s="178" t="s">
        <v>23394</v>
      </c>
      <c r="G4823" s="496"/>
      <c r="H4823" s="994" t="s">
        <v>20224</v>
      </c>
      <c r="I4823" s="11" t="s">
        <v>6716</v>
      </c>
      <c r="J4823" s="1285"/>
      <c r="K4823" s="1285"/>
      <c r="L4823" s="1285"/>
    </row>
    <row r="4824" spans="1:12" ht="11.15" customHeight="1">
      <c r="A4824" s="481" t="s">
        <v>6717</v>
      </c>
      <c r="B4824" s="59" t="s">
        <v>21066</v>
      </c>
      <c r="C4824" s="147" t="s">
        <v>20221</v>
      </c>
      <c r="D4824" s="284" t="s">
        <v>897</v>
      </c>
      <c r="E4824" s="178">
        <v>2018</v>
      </c>
      <c r="F4824" s="178" t="s">
        <v>4520</v>
      </c>
      <c r="G4824" s="496"/>
      <c r="H4824" s="994" t="s">
        <v>20224</v>
      </c>
      <c r="I4824" s="11" t="s">
        <v>6718</v>
      </c>
      <c r="J4824" s="1285"/>
      <c r="K4824" s="1285"/>
      <c r="L4824" s="1285"/>
    </row>
    <row r="4825" spans="1:12" ht="11.15" customHeight="1">
      <c r="A4825" s="481"/>
      <c r="B4825" s="490" t="s">
        <v>4255</v>
      </c>
      <c r="C4825" s="147"/>
      <c r="D4825" s="159"/>
      <c r="E4825" s="36"/>
      <c r="F4825" s="178"/>
      <c r="G4825" s="496"/>
      <c r="H4825" s="36"/>
      <c r="I4825" s="11"/>
    </row>
    <row r="4826" spans="1:12" ht="11.15" customHeight="1">
      <c r="A4826" s="481"/>
      <c r="B4826" s="59" t="s">
        <v>20798</v>
      </c>
      <c r="C4826" s="147" t="s">
        <v>20221</v>
      </c>
      <c r="D4826" s="284" t="s">
        <v>897</v>
      </c>
      <c r="E4826" s="178">
        <v>2020</v>
      </c>
      <c r="F4826" s="178" t="s">
        <v>4520</v>
      </c>
      <c r="G4826" s="496"/>
      <c r="H4826" s="994" t="s">
        <v>20224</v>
      </c>
      <c r="I4826" s="11" t="s">
        <v>6719</v>
      </c>
      <c r="J4826" s="1285"/>
      <c r="K4826" s="1285"/>
      <c r="L4826" s="1285"/>
    </row>
    <row r="4827" spans="1:12" ht="11.15" customHeight="1">
      <c r="A4827" s="29"/>
      <c r="B4827" s="90"/>
      <c r="C4827" s="147"/>
      <c r="D4827" s="161"/>
      <c r="E4827" s="36"/>
      <c r="F4827" s="178"/>
      <c r="G4827" s="671"/>
      <c r="H4827" s="36"/>
      <c r="I4827" s="11"/>
    </row>
    <row r="4828" spans="1:12" ht="11.15" customHeight="1" thickBot="1">
      <c r="A4828" s="29"/>
      <c r="B4828" s="209" t="s">
        <v>6720</v>
      </c>
      <c r="C4828" s="147"/>
      <c r="D4828" s="161"/>
      <c r="E4828" s="36"/>
      <c r="F4828" s="178"/>
      <c r="G4828" s="1217"/>
      <c r="H4828" s="36"/>
      <c r="I4828" s="11"/>
    </row>
    <row r="4829" spans="1:12" ht="11.15" customHeight="1" thickBot="1">
      <c r="A4829" s="184" t="s">
        <v>6721</v>
      </c>
      <c r="B4829" s="177" t="s">
        <v>1398</v>
      </c>
      <c r="C4829" s="147"/>
      <c r="D4829" s="159"/>
      <c r="E4829" s="36"/>
      <c r="F4829" s="178"/>
      <c r="G4829" s="496"/>
      <c r="H4829" s="36"/>
      <c r="I4829" s="11"/>
    </row>
    <row r="4830" spans="1:12" ht="11.15" customHeight="1">
      <c r="A4830" s="29" t="s">
        <v>6722</v>
      </c>
      <c r="B4830" s="59" t="s">
        <v>21068</v>
      </c>
      <c r="C4830" s="147" t="s">
        <v>20221</v>
      </c>
      <c r="D4830" s="284" t="s">
        <v>897</v>
      </c>
      <c r="E4830" s="178">
        <v>2014</v>
      </c>
      <c r="F4830" s="178" t="s">
        <v>4520</v>
      </c>
      <c r="G4830" s="496"/>
      <c r="H4830" s="994" t="s">
        <v>20221</v>
      </c>
      <c r="I4830" s="11" t="s">
        <v>6723</v>
      </c>
      <c r="J4830" s="1285"/>
      <c r="K4830" s="1285"/>
      <c r="L4830" s="1285"/>
    </row>
    <row r="4831" spans="1:12" ht="11.15" customHeight="1">
      <c r="A4831" s="29" t="s">
        <v>6724</v>
      </c>
      <c r="B4831" s="59" t="s">
        <v>21009</v>
      </c>
      <c r="C4831" s="147" t="s">
        <v>20221</v>
      </c>
      <c r="D4831" s="284" t="s">
        <v>897</v>
      </c>
      <c r="E4831" s="178">
        <v>2022</v>
      </c>
      <c r="F4831" s="178" t="s">
        <v>4520</v>
      </c>
      <c r="G4831" s="496"/>
      <c r="H4831" s="994" t="s">
        <v>20221</v>
      </c>
      <c r="I4831" s="19" t="s">
        <v>6725</v>
      </c>
      <c r="J4831" s="1285"/>
      <c r="K4831" s="1285"/>
      <c r="L4831" s="1285"/>
    </row>
    <row r="4832" spans="1:12" ht="11.15" customHeight="1">
      <c r="A4832" s="29" t="s">
        <v>6726</v>
      </c>
      <c r="B4832" s="59" t="s">
        <v>21009</v>
      </c>
      <c r="C4832" s="147" t="s">
        <v>20221</v>
      </c>
      <c r="D4832" s="284" t="s">
        <v>897</v>
      </c>
      <c r="E4832" s="178">
        <v>2021</v>
      </c>
      <c r="F4832" s="178" t="s">
        <v>4520</v>
      </c>
      <c r="G4832" s="496"/>
      <c r="H4832" s="994" t="s">
        <v>20224</v>
      </c>
      <c r="I4832" s="11" t="s">
        <v>6727</v>
      </c>
      <c r="J4832" s="1285"/>
      <c r="K4832" s="1285"/>
      <c r="L4832" s="1285"/>
    </row>
    <row r="4833" spans="1:12" ht="11.15" customHeight="1">
      <c r="A4833" s="129" t="s">
        <v>903</v>
      </c>
      <c r="B4833" s="59" t="s">
        <v>21009</v>
      </c>
      <c r="C4833" s="147" t="s">
        <v>20221</v>
      </c>
      <c r="D4833" s="284" t="s">
        <v>897</v>
      </c>
      <c r="E4833" s="178">
        <v>2018</v>
      </c>
      <c r="F4833" s="178" t="s">
        <v>4520</v>
      </c>
      <c r="G4833" s="496"/>
      <c r="H4833" s="994" t="s">
        <v>20221</v>
      </c>
      <c r="I4833" s="11" t="s">
        <v>6728</v>
      </c>
      <c r="J4833" s="1285"/>
      <c r="K4833" s="1285"/>
      <c r="L4833" s="1285"/>
    </row>
    <row r="4834" spans="1:12" ht="11.15" customHeight="1">
      <c r="A4834" s="162" t="s">
        <v>6729</v>
      </c>
      <c r="B4834" s="59" t="s">
        <v>21009</v>
      </c>
      <c r="C4834" s="147" t="s">
        <v>20221</v>
      </c>
      <c r="D4834" s="284" t="s">
        <v>897</v>
      </c>
      <c r="E4834" s="178">
        <v>2017</v>
      </c>
      <c r="F4834" s="178" t="s">
        <v>4520</v>
      </c>
      <c r="G4834" s="496"/>
      <c r="H4834" s="994" t="s">
        <v>20221</v>
      </c>
      <c r="I4834" s="11" t="s">
        <v>6730</v>
      </c>
      <c r="J4834" s="1285"/>
      <c r="K4834" s="1285"/>
      <c r="L4834" s="1285"/>
    </row>
    <row r="4835" spans="1:12" ht="11.15" customHeight="1">
      <c r="A4835" s="162" t="s">
        <v>6731</v>
      </c>
      <c r="B4835" s="59" t="s">
        <v>21009</v>
      </c>
      <c r="C4835" s="147" t="s">
        <v>20221</v>
      </c>
      <c r="D4835" s="284" t="s">
        <v>897</v>
      </c>
      <c r="E4835" s="178">
        <v>2016</v>
      </c>
      <c r="F4835" s="178" t="s">
        <v>4520</v>
      </c>
      <c r="G4835" s="496"/>
      <c r="H4835" s="994" t="s">
        <v>20221</v>
      </c>
      <c r="I4835" s="11" t="s">
        <v>6732</v>
      </c>
      <c r="J4835" s="1285"/>
      <c r="K4835" s="1285"/>
      <c r="L4835" s="1285"/>
    </row>
    <row r="4836" spans="1:12" ht="11.15" customHeight="1">
      <c r="A4836" s="162" t="s">
        <v>6733</v>
      </c>
      <c r="B4836" s="59" t="s">
        <v>21009</v>
      </c>
      <c r="C4836" s="147" t="s">
        <v>20221</v>
      </c>
      <c r="D4836" s="284" t="s">
        <v>897</v>
      </c>
      <c r="E4836" s="178">
        <v>2014</v>
      </c>
      <c r="F4836" s="178" t="s">
        <v>4520</v>
      </c>
      <c r="G4836" s="496"/>
      <c r="H4836" s="994" t="s">
        <v>20221</v>
      </c>
      <c r="I4836" s="11" t="s">
        <v>6735</v>
      </c>
      <c r="J4836" s="1285"/>
      <c r="K4836" s="1285"/>
      <c r="L4836" s="1285"/>
    </row>
    <row r="4837" spans="1:12" ht="11.15" customHeight="1">
      <c r="A4837" s="29" t="s">
        <v>6734</v>
      </c>
      <c r="B4837" s="59" t="s">
        <v>21069</v>
      </c>
      <c r="C4837" s="147" t="s">
        <v>20221</v>
      </c>
      <c r="D4837" s="284" t="s">
        <v>897</v>
      </c>
      <c r="E4837" s="178">
        <v>2022</v>
      </c>
      <c r="F4837" s="178" t="s">
        <v>4520</v>
      </c>
      <c r="G4837" s="496"/>
      <c r="H4837" s="994" t="s">
        <v>20221</v>
      </c>
      <c r="I4837" s="11" t="s">
        <v>6737</v>
      </c>
      <c r="J4837" s="1285"/>
      <c r="K4837" s="1285"/>
      <c r="L4837" s="1285"/>
    </row>
    <row r="4838" spans="1:12" ht="11.15" customHeight="1">
      <c r="A4838" s="166" t="s">
        <v>6736</v>
      </c>
      <c r="B4838" s="59" t="s">
        <v>21069</v>
      </c>
      <c r="C4838" s="147" t="s">
        <v>20221</v>
      </c>
      <c r="D4838" s="284" t="s">
        <v>897</v>
      </c>
      <c r="E4838" s="178">
        <v>2021</v>
      </c>
      <c r="F4838" s="178" t="s">
        <v>4520</v>
      </c>
      <c r="G4838" s="496"/>
      <c r="H4838" s="994" t="s">
        <v>20221</v>
      </c>
      <c r="I4838" s="11" t="s">
        <v>6739</v>
      </c>
      <c r="J4838" s="1285"/>
      <c r="K4838" s="1285"/>
      <c r="L4838" s="1285"/>
    </row>
    <row r="4839" spans="1:12" ht="11.15" customHeight="1">
      <c r="A4839" s="481" t="s">
        <v>6738</v>
      </c>
      <c r="B4839" s="59" t="s">
        <v>21069</v>
      </c>
      <c r="C4839" s="147" t="s">
        <v>20221</v>
      </c>
      <c r="D4839" s="284" t="s">
        <v>897</v>
      </c>
      <c r="E4839" s="178">
        <v>2020</v>
      </c>
      <c r="F4839" s="178" t="s">
        <v>4520</v>
      </c>
      <c r="G4839" s="496"/>
      <c r="H4839" s="994" t="s">
        <v>20221</v>
      </c>
      <c r="I4839" s="11" t="s">
        <v>6740</v>
      </c>
      <c r="J4839" s="1285"/>
      <c r="K4839" s="1285"/>
      <c r="L4839" s="1285"/>
    </row>
    <row r="4840" spans="1:12" ht="11.15" customHeight="1">
      <c r="A4840" s="29"/>
      <c r="B4840" s="59" t="s">
        <v>21069</v>
      </c>
      <c r="C4840" s="147" t="s">
        <v>20221</v>
      </c>
      <c r="D4840" s="284" t="s">
        <v>897</v>
      </c>
      <c r="E4840" s="178">
        <v>2018</v>
      </c>
      <c r="F4840" s="178" t="s">
        <v>4520</v>
      </c>
      <c r="G4840" s="496"/>
      <c r="H4840" s="994" t="s">
        <v>20221</v>
      </c>
      <c r="I4840" s="11" t="s">
        <v>6741</v>
      </c>
      <c r="J4840" s="1285"/>
      <c r="K4840" s="1285"/>
      <c r="L4840" s="1285"/>
    </row>
    <row r="4841" spans="1:12" ht="11.15" customHeight="1">
      <c r="A4841" s="185"/>
      <c r="B4841" s="59" t="s">
        <v>21070</v>
      </c>
      <c r="C4841" s="147" t="s">
        <v>20221</v>
      </c>
      <c r="D4841" s="284" t="s">
        <v>897</v>
      </c>
      <c r="E4841" s="178">
        <v>2017</v>
      </c>
      <c r="F4841" s="178" t="s">
        <v>4520</v>
      </c>
      <c r="G4841" s="496"/>
      <c r="H4841" s="994" t="s">
        <v>20221</v>
      </c>
      <c r="I4841" s="11" t="s">
        <v>6742</v>
      </c>
      <c r="J4841" s="1285"/>
      <c r="K4841" s="1285"/>
      <c r="L4841" s="1285"/>
    </row>
    <row r="4842" spans="1:12" ht="11.15" customHeight="1">
      <c r="A4842" s="185"/>
      <c r="B4842" s="59" t="s">
        <v>21070</v>
      </c>
      <c r="C4842" s="147" t="s">
        <v>20221</v>
      </c>
      <c r="D4842" s="284" t="s">
        <v>897</v>
      </c>
      <c r="E4842" s="178">
        <v>2016</v>
      </c>
      <c r="F4842" s="178" t="s">
        <v>4520</v>
      </c>
      <c r="G4842" s="496"/>
      <c r="H4842" s="994" t="s">
        <v>20221</v>
      </c>
      <c r="I4842" s="11" t="s">
        <v>6743</v>
      </c>
      <c r="J4842" s="1285"/>
      <c r="K4842" s="1285"/>
      <c r="L4842" s="1285"/>
    </row>
    <row r="4843" spans="1:12" ht="11.15" customHeight="1">
      <c r="A4843" s="185"/>
      <c r="B4843" s="59" t="s">
        <v>21069</v>
      </c>
      <c r="C4843" s="147" t="s">
        <v>20221</v>
      </c>
      <c r="D4843" s="284" t="s">
        <v>897</v>
      </c>
      <c r="E4843" s="178">
        <v>2015</v>
      </c>
      <c r="F4843" s="178" t="s">
        <v>4520</v>
      </c>
      <c r="G4843" s="496"/>
      <c r="H4843" s="994" t="s">
        <v>20221</v>
      </c>
      <c r="I4843" s="11" t="s">
        <v>6744</v>
      </c>
      <c r="J4843" s="1285"/>
      <c r="K4843" s="1285"/>
      <c r="L4843" s="1285"/>
    </row>
    <row r="4844" spans="1:12" ht="11.15" customHeight="1">
      <c r="A4844" s="185"/>
      <c r="B4844" s="59" t="s">
        <v>21069</v>
      </c>
      <c r="C4844" s="147" t="s">
        <v>20221</v>
      </c>
      <c r="D4844" s="284" t="s">
        <v>897</v>
      </c>
      <c r="E4844" s="178">
        <v>2014</v>
      </c>
      <c r="F4844" s="178" t="s">
        <v>4520</v>
      </c>
      <c r="G4844" s="496"/>
      <c r="H4844" s="994" t="s">
        <v>20224</v>
      </c>
      <c r="I4844" s="11" t="s">
        <v>6745</v>
      </c>
      <c r="J4844" s="1285"/>
      <c r="K4844" s="1285"/>
      <c r="L4844" s="1285"/>
    </row>
    <row r="4845" spans="1:12" ht="11.15" customHeight="1">
      <c r="A4845" s="185"/>
      <c r="B4845" s="177" t="s">
        <v>2582</v>
      </c>
      <c r="C4845" s="147"/>
      <c r="D4845" s="159"/>
      <c r="E4845" s="36"/>
      <c r="F4845" s="178"/>
      <c r="G4845" s="496"/>
      <c r="H4845" s="36"/>
      <c r="I4845" s="11"/>
    </row>
    <row r="4846" spans="1:12" ht="11.15" customHeight="1">
      <c r="A4846" s="29"/>
      <c r="B4846" s="59" t="s">
        <v>21071</v>
      </c>
      <c r="C4846" s="147" t="s">
        <v>20221</v>
      </c>
      <c r="D4846" s="284" t="s">
        <v>897</v>
      </c>
      <c r="E4846" s="178">
        <v>2022</v>
      </c>
      <c r="F4846" s="178" t="s">
        <v>5257</v>
      </c>
      <c r="G4846" s="496"/>
      <c r="H4846" s="994" t="s">
        <v>20221</v>
      </c>
      <c r="I4846" s="11" t="s">
        <v>6746</v>
      </c>
      <c r="J4846" s="1285"/>
      <c r="K4846" s="1285"/>
      <c r="L4846" s="1285"/>
    </row>
    <row r="4847" spans="1:12" ht="11.15" customHeight="1">
      <c r="A4847" s="271"/>
      <c r="B4847" s="59" t="s">
        <v>21071</v>
      </c>
      <c r="C4847" s="147" t="s">
        <v>20221</v>
      </c>
      <c r="D4847" s="284" t="s">
        <v>897</v>
      </c>
      <c r="E4847" s="178">
        <v>2020</v>
      </c>
      <c r="F4847" s="178" t="s">
        <v>5257</v>
      </c>
      <c r="G4847" s="496"/>
      <c r="H4847" s="994" t="s">
        <v>20224</v>
      </c>
      <c r="I4847" s="11" t="s">
        <v>6747</v>
      </c>
      <c r="J4847" s="1285"/>
      <c r="K4847" s="1285"/>
      <c r="L4847" s="1285"/>
    </row>
    <row r="4848" spans="1:12" ht="11.15" customHeight="1">
      <c r="A4848" s="185"/>
      <c r="B4848" s="59" t="s">
        <v>21072</v>
      </c>
      <c r="C4848" s="147" t="s">
        <v>20221</v>
      </c>
      <c r="D4848" s="284" t="s">
        <v>897</v>
      </c>
      <c r="E4848" s="178">
        <v>2020</v>
      </c>
      <c r="F4848" s="178" t="s">
        <v>11938</v>
      </c>
      <c r="G4848" s="496"/>
      <c r="H4848" s="994" t="s">
        <v>20224</v>
      </c>
      <c r="I4848" s="11" t="s">
        <v>6748</v>
      </c>
      <c r="J4848" s="1285"/>
      <c r="K4848" s="1285"/>
      <c r="L4848" s="1285"/>
    </row>
    <row r="4849" spans="1:12" ht="11.15" customHeight="1">
      <c r="A4849" s="185"/>
      <c r="B4849" s="177" t="s">
        <v>5381</v>
      </c>
      <c r="C4849" s="147"/>
      <c r="D4849" s="159"/>
      <c r="E4849" s="36"/>
      <c r="F4849" s="178"/>
      <c r="G4849" s="496"/>
      <c r="H4849" s="36"/>
      <c r="I4849" s="11"/>
      <c r="J4849" s="1285"/>
      <c r="K4849" s="1285"/>
      <c r="L4849" s="1285"/>
    </row>
    <row r="4850" spans="1:12" ht="11.15" customHeight="1">
      <c r="A4850" s="185"/>
      <c r="B4850" s="59" t="s">
        <v>21073</v>
      </c>
      <c r="C4850" s="147" t="s">
        <v>20221</v>
      </c>
      <c r="D4850" s="701" t="s">
        <v>1129</v>
      </c>
      <c r="E4850" s="178" t="s">
        <v>20221</v>
      </c>
      <c r="F4850" s="178" t="s">
        <v>4520</v>
      </c>
      <c r="G4850" s="496" t="s">
        <v>20221</v>
      </c>
      <c r="H4850" s="994" t="s">
        <v>3907</v>
      </c>
      <c r="I4850" s="11" t="s">
        <v>6749</v>
      </c>
      <c r="J4850" s="1285"/>
      <c r="K4850" s="1285"/>
      <c r="L4850" s="1285"/>
    </row>
    <row r="4851" spans="1:12" ht="11.15" customHeight="1">
      <c r="A4851" s="185"/>
      <c r="B4851" s="59" t="s">
        <v>21074</v>
      </c>
      <c r="C4851" s="147" t="s">
        <v>20221</v>
      </c>
      <c r="D4851" s="701" t="s">
        <v>1129</v>
      </c>
      <c r="E4851" s="178">
        <v>2022</v>
      </c>
      <c r="F4851" s="178" t="s">
        <v>4520</v>
      </c>
      <c r="G4851" s="496"/>
      <c r="H4851" s="994" t="s">
        <v>20224</v>
      </c>
      <c r="I4851" s="11" t="s">
        <v>6750</v>
      </c>
      <c r="J4851" s="1285"/>
      <c r="K4851" s="1285"/>
      <c r="L4851" s="1285"/>
    </row>
    <row r="4852" spans="1:12" ht="11.15" customHeight="1">
      <c r="A4852" s="185"/>
      <c r="B4852" s="59" t="s">
        <v>21074</v>
      </c>
      <c r="C4852" s="147" t="s">
        <v>20221</v>
      </c>
      <c r="D4852" s="701" t="s">
        <v>1129</v>
      </c>
      <c r="E4852" s="178">
        <v>2020</v>
      </c>
      <c r="F4852" s="178" t="s">
        <v>4520</v>
      </c>
      <c r="G4852" s="496"/>
      <c r="H4852" s="994" t="s">
        <v>20224</v>
      </c>
      <c r="I4852" s="11" t="s">
        <v>6751</v>
      </c>
      <c r="J4852" s="1285"/>
      <c r="K4852" s="1285"/>
      <c r="L4852" s="1285"/>
    </row>
    <row r="4853" spans="1:12" ht="11.15" customHeight="1">
      <c r="A4853" s="185"/>
      <c r="B4853" s="177" t="s">
        <v>6752</v>
      </c>
      <c r="C4853" s="147"/>
      <c r="D4853" s="159"/>
      <c r="E4853" s="36"/>
      <c r="F4853" s="178"/>
      <c r="G4853" s="496"/>
      <c r="H4853" s="36"/>
      <c r="I4853" s="11"/>
      <c r="J4853" s="1285"/>
      <c r="K4853" s="1285"/>
      <c r="L4853" s="1285"/>
    </row>
    <row r="4854" spans="1:12" ht="11.15" customHeight="1">
      <c r="A4854" s="185"/>
      <c r="B4854" s="59" t="s">
        <v>21075</v>
      </c>
      <c r="C4854" s="147" t="s">
        <v>20221</v>
      </c>
      <c r="D4854" s="701" t="s">
        <v>1129</v>
      </c>
      <c r="E4854" s="178">
        <v>2022</v>
      </c>
      <c r="F4854" s="178" t="s">
        <v>4520</v>
      </c>
      <c r="G4854" s="496"/>
      <c r="H4854" s="994" t="s">
        <v>20221</v>
      </c>
      <c r="I4854" s="11" t="s">
        <v>6753</v>
      </c>
      <c r="J4854" s="1285"/>
      <c r="K4854" s="1285"/>
      <c r="L4854" s="1285"/>
    </row>
    <row r="4855" spans="1:12" ht="11.15" customHeight="1">
      <c r="A4855" s="185"/>
      <c r="B4855" s="90" t="s">
        <v>6754</v>
      </c>
      <c r="C4855" s="147"/>
      <c r="D4855" s="701" t="s">
        <v>1129</v>
      </c>
      <c r="E4855" s="36"/>
      <c r="F4855" s="178"/>
      <c r="G4855" s="496"/>
      <c r="H4855" s="996" t="s">
        <v>3907</v>
      </c>
      <c r="I4855" s="11"/>
      <c r="J4855" s="1285"/>
      <c r="K4855" s="1285"/>
      <c r="L4855" s="1285"/>
    </row>
    <row r="4856" spans="1:12" ht="11.15" customHeight="1">
      <c r="A4856" s="185"/>
      <c r="B4856" s="59" t="s">
        <v>21076</v>
      </c>
      <c r="C4856" s="147" t="s">
        <v>20221</v>
      </c>
      <c r="D4856" s="701" t="s">
        <v>1129</v>
      </c>
      <c r="E4856" s="178" t="s">
        <v>20221</v>
      </c>
      <c r="F4856" s="178" t="s">
        <v>4520</v>
      </c>
      <c r="G4856" s="496" t="s">
        <v>20221</v>
      </c>
      <c r="H4856" s="994" t="s">
        <v>3907</v>
      </c>
      <c r="I4856" s="11" t="s">
        <v>6755</v>
      </c>
      <c r="J4856" s="1285"/>
      <c r="K4856" s="1285"/>
      <c r="L4856" s="1285"/>
    </row>
    <row r="4857" spans="1:12" ht="11.15" customHeight="1">
      <c r="A4857" s="185"/>
      <c r="B4857" s="59" t="s">
        <v>6754</v>
      </c>
      <c r="C4857" s="147" t="s">
        <v>20221</v>
      </c>
      <c r="D4857" s="701" t="s">
        <v>1129</v>
      </c>
      <c r="E4857" s="178">
        <v>2022</v>
      </c>
      <c r="F4857" s="178" t="s">
        <v>4520</v>
      </c>
      <c r="G4857" s="496"/>
      <c r="H4857" s="994" t="s">
        <v>20224</v>
      </c>
      <c r="I4857" s="11" t="s">
        <v>6756</v>
      </c>
      <c r="J4857" s="1285"/>
      <c r="K4857" s="1285"/>
      <c r="L4857" s="1285"/>
    </row>
    <row r="4858" spans="1:12" ht="11.15" customHeight="1">
      <c r="A4858" s="185"/>
      <c r="B4858" s="177" t="s">
        <v>4692</v>
      </c>
      <c r="C4858" s="147"/>
      <c r="D4858" s="159"/>
      <c r="E4858" s="36"/>
      <c r="F4858" s="178"/>
      <c r="G4858" s="496"/>
      <c r="H4858" s="36"/>
      <c r="I4858" s="11"/>
      <c r="J4858" s="1285"/>
      <c r="K4858" s="1285"/>
      <c r="L4858" s="1285"/>
    </row>
    <row r="4859" spans="1:12" ht="11.15" customHeight="1">
      <c r="A4859" s="185"/>
      <c r="B4859" s="59" t="s">
        <v>20784</v>
      </c>
      <c r="C4859" s="147" t="s">
        <v>20221</v>
      </c>
      <c r="D4859" s="701" t="s">
        <v>1129</v>
      </c>
      <c r="E4859" s="178">
        <v>2022</v>
      </c>
      <c r="F4859" s="178" t="s">
        <v>9658</v>
      </c>
      <c r="G4859" s="496"/>
      <c r="H4859" s="994" t="s">
        <v>20224</v>
      </c>
      <c r="I4859" s="11" t="s">
        <v>6757</v>
      </c>
      <c r="J4859" s="1285"/>
      <c r="K4859" s="1285"/>
      <c r="L4859" s="1285"/>
    </row>
    <row r="4860" spans="1:12" ht="11.15" customHeight="1">
      <c r="A4860" s="185"/>
      <c r="B4860" s="90"/>
      <c r="C4860" s="147"/>
      <c r="D4860" s="159"/>
      <c r="E4860" s="36"/>
      <c r="F4860" s="178"/>
      <c r="G4860" s="497"/>
      <c r="H4860" s="36"/>
      <c r="I4860" s="11"/>
    </row>
    <row r="4861" spans="1:12" ht="11.15" customHeight="1">
      <c r="A4861" s="185"/>
      <c r="B4861" s="413" t="s">
        <v>6758</v>
      </c>
      <c r="C4861" s="147"/>
      <c r="D4861" s="161"/>
      <c r="E4861" s="36"/>
      <c r="F4861" s="178"/>
      <c r="G4861" s="1227"/>
      <c r="H4861" s="36"/>
      <c r="I4861" s="11"/>
    </row>
    <row r="4862" spans="1:12" ht="9" customHeight="1">
      <c r="A4862" s="185"/>
      <c r="B4862" s="216" t="s">
        <v>6759</v>
      </c>
      <c r="C4862" s="147"/>
      <c r="D4862" s="159"/>
      <c r="E4862" s="36"/>
      <c r="F4862" s="178"/>
      <c r="G4862" s="1217"/>
      <c r="H4862" s="36"/>
      <c r="I4862" s="11"/>
    </row>
    <row r="4863" spans="1:12" ht="9" customHeight="1">
      <c r="A4863" s="185"/>
      <c r="B4863" s="209" t="s">
        <v>6760</v>
      </c>
      <c r="C4863" s="147"/>
      <c r="D4863" s="159"/>
      <c r="E4863" s="36"/>
      <c r="F4863" s="178"/>
      <c r="G4863" s="1217"/>
      <c r="H4863" s="36"/>
      <c r="I4863" s="11"/>
    </row>
    <row r="4864" spans="1:12" ht="9" customHeight="1">
      <c r="A4864" s="185"/>
      <c r="B4864" s="209" t="s">
        <v>6761</v>
      </c>
      <c r="C4864" s="147"/>
      <c r="D4864" s="159"/>
      <c r="E4864" s="36"/>
      <c r="F4864" s="178"/>
      <c r="G4864" s="1217"/>
      <c r="H4864" s="36"/>
      <c r="I4864" s="11"/>
    </row>
    <row r="4865" spans="1:12" ht="9" customHeight="1" thickBot="1">
      <c r="A4865" s="185"/>
      <c r="B4865" s="209" t="s">
        <v>6762</v>
      </c>
      <c r="C4865" s="147"/>
      <c r="D4865" s="159"/>
      <c r="E4865" s="36"/>
      <c r="F4865" s="178"/>
      <c r="G4865" s="1217"/>
      <c r="H4865" s="36"/>
      <c r="I4865" s="11"/>
    </row>
    <row r="4866" spans="1:12" ht="11.15" customHeight="1" thickBot="1">
      <c r="A4866" s="184" t="s">
        <v>6763</v>
      </c>
      <c r="B4866" s="154" t="s">
        <v>6764</v>
      </c>
      <c r="C4866" s="147"/>
      <c r="D4866" s="161"/>
      <c r="E4866" s="36"/>
      <c r="F4866" s="178"/>
      <c r="G4866" s="1227"/>
      <c r="H4866" s="36"/>
      <c r="I4866" s="11"/>
    </row>
    <row r="4867" spans="1:12" ht="11.15" customHeight="1">
      <c r="A4867" s="29" t="s">
        <v>6765</v>
      </c>
      <c r="B4867" s="59" t="s">
        <v>21078</v>
      </c>
      <c r="C4867" s="147" t="s">
        <v>20221</v>
      </c>
      <c r="D4867" s="701" t="s">
        <v>1129</v>
      </c>
      <c r="E4867" s="178">
        <v>2022</v>
      </c>
      <c r="F4867" s="178" t="s">
        <v>4520</v>
      </c>
      <c r="G4867" s="496"/>
      <c r="H4867" s="994" t="s">
        <v>20221</v>
      </c>
      <c r="I4867" s="11" t="s">
        <v>6766</v>
      </c>
      <c r="J4867" s="1285"/>
      <c r="K4867" s="1285"/>
      <c r="L4867" s="1285"/>
    </row>
    <row r="4868" spans="1:12" ht="11.15" customHeight="1">
      <c r="A4868" s="29" t="s">
        <v>6767</v>
      </c>
      <c r="B4868" s="59" t="s">
        <v>21078</v>
      </c>
      <c r="C4868" s="147" t="s">
        <v>20221</v>
      </c>
      <c r="D4868" s="701" t="s">
        <v>1129</v>
      </c>
      <c r="E4868" s="178">
        <v>2021</v>
      </c>
      <c r="F4868" s="178" t="s">
        <v>4520</v>
      </c>
      <c r="G4868" s="496"/>
      <c r="H4868" s="994" t="s">
        <v>20221</v>
      </c>
      <c r="I4868" s="11" t="s">
        <v>6768</v>
      </c>
      <c r="J4868" s="1285"/>
      <c r="K4868" s="1285"/>
      <c r="L4868" s="1285"/>
    </row>
    <row r="4869" spans="1:12" ht="11.15" customHeight="1">
      <c r="A4869" s="181" t="s">
        <v>6769</v>
      </c>
      <c r="B4869" s="59" t="s">
        <v>21078</v>
      </c>
      <c r="C4869" s="147" t="s">
        <v>20221</v>
      </c>
      <c r="D4869" s="701" t="s">
        <v>1129</v>
      </c>
      <c r="E4869" s="178">
        <v>2020</v>
      </c>
      <c r="F4869" s="178" t="s">
        <v>4520</v>
      </c>
      <c r="G4869" s="496"/>
      <c r="H4869" s="994" t="s">
        <v>20221</v>
      </c>
      <c r="I4869" s="11" t="s">
        <v>6770</v>
      </c>
      <c r="J4869" s="1285"/>
      <c r="K4869" s="1285"/>
      <c r="L4869" s="1285"/>
    </row>
    <row r="4870" spans="1:12" ht="11.15" customHeight="1">
      <c r="A4870" s="29" t="s">
        <v>6771</v>
      </c>
      <c r="B4870" s="59" t="s">
        <v>21078</v>
      </c>
      <c r="C4870" s="147" t="s">
        <v>20221</v>
      </c>
      <c r="D4870" s="701" t="s">
        <v>1129</v>
      </c>
      <c r="E4870" s="178">
        <v>2019</v>
      </c>
      <c r="F4870" s="178" t="s">
        <v>4520</v>
      </c>
      <c r="G4870" s="496"/>
      <c r="H4870" s="994" t="s">
        <v>20221</v>
      </c>
      <c r="I4870" s="11" t="s">
        <v>6772</v>
      </c>
      <c r="J4870" s="1285"/>
      <c r="K4870" s="1285"/>
      <c r="L4870" s="1285"/>
    </row>
    <row r="4871" spans="1:12" ht="11.15" customHeight="1">
      <c r="A4871" s="181" t="s">
        <v>6773</v>
      </c>
      <c r="B4871" s="59" t="s">
        <v>21078</v>
      </c>
      <c r="C4871" s="147" t="s">
        <v>20221</v>
      </c>
      <c r="D4871" s="701" t="s">
        <v>1129</v>
      </c>
      <c r="E4871" s="178">
        <v>2018</v>
      </c>
      <c r="F4871" s="178" t="s">
        <v>4520</v>
      </c>
      <c r="G4871" s="496"/>
      <c r="H4871" s="994" t="s">
        <v>20221</v>
      </c>
      <c r="I4871" s="11" t="s">
        <v>6774</v>
      </c>
      <c r="J4871" s="1285"/>
      <c r="K4871" s="1285"/>
      <c r="L4871" s="1285"/>
    </row>
    <row r="4872" spans="1:12" ht="11.15" customHeight="1">
      <c r="A4872" s="129" t="s">
        <v>1077</v>
      </c>
      <c r="B4872" s="154" t="s">
        <v>6775</v>
      </c>
      <c r="C4872" s="147"/>
      <c r="D4872" s="161"/>
      <c r="E4872" s="36"/>
      <c r="F4872" s="178"/>
      <c r="G4872" s="1217"/>
      <c r="H4872" s="36"/>
      <c r="I4872" s="11"/>
    </row>
    <row r="4873" spans="1:12" ht="11.15" customHeight="1">
      <c r="A4873" s="162" t="s">
        <v>6776</v>
      </c>
      <c r="B4873" s="59" t="s">
        <v>21079</v>
      </c>
      <c r="C4873" s="147" t="s">
        <v>20221</v>
      </c>
      <c r="D4873" s="701" t="s">
        <v>1129</v>
      </c>
      <c r="E4873" s="178">
        <v>2022</v>
      </c>
      <c r="F4873" s="178" t="s">
        <v>4520</v>
      </c>
      <c r="G4873" s="496"/>
      <c r="H4873" s="994" t="s">
        <v>20221</v>
      </c>
      <c r="I4873" s="11" t="s">
        <v>6777</v>
      </c>
      <c r="J4873" s="1285"/>
      <c r="K4873" s="1285"/>
      <c r="L4873" s="1285"/>
    </row>
    <row r="4874" spans="1:12" ht="11.15" customHeight="1">
      <c r="A4874" s="162" t="s">
        <v>6778</v>
      </c>
      <c r="B4874" s="59" t="s">
        <v>21079</v>
      </c>
      <c r="C4874" s="147" t="s">
        <v>20221</v>
      </c>
      <c r="D4874" s="701" t="s">
        <v>1129</v>
      </c>
      <c r="E4874" s="178">
        <v>2021</v>
      </c>
      <c r="F4874" s="178" t="s">
        <v>4520</v>
      </c>
      <c r="G4874" s="496"/>
      <c r="H4874" s="994" t="s">
        <v>20221</v>
      </c>
      <c r="I4874" s="11" t="s">
        <v>6779</v>
      </c>
      <c r="J4874" s="1285"/>
      <c r="K4874" s="1285"/>
      <c r="L4874" s="1285"/>
    </row>
    <row r="4875" spans="1:12" ht="11.15" customHeight="1">
      <c r="A4875" s="162" t="s">
        <v>6780</v>
      </c>
      <c r="B4875" s="59" t="s">
        <v>21079</v>
      </c>
      <c r="C4875" s="147" t="s">
        <v>20221</v>
      </c>
      <c r="D4875" s="701" t="s">
        <v>1129</v>
      </c>
      <c r="E4875" s="178">
        <v>2020</v>
      </c>
      <c r="F4875" s="178" t="s">
        <v>4520</v>
      </c>
      <c r="G4875" s="496"/>
      <c r="H4875" s="994" t="s">
        <v>20221</v>
      </c>
      <c r="I4875" s="11" t="s">
        <v>6781</v>
      </c>
      <c r="J4875" s="1285"/>
      <c r="K4875" s="1285"/>
      <c r="L4875" s="1285"/>
    </row>
    <row r="4876" spans="1:12" ht="11.15" customHeight="1">
      <c r="A4876" s="162" t="s">
        <v>6782</v>
      </c>
      <c r="B4876" s="59" t="s">
        <v>21079</v>
      </c>
      <c r="C4876" s="147" t="s">
        <v>20221</v>
      </c>
      <c r="D4876" s="701" t="s">
        <v>1129</v>
      </c>
      <c r="E4876" s="178">
        <v>2019</v>
      </c>
      <c r="F4876" s="178" t="s">
        <v>4520</v>
      </c>
      <c r="G4876" s="496"/>
      <c r="H4876" s="994" t="s">
        <v>20221</v>
      </c>
      <c r="I4876" s="11" t="s">
        <v>6783</v>
      </c>
      <c r="J4876" s="1285"/>
      <c r="K4876" s="1285"/>
      <c r="L4876" s="1285"/>
    </row>
    <row r="4877" spans="1:12" ht="11.15" customHeight="1">
      <c r="A4877" s="162" t="s">
        <v>6784</v>
      </c>
      <c r="B4877" s="154" t="s">
        <v>5132</v>
      </c>
      <c r="C4877" s="147"/>
      <c r="D4877" s="161"/>
      <c r="E4877" s="36"/>
      <c r="F4877" s="178"/>
      <c r="G4877" s="453"/>
      <c r="H4877" s="36"/>
      <c r="I4877" s="11"/>
    </row>
    <row r="4878" spans="1:12" ht="11.15" customHeight="1">
      <c r="A4878" s="162" t="s">
        <v>6785</v>
      </c>
      <c r="B4878" s="59" t="s">
        <v>21080</v>
      </c>
      <c r="C4878" s="147" t="s">
        <v>20221</v>
      </c>
      <c r="D4878" s="284" t="s">
        <v>897</v>
      </c>
      <c r="E4878" s="178">
        <v>2022</v>
      </c>
      <c r="F4878" s="178" t="s">
        <v>4520</v>
      </c>
      <c r="G4878" s="496"/>
      <c r="H4878" s="994" t="s">
        <v>20221</v>
      </c>
      <c r="I4878" s="11" t="s">
        <v>6786</v>
      </c>
      <c r="J4878" s="1285"/>
      <c r="K4878" s="1285"/>
      <c r="L4878" s="1285"/>
    </row>
    <row r="4879" spans="1:12" ht="11.15" customHeight="1">
      <c r="A4879" s="129" t="s">
        <v>6076</v>
      </c>
      <c r="B4879" s="59" t="s">
        <v>21080</v>
      </c>
      <c r="C4879" s="147" t="s">
        <v>20221</v>
      </c>
      <c r="D4879" s="284" t="s">
        <v>897</v>
      </c>
      <c r="E4879" s="178">
        <v>2021</v>
      </c>
      <c r="F4879" s="178" t="s">
        <v>4520</v>
      </c>
      <c r="G4879" s="496"/>
      <c r="H4879" s="994" t="s">
        <v>20221</v>
      </c>
      <c r="I4879" s="11" t="s">
        <v>6787</v>
      </c>
      <c r="J4879" s="1285"/>
      <c r="K4879" s="1285"/>
      <c r="L4879" s="1285"/>
    </row>
    <row r="4880" spans="1:12" ht="11.15" customHeight="1">
      <c r="A4880" s="162" t="s">
        <v>6788</v>
      </c>
      <c r="B4880" s="59" t="s">
        <v>21080</v>
      </c>
      <c r="C4880" s="147" t="s">
        <v>20221</v>
      </c>
      <c r="D4880" s="284" t="s">
        <v>897</v>
      </c>
      <c r="E4880" s="178">
        <v>2020</v>
      </c>
      <c r="F4880" s="178" t="s">
        <v>4520</v>
      </c>
      <c r="G4880" s="496"/>
      <c r="H4880" s="994" t="s">
        <v>20221</v>
      </c>
      <c r="I4880" s="11" t="s">
        <v>6789</v>
      </c>
      <c r="J4880" s="1285"/>
      <c r="K4880" s="1285"/>
      <c r="L4880" s="1285"/>
    </row>
    <row r="4881" spans="1:12" ht="11.15" customHeight="1">
      <c r="A4881" s="162" t="s">
        <v>6790</v>
      </c>
      <c r="B4881" s="59" t="s">
        <v>21080</v>
      </c>
      <c r="C4881" s="147" t="s">
        <v>20221</v>
      </c>
      <c r="D4881" s="284" t="s">
        <v>897</v>
      </c>
      <c r="E4881" s="178">
        <v>2019</v>
      </c>
      <c r="F4881" s="178" t="s">
        <v>4520</v>
      </c>
      <c r="G4881" s="496"/>
      <c r="H4881" s="994" t="s">
        <v>20221</v>
      </c>
      <c r="I4881" s="11" t="s">
        <v>6791</v>
      </c>
      <c r="J4881" s="1285"/>
      <c r="K4881" s="1285"/>
      <c r="L4881" s="1285"/>
    </row>
    <row r="4882" spans="1:12" ht="11.15" customHeight="1">
      <c r="A4882" s="162" t="s">
        <v>6792</v>
      </c>
      <c r="B4882" s="59" t="s">
        <v>21080</v>
      </c>
      <c r="C4882" s="147" t="s">
        <v>20221</v>
      </c>
      <c r="D4882" s="284" t="s">
        <v>897</v>
      </c>
      <c r="E4882" s="178">
        <v>2018</v>
      </c>
      <c r="F4882" s="178" t="s">
        <v>4520</v>
      </c>
      <c r="G4882" s="496"/>
      <c r="H4882" s="994" t="s">
        <v>20221</v>
      </c>
      <c r="I4882" s="11" t="s">
        <v>6793</v>
      </c>
      <c r="J4882" s="1285"/>
      <c r="K4882" s="1285"/>
      <c r="L4882" s="1285"/>
    </row>
    <row r="4883" spans="1:12" ht="11.15" customHeight="1">
      <c r="A4883" s="162" t="s">
        <v>6794</v>
      </c>
      <c r="B4883" s="59" t="s">
        <v>21080</v>
      </c>
      <c r="C4883" s="147" t="s">
        <v>20221</v>
      </c>
      <c r="D4883" s="284" t="s">
        <v>897</v>
      </c>
      <c r="E4883" s="178">
        <v>2017</v>
      </c>
      <c r="F4883" s="178" t="s">
        <v>4520</v>
      </c>
      <c r="G4883" s="496"/>
      <c r="H4883" s="994" t="s">
        <v>20221</v>
      </c>
      <c r="I4883" s="11" t="s">
        <v>6795</v>
      </c>
      <c r="J4883" s="1285"/>
      <c r="K4883" s="1285"/>
      <c r="L4883" s="1285"/>
    </row>
    <row r="4884" spans="1:12" ht="11.15" customHeight="1">
      <c r="A4884" s="162" t="s">
        <v>6796</v>
      </c>
      <c r="B4884" s="59" t="s">
        <v>21080</v>
      </c>
      <c r="C4884" s="147" t="s">
        <v>20221</v>
      </c>
      <c r="D4884" s="284" t="s">
        <v>897</v>
      </c>
      <c r="E4884" s="178">
        <v>2016</v>
      </c>
      <c r="F4884" s="178" t="s">
        <v>4520</v>
      </c>
      <c r="G4884" s="496"/>
      <c r="H4884" s="994" t="s">
        <v>20221</v>
      </c>
      <c r="I4884" s="11" t="s">
        <v>6797</v>
      </c>
      <c r="J4884" s="1285"/>
      <c r="K4884" s="1285"/>
      <c r="L4884" s="1285"/>
    </row>
    <row r="4885" spans="1:12" ht="11.15" customHeight="1">
      <c r="A4885" s="162" t="s">
        <v>6798</v>
      </c>
      <c r="B4885" s="59" t="s">
        <v>21080</v>
      </c>
      <c r="C4885" s="147" t="s">
        <v>20221</v>
      </c>
      <c r="D4885" s="284" t="s">
        <v>897</v>
      </c>
      <c r="E4885" s="178">
        <v>2015</v>
      </c>
      <c r="F4885" s="178" t="s">
        <v>4520</v>
      </c>
      <c r="G4885" s="496"/>
      <c r="H4885" s="994" t="s">
        <v>20221</v>
      </c>
      <c r="I4885" s="11" t="s">
        <v>6799</v>
      </c>
      <c r="J4885" s="1285"/>
      <c r="K4885" s="1285"/>
      <c r="L4885" s="1285"/>
    </row>
    <row r="4886" spans="1:12" ht="11.15" customHeight="1">
      <c r="A4886" s="162" t="s">
        <v>6800</v>
      </c>
      <c r="B4886" s="59" t="s">
        <v>21080</v>
      </c>
      <c r="C4886" s="147" t="s">
        <v>20221</v>
      </c>
      <c r="D4886" s="284" t="s">
        <v>897</v>
      </c>
      <c r="E4886" s="178">
        <v>2014</v>
      </c>
      <c r="F4886" s="178" t="s">
        <v>4520</v>
      </c>
      <c r="G4886" s="496"/>
      <c r="H4886" s="994" t="s">
        <v>20221</v>
      </c>
      <c r="I4886" s="11" t="s">
        <v>6801</v>
      </c>
      <c r="J4886" s="1285"/>
      <c r="K4886" s="1285"/>
      <c r="L4886" s="1285"/>
    </row>
    <row r="4887" spans="1:12" ht="11.15" customHeight="1">
      <c r="A4887" s="162" t="s">
        <v>6802</v>
      </c>
      <c r="B4887" s="59" t="s">
        <v>21080</v>
      </c>
      <c r="C4887" s="147" t="s">
        <v>20221</v>
      </c>
      <c r="D4887" s="284" t="s">
        <v>897</v>
      </c>
      <c r="E4887" s="178">
        <v>2013</v>
      </c>
      <c r="F4887" s="178" t="s">
        <v>4520</v>
      </c>
      <c r="G4887" s="496"/>
      <c r="H4887" s="994" t="s">
        <v>20221</v>
      </c>
      <c r="I4887" s="11" t="s">
        <v>6803</v>
      </c>
      <c r="J4887" s="1285"/>
      <c r="K4887" s="1285"/>
      <c r="L4887" s="1285"/>
    </row>
    <row r="4888" spans="1:12" ht="11.15" customHeight="1">
      <c r="A4888" s="29" t="s">
        <v>6804</v>
      </c>
      <c r="B4888" s="59" t="s">
        <v>21080</v>
      </c>
      <c r="C4888" s="147" t="s">
        <v>20221</v>
      </c>
      <c r="D4888" s="284" t="s">
        <v>897</v>
      </c>
      <c r="E4888" s="178">
        <v>2012</v>
      </c>
      <c r="F4888" s="178" t="s">
        <v>4520</v>
      </c>
      <c r="G4888" s="496"/>
      <c r="H4888" s="994" t="s">
        <v>20221</v>
      </c>
      <c r="I4888" s="11" t="s">
        <v>6805</v>
      </c>
      <c r="J4888" s="1285"/>
      <c r="K4888" s="1285"/>
      <c r="L4888" s="1285"/>
    </row>
    <row r="4889" spans="1:12" ht="11.15" customHeight="1">
      <c r="A4889" s="212" t="s">
        <v>6806</v>
      </c>
      <c r="B4889" s="59" t="s">
        <v>21080</v>
      </c>
      <c r="C4889" s="147" t="s">
        <v>20221</v>
      </c>
      <c r="D4889" s="284" t="s">
        <v>897</v>
      </c>
      <c r="E4889" s="178">
        <v>2011</v>
      </c>
      <c r="F4889" s="178" t="s">
        <v>4520</v>
      </c>
      <c r="G4889" s="496"/>
      <c r="H4889" s="994" t="s">
        <v>20221</v>
      </c>
      <c r="I4889" s="11" t="s">
        <v>6807</v>
      </c>
      <c r="J4889" s="1285"/>
      <c r="K4889" s="1285"/>
      <c r="L4889" s="1285"/>
    </row>
    <row r="4890" spans="1:12" ht="11.15" customHeight="1">
      <c r="A4890" s="169" t="s">
        <v>6808</v>
      </c>
      <c r="B4890" s="154" t="s">
        <v>6809</v>
      </c>
      <c r="C4890" s="147"/>
      <c r="D4890" s="161"/>
      <c r="E4890" s="36"/>
      <c r="F4890" s="178"/>
      <c r="G4890" s="453"/>
      <c r="H4890" s="36"/>
      <c r="I4890" s="11"/>
    </row>
    <row r="4891" spans="1:12" ht="11.15" customHeight="1">
      <c r="A4891" s="481" t="s">
        <v>6810</v>
      </c>
      <c r="B4891" s="59" t="s">
        <v>21081</v>
      </c>
      <c r="C4891" s="147" t="s">
        <v>20221</v>
      </c>
      <c r="D4891" s="284" t="s">
        <v>897</v>
      </c>
      <c r="E4891" s="178">
        <v>2022</v>
      </c>
      <c r="F4891" s="178" t="s">
        <v>4520</v>
      </c>
      <c r="G4891" s="496"/>
      <c r="H4891" s="994" t="s">
        <v>20221</v>
      </c>
      <c r="I4891" s="11" t="s">
        <v>6811</v>
      </c>
      <c r="J4891" s="1285"/>
      <c r="K4891" s="1285"/>
      <c r="L4891" s="1285"/>
    </row>
    <row r="4892" spans="1:12" ht="11.15" customHeight="1">
      <c r="A4892" s="29"/>
      <c r="B4892" s="59" t="s">
        <v>21081</v>
      </c>
      <c r="C4892" s="147" t="s">
        <v>20221</v>
      </c>
      <c r="D4892" s="284" t="s">
        <v>897</v>
      </c>
      <c r="E4892" s="178">
        <v>2021</v>
      </c>
      <c r="F4892" s="178" t="s">
        <v>4520</v>
      </c>
      <c r="G4892" s="496"/>
      <c r="H4892" s="994" t="s">
        <v>20221</v>
      </c>
      <c r="I4892" s="11" t="s">
        <v>6812</v>
      </c>
      <c r="J4892" s="1285"/>
      <c r="K4892" s="1285"/>
      <c r="L4892" s="1285"/>
    </row>
    <row r="4893" spans="1:12" ht="11.15" customHeight="1">
      <c r="A4893" s="185"/>
      <c r="B4893" s="59" t="s">
        <v>21081</v>
      </c>
      <c r="C4893" s="147" t="s">
        <v>20221</v>
      </c>
      <c r="D4893" s="284" t="s">
        <v>897</v>
      </c>
      <c r="E4893" s="178">
        <v>2020</v>
      </c>
      <c r="F4893" s="178" t="s">
        <v>4520</v>
      </c>
      <c r="G4893" s="496"/>
      <c r="H4893" s="994" t="s">
        <v>20221</v>
      </c>
      <c r="I4893" s="11" t="s">
        <v>6813</v>
      </c>
      <c r="J4893" s="1285"/>
      <c r="K4893" s="1285"/>
      <c r="L4893" s="1285"/>
    </row>
    <row r="4894" spans="1:12" ht="11.15" customHeight="1">
      <c r="A4894" s="185"/>
      <c r="B4894" s="59" t="s">
        <v>21081</v>
      </c>
      <c r="C4894" s="147" t="s">
        <v>20221</v>
      </c>
      <c r="D4894" s="284" t="s">
        <v>897</v>
      </c>
      <c r="E4894" s="178">
        <v>2019</v>
      </c>
      <c r="F4894" s="178" t="s">
        <v>4520</v>
      </c>
      <c r="G4894" s="496"/>
      <c r="H4894" s="994" t="s">
        <v>20221</v>
      </c>
      <c r="I4894" s="11" t="s">
        <v>6814</v>
      </c>
      <c r="J4894" s="1285"/>
      <c r="K4894" s="1285"/>
      <c r="L4894" s="1285"/>
    </row>
    <row r="4895" spans="1:12" ht="11.15" customHeight="1">
      <c r="A4895" s="185"/>
      <c r="B4895" s="59" t="s">
        <v>21081</v>
      </c>
      <c r="C4895" s="147" t="s">
        <v>20221</v>
      </c>
      <c r="D4895" s="284" t="s">
        <v>897</v>
      </c>
      <c r="E4895" s="178">
        <v>2018</v>
      </c>
      <c r="F4895" s="178" t="s">
        <v>4520</v>
      </c>
      <c r="G4895" s="496"/>
      <c r="H4895" s="994" t="s">
        <v>20221</v>
      </c>
      <c r="I4895" s="11" t="s">
        <v>6815</v>
      </c>
      <c r="J4895" s="1285"/>
      <c r="K4895" s="1285"/>
      <c r="L4895" s="1285"/>
    </row>
    <row r="4896" spans="1:12" ht="11.15" customHeight="1">
      <c r="A4896" s="185"/>
      <c r="B4896" s="59" t="s">
        <v>21081</v>
      </c>
      <c r="C4896" s="147" t="s">
        <v>20221</v>
      </c>
      <c r="D4896" s="284" t="s">
        <v>897</v>
      </c>
      <c r="E4896" s="178">
        <v>2017</v>
      </c>
      <c r="F4896" s="178" t="s">
        <v>4520</v>
      </c>
      <c r="G4896" s="496"/>
      <c r="H4896" s="994" t="s">
        <v>20221</v>
      </c>
      <c r="I4896" s="11" t="s">
        <v>6816</v>
      </c>
      <c r="J4896" s="1285"/>
      <c r="K4896" s="1285"/>
      <c r="L4896" s="1285"/>
    </row>
    <row r="4897" spans="1:12" ht="11.15" customHeight="1">
      <c r="A4897" s="185"/>
      <c r="B4897" s="59" t="s">
        <v>21081</v>
      </c>
      <c r="C4897" s="147" t="s">
        <v>20221</v>
      </c>
      <c r="D4897" s="284" t="s">
        <v>897</v>
      </c>
      <c r="E4897" s="178">
        <v>2015</v>
      </c>
      <c r="F4897" s="178" t="s">
        <v>4520</v>
      </c>
      <c r="G4897" s="496"/>
      <c r="H4897" s="994" t="s">
        <v>20224</v>
      </c>
      <c r="I4897" s="11" t="s">
        <v>6817</v>
      </c>
      <c r="J4897" s="1285"/>
      <c r="K4897" s="1285"/>
      <c r="L4897" s="1285"/>
    </row>
    <row r="4898" spans="1:12" ht="11.15" customHeight="1">
      <c r="A4898" s="185"/>
      <c r="B4898" s="59" t="s">
        <v>21082</v>
      </c>
      <c r="C4898" s="147" t="s">
        <v>20221</v>
      </c>
      <c r="D4898" s="284" t="s">
        <v>897</v>
      </c>
      <c r="E4898" s="178">
        <v>2013</v>
      </c>
      <c r="F4898" s="178" t="s">
        <v>4520</v>
      </c>
      <c r="G4898" s="496"/>
      <c r="H4898" s="994" t="s">
        <v>20221</v>
      </c>
      <c r="I4898" s="11" t="s">
        <v>6818</v>
      </c>
      <c r="J4898" s="1285"/>
      <c r="K4898" s="1285"/>
      <c r="L4898" s="1285"/>
    </row>
    <row r="4899" spans="1:12" ht="11.15" customHeight="1">
      <c r="A4899" s="185"/>
      <c r="B4899" s="59" t="s">
        <v>21082</v>
      </c>
      <c r="C4899" s="147" t="s">
        <v>20221</v>
      </c>
      <c r="D4899" s="284" t="s">
        <v>897</v>
      </c>
      <c r="E4899" s="178">
        <v>2012</v>
      </c>
      <c r="F4899" s="178" t="s">
        <v>4520</v>
      </c>
      <c r="G4899" s="496"/>
      <c r="H4899" s="994" t="s">
        <v>20221</v>
      </c>
      <c r="I4899" s="11" t="s">
        <v>6819</v>
      </c>
      <c r="J4899" s="1285"/>
      <c r="K4899" s="1285"/>
      <c r="L4899" s="1285"/>
    </row>
    <row r="4900" spans="1:12" ht="11.15" customHeight="1">
      <c r="A4900" s="185"/>
      <c r="B4900" s="59" t="s">
        <v>21082</v>
      </c>
      <c r="C4900" s="147" t="s">
        <v>20221</v>
      </c>
      <c r="D4900" s="284" t="s">
        <v>897</v>
      </c>
      <c r="E4900" s="178">
        <v>2011</v>
      </c>
      <c r="F4900" s="178" t="s">
        <v>4520</v>
      </c>
      <c r="G4900" s="496"/>
      <c r="H4900" s="994" t="s">
        <v>20221</v>
      </c>
      <c r="I4900" s="11" t="s">
        <v>6820</v>
      </c>
      <c r="J4900" s="1285"/>
      <c r="K4900" s="1285"/>
      <c r="L4900" s="1285"/>
    </row>
    <row r="4901" spans="1:12" ht="11.15" customHeight="1">
      <c r="A4901" s="185"/>
      <c r="B4901" s="59" t="s">
        <v>21082</v>
      </c>
      <c r="C4901" s="147" t="s">
        <v>20221</v>
      </c>
      <c r="D4901" s="284" t="s">
        <v>897</v>
      </c>
      <c r="E4901" s="178">
        <v>2003</v>
      </c>
      <c r="F4901" s="178" t="s">
        <v>23395</v>
      </c>
      <c r="G4901" s="496"/>
      <c r="H4901" s="994" t="s">
        <v>20221</v>
      </c>
      <c r="I4901" s="11" t="s">
        <v>6821</v>
      </c>
      <c r="J4901" s="1285"/>
      <c r="K4901" s="1285"/>
      <c r="L4901" s="1285"/>
    </row>
    <row r="4902" spans="1:12" ht="11.15" customHeight="1">
      <c r="A4902" s="185"/>
      <c r="B4902" s="59" t="s">
        <v>21083</v>
      </c>
      <c r="C4902" s="147" t="s">
        <v>20221</v>
      </c>
      <c r="D4902" s="284" t="s">
        <v>897</v>
      </c>
      <c r="E4902" s="178">
        <v>2006</v>
      </c>
      <c r="F4902" s="178" t="s">
        <v>23395</v>
      </c>
      <c r="G4902" s="496"/>
      <c r="H4902" s="994" t="s">
        <v>20221</v>
      </c>
      <c r="I4902" s="11" t="s">
        <v>6822</v>
      </c>
      <c r="J4902" s="1285"/>
      <c r="K4902" s="1285"/>
      <c r="L4902" s="1285"/>
    </row>
    <row r="4903" spans="1:12" ht="11.15" customHeight="1">
      <c r="A4903" s="185"/>
      <c r="B4903" s="59" t="s">
        <v>21083</v>
      </c>
      <c r="C4903" s="147" t="s">
        <v>20221</v>
      </c>
      <c r="D4903" s="284" t="s">
        <v>897</v>
      </c>
      <c r="E4903" s="178">
        <v>2004</v>
      </c>
      <c r="F4903" s="178" t="s">
        <v>23395</v>
      </c>
      <c r="G4903" s="496"/>
      <c r="H4903" s="994" t="s">
        <v>20221</v>
      </c>
      <c r="I4903" s="11" t="s">
        <v>6823</v>
      </c>
      <c r="J4903" s="1285"/>
      <c r="K4903" s="1285"/>
      <c r="L4903" s="1285"/>
    </row>
    <row r="4904" spans="1:12" ht="11.15" customHeight="1">
      <c r="A4904" s="185"/>
      <c r="B4904" s="154" t="s">
        <v>6824</v>
      </c>
      <c r="C4904" s="147"/>
      <c r="D4904" s="161"/>
      <c r="E4904" s="36"/>
      <c r="F4904" s="178"/>
      <c r="G4904" s="1217"/>
      <c r="H4904" s="36"/>
      <c r="I4904" s="11"/>
    </row>
    <row r="4905" spans="1:12" ht="11.15" customHeight="1">
      <c r="A4905" s="185"/>
      <c r="B4905" s="59" t="s">
        <v>21084</v>
      </c>
      <c r="C4905" s="147" t="s">
        <v>20221</v>
      </c>
      <c r="D4905" s="284" t="s">
        <v>897</v>
      </c>
      <c r="E4905" s="178">
        <v>2022</v>
      </c>
      <c r="F4905" s="178" t="s">
        <v>4520</v>
      </c>
      <c r="G4905" s="496"/>
      <c r="H4905" s="994" t="s">
        <v>20221</v>
      </c>
      <c r="I4905" s="11" t="s">
        <v>6825</v>
      </c>
      <c r="J4905" s="1285"/>
      <c r="K4905" s="1285"/>
      <c r="L4905" s="1285"/>
    </row>
    <row r="4906" spans="1:12" ht="11.15" customHeight="1">
      <c r="A4906" s="185"/>
      <c r="B4906" s="59" t="s">
        <v>21084</v>
      </c>
      <c r="C4906" s="147" t="s">
        <v>20221</v>
      </c>
      <c r="D4906" s="284" t="s">
        <v>897</v>
      </c>
      <c r="E4906" s="178">
        <v>2021</v>
      </c>
      <c r="F4906" s="178" t="s">
        <v>4520</v>
      </c>
      <c r="G4906" s="496"/>
      <c r="H4906" s="994" t="s">
        <v>20221</v>
      </c>
      <c r="I4906" s="11" t="s">
        <v>6826</v>
      </c>
      <c r="J4906" s="1285"/>
      <c r="K4906" s="1285"/>
      <c r="L4906" s="1285"/>
    </row>
    <row r="4907" spans="1:12" ht="11.15" customHeight="1">
      <c r="A4907" s="185"/>
      <c r="B4907" s="59" t="s">
        <v>21084</v>
      </c>
      <c r="C4907" s="147" t="s">
        <v>20221</v>
      </c>
      <c r="D4907" s="284" t="s">
        <v>897</v>
      </c>
      <c r="E4907" s="178">
        <v>2020</v>
      </c>
      <c r="F4907" s="178" t="s">
        <v>4520</v>
      </c>
      <c r="G4907" s="496"/>
      <c r="H4907" s="994" t="s">
        <v>20221</v>
      </c>
      <c r="I4907" s="11" t="s">
        <v>6827</v>
      </c>
      <c r="J4907" s="1285"/>
      <c r="K4907" s="1285"/>
      <c r="L4907" s="1285"/>
    </row>
    <row r="4908" spans="1:12" ht="11.15" customHeight="1">
      <c r="A4908" s="185"/>
      <c r="B4908" s="59" t="s">
        <v>21084</v>
      </c>
      <c r="C4908" s="147" t="s">
        <v>20221</v>
      </c>
      <c r="D4908" s="284" t="s">
        <v>897</v>
      </c>
      <c r="E4908" s="178">
        <v>2019</v>
      </c>
      <c r="F4908" s="178" t="s">
        <v>4520</v>
      </c>
      <c r="G4908" s="496"/>
      <c r="H4908" s="994" t="s">
        <v>20221</v>
      </c>
      <c r="I4908" s="11" t="s">
        <v>6828</v>
      </c>
      <c r="J4908" s="1285"/>
      <c r="K4908" s="1285"/>
      <c r="L4908" s="1285"/>
    </row>
    <row r="4909" spans="1:12" ht="11.15" customHeight="1">
      <c r="A4909" s="185"/>
      <c r="B4909" s="59" t="s">
        <v>21084</v>
      </c>
      <c r="C4909" s="147" t="s">
        <v>20221</v>
      </c>
      <c r="D4909" s="284" t="s">
        <v>897</v>
      </c>
      <c r="E4909" s="178">
        <v>2018</v>
      </c>
      <c r="F4909" s="178" t="s">
        <v>4520</v>
      </c>
      <c r="G4909" s="496"/>
      <c r="H4909" s="994" t="s">
        <v>20221</v>
      </c>
      <c r="I4909" s="11" t="s">
        <v>6829</v>
      </c>
      <c r="J4909" s="1285"/>
      <c r="K4909" s="1285"/>
      <c r="L4909" s="1285"/>
    </row>
    <row r="4910" spans="1:12" ht="11.15" customHeight="1">
      <c r="A4910" s="185"/>
      <c r="B4910" s="59" t="s">
        <v>21084</v>
      </c>
      <c r="C4910" s="147" t="s">
        <v>20221</v>
      </c>
      <c r="D4910" s="284" t="s">
        <v>897</v>
      </c>
      <c r="E4910" s="178">
        <v>2017</v>
      </c>
      <c r="F4910" s="178" t="s">
        <v>4520</v>
      </c>
      <c r="G4910" s="496"/>
      <c r="H4910" s="994" t="s">
        <v>20221</v>
      </c>
      <c r="I4910" s="11" t="s">
        <v>6830</v>
      </c>
      <c r="J4910" s="1285"/>
      <c r="K4910" s="1285"/>
      <c r="L4910" s="1285"/>
    </row>
    <row r="4911" spans="1:12" ht="11.15" customHeight="1">
      <c r="A4911" s="185"/>
      <c r="B4911" s="59" t="s">
        <v>21084</v>
      </c>
      <c r="C4911" s="147" t="s">
        <v>20221</v>
      </c>
      <c r="D4911" s="284" t="s">
        <v>897</v>
      </c>
      <c r="E4911" s="178">
        <v>2016</v>
      </c>
      <c r="F4911" s="178" t="s">
        <v>4520</v>
      </c>
      <c r="G4911" s="496"/>
      <c r="H4911" s="994" t="s">
        <v>20221</v>
      </c>
      <c r="I4911" s="11" t="s">
        <v>6831</v>
      </c>
      <c r="J4911" s="1285"/>
      <c r="K4911" s="1285"/>
      <c r="L4911" s="1285"/>
    </row>
    <row r="4912" spans="1:12" ht="11.15" customHeight="1">
      <c r="A4912" s="185"/>
      <c r="B4912" s="59" t="s">
        <v>21084</v>
      </c>
      <c r="C4912" s="147" t="s">
        <v>20221</v>
      </c>
      <c r="D4912" s="284" t="s">
        <v>897</v>
      </c>
      <c r="E4912" s="178">
        <v>2015</v>
      </c>
      <c r="F4912" s="178" t="s">
        <v>4520</v>
      </c>
      <c r="G4912" s="496"/>
      <c r="H4912" s="994" t="s">
        <v>20221</v>
      </c>
      <c r="I4912" s="11" t="s">
        <v>6832</v>
      </c>
      <c r="J4912" s="1285"/>
      <c r="K4912" s="1285"/>
      <c r="L4912" s="1285"/>
    </row>
    <row r="4913" spans="1:12" ht="11.15" customHeight="1">
      <c r="A4913" s="185"/>
      <c r="B4913" s="59" t="s">
        <v>21084</v>
      </c>
      <c r="C4913" s="147" t="s">
        <v>20221</v>
      </c>
      <c r="D4913" s="284" t="s">
        <v>897</v>
      </c>
      <c r="E4913" s="178">
        <v>2014</v>
      </c>
      <c r="F4913" s="178" t="s">
        <v>4520</v>
      </c>
      <c r="G4913" s="496"/>
      <c r="H4913" s="994" t="s">
        <v>20221</v>
      </c>
      <c r="I4913" s="11" t="s">
        <v>6833</v>
      </c>
      <c r="J4913" s="1285"/>
      <c r="K4913" s="1285"/>
      <c r="L4913" s="1285"/>
    </row>
    <row r="4914" spans="1:12" ht="11.15" customHeight="1">
      <c r="A4914" s="185"/>
      <c r="B4914" s="59" t="s">
        <v>21084</v>
      </c>
      <c r="C4914" s="147" t="s">
        <v>20221</v>
      </c>
      <c r="D4914" s="284" t="s">
        <v>897</v>
      </c>
      <c r="E4914" s="178">
        <v>2013</v>
      </c>
      <c r="F4914" s="178" t="s">
        <v>4520</v>
      </c>
      <c r="G4914" s="496"/>
      <c r="H4914" s="994" t="s">
        <v>20221</v>
      </c>
      <c r="I4914" s="11" t="s">
        <v>6834</v>
      </c>
      <c r="J4914" s="1285"/>
      <c r="K4914" s="1285"/>
      <c r="L4914" s="1285"/>
    </row>
    <row r="4915" spans="1:12" ht="11.15" customHeight="1">
      <c r="A4915" s="185"/>
      <c r="B4915" s="59" t="s">
        <v>21084</v>
      </c>
      <c r="C4915" s="147" t="s">
        <v>20221</v>
      </c>
      <c r="D4915" s="284" t="s">
        <v>897</v>
      </c>
      <c r="E4915" s="178">
        <v>2011</v>
      </c>
      <c r="F4915" s="178" t="s">
        <v>4520</v>
      </c>
      <c r="G4915" s="496"/>
      <c r="H4915" s="994" t="s">
        <v>20221</v>
      </c>
      <c r="I4915" s="11" t="s">
        <v>6835</v>
      </c>
      <c r="J4915" s="1285"/>
      <c r="K4915" s="1285"/>
      <c r="L4915" s="1285"/>
    </row>
    <row r="4916" spans="1:12" ht="11.15" customHeight="1">
      <c r="A4916" s="185"/>
      <c r="B4916" s="59" t="s">
        <v>21084</v>
      </c>
      <c r="C4916" s="147" t="s">
        <v>20221</v>
      </c>
      <c r="D4916" s="284" t="s">
        <v>897</v>
      </c>
      <c r="E4916" s="178">
        <v>2009</v>
      </c>
      <c r="F4916" s="178" t="s">
        <v>4520</v>
      </c>
      <c r="G4916" s="496"/>
      <c r="H4916" s="994" t="s">
        <v>20224</v>
      </c>
      <c r="I4916" s="11" t="s">
        <v>6836</v>
      </c>
      <c r="J4916" s="1285"/>
      <c r="K4916" s="1285"/>
      <c r="L4916" s="1285"/>
    </row>
    <row r="4917" spans="1:12" ht="11.15" customHeight="1">
      <c r="A4917" s="185"/>
      <c r="B4917" s="59" t="s">
        <v>21084</v>
      </c>
      <c r="C4917" s="147" t="s">
        <v>20221</v>
      </c>
      <c r="D4917" s="284" t="s">
        <v>897</v>
      </c>
      <c r="E4917" s="178">
        <v>2008</v>
      </c>
      <c r="F4917" s="178" t="s">
        <v>4520</v>
      </c>
      <c r="G4917" s="496"/>
      <c r="H4917" s="994" t="s">
        <v>20221</v>
      </c>
      <c r="I4917" s="11" t="s">
        <v>6837</v>
      </c>
      <c r="J4917" s="1285"/>
      <c r="K4917" s="1285"/>
      <c r="L4917" s="1285"/>
    </row>
    <row r="4918" spans="1:12" ht="11.15" customHeight="1">
      <c r="A4918" s="185"/>
      <c r="B4918" s="59" t="s">
        <v>21084</v>
      </c>
      <c r="C4918" s="147" t="s">
        <v>20221</v>
      </c>
      <c r="D4918" s="284" t="s">
        <v>897</v>
      </c>
      <c r="E4918" s="178">
        <v>2004</v>
      </c>
      <c r="F4918" s="178" t="s">
        <v>23395</v>
      </c>
      <c r="G4918" s="496"/>
      <c r="H4918" s="994" t="s">
        <v>20221</v>
      </c>
      <c r="I4918" s="11" t="s">
        <v>6838</v>
      </c>
      <c r="J4918" s="1285"/>
      <c r="K4918" s="1285"/>
      <c r="L4918" s="1285"/>
    </row>
    <row r="4919" spans="1:12" ht="11.15" customHeight="1">
      <c r="A4919" s="185"/>
      <c r="B4919" s="59" t="s">
        <v>21085</v>
      </c>
      <c r="C4919" s="147" t="s">
        <v>20221</v>
      </c>
      <c r="D4919" s="284" t="s">
        <v>897</v>
      </c>
      <c r="E4919" s="178">
        <v>2020</v>
      </c>
      <c r="F4919" s="178" t="s">
        <v>4520</v>
      </c>
      <c r="G4919" s="496"/>
      <c r="H4919" s="994" t="s">
        <v>20221</v>
      </c>
      <c r="I4919" s="11" t="s">
        <v>6839</v>
      </c>
      <c r="J4919" s="1285"/>
      <c r="K4919" s="1285"/>
      <c r="L4919" s="1285"/>
    </row>
    <row r="4920" spans="1:12" ht="11.15" customHeight="1">
      <c r="A4920" s="185"/>
      <c r="B4920" s="59" t="s">
        <v>21085</v>
      </c>
      <c r="C4920" s="147" t="s">
        <v>20221</v>
      </c>
      <c r="D4920" s="284" t="s">
        <v>897</v>
      </c>
      <c r="E4920" s="178">
        <v>2018</v>
      </c>
      <c r="F4920" s="178" t="s">
        <v>4520</v>
      </c>
      <c r="G4920" s="496"/>
      <c r="H4920" s="994" t="s">
        <v>20224</v>
      </c>
      <c r="I4920" s="11" t="s">
        <v>6840</v>
      </c>
      <c r="J4920" s="1285"/>
      <c r="K4920" s="1285"/>
      <c r="L4920" s="1285"/>
    </row>
    <row r="4921" spans="1:12" ht="11.15" customHeight="1">
      <c r="A4921" s="185"/>
      <c r="B4921" s="59" t="s">
        <v>21085</v>
      </c>
      <c r="C4921" s="147" t="s">
        <v>20221</v>
      </c>
      <c r="D4921" s="284" t="s">
        <v>897</v>
      </c>
      <c r="E4921" s="178">
        <v>2017</v>
      </c>
      <c r="F4921" s="178" t="s">
        <v>4520</v>
      </c>
      <c r="G4921" s="496"/>
      <c r="H4921" s="994" t="s">
        <v>20224</v>
      </c>
      <c r="I4921" s="11" t="s">
        <v>6841</v>
      </c>
      <c r="J4921" s="1285"/>
      <c r="K4921" s="1285"/>
      <c r="L4921" s="1285"/>
    </row>
    <row r="4922" spans="1:12" ht="11.15" customHeight="1">
      <c r="A4922" s="185"/>
      <c r="B4922" s="59" t="s">
        <v>21085</v>
      </c>
      <c r="C4922" s="147" t="s">
        <v>20221</v>
      </c>
      <c r="D4922" s="284" t="s">
        <v>897</v>
      </c>
      <c r="E4922" s="178">
        <v>2016</v>
      </c>
      <c r="F4922" s="178" t="s">
        <v>4520</v>
      </c>
      <c r="G4922" s="496"/>
      <c r="H4922" s="994" t="s">
        <v>20224</v>
      </c>
      <c r="I4922" s="11" t="s">
        <v>6842</v>
      </c>
      <c r="J4922" s="1285"/>
      <c r="K4922" s="1285"/>
      <c r="L4922" s="1285"/>
    </row>
    <row r="4923" spans="1:12" ht="11.15" customHeight="1">
      <c r="A4923" s="185"/>
      <c r="B4923" s="59" t="s">
        <v>21085</v>
      </c>
      <c r="C4923" s="147" t="s">
        <v>20221</v>
      </c>
      <c r="D4923" s="284" t="s">
        <v>897</v>
      </c>
      <c r="E4923" s="178">
        <v>2014</v>
      </c>
      <c r="F4923" s="178" t="s">
        <v>4520</v>
      </c>
      <c r="G4923" s="496"/>
      <c r="H4923" s="994" t="s">
        <v>20221</v>
      </c>
      <c r="I4923" s="11" t="s">
        <v>6843</v>
      </c>
      <c r="J4923" s="1285"/>
      <c r="K4923" s="1285"/>
      <c r="L4923" s="1285"/>
    </row>
    <row r="4924" spans="1:12" ht="11.15" customHeight="1">
      <c r="A4924" s="29"/>
      <c r="B4924" s="59" t="s">
        <v>21085</v>
      </c>
      <c r="C4924" s="147" t="s">
        <v>20221</v>
      </c>
      <c r="D4924" s="284" t="s">
        <v>897</v>
      </c>
      <c r="E4924" s="178">
        <v>2013</v>
      </c>
      <c r="F4924" s="178" t="s">
        <v>4520</v>
      </c>
      <c r="G4924" s="496"/>
      <c r="H4924" s="994" t="s">
        <v>20221</v>
      </c>
      <c r="I4924" s="11" t="s">
        <v>6844</v>
      </c>
      <c r="J4924" s="1285"/>
      <c r="K4924" s="1285"/>
      <c r="L4924" s="1285"/>
    </row>
    <row r="4925" spans="1:12" ht="11.15" customHeight="1">
      <c r="A4925" s="29"/>
      <c r="B4925" s="59" t="s">
        <v>21085</v>
      </c>
      <c r="C4925" s="147" t="s">
        <v>20221</v>
      </c>
      <c r="D4925" s="284" t="s">
        <v>897</v>
      </c>
      <c r="E4925" s="178">
        <v>2008</v>
      </c>
      <c r="F4925" s="178" t="s">
        <v>4520</v>
      </c>
      <c r="G4925" s="496"/>
      <c r="H4925" s="994" t="s">
        <v>20221</v>
      </c>
      <c r="I4925" s="11" t="s">
        <v>6845</v>
      </c>
      <c r="J4925" s="1285"/>
      <c r="K4925" s="1285"/>
      <c r="L4925" s="1285"/>
    </row>
    <row r="4926" spans="1:12" ht="11.15" customHeight="1">
      <c r="A4926" s="29"/>
      <c r="B4926" s="59" t="s">
        <v>21085</v>
      </c>
      <c r="C4926" s="147" t="s">
        <v>20221</v>
      </c>
      <c r="D4926" s="284" t="s">
        <v>897</v>
      </c>
      <c r="E4926" s="178">
        <v>2007</v>
      </c>
      <c r="F4926" s="178" t="s">
        <v>4520</v>
      </c>
      <c r="G4926" s="496"/>
      <c r="H4926" s="994" t="s">
        <v>20221</v>
      </c>
      <c r="I4926" s="11" t="s">
        <v>6846</v>
      </c>
      <c r="J4926" s="1285"/>
      <c r="K4926" s="1285"/>
      <c r="L4926" s="1285"/>
    </row>
    <row r="4927" spans="1:12" ht="11.15" customHeight="1">
      <c r="A4927" s="29"/>
      <c r="B4927" s="154" t="s">
        <v>6847</v>
      </c>
      <c r="C4927" s="147"/>
      <c r="D4927" s="122"/>
      <c r="E4927" s="36"/>
      <c r="F4927" s="183"/>
      <c r="G4927" s="60"/>
      <c r="H4927" s="34"/>
      <c r="I4927" s="11"/>
    </row>
    <row r="4928" spans="1:12" ht="11.15" customHeight="1">
      <c r="A4928" s="29"/>
      <c r="B4928" s="59" t="s">
        <v>21086</v>
      </c>
      <c r="C4928" s="147" t="s">
        <v>20221</v>
      </c>
      <c r="D4928" s="284" t="s">
        <v>897</v>
      </c>
      <c r="E4928" s="178">
        <v>2022</v>
      </c>
      <c r="F4928" s="178" t="s">
        <v>23394</v>
      </c>
      <c r="G4928" s="496"/>
      <c r="H4928" s="994" t="s">
        <v>20224</v>
      </c>
      <c r="I4928" s="11" t="s">
        <v>6848</v>
      </c>
      <c r="J4928" s="1285"/>
      <c r="K4928" s="1285"/>
      <c r="L4928" s="1285"/>
    </row>
    <row r="4929" spans="1:12" ht="11.15" customHeight="1">
      <c r="A4929" s="29"/>
      <c r="B4929" s="59" t="s">
        <v>21086</v>
      </c>
      <c r="C4929" s="147" t="s">
        <v>20221</v>
      </c>
      <c r="D4929" s="284" t="s">
        <v>897</v>
      </c>
      <c r="E4929" s="178">
        <v>2021</v>
      </c>
      <c r="F4929" s="178" t="s">
        <v>23394</v>
      </c>
      <c r="G4929" s="496"/>
      <c r="H4929" s="994" t="s">
        <v>20224</v>
      </c>
      <c r="I4929" s="11" t="s">
        <v>6849</v>
      </c>
      <c r="J4929" s="1285"/>
      <c r="K4929" s="1285"/>
      <c r="L4929" s="1285"/>
    </row>
    <row r="4930" spans="1:12" ht="11.15" customHeight="1">
      <c r="A4930" s="29"/>
      <c r="B4930" s="59" t="s">
        <v>21086</v>
      </c>
      <c r="C4930" s="147" t="s">
        <v>20221</v>
      </c>
      <c r="D4930" s="284" t="s">
        <v>897</v>
      </c>
      <c r="E4930" s="178">
        <v>2020</v>
      </c>
      <c r="F4930" s="178" t="s">
        <v>23394</v>
      </c>
      <c r="G4930" s="496"/>
      <c r="H4930" s="994" t="s">
        <v>20224</v>
      </c>
      <c r="I4930" s="11" t="s">
        <v>6850</v>
      </c>
      <c r="J4930" s="1285"/>
      <c r="K4930" s="1285"/>
      <c r="L4930" s="1285"/>
    </row>
    <row r="4931" spans="1:12" ht="11.15" customHeight="1">
      <c r="A4931" s="185"/>
      <c r="B4931" s="59" t="s">
        <v>21086</v>
      </c>
      <c r="C4931" s="147" t="s">
        <v>20221</v>
      </c>
      <c r="D4931" s="284" t="s">
        <v>897</v>
      </c>
      <c r="E4931" s="178">
        <v>2014</v>
      </c>
      <c r="F4931" s="178" t="s">
        <v>4520</v>
      </c>
      <c r="G4931" s="496"/>
      <c r="H4931" s="994" t="s">
        <v>20224</v>
      </c>
      <c r="I4931" s="11" t="s">
        <v>6851</v>
      </c>
      <c r="J4931" s="1285"/>
      <c r="K4931" s="1285"/>
      <c r="L4931" s="1285"/>
    </row>
    <row r="4932" spans="1:12" ht="11.15" customHeight="1">
      <c r="A4932" s="185"/>
      <c r="B4932" s="154" t="s">
        <v>6852</v>
      </c>
      <c r="C4932" s="147"/>
      <c r="D4932" s="161"/>
      <c r="E4932" s="36"/>
      <c r="F4932" s="178"/>
      <c r="G4932" s="1217"/>
      <c r="H4932" s="36"/>
      <c r="I4932" s="11"/>
    </row>
    <row r="4933" spans="1:12" ht="11.15" customHeight="1">
      <c r="A4933" s="185"/>
      <c r="B4933" s="59" t="s">
        <v>21087</v>
      </c>
      <c r="C4933" s="147" t="s">
        <v>20221</v>
      </c>
      <c r="D4933" s="284" t="s">
        <v>897</v>
      </c>
      <c r="E4933" s="178">
        <v>2019</v>
      </c>
      <c r="F4933" s="178" t="s">
        <v>11931</v>
      </c>
      <c r="G4933" s="496"/>
      <c r="H4933" s="994" t="s">
        <v>20221</v>
      </c>
      <c r="I4933" s="11" t="s">
        <v>6853</v>
      </c>
      <c r="J4933" s="1285"/>
      <c r="K4933" s="1285"/>
      <c r="L4933" s="1285"/>
    </row>
    <row r="4934" spans="1:12" ht="11.15" customHeight="1">
      <c r="A4934" s="29"/>
      <c r="B4934" s="59" t="s">
        <v>21087</v>
      </c>
      <c r="C4934" s="147" t="s">
        <v>20221</v>
      </c>
      <c r="D4934" s="284" t="s">
        <v>897</v>
      </c>
      <c r="E4934" s="178">
        <v>2015</v>
      </c>
      <c r="F4934" s="178" t="s">
        <v>11931</v>
      </c>
      <c r="G4934" s="496"/>
      <c r="H4934" s="994" t="s">
        <v>20221</v>
      </c>
      <c r="I4934" s="11" t="s">
        <v>6854</v>
      </c>
      <c r="J4934" s="1285"/>
      <c r="K4934" s="1285"/>
      <c r="L4934" s="1285"/>
    </row>
    <row r="4935" spans="1:12" ht="11.15" customHeight="1">
      <c r="A4935" s="185"/>
      <c r="B4935" s="59" t="s">
        <v>21088</v>
      </c>
      <c r="C4935" s="147" t="s">
        <v>20221</v>
      </c>
      <c r="D4935" s="284" t="s">
        <v>897</v>
      </c>
      <c r="E4935" s="178">
        <v>2014</v>
      </c>
      <c r="F4935" s="178" t="s">
        <v>11931</v>
      </c>
      <c r="G4935" s="496"/>
      <c r="H4935" s="994" t="s">
        <v>20224</v>
      </c>
      <c r="I4935" s="11" t="s">
        <v>6855</v>
      </c>
      <c r="J4935" s="1285"/>
      <c r="K4935" s="1285"/>
      <c r="L4935" s="1285"/>
    </row>
    <row r="4936" spans="1:12" ht="11.15" customHeight="1">
      <c r="A4936" s="185"/>
      <c r="B4936" s="59" t="s">
        <v>21088</v>
      </c>
      <c r="C4936" s="147" t="s">
        <v>20221</v>
      </c>
      <c r="D4936" s="284" t="s">
        <v>897</v>
      </c>
      <c r="E4936" s="178">
        <v>2013</v>
      </c>
      <c r="F4936" s="178" t="s">
        <v>11931</v>
      </c>
      <c r="G4936" s="496"/>
      <c r="H4936" s="994" t="s">
        <v>20224</v>
      </c>
      <c r="I4936" s="11" t="s">
        <v>6856</v>
      </c>
      <c r="J4936" s="1285"/>
      <c r="K4936" s="1285"/>
      <c r="L4936" s="1285"/>
    </row>
    <row r="4937" spans="1:12" ht="11.15" customHeight="1">
      <c r="A4937" s="185"/>
      <c r="B4937" s="59" t="s">
        <v>21089</v>
      </c>
      <c r="C4937" s="147" t="s">
        <v>20221</v>
      </c>
      <c r="D4937" s="284" t="s">
        <v>897</v>
      </c>
      <c r="E4937" s="178">
        <v>2013</v>
      </c>
      <c r="F4937" s="178" t="s">
        <v>11931</v>
      </c>
      <c r="G4937" s="496"/>
      <c r="H4937" s="994" t="s">
        <v>20224</v>
      </c>
      <c r="I4937" s="11" t="s">
        <v>6857</v>
      </c>
      <c r="J4937" s="1285"/>
      <c r="K4937" s="1285"/>
      <c r="L4937" s="1285"/>
    </row>
    <row r="4938" spans="1:12" ht="11.15" customHeight="1">
      <c r="A4938" s="185"/>
      <c r="B4938" s="59" t="s">
        <v>21089</v>
      </c>
      <c r="C4938" s="147" t="s">
        <v>20221</v>
      </c>
      <c r="D4938" s="284" t="s">
        <v>897</v>
      </c>
      <c r="E4938" s="178">
        <v>2012</v>
      </c>
      <c r="F4938" s="178" t="s">
        <v>11931</v>
      </c>
      <c r="G4938" s="496"/>
      <c r="H4938" s="994" t="s">
        <v>20224</v>
      </c>
      <c r="I4938" s="11" t="s">
        <v>6858</v>
      </c>
      <c r="J4938" s="1285"/>
      <c r="K4938" s="1285"/>
      <c r="L4938" s="1285"/>
    </row>
    <row r="4939" spans="1:12" ht="11.15" customHeight="1">
      <c r="A4939" s="185"/>
      <c r="B4939" s="59" t="s">
        <v>21089</v>
      </c>
      <c r="C4939" s="147" t="s">
        <v>20221</v>
      </c>
      <c r="D4939" s="284" t="s">
        <v>897</v>
      </c>
      <c r="E4939" s="178">
        <v>2011</v>
      </c>
      <c r="F4939" s="178" t="s">
        <v>11931</v>
      </c>
      <c r="G4939" s="496"/>
      <c r="H4939" s="994" t="s">
        <v>20224</v>
      </c>
      <c r="I4939" s="11" t="s">
        <v>6859</v>
      </c>
      <c r="J4939" s="1285"/>
      <c r="K4939" s="1285"/>
      <c r="L4939" s="1285"/>
    </row>
    <row r="4940" spans="1:12" ht="11.15" customHeight="1">
      <c r="A4940" s="185"/>
      <c r="B4940" s="59" t="s">
        <v>21089</v>
      </c>
      <c r="C4940" s="147" t="s">
        <v>20221</v>
      </c>
      <c r="D4940" s="284" t="s">
        <v>897</v>
      </c>
      <c r="E4940" s="178">
        <v>2007</v>
      </c>
      <c r="F4940" s="178" t="s">
        <v>5257</v>
      </c>
      <c r="G4940" s="496"/>
      <c r="H4940" s="994" t="s">
        <v>20224</v>
      </c>
      <c r="I4940" s="11" t="s">
        <v>6860</v>
      </c>
      <c r="J4940" s="1285"/>
      <c r="K4940" s="1285"/>
      <c r="L4940" s="1285"/>
    </row>
    <row r="4941" spans="1:12" ht="11.15" customHeight="1">
      <c r="A4941" s="185"/>
      <c r="B4941" s="59" t="s">
        <v>21090</v>
      </c>
      <c r="C4941" s="147" t="s">
        <v>20221</v>
      </c>
      <c r="D4941" s="284" t="s">
        <v>897</v>
      </c>
      <c r="E4941" s="178">
        <v>2008</v>
      </c>
      <c r="F4941" s="178" t="s">
        <v>11931</v>
      </c>
      <c r="G4941" s="496"/>
      <c r="H4941" s="994" t="s">
        <v>20224</v>
      </c>
      <c r="I4941" s="11" t="s">
        <v>6861</v>
      </c>
      <c r="J4941" s="1285"/>
      <c r="K4941" s="1285"/>
      <c r="L4941" s="1285"/>
    </row>
    <row r="4942" spans="1:12" ht="11.15" customHeight="1">
      <c r="A4942" s="29"/>
      <c r="B4942" s="154" t="s">
        <v>6862</v>
      </c>
      <c r="C4942" s="147"/>
      <c r="D4942" s="161"/>
      <c r="E4942" s="36"/>
      <c r="F4942" s="178"/>
      <c r="G4942" s="1217"/>
      <c r="H4942" s="36"/>
      <c r="I4942" s="11"/>
    </row>
    <row r="4943" spans="1:12" ht="11.15" customHeight="1">
      <c r="A4943" s="29"/>
      <c r="B4943" s="59" t="s">
        <v>21091</v>
      </c>
      <c r="C4943" s="147" t="s">
        <v>20221</v>
      </c>
      <c r="D4943" s="284" t="s">
        <v>897</v>
      </c>
      <c r="E4943" s="178">
        <v>2022</v>
      </c>
      <c r="F4943" s="178" t="s">
        <v>11938</v>
      </c>
      <c r="G4943" s="496"/>
      <c r="H4943" s="994" t="s">
        <v>20224</v>
      </c>
      <c r="I4943" s="11" t="s">
        <v>6863</v>
      </c>
      <c r="J4943" s="1285"/>
      <c r="K4943" s="1285"/>
      <c r="L4943" s="1285"/>
    </row>
    <row r="4944" spans="1:12" ht="11.15" customHeight="1">
      <c r="A4944" s="29"/>
      <c r="B4944" s="59" t="s">
        <v>21091</v>
      </c>
      <c r="C4944" s="147" t="s">
        <v>20221</v>
      </c>
      <c r="D4944" s="284" t="s">
        <v>897</v>
      </c>
      <c r="E4944" s="178">
        <v>2017</v>
      </c>
      <c r="F4944" s="178" t="s">
        <v>11938</v>
      </c>
      <c r="G4944" s="496"/>
      <c r="H4944" s="994" t="s">
        <v>20224</v>
      </c>
      <c r="I4944" s="11" t="s">
        <v>6864</v>
      </c>
      <c r="J4944" s="1285"/>
      <c r="K4944" s="1285"/>
      <c r="L4944" s="1285"/>
    </row>
    <row r="4945" spans="1:12" ht="11.15" customHeight="1">
      <c r="A4945" s="185"/>
      <c r="B4945" s="59" t="s">
        <v>21091</v>
      </c>
      <c r="C4945" s="147" t="s">
        <v>20221</v>
      </c>
      <c r="D4945" s="284" t="s">
        <v>897</v>
      </c>
      <c r="E4945" s="178">
        <v>2013</v>
      </c>
      <c r="F4945" s="178" t="s">
        <v>11938</v>
      </c>
      <c r="G4945" s="496"/>
      <c r="H4945" s="994" t="s">
        <v>20224</v>
      </c>
      <c r="I4945" s="11" t="s">
        <v>6865</v>
      </c>
      <c r="J4945" s="1285"/>
      <c r="K4945" s="1285"/>
      <c r="L4945" s="1285"/>
    </row>
    <row r="4946" spans="1:12" ht="11.15" customHeight="1">
      <c r="A4946" s="185"/>
      <c r="B4946" s="59" t="s">
        <v>21092</v>
      </c>
      <c r="C4946" s="147" t="s">
        <v>20221</v>
      </c>
      <c r="D4946" s="284" t="s">
        <v>897</v>
      </c>
      <c r="E4946" s="178">
        <v>2018</v>
      </c>
      <c r="F4946" s="178" t="s">
        <v>11938</v>
      </c>
      <c r="G4946" s="496"/>
      <c r="H4946" s="994" t="s">
        <v>20224</v>
      </c>
      <c r="I4946" s="11" t="s">
        <v>6866</v>
      </c>
      <c r="J4946" s="1285"/>
      <c r="K4946" s="1285"/>
      <c r="L4946" s="1285"/>
    </row>
    <row r="4947" spans="1:12" ht="11.15" customHeight="1">
      <c r="A4947" s="185"/>
      <c r="B4947" s="59" t="s">
        <v>21092</v>
      </c>
      <c r="C4947" s="147" t="s">
        <v>20221</v>
      </c>
      <c r="D4947" s="284" t="s">
        <v>897</v>
      </c>
      <c r="E4947" s="178">
        <v>2017</v>
      </c>
      <c r="F4947" s="178" t="s">
        <v>11938</v>
      </c>
      <c r="G4947" s="496"/>
      <c r="H4947" s="994" t="s">
        <v>20224</v>
      </c>
      <c r="I4947" s="11" t="s">
        <v>6867</v>
      </c>
      <c r="J4947" s="1285"/>
      <c r="K4947" s="1285"/>
      <c r="L4947" s="1285"/>
    </row>
    <row r="4948" spans="1:12" ht="11.15" customHeight="1">
      <c r="A4948" s="185"/>
      <c r="B4948" s="226"/>
      <c r="C4948" s="147"/>
      <c r="D4948" s="161"/>
      <c r="E4948" s="36"/>
      <c r="F4948" s="183"/>
      <c r="G4948" s="496"/>
      <c r="H4948" s="34"/>
      <c r="I4948" s="11"/>
    </row>
    <row r="4949" spans="1:12" ht="11.15" customHeight="1">
      <c r="A4949" s="185"/>
      <c r="B4949" s="413" t="s">
        <v>6868</v>
      </c>
      <c r="C4949" s="147"/>
      <c r="D4949" s="161"/>
      <c r="E4949" s="36"/>
      <c r="F4949" s="183"/>
      <c r="G4949" s="496"/>
      <c r="H4949" s="34"/>
      <c r="I4949" s="11"/>
    </row>
    <row r="4950" spans="1:12" ht="9" customHeight="1">
      <c r="A4950" s="129"/>
      <c r="B4950" s="150" t="s">
        <v>6869</v>
      </c>
      <c r="C4950" s="147"/>
      <c r="D4950" s="122"/>
      <c r="E4950" s="36"/>
      <c r="F4950" s="178"/>
      <c r="G4950" s="453"/>
      <c r="H4950" s="36"/>
      <c r="I4950" s="11"/>
    </row>
    <row r="4951" spans="1:12" ht="9" customHeight="1">
      <c r="A4951" s="129"/>
      <c r="B4951" s="150" t="s">
        <v>6870</v>
      </c>
      <c r="C4951" s="147"/>
      <c r="D4951" s="122"/>
      <c r="E4951" s="36"/>
      <c r="F4951" s="178"/>
      <c r="G4951" s="453"/>
      <c r="H4951" s="36"/>
      <c r="I4951" s="11"/>
    </row>
    <row r="4952" spans="1:12" ht="9" customHeight="1">
      <c r="A4952" s="129"/>
      <c r="B4952" s="210" t="s">
        <v>6871</v>
      </c>
      <c r="C4952" s="147"/>
      <c r="D4952" s="122"/>
      <c r="E4952" s="36"/>
      <c r="F4952" s="178"/>
      <c r="G4952" s="453"/>
      <c r="H4952" s="36"/>
      <c r="I4952" s="11"/>
    </row>
    <row r="4953" spans="1:12" ht="9" customHeight="1" thickBot="1">
      <c r="A4953" s="129"/>
      <c r="B4953" s="210" t="s">
        <v>6872</v>
      </c>
      <c r="C4953" s="147"/>
      <c r="D4953" s="122"/>
      <c r="E4953" s="36"/>
      <c r="F4953" s="178"/>
      <c r="G4953" s="453"/>
      <c r="H4953" s="36"/>
      <c r="I4953" s="11"/>
    </row>
    <row r="4954" spans="1:12" ht="11.15" customHeight="1">
      <c r="A4954" s="153" t="s">
        <v>6873</v>
      </c>
      <c r="B4954" s="154" t="s">
        <v>6514</v>
      </c>
      <c r="C4954" s="147"/>
      <c r="D4954" s="129"/>
      <c r="E4954" s="185"/>
      <c r="F4954" s="185"/>
      <c r="G4954" s="185"/>
      <c r="H4954" s="185"/>
      <c r="I4954" s="11"/>
    </row>
    <row r="4955" spans="1:12" ht="11.15" customHeight="1" thickBot="1">
      <c r="A4955" s="230" t="s">
        <v>6874</v>
      </c>
      <c r="B4955" s="59" t="s">
        <v>21093</v>
      </c>
      <c r="C4955" s="147" t="s">
        <v>20221</v>
      </c>
      <c r="D4955" s="701" t="s">
        <v>1129</v>
      </c>
      <c r="E4955" s="178">
        <v>2020</v>
      </c>
      <c r="F4955" s="178" t="s">
        <v>23395</v>
      </c>
      <c r="G4955" s="496"/>
      <c r="H4955" s="994" t="s">
        <v>20224</v>
      </c>
      <c r="I4955" s="11" t="s">
        <v>6875</v>
      </c>
      <c r="J4955" s="1285"/>
      <c r="K4955" s="1285"/>
      <c r="L4955" s="1285"/>
    </row>
    <row r="4956" spans="1:12" ht="11.15" customHeight="1">
      <c r="A4956" s="29" t="s">
        <v>6876</v>
      </c>
      <c r="B4956" s="59" t="s">
        <v>21094</v>
      </c>
      <c r="C4956" s="147" t="s">
        <v>20221</v>
      </c>
      <c r="D4956" s="701" t="s">
        <v>1129</v>
      </c>
      <c r="E4956" s="178">
        <v>2020</v>
      </c>
      <c r="F4956" s="178" t="s">
        <v>23395</v>
      </c>
      <c r="G4956" s="496"/>
      <c r="H4956" s="994" t="s">
        <v>20221</v>
      </c>
      <c r="I4956" s="11" t="s">
        <v>6877</v>
      </c>
      <c r="J4956" s="1285"/>
      <c r="K4956" s="1285"/>
      <c r="L4956" s="1285"/>
    </row>
    <row r="4957" spans="1:12" ht="11.15" customHeight="1">
      <c r="A4957" s="29" t="s">
        <v>6878</v>
      </c>
      <c r="B4957" s="154" t="s">
        <v>1398</v>
      </c>
      <c r="C4957" s="147"/>
      <c r="D4957" s="129"/>
      <c r="E4957" s="185"/>
      <c r="F4957" s="185"/>
      <c r="G4957" s="185"/>
      <c r="H4957" s="185"/>
      <c r="I4957" s="11"/>
    </row>
    <row r="4958" spans="1:12" ht="11.15" customHeight="1">
      <c r="A4958" s="29" t="s">
        <v>6879</v>
      </c>
      <c r="B4958" s="59" t="s">
        <v>21095</v>
      </c>
      <c r="C4958" s="147" t="s">
        <v>20221</v>
      </c>
      <c r="D4958" s="284" t="s">
        <v>897</v>
      </c>
      <c r="E4958" s="178">
        <v>2019</v>
      </c>
      <c r="F4958" s="178" t="s">
        <v>23395</v>
      </c>
      <c r="G4958" s="496"/>
      <c r="H4958" s="994" t="s">
        <v>20221</v>
      </c>
      <c r="I4958" s="11" t="s">
        <v>6880</v>
      </c>
      <c r="J4958" s="1285"/>
      <c r="K4958" s="1285"/>
      <c r="L4958" s="1285"/>
    </row>
    <row r="4959" spans="1:12" ht="11.15" customHeight="1">
      <c r="A4959" s="29" t="s">
        <v>6881</v>
      </c>
      <c r="B4959" s="59" t="s">
        <v>21096</v>
      </c>
      <c r="C4959" s="147" t="s">
        <v>20221</v>
      </c>
      <c r="D4959" s="284" t="s">
        <v>897</v>
      </c>
      <c r="E4959" s="178">
        <v>2019</v>
      </c>
      <c r="F4959" s="178" t="s">
        <v>23395</v>
      </c>
      <c r="G4959" s="496"/>
      <c r="H4959" s="994" t="s">
        <v>20221</v>
      </c>
      <c r="I4959" s="11" t="s">
        <v>6882</v>
      </c>
      <c r="J4959" s="1285"/>
      <c r="K4959" s="1285"/>
      <c r="L4959" s="1285"/>
    </row>
    <row r="4960" spans="1:12" ht="11.15" customHeight="1">
      <c r="A4960" s="29" t="s">
        <v>6883</v>
      </c>
      <c r="B4960" s="59" t="s">
        <v>21096</v>
      </c>
      <c r="C4960" s="147" t="s">
        <v>20221</v>
      </c>
      <c r="D4960" s="284" t="s">
        <v>897</v>
      </c>
      <c r="E4960" s="178">
        <v>2018</v>
      </c>
      <c r="F4960" s="178" t="s">
        <v>23395</v>
      </c>
      <c r="G4960" s="496"/>
      <c r="H4960" s="994" t="s">
        <v>20221</v>
      </c>
      <c r="I4960" s="11" t="s">
        <v>6884</v>
      </c>
      <c r="J4960" s="1285"/>
      <c r="K4960" s="1285"/>
      <c r="L4960" s="1285"/>
    </row>
    <row r="4961" spans="1:12" ht="11.15" customHeight="1">
      <c r="A4961" s="181" t="s">
        <v>2536</v>
      </c>
      <c r="B4961" s="59" t="s">
        <v>21097</v>
      </c>
      <c r="C4961" s="147" t="s">
        <v>20221</v>
      </c>
      <c r="D4961" s="284" t="s">
        <v>897</v>
      </c>
      <c r="E4961" s="178">
        <v>2019</v>
      </c>
      <c r="F4961" s="178" t="s">
        <v>23395</v>
      </c>
      <c r="G4961" s="496"/>
      <c r="H4961" s="994" t="s">
        <v>20221</v>
      </c>
      <c r="I4961" s="11" t="s">
        <v>6885</v>
      </c>
      <c r="J4961" s="1285"/>
      <c r="K4961" s="1285"/>
      <c r="L4961" s="1285"/>
    </row>
    <row r="4962" spans="1:12" ht="11.15" customHeight="1">
      <c r="A4962" s="129" t="s">
        <v>1077</v>
      </c>
      <c r="B4962" s="59" t="s">
        <v>21097</v>
      </c>
      <c r="C4962" s="147" t="s">
        <v>20221</v>
      </c>
      <c r="D4962" s="284" t="s">
        <v>897</v>
      </c>
      <c r="E4962" s="178">
        <v>2010</v>
      </c>
      <c r="F4962" s="178" t="s">
        <v>23395</v>
      </c>
      <c r="G4962" s="496"/>
      <c r="H4962" s="994" t="s">
        <v>20221</v>
      </c>
      <c r="I4962" s="11" t="s">
        <v>6886</v>
      </c>
      <c r="J4962" s="1285"/>
      <c r="K4962" s="1285"/>
      <c r="L4962" s="1285"/>
    </row>
    <row r="4963" spans="1:12" ht="11.15" customHeight="1">
      <c r="A4963" s="162" t="s">
        <v>6887</v>
      </c>
      <c r="B4963" s="59" t="s">
        <v>21097</v>
      </c>
      <c r="C4963" s="147" t="s">
        <v>20221</v>
      </c>
      <c r="D4963" s="284" t="s">
        <v>897</v>
      </c>
      <c r="E4963" s="178">
        <v>2008</v>
      </c>
      <c r="F4963" s="178" t="s">
        <v>23395</v>
      </c>
      <c r="G4963" s="496"/>
      <c r="H4963" s="994" t="s">
        <v>20221</v>
      </c>
      <c r="I4963" s="11" t="s">
        <v>6888</v>
      </c>
      <c r="J4963" s="1285"/>
      <c r="K4963" s="1285"/>
      <c r="L4963" s="1285"/>
    </row>
    <row r="4964" spans="1:12" ht="11.15" customHeight="1">
      <c r="A4964" s="162" t="s">
        <v>6889</v>
      </c>
      <c r="B4964" s="59" t="s">
        <v>21097</v>
      </c>
      <c r="C4964" s="147" t="s">
        <v>20221</v>
      </c>
      <c r="D4964" s="284" t="s">
        <v>897</v>
      </c>
      <c r="E4964" s="178">
        <v>1999</v>
      </c>
      <c r="F4964" s="178" t="s">
        <v>23395</v>
      </c>
      <c r="G4964" s="496"/>
      <c r="H4964" s="994" t="s">
        <v>20221</v>
      </c>
      <c r="I4964" s="11" t="s">
        <v>6890</v>
      </c>
      <c r="J4964" s="1285"/>
      <c r="K4964" s="1285"/>
      <c r="L4964" s="1285"/>
    </row>
    <row r="4965" spans="1:12" ht="11.15" customHeight="1">
      <c r="A4965" s="162" t="s">
        <v>6891</v>
      </c>
      <c r="B4965" s="59" t="s">
        <v>21098</v>
      </c>
      <c r="C4965" s="147" t="s">
        <v>20221</v>
      </c>
      <c r="D4965" s="284" t="s">
        <v>897</v>
      </c>
      <c r="E4965" s="178">
        <v>2020</v>
      </c>
      <c r="F4965" s="178" t="s">
        <v>23395</v>
      </c>
      <c r="G4965" s="496"/>
      <c r="H4965" s="994" t="s">
        <v>20221</v>
      </c>
      <c r="I4965" s="11" t="s">
        <v>6892</v>
      </c>
      <c r="J4965" s="1285"/>
      <c r="K4965" s="1285"/>
      <c r="L4965" s="1285"/>
    </row>
    <row r="4966" spans="1:12" ht="11.15" customHeight="1">
      <c r="A4966" s="162" t="s">
        <v>6893</v>
      </c>
      <c r="B4966" s="59" t="s">
        <v>21098</v>
      </c>
      <c r="C4966" s="147" t="s">
        <v>20221</v>
      </c>
      <c r="D4966" s="284" t="s">
        <v>897</v>
      </c>
      <c r="E4966" s="178">
        <v>2019</v>
      </c>
      <c r="F4966" s="178" t="s">
        <v>23395</v>
      </c>
      <c r="G4966" s="496"/>
      <c r="H4966" s="994" t="s">
        <v>20221</v>
      </c>
      <c r="I4966" s="11" t="s">
        <v>6894</v>
      </c>
      <c r="J4966" s="1285"/>
      <c r="K4966" s="1285"/>
      <c r="L4966" s="1285"/>
    </row>
    <row r="4967" spans="1:12" ht="11.15" customHeight="1">
      <c r="A4967" s="162" t="s">
        <v>6895</v>
      </c>
      <c r="B4967" s="59" t="s">
        <v>21098</v>
      </c>
      <c r="C4967" s="147" t="s">
        <v>20221</v>
      </c>
      <c r="D4967" s="284" t="s">
        <v>897</v>
      </c>
      <c r="E4967" s="178">
        <v>2008</v>
      </c>
      <c r="F4967" s="178" t="s">
        <v>23395</v>
      </c>
      <c r="G4967" s="496"/>
      <c r="H4967" s="994" t="s">
        <v>20221</v>
      </c>
      <c r="I4967" s="11" t="s">
        <v>6896</v>
      </c>
      <c r="J4967" s="1285"/>
      <c r="K4967" s="1285"/>
      <c r="L4967" s="1285"/>
    </row>
    <row r="4968" spans="1:12" ht="11.15" customHeight="1">
      <c r="A4968" s="162" t="s">
        <v>6897</v>
      </c>
      <c r="B4968" s="59" t="s">
        <v>21099</v>
      </c>
      <c r="C4968" s="147" t="s">
        <v>20221</v>
      </c>
      <c r="D4968" s="284" t="s">
        <v>897</v>
      </c>
      <c r="E4968" s="178">
        <v>2020</v>
      </c>
      <c r="F4968" s="178" t="s">
        <v>23395</v>
      </c>
      <c r="G4968" s="496"/>
      <c r="H4968" s="994" t="s">
        <v>20221</v>
      </c>
      <c r="I4968" s="11" t="s">
        <v>6898</v>
      </c>
      <c r="J4968" s="1285"/>
      <c r="K4968" s="1285"/>
      <c r="L4968" s="1285"/>
    </row>
    <row r="4969" spans="1:12" ht="11.15" customHeight="1">
      <c r="A4969" s="162" t="s">
        <v>6899</v>
      </c>
      <c r="B4969" s="59" t="s">
        <v>21099</v>
      </c>
      <c r="C4969" s="147" t="s">
        <v>20221</v>
      </c>
      <c r="D4969" s="284" t="s">
        <v>897</v>
      </c>
      <c r="E4969" s="178">
        <v>2019</v>
      </c>
      <c r="F4969" s="178" t="s">
        <v>23395</v>
      </c>
      <c r="G4969" s="496"/>
      <c r="H4969" s="994" t="s">
        <v>20221</v>
      </c>
      <c r="I4969" s="11" t="s">
        <v>6900</v>
      </c>
      <c r="J4969" s="1285"/>
      <c r="K4969" s="1285"/>
      <c r="L4969" s="1285"/>
    </row>
    <row r="4970" spans="1:12" ht="11.15" customHeight="1">
      <c r="A4970" s="162" t="s">
        <v>6901</v>
      </c>
      <c r="B4970" s="154" t="s">
        <v>6902</v>
      </c>
      <c r="C4970" s="147"/>
      <c r="D4970" s="129"/>
      <c r="E4970" s="185"/>
      <c r="F4970" s="185"/>
      <c r="G4970" s="185"/>
      <c r="H4970" s="185"/>
      <c r="I4970" s="11"/>
    </row>
    <row r="4971" spans="1:12" ht="11.15" customHeight="1">
      <c r="A4971" s="162" t="s">
        <v>6903</v>
      </c>
      <c r="B4971" s="59" t="s">
        <v>21100</v>
      </c>
      <c r="C4971" s="147" t="s">
        <v>20221</v>
      </c>
      <c r="D4971" s="183" t="s">
        <v>6904</v>
      </c>
      <c r="E4971" s="178">
        <v>2008</v>
      </c>
      <c r="F4971" s="178" t="s">
        <v>23395</v>
      </c>
      <c r="G4971" s="496"/>
      <c r="H4971" s="994" t="s">
        <v>20224</v>
      </c>
      <c r="I4971" s="11" t="s">
        <v>6905</v>
      </c>
      <c r="J4971" s="1285"/>
      <c r="K4971" s="1285"/>
      <c r="L4971" s="1285"/>
    </row>
    <row r="4972" spans="1:12" ht="11.15" customHeight="1">
      <c r="A4972" s="162" t="s">
        <v>6906</v>
      </c>
      <c r="B4972" s="185"/>
      <c r="C4972" s="147"/>
      <c r="D4972" s="185"/>
      <c r="E4972" s="185"/>
      <c r="F4972" s="185"/>
      <c r="G4972" s="185"/>
      <c r="H4972" s="185"/>
      <c r="I4972" s="11"/>
    </row>
    <row r="4973" spans="1:12" ht="11.15" customHeight="1">
      <c r="A4973" s="162" t="s">
        <v>6907</v>
      </c>
      <c r="B4973" s="185"/>
      <c r="C4973" s="147"/>
      <c r="D4973" s="185"/>
      <c r="E4973" s="185"/>
      <c r="F4973" s="185"/>
      <c r="G4973" s="185"/>
      <c r="H4973" s="185"/>
      <c r="I4973" s="11"/>
    </row>
    <row r="4974" spans="1:12" ht="11.15" customHeight="1">
      <c r="A4974" s="162" t="s">
        <v>6908</v>
      </c>
      <c r="B4974" s="185"/>
      <c r="C4974" s="147"/>
      <c r="D4974" s="129"/>
      <c r="E4974" s="185"/>
      <c r="F4974" s="185"/>
      <c r="G4974" s="185"/>
      <c r="H4974" s="185"/>
      <c r="I4974" s="11"/>
    </row>
    <row r="4975" spans="1:12" ht="11.15" customHeight="1">
      <c r="A4975" s="162" t="s">
        <v>6909</v>
      </c>
      <c r="B4975" s="90"/>
      <c r="C4975" s="147"/>
      <c r="D4975" s="161"/>
      <c r="E4975" s="36"/>
      <c r="F4975" s="178"/>
      <c r="G4975" s="496"/>
      <c r="H4975" s="36"/>
      <c r="I4975" s="11"/>
    </row>
    <row r="4976" spans="1:12" ht="11.15" customHeight="1">
      <c r="A4976" s="162" t="s">
        <v>6910</v>
      </c>
      <c r="B4976" s="90"/>
      <c r="C4976" s="147"/>
      <c r="D4976" s="161"/>
      <c r="E4976" s="36"/>
      <c r="F4976" s="178"/>
      <c r="G4976" s="496"/>
      <c r="H4976" s="36"/>
      <c r="I4976" s="11"/>
    </row>
    <row r="4977" spans="1:9" ht="11.15" customHeight="1">
      <c r="A4977" s="162" t="s">
        <v>6911</v>
      </c>
      <c r="B4977" s="90"/>
      <c r="C4977" s="147"/>
      <c r="D4977" s="161"/>
      <c r="E4977" s="36"/>
      <c r="F4977" s="178"/>
      <c r="G4977" s="496"/>
      <c r="H4977" s="36"/>
      <c r="I4977" s="11"/>
    </row>
    <row r="4978" spans="1:9" ht="11.15" customHeight="1">
      <c r="A4978" s="162" t="s">
        <v>6912</v>
      </c>
      <c r="B4978" s="90"/>
      <c r="C4978" s="147"/>
      <c r="D4978" s="161"/>
      <c r="E4978" s="36"/>
      <c r="F4978" s="178"/>
      <c r="G4978" s="496"/>
      <c r="H4978" s="36"/>
      <c r="I4978" s="11"/>
    </row>
    <row r="4979" spans="1:9" ht="11.15" customHeight="1">
      <c r="A4979" s="29" t="s">
        <v>6913</v>
      </c>
      <c r="B4979" s="90"/>
      <c r="C4979" s="147"/>
      <c r="D4979" s="161"/>
      <c r="E4979" s="36"/>
      <c r="F4979" s="178"/>
      <c r="G4979" s="496"/>
      <c r="H4979" s="36"/>
      <c r="I4979" s="11"/>
    </row>
    <row r="4980" spans="1:9" ht="11.15" customHeight="1">
      <c r="A4980" s="29" t="s">
        <v>6914</v>
      </c>
      <c r="B4980" s="90"/>
      <c r="C4980" s="147"/>
      <c r="D4980" s="161"/>
      <c r="E4980" s="36"/>
      <c r="F4980" s="178"/>
      <c r="G4980" s="496"/>
      <c r="H4980" s="36"/>
      <c r="I4980" s="11"/>
    </row>
    <row r="4981" spans="1:9" ht="11.15" customHeight="1">
      <c r="A4981" s="29" t="s">
        <v>6915</v>
      </c>
      <c r="B4981" s="90"/>
      <c r="C4981" s="147"/>
      <c r="D4981" s="161"/>
      <c r="E4981" s="36"/>
      <c r="F4981" s="178"/>
      <c r="G4981" s="496"/>
      <c r="H4981" s="36"/>
      <c r="I4981" s="11"/>
    </row>
    <row r="4982" spans="1:9" ht="11.15" customHeight="1">
      <c r="A4982" s="129" t="s">
        <v>6916</v>
      </c>
      <c r="B4982" s="90"/>
      <c r="C4982" s="147"/>
      <c r="D4982" s="161"/>
      <c r="E4982" s="36"/>
      <c r="F4982" s="178"/>
      <c r="G4982" s="496"/>
      <c r="H4982" s="36"/>
      <c r="I4982" s="11"/>
    </row>
    <row r="4983" spans="1:9" ht="11.15" customHeight="1">
      <c r="A4983" s="129" t="s">
        <v>6917</v>
      </c>
      <c r="B4983" s="90"/>
      <c r="C4983" s="147"/>
      <c r="D4983" s="161"/>
      <c r="E4983" s="36"/>
      <c r="F4983" s="178"/>
      <c r="G4983" s="496"/>
      <c r="H4983" s="36"/>
      <c r="I4983" s="11"/>
    </row>
    <row r="4984" spans="1:9" ht="11.15" customHeight="1">
      <c r="A4984" s="166" t="s">
        <v>6918</v>
      </c>
      <c r="B4984" s="90"/>
      <c r="C4984" s="147"/>
      <c r="D4984" s="161"/>
      <c r="E4984" s="36"/>
      <c r="F4984" s="178"/>
      <c r="G4984" s="496"/>
      <c r="H4984" s="36"/>
      <c r="I4984" s="11"/>
    </row>
    <row r="4985" spans="1:9" ht="11.15" customHeight="1">
      <c r="A4985" s="166" t="s">
        <v>6919</v>
      </c>
      <c r="B4985" s="90"/>
      <c r="C4985" s="147"/>
      <c r="D4985" s="161"/>
      <c r="E4985" s="36"/>
      <c r="F4985" s="178"/>
      <c r="G4985" s="496"/>
      <c r="H4985" s="36"/>
      <c r="I4985" s="11"/>
    </row>
    <row r="4986" spans="1:9" ht="11.15" customHeight="1">
      <c r="A4986" s="481" t="s">
        <v>6920</v>
      </c>
      <c r="B4986" s="90"/>
      <c r="C4986" s="147"/>
      <c r="D4986" s="161"/>
      <c r="E4986" s="36"/>
      <c r="F4986" s="178"/>
      <c r="G4986" s="496"/>
      <c r="H4986" s="36"/>
      <c r="I4986" s="11"/>
    </row>
    <row r="4987" spans="1:9" ht="11.15" customHeight="1">
      <c r="B4987" s="90"/>
      <c r="C4987" s="147"/>
      <c r="D4987" s="161"/>
      <c r="E4987" s="36"/>
      <c r="F4987" s="178"/>
      <c r="G4987" s="496"/>
      <c r="H4987" s="36"/>
      <c r="I4987" s="11"/>
    </row>
    <row r="4988" spans="1:9" ht="11.15" customHeight="1">
      <c r="A4988" s="29"/>
      <c r="B4988" s="185"/>
      <c r="C4988" s="147"/>
      <c r="D4988" s="161"/>
      <c r="E4988" s="36"/>
      <c r="F4988" s="178"/>
      <c r="G4988" s="496"/>
      <c r="H4988" s="36"/>
      <c r="I4988" s="11"/>
    </row>
    <row r="4989" spans="1:9" ht="11.15" customHeight="1">
      <c r="A4989" s="484"/>
      <c r="B4989" s="146" t="s">
        <v>6921</v>
      </c>
      <c r="C4989" s="147"/>
      <c r="D4989" s="161"/>
      <c r="E4989" s="36"/>
      <c r="F4989" s="178"/>
      <c r="G4989" s="496"/>
      <c r="H4989" s="36"/>
      <c r="I4989" s="11"/>
    </row>
    <row r="4990" spans="1:9" ht="9" customHeight="1">
      <c r="A4990" s="29"/>
      <c r="B4990" s="209" t="s">
        <v>6922</v>
      </c>
      <c r="C4990" s="147"/>
      <c r="D4990" s="161"/>
      <c r="E4990" s="36"/>
      <c r="F4990" s="178"/>
      <c r="G4990" s="496"/>
      <c r="H4990" s="36"/>
      <c r="I4990" s="11"/>
    </row>
    <row r="4991" spans="1:9" ht="9" customHeight="1">
      <c r="A4991" s="29"/>
      <c r="B4991" s="150" t="s">
        <v>6923</v>
      </c>
      <c r="C4991" s="147"/>
      <c r="D4991" s="161"/>
      <c r="E4991" s="36"/>
      <c r="F4991" s="178"/>
      <c r="G4991" s="496"/>
      <c r="H4991" s="36"/>
      <c r="I4991" s="11"/>
    </row>
    <row r="4992" spans="1:9" ht="9" customHeight="1">
      <c r="A4992" s="29"/>
      <c r="B4992" s="150" t="s">
        <v>6924</v>
      </c>
      <c r="C4992" s="147"/>
      <c r="D4992" s="161"/>
      <c r="E4992" s="36"/>
      <c r="F4992" s="178"/>
      <c r="G4992" s="496"/>
      <c r="H4992" s="36"/>
      <c r="I4992" s="11"/>
    </row>
    <row r="4993" spans="1:9" ht="9" customHeight="1">
      <c r="A4993" s="29"/>
      <c r="B4993" s="150" t="s">
        <v>6925</v>
      </c>
      <c r="C4993" s="147"/>
      <c r="D4993" s="161"/>
      <c r="E4993" s="36"/>
      <c r="F4993" s="178"/>
      <c r="G4993" s="496"/>
      <c r="H4993" s="36"/>
      <c r="I4993" s="11"/>
    </row>
    <row r="4994" spans="1:9" ht="9" customHeight="1">
      <c r="A4994" s="29"/>
      <c r="B4994" s="150" t="s">
        <v>6926</v>
      </c>
      <c r="C4994" s="147"/>
      <c r="D4994" s="161"/>
      <c r="E4994" s="36"/>
      <c r="F4994" s="178"/>
      <c r="G4994" s="496"/>
      <c r="H4994" s="36"/>
      <c r="I4994" s="11"/>
    </row>
    <row r="4995" spans="1:9" ht="9" customHeight="1">
      <c r="A4995" s="162"/>
      <c r="B4995" s="150" t="s">
        <v>6927</v>
      </c>
      <c r="C4995" s="147"/>
      <c r="D4995" s="149"/>
      <c r="E4995" s="210"/>
      <c r="F4995" s="150"/>
      <c r="G4995" s="1190"/>
      <c r="H4995" s="210"/>
      <c r="I4995" s="11"/>
    </row>
    <row r="4996" spans="1:9" ht="9" customHeight="1">
      <c r="A4996" s="29"/>
      <c r="B4996" s="150" t="s">
        <v>6928</v>
      </c>
      <c r="C4996" s="147"/>
      <c r="D4996" s="161"/>
      <c r="E4996" s="36"/>
      <c r="F4996" s="178"/>
      <c r="G4996" s="496"/>
      <c r="H4996" s="36"/>
      <c r="I4996" s="11"/>
    </row>
    <row r="4997" spans="1:9" ht="9" customHeight="1">
      <c r="A4997" s="29"/>
      <c r="B4997" s="150" t="s">
        <v>6929</v>
      </c>
      <c r="C4997" s="147"/>
      <c r="D4997" s="161"/>
      <c r="E4997" s="36"/>
      <c r="F4997" s="178"/>
      <c r="G4997" s="496"/>
      <c r="H4997" s="36"/>
      <c r="I4997" s="11"/>
    </row>
    <row r="4998" spans="1:9" ht="9" customHeight="1">
      <c r="A4998" s="129"/>
      <c r="B4998" s="150" t="s">
        <v>6870</v>
      </c>
      <c r="C4998" s="147"/>
      <c r="D4998" s="122"/>
      <c r="E4998" s="36"/>
      <c r="F4998" s="178"/>
      <c r="G4998" s="453"/>
      <c r="H4998" s="36"/>
      <c r="I4998" s="11"/>
    </row>
    <row r="4999" spans="1:9" ht="9" customHeight="1">
      <c r="A4999" s="29"/>
      <c r="B4999" s="150" t="s">
        <v>6930</v>
      </c>
      <c r="C4999" s="147"/>
      <c r="D4999" s="161"/>
      <c r="E4999" s="36"/>
      <c r="F4999" s="178"/>
      <c r="G4999" s="496"/>
      <c r="H4999" s="36"/>
      <c r="I4999" s="11"/>
    </row>
    <row r="5000" spans="1:9" ht="9" customHeight="1">
      <c r="A5000" s="29"/>
      <c r="B5000" s="150" t="s">
        <v>6931</v>
      </c>
      <c r="C5000" s="147"/>
      <c r="D5000" s="161"/>
      <c r="E5000" s="36"/>
      <c r="F5000" s="178"/>
      <c r="G5000" s="496"/>
      <c r="H5000" s="36"/>
      <c r="I5000" s="11"/>
    </row>
    <row r="5001" spans="1:9" ht="9" customHeight="1">
      <c r="A5001" s="29"/>
      <c r="B5001" s="150" t="s">
        <v>6932</v>
      </c>
      <c r="C5001" s="147"/>
      <c r="D5001" s="161"/>
      <c r="E5001" s="36"/>
      <c r="F5001" s="178"/>
      <c r="G5001" s="496"/>
      <c r="H5001" s="36"/>
      <c r="I5001" s="11"/>
    </row>
    <row r="5002" spans="1:9" ht="9" customHeight="1">
      <c r="A5002" s="29"/>
      <c r="B5002" s="150" t="s">
        <v>6933</v>
      </c>
      <c r="C5002" s="147"/>
      <c r="D5002" s="161"/>
      <c r="E5002" s="36"/>
      <c r="F5002" s="178"/>
      <c r="G5002" s="496"/>
      <c r="H5002" s="36"/>
      <c r="I5002" s="11"/>
    </row>
    <row r="5003" spans="1:9" ht="9" customHeight="1">
      <c r="A5003" s="185"/>
      <c r="B5003" s="150" t="s">
        <v>6934</v>
      </c>
      <c r="C5003" s="147"/>
      <c r="D5003" s="161"/>
      <c r="E5003" s="36"/>
      <c r="F5003" s="178"/>
      <c r="G5003" s="496"/>
      <c r="H5003" s="36"/>
      <c r="I5003" s="11"/>
    </row>
    <row r="5004" spans="1:9" ht="9" customHeight="1">
      <c r="A5004" s="29"/>
      <c r="B5004" s="150" t="s">
        <v>6935</v>
      </c>
      <c r="C5004" s="147"/>
      <c r="D5004" s="161"/>
      <c r="E5004" s="36"/>
      <c r="F5004" s="178"/>
      <c r="G5004" s="496"/>
      <c r="H5004" s="36"/>
      <c r="I5004" s="11"/>
    </row>
    <row r="5005" spans="1:9" ht="9" customHeight="1">
      <c r="A5005" s="29"/>
      <c r="B5005" s="150" t="s">
        <v>6936</v>
      </c>
      <c r="C5005" s="147"/>
      <c r="D5005" s="161"/>
      <c r="E5005" s="36"/>
      <c r="F5005" s="178"/>
      <c r="G5005" s="496"/>
      <c r="H5005" s="36"/>
      <c r="I5005" s="11"/>
    </row>
    <row r="5006" spans="1:9" ht="9" customHeight="1">
      <c r="A5006" s="29"/>
      <c r="B5006" s="150" t="s">
        <v>6937</v>
      </c>
      <c r="C5006" s="147"/>
      <c r="D5006" s="161"/>
      <c r="E5006" s="36"/>
      <c r="F5006" s="178"/>
      <c r="G5006" s="496"/>
      <c r="H5006" s="36"/>
      <c r="I5006" s="11"/>
    </row>
    <row r="5007" spans="1:9" ht="9" customHeight="1">
      <c r="A5007" s="29"/>
      <c r="B5007" s="150" t="s">
        <v>6938</v>
      </c>
      <c r="C5007" s="147"/>
      <c r="D5007" s="161"/>
      <c r="E5007" s="36"/>
      <c r="F5007" s="178"/>
      <c r="G5007" s="496"/>
      <c r="H5007" s="36"/>
      <c r="I5007" s="11"/>
    </row>
    <row r="5008" spans="1:9" ht="9" customHeight="1">
      <c r="A5008" s="29"/>
      <c r="B5008" s="150" t="s">
        <v>6939</v>
      </c>
      <c r="C5008" s="147"/>
      <c r="D5008" s="161"/>
      <c r="E5008" s="36"/>
      <c r="F5008" s="178"/>
      <c r="G5008" s="496"/>
      <c r="H5008" s="36"/>
      <c r="I5008" s="11"/>
    </row>
    <row r="5009" spans="1:12" ht="9" customHeight="1">
      <c r="A5009" s="29"/>
      <c r="B5009" s="150" t="s">
        <v>6940</v>
      </c>
      <c r="C5009" s="147"/>
      <c r="D5009" s="161"/>
      <c r="E5009" s="36"/>
      <c r="F5009" s="178"/>
      <c r="G5009" s="496"/>
      <c r="H5009" s="36"/>
      <c r="I5009" s="11"/>
    </row>
    <row r="5010" spans="1:12" ht="9" customHeight="1">
      <c r="A5010" s="29"/>
      <c r="B5010" s="150" t="s">
        <v>6941</v>
      </c>
      <c r="C5010" s="147"/>
      <c r="D5010" s="161"/>
      <c r="E5010" s="36"/>
      <c r="F5010" s="178"/>
      <c r="G5010" s="496"/>
      <c r="H5010" s="36"/>
      <c r="I5010" s="11"/>
    </row>
    <row r="5011" spans="1:12" ht="9" customHeight="1">
      <c r="A5011" s="29"/>
      <c r="B5011" s="150" t="s">
        <v>6942</v>
      </c>
      <c r="C5011" s="147"/>
      <c r="D5011" s="161"/>
      <c r="E5011" s="36"/>
      <c r="F5011" s="178"/>
      <c r="G5011" s="496"/>
      <c r="H5011" s="36"/>
      <c r="I5011" s="11"/>
    </row>
    <row r="5012" spans="1:12" ht="9" customHeight="1" thickBot="1">
      <c r="A5012" s="185"/>
      <c r="B5012" s="150" t="s">
        <v>6943</v>
      </c>
      <c r="C5012" s="147"/>
      <c r="D5012" s="161"/>
      <c r="E5012" s="36"/>
      <c r="F5012" s="178"/>
      <c r="G5012" s="496"/>
      <c r="H5012" s="36"/>
      <c r="I5012" s="11"/>
    </row>
    <row r="5013" spans="1:12" ht="11.15" customHeight="1">
      <c r="A5013" s="153" t="s">
        <v>6944</v>
      </c>
      <c r="B5013" s="154" t="s">
        <v>4155</v>
      </c>
      <c r="C5013" s="147"/>
      <c r="D5013" s="161"/>
      <c r="E5013" s="36"/>
      <c r="F5013" s="178"/>
      <c r="G5013" s="496"/>
      <c r="H5013" s="36"/>
      <c r="I5013" s="11"/>
    </row>
    <row r="5014" spans="1:12" ht="11.15" customHeight="1" thickBot="1">
      <c r="A5014" s="354" t="s">
        <v>6945</v>
      </c>
      <c r="B5014" s="59" t="s">
        <v>20937</v>
      </c>
      <c r="C5014" s="147" t="s">
        <v>20221</v>
      </c>
      <c r="D5014" s="284" t="s">
        <v>897</v>
      </c>
      <c r="E5014" s="178">
        <v>2021</v>
      </c>
      <c r="F5014" s="178" t="s">
        <v>4520</v>
      </c>
      <c r="G5014" s="496"/>
      <c r="H5014" s="994" t="s">
        <v>20221</v>
      </c>
      <c r="I5014" s="11" t="s">
        <v>6946</v>
      </c>
      <c r="J5014" s="1285"/>
      <c r="K5014" s="1285"/>
      <c r="L5014" s="1285"/>
    </row>
    <row r="5015" spans="1:12" ht="11.15" customHeight="1">
      <c r="A5015" s="29" t="s">
        <v>6947</v>
      </c>
      <c r="B5015" s="59" t="s">
        <v>20937</v>
      </c>
      <c r="C5015" s="147" t="s">
        <v>20221</v>
      </c>
      <c r="D5015" s="284" t="s">
        <v>897</v>
      </c>
      <c r="E5015" s="178">
        <v>2020</v>
      </c>
      <c r="F5015" s="178" t="s">
        <v>4520</v>
      </c>
      <c r="G5015" s="496"/>
      <c r="H5015" s="994" t="s">
        <v>20221</v>
      </c>
      <c r="I5015" s="11" t="s">
        <v>6948</v>
      </c>
      <c r="J5015" s="1285"/>
      <c r="K5015" s="1285"/>
      <c r="L5015" s="1285"/>
    </row>
    <row r="5016" spans="1:12" ht="11.15" customHeight="1">
      <c r="A5016" s="29" t="s">
        <v>6949</v>
      </c>
      <c r="B5016" s="59" t="s">
        <v>20937</v>
      </c>
      <c r="C5016" s="147" t="s">
        <v>20221</v>
      </c>
      <c r="D5016" s="284" t="s">
        <v>897</v>
      </c>
      <c r="E5016" s="178">
        <v>2019</v>
      </c>
      <c r="F5016" s="178" t="s">
        <v>4520</v>
      </c>
      <c r="G5016" s="496"/>
      <c r="H5016" s="994" t="s">
        <v>20221</v>
      </c>
      <c r="I5016" s="11" t="s">
        <v>6950</v>
      </c>
      <c r="J5016" s="1285"/>
      <c r="K5016" s="1285"/>
      <c r="L5016" s="1285"/>
    </row>
    <row r="5017" spans="1:12" ht="11.15" customHeight="1">
      <c r="A5017" s="29" t="s">
        <v>6951</v>
      </c>
      <c r="B5017" s="59" t="s">
        <v>20937</v>
      </c>
      <c r="C5017" s="147" t="s">
        <v>20221</v>
      </c>
      <c r="D5017" s="284" t="s">
        <v>897</v>
      </c>
      <c r="E5017" s="178">
        <v>2018</v>
      </c>
      <c r="F5017" s="178" t="s">
        <v>4520</v>
      </c>
      <c r="G5017" s="496"/>
      <c r="H5017" s="994" t="s">
        <v>20221</v>
      </c>
      <c r="I5017" s="11" t="s">
        <v>6952</v>
      </c>
      <c r="J5017" s="1285"/>
      <c r="K5017" s="1285"/>
      <c r="L5017" s="1285"/>
    </row>
    <row r="5018" spans="1:12" ht="11.15" customHeight="1">
      <c r="A5018" s="29" t="s">
        <v>6953</v>
      </c>
      <c r="B5018" s="59" t="s">
        <v>20937</v>
      </c>
      <c r="C5018" s="147" t="s">
        <v>20221</v>
      </c>
      <c r="D5018" s="284" t="s">
        <v>897</v>
      </c>
      <c r="E5018" s="178">
        <v>2017</v>
      </c>
      <c r="F5018" s="178" t="s">
        <v>4520</v>
      </c>
      <c r="G5018" s="496"/>
      <c r="H5018" s="994" t="s">
        <v>20221</v>
      </c>
      <c r="I5018" s="11" t="s">
        <v>6954</v>
      </c>
      <c r="J5018" s="1285"/>
      <c r="K5018" s="1285"/>
      <c r="L5018" s="1285"/>
    </row>
    <row r="5019" spans="1:12" ht="11.15" customHeight="1">
      <c r="A5019" s="29" t="s">
        <v>6955</v>
      </c>
      <c r="B5019" s="154" t="s">
        <v>6956</v>
      </c>
      <c r="C5019" s="147"/>
      <c r="D5019" s="161"/>
      <c r="E5019" s="36"/>
      <c r="F5019" s="178"/>
      <c r="G5019" s="496"/>
      <c r="H5019" s="36"/>
      <c r="I5019" s="11"/>
    </row>
    <row r="5020" spans="1:12" ht="11.15" customHeight="1">
      <c r="A5020" s="129" t="s">
        <v>6076</v>
      </c>
      <c r="B5020" s="59" t="s">
        <v>21101</v>
      </c>
      <c r="C5020" s="147" t="s">
        <v>20221</v>
      </c>
      <c r="D5020" s="284" t="s">
        <v>897</v>
      </c>
      <c r="E5020" s="178">
        <v>2020</v>
      </c>
      <c r="F5020" s="178" t="s">
        <v>4520</v>
      </c>
      <c r="G5020" s="496"/>
      <c r="H5020" s="994" t="s">
        <v>20221</v>
      </c>
      <c r="I5020" s="11" t="s">
        <v>6957</v>
      </c>
      <c r="J5020" s="1285"/>
      <c r="K5020" s="1285"/>
      <c r="L5020" s="1285"/>
    </row>
    <row r="5021" spans="1:12" ht="11.15" customHeight="1">
      <c r="A5021" s="162" t="s">
        <v>6958</v>
      </c>
      <c r="B5021" s="59" t="s">
        <v>21101</v>
      </c>
      <c r="C5021" s="147" t="s">
        <v>20221</v>
      </c>
      <c r="D5021" s="284" t="s">
        <v>897</v>
      </c>
      <c r="E5021" s="178">
        <v>2019</v>
      </c>
      <c r="F5021" s="178" t="s">
        <v>4520</v>
      </c>
      <c r="G5021" s="496"/>
      <c r="H5021" s="994" t="s">
        <v>20221</v>
      </c>
      <c r="I5021" s="11" t="s">
        <v>6959</v>
      </c>
      <c r="J5021" s="1285"/>
      <c r="K5021" s="1285"/>
      <c r="L5021" s="1285"/>
    </row>
    <row r="5022" spans="1:12" ht="11.15" customHeight="1">
      <c r="A5022" s="162" t="s">
        <v>6960</v>
      </c>
      <c r="B5022" s="59" t="s">
        <v>21101</v>
      </c>
      <c r="C5022" s="147" t="s">
        <v>20221</v>
      </c>
      <c r="D5022" s="284" t="s">
        <v>897</v>
      </c>
      <c r="E5022" s="178">
        <v>2018</v>
      </c>
      <c r="F5022" s="178" t="s">
        <v>4520</v>
      </c>
      <c r="G5022" s="496"/>
      <c r="H5022" s="994" t="s">
        <v>20221</v>
      </c>
      <c r="I5022" s="11" t="s">
        <v>6961</v>
      </c>
      <c r="J5022" s="1285"/>
      <c r="K5022" s="1285"/>
      <c r="L5022" s="1285"/>
    </row>
    <row r="5023" spans="1:12" ht="11.15" customHeight="1">
      <c r="A5023" s="162" t="s">
        <v>6962</v>
      </c>
      <c r="B5023" s="59" t="s">
        <v>21101</v>
      </c>
      <c r="C5023" s="147" t="s">
        <v>20221</v>
      </c>
      <c r="D5023" s="284" t="s">
        <v>897</v>
      </c>
      <c r="E5023" s="178">
        <v>2017</v>
      </c>
      <c r="F5023" s="178" t="s">
        <v>4520</v>
      </c>
      <c r="G5023" s="496"/>
      <c r="H5023" s="994" t="s">
        <v>20221</v>
      </c>
      <c r="I5023" s="11" t="s">
        <v>6963</v>
      </c>
      <c r="J5023" s="1285"/>
      <c r="K5023" s="1285"/>
      <c r="L5023" s="1285"/>
    </row>
    <row r="5024" spans="1:12" ht="11.15" customHeight="1">
      <c r="A5024" s="162" t="s">
        <v>6964</v>
      </c>
      <c r="B5024" s="59" t="s">
        <v>21101</v>
      </c>
      <c r="C5024" s="147" t="s">
        <v>20221</v>
      </c>
      <c r="D5024" s="284" t="s">
        <v>897</v>
      </c>
      <c r="E5024" s="178">
        <v>2007</v>
      </c>
      <c r="F5024" s="178" t="s">
        <v>4520</v>
      </c>
      <c r="G5024" s="496"/>
      <c r="H5024" s="994" t="s">
        <v>20221</v>
      </c>
      <c r="I5024" s="11" t="s">
        <v>6965</v>
      </c>
      <c r="J5024" s="1285"/>
      <c r="K5024" s="1285"/>
      <c r="L5024" s="1285"/>
    </row>
    <row r="5025" spans="1:12" ht="11.15" customHeight="1">
      <c r="A5025" s="162" t="s">
        <v>6966</v>
      </c>
      <c r="B5025" s="59" t="s">
        <v>21101</v>
      </c>
      <c r="C5025" s="147" t="s">
        <v>20221</v>
      </c>
      <c r="D5025" s="284" t="s">
        <v>897</v>
      </c>
      <c r="E5025" s="178">
        <v>1995</v>
      </c>
      <c r="F5025" s="178" t="s">
        <v>4520</v>
      </c>
      <c r="G5025" s="496"/>
      <c r="H5025" s="994" t="s">
        <v>20221</v>
      </c>
      <c r="I5025" s="11" t="s">
        <v>6967</v>
      </c>
      <c r="J5025" s="1285"/>
      <c r="K5025" s="1285"/>
      <c r="L5025" s="1285"/>
    </row>
    <row r="5026" spans="1:12" ht="11.15" customHeight="1">
      <c r="A5026" s="162" t="s">
        <v>6968</v>
      </c>
      <c r="B5026" s="154" t="s">
        <v>6969</v>
      </c>
      <c r="C5026" s="147"/>
      <c r="D5026" s="161"/>
      <c r="E5026" s="36"/>
      <c r="F5026" s="178"/>
      <c r="G5026" s="496"/>
      <c r="H5026" s="36"/>
      <c r="I5026" s="11"/>
    </row>
    <row r="5027" spans="1:12" ht="11.15" customHeight="1">
      <c r="A5027" s="162" t="s">
        <v>6970</v>
      </c>
      <c r="B5027" s="59" t="s">
        <v>21102</v>
      </c>
      <c r="C5027" s="147" t="s">
        <v>20221</v>
      </c>
      <c r="D5027" s="284" t="s">
        <v>897</v>
      </c>
      <c r="E5027" s="178">
        <v>2014</v>
      </c>
      <c r="F5027" s="178" t="s">
        <v>4520</v>
      </c>
      <c r="G5027" s="496"/>
      <c r="H5027" s="994" t="s">
        <v>20221</v>
      </c>
      <c r="I5027" s="11" t="s">
        <v>6971</v>
      </c>
      <c r="J5027" s="1285"/>
      <c r="K5027" s="1285"/>
      <c r="L5027" s="1285"/>
    </row>
    <row r="5028" spans="1:12" ht="11.15" customHeight="1">
      <c r="A5028" s="129" t="s">
        <v>3591</v>
      </c>
      <c r="B5028" s="59" t="s">
        <v>21103</v>
      </c>
      <c r="C5028" s="147" t="s">
        <v>20221</v>
      </c>
      <c r="D5028" s="284" t="s">
        <v>897</v>
      </c>
      <c r="E5028" s="178">
        <v>2020</v>
      </c>
      <c r="F5028" s="178" t="s">
        <v>4520</v>
      </c>
      <c r="G5028" s="496"/>
      <c r="H5028" s="994" t="s">
        <v>20221</v>
      </c>
      <c r="I5028" s="11" t="s">
        <v>6972</v>
      </c>
      <c r="J5028" s="1285"/>
      <c r="K5028" s="1285"/>
      <c r="L5028" s="1285"/>
    </row>
    <row r="5029" spans="1:12" ht="11.15" customHeight="1">
      <c r="A5029" s="162" t="s">
        <v>6973</v>
      </c>
      <c r="B5029" s="59" t="s">
        <v>21103</v>
      </c>
      <c r="C5029" s="147" t="s">
        <v>20221</v>
      </c>
      <c r="D5029" s="284" t="s">
        <v>897</v>
      </c>
      <c r="E5029" s="178">
        <v>2019</v>
      </c>
      <c r="F5029" s="178" t="s">
        <v>4520</v>
      </c>
      <c r="G5029" s="496"/>
      <c r="H5029" s="994" t="s">
        <v>20221</v>
      </c>
      <c r="I5029" s="11" t="s">
        <v>6974</v>
      </c>
      <c r="J5029" s="1285"/>
      <c r="K5029" s="1285"/>
      <c r="L5029" s="1285"/>
    </row>
    <row r="5030" spans="1:12" ht="11.15" customHeight="1">
      <c r="A5030" s="162" t="s">
        <v>6975</v>
      </c>
      <c r="B5030" s="59" t="s">
        <v>21103</v>
      </c>
      <c r="C5030" s="147" t="s">
        <v>20221</v>
      </c>
      <c r="D5030" s="284" t="s">
        <v>897</v>
      </c>
      <c r="E5030" s="178">
        <v>1999</v>
      </c>
      <c r="F5030" s="178" t="s">
        <v>4520</v>
      </c>
      <c r="G5030" s="496"/>
      <c r="H5030" s="994" t="s">
        <v>20224</v>
      </c>
      <c r="I5030" s="11" t="s">
        <v>6976</v>
      </c>
      <c r="J5030" s="1285"/>
      <c r="K5030" s="1285"/>
      <c r="L5030" s="1285"/>
    </row>
    <row r="5031" spans="1:12" ht="11.15" customHeight="1">
      <c r="A5031" s="162" t="s">
        <v>6977</v>
      </c>
      <c r="B5031" s="59" t="s">
        <v>21103</v>
      </c>
      <c r="C5031" s="147" t="s">
        <v>20221</v>
      </c>
      <c r="D5031" s="284" t="s">
        <v>897</v>
      </c>
      <c r="E5031" s="178">
        <v>1997</v>
      </c>
      <c r="F5031" s="178" t="s">
        <v>4520</v>
      </c>
      <c r="G5031" s="496"/>
      <c r="H5031" s="994" t="s">
        <v>20221</v>
      </c>
      <c r="I5031" s="11" t="s">
        <v>6978</v>
      </c>
      <c r="J5031" s="1285"/>
      <c r="K5031" s="1285"/>
      <c r="L5031" s="1285"/>
    </row>
    <row r="5032" spans="1:12" ht="11.15" customHeight="1">
      <c r="A5032" s="162" t="s">
        <v>6979</v>
      </c>
      <c r="B5032" s="59" t="s">
        <v>21104</v>
      </c>
      <c r="C5032" s="147" t="s">
        <v>20221</v>
      </c>
      <c r="D5032" s="284" t="s">
        <v>897</v>
      </c>
      <c r="E5032" s="178">
        <v>2021</v>
      </c>
      <c r="F5032" s="178" t="s">
        <v>4520</v>
      </c>
      <c r="G5032" s="496"/>
      <c r="H5032" s="994" t="s">
        <v>20221</v>
      </c>
      <c r="I5032" s="11" t="s">
        <v>6980</v>
      </c>
      <c r="J5032" s="1285"/>
      <c r="K5032" s="1285"/>
      <c r="L5032" s="1285"/>
    </row>
    <row r="5033" spans="1:12" ht="11.15" customHeight="1">
      <c r="A5033" s="162" t="s">
        <v>6981</v>
      </c>
      <c r="B5033" s="59" t="s">
        <v>21104</v>
      </c>
      <c r="C5033" s="147" t="s">
        <v>20221</v>
      </c>
      <c r="D5033" s="284" t="s">
        <v>897</v>
      </c>
      <c r="E5033" s="178">
        <v>2020</v>
      </c>
      <c r="F5033" s="178" t="s">
        <v>4520</v>
      </c>
      <c r="G5033" s="496"/>
      <c r="H5033" s="994" t="s">
        <v>20221</v>
      </c>
      <c r="I5033" s="11" t="s">
        <v>6982</v>
      </c>
      <c r="J5033" s="1285"/>
      <c r="K5033" s="1285"/>
      <c r="L5033" s="1285"/>
    </row>
    <row r="5034" spans="1:12" ht="11.15" customHeight="1">
      <c r="A5034" s="162" t="s">
        <v>6983</v>
      </c>
      <c r="B5034" s="59" t="s">
        <v>21104</v>
      </c>
      <c r="C5034" s="147" t="s">
        <v>20221</v>
      </c>
      <c r="D5034" s="284" t="s">
        <v>897</v>
      </c>
      <c r="E5034" s="178">
        <v>2011</v>
      </c>
      <c r="F5034" s="178" t="s">
        <v>4520</v>
      </c>
      <c r="G5034" s="496"/>
      <c r="H5034" s="994" t="s">
        <v>20221</v>
      </c>
      <c r="I5034" s="11" t="s">
        <v>6984</v>
      </c>
      <c r="J5034" s="1285"/>
      <c r="K5034" s="1285"/>
      <c r="L5034" s="1285"/>
    </row>
    <row r="5035" spans="1:12" ht="11.15" customHeight="1">
      <c r="A5035" s="162" t="s">
        <v>6906</v>
      </c>
      <c r="B5035" s="59" t="s">
        <v>21104</v>
      </c>
      <c r="C5035" s="147" t="s">
        <v>20221</v>
      </c>
      <c r="D5035" s="284" t="s">
        <v>897</v>
      </c>
      <c r="E5035" s="178">
        <v>2007</v>
      </c>
      <c r="F5035" s="178" t="s">
        <v>4520</v>
      </c>
      <c r="G5035" s="496"/>
      <c r="H5035" s="994" t="s">
        <v>20221</v>
      </c>
      <c r="I5035" s="11" t="s">
        <v>6985</v>
      </c>
      <c r="J5035" s="1285"/>
      <c r="K5035" s="1285"/>
      <c r="L5035" s="1285"/>
    </row>
    <row r="5036" spans="1:12" ht="11.15" customHeight="1">
      <c r="A5036" s="162" t="s">
        <v>6986</v>
      </c>
      <c r="B5036" s="59" t="s">
        <v>21104</v>
      </c>
      <c r="C5036" s="147" t="s">
        <v>20221</v>
      </c>
      <c r="D5036" s="284" t="s">
        <v>897</v>
      </c>
      <c r="E5036" s="178">
        <v>2005</v>
      </c>
      <c r="F5036" s="178" t="s">
        <v>4520</v>
      </c>
      <c r="G5036" s="496"/>
      <c r="H5036" s="994" t="s">
        <v>20221</v>
      </c>
      <c r="I5036" s="11" t="s">
        <v>6987</v>
      </c>
      <c r="J5036" s="1285"/>
      <c r="K5036" s="1285"/>
      <c r="L5036" s="1285"/>
    </row>
    <row r="5037" spans="1:12" ht="11.15" customHeight="1">
      <c r="A5037" s="162" t="s">
        <v>6988</v>
      </c>
      <c r="B5037" s="59" t="s">
        <v>21066</v>
      </c>
      <c r="C5037" s="147" t="s">
        <v>20221</v>
      </c>
      <c r="D5037" s="284" t="s">
        <v>897</v>
      </c>
      <c r="E5037" s="178">
        <v>2021</v>
      </c>
      <c r="F5037" s="178" t="s">
        <v>4520</v>
      </c>
      <c r="G5037" s="496"/>
      <c r="H5037" s="994" t="s">
        <v>20221</v>
      </c>
      <c r="I5037" s="11" t="s">
        <v>6989</v>
      </c>
      <c r="J5037" s="1285"/>
      <c r="K5037" s="1285"/>
      <c r="L5037" s="1285"/>
    </row>
    <row r="5038" spans="1:12" ht="11.15" customHeight="1">
      <c r="A5038" s="162" t="s">
        <v>6990</v>
      </c>
      <c r="B5038" s="59" t="s">
        <v>21066</v>
      </c>
      <c r="C5038" s="147" t="s">
        <v>20221</v>
      </c>
      <c r="D5038" s="284" t="s">
        <v>897</v>
      </c>
      <c r="E5038" s="178">
        <v>2020</v>
      </c>
      <c r="F5038" s="178" t="s">
        <v>4520</v>
      </c>
      <c r="G5038" s="496"/>
      <c r="H5038" s="994" t="s">
        <v>20221</v>
      </c>
      <c r="I5038" s="11" t="s">
        <v>6991</v>
      </c>
      <c r="J5038" s="1285"/>
      <c r="K5038" s="1285"/>
      <c r="L5038" s="1285"/>
    </row>
    <row r="5039" spans="1:12" ht="11.15" customHeight="1">
      <c r="A5039" s="162" t="s">
        <v>6910</v>
      </c>
      <c r="B5039" s="59" t="s">
        <v>21066</v>
      </c>
      <c r="C5039" s="147" t="s">
        <v>20221</v>
      </c>
      <c r="D5039" s="284" t="s">
        <v>897</v>
      </c>
      <c r="E5039" s="178">
        <v>2019</v>
      </c>
      <c r="F5039" s="178" t="s">
        <v>4520</v>
      </c>
      <c r="G5039" s="496"/>
      <c r="H5039" s="994" t="s">
        <v>20224</v>
      </c>
      <c r="I5039" s="11" t="s">
        <v>6992</v>
      </c>
      <c r="J5039" s="1285"/>
      <c r="K5039" s="1285"/>
      <c r="L5039" s="1285"/>
    </row>
    <row r="5040" spans="1:12" ht="11.15" customHeight="1">
      <c r="A5040" s="162" t="s">
        <v>6912</v>
      </c>
      <c r="B5040" s="59" t="s">
        <v>21066</v>
      </c>
      <c r="C5040" s="147" t="s">
        <v>20221</v>
      </c>
      <c r="D5040" s="284" t="s">
        <v>897</v>
      </c>
      <c r="E5040" s="178">
        <v>2013</v>
      </c>
      <c r="F5040" s="178" t="s">
        <v>4520</v>
      </c>
      <c r="G5040" s="496"/>
      <c r="H5040" s="994" t="s">
        <v>20221</v>
      </c>
      <c r="I5040" s="11" t="s">
        <v>6993</v>
      </c>
      <c r="J5040" s="1285"/>
      <c r="K5040" s="1285"/>
      <c r="L5040" s="1285"/>
    </row>
    <row r="5041" spans="1:12" ht="11.15" customHeight="1">
      <c r="A5041" s="129" t="s">
        <v>4133</v>
      </c>
      <c r="B5041" s="59" t="s">
        <v>21066</v>
      </c>
      <c r="C5041" s="147" t="s">
        <v>20221</v>
      </c>
      <c r="D5041" s="284" t="s">
        <v>897</v>
      </c>
      <c r="E5041" s="178">
        <v>2007</v>
      </c>
      <c r="F5041" s="178" t="s">
        <v>4520</v>
      </c>
      <c r="G5041" s="496"/>
      <c r="H5041" s="994" t="s">
        <v>20221</v>
      </c>
      <c r="I5041" s="11" t="s">
        <v>6994</v>
      </c>
      <c r="J5041" s="1285"/>
      <c r="K5041" s="1285"/>
      <c r="L5041" s="1285"/>
    </row>
    <row r="5042" spans="1:12" ht="11.15" customHeight="1">
      <c r="A5042" s="492" t="s">
        <v>6714</v>
      </c>
      <c r="B5042" s="59" t="s">
        <v>21066</v>
      </c>
      <c r="C5042" s="147" t="s">
        <v>20221</v>
      </c>
      <c r="D5042" s="284" t="s">
        <v>897</v>
      </c>
      <c r="E5042" s="178">
        <v>2005</v>
      </c>
      <c r="F5042" s="178" t="s">
        <v>4520</v>
      </c>
      <c r="G5042" s="496"/>
      <c r="H5042" s="994" t="s">
        <v>20221</v>
      </c>
      <c r="I5042" s="11" t="s">
        <v>6995</v>
      </c>
      <c r="J5042" s="1285"/>
      <c r="K5042" s="1285"/>
      <c r="L5042" s="1285"/>
    </row>
    <row r="5043" spans="1:12" ht="11.15" customHeight="1">
      <c r="A5043" s="481" t="s">
        <v>6996</v>
      </c>
      <c r="B5043" s="154" t="s">
        <v>4255</v>
      </c>
      <c r="C5043" s="147"/>
      <c r="D5043" s="129"/>
      <c r="E5043" s="185"/>
      <c r="F5043" s="185"/>
      <c r="G5043" s="185"/>
      <c r="H5043" s="185"/>
      <c r="I5043" s="11"/>
    </row>
    <row r="5044" spans="1:12" ht="11.15" customHeight="1">
      <c r="A5044" s="29"/>
      <c r="B5044" s="59" t="s">
        <v>21105</v>
      </c>
      <c r="C5044" s="147" t="s">
        <v>20221</v>
      </c>
      <c r="D5044" s="284" t="s">
        <v>897</v>
      </c>
      <c r="E5044" s="178">
        <v>2021</v>
      </c>
      <c r="F5044" s="178" t="s">
        <v>4520</v>
      </c>
      <c r="G5044" s="496"/>
      <c r="H5044" s="994" t="s">
        <v>20221</v>
      </c>
      <c r="I5044" s="11" t="s">
        <v>6997</v>
      </c>
      <c r="J5044" s="1285"/>
      <c r="K5044" s="1285"/>
      <c r="L5044" s="1285"/>
    </row>
    <row r="5045" spans="1:12" ht="11.15" customHeight="1">
      <c r="A5045" s="185"/>
      <c r="B5045" s="59" t="s">
        <v>21105</v>
      </c>
      <c r="C5045" s="147" t="s">
        <v>20221</v>
      </c>
      <c r="D5045" s="284" t="s">
        <v>897</v>
      </c>
      <c r="E5045" s="178">
        <v>2020</v>
      </c>
      <c r="F5045" s="178" t="s">
        <v>4520</v>
      </c>
      <c r="G5045" s="496"/>
      <c r="H5045" s="994" t="s">
        <v>20221</v>
      </c>
      <c r="I5045" s="11" t="s">
        <v>6998</v>
      </c>
      <c r="J5045" s="1285"/>
      <c r="K5045" s="1285"/>
      <c r="L5045" s="1285"/>
    </row>
    <row r="5046" spans="1:12" ht="11.15" customHeight="1">
      <c r="A5046" s="185"/>
      <c r="B5046" s="59" t="s">
        <v>21105</v>
      </c>
      <c r="C5046" s="147" t="s">
        <v>20221</v>
      </c>
      <c r="D5046" s="284" t="s">
        <v>897</v>
      </c>
      <c r="E5046" s="178">
        <v>2017</v>
      </c>
      <c r="F5046" s="178" t="s">
        <v>4520</v>
      </c>
      <c r="G5046" s="496"/>
      <c r="H5046" s="994" t="s">
        <v>20224</v>
      </c>
      <c r="I5046" s="11" t="s">
        <v>6999</v>
      </c>
      <c r="J5046" s="1285"/>
      <c r="K5046" s="1285"/>
      <c r="L5046" s="1285"/>
    </row>
    <row r="5047" spans="1:12" ht="11.15" customHeight="1">
      <c r="A5047" s="185"/>
      <c r="B5047" s="59" t="s">
        <v>21105</v>
      </c>
      <c r="C5047" s="147" t="s">
        <v>20221</v>
      </c>
      <c r="D5047" s="284" t="s">
        <v>897</v>
      </c>
      <c r="E5047" s="178">
        <v>2013</v>
      </c>
      <c r="F5047" s="178" t="s">
        <v>4520</v>
      </c>
      <c r="G5047" s="496"/>
      <c r="H5047" s="994" t="s">
        <v>20221</v>
      </c>
      <c r="I5047" s="11" t="s">
        <v>7000</v>
      </c>
      <c r="J5047" s="1285"/>
      <c r="K5047" s="1285"/>
      <c r="L5047" s="1285"/>
    </row>
    <row r="5048" spans="1:12" ht="11.15" customHeight="1">
      <c r="A5048" s="185"/>
      <c r="B5048" s="59" t="s">
        <v>21105</v>
      </c>
      <c r="C5048" s="147" t="s">
        <v>20221</v>
      </c>
      <c r="D5048" s="284" t="s">
        <v>897</v>
      </c>
      <c r="E5048" s="178">
        <v>2008</v>
      </c>
      <c r="F5048" s="178" t="s">
        <v>4520</v>
      </c>
      <c r="G5048" s="496"/>
      <c r="H5048" s="994" t="s">
        <v>20221</v>
      </c>
      <c r="I5048" s="11" t="s">
        <v>7001</v>
      </c>
      <c r="J5048" s="1285"/>
      <c r="K5048" s="1285"/>
      <c r="L5048" s="1285"/>
    </row>
    <row r="5049" spans="1:12" ht="11.15" customHeight="1">
      <c r="A5049" s="185"/>
      <c r="B5049" s="59" t="s">
        <v>21105</v>
      </c>
      <c r="C5049" s="147" t="s">
        <v>20221</v>
      </c>
      <c r="D5049" s="284" t="s">
        <v>897</v>
      </c>
      <c r="E5049" s="178">
        <v>2006</v>
      </c>
      <c r="F5049" s="178" t="s">
        <v>4520</v>
      </c>
      <c r="G5049" s="496"/>
      <c r="H5049" s="994" t="s">
        <v>20221</v>
      </c>
      <c r="I5049" s="11" t="s">
        <v>7002</v>
      </c>
      <c r="J5049" s="1285"/>
      <c r="K5049" s="1285"/>
      <c r="L5049" s="1285"/>
    </row>
    <row r="5050" spans="1:12" ht="11.15" customHeight="1">
      <c r="A5050" s="185"/>
      <c r="B5050" s="59" t="s">
        <v>21105</v>
      </c>
      <c r="C5050" s="147" t="s">
        <v>20221</v>
      </c>
      <c r="D5050" s="284" t="s">
        <v>897</v>
      </c>
      <c r="E5050" s="178">
        <v>2005</v>
      </c>
      <c r="F5050" s="178" t="s">
        <v>4520</v>
      </c>
      <c r="G5050" s="496"/>
      <c r="H5050" s="994" t="s">
        <v>20221</v>
      </c>
      <c r="I5050" s="11" t="s">
        <v>7003</v>
      </c>
      <c r="J5050" s="1285"/>
      <c r="K5050" s="1285"/>
      <c r="L5050" s="1285"/>
    </row>
    <row r="5051" spans="1:12" ht="11.15" customHeight="1">
      <c r="A5051" s="185"/>
      <c r="B5051" s="154" t="s">
        <v>7004</v>
      </c>
      <c r="C5051" s="147"/>
      <c r="D5051" s="161"/>
      <c r="E5051" s="36"/>
      <c r="F5051" s="178"/>
      <c r="G5051" s="496"/>
      <c r="H5051" s="36"/>
      <c r="I5051" s="11"/>
    </row>
    <row r="5052" spans="1:12" ht="11.15" customHeight="1">
      <c r="A5052" s="185"/>
      <c r="B5052" s="59" t="s">
        <v>21106</v>
      </c>
      <c r="C5052" s="147" t="s">
        <v>20221</v>
      </c>
      <c r="D5052" s="284" t="s">
        <v>897</v>
      </c>
      <c r="E5052" s="178">
        <v>2013</v>
      </c>
      <c r="F5052" s="178" t="s">
        <v>5257</v>
      </c>
      <c r="G5052" s="496"/>
      <c r="H5052" s="994" t="s">
        <v>20224</v>
      </c>
      <c r="I5052" s="11" t="s">
        <v>7005</v>
      </c>
      <c r="J5052" s="1285"/>
      <c r="K5052" s="1285"/>
      <c r="L5052" s="1285"/>
    </row>
    <row r="5053" spans="1:12" ht="11.15" customHeight="1">
      <c r="A5053" s="185"/>
      <c r="B5053" s="59" t="s">
        <v>21106</v>
      </c>
      <c r="C5053" s="147" t="s">
        <v>20221</v>
      </c>
      <c r="D5053" s="284" t="s">
        <v>897</v>
      </c>
      <c r="E5053" s="178">
        <v>2011</v>
      </c>
      <c r="F5053" s="178" t="s">
        <v>5257</v>
      </c>
      <c r="G5053" s="496"/>
      <c r="H5053" s="994" t="s">
        <v>20224</v>
      </c>
      <c r="I5053" s="11" t="s">
        <v>7006</v>
      </c>
      <c r="J5053" s="1285"/>
      <c r="K5053" s="1285"/>
      <c r="L5053" s="1285"/>
    </row>
    <row r="5054" spans="1:12" ht="11.15" customHeight="1">
      <c r="A5054" s="185"/>
      <c r="B5054" s="59" t="s">
        <v>21107</v>
      </c>
      <c r="C5054" s="147" t="s">
        <v>20221</v>
      </c>
      <c r="D5054" s="284" t="s">
        <v>897</v>
      </c>
      <c r="E5054" s="178">
        <v>2017</v>
      </c>
      <c r="F5054" s="178" t="s">
        <v>5257</v>
      </c>
      <c r="G5054" s="496"/>
      <c r="H5054" s="994" t="s">
        <v>20224</v>
      </c>
      <c r="I5054" s="11" t="s">
        <v>7007</v>
      </c>
      <c r="J5054" s="1285"/>
      <c r="K5054" s="1285"/>
      <c r="L5054" s="1285"/>
    </row>
    <row r="5055" spans="1:12" ht="11.15" customHeight="1">
      <c r="A5055" s="185"/>
      <c r="B5055" s="59" t="s">
        <v>21107</v>
      </c>
      <c r="C5055" s="147" t="s">
        <v>20221</v>
      </c>
      <c r="D5055" s="284" t="s">
        <v>897</v>
      </c>
      <c r="E5055" s="178">
        <v>2015</v>
      </c>
      <c r="F5055" s="178" t="s">
        <v>5257</v>
      </c>
      <c r="G5055" s="496"/>
      <c r="H5055" s="994" t="s">
        <v>20224</v>
      </c>
      <c r="I5055" s="11" t="s">
        <v>7008</v>
      </c>
      <c r="J5055" s="1285"/>
      <c r="K5055" s="1285"/>
      <c r="L5055" s="1285"/>
    </row>
    <row r="5056" spans="1:12" ht="11.15" customHeight="1">
      <c r="A5056" s="185"/>
      <c r="B5056" s="59" t="s">
        <v>21107</v>
      </c>
      <c r="C5056" s="147" t="s">
        <v>20221</v>
      </c>
      <c r="D5056" s="284" t="s">
        <v>897</v>
      </c>
      <c r="E5056" s="178">
        <v>2013</v>
      </c>
      <c r="F5056" s="178" t="s">
        <v>5257</v>
      </c>
      <c r="G5056" s="496"/>
      <c r="H5056" s="994" t="s">
        <v>20224</v>
      </c>
      <c r="I5056" s="11" t="s">
        <v>7009</v>
      </c>
      <c r="J5056" s="1285"/>
      <c r="K5056" s="1285"/>
      <c r="L5056" s="1285"/>
    </row>
    <row r="5057" spans="1:12" ht="11.15" customHeight="1">
      <c r="A5057" s="185"/>
      <c r="B5057" s="59" t="s">
        <v>21107</v>
      </c>
      <c r="C5057" s="147" t="s">
        <v>20221</v>
      </c>
      <c r="D5057" s="284" t="s">
        <v>897</v>
      </c>
      <c r="E5057" s="178">
        <v>2011</v>
      </c>
      <c r="F5057" s="178" t="s">
        <v>5257</v>
      </c>
      <c r="G5057" s="496"/>
      <c r="H5057" s="994" t="s">
        <v>20224</v>
      </c>
      <c r="I5057" s="11" t="s">
        <v>7010</v>
      </c>
      <c r="J5057" s="1285"/>
      <c r="K5057" s="1285"/>
      <c r="L5057" s="1285"/>
    </row>
    <row r="5058" spans="1:12" ht="11.15" customHeight="1">
      <c r="A5058" s="185"/>
      <c r="B5058" s="154" t="s">
        <v>7011</v>
      </c>
      <c r="C5058" s="147"/>
      <c r="D5058" s="161"/>
      <c r="E5058" s="36"/>
      <c r="F5058" s="178"/>
      <c r="G5058" s="496"/>
      <c r="H5058" s="36"/>
      <c r="I5058" s="11"/>
    </row>
    <row r="5059" spans="1:12" ht="11.15" customHeight="1">
      <c r="A5059" s="185"/>
      <c r="B5059" s="59" t="s">
        <v>21108</v>
      </c>
      <c r="C5059" s="147" t="s">
        <v>20221</v>
      </c>
      <c r="D5059" s="284" t="s">
        <v>897</v>
      </c>
      <c r="E5059" s="178">
        <v>2011</v>
      </c>
      <c r="F5059" s="178" t="s">
        <v>5257</v>
      </c>
      <c r="G5059" s="496"/>
      <c r="H5059" s="994" t="s">
        <v>20224</v>
      </c>
      <c r="I5059" s="11" t="s">
        <v>7012</v>
      </c>
      <c r="J5059" s="1285"/>
      <c r="K5059" s="1285"/>
      <c r="L5059" s="1285"/>
    </row>
    <row r="5060" spans="1:12" ht="11.15" customHeight="1">
      <c r="A5060" s="185"/>
      <c r="B5060" s="185"/>
      <c r="C5060" s="147"/>
      <c r="D5060" s="129"/>
      <c r="E5060" s="185"/>
      <c r="F5060" s="185"/>
      <c r="G5060" s="185"/>
      <c r="H5060" s="185"/>
      <c r="I5060" s="11"/>
    </row>
    <row r="5061" spans="1:12" ht="11.15" customHeight="1">
      <c r="A5061" s="185"/>
      <c r="B5061" s="146" t="s">
        <v>7013</v>
      </c>
      <c r="C5061" s="147"/>
      <c r="D5061" s="161"/>
      <c r="E5061" s="36"/>
      <c r="F5061" s="178"/>
      <c r="G5061" s="496"/>
      <c r="H5061" s="36"/>
      <c r="I5061" s="11"/>
    </row>
    <row r="5062" spans="1:12" ht="9" customHeight="1">
      <c r="A5062" s="185"/>
      <c r="B5062" s="150" t="s">
        <v>7014</v>
      </c>
      <c r="C5062" s="147"/>
      <c r="D5062" s="161"/>
      <c r="E5062" s="36"/>
      <c r="F5062" s="178"/>
      <c r="G5062" s="496"/>
      <c r="H5062" s="36"/>
      <c r="I5062" s="11"/>
    </row>
    <row r="5063" spans="1:12" ht="9" customHeight="1">
      <c r="A5063" s="185"/>
      <c r="B5063" s="150" t="s">
        <v>7015</v>
      </c>
      <c r="C5063" s="147"/>
      <c r="D5063" s="161"/>
      <c r="E5063" s="36"/>
      <c r="F5063" s="178"/>
      <c r="G5063" s="496"/>
      <c r="H5063" s="36"/>
      <c r="I5063" s="11"/>
    </row>
    <row r="5064" spans="1:12" ht="9" customHeight="1">
      <c r="A5064" s="185"/>
      <c r="B5064" s="150" t="s">
        <v>7016</v>
      </c>
      <c r="C5064" s="147"/>
      <c r="D5064" s="161"/>
      <c r="E5064" s="36"/>
      <c r="F5064" s="178"/>
      <c r="G5064" s="496"/>
      <c r="H5064" s="36"/>
      <c r="I5064" s="11"/>
    </row>
    <row r="5065" spans="1:12" ht="9" customHeight="1">
      <c r="A5065" s="185"/>
      <c r="B5065" s="150" t="s">
        <v>7017</v>
      </c>
      <c r="C5065" s="147"/>
      <c r="D5065" s="161"/>
      <c r="E5065" s="36"/>
      <c r="F5065" s="178"/>
      <c r="G5065" s="496"/>
      <c r="H5065" s="36"/>
      <c r="I5065" s="11"/>
    </row>
    <row r="5066" spans="1:12" ht="9" customHeight="1">
      <c r="A5066" s="185"/>
      <c r="B5066" s="150" t="s">
        <v>7018</v>
      </c>
      <c r="C5066" s="147"/>
      <c r="D5066" s="161"/>
      <c r="E5066" s="36"/>
      <c r="F5066" s="178"/>
      <c r="G5066" s="496"/>
      <c r="H5066" s="36"/>
      <c r="I5066" s="11"/>
    </row>
    <row r="5067" spans="1:12" ht="9" customHeight="1">
      <c r="A5067" s="185"/>
      <c r="B5067" s="150" t="s">
        <v>7019</v>
      </c>
      <c r="C5067" s="147"/>
      <c r="D5067" s="161"/>
      <c r="E5067" s="36"/>
      <c r="F5067" s="178"/>
      <c r="G5067" s="496"/>
      <c r="H5067" s="36"/>
      <c r="I5067" s="11"/>
    </row>
    <row r="5068" spans="1:12" ht="11.15" customHeight="1">
      <c r="A5068" s="162"/>
      <c r="B5068" s="150" t="s">
        <v>7020</v>
      </c>
      <c r="C5068" s="147"/>
      <c r="D5068" s="150"/>
      <c r="E5068" s="210"/>
      <c r="F5068" s="150"/>
      <c r="G5068" s="1190"/>
      <c r="H5068" s="210"/>
      <c r="I5068" s="11"/>
    </row>
    <row r="5069" spans="1:12" ht="9" customHeight="1">
      <c r="A5069" s="185"/>
      <c r="B5069" s="209" t="s">
        <v>7021</v>
      </c>
      <c r="C5069" s="147"/>
      <c r="D5069" s="161"/>
      <c r="E5069" s="36"/>
      <c r="F5069" s="178"/>
      <c r="G5069" s="496"/>
      <c r="H5069" s="36"/>
      <c r="I5069" s="11"/>
    </row>
    <row r="5070" spans="1:12" ht="9" customHeight="1">
      <c r="A5070" s="185"/>
      <c r="B5070" s="150" t="s">
        <v>7022</v>
      </c>
      <c r="C5070" s="147"/>
      <c r="D5070" s="161"/>
      <c r="E5070" s="36"/>
      <c r="F5070" s="178"/>
      <c r="G5070" s="496"/>
      <c r="H5070" s="36"/>
      <c r="I5070" s="11"/>
    </row>
    <row r="5071" spans="1:12" ht="9" customHeight="1">
      <c r="A5071" s="185"/>
      <c r="B5071" s="150" t="s">
        <v>7023</v>
      </c>
      <c r="C5071" s="147"/>
      <c r="D5071" s="122"/>
      <c r="E5071" s="36"/>
      <c r="F5071" s="178"/>
      <c r="G5071" s="60"/>
      <c r="H5071" s="36"/>
      <c r="I5071" s="11"/>
    </row>
    <row r="5072" spans="1:12" ht="9" customHeight="1">
      <c r="A5072" s="185"/>
      <c r="B5072" s="150" t="s">
        <v>7024</v>
      </c>
      <c r="C5072" s="147"/>
      <c r="D5072" s="122"/>
      <c r="E5072" s="36"/>
      <c r="F5072" s="178"/>
      <c r="G5072" s="60"/>
      <c r="H5072" s="36"/>
      <c r="I5072" s="11"/>
    </row>
    <row r="5073" spans="1:12" ht="9" customHeight="1">
      <c r="A5073" s="185"/>
      <c r="B5073" s="150" t="s">
        <v>7025</v>
      </c>
      <c r="C5073" s="147"/>
      <c r="D5073" s="161"/>
      <c r="E5073" s="36"/>
      <c r="F5073" s="178"/>
      <c r="G5073" s="496"/>
      <c r="H5073" s="36"/>
      <c r="I5073" s="11"/>
    </row>
    <row r="5074" spans="1:12" ht="9" customHeight="1">
      <c r="A5074" s="129"/>
      <c r="B5074" s="209" t="s">
        <v>7026</v>
      </c>
      <c r="C5074" s="147"/>
      <c r="D5074" s="122"/>
      <c r="E5074" s="36"/>
      <c r="F5074" s="178"/>
      <c r="G5074" s="60"/>
      <c r="H5074" s="36"/>
      <c r="I5074" s="11"/>
    </row>
    <row r="5075" spans="1:12" ht="9" customHeight="1">
      <c r="A5075" s="129"/>
      <c r="B5075" s="150" t="s">
        <v>7027</v>
      </c>
      <c r="C5075" s="147"/>
      <c r="D5075" s="122"/>
      <c r="E5075" s="36"/>
      <c r="F5075" s="178"/>
      <c r="G5075" s="60"/>
      <c r="H5075" s="36"/>
      <c r="I5075" s="11"/>
    </row>
    <row r="5076" spans="1:12" ht="9" customHeight="1" thickBot="1">
      <c r="A5076" s="129"/>
      <c r="B5076" s="150" t="s">
        <v>7028</v>
      </c>
      <c r="C5076" s="147"/>
      <c r="D5076" s="122"/>
      <c r="E5076" s="36"/>
      <c r="F5076" s="178"/>
      <c r="G5076" s="60"/>
      <c r="H5076" s="36"/>
      <c r="I5076" s="11"/>
    </row>
    <row r="5077" spans="1:12" ht="11.15" customHeight="1">
      <c r="A5077" s="153" t="s">
        <v>7029</v>
      </c>
      <c r="B5077" s="154" t="s">
        <v>7030</v>
      </c>
      <c r="C5077" s="147"/>
      <c r="D5077" s="122"/>
      <c r="E5077" s="36"/>
      <c r="F5077" s="178"/>
      <c r="G5077" s="60"/>
      <c r="H5077" s="36"/>
      <c r="I5077" s="11"/>
    </row>
    <row r="5078" spans="1:12" ht="11.15" customHeight="1">
      <c r="A5078" s="493" t="s">
        <v>7031</v>
      </c>
      <c r="B5078" s="59" t="s">
        <v>21110</v>
      </c>
      <c r="C5078" s="147" t="s">
        <v>20221</v>
      </c>
      <c r="D5078" s="701" t="s">
        <v>1129</v>
      </c>
      <c r="E5078" s="178">
        <v>2022</v>
      </c>
      <c r="F5078" s="178" t="s">
        <v>4520</v>
      </c>
      <c r="G5078" s="496"/>
      <c r="H5078" s="994" t="s">
        <v>20343</v>
      </c>
      <c r="I5078" s="11" t="s">
        <v>7032</v>
      </c>
      <c r="J5078" s="1285"/>
      <c r="K5078" s="1285"/>
      <c r="L5078" s="1285"/>
    </row>
    <row r="5079" spans="1:12" ht="11.15" customHeight="1" thickBot="1">
      <c r="A5079" s="155" t="s">
        <v>7033</v>
      </c>
      <c r="B5079" s="59" t="s">
        <v>21110</v>
      </c>
      <c r="C5079" s="147" t="s">
        <v>20221</v>
      </c>
      <c r="D5079" s="701" t="s">
        <v>1129</v>
      </c>
      <c r="E5079" s="178">
        <v>2021</v>
      </c>
      <c r="F5079" s="178" t="s">
        <v>4520</v>
      </c>
      <c r="G5079" s="496"/>
      <c r="H5079" s="994" t="s">
        <v>20224</v>
      </c>
      <c r="I5079" s="11" t="s">
        <v>7034</v>
      </c>
      <c r="J5079" s="1285"/>
      <c r="K5079" s="1285"/>
      <c r="L5079" s="1285"/>
    </row>
    <row r="5080" spans="1:12" ht="11.15" customHeight="1">
      <c r="A5080" s="29" t="s">
        <v>7035</v>
      </c>
      <c r="B5080" s="59" t="s">
        <v>21110</v>
      </c>
      <c r="C5080" s="147" t="s">
        <v>20221</v>
      </c>
      <c r="D5080" s="701" t="s">
        <v>1129</v>
      </c>
      <c r="E5080" s="178">
        <v>2020</v>
      </c>
      <c r="F5080" s="178" t="s">
        <v>4520</v>
      </c>
      <c r="G5080" s="496"/>
      <c r="H5080" s="994" t="s">
        <v>20221</v>
      </c>
      <c r="I5080" s="11" t="s">
        <v>7036</v>
      </c>
      <c r="J5080" s="1285"/>
      <c r="K5080" s="1285"/>
      <c r="L5080" s="1285"/>
    </row>
    <row r="5081" spans="1:12" ht="11.15" customHeight="1">
      <c r="A5081" s="29" t="s">
        <v>7037</v>
      </c>
      <c r="B5081" s="177" t="s">
        <v>4155</v>
      </c>
      <c r="C5081" s="147"/>
      <c r="D5081" s="159"/>
      <c r="E5081" s="36"/>
      <c r="F5081" s="178"/>
      <c r="G5081" s="496"/>
      <c r="H5081" s="36"/>
      <c r="I5081" s="11"/>
    </row>
    <row r="5082" spans="1:12" ht="11.15" customHeight="1">
      <c r="A5082" s="29" t="s">
        <v>7038</v>
      </c>
      <c r="B5082" s="59" t="s">
        <v>21111</v>
      </c>
      <c r="C5082" s="147" t="s">
        <v>20221</v>
      </c>
      <c r="D5082" s="284" t="s">
        <v>897</v>
      </c>
      <c r="E5082" s="178">
        <v>2022</v>
      </c>
      <c r="F5082" s="178" t="s">
        <v>4520</v>
      </c>
      <c r="G5082" s="496"/>
      <c r="H5082" s="994" t="s">
        <v>20343</v>
      </c>
      <c r="I5082" s="11" t="s">
        <v>7039</v>
      </c>
      <c r="J5082" s="1285"/>
      <c r="K5082" s="1285"/>
      <c r="L5082" s="1285"/>
    </row>
    <row r="5083" spans="1:12" ht="11.15" customHeight="1">
      <c r="A5083" s="29" t="s">
        <v>7040</v>
      </c>
      <c r="B5083" s="59" t="s">
        <v>21111</v>
      </c>
      <c r="C5083" s="147" t="s">
        <v>20221</v>
      </c>
      <c r="D5083" s="284" t="s">
        <v>897</v>
      </c>
      <c r="E5083" s="178">
        <v>2021</v>
      </c>
      <c r="F5083" s="178" t="s">
        <v>4520</v>
      </c>
      <c r="G5083" s="496"/>
      <c r="H5083" s="994" t="s">
        <v>20221</v>
      </c>
      <c r="I5083" s="11" t="s">
        <v>7041</v>
      </c>
      <c r="J5083" s="1285"/>
      <c r="K5083" s="1285"/>
      <c r="L5083" s="1285"/>
    </row>
    <row r="5084" spans="1:12" ht="11.15" customHeight="1">
      <c r="A5084" s="29" t="s">
        <v>7042</v>
      </c>
      <c r="B5084" s="59" t="s">
        <v>21111</v>
      </c>
      <c r="C5084" s="147" t="s">
        <v>20221</v>
      </c>
      <c r="D5084" s="284" t="s">
        <v>897</v>
      </c>
      <c r="E5084" s="178">
        <v>2020</v>
      </c>
      <c r="F5084" s="178" t="s">
        <v>4520</v>
      </c>
      <c r="G5084" s="496"/>
      <c r="H5084" s="994" t="s">
        <v>20221</v>
      </c>
      <c r="I5084" s="11" t="s">
        <v>7043</v>
      </c>
      <c r="J5084" s="1285"/>
      <c r="K5084" s="1285"/>
      <c r="L5084" s="1285"/>
    </row>
    <row r="5085" spans="1:12" ht="11.15" customHeight="1">
      <c r="A5085" s="181" t="s">
        <v>2536</v>
      </c>
      <c r="B5085" s="59" t="s">
        <v>20856</v>
      </c>
      <c r="C5085" s="147" t="s">
        <v>20221</v>
      </c>
      <c r="D5085" s="284" t="s">
        <v>897</v>
      </c>
      <c r="E5085" s="178">
        <v>2019</v>
      </c>
      <c r="F5085" s="178" t="s">
        <v>4520</v>
      </c>
      <c r="G5085" s="496"/>
      <c r="H5085" s="994" t="s">
        <v>20221</v>
      </c>
      <c r="I5085" s="11" t="s">
        <v>7044</v>
      </c>
      <c r="J5085" s="1285"/>
      <c r="K5085" s="1285"/>
      <c r="L5085" s="1285"/>
    </row>
    <row r="5086" spans="1:12" ht="11.15" customHeight="1">
      <c r="A5086" s="29" t="s">
        <v>7045</v>
      </c>
      <c r="B5086" s="59" t="s">
        <v>20856</v>
      </c>
      <c r="C5086" s="147" t="s">
        <v>20221</v>
      </c>
      <c r="D5086" s="284" t="s">
        <v>897</v>
      </c>
      <c r="E5086" s="178">
        <v>2018</v>
      </c>
      <c r="F5086" s="178" t="s">
        <v>4520</v>
      </c>
      <c r="G5086" s="496"/>
      <c r="H5086" s="994" t="s">
        <v>20221</v>
      </c>
      <c r="I5086" s="11" t="s">
        <v>7046</v>
      </c>
      <c r="J5086" s="1285"/>
      <c r="K5086" s="1285"/>
      <c r="L5086" s="1285"/>
    </row>
    <row r="5087" spans="1:12" ht="11.15" customHeight="1">
      <c r="A5087" s="129" t="s">
        <v>1077</v>
      </c>
      <c r="B5087" s="59" t="s">
        <v>20856</v>
      </c>
      <c r="C5087" s="147" t="s">
        <v>20221</v>
      </c>
      <c r="D5087" s="284" t="s">
        <v>897</v>
      </c>
      <c r="E5087" s="178">
        <v>2017</v>
      </c>
      <c r="F5087" s="178" t="s">
        <v>4520</v>
      </c>
      <c r="G5087" s="496"/>
      <c r="H5087" s="994" t="s">
        <v>20221</v>
      </c>
      <c r="I5087" s="11" t="s">
        <v>7047</v>
      </c>
      <c r="J5087" s="1285"/>
      <c r="K5087" s="1285"/>
      <c r="L5087" s="1285"/>
    </row>
    <row r="5088" spans="1:12" ht="11.15" customHeight="1">
      <c r="A5088" s="162" t="s">
        <v>7048</v>
      </c>
      <c r="B5088" s="59" t="s">
        <v>20856</v>
      </c>
      <c r="C5088" s="147" t="s">
        <v>20221</v>
      </c>
      <c r="D5088" s="284" t="s">
        <v>897</v>
      </c>
      <c r="E5088" s="178">
        <v>2016</v>
      </c>
      <c r="F5088" s="178" t="s">
        <v>4520</v>
      </c>
      <c r="G5088" s="496"/>
      <c r="H5088" s="994" t="s">
        <v>20221</v>
      </c>
      <c r="I5088" s="11" t="s">
        <v>7049</v>
      </c>
      <c r="J5088" s="1285"/>
      <c r="K5088" s="1285"/>
      <c r="L5088" s="1285"/>
    </row>
    <row r="5089" spans="1:12" ht="11.15" customHeight="1">
      <c r="A5089" s="162" t="s">
        <v>7050</v>
      </c>
      <c r="B5089" s="59" t="s">
        <v>20856</v>
      </c>
      <c r="C5089" s="147" t="s">
        <v>20221</v>
      </c>
      <c r="D5089" s="284" t="s">
        <v>897</v>
      </c>
      <c r="E5089" s="178">
        <v>2015</v>
      </c>
      <c r="F5089" s="178" t="s">
        <v>4520</v>
      </c>
      <c r="G5089" s="496"/>
      <c r="H5089" s="994" t="s">
        <v>20221</v>
      </c>
      <c r="I5089" s="11" t="s">
        <v>7051</v>
      </c>
      <c r="J5089" s="1285"/>
      <c r="K5089" s="1285"/>
      <c r="L5089" s="1285"/>
    </row>
    <row r="5090" spans="1:12" ht="11.15" customHeight="1">
      <c r="A5090" s="162" t="s">
        <v>7052</v>
      </c>
      <c r="B5090" s="59" t="s">
        <v>20856</v>
      </c>
      <c r="C5090" s="147" t="s">
        <v>20221</v>
      </c>
      <c r="D5090" s="284" t="s">
        <v>897</v>
      </c>
      <c r="E5090" s="178">
        <v>2014</v>
      </c>
      <c r="F5090" s="178" t="s">
        <v>4520</v>
      </c>
      <c r="G5090" s="496"/>
      <c r="H5090" s="994" t="s">
        <v>20221</v>
      </c>
      <c r="I5090" s="11" t="s">
        <v>7053</v>
      </c>
      <c r="J5090" s="1285"/>
      <c r="K5090" s="1285"/>
      <c r="L5090" s="1285"/>
    </row>
    <row r="5091" spans="1:12" ht="11.15" customHeight="1">
      <c r="A5091" s="162" t="s">
        <v>7054</v>
      </c>
      <c r="B5091" s="59" t="s">
        <v>20856</v>
      </c>
      <c r="C5091" s="147" t="s">
        <v>20221</v>
      </c>
      <c r="D5091" s="284" t="s">
        <v>897</v>
      </c>
      <c r="E5091" s="178">
        <v>2013</v>
      </c>
      <c r="F5091" s="178" t="s">
        <v>4520</v>
      </c>
      <c r="G5091" s="496"/>
      <c r="H5091" s="994" t="s">
        <v>20221</v>
      </c>
      <c r="I5091" s="11" t="s">
        <v>7055</v>
      </c>
      <c r="J5091" s="1285"/>
      <c r="K5091" s="1285"/>
      <c r="L5091" s="1285"/>
    </row>
    <row r="5092" spans="1:12" ht="11.15" customHeight="1">
      <c r="A5092" s="162" t="s">
        <v>7056</v>
      </c>
      <c r="B5092" s="59" t="s">
        <v>20856</v>
      </c>
      <c r="C5092" s="147" t="s">
        <v>20221</v>
      </c>
      <c r="D5092" s="284" t="s">
        <v>897</v>
      </c>
      <c r="E5092" s="178">
        <v>2012</v>
      </c>
      <c r="F5092" s="178" t="s">
        <v>4520</v>
      </c>
      <c r="G5092" s="496"/>
      <c r="H5092" s="994" t="s">
        <v>20221</v>
      </c>
      <c r="I5092" s="11" t="s">
        <v>7057</v>
      </c>
      <c r="J5092" s="1285"/>
      <c r="K5092" s="1285"/>
      <c r="L5092" s="1285"/>
    </row>
    <row r="5093" spans="1:12" ht="11.15" customHeight="1">
      <c r="A5093" s="162" t="s">
        <v>7058</v>
      </c>
      <c r="B5093" s="177" t="s">
        <v>7059</v>
      </c>
      <c r="C5093" s="147"/>
      <c r="D5093" s="161"/>
      <c r="E5093" s="36"/>
      <c r="F5093" s="178"/>
      <c r="G5093" s="496"/>
      <c r="H5093" s="36"/>
      <c r="I5093" s="11"/>
    </row>
    <row r="5094" spans="1:12" ht="11.15" customHeight="1">
      <c r="A5094" s="162" t="s">
        <v>7060</v>
      </c>
      <c r="B5094" s="59" t="s">
        <v>21112</v>
      </c>
      <c r="C5094" s="147" t="s">
        <v>20221</v>
      </c>
      <c r="D5094" s="284" t="s">
        <v>897</v>
      </c>
      <c r="E5094" s="178">
        <v>2022</v>
      </c>
      <c r="F5094" s="178" t="s">
        <v>4520</v>
      </c>
      <c r="G5094" s="496"/>
      <c r="H5094" s="994" t="s">
        <v>20343</v>
      </c>
      <c r="I5094" s="11" t="s">
        <v>7061</v>
      </c>
      <c r="J5094" s="1285"/>
      <c r="K5094" s="1285"/>
      <c r="L5094" s="1285"/>
    </row>
    <row r="5095" spans="1:12" ht="11.15" customHeight="1">
      <c r="A5095" s="162" t="s">
        <v>7062</v>
      </c>
      <c r="B5095" s="59" t="s">
        <v>21112</v>
      </c>
      <c r="C5095" s="147" t="s">
        <v>20221</v>
      </c>
      <c r="D5095" s="284" t="s">
        <v>897</v>
      </c>
      <c r="E5095" s="178">
        <v>2021</v>
      </c>
      <c r="F5095" s="178" t="s">
        <v>4520</v>
      </c>
      <c r="G5095" s="496"/>
      <c r="H5095" s="994" t="s">
        <v>20221</v>
      </c>
      <c r="I5095" s="11" t="s">
        <v>7063</v>
      </c>
      <c r="J5095" s="1285"/>
      <c r="K5095" s="1285"/>
      <c r="L5095" s="1285"/>
    </row>
    <row r="5096" spans="1:12" ht="11.15" customHeight="1">
      <c r="A5096" s="162" t="s">
        <v>7064</v>
      </c>
      <c r="B5096" s="59" t="s">
        <v>21112</v>
      </c>
      <c r="C5096" s="147" t="s">
        <v>20221</v>
      </c>
      <c r="D5096" s="284" t="s">
        <v>897</v>
      </c>
      <c r="E5096" s="178">
        <v>2020</v>
      </c>
      <c r="F5096" s="178" t="s">
        <v>4520</v>
      </c>
      <c r="G5096" s="496"/>
      <c r="H5096" s="994" t="s">
        <v>20221</v>
      </c>
      <c r="I5096" s="11" t="s">
        <v>7065</v>
      </c>
      <c r="J5096" s="1285"/>
      <c r="K5096" s="1285"/>
      <c r="L5096" s="1285"/>
    </row>
    <row r="5097" spans="1:12" ht="11.15" customHeight="1">
      <c r="A5097" s="129" t="s">
        <v>6076</v>
      </c>
      <c r="B5097" s="59" t="s">
        <v>21112</v>
      </c>
      <c r="C5097" s="147" t="s">
        <v>20221</v>
      </c>
      <c r="D5097" s="284" t="s">
        <v>897</v>
      </c>
      <c r="E5097" s="178">
        <v>2019</v>
      </c>
      <c r="F5097" s="178" t="s">
        <v>4520</v>
      </c>
      <c r="G5097" s="496"/>
      <c r="H5097" s="994" t="s">
        <v>20221</v>
      </c>
      <c r="I5097" s="11" t="s">
        <v>7066</v>
      </c>
      <c r="J5097" s="1285"/>
      <c r="K5097" s="1285"/>
      <c r="L5097" s="1285"/>
    </row>
    <row r="5098" spans="1:12" ht="11.15" customHeight="1">
      <c r="A5098" s="291" t="s">
        <v>7067</v>
      </c>
      <c r="B5098" s="59" t="s">
        <v>18808</v>
      </c>
      <c r="C5098" s="147" t="s">
        <v>20221</v>
      </c>
      <c r="D5098" s="284" t="s">
        <v>897</v>
      </c>
      <c r="E5098" s="178">
        <v>2018</v>
      </c>
      <c r="F5098" s="178" t="s">
        <v>4520</v>
      </c>
      <c r="G5098" s="496"/>
      <c r="H5098" s="994" t="s">
        <v>20221</v>
      </c>
      <c r="I5098" s="11" t="s">
        <v>7068</v>
      </c>
      <c r="J5098" s="1285"/>
      <c r="K5098" s="1285"/>
      <c r="L5098" s="1285"/>
    </row>
    <row r="5099" spans="1:12" ht="11.15" customHeight="1">
      <c r="A5099" s="291" t="s">
        <v>7069</v>
      </c>
      <c r="B5099" s="59" t="s">
        <v>18808</v>
      </c>
      <c r="C5099" s="147" t="s">
        <v>20221</v>
      </c>
      <c r="D5099" s="284" t="s">
        <v>897</v>
      </c>
      <c r="E5099" s="178">
        <v>2017</v>
      </c>
      <c r="F5099" s="178" t="s">
        <v>4520</v>
      </c>
      <c r="G5099" s="496"/>
      <c r="H5099" s="994" t="s">
        <v>20221</v>
      </c>
      <c r="I5099" s="11" t="s">
        <v>7070</v>
      </c>
      <c r="J5099" s="1285"/>
      <c r="K5099" s="1285"/>
      <c r="L5099" s="1285"/>
    </row>
    <row r="5100" spans="1:12" ht="11.15" customHeight="1">
      <c r="A5100" s="291" t="s">
        <v>7071</v>
      </c>
      <c r="B5100" s="59" t="s">
        <v>18808</v>
      </c>
      <c r="C5100" s="147" t="s">
        <v>20221</v>
      </c>
      <c r="D5100" s="284" t="s">
        <v>897</v>
      </c>
      <c r="E5100" s="178">
        <v>2016</v>
      </c>
      <c r="F5100" s="178" t="s">
        <v>4520</v>
      </c>
      <c r="G5100" s="496"/>
      <c r="H5100" s="994" t="s">
        <v>20221</v>
      </c>
      <c r="I5100" s="11" t="s">
        <v>7072</v>
      </c>
      <c r="J5100" s="1285"/>
      <c r="K5100" s="1285"/>
      <c r="L5100" s="1285"/>
    </row>
    <row r="5101" spans="1:12" ht="11.15" customHeight="1">
      <c r="A5101" s="291" t="s">
        <v>7073</v>
      </c>
      <c r="B5101" s="59" t="s">
        <v>18808</v>
      </c>
      <c r="C5101" s="147" t="s">
        <v>20221</v>
      </c>
      <c r="D5101" s="284" t="s">
        <v>897</v>
      </c>
      <c r="E5101" s="178">
        <v>2015</v>
      </c>
      <c r="F5101" s="178" t="s">
        <v>4520</v>
      </c>
      <c r="G5101" s="496"/>
      <c r="H5101" s="994" t="s">
        <v>20221</v>
      </c>
      <c r="I5101" s="11" t="s">
        <v>7074</v>
      </c>
      <c r="J5101" s="1285"/>
      <c r="K5101" s="1285"/>
      <c r="L5101" s="1285"/>
    </row>
    <row r="5102" spans="1:12" ht="11.15" customHeight="1">
      <c r="A5102" s="291" t="s">
        <v>7075</v>
      </c>
      <c r="B5102" s="59" t="s">
        <v>18808</v>
      </c>
      <c r="C5102" s="147" t="s">
        <v>20221</v>
      </c>
      <c r="D5102" s="284" t="s">
        <v>897</v>
      </c>
      <c r="E5102" s="178">
        <v>2014</v>
      </c>
      <c r="F5102" s="178" t="s">
        <v>4520</v>
      </c>
      <c r="G5102" s="496"/>
      <c r="H5102" s="994" t="s">
        <v>20221</v>
      </c>
      <c r="I5102" s="11" t="s">
        <v>7076</v>
      </c>
      <c r="J5102" s="1285"/>
      <c r="K5102" s="1285"/>
      <c r="L5102" s="1285"/>
    </row>
    <row r="5103" spans="1:12" ht="11.15" customHeight="1">
      <c r="A5103" s="494" t="s">
        <v>7077</v>
      </c>
      <c r="B5103" s="177" t="s">
        <v>7078</v>
      </c>
      <c r="C5103" s="147"/>
      <c r="D5103" s="161"/>
      <c r="E5103" s="36"/>
      <c r="F5103" s="178"/>
      <c r="G5103" s="496"/>
      <c r="H5103" s="36"/>
      <c r="I5103" s="11"/>
    </row>
    <row r="5104" spans="1:12" ht="11.15" customHeight="1">
      <c r="A5104" s="291" t="s">
        <v>7079</v>
      </c>
      <c r="B5104" s="59" t="s">
        <v>21113</v>
      </c>
      <c r="C5104" s="147" t="s">
        <v>20221</v>
      </c>
      <c r="D5104" s="284" t="s">
        <v>897</v>
      </c>
      <c r="E5104" s="178">
        <v>2022</v>
      </c>
      <c r="F5104" s="178" t="s">
        <v>4520</v>
      </c>
      <c r="G5104" s="496"/>
      <c r="H5104" s="994" t="s">
        <v>20343</v>
      </c>
      <c r="I5104" s="11" t="s">
        <v>7080</v>
      </c>
      <c r="J5104" s="1285"/>
      <c r="K5104" s="1285"/>
      <c r="L5104" s="1285"/>
    </row>
    <row r="5105" spans="1:12" ht="11.15" customHeight="1">
      <c r="A5105" s="291" t="s">
        <v>7081</v>
      </c>
      <c r="B5105" s="59" t="s">
        <v>21113</v>
      </c>
      <c r="C5105" s="147" t="s">
        <v>20221</v>
      </c>
      <c r="D5105" s="284" t="s">
        <v>897</v>
      </c>
      <c r="E5105" s="178">
        <v>2021</v>
      </c>
      <c r="F5105" s="178" t="s">
        <v>4520</v>
      </c>
      <c r="G5105" s="496"/>
      <c r="H5105" s="994" t="s">
        <v>20221</v>
      </c>
      <c r="I5105" s="11" t="s">
        <v>7082</v>
      </c>
      <c r="J5105" s="1285"/>
      <c r="K5105" s="1285"/>
      <c r="L5105" s="1285"/>
    </row>
    <row r="5106" spans="1:12" ht="11.15" customHeight="1">
      <c r="A5106" s="291" t="s">
        <v>7083</v>
      </c>
      <c r="B5106" s="59" t="s">
        <v>21113</v>
      </c>
      <c r="C5106" s="147" t="s">
        <v>20221</v>
      </c>
      <c r="D5106" s="284" t="s">
        <v>897</v>
      </c>
      <c r="E5106" s="178">
        <v>2020</v>
      </c>
      <c r="F5106" s="178" t="s">
        <v>4520</v>
      </c>
      <c r="G5106" s="496"/>
      <c r="H5106" s="994" t="s">
        <v>20221</v>
      </c>
      <c r="I5106" s="11" t="s">
        <v>7084</v>
      </c>
      <c r="J5106" s="1285"/>
      <c r="K5106" s="1285"/>
      <c r="L5106" s="1285"/>
    </row>
    <row r="5107" spans="1:12" ht="11.15" customHeight="1">
      <c r="A5107" s="291" t="s">
        <v>7085</v>
      </c>
      <c r="B5107" s="59" t="s">
        <v>21113</v>
      </c>
      <c r="C5107" s="147" t="s">
        <v>20221</v>
      </c>
      <c r="D5107" s="284" t="s">
        <v>897</v>
      </c>
      <c r="E5107" s="178">
        <v>2019</v>
      </c>
      <c r="F5107" s="178" t="s">
        <v>4520</v>
      </c>
      <c r="G5107" s="496"/>
      <c r="H5107" s="994" t="s">
        <v>20221</v>
      </c>
      <c r="I5107" s="11" t="s">
        <v>7086</v>
      </c>
      <c r="J5107" s="1285"/>
      <c r="K5107" s="1285"/>
      <c r="L5107" s="1285"/>
    </row>
    <row r="5108" spans="1:12" ht="11.15" customHeight="1">
      <c r="A5108" s="291" t="s">
        <v>7087</v>
      </c>
      <c r="B5108" s="59" t="s">
        <v>21113</v>
      </c>
      <c r="C5108" s="147" t="s">
        <v>20221</v>
      </c>
      <c r="D5108" s="284" t="s">
        <v>897</v>
      </c>
      <c r="E5108" s="178">
        <v>2018</v>
      </c>
      <c r="F5108" s="178" t="s">
        <v>4520</v>
      </c>
      <c r="G5108" s="496"/>
      <c r="H5108" s="994" t="s">
        <v>20221</v>
      </c>
      <c r="I5108" s="11" t="s">
        <v>7088</v>
      </c>
      <c r="J5108" s="1285"/>
      <c r="K5108" s="1285"/>
      <c r="L5108" s="1285"/>
    </row>
    <row r="5109" spans="1:12" ht="11.15" customHeight="1">
      <c r="A5109" s="291" t="s">
        <v>7089</v>
      </c>
      <c r="B5109" s="59" t="s">
        <v>21113</v>
      </c>
      <c r="C5109" s="147" t="s">
        <v>20221</v>
      </c>
      <c r="D5109" s="284" t="s">
        <v>897</v>
      </c>
      <c r="E5109" s="178">
        <v>2017</v>
      </c>
      <c r="F5109" s="178" t="s">
        <v>4520</v>
      </c>
      <c r="G5109" s="496"/>
      <c r="H5109" s="994" t="s">
        <v>20221</v>
      </c>
      <c r="I5109" s="11" t="s">
        <v>7090</v>
      </c>
      <c r="J5109" s="1285"/>
      <c r="K5109" s="1285"/>
      <c r="L5109" s="1285"/>
    </row>
    <row r="5110" spans="1:12" ht="11.15" customHeight="1">
      <c r="A5110" s="291" t="s">
        <v>7091</v>
      </c>
      <c r="B5110" s="59" t="s">
        <v>21113</v>
      </c>
      <c r="C5110" s="147" t="s">
        <v>20221</v>
      </c>
      <c r="D5110" s="284" t="s">
        <v>897</v>
      </c>
      <c r="E5110" s="178">
        <v>2015</v>
      </c>
      <c r="F5110" s="178" t="s">
        <v>4520</v>
      </c>
      <c r="G5110" s="496"/>
      <c r="H5110" s="994" t="s">
        <v>20221</v>
      </c>
      <c r="I5110" s="11" t="s">
        <v>7092</v>
      </c>
      <c r="J5110" s="1285"/>
      <c r="K5110" s="1285"/>
      <c r="L5110" s="1285"/>
    </row>
    <row r="5111" spans="1:12" ht="11.15" customHeight="1">
      <c r="A5111" s="291" t="s">
        <v>7093</v>
      </c>
      <c r="B5111" s="59" t="s">
        <v>21063</v>
      </c>
      <c r="C5111" s="147" t="s">
        <v>20221</v>
      </c>
      <c r="D5111" s="284" t="s">
        <v>897</v>
      </c>
      <c r="E5111" s="178">
        <v>2022</v>
      </c>
      <c r="F5111" s="178" t="s">
        <v>4520</v>
      </c>
      <c r="G5111" s="496"/>
      <c r="H5111" s="994" t="s">
        <v>20343</v>
      </c>
      <c r="I5111" s="11" t="s">
        <v>7094</v>
      </c>
      <c r="J5111" s="1285"/>
      <c r="K5111" s="1285"/>
      <c r="L5111" s="1285"/>
    </row>
    <row r="5112" spans="1:12" ht="11.15" customHeight="1">
      <c r="A5112" s="291" t="s">
        <v>7095</v>
      </c>
      <c r="B5112" s="59" t="s">
        <v>21063</v>
      </c>
      <c r="C5112" s="147" t="s">
        <v>20221</v>
      </c>
      <c r="D5112" s="284" t="s">
        <v>897</v>
      </c>
      <c r="E5112" s="178">
        <v>2021</v>
      </c>
      <c r="F5112" s="178" t="s">
        <v>4520</v>
      </c>
      <c r="G5112" s="496"/>
      <c r="H5112" s="994" t="s">
        <v>20221</v>
      </c>
      <c r="I5112" s="11" t="s">
        <v>7096</v>
      </c>
      <c r="J5112" s="1285"/>
      <c r="K5112" s="1285"/>
      <c r="L5112" s="1285"/>
    </row>
    <row r="5113" spans="1:12" ht="11.15" customHeight="1">
      <c r="A5113" s="456" t="s">
        <v>7097</v>
      </c>
      <c r="B5113" s="59" t="s">
        <v>21063</v>
      </c>
      <c r="C5113" s="147" t="s">
        <v>20221</v>
      </c>
      <c r="D5113" s="284" t="s">
        <v>897</v>
      </c>
      <c r="E5113" s="178">
        <v>2018</v>
      </c>
      <c r="F5113" s="178" t="s">
        <v>4520</v>
      </c>
      <c r="G5113" s="496"/>
      <c r="H5113" s="994" t="s">
        <v>20221</v>
      </c>
      <c r="I5113" s="11" t="s">
        <v>7098</v>
      </c>
      <c r="J5113" s="1285"/>
      <c r="K5113" s="1285"/>
      <c r="L5113" s="1285"/>
    </row>
    <row r="5114" spans="1:12" ht="11.15" customHeight="1">
      <c r="A5114" s="291" t="s">
        <v>7099</v>
      </c>
      <c r="B5114" s="59" t="s">
        <v>21063</v>
      </c>
      <c r="C5114" s="147" t="s">
        <v>20221</v>
      </c>
      <c r="D5114" s="284" t="s">
        <v>897</v>
      </c>
      <c r="E5114" s="178">
        <v>2017</v>
      </c>
      <c r="F5114" s="178" t="s">
        <v>4520</v>
      </c>
      <c r="G5114" s="496"/>
      <c r="H5114" s="994" t="s">
        <v>20221</v>
      </c>
      <c r="I5114" s="11" t="s">
        <v>7100</v>
      </c>
      <c r="J5114" s="1285"/>
      <c r="K5114" s="1285"/>
      <c r="L5114" s="1285"/>
    </row>
    <row r="5115" spans="1:12" ht="11.15" customHeight="1">
      <c r="A5115" s="291" t="s">
        <v>7101</v>
      </c>
      <c r="B5115" s="59" t="s">
        <v>21063</v>
      </c>
      <c r="C5115" s="147" t="s">
        <v>20221</v>
      </c>
      <c r="D5115" s="284" t="s">
        <v>897</v>
      </c>
      <c r="E5115" s="178">
        <v>2015</v>
      </c>
      <c r="F5115" s="178" t="s">
        <v>4520</v>
      </c>
      <c r="G5115" s="496"/>
      <c r="H5115" s="994" t="s">
        <v>20221</v>
      </c>
      <c r="I5115" s="11" t="s">
        <v>7102</v>
      </c>
      <c r="J5115" s="1285"/>
      <c r="K5115" s="1285"/>
      <c r="L5115" s="1285"/>
    </row>
    <row r="5116" spans="1:12" ht="11.15" customHeight="1">
      <c r="A5116" s="291" t="s">
        <v>7103</v>
      </c>
      <c r="B5116" s="59" t="s">
        <v>21063</v>
      </c>
      <c r="C5116" s="147" t="s">
        <v>20221</v>
      </c>
      <c r="D5116" s="284" t="s">
        <v>897</v>
      </c>
      <c r="E5116" s="178">
        <v>2014</v>
      </c>
      <c r="F5116" s="178" t="s">
        <v>4520</v>
      </c>
      <c r="G5116" s="496"/>
      <c r="H5116" s="994" t="s">
        <v>20221</v>
      </c>
      <c r="I5116" s="11" t="s">
        <v>7104</v>
      </c>
      <c r="J5116" s="1285"/>
      <c r="K5116" s="1285"/>
      <c r="L5116" s="1285"/>
    </row>
    <row r="5117" spans="1:12" ht="11.15" customHeight="1">
      <c r="A5117" s="291" t="s">
        <v>7105</v>
      </c>
      <c r="B5117" s="59" t="s">
        <v>21063</v>
      </c>
      <c r="C5117" s="147" t="s">
        <v>20221</v>
      </c>
      <c r="D5117" s="284" t="s">
        <v>897</v>
      </c>
      <c r="E5117" s="178">
        <v>2013</v>
      </c>
      <c r="F5117" s="178" t="s">
        <v>4520</v>
      </c>
      <c r="G5117" s="496"/>
      <c r="H5117" s="994" t="s">
        <v>20221</v>
      </c>
      <c r="I5117" s="11" t="s">
        <v>7106</v>
      </c>
      <c r="J5117" s="1285"/>
      <c r="K5117" s="1285"/>
      <c r="L5117" s="1285"/>
    </row>
    <row r="5118" spans="1:12" ht="11.15" customHeight="1">
      <c r="A5118" s="291" t="s">
        <v>7107</v>
      </c>
      <c r="B5118" s="59" t="s">
        <v>21063</v>
      </c>
      <c r="C5118" s="147" t="s">
        <v>20221</v>
      </c>
      <c r="D5118" s="284" t="s">
        <v>897</v>
      </c>
      <c r="E5118" s="178">
        <v>2012</v>
      </c>
      <c r="F5118" s="178" t="s">
        <v>4520</v>
      </c>
      <c r="G5118" s="496"/>
      <c r="H5118" s="994" t="s">
        <v>20221</v>
      </c>
      <c r="I5118" s="11" t="s">
        <v>7108</v>
      </c>
      <c r="J5118" s="1285"/>
      <c r="K5118" s="1285"/>
      <c r="L5118" s="1285"/>
    </row>
    <row r="5119" spans="1:12" ht="11.15" customHeight="1">
      <c r="A5119" s="1173" t="s">
        <v>7109</v>
      </c>
      <c r="B5119" s="59" t="s">
        <v>21063</v>
      </c>
      <c r="C5119" s="147" t="s">
        <v>20221</v>
      </c>
      <c r="D5119" s="284" t="s">
        <v>897</v>
      </c>
      <c r="E5119" s="178">
        <v>2011</v>
      </c>
      <c r="F5119" s="178" t="s">
        <v>4520</v>
      </c>
      <c r="G5119" s="496"/>
      <c r="H5119" s="994" t="s">
        <v>20221</v>
      </c>
      <c r="I5119" s="11" t="s">
        <v>7110</v>
      </c>
      <c r="J5119" s="1285"/>
      <c r="K5119" s="1285"/>
      <c r="L5119" s="1285"/>
    </row>
    <row r="5120" spans="1:12" ht="11.15" customHeight="1">
      <c r="A5120" s="481" t="s">
        <v>7111</v>
      </c>
      <c r="B5120" s="59" t="s">
        <v>21063</v>
      </c>
      <c r="C5120" s="147" t="s">
        <v>20221</v>
      </c>
      <c r="D5120" s="284" t="s">
        <v>897</v>
      </c>
      <c r="E5120" s="178">
        <v>2008</v>
      </c>
      <c r="F5120" s="178" t="s">
        <v>23395</v>
      </c>
      <c r="G5120" s="496"/>
      <c r="H5120" s="994" t="s">
        <v>20224</v>
      </c>
      <c r="I5120" s="11" t="s">
        <v>7112</v>
      </c>
      <c r="J5120" s="1285"/>
      <c r="K5120" s="1285"/>
      <c r="L5120" s="1285"/>
    </row>
    <row r="5121" spans="1:12" ht="11.15" customHeight="1">
      <c r="A5121" s="29"/>
      <c r="B5121" s="59" t="s">
        <v>21114</v>
      </c>
      <c r="C5121" s="147" t="s">
        <v>20221</v>
      </c>
      <c r="D5121" s="284" t="s">
        <v>897</v>
      </c>
      <c r="E5121" s="178">
        <v>2022</v>
      </c>
      <c r="F5121" s="178" t="s">
        <v>4520</v>
      </c>
      <c r="G5121" s="496"/>
      <c r="H5121" s="994" t="s">
        <v>20343</v>
      </c>
      <c r="I5121" s="11" t="s">
        <v>7113</v>
      </c>
      <c r="J5121" s="1285"/>
      <c r="K5121" s="1285"/>
      <c r="L5121" s="1285"/>
    </row>
    <row r="5122" spans="1:12" ht="11.15" customHeight="1">
      <c r="A5122" s="29"/>
      <c r="B5122" s="59" t="s">
        <v>21114</v>
      </c>
      <c r="C5122" s="147" t="s">
        <v>20221</v>
      </c>
      <c r="D5122" s="284" t="s">
        <v>897</v>
      </c>
      <c r="E5122" s="178">
        <v>2018</v>
      </c>
      <c r="F5122" s="178" t="s">
        <v>4520</v>
      </c>
      <c r="G5122" s="496"/>
      <c r="H5122" s="994" t="s">
        <v>20224</v>
      </c>
      <c r="I5122" s="11" t="s">
        <v>7114</v>
      </c>
      <c r="J5122" s="1285"/>
      <c r="K5122" s="1285"/>
      <c r="L5122" s="1285"/>
    </row>
    <row r="5123" spans="1:12" ht="11.15" customHeight="1">
      <c r="A5123" s="291"/>
      <c r="B5123" s="59" t="s">
        <v>21114</v>
      </c>
      <c r="C5123" s="147" t="s">
        <v>20221</v>
      </c>
      <c r="D5123" s="284" t="s">
        <v>897</v>
      </c>
      <c r="E5123" s="178">
        <v>2016</v>
      </c>
      <c r="F5123" s="178" t="s">
        <v>4520</v>
      </c>
      <c r="G5123" s="496"/>
      <c r="H5123" s="994" t="s">
        <v>20224</v>
      </c>
      <c r="I5123" s="11" t="s">
        <v>7115</v>
      </c>
      <c r="J5123" s="1285"/>
      <c r="K5123" s="1285"/>
      <c r="L5123" s="1285"/>
    </row>
    <row r="5124" spans="1:12" ht="11.15" customHeight="1">
      <c r="A5124" s="456"/>
      <c r="B5124" s="59" t="s">
        <v>21114</v>
      </c>
      <c r="C5124" s="147" t="s">
        <v>20221</v>
      </c>
      <c r="D5124" s="284" t="s">
        <v>897</v>
      </c>
      <c r="E5124" s="178">
        <v>2012</v>
      </c>
      <c r="F5124" s="178" t="s">
        <v>4520</v>
      </c>
      <c r="G5124" s="496"/>
      <c r="H5124" s="994" t="s">
        <v>20224</v>
      </c>
      <c r="I5124" s="11" t="s">
        <v>7116</v>
      </c>
      <c r="J5124" s="1285"/>
      <c r="K5124" s="1285"/>
      <c r="L5124" s="1285"/>
    </row>
    <row r="5125" spans="1:12" ht="11.15" customHeight="1">
      <c r="A5125" s="185"/>
      <c r="B5125" s="59" t="s">
        <v>21114</v>
      </c>
      <c r="C5125" s="147" t="s">
        <v>20221</v>
      </c>
      <c r="D5125" s="284" t="s">
        <v>897</v>
      </c>
      <c r="E5125" s="178">
        <v>2010</v>
      </c>
      <c r="F5125" s="178" t="s">
        <v>4520</v>
      </c>
      <c r="G5125" s="496"/>
      <c r="H5125" s="994" t="s">
        <v>20221</v>
      </c>
      <c r="I5125" s="11" t="s">
        <v>7117</v>
      </c>
      <c r="J5125" s="1285"/>
      <c r="K5125" s="1285"/>
      <c r="L5125" s="1285"/>
    </row>
    <row r="5126" spans="1:12" ht="11.15" customHeight="1">
      <c r="A5126" s="29"/>
      <c r="B5126" s="59" t="s">
        <v>20736</v>
      </c>
      <c r="C5126" s="147" t="s">
        <v>20221</v>
      </c>
      <c r="D5126" s="284" t="s">
        <v>897</v>
      </c>
      <c r="E5126" s="178">
        <v>2022</v>
      </c>
      <c r="F5126" s="178" t="s">
        <v>4520</v>
      </c>
      <c r="G5126" s="496"/>
      <c r="H5126" s="994" t="s">
        <v>20343</v>
      </c>
      <c r="I5126" s="11" t="s">
        <v>7118</v>
      </c>
      <c r="J5126" s="1285"/>
      <c r="K5126" s="1285"/>
      <c r="L5126" s="1285"/>
    </row>
    <row r="5127" spans="1:12" ht="11.15" customHeight="1">
      <c r="A5127" s="181"/>
      <c r="B5127" s="59" t="s">
        <v>20736</v>
      </c>
      <c r="C5127" s="147" t="s">
        <v>20221</v>
      </c>
      <c r="D5127" s="284" t="s">
        <v>897</v>
      </c>
      <c r="E5127" s="178">
        <v>2011</v>
      </c>
      <c r="F5127" s="178" t="s">
        <v>23395</v>
      </c>
      <c r="G5127" s="496"/>
      <c r="H5127" s="994" t="s">
        <v>20221</v>
      </c>
      <c r="I5127" s="11" t="s">
        <v>7119</v>
      </c>
      <c r="J5127" s="1285"/>
      <c r="K5127" s="1285"/>
      <c r="L5127" s="1285"/>
    </row>
    <row r="5128" spans="1:12" ht="11.15" customHeight="1">
      <c r="A5128" s="29"/>
      <c r="B5128" s="177" t="s">
        <v>6969</v>
      </c>
      <c r="C5128" s="147"/>
      <c r="D5128" s="161"/>
      <c r="E5128" s="36"/>
      <c r="F5128" s="178"/>
      <c r="G5128" s="496"/>
      <c r="H5128" s="36"/>
      <c r="I5128" s="11"/>
    </row>
    <row r="5129" spans="1:12" ht="11.15" customHeight="1">
      <c r="A5129" s="29"/>
      <c r="B5129" s="59" t="s">
        <v>21115</v>
      </c>
      <c r="C5129" s="147" t="s">
        <v>20221</v>
      </c>
      <c r="D5129" s="284" t="s">
        <v>897</v>
      </c>
      <c r="E5129" s="178">
        <v>2022</v>
      </c>
      <c r="F5129" s="178" t="s">
        <v>4520</v>
      </c>
      <c r="G5129" s="496"/>
      <c r="H5129" s="994" t="s">
        <v>20343</v>
      </c>
      <c r="I5129" s="11" t="s">
        <v>7120</v>
      </c>
      <c r="J5129" s="1285"/>
      <c r="K5129" s="1285"/>
      <c r="L5129" s="1285"/>
    </row>
    <row r="5130" spans="1:12" ht="11.15" customHeight="1">
      <c r="A5130" s="29"/>
      <c r="B5130" s="59" t="s">
        <v>21115</v>
      </c>
      <c r="C5130" s="147" t="s">
        <v>20221</v>
      </c>
      <c r="D5130" s="284" t="s">
        <v>897</v>
      </c>
      <c r="E5130" s="178">
        <v>2021</v>
      </c>
      <c r="F5130" s="178" t="s">
        <v>4520</v>
      </c>
      <c r="G5130" s="496"/>
      <c r="H5130" s="994" t="s">
        <v>20224</v>
      </c>
      <c r="I5130" s="11" t="s">
        <v>7121</v>
      </c>
      <c r="J5130" s="1285"/>
      <c r="K5130" s="1285"/>
      <c r="L5130" s="1285"/>
    </row>
    <row r="5131" spans="1:12" ht="11.15" customHeight="1">
      <c r="A5131" s="29"/>
      <c r="B5131" s="59" t="s">
        <v>21115</v>
      </c>
      <c r="C5131" s="147" t="s">
        <v>20221</v>
      </c>
      <c r="D5131" s="284" t="s">
        <v>897</v>
      </c>
      <c r="E5131" s="178">
        <v>2020</v>
      </c>
      <c r="F5131" s="178" t="s">
        <v>4520</v>
      </c>
      <c r="G5131" s="496"/>
      <c r="H5131" s="994" t="s">
        <v>20224</v>
      </c>
      <c r="I5131" s="11" t="s">
        <v>7122</v>
      </c>
      <c r="J5131" s="1285"/>
      <c r="K5131" s="1285"/>
      <c r="L5131" s="1285"/>
    </row>
    <row r="5132" spans="1:12" ht="11.15" customHeight="1">
      <c r="A5132" s="496"/>
      <c r="B5132" s="59" t="s">
        <v>21116</v>
      </c>
      <c r="C5132" s="147" t="s">
        <v>20221</v>
      </c>
      <c r="D5132" s="284" t="s">
        <v>897</v>
      </c>
      <c r="E5132" s="178">
        <v>2022</v>
      </c>
      <c r="F5132" s="178" t="s">
        <v>4520</v>
      </c>
      <c r="G5132" s="496"/>
      <c r="H5132" s="994" t="s">
        <v>20343</v>
      </c>
      <c r="I5132" s="11" t="s">
        <v>7123</v>
      </c>
      <c r="J5132" s="1285"/>
      <c r="K5132" s="1285"/>
      <c r="L5132" s="1285"/>
    </row>
    <row r="5133" spans="1:12" ht="11.15" customHeight="1">
      <c r="A5133" s="29"/>
      <c r="B5133" s="59" t="s">
        <v>21116</v>
      </c>
      <c r="C5133" s="147" t="s">
        <v>20221</v>
      </c>
      <c r="D5133" s="284" t="s">
        <v>897</v>
      </c>
      <c r="E5133" s="178">
        <v>2014</v>
      </c>
      <c r="F5133" s="178" t="s">
        <v>4520</v>
      </c>
      <c r="G5133" s="496"/>
      <c r="H5133" s="994" t="s">
        <v>20224</v>
      </c>
      <c r="I5133" s="11" t="s">
        <v>7124</v>
      </c>
      <c r="J5133" s="1285"/>
      <c r="K5133" s="1285"/>
      <c r="L5133" s="1285"/>
    </row>
    <row r="5134" spans="1:12" ht="11.15" customHeight="1">
      <c r="A5134" s="29"/>
      <c r="B5134" s="177" t="s">
        <v>4329</v>
      </c>
      <c r="C5134" s="147"/>
      <c r="D5134" s="161"/>
      <c r="E5134" s="36"/>
      <c r="F5134" s="178"/>
      <c r="G5134" s="1217"/>
      <c r="H5134" s="36"/>
      <c r="I5134" s="11"/>
    </row>
    <row r="5135" spans="1:12" ht="11.15" customHeight="1">
      <c r="A5135" s="29"/>
      <c r="B5135" s="59" t="s">
        <v>21117</v>
      </c>
      <c r="C5135" s="147" t="s">
        <v>20221</v>
      </c>
      <c r="D5135" s="284" t="s">
        <v>897</v>
      </c>
      <c r="E5135" s="178">
        <v>2022</v>
      </c>
      <c r="F5135" s="178" t="s">
        <v>5257</v>
      </c>
      <c r="G5135" s="496"/>
      <c r="H5135" s="994" t="s">
        <v>20343</v>
      </c>
      <c r="I5135" s="11" t="s">
        <v>7125</v>
      </c>
      <c r="J5135" s="1285"/>
      <c r="K5135" s="1285"/>
      <c r="L5135" s="1285"/>
    </row>
    <row r="5136" spans="1:12" ht="11.15" customHeight="1">
      <c r="A5136" s="29"/>
      <c r="B5136" s="59" t="s">
        <v>21118</v>
      </c>
      <c r="C5136" s="147" t="s">
        <v>20221</v>
      </c>
      <c r="D5136" s="284" t="s">
        <v>897</v>
      </c>
      <c r="E5136" s="178">
        <v>2018</v>
      </c>
      <c r="F5136" s="178" t="s">
        <v>11931</v>
      </c>
      <c r="G5136" s="496"/>
      <c r="H5136" s="994" t="s">
        <v>20221</v>
      </c>
      <c r="I5136" s="11" t="s">
        <v>7126</v>
      </c>
      <c r="J5136" s="1285"/>
      <c r="K5136" s="1285"/>
      <c r="L5136" s="1285"/>
    </row>
    <row r="5137" spans="1:12" ht="11.15" customHeight="1">
      <c r="A5137" s="129"/>
      <c r="B5137" s="59" t="s">
        <v>21119</v>
      </c>
      <c r="C5137" s="147" t="s">
        <v>20221</v>
      </c>
      <c r="D5137" s="284" t="s">
        <v>897</v>
      </c>
      <c r="E5137" s="178">
        <v>2018</v>
      </c>
      <c r="F5137" s="178" t="s">
        <v>11931</v>
      </c>
      <c r="G5137" s="496"/>
      <c r="H5137" s="994" t="s">
        <v>20221</v>
      </c>
      <c r="I5137" s="11" t="s">
        <v>7127</v>
      </c>
      <c r="J5137" s="1285"/>
      <c r="K5137" s="1285"/>
      <c r="L5137" s="1285"/>
    </row>
    <row r="5138" spans="1:12" ht="11.15" customHeight="1">
      <c r="A5138" s="129"/>
      <c r="B5138" s="59" t="s">
        <v>21119</v>
      </c>
      <c r="C5138" s="147" t="s">
        <v>20221</v>
      </c>
      <c r="D5138" s="284" t="s">
        <v>897</v>
      </c>
      <c r="E5138" s="178">
        <v>2011</v>
      </c>
      <c r="F5138" s="178" t="s">
        <v>5257</v>
      </c>
      <c r="G5138" s="496"/>
      <c r="H5138" s="994" t="s">
        <v>20224</v>
      </c>
      <c r="I5138" s="11" t="s">
        <v>7128</v>
      </c>
      <c r="J5138" s="1285"/>
      <c r="K5138" s="1285"/>
      <c r="L5138" s="1285"/>
    </row>
    <row r="5139" spans="1:12" ht="11.15" customHeight="1">
      <c r="A5139" s="129"/>
      <c r="B5139" s="59" t="s">
        <v>21120</v>
      </c>
      <c r="C5139" s="147" t="s">
        <v>20221</v>
      </c>
      <c r="D5139" s="284" t="s">
        <v>897</v>
      </c>
      <c r="E5139" s="178">
        <v>2022</v>
      </c>
      <c r="F5139" s="178" t="s">
        <v>5257</v>
      </c>
      <c r="G5139" s="496"/>
      <c r="H5139" s="994" t="s">
        <v>20343</v>
      </c>
      <c r="I5139" s="11" t="s">
        <v>7129</v>
      </c>
      <c r="J5139" s="1285"/>
      <c r="K5139" s="1285"/>
      <c r="L5139" s="1285"/>
    </row>
    <row r="5140" spans="1:12" ht="11.15" customHeight="1">
      <c r="A5140" s="185"/>
      <c r="B5140" s="59" t="s">
        <v>21120</v>
      </c>
      <c r="C5140" s="147" t="s">
        <v>20221</v>
      </c>
      <c r="D5140" s="284" t="s">
        <v>897</v>
      </c>
      <c r="E5140" s="178">
        <v>2011</v>
      </c>
      <c r="F5140" s="178" t="s">
        <v>11931</v>
      </c>
      <c r="G5140" s="496"/>
      <c r="H5140" s="994" t="s">
        <v>20224</v>
      </c>
      <c r="I5140" s="11" t="s">
        <v>7130</v>
      </c>
      <c r="J5140" s="1285"/>
      <c r="K5140" s="1285"/>
      <c r="L5140" s="1285"/>
    </row>
    <row r="5141" spans="1:12" ht="11.15" customHeight="1">
      <c r="A5141" s="129"/>
      <c r="B5141" s="59" t="s">
        <v>21120</v>
      </c>
      <c r="C5141" s="147" t="s">
        <v>20221</v>
      </c>
      <c r="D5141" s="284" t="s">
        <v>897</v>
      </c>
      <c r="E5141" s="178">
        <v>2010</v>
      </c>
      <c r="F5141" s="178" t="s">
        <v>11931</v>
      </c>
      <c r="G5141" s="496"/>
      <c r="H5141" s="994" t="s">
        <v>20224</v>
      </c>
      <c r="I5141" s="11" t="s">
        <v>7131</v>
      </c>
      <c r="J5141" s="1285"/>
      <c r="K5141" s="1285"/>
      <c r="L5141" s="1285"/>
    </row>
    <row r="5142" spans="1:12" ht="11.15" customHeight="1">
      <c r="A5142" s="185"/>
      <c r="B5142" s="59" t="s">
        <v>21120</v>
      </c>
      <c r="C5142" s="147" t="s">
        <v>20221</v>
      </c>
      <c r="D5142" s="284" t="s">
        <v>897</v>
      </c>
      <c r="E5142" s="178">
        <v>2009</v>
      </c>
      <c r="F5142" s="178" t="s">
        <v>11931</v>
      </c>
      <c r="G5142" s="496"/>
      <c r="H5142" s="994" t="s">
        <v>20277</v>
      </c>
      <c r="I5142" s="11" t="s">
        <v>7132</v>
      </c>
      <c r="J5142" s="1285"/>
      <c r="K5142" s="1285"/>
      <c r="L5142" s="1285"/>
    </row>
    <row r="5143" spans="1:12" ht="11.15" customHeight="1">
      <c r="A5143" s="185"/>
      <c r="B5143" s="185"/>
      <c r="C5143" s="147"/>
      <c r="D5143" s="185"/>
      <c r="E5143" s="185"/>
      <c r="F5143" s="185"/>
      <c r="G5143" s="185"/>
      <c r="H5143" s="185"/>
      <c r="I5143" s="11"/>
    </row>
    <row r="5144" spans="1:12" ht="11.15" customHeight="1">
      <c r="A5144" s="129"/>
      <c r="B5144" s="146" t="s">
        <v>7133</v>
      </c>
      <c r="C5144" s="147"/>
      <c r="D5144" s="161"/>
      <c r="E5144" s="36"/>
      <c r="F5144" s="183"/>
      <c r="G5144" s="496"/>
      <c r="H5144" s="34"/>
      <c r="I5144" s="11"/>
    </row>
    <row r="5145" spans="1:12" ht="9" customHeight="1">
      <c r="A5145" s="129"/>
      <c r="B5145" s="150" t="s">
        <v>7134</v>
      </c>
      <c r="C5145" s="147"/>
      <c r="D5145" s="161"/>
      <c r="E5145" s="36"/>
      <c r="F5145" s="183"/>
      <c r="G5145" s="496"/>
      <c r="H5145" s="34"/>
      <c r="I5145" s="11"/>
    </row>
    <row r="5146" spans="1:12" ht="9" customHeight="1">
      <c r="A5146" s="129"/>
      <c r="B5146" s="150" t="s">
        <v>7135</v>
      </c>
      <c r="C5146" s="147"/>
      <c r="D5146" s="161"/>
      <c r="E5146" s="36"/>
      <c r="F5146" s="183"/>
      <c r="G5146" s="496"/>
      <c r="H5146" s="34"/>
      <c r="I5146" s="11"/>
    </row>
    <row r="5147" spans="1:12" ht="9" customHeight="1">
      <c r="A5147" s="129"/>
      <c r="B5147" s="150" t="s">
        <v>7136</v>
      </c>
      <c r="C5147" s="147"/>
      <c r="D5147" s="122"/>
      <c r="E5147" s="36"/>
      <c r="F5147" s="178"/>
      <c r="G5147" s="453"/>
      <c r="H5147" s="36"/>
      <c r="I5147" s="11"/>
    </row>
    <row r="5148" spans="1:12" ht="9" customHeight="1" thickBot="1">
      <c r="A5148" s="129"/>
      <c r="B5148" s="150" t="s">
        <v>7137</v>
      </c>
      <c r="C5148" s="147"/>
      <c r="D5148" s="122"/>
      <c r="E5148" s="36"/>
      <c r="F5148" s="178"/>
      <c r="G5148" s="453"/>
      <c r="H5148" s="36"/>
      <c r="I5148" s="11"/>
    </row>
    <row r="5149" spans="1:12" ht="11.15" customHeight="1" thickBot="1">
      <c r="A5149" s="184" t="s">
        <v>7138</v>
      </c>
      <c r="B5149" s="177" t="s">
        <v>5524</v>
      </c>
      <c r="C5149" s="147"/>
      <c r="D5149" s="122"/>
      <c r="E5149" s="36"/>
      <c r="F5149" s="178"/>
      <c r="G5149" s="453"/>
      <c r="H5149" s="36"/>
      <c r="I5149" s="11"/>
    </row>
    <row r="5150" spans="1:12" ht="11.15" customHeight="1">
      <c r="A5150" s="29" t="s">
        <v>7139</v>
      </c>
      <c r="B5150" s="59" t="s">
        <v>21122</v>
      </c>
      <c r="C5150" s="147" t="s">
        <v>20221</v>
      </c>
      <c r="D5150" s="701" t="s">
        <v>1129</v>
      </c>
      <c r="E5150" s="178">
        <v>2023</v>
      </c>
      <c r="F5150" s="178" t="s">
        <v>7168</v>
      </c>
      <c r="G5150" s="496"/>
      <c r="H5150" s="994" t="s">
        <v>20221</v>
      </c>
      <c r="I5150" s="11" t="s">
        <v>7140</v>
      </c>
      <c r="J5150" s="1285"/>
      <c r="K5150" s="1285"/>
      <c r="L5150" s="1285"/>
    </row>
    <row r="5151" spans="1:12" ht="11.15" customHeight="1">
      <c r="A5151" s="58" t="s">
        <v>7141</v>
      </c>
      <c r="B5151" s="59" t="s">
        <v>18923</v>
      </c>
      <c r="C5151" s="147" t="s">
        <v>20221</v>
      </c>
      <c r="D5151" s="701" t="s">
        <v>1129</v>
      </c>
      <c r="E5151" s="178">
        <v>2023</v>
      </c>
      <c r="F5151" s="178" t="s">
        <v>4520</v>
      </c>
      <c r="G5151" s="496"/>
      <c r="H5151" s="994" t="s">
        <v>20221</v>
      </c>
      <c r="I5151" s="11" t="s">
        <v>7142</v>
      </c>
      <c r="J5151" s="1285"/>
      <c r="K5151" s="1285"/>
      <c r="L5151" s="1285"/>
    </row>
    <row r="5152" spans="1:12" ht="11.15" customHeight="1">
      <c r="A5152" s="29" t="s">
        <v>7143</v>
      </c>
      <c r="B5152" s="59" t="s">
        <v>18923</v>
      </c>
      <c r="C5152" s="147" t="s">
        <v>20221</v>
      </c>
      <c r="D5152" s="701" t="s">
        <v>1129</v>
      </c>
      <c r="E5152" s="178">
        <v>2022</v>
      </c>
      <c r="F5152" s="178" t="s">
        <v>4520</v>
      </c>
      <c r="G5152" s="496"/>
      <c r="H5152" s="994" t="s">
        <v>20221</v>
      </c>
      <c r="I5152" s="11" t="s">
        <v>7144</v>
      </c>
      <c r="J5152" s="1285"/>
      <c r="K5152" s="1285"/>
      <c r="L5152" s="1285"/>
    </row>
    <row r="5153" spans="1:12" ht="11.15" customHeight="1">
      <c r="A5153" s="29" t="s">
        <v>7145</v>
      </c>
      <c r="B5153" s="59" t="s">
        <v>18923</v>
      </c>
      <c r="C5153" s="147" t="s">
        <v>20221</v>
      </c>
      <c r="D5153" s="701" t="s">
        <v>1129</v>
      </c>
      <c r="E5153" s="178">
        <v>2021</v>
      </c>
      <c r="F5153" s="178" t="s">
        <v>23395</v>
      </c>
      <c r="G5153" s="496"/>
      <c r="H5153" s="994" t="s">
        <v>20224</v>
      </c>
      <c r="I5153" s="11" t="s">
        <v>7146</v>
      </c>
      <c r="J5153" s="1285"/>
      <c r="K5153" s="1285"/>
      <c r="L5153" s="1285"/>
    </row>
    <row r="5154" spans="1:12" ht="11.15" customHeight="1">
      <c r="A5154" s="129" t="s">
        <v>7147</v>
      </c>
      <c r="B5154" s="59" t="s">
        <v>18923</v>
      </c>
      <c r="C5154" s="147" t="s">
        <v>20221</v>
      </c>
      <c r="D5154" s="701" t="s">
        <v>1129</v>
      </c>
      <c r="E5154" s="178">
        <v>2020</v>
      </c>
      <c r="F5154" s="178" t="s">
        <v>23395</v>
      </c>
      <c r="G5154" s="496"/>
      <c r="H5154" s="994" t="s">
        <v>20224</v>
      </c>
      <c r="I5154" s="11" t="s">
        <v>7148</v>
      </c>
      <c r="J5154" s="1285"/>
      <c r="K5154" s="1285"/>
      <c r="L5154" s="1285"/>
    </row>
    <row r="5155" spans="1:12" ht="11.15" customHeight="1">
      <c r="A5155" s="162" t="s">
        <v>7149</v>
      </c>
      <c r="B5155" s="59" t="s">
        <v>18923</v>
      </c>
      <c r="C5155" s="147" t="s">
        <v>20221</v>
      </c>
      <c r="D5155" s="701" t="s">
        <v>1129</v>
      </c>
      <c r="E5155" s="178">
        <v>2019</v>
      </c>
      <c r="F5155" s="178" t="s">
        <v>23395</v>
      </c>
      <c r="G5155" s="496"/>
      <c r="H5155" s="994" t="s">
        <v>20221</v>
      </c>
      <c r="I5155" s="11" t="s">
        <v>7150</v>
      </c>
      <c r="J5155" s="1285"/>
      <c r="K5155" s="1285"/>
      <c r="L5155" s="1285"/>
    </row>
    <row r="5156" spans="1:12" ht="11.15" customHeight="1">
      <c r="A5156" s="162" t="s">
        <v>7151</v>
      </c>
      <c r="B5156" s="59" t="s">
        <v>18923</v>
      </c>
      <c r="C5156" s="147" t="s">
        <v>20221</v>
      </c>
      <c r="D5156" s="701" t="s">
        <v>1129</v>
      </c>
      <c r="E5156" s="178">
        <v>2018</v>
      </c>
      <c r="F5156" s="178" t="s">
        <v>23395</v>
      </c>
      <c r="G5156" s="496"/>
      <c r="H5156" s="994" t="s">
        <v>20221</v>
      </c>
      <c r="I5156" s="11" t="s">
        <v>7152</v>
      </c>
      <c r="J5156" s="1285"/>
      <c r="K5156" s="1285"/>
      <c r="L5156" s="1285"/>
    </row>
    <row r="5157" spans="1:12" ht="11.15" customHeight="1">
      <c r="A5157" s="129" t="s">
        <v>903</v>
      </c>
      <c r="B5157" s="59" t="s">
        <v>18923</v>
      </c>
      <c r="C5157" s="147" t="s">
        <v>20221</v>
      </c>
      <c r="D5157" s="701" t="s">
        <v>1129</v>
      </c>
      <c r="E5157" s="178">
        <v>2017</v>
      </c>
      <c r="F5157" s="178" t="s">
        <v>23395</v>
      </c>
      <c r="G5157" s="496"/>
      <c r="H5157" s="994" t="s">
        <v>20221</v>
      </c>
      <c r="I5157" s="11" t="s">
        <v>7153</v>
      </c>
      <c r="J5157" s="1285"/>
      <c r="K5157" s="1285"/>
      <c r="L5157" s="1285"/>
    </row>
    <row r="5158" spans="1:12" ht="11.15" customHeight="1">
      <c r="A5158" s="162" t="s">
        <v>7154</v>
      </c>
      <c r="B5158" s="59" t="s">
        <v>18923</v>
      </c>
      <c r="C5158" s="147" t="s">
        <v>20221</v>
      </c>
      <c r="D5158" s="701" t="s">
        <v>1129</v>
      </c>
      <c r="E5158" s="178">
        <v>2016</v>
      </c>
      <c r="F5158" s="178" t="s">
        <v>23395</v>
      </c>
      <c r="G5158" s="496"/>
      <c r="H5158" s="994" t="s">
        <v>20221</v>
      </c>
      <c r="I5158" s="11" t="s">
        <v>7155</v>
      </c>
      <c r="J5158" s="1285"/>
      <c r="K5158" s="1285"/>
      <c r="L5158" s="1285"/>
    </row>
    <row r="5159" spans="1:12" ht="11.15" customHeight="1">
      <c r="A5159" s="162" t="s">
        <v>7156</v>
      </c>
      <c r="B5159" s="59" t="s">
        <v>18923</v>
      </c>
      <c r="C5159" s="147" t="s">
        <v>20221</v>
      </c>
      <c r="D5159" s="701" t="s">
        <v>1129</v>
      </c>
      <c r="E5159" s="178">
        <v>2015</v>
      </c>
      <c r="F5159" s="178" t="s">
        <v>23395</v>
      </c>
      <c r="G5159" s="496"/>
      <c r="H5159" s="994" t="s">
        <v>20221</v>
      </c>
      <c r="I5159" s="11" t="s">
        <v>7157</v>
      </c>
      <c r="J5159" s="1285"/>
      <c r="K5159" s="1285"/>
      <c r="L5159" s="1285"/>
    </row>
    <row r="5160" spans="1:12" ht="11.15" customHeight="1">
      <c r="A5160" s="162" t="s">
        <v>7158</v>
      </c>
      <c r="B5160" s="59" t="s">
        <v>20891</v>
      </c>
      <c r="C5160" s="147" t="s">
        <v>20221</v>
      </c>
      <c r="D5160" s="701" t="s">
        <v>1129</v>
      </c>
      <c r="E5160" s="178">
        <v>2022</v>
      </c>
      <c r="F5160" s="178" t="s">
        <v>11931</v>
      </c>
      <c r="G5160" s="496"/>
      <c r="H5160" s="994" t="s">
        <v>20224</v>
      </c>
      <c r="I5160" s="11" t="s">
        <v>7159</v>
      </c>
      <c r="J5160" s="1285"/>
      <c r="K5160" s="1285"/>
      <c r="L5160" s="1285"/>
    </row>
    <row r="5161" spans="1:12" ht="9.75" customHeight="1">
      <c r="A5161" s="162" t="s">
        <v>7160</v>
      </c>
      <c r="B5161" s="177" t="s">
        <v>7161</v>
      </c>
      <c r="C5161" s="147"/>
      <c r="D5161" s="129"/>
      <c r="E5161" s="185"/>
      <c r="F5161" s="185"/>
      <c r="G5161" s="185"/>
      <c r="H5161" s="185"/>
      <c r="I5161" s="11"/>
    </row>
    <row r="5162" spans="1:12" ht="11.15" customHeight="1">
      <c r="A5162" s="162" t="s">
        <v>7162</v>
      </c>
      <c r="B5162" s="59" t="s">
        <v>21123</v>
      </c>
      <c r="C5162" s="147" t="s">
        <v>20221</v>
      </c>
      <c r="D5162" s="284" t="s">
        <v>897</v>
      </c>
      <c r="E5162" s="178">
        <v>2023</v>
      </c>
      <c r="F5162" s="178" t="s">
        <v>7168</v>
      </c>
      <c r="G5162" s="496"/>
      <c r="H5162" s="994" t="s">
        <v>20221</v>
      </c>
      <c r="I5162" s="11" t="s">
        <v>7163</v>
      </c>
      <c r="J5162" s="1285"/>
      <c r="K5162" s="1285"/>
      <c r="L5162" s="1285"/>
    </row>
    <row r="5163" spans="1:12" ht="11.15" customHeight="1">
      <c r="A5163" s="162" t="s">
        <v>7164</v>
      </c>
      <c r="B5163" s="59" t="s">
        <v>21123</v>
      </c>
      <c r="C5163" s="147" t="s">
        <v>20221</v>
      </c>
      <c r="D5163" s="284" t="s">
        <v>897</v>
      </c>
      <c r="E5163" s="178">
        <v>2022</v>
      </c>
      <c r="F5163" s="178" t="s">
        <v>23405</v>
      </c>
      <c r="G5163" s="496"/>
      <c r="H5163" s="994" t="s">
        <v>20221</v>
      </c>
      <c r="I5163" s="11" t="s">
        <v>7165</v>
      </c>
      <c r="J5163" s="1285"/>
      <c r="K5163" s="1285"/>
      <c r="L5163" s="1285"/>
    </row>
    <row r="5164" spans="1:12" ht="11.15" customHeight="1">
      <c r="A5164" s="162" t="s">
        <v>7166</v>
      </c>
      <c r="B5164" s="90" t="s">
        <v>7167</v>
      </c>
      <c r="C5164" s="147" t="s">
        <v>20221</v>
      </c>
      <c r="D5164" s="284" t="s">
        <v>897</v>
      </c>
      <c r="E5164" s="178" t="s">
        <v>20221</v>
      </c>
      <c r="F5164" s="178" t="s">
        <v>7168</v>
      </c>
      <c r="G5164" s="496" t="s">
        <v>20221</v>
      </c>
      <c r="H5164" s="183"/>
      <c r="I5164" s="11" t="s">
        <v>7169</v>
      </c>
      <c r="J5164" s="1285"/>
      <c r="K5164" s="1285"/>
      <c r="L5164" s="1285"/>
    </row>
    <row r="5165" spans="1:12" ht="11.15" customHeight="1">
      <c r="A5165" s="166" t="s">
        <v>7170</v>
      </c>
      <c r="B5165" s="59" t="s">
        <v>18992</v>
      </c>
      <c r="C5165" s="147" t="s">
        <v>20221</v>
      </c>
      <c r="D5165" s="284" t="s">
        <v>897</v>
      </c>
      <c r="E5165" s="178">
        <v>2023</v>
      </c>
      <c r="F5165" s="178" t="s">
        <v>4520</v>
      </c>
      <c r="G5165" s="496"/>
      <c r="H5165" s="994" t="s">
        <v>20221</v>
      </c>
      <c r="I5165" s="11" t="s">
        <v>7171</v>
      </c>
      <c r="J5165" s="1285"/>
      <c r="K5165" s="1285"/>
      <c r="L5165" s="1285"/>
    </row>
    <row r="5166" spans="1:12" ht="11.15" customHeight="1">
      <c r="A5166" s="169" t="s">
        <v>7172</v>
      </c>
      <c r="B5166" s="59" t="s">
        <v>18992</v>
      </c>
      <c r="C5166" s="147" t="s">
        <v>20221</v>
      </c>
      <c r="D5166" s="284" t="s">
        <v>897</v>
      </c>
      <c r="E5166" s="178">
        <v>2022</v>
      </c>
      <c r="F5166" s="178" t="s">
        <v>4520</v>
      </c>
      <c r="G5166" s="496"/>
      <c r="H5166" s="994" t="s">
        <v>20221</v>
      </c>
      <c r="I5166" s="11" t="s">
        <v>7173</v>
      </c>
      <c r="J5166" s="1285"/>
      <c r="K5166" s="1285"/>
      <c r="L5166" s="1285"/>
    </row>
    <row r="5167" spans="1:12" ht="11.15" customHeight="1">
      <c r="A5167" s="169" t="s">
        <v>7174</v>
      </c>
      <c r="B5167" s="59" t="s">
        <v>18992</v>
      </c>
      <c r="C5167" s="147" t="s">
        <v>20221</v>
      </c>
      <c r="D5167" s="284" t="s">
        <v>897</v>
      </c>
      <c r="E5167" s="178">
        <v>2021</v>
      </c>
      <c r="F5167" s="178" t="s">
        <v>23395</v>
      </c>
      <c r="G5167" s="496"/>
      <c r="H5167" s="994" t="s">
        <v>20221</v>
      </c>
      <c r="I5167" s="11" t="s">
        <v>7175</v>
      </c>
      <c r="J5167" s="1285"/>
      <c r="K5167" s="1285"/>
      <c r="L5167" s="1285"/>
    </row>
    <row r="5168" spans="1:12" ht="11.15" customHeight="1">
      <c r="A5168" s="424" t="s">
        <v>7176</v>
      </c>
      <c r="B5168" s="59" t="s">
        <v>18992</v>
      </c>
      <c r="C5168" s="147" t="s">
        <v>20221</v>
      </c>
      <c r="D5168" s="284" t="s">
        <v>897</v>
      </c>
      <c r="E5168" s="178">
        <v>2020</v>
      </c>
      <c r="F5168" s="178" t="s">
        <v>23395</v>
      </c>
      <c r="G5168" s="496"/>
      <c r="H5168" s="994" t="s">
        <v>20221</v>
      </c>
      <c r="I5168" s="11" t="s">
        <v>7177</v>
      </c>
      <c r="J5168" s="1285"/>
      <c r="K5168" s="1285"/>
      <c r="L5168" s="1285"/>
    </row>
    <row r="5169" spans="1:12" ht="11.15" customHeight="1">
      <c r="A5169" s="29"/>
      <c r="B5169" s="59" t="s">
        <v>18992</v>
      </c>
      <c r="C5169" s="147" t="s">
        <v>20221</v>
      </c>
      <c r="D5169" s="284" t="s">
        <v>897</v>
      </c>
      <c r="E5169" s="178">
        <v>2019</v>
      </c>
      <c r="F5169" s="178" t="s">
        <v>23395</v>
      </c>
      <c r="G5169" s="496"/>
      <c r="H5169" s="994" t="s">
        <v>20221</v>
      </c>
      <c r="I5169" s="11" t="s">
        <v>7178</v>
      </c>
      <c r="J5169" s="1285"/>
      <c r="K5169" s="1285"/>
      <c r="L5169" s="1285"/>
    </row>
    <row r="5170" spans="1:12" ht="11.15" customHeight="1">
      <c r="A5170" s="185"/>
      <c r="B5170" s="59" t="s">
        <v>18992</v>
      </c>
      <c r="C5170" s="147" t="s">
        <v>20221</v>
      </c>
      <c r="D5170" s="284" t="s">
        <v>897</v>
      </c>
      <c r="E5170" s="178">
        <v>2018</v>
      </c>
      <c r="F5170" s="178" t="s">
        <v>23395</v>
      </c>
      <c r="G5170" s="496"/>
      <c r="H5170" s="994" t="s">
        <v>20221</v>
      </c>
      <c r="I5170" s="11" t="s">
        <v>7179</v>
      </c>
      <c r="J5170" s="1285"/>
      <c r="K5170" s="1285"/>
      <c r="L5170" s="1285"/>
    </row>
    <row r="5171" spans="1:12" ht="11.15" customHeight="1">
      <c r="A5171" s="185"/>
      <c r="B5171" s="59" t="s">
        <v>18992</v>
      </c>
      <c r="C5171" s="147" t="s">
        <v>20221</v>
      </c>
      <c r="D5171" s="284" t="s">
        <v>897</v>
      </c>
      <c r="E5171" s="178">
        <v>2017</v>
      </c>
      <c r="F5171" s="178" t="s">
        <v>23395</v>
      </c>
      <c r="G5171" s="496"/>
      <c r="H5171" s="994" t="s">
        <v>20221</v>
      </c>
      <c r="I5171" s="11" t="s">
        <v>7180</v>
      </c>
      <c r="J5171" s="1285"/>
      <c r="K5171" s="1285"/>
      <c r="L5171" s="1285"/>
    </row>
    <row r="5172" spans="1:12" ht="11.15" customHeight="1">
      <c r="A5172" s="185"/>
      <c r="B5172" s="59" t="s">
        <v>18992</v>
      </c>
      <c r="C5172" s="147" t="s">
        <v>20221</v>
      </c>
      <c r="D5172" s="284" t="s">
        <v>897</v>
      </c>
      <c r="E5172" s="178">
        <v>2016</v>
      </c>
      <c r="F5172" s="178" t="s">
        <v>23395</v>
      </c>
      <c r="G5172" s="496"/>
      <c r="H5172" s="994" t="s">
        <v>20221</v>
      </c>
      <c r="I5172" s="11" t="s">
        <v>7181</v>
      </c>
      <c r="J5172" s="1285"/>
      <c r="K5172" s="1285"/>
      <c r="L5172" s="1285"/>
    </row>
    <row r="5173" spans="1:12" ht="11.15" customHeight="1">
      <c r="A5173" s="497"/>
      <c r="B5173" s="59" t="s">
        <v>18992</v>
      </c>
      <c r="C5173" s="147" t="s">
        <v>20221</v>
      </c>
      <c r="D5173" s="284" t="s">
        <v>897</v>
      </c>
      <c r="E5173" s="178">
        <v>2015</v>
      </c>
      <c r="F5173" s="178" t="s">
        <v>23395</v>
      </c>
      <c r="G5173" s="496"/>
      <c r="H5173" s="994" t="s">
        <v>20221</v>
      </c>
      <c r="I5173" s="11" t="s">
        <v>7182</v>
      </c>
      <c r="J5173" s="1285"/>
      <c r="K5173" s="1285"/>
      <c r="L5173" s="1285"/>
    </row>
    <row r="5174" spans="1:12" ht="11.15" customHeight="1">
      <c r="A5174" s="129"/>
      <c r="B5174" s="59" t="s">
        <v>18992</v>
      </c>
      <c r="C5174" s="147" t="s">
        <v>20221</v>
      </c>
      <c r="D5174" s="284" t="s">
        <v>897</v>
      </c>
      <c r="E5174" s="178">
        <v>2014</v>
      </c>
      <c r="F5174" s="178" t="s">
        <v>23395</v>
      </c>
      <c r="G5174" s="496"/>
      <c r="H5174" s="994" t="s">
        <v>20221</v>
      </c>
      <c r="I5174" s="11" t="s">
        <v>7183</v>
      </c>
      <c r="J5174" s="1285"/>
      <c r="K5174" s="1285"/>
      <c r="L5174" s="1285"/>
    </row>
    <row r="5175" spans="1:12" ht="11.15" customHeight="1">
      <c r="A5175" s="129"/>
      <c r="B5175" s="59" t="s">
        <v>18992</v>
      </c>
      <c r="C5175" s="147" t="s">
        <v>20221</v>
      </c>
      <c r="D5175" s="284" t="s">
        <v>897</v>
      </c>
      <c r="E5175" s="178">
        <v>2012</v>
      </c>
      <c r="F5175" s="178" t="s">
        <v>23395</v>
      </c>
      <c r="G5175" s="496"/>
      <c r="H5175" s="994" t="s">
        <v>20221</v>
      </c>
      <c r="I5175" s="11" t="s">
        <v>7184</v>
      </c>
      <c r="J5175" s="1285"/>
      <c r="K5175" s="1285"/>
      <c r="L5175" s="1285"/>
    </row>
    <row r="5176" spans="1:12" ht="11.15" customHeight="1">
      <c r="A5176" s="129"/>
      <c r="B5176" s="59" t="s">
        <v>21124</v>
      </c>
      <c r="C5176" s="147" t="s">
        <v>20221</v>
      </c>
      <c r="D5176" s="284" t="s">
        <v>897</v>
      </c>
      <c r="E5176" s="178">
        <v>2016</v>
      </c>
      <c r="F5176" s="178" t="s">
        <v>11931</v>
      </c>
      <c r="G5176" s="496"/>
      <c r="H5176" s="994" t="s">
        <v>20277</v>
      </c>
      <c r="I5176" s="11" t="s">
        <v>7185</v>
      </c>
      <c r="J5176" s="1285"/>
      <c r="K5176" s="1285"/>
      <c r="L5176" s="1285"/>
    </row>
    <row r="5177" spans="1:12" ht="11.15" customHeight="1">
      <c r="A5177" s="129"/>
      <c r="B5177" s="177" t="s">
        <v>7186</v>
      </c>
      <c r="C5177" s="147"/>
      <c r="D5177" s="161"/>
      <c r="E5177" s="36"/>
      <c r="F5177" s="183"/>
      <c r="G5177" s="1217"/>
      <c r="H5177" s="34"/>
      <c r="I5177" s="11"/>
    </row>
    <row r="5178" spans="1:12" ht="11.15" customHeight="1">
      <c r="A5178" s="129"/>
      <c r="B5178" s="59" t="s">
        <v>21125</v>
      </c>
      <c r="C5178" s="147" t="s">
        <v>20221</v>
      </c>
      <c r="D5178" s="284" t="s">
        <v>897</v>
      </c>
      <c r="E5178" s="178">
        <v>2023</v>
      </c>
      <c r="F5178" s="178" t="s">
        <v>4520</v>
      </c>
      <c r="G5178" s="496"/>
      <c r="H5178" s="994" t="s">
        <v>20221</v>
      </c>
      <c r="I5178" s="11" t="s">
        <v>7187</v>
      </c>
      <c r="J5178" s="1285"/>
      <c r="K5178" s="1285"/>
      <c r="L5178" s="1285"/>
    </row>
    <row r="5179" spans="1:12" ht="11.15" customHeight="1">
      <c r="A5179" s="129"/>
      <c r="B5179" s="59" t="s">
        <v>21125</v>
      </c>
      <c r="C5179" s="147" t="s">
        <v>20221</v>
      </c>
      <c r="D5179" s="284" t="s">
        <v>897</v>
      </c>
      <c r="E5179" s="178">
        <v>2022</v>
      </c>
      <c r="F5179" s="178" t="s">
        <v>4520</v>
      </c>
      <c r="G5179" s="496"/>
      <c r="H5179" s="994" t="s">
        <v>20221</v>
      </c>
      <c r="I5179" s="11" t="s">
        <v>7188</v>
      </c>
      <c r="J5179" s="1285"/>
      <c r="K5179" s="1285"/>
      <c r="L5179" s="1285"/>
    </row>
    <row r="5180" spans="1:12" ht="11.15" customHeight="1">
      <c r="A5180" s="129"/>
      <c r="B5180" s="59" t="s">
        <v>21125</v>
      </c>
      <c r="C5180" s="147" t="s">
        <v>20221</v>
      </c>
      <c r="D5180" s="284" t="s">
        <v>897</v>
      </c>
      <c r="E5180" s="178">
        <v>2021</v>
      </c>
      <c r="F5180" s="178" t="s">
        <v>23395</v>
      </c>
      <c r="G5180" s="496"/>
      <c r="H5180" s="994" t="s">
        <v>20221</v>
      </c>
      <c r="I5180" s="11" t="s">
        <v>7189</v>
      </c>
      <c r="J5180" s="1285"/>
      <c r="K5180" s="1285"/>
      <c r="L5180" s="1285"/>
    </row>
    <row r="5181" spans="1:12" ht="11.15" customHeight="1">
      <c r="A5181" s="129"/>
      <c r="B5181" s="59" t="s">
        <v>21125</v>
      </c>
      <c r="C5181" s="147" t="s">
        <v>20221</v>
      </c>
      <c r="D5181" s="284" t="s">
        <v>897</v>
      </c>
      <c r="E5181" s="178">
        <v>2020</v>
      </c>
      <c r="F5181" s="178" t="s">
        <v>23395</v>
      </c>
      <c r="G5181" s="496"/>
      <c r="H5181" s="994" t="s">
        <v>20221</v>
      </c>
      <c r="I5181" s="11" t="s">
        <v>7190</v>
      </c>
      <c r="J5181" s="1285"/>
      <c r="K5181" s="1285"/>
      <c r="L5181" s="1285"/>
    </row>
    <row r="5182" spans="1:12" ht="11.15" customHeight="1">
      <c r="A5182" s="129"/>
      <c r="B5182" s="59" t="s">
        <v>21125</v>
      </c>
      <c r="C5182" s="147" t="s">
        <v>20221</v>
      </c>
      <c r="D5182" s="284" t="s">
        <v>897</v>
      </c>
      <c r="E5182" s="178">
        <v>2019</v>
      </c>
      <c r="F5182" s="178" t="s">
        <v>23395</v>
      </c>
      <c r="G5182" s="496"/>
      <c r="H5182" s="994" t="s">
        <v>20221</v>
      </c>
      <c r="I5182" s="11" t="s">
        <v>7191</v>
      </c>
      <c r="J5182" s="1285"/>
      <c r="K5182" s="1285"/>
      <c r="L5182" s="1285"/>
    </row>
    <row r="5183" spans="1:12" ht="11.15" customHeight="1">
      <c r="A5183" s="129"/>
      <c r="B5183" s="59" t="s">
        <v>21125</v>
      </c>
      <c r="C5183" s="147" t="s">
        <v>20221</v>
      </c>
      <c r="D5183" s="284" t="s">
        <v>897</v>
      </c>
      <c r="E5183" s="178">
        <v>2018</v>
      </c>
      <c r="F5183" s="178" t="s">
        <v>23395</v>
      </c>
      <c r="G5183" s="496"/>
      <c r="H5183" s="994" t="s">
        <v>20221</v>
      </c>
      <c r="I5183" s="11" t="s">
        <v>7192</v>
      </c>
      <c r="J5183" s="1285"/>
      <c r="K5183" s="1285"/>
      <c r="L5183" s="1285"/>
    </row>
    <row r="5184" spans="1:12" ht="11.15" customHeight="1">
      <c r="A5184" s="129"/>
      <c r="B5184" s="59" t="s">
        <v>21125</v>
      </c>
      <c r="C5184" s="147" t="s">
        <v>20221</v>
      </c>
      <c r="D5184" s="284" t="s">
        <v>897</v>
      </c>
      <c r="E5184" s="178">
        <v>2017</v>
      </c>
      <c r="F5184" s="178" t="s">
        <v>23395</v>
      </c>
      <c r="G5184" s="496"/>
      <c r="H5184" s="994" t="s">
        <v>20221</v>
      </c>
      <c r="I5184" s="11" t="s">
        <v>7193</v>
      </c>
      <c r="J5184" s="1285"/>
      <c r="K5184" s="1285"/>
      <c r="L5184" s="1285"/>
    </row>
    <row r="5185" spans="1:12" ht="11.15" customHeight="1">
      <c r="A5185" s="129"/>
      <c r="B5185" s="59" t="s">
        <v>21125</v>
      </c>
      <c r="C5185" s="147" t="s">
        <v>20221</v>
      </c>
      <c r="D5185" s="284" t="s">
        <v>897</v>
      </c>
      <c r="E5185" s="178">
        <v>2016</v>
      </c>
      <c r="F5185" s="178" t="s">
        <v>23395</v>
      </c>
      <c r="G5185" s="496"/>
      <c r="H5185" s="994" t="s">
        <v>20221</v>
      </c>
      <c r="I5185" s="11" t="s">
        <v>7194</v>
      </c>
      <c r="J5185" s="1285"/>
      <c r="K5185" s="1285"/>
      <c r="L5185" s="1285"/>
    </row>
    <row r="5186" spans="1:12" ht="11.15" customHeight="1">
      <c r="A5186" s="129"/>
      <c r="B5186" s="59" t="s">
        <v>21125</v>
      </c>
      <c r="C5186" s="147" t="s">
        <v>20221</v>
      </c>
      <c r="D5186" s="284" t="s">
        <v>897</v>
      </c>
      <c r="E5186" s="178">
        <v>2015</v>
      </c>
      <c r="F5186" s="178" t="s">
        <v>23395</v>
      </c>
      <c r="G5186" s="496"/>
      <c r="H5186" s="994" t="s">
        <v>20221</v>
      </c>
      <c r="I5186" s="11" t="s">
        <v>7195</v>
      </c>
      <c r="J5186" s="1285"/>
      <c r="K5186" s="1285"/>
      <c r="L5186" s="1285"/>
    </row>
    <row r="5187" spans="1:12" ht="11.15" customHeight="1">
      <c r="A5187" s="129"/>
      <c r="B5187" s="59" t="s">
        <v>21125</v>
      </c>
      <c r="C5187" s="147" t="s">
        <v>20221</v>
      </c>
      <c r="D5187" s="284" t="s">
        <v>897</v>
      </c>
      <c r="E5187" s="178">
        <v>2014</v>
      </c>
      <c r="F5187" s="178" t="s">
        <v>23395</v>
      </c>
      <c r="G5187" s="496"/>
      <c r="H5187" s="994" t="s">
        <v>20221</v>
      </c>
      <c r="I5187" s="11" t="s">
        <v>6288</v>
      </c>
      <c r="J5187" s="1285"/>
      <c r="K5187" s="1285"/>
      <c r="L5187" s="1285"/>
    </row>
    <row r="5188" spans="1:12" ht="11.15" customHeight="1">
      <c r="A5188" s="129"/>
      <c r="B5188" s="59" t="s">
        <v>21126</v>
      </c>
      <c r="C5188" s="147" t="s">
        <v>20221</v>
      </c>
      <c r="D5188" s="284" t="s">
        <v>897</v>
      </c>
      <c r="E5188" s="178">
        <v>2019</v>
      </c>
      <c r="F5188" s="178" t="s">
        <v>11931</v>
      </c>
      <c r="G5188" s="496"/>
      <c r="H5188" s="994" t="s">
        <v>20224</v>
      </c>
      <c r="I5188" s="11" t="s">
        <v>7196</v>
      </c>
      <c r="J5188" s="1285"/>
      <c r="K5188" s="1285"/>
      <c r="L5188" s="1285"/>
    </row>
    <row r="5189" spans="1:12" ht="11.15" customHeight="1">
      <c r="A5189" s="129"/>
      <c r="B5189" s="59" t="s">
        <v>21126</v>
      </c>
      <c r="C5189" s="147" t="s">
        <v>20221</v>
      </c>
      <c r="D5189" s="284" t="s">
        <v>897</v>
      </c>
      <c r="E5189" s="178">
        <v>2018</v>
      </c>
      <c r="F5189" s="178" t="s">
        <v>11931</v>
      </c>
      <c r="G5189" s="496"/>
      <c r="H5189" s="994" t="s">
        <v>20224</v>
      </c>
      <c r="I5189" s="11" t="s">
        <v>7197</v>
      </c>
      <c r="J5189" s="1285"/>
      <c r="K5189" s="1285"/>
      <c r="L5189" s="1285"/>
    </row>
    <row r="5190" spans="1:12" ht="11.15" customHeight="1">
      <c r="A5190" s="129"/>
      <c r="B5190" s="59" t="s">
        <v>21126</v>
      </c>
      <c r="C5190" s="147" t="s">
        <v>20221</v>
      </c>
      <c r="D5190" s="284" t="s">
        <v>897</v>
      </c>
      <c r="E5190" s="178">
        <v>2017</v>
      </c>
      <c r="F5190" s="178" t="s">
        <v>11931</v>
      </c>
      <c r="G5190" s="496"/>
      <c r="H5190" s="994" t="s">
        <v>20221</v>
      </c>
      <c r="I5190" s="11" t="s">
        <v>7198</v>
      </c>
      <c r="J5190" s="1285"/>
      <c r="K5190" s="1285"/>
      <c r="L5190" s="1285"/>
    </row>
    <row r="5191" spans="1:12" ht="11.15" customHeight="1">
      <c r="A5191" s="129"/>
      <c r="B5191" s="59" t="s">
        <v>21126</v>
      </c>
      <c r="C5191" s="147" t="s">
        <v>20221</v>
      </c>
      <c r="D5191" s="284" t="s">
        <v>897</v>
      </c>
      <c r="E5191" s="178">
        <v>2016</v>
      </c>
      <c r="F5191" s="178" t="s">
        <v>11931</v>
      </c>
      <c r="G5191" s="496"/>
      <c r="H5191" s="994" t="s">
        <v>20221</v>
      </c>
      <c r="I5191" s="11" t="s">
        <v>7199</v>
      </c>
      <c r="J5191" s="1285"/>
      <c r="K5191" s="1285"/>
      <c r="L5191" s="1285"/>
    </row>
    <row r="5192" spans="1:12" ht="11.15" customHeight="1">
      <c r="A5192" s="129"/>
      <c r="B5192" s="59" t="s">
        <v>21126</v>
      </c>
      <c r="C5192" s="147" t="s">
        <v>20221</v>
      </c>
      <c r="D5192" s="284" t="s">
        <v>897</v>
      </c>
      <c r="E5192" s="178">
        <v>2014</v>
      </c>
      <c r="F5192" s="178" t="s">
        <v>11931</v>
      </c>
      <c r="G5192" s="496"/>
      <c r="H5192" s="994" t="s">
        <v>20224</v>
      </c>
      <c r="I5192" s="11" t="s">
        <v>7200</v>
      </c>
      <c r="J5192" s="1285"/>
      <c r="K5192" s="1285"/>
      <c r="L5192" s="1285"/>
    </row>
    <row r="5193" spans="1:12" ht="11.15" customHeight="1">
      <c r="A5193" s="129"/>
      <c r="B5193" s="59" t="s">
        <v>21126</v>
      </c>
      <c r="C5193" s="147" t="s">
        <v>20221</v>
      </c>
      <c r="D5193" s="284" t="s">
        <v>897</v>
      </c>
      <c r="E5193" s="178">
        <v>2013</v>
      </c>
      <c r="F5193" s="178" t="s">
        <v>11931</v>
      </c>
      <c r="G5193" s="496"/>
      <c r="H5193" s="994" t="s">
        <v>20224</v>
      </c>
      <c r="I5193" s="11" t="s">
        <v>7201</v>
      </c>
      <c r="J5193" s="1285"/>
      <c r="K5193" s="1285"/>
      <c r="L5193" s="1285"/>
    </row>
    <row r="5194" spans="1:12" ht="11.15" customHeight="1">
      <c r="A5194" s="129"/>
      <c r="B5194" s="59" t="s">
        <v>21126</v>
      </c>
      <c r="C5194" s="147" t="s">
        <v>20221</v>
      </c>
      <c r="D5194" s="284" t="s">
        <v>897</v>
      </c>
      <c r="E5194" s="178">
        <v>2011</v>
      </c>
      <c r="F5194" s="178" t="s">
        <v>11931</v>
      </c>
      <c r="G5194" s="496"/>
      <c r="H5194" s="994" t="s">
        <v>20224</v>
      </c>
      <c r="I5194" s="11" t="s">
        <v>6298</v>
      </c>
      <c r="J5194" s="1285"/>
      <c r="K5194" s="1285"/>
      <c r="L5194" s="1285"/>
    </row>
    <row r="5195" spans="1:12" ht="11.15" customHeight="1">
      <c r="A5195" s="129"/>
      <c r="B5195" s="226"/>
      <c r="C5195" s="147"/>
      <c r="D5195" s="161"/>
      <c r="E5195" s="34"/>
      <c r="F5195" s="183"/>
      <c r="G5195" s="671"/>
      <c r="H5195" s="34"/>
      <c r="I5195" s="11"/>
    </row>
    <row r="5196" spans="1:12" ht="11.15" customHeight="1">
      <c r="A5196" s="29"/>
      <c r="B5196" s="146" t="s">
        <v>7202</v>
      </c>
      <c r="C5196" s="147"/>
      <c r="D5196" s="122"/>
      <c r="E5196" s="185"/>
      <c r="F5196" s="185"/>
      <c r="G5196" s="416"/>
      <c r="H5196" s="185"/>
      <c r="I5196" s="11"/>
    </row>
    <row r="5197" spans="1:12" ht="9" customHeight="1">
      <c r="A5197" s="137"/>
      <c r="B5197" s="209" t="s">
        <v>7203</v>
      </c>
      <c r="C5197" s="147"/>
      <c r="D5197" s="122"/>
      <c r="E5197" s="137"/>
      <c r="F5197" s="137"/>
      <c r="G5197" s="498"/>
      <c r="H5197" s="137"/>
      <c r="I5197" s="11"/>
    </row>
    <row r="5198" spans="1:12" ht="9" customHeight="1">
      <c r="A5198" s="137"/>
      <c r="B5198" s="150" t="s">
        <v>7204</v>
      </c>
      <c r="C5198" s="147"/>
      <c r="D5198" s="122"/>
      <c r="E5198" s="137"/>
      <c r="F5198" s="137"/>
      <c r="G5198" s="498"/>
      <c r="H5198" s="137"/>
      <c r="I5198" s="11"/>
    </row>
    <row r="5199" spans="1:12" ht="9" customHeight="1">
      <c r="A5199" s="137"/>
      <c r="B5199" s="150" t="s">
        <v>7205</v>
      </c>
      <c r="C5199" s="147"/>
      <c r="D5199" s="122"/>
      <c r="E5199" s="137"/>
      <c r="F5199" s="137"/>
      <c r="G5199" s="498"/>
      <c r="H5199" s="137"/>
      <c r="I5199" s="11"/>
    </row>
    <row r="5200" spans="1:12" ht="9" customHeight="1">
      <c r="A5200" s="162"/>
      <c r="B5200" s="150" t="s">
        <v>7206</v>
      </c>
      <c r="C5200" s="147"/>
      <c r="D5200" s="149"/>
      <c r="E5200" s="162"/>
      <c r="F5200" s="162"/>
      <c r="G5200" s="380"/>
      <c r="H5200" s="162"/>
      <c r="I5200" s="11"/>
    </row>
    <row r="5201" spans="1:9" ht="9" customHeight="1">
      <c r="A5201" s="162"/>
      <c r="B5201" s="150" t="s">
        <v>7207</v>
      </c>
      <c r="C5201" s="147"/>
      <c r="D5201" s="149"/>
      <c r="E5201" s="162"/>
      <c r="F5201" s="162"/>
      <c r="G5201" s="380"/>
      <c r="H5201" s="162"/>
      <c r="I5201" s="11"/>
    </row>
    <row r="5202" spans="1:9" ht="9" customHeight="1">
      <c r="A5202" s="162"/>
      <c r="B5202" s="150" t="s">
        <v>7208</v>
      </c>
      <c r="C5202" s="147"/>
      <c r="D5202" s="149"/>
      <c r="E5202" s="162"/>
      <c r="F5202" s="162"/>
      <c r="G5202" s="380"/>
      <c r="H5202" s="162"/>
      <c r="I5202" s="11"/>
    </row>
    <row r="5203" spans="1:9" ht="9" customHeight="1">
      <c r="A5203" s="162"/>
      <c r="B5203" s="150" t="s">
        <v>7209</v>
      </c>
      <c r="C5203" s="147"/>
      <c r="D5203" s="149"/>
      <c r="E5203" s="162"/>
      <c r="F5203" s="162"/>
      <c r="G5203" s="380"/>
      <c r="H5203" s="162"/>
      <c r="I5203" s="11"/>
    </row>
    <row r="5204" spans="1:9" ht="9" customHeight="1">
      <c r="A5204" s="137"/>
      <c r="B5204" s="150" t="s">
        <v>7210</v>
      </c>
      <c r="C5204" s="147"/>
      <c r="D5204" s="129"/>
      <c r="E5204" s="137"/>
      <c r="F5204" s="137"/>
      <c r="G5204" s="137"/>
      <c r="H5204" s="137"/>
      <c r="I5204" s="11"/>
    </row>
    <row r="5205" spans="1:9" ht="9" customHeight="1">
      <c r="A5205" s="137"/>
      <c r="B5205" s="150" t="s">
        <v>7211</v>
      </c>
      <c r="C5205" s="147"/>
      <c r="D5205" s="129"/>
      <c r="E5205" s="137"/>
      <c r="F5205" s="137"/>
      <c r="G5205" s="137"/>
      <c r="H5205" s="137"/>
      <c r="I5205" s="11"/>
    </row>
    <row r="5206" spans="1:9" ht="9" customHeight="1">
      <c r="A5206" s="137"/>
      <c r="B5206" s="150" t="s">
        <v>7212</v>
      </c>
      <c r="C5206" s="147"/>
      <c r="D5206" s="129"/>
      <c r="E5206" s="137"/>
      <c r="F5206" s="137"/>
      <c r="G5206" s="137"/>
      <c r="H5206" s="137"/>
      <c r="I5206" s="11"/>
    </row>
    <row r="5207" spans="1:9" ht="9" customHeight="1">
      <c r="A5207" s="137"/>
      <c r="B5207" s="150" t="s">
        <v>7213</v>
      </c>
      <c r="C5207" s="147"/>
      <c r="D5207" s="129"/>
      <c r="E5207" s="137"/>
      <c r="F5207" s="137"/>
      <c r="G5207" s="137"/>
      <c r="H5207" s="137"/>
      <c r="I5207" s="11"/>
    </row>
    <row r="5208" spans="1:9" ht="9" customHeight="1">
      <c r="A5208" s="137"/>
      <c r="B5208" s="150" t="s">
        <v>7214</v>
      </c>
      <c r="C5208" s="147"/>
      <c r="D5208" s="129"/>
      <c r="E5208" s="137"/>
      <c r="F5208" s="137"/>
      <c r="G5208" s="137"/>
      <c r="H5208" s="137"/>
      <c r="I5208" s="11"/>
    </row>
    <row r="5209" spans="1:9" ht="9" customHeight="1">
      <c r="A5209" s="137"/>
      <c r="B5209" s="150" t="s">
        <v>7215</v>
      </c>
      <c r="C5209" s="147"/>
      <c r="D5209" s="129"/>
      <c r="E5209" s="137"/>
      <c r="F5209" s="137"/>
      <c r="G5209" s="137"/>
      <c r="H5209" s="137"/>
      <c r="I5209" s="11"/>
    </row>
    <row r="5210" spans="1:9" ht="9" customHeight="1">
      <c r="A5210" s="137"/>
      <c r="B5210" s="150" t="s">
        <v>7216</v>
      </c>
      <c r="C5210" s="147"/>
      <c r="D5210" s="129"/>
      <c r="E5210" s="137"/>
      <c r="F5210" s="137"/>
      <c r="G5210" s="137"/>
      <c r="H5210" s="137"/>
      <c r="I5210" s="11"/>
    </row>
    <row r="5211" spans="1:9" ht="9" customHeight="1">
      <c r="A5211" s="137"/>
      <c r="B5211" s="150" t="s">
        <v>7217</v>
      </c>
      <c r="C5211" s="147"/>
      <c r="D5211" s="129"/>
      <c r="E5211" s="137"/>
      <c r="F5211" s="137"/>
      <c r="G5211" s="137"/>
      <c r="H5211" s="137"/>
      <c r="I5211" s="11"/>
    </row>
    <row r="5212" spans="1:9" ht="9" customHeight="1">
      <c r="A5212" s="137"/>
      <c r="B5212" s="150" t="s">
        <v>7218</v>
      </c>
      <c r="C5212" s="147"/>
      <c r="D5212" s="129"/>
      <c r="E5212" s="137"/>
      <c r="F5212" s="137"/>
      <c r="G5212" s="137"/>
      <c r="H5212" s="137"/>
      <c r="I5212" s="11"/>
    </row>
    <row r="5213" spans="1:9" ht="9" customHeight="1">
      <c r="A5213" s="137"/>
      <c r="B5213" s="150" t="s">
        <v>7219</v>
      </c>
      <c r="C5213" s="147"/>
      <c r="D5213" s="129"/>
      <c r="E5213" s="137"/>
      <c r="F5213" s="137"/>
      <c r="G5213" s="137"/>
      <c r="H5213" s="137"/>
      <c r="I5213" s="11"/>
    </row>
    <row r="5214" spans="1:9" ht="9" customHeight="1">
      <c r="A5214" s="137"/>
      <c r="B5214" s="150" t="s">
        <v>7220</v>
      </c>
      <c r="C5214" s="147"/>
      <c r="D5214" s="129"/>
      <c r="E5214" s="137"/>
      <c r="F5214" s="137"/>
      <c r="G5214" s="137"/>
      <c r="H5214" s="137"/>
      <c r="I5214" s="11"/>
    </row>
    <row r="5215" spans="1:9" ht="9" customHeight="1">
      <c r="A5215" s="137"/>
      <c r="B5215" s="150" t="s">
        <v>7221</v>
      </c>
      <c r="C5215" s="147"/>
      <c r="D5215" s="129"/>
      <c r="E5215" s="137"/>
      <c r="F5215" s="137"/>
      <c r="G5215" s="137"/>
      <c r="H5215" s="137"/>
      <c r="I5215" s="11"/>
    </row>
    <row r="5216" spans="1:9" ht="9" customHeight="1">
      <c r="A5216" s="137"/>
      <c r="B5216" s="150" t="s">
        <v>7222</v>
      </c>
      <c r="C5216" s="147"/>
      <c r="D5216" s="129"/>
      <c r="E5216" s="137"/>
      <c r="F5216" s="137"/>
      <c r="G5216" s="137"/>
      <c r="H5216" s="137"/>
      <c r="I5216" s="11"/>
    </row>
    <row r="5217" spans="1:9" ht="9" customHeight="1">
      <c r="A5217" s="137"/>
      <c r="B5217" s="150" t="s">
        <v>7223</v>
      </c>
      <c r="C5217" s="147"/>
      <c r="D5217" s="129"/>
      <c r="E5217" s="137"/>
      <c r="F5217" s="137"/>
      <c r="G5217" s="137"/>
      <c r="H5217" s="137"/>
      <c r="I5217" s="11"/>
    </row>
    <row r="5218" spans="1:9" ht="9" customHeight="1">
      <c r="A5218" s="137"/>
      <c r="B5218" s="150" t="s">
        <v>7224</v>
      </c>
      <c r="C5218" s="147"/>
      <c r="D5218" s="129"/>
      <c r="E5218" s="137"/>
      <c r="F5218" s="137"/>
      <c r="G5218" s="137"/>
      <c r="H5218" s="137"/>
      <c r="I5218" s="11"/>
    </row>
    <row r="5219" spans="1:9" ht="9" customHeight="1">
      <c r="A5219" s="29"/>
      <c r="B5219" s="150" t="s">
        <v>7225</v>
      </c>
      <c r="C5219" s="147"/>
      <c r="D5219" s="129"/>
      <c r="E5219" s="185"/>
      <c r="F5219" s="185"/>
      <c r="G5219" s="185"/>
      <c r="H5219" s="185"/>
      <c r="I5219" s="11"/>
    </row>
    <row r="5220" spans="1:9" ht="9" customHeight="1">
      <c r="A5220" s="29"/>
      <c r="B5220" s="150" t="s">
        <v>7226</v>
      </c>
      <c r="C5220" s="147"/>
      <c r="D5220" s="129"/>
      <c r="E5220" s="185"/>
      <c r="F5220" s="185"/>
      <c r="G5220" s="185"/>
      <c r="H5220" s="185"/>
      <c r="I5220" s="11"/>
    </row>
    <row r="5221" spans="1:9" ht="9" customHeight="1">
      <c r="A5221" s="29"/>
      <c r="B5221" s="150" t="s">
        <v>7227</v>
      </c>
      <c r="C5221" s="147"/>
      <c r="D5221" s="129"/>
      <c r="E5221" s="185"/>
      <c r="F5221" s="185"/>
      <c r="G5221" s="185"/>
      <c r="H5221" s="185"/>
      <c r="I5221" s="11"/>
    </row>
    <row r="5222" spans="1:9" ht="9" customHeight="1">
      <c r="A5222" s="29"/>
      <c r="B5222" s="150" t="s">
        <v>7228</v>
      </c>
      <c r="C5222" s="147"/>
      <c r="D5222" s="129"/>
      <c r="E5222" s="185"/>
      <c r="F5222" s="185"/>
      <c r="G5222" s="185"/>
      <c r="H5222" s="185"/>
      <c r="I5222" s="11"/>
    </row>
    <row r="5223" spans="1:9" ht="9" customHeight="1">
      <c r="A5223" s="29"/>
      <c r="B5223" s="150" t="s">
        <v>7229</v>
      </c>
      <c r="C5223" s="147"/>
      <c r="D5223" s="129"/>
      <c r="E5223" s="185"/>
      <c r="F5223" s="185"/>
      <c r="G5223" s="185"/>
      <c r="H5223" s="185"/>
      <c r="I5223" s="11"/>
    </row>
    <row r="5224" spans="1:9" ht="9" customHeight="1">
      <c r="A5224" s="29"/>
      <c r="B5224" s="150" t="s">
        <v>7230</v>
      </c>
      <c r="C5224" s="147"/>
      <c r="D5224" s="129"/>
      <c r="E5224" s="185"/>
      <c r="F5224" s="185"/>
      <c r="G5224" s="185"/>
      <c r="H5224" s="185"/>
      <c r="I5224" s="11"/>
    </row>
    <row r="5225" spans="1:9" ht="9" customHeight="1">
      <c r="A5225" s="29"/>
      <c r="B5225" s="150" t="s">
        <v>7231</v>
      </c>
      <c r="C5225" s="147"/>
      <c r="D5225" s="129"/>
      <c r="E5225" s="185"/>
      <c r="F5225" s="185"/>
      <c r="G5225" s="185"/>
      <c r="H5225" s="185"/>
      <c r="I5225" s="11"/>
    </row>
    <row r="5226" spans="1:9" ht="9" customHeight="1">
      <c r="A5226" s="29"/>
      <c r="B5226" s="150" t="s">
        <v>7232</v>
      </c>
      <c r="C5226" s="147"/>
      <c r="D5226" s="129"/>
      <c r="E5226" s="185"/>
      <c r="F5226" s="185"/>
      <c r="G5226" s="185"/>
      <c r="H5226" s="185"/>
      <c r="I5226" s="11"/>
    </row>
    <row r="5227" spans="1:9" ht="9" customHeight="1">
      <c r="A5227" s="29"/>
      <c r="B5227" s="150" t="s">
        <v>7233</v>
      </c>
      <c r="C5227" s="147"/>
      <c r="D5227" s="129"/>
      <c r="E5227" s="185"/>
      <c r="F5227" s="185"/>
      <c r="G5227" s="185"/>
      <c r="H5227" s="185"/>
      <c r="I5227" s="11"/>
    </row>
    <row r="5228" spans="1:9" ht="9" customHeight="1">
      <c r="A5228" s="29"/>
      <c r="B5228" s="150" t="s">
        <v>7234</v>
      </c>
      <c r="C5228" s="147"/>
      <c r="D5228" s="129"/>
      <c r="E5228" s="185"/>
      <c r="F5228" s="185"/>
      <c r="G5228" s="185"/>
      <c r="H5228" s="185"/>
      <c r="I5228" s="11"/>
    </row>
    <row r="5229" spans="1:9" ht="9" customHeight="1">
      <c r="A5229" s="29"/>
      <c r="B5229" s="162" t="s">
        <v>7235</v>
      </c>
      <c r="C5229" s="147"/>
      <c r="D5229" s="129"/>
      <c r="E5229" s="185"/>
      <c r="F5229" s="185"/>
      <c r="G5229" s="185"/>
      <c r="H5229" s="185"/>
      <c r="I5229" s="11"/>
    </row>
    <row r="5230" spans="1:9" ht="9" customHeight="1">
      <c r="A5230" s="137"/>
      <c r="B5230" s="150" t="s">
        <v>7236</v>
      </c>
      <c r="C5230" s="147"/>
      <c r="D5230" s="129"/>
      <c r="E5230" s="137"/>
      <c r="F5230" s="137"/>
      <c r="G5230" s="137"/>
      <c r="H5230" s="137"/>
      <c r="I5230" s="11"/>
    </row>
    <row r="5231" spans="1:9" ht="9" customHeight="1">
      <c r="A5231" s="185"/>
      <c r="B5231" s="150" t="s">
        <v>7237</v>
      </c>
      <c r="C5231" s="147"/>
      <c r="D5231" s="159"/>
      <c r="E5231" s="36"/>
      <c r="F5231" s="178"/>
      <c r="G5231" s="496"/>
      <c r="H5231" s="36"/>
      <c r="I5231" s="11"/>
    </row>
    <row r="5232" spans="1:9" ht="9" customHeight="1">
      <c r="A5232" s="29"/>
      <c r="B5232" s="209" t="s">
        <v>7238</v>
      </c>
      <c r="C5232" s="147"/>
      <c r="D5232" s="159"/>
      <c r="E5232" s="36"/>
      <c r="F5232" s="183"/>
      <c r="G5232" s="1217"/>
      <c r="H5232" s="34"/>
      <c r="I5232" s="11"/>
    </row>
    <row r="5233" spans="1:12" ht="11.15" customHeight="1">
      <c r="A5233" s="29"/>
      <c r="B5233" s="146" t="s">
        <v>7239</v>
      </c>
      <c r="C5233" s="147"/>
      <c r="D5233" s="122"/>
      <c r="E5233" s="185"/>
      <c r="F5233" s="185"/>
      <c r="G5233" s="416"/>
      <c r="H5233" s="185"/>
      <c r="I5233" s="11"/>
    </row>
    <row r="5234" spans="1:12" ht="9" customHeight="1">
      <c r="A5234" s="29"/>
      <c r="B5234" s="209" t="s">
        <v>7240</v>
      </c>
      <c r="C5234" s="147"/>
      <c r="D5234" s="159"/>
      <c r="E5234" s="36"/>
      <c r="F5234" s="183"/>
      <c r="G5234" s="1217"/>
      <c r="H5234" s="34"/>
      <c r="I5234" s="11"/>
    </row>
    <row r="5235" spans="1:12" ht="9" customHeight="1">
      <c r="A5235" s="29"/>
      <c r="B5235" s="209" t="s">
        <v>7241</v>
      </c>
      <c r="C5235" s="147"/>
      <c r="D5235" s="159"/>
      <c r="E5235" s="36"/>
      <c r="F5235" s="183"/>
      <c r="G5235" s="1217"/>
      <c r="H5235" s="34"/>
      <c r="I5235" s="11"/>
    </row>
    <row r="5236" spans="1:12" ht="9" customHeight="1">
      <c r="A5236" s="162"/>
      <c r="B5236" s="150" t="s">
        <v>7242</v>
      </c>
      <c r="C5236" s="147"/>
      <c r="D5236" s="149"/>
      <c r="E5236" s="210"/>
      <c r="F5236" s="150"/>
      <c r="G5236" s="1226"/>
      <c r="H5236" s="210"/>
      <c r="I5236" s="11"/>
    </row>
    <row r="5237" spans="1:12" ht="9" customHeight="1">
      <c r="A5237" s="162"/>
      <c r="B5237" s="150" t="s">
        <v>7243</v>
      </c>
      <c r="C5237" s="147"/>
      <c r="D5237" s="149"/>
      <c r="E5237" s="210"/>
      <c r="F5237" s="150"/>
      <c r="G5237" s="1226"/>
      <c r="H5237" s="210"/>
      <c r="I5237" s="11"/>
    </row>
    <row r="5238" spans="1:12" ht="9" customHeight="1">
      <c r="A5238" s="162"/>
      <c r="B5238" s="150" t="s">
        <v>7244</v>
      </c>
      <c r="C5238" s="147"/>
      <c r="D5238" s="149"/>
      <c r="E5238" s="210"/>
      <c r="F5238" s="150"/>
      <c r="G5238" s="1226"/>
      <c r="H5238" s="210"/>
      <c r="I5238" s="11"/>
    </row>
    <row r="5239" spans="1:12" ht="9" customHeight="1">
      <c r="A5239" s="162"/>
      <c r="B5239" s="150" t="s">
        <v>7245</v>
      </c>
      <c r="C5239" s="147"/>
      <c r="D5239" s="149"/>
      <c r="E5239" s="210"/>
      <c r="F5239" s="150"/>
      <c r="G5239" s="1226"/>
      <c r="H5239" s="210"/>
      <c r="I5239" s="11"/>
    </row>
    <row r="5240" spans="1:12" ht="9" customHeight="1">
      <c r="A5240" s="162"/>
      <c r="B5240" s="150" t="s">
        <v>7246</v>
      </c>
      <c r="C5240" s="147"/>
      <c r="D5240" s="149"/>
      <c r="E5240" s="210"/>
      <c r="F5240" s="150"/>
      <c r="G5240" s="1226"/>
      <c r="H5240" s="210"/>
      <c r="I5240" s="11"/>
    </row>
    <row r="5241" spans="1:12" ht="9" customHeight="1">
      <c r="A5241" s="162"/>
      <c r="B5241" s="150" t="s">
        <v>7247</v>
      </c>
      <c r="C5241" s="147"/>
      <c r="D5241" s="149"/>
      <c r="E5241" s="210"/>
      <c r="F5241" s="150"/>
      <c r="G5241" s="1226"/>
      <c r="H5241" s="210"/>
      <c r="I5241" s="11"/>
    </row>
    <row r="5242" spans="1:12" ht="9" customHeight="1" thickBot="1">
      <c r="A5242" s="29"/>
      <c r="B5242" s="150" t="s">
        <v>7248</v>
      </c>
      <c r="C5242" s="147"/>
      <c r="D5242" s="129"/>
      <c r="E5242" s="185"/>
      <c r="F5242" s="185"/>
      <c r="G5242" s="185"/>
      <c r="H5242" s="185"/>
      <c r="I5242" s="11"/>
    </row>
    <row r="5243" spans="1:12" ht="11.15" customHeight="1">
      <c r="A5243" s="153" t="s">
        <v>7249</v>
      </c>
      <c r="B5243" s="154" t="s">
        <v>6514</v>
      </c>
      <c r="C5243" s="147"/>
      <c r="D5243" s="129"/>
      <c r="E5243" s="185"/>
      <c r="F5243" s="185"/>
      <c r="G5243" s="185"/>
      <c r="H5243" s="185"/>
      <c r="I5243" s="11"/>
    </row>
    <row r="5244" spans="1:12" ht="11.15" customHeight="1" thickBot="1">
      <c r="A5244" s="230" t="s">
        <v>7250</v>
      </c>
      <c r="B5244" s="59" t="s">
        <v>21026</v>
      </c>
      <c r="C5244" s="147" t="s">
        <v>23393</v>
      </c>
      <c r="D5244" s="701" t="s">
        <v>1129</v>
      </c>
      <c r="E5244" s="178">
        <v>2022</v>
      </c>
      <c r="F5244" s="178" t="s">
        <v>4520</v>
      </c>
      <c r="G5244" s="496"/>
      <c r="H5244" s="994" t="s">
        <v>20224</v>
      </c>
      <c r="I5244" s="11" t="s">
        <v>7251</v>
      </c>
      <c r="J5244" s="1285"/>
      <c r="K5244" s="1285"/>
      <c r="L5244" s="1285"/>
    </row>
    <row r="5245" spans="1:12" ht="11.15" customHeight="1">
      <c r="A5245" s="29" t="s">
        <v>7252</v>
      </c>
      <c r="B5245" s="59" t="s">
        <v>21128</v>
      </c>
      <c r="C5245" s="147" t="s">
        <v>23393</v>
      </c>
      <c r="D5245" s="701" t="s">
        <v>1129</v>
      </c>
      <c r="E5245" s="178">
        <v>2022</v>
      </c>
      <c r="F5245" s="178" t="s">
        <v>4520</v>
      </c>
      <c r="G5245" s="496"/>
      <c r="H5245" s="996" t="s">
        <v>3907</v>
      </c>
      <c r="I5245" s="11" t="s">
        <v>7253</v>
      </c>
      <c r="J5245" s="1285"/>
      <c r="K5245" s="1285"/>
      <c r="L5245" s="1285"/>
    </row>
    <row r="5246" spans="1:12" ht="11.15" customHeight="1">
      <c r="A5246" s="29" t="s">
        <v>7254</v>
      </c>
      <c r="B5246" s="154" t="s">
        <v>7255</v>
      </c>
      <c r="C5246" s="147"/>
      <c r="D5246" s="129"/>
      <c r="E5246" s="185"/>
      <c r="F5246" s="185"/>
      <c r="G5246" s="185"/>
      <c r="H5246" s="185"/>
      <c r="I5246" s="11"/>
    </row>
    <row r="5247" spans="1:12" ht="11.15" customHeight="1">
      <c r="A5247" s="29" t="s">
        <v>7256</v>
      </c>
      <c r="B5247" s="59" t="s">
        <v>21129</v>
      </c>
      <c r="C5247" s="147" t="s">
        <v>23393</v>
      </c>
      <c r="D5247" s="701" t="s">
        <v>1129</v>
      </c>
      <c r="E5247" s="178">
        <v>2022</v>
      </c>
      <c r="F5247" s="178" t="s">
        <v>4520</v>
      </c>
      <c r="G5247" s="496"/>
      <c r="H5247" s="994" t="s">
        <v>20221</v>
      </c>
      <c r="I5247" s="11" t="s">
        <v>7257</v>
      </c>
      <c r="J5247" s="1285"/>
      <c r="K5247" s="1285"/>
      <c r="L5247" s="1285"/>
    </row>
    <row r="5248" spans="1:12" ht="11.15" customHeight="1">
      <c r="A5248" s="29" t="s">
        <v>7258</v>
      </c>
      <c r="B5248" s="59" t="s">
        <v>21129</v>
      </c>
      <c r="C5248" s="147" t="s">
        <v>23393</v>
      </c>
      <c r="D5248" s="701" t="s">
        <v>1129</v>
      </c>
      <c r="E5248" s="178">
        <v>2019</v>
      </c>
      <c r="F5248" s="178" t="s">
        <v>4520</v>
      </c>
      <c r="G5248" s="496"/>
      <c r="H5248" s="994" t="s">
        <v>20221</v>
      </c>
      <c r="I5248" s="11" t="s">
        <v>7259</v>
      </c>
      <c r="J5248" s="1285"/>
      <c r="K5248" s="1285"/>
      <c r="L5248" s="1285"/>
    </row>
    <row r="5249" spans="1:12" ht="11.15" customHeight="1">
      <c r="A5249" s="29" t="s">
        <v>7260</v>
      </c>
      <c r="B5249" s="59" t="s">
        <v>21129</v>
      </c>
      <c r="C5249" s="147" t="s">
        <v>23393</v>
      </c>
      <c r="D5249" s="701" t="s">
        <v>1129</v>
      </c>
      <c r="E5249" s="178">
        <v>2018</v>
      </c>
      <c r="F5249" s="178" t="s">
        <v>4520</v>
      </c>
      <c r="G5249" s="496"/>
      <c r="H5249" s="994" t="s">
        <v>20221</v>
      </c>
      <c r="I5249" s="11" t="s">
        <v>7261</v>
      </c>
      <c r="J5249" s="1285"/>
      <c r="K5249" s="1285"/>
      <c r="L5249" s="1285"/>
    </row>
    <row r="5250" spans="1:12" ht="11.15" customHeight="1">
      <c r="A5250" s="29" t="s">
        <v>7262</v>
      </c>
      <c r="B5250" s="59" t="s">
        <v>21129</v>
      </c>
      <c r="C5250" s="147" t="s">
        <v>23393</v>
      </c>
      <c r="D5250" s="701" t="s">
        <v>1129</v>
      </c>
      <c r="E5250" s="178">
        <v>2017</v>
      </c>
      <c r="F5250" s="178" t="s">
        <v>4520</v>
      </c>
      <c r="G5250" s="496"/>
      <c r="H5250" s="994" t="s">
        <v>20221</v>
      </c>
      <c r="I5250" s="11" t="s">
        <v>7263</v>
      </c>
      <c r="J5250" s="1285"/>
      <c r="K5250" s="1285"/>
      <c r="L5250" s="1285"/>
    </row>
    <row r="5251" spans="1:12" ht="11.15" customHeight="1">
      <c r="A5251" s="29" t="s">
        <v>7264</v>
      </c>
      <c r="B5251" s="59" t="s">
        <v>21129</v>
      </c>
      <c r="C5251" s="147" t="s">
        <v>23393</v>
      </c>
      <c r="D5251" s="701" t="s">
        <v>1129</v>
      </c>
      <c r="E5251" s="178">
        <v>2015</v>
      </c>
      <c r="F5251" s="178" t="s">
        <v>4520</v>
      </c>
      <c r="G5251" s="496"/>
      <c r="H5251" s="994" t="s">
        <v>20221</v>
      </c>
      <c r="I5251" s="11" t="s">
        <v>7265</v>
      </c>
      <c r="J5251" s="1285"/>
      <c r="K5251" s="1285"/>
      <c r="L5251" s="1285"/>
    </row>
    <row r="5252" spans="1:12" ht="11.15" customHeight="1">
      <c r="A5252" s="229" t="s">
        <v>7266</v>
      </c>
      <c r="B5252" s="59" t="s">
        <v>21129</v>
      </c>
      <c r="C5252" s="147" t="s">
        <v>20221</v>
      </c>
      <c r="D5252" s="701" t="s">
        <v>1129</v>
      </c>
      <c r="E5252" s="178">
        <v>2013</v>
      </c>
      <c r="F5252" s="178" t="s">
        <v>4520</v>
      </c>
      <c r="G5252" s="496"/>
      <c r="H5252" s="994" t="s">
        <v>20221</v>
      </c>
      <c r="I5252" s="11" t="s">
        <v>7267</v>
      </c>
      <c r="J5252" s="1285"/>
      <c r="K5252" s="1285"/>
      <c r="L5252" s="1285"/>
    </row>
    <row r="5253" spans="1:12" ht="11.15" customHeight="1">
      <c r="A5253" s="29" t="s">
        <v>7268</v>
      </c>
      <c r="B5253" s="59" t="s">
        <v>21129</v>
      </c>
      <c r="C5253" s="147" t="s">
        <v>20221</v>
      </c>
      <c r="D5253" s="701" t="s">
        <v>1129</v>
      </c>
      <c r="E5253" s="178">
        <v>2012</v>
      </c>
      <c r="F5253" s="178" t="s">
        <v>4520</v>
      </c>
      <c r="G5253" s="496"/>
      <c r="H5253" s="994" t="s">
        <v>20221</v>
      </c>
      <c r="I5253" s="11" t="s">
        <v>7269</v>
      </c>
      <c r="J5253" s="1285"/>
      <c r="K5253" s="1285"/>
      <c r="L5253" s="1285"/>
    </row>
    <row r="5254" spans="1:12" ht="11.15" customHeight="1">
      <c r="A5254" s="181" t="s">
        <v>2070</v>
      </c>
      <c r="B5254" s="59" t="s">
        <v>21129</v>
      </c>
      <c r="C5254" s="147" t="s">
        <v>20221</v>
      </c>
      <c r="D5254" s="701" t="s">
        <v>1129</v>
      </c>
      <c r="E5254" s="178">
        <v>2011</v>
      </c>
      <c r="F5254" s="178" t="s">
        <v>4520</v>
      </c>
      <c r="G5254" s="496"/>
      <c r="H5254" s="994" t="s">
        <v>20224</v>
      </c>
      <c r="I5254" s="11" t="s">
        <v>7270</v>
      </c>
      <c r="J5254" s="1285"/>
      <c r="K5254" s="1285"/>
      <c r="L5254" s="1285"/>
    </row>
    <row r="5255" spans="1:12" ht="11.15" customHeight="1">
      <c r="A5255" s="181" t="s">
        <v>7271</v>
      </c>
      <c r="B5255" s="59" t="s">
        <v>21129</v>
      </c>
      <c r="C5255" s="147" t="s">
        <v>20221</v>
      </c>
      <c r="D5255" s="701" t="s">
        <v>1129</v>
      </c>
      <c r="E5255" s="178">
        <v>2008</v>
      </c>
      <c r="F5255" s="178" t="s">
        <v>4520</v>
      </c>
      <c r="G5255" s="496"/>
      <c r="H5255" s="994" t="s">
        <v>20224</v>
      </c>
      <c r="I5255" s="11" t="s">
        <v>7272</v>
      </c>
      <c r="J5255" s="1285"/>
      <c r="K5255" s="1285"/>
      <c r="L5255" s="1285"/>
    </row>
    <row r="5256" spans="1:12" ht="11.15" customHeight="1">
      <c r="A5256" s="129" t="s">
        <v>1077</v>
      </c>
      <c r="B5256" s="59" t="s">
        <v>21129</v>
      </c>
      <c r="C5256" s="147" t="s">
        <v>20221</v>
      </c>
      <c r="D5256" s="701" t="s">
        <v>1129</v>
      </c>
      <c r="E5256" s="178">
        <v>2007</v>
      </c>
      <c r="F5256" s="178" t="s">
        <v>4520</v>
      </c>
      <c r="G5256" s="496"/>
      <c r="H5256" s="994" t="s">
        <v>20221</v>
      </c>
      <c r="I5256" s="11" t="s">
        <v>7273</v>
      </c>
      <c r="J5256" s="1285"/>
      <c r="K5256" s="1285"/>
      <c r="L5256" s="1285"/>
    </row>
    <row r="5257" spans="1:12" ht="11.15" customHeight="1">
      <c r="A5257" s="162" t="s">
        <v>7274</v>
      </c>
      <c r="B5257" s="59" t="s">
        <v>21129</v>
      </c>
      <c r="C5257" s="147" t="s">
        <v>20221</v>
      </c>
      <c r="D5257" s="701" t="s">
        <v>1129</v>
      </c>
      <c r="E5257" s="178">
        <v>2006</v>
      </c>
      <c r="F5257" s="178" t="s">
        <v>23395</v>
      </c>
      <c r="G5257" s="496"/>
      <c r="H5257" s="994" t="s">
        <v>20221</v>
      </c>
      <c r="I5257" s="11" t="s">
        <v>7275</v>
      </c>
      <c r="J5257" s="1285"/>
      <c r="K5257" s="1285"/>
      <c r="L5257" s="1285"/>
    </row>
    <row r="5258" spans="1:12" ht="11.15" customHeight="1">
      <c r="A5258" s="162" t="s">
        <v>7276</v>
      </c>
      <c r="B5258" s="177" t="s">
        <v>7277</v>
      </c>
      <c r="C5258" s="147"/>
      <c r="D5258" s="159"/>
      <c r="E5258" s="36"/>
      <c r="F5258" s="183"/>
      <c r="G5258" s="1217"/>
      <c r="H5258" s="34"/>
      <c r="I5258" s="11"/>
    </row>
    <row r="5259" spans="1:12" ht="11.15" customHeight="1">
      <c r="A5259" s="162" t="s">
        <v>7278</v>
      </c>
      <c r="B5259" s="59" t="s">
        <v>21130</v>
      </c>
      <c r="C5259" s="147" t="s">
        <v>23393</v>
      </c>
      <c r="D5259" s="701" t="s">
        <v>1129</v>
      </c>
      <c r="E5259" s="178">
        <v>2018</v>
      </c>
      <c r="F5259" s="178" t="s">
        <v>11931</v>
      </c>
      <c r="G5259" s="496"/>
      <c r="H5259" s="994" t="s">
        <v>20224</v>
      </c>
      <c r="I5259" s="11" t="s">
        <v>7279</v>
      </c>
      <c r="J5259" s="1285"/>
      <c r="K5259" s="1285"/>
      <c r="L5259" s="1285"/>
    </row>
    <row r="5260" spans="1:12" ht="11.15" customHeight="1">
      <c r="A5260" s="162" t="s">
        <v>7280</v>
      </c>
      <c r="B5260" s="59" t="s">
        <v>21130</v>
      </c>
      <c r="C5260" s="147" t="s">
        <v>23393</v>
      </c>
      <c r="D5260" s="701" t="s">
        <v>1129</v>
      </c>
      <c r="E5260" s="178">
        <v>2016</v>
      </c>
      <c r="F5260" s="178" t="s">
        <v>11931</v>
      </c>
      <c r="G5260" s="496"/>
      <c r="H5260" s="994" t="s">
        <v>20221</v>
      </c>
      <c r="I5260" s="11" t="s">
        <v>7281</v>
      </c>
      <c r="J5260" s="1285"/>
      <c r="K5260" s="1285"/>
      <c r="L5260" s="1285"/>
    </row>
    <row r="5261" spans="1:12" ht="11.15" customHeight="1">
      <c r="A5261" s="162" t="s">
        <v>7282</v>
      </c>
      <c r="B5261" s="177" t="s">
        <v>1398</v>
      </c>
      <c r="C5261" s="147"/>
      <c r="D5261" s="122"/>
      <c r="E5261" s="36"/>
      <c r="F5261" s="183"/>
      <c r="G5261" s="1217"/>
      <c r="H5261" s="34"/>
      <c r="I5261" s="11"/>
    </row>
    <row r="5262" spans="1:12" ht="11.15" customHeight="1">
      <c r="A5262" s="162" t="s">
        <v>7283</v>
      </c>
      <c r="B5262" s="59" t="s">
        <v>21131</v>
      </c>
      <c r="C5262" s="147" t="s">
        <v>23393</v>
      </c>
      <c r="D5262" s="284" t="s">
        <v>897</v>
      </c>
      <c r="E5262" s="178">
        <v>2022</v>
      </c>
      <c r="F5262" s="178" t="s">
        <v>4520</v>
      </c>
      <c r="G5262" s="496"/>
      <c r="H5262" s="994" t="s">
        <v>20221</v>
      </c>
      <c r="I5262" s="11" t="s">
        <v>7284</v>
      </c>
      <c r="J5262" s="1285"/>
      <c r="K5262" s="1285"/>
      <c r="L5262" s="1285"/>
    </row>
    <row r="5263" spans="1:12" ht="11.15" customHeight="1">
      <c r="A5263" s="162" t="s">
        <v>7285</v>
      </c>
      <c r="B5263" s="59" t="s">
        <v>21132</v>
      </c>
      <c r="C5263" s="147" t="s">
        <v>23393</v>
      </c>
      <c r="D5263" s="284" t="s">
        <v>897</v>
      </c>
      <c r="E5263" s="178" t="s">
        <v>20221</v>
      </c>
      <c r="F5263" s="178" t="s">
        <v>5257</v>
      </c>
      <c r="G5263" s="496" t="s">
        <v>20221</v>
      </c>
      <c r="H5263" s="994" t="s">
        <v>3907</v>
      </c>
      <c r="I5263" s="11" t="s">
        <v>7286</v>
      </c>
      <c r="J5263" s="1285"/>
      <c r="K5263" s="1285"/>
      <c r="L5263" s="1285"/>
    </row>
    <row r="5264" spans="1:12" ht="11.15" customHeight="1">
      <c r="A5264" s="162" t="s">
        <v>7287</v>
      </c>
      <c r="B5264" s="59" t="s">
        <v>21133</v>
      </c>
      <c r="C5264" s="147" t="s">
        <v>23393</v>
      </c>
      <c r="D5264" s="284" t="s">
        <v>897</v>
      </c>
      <c r="E5264" s="178">
        <v>2007</v>
      </c>
      <c r="F5264" s="178" t="s">
        <v>23395</v>
      </c>
      <c r="G5264" s="496"/>
      <c r="H5264" s="994" t="s">
        <v>20277</v>
      </c>
      <c r="I5264" s="11" t="s">
        <v>7288</v>
      </c>
      <c r="J5264" s="1285"/>
      <c r="K5264" s="1285"/>
      <c r="L5264" s="1285"/>
    </row>
    <row r="5265" spans="1:12" ht="11.15" customHeight="1">
      <c r="A5265" s="162" t="s">
        <v>7289</v>
      </c>
      <c r="B5265" s="154" t="s">
        <v>7059</v>
      </c>
      <c r="C5265" s="147"/>
      <c r="D5265" s="185"/>
      <c r="E5265" s="185"/>
      <c r="F5265" s="185"/>
      <c r="G5265" s="185"/>
      <c r="H5265" s="185"/>
      <c r="I5265" s="11"/>
    </row>
    <row r="5266" spans="1:12" ht="11.15" customHeight="1">
      <c r="A5266" s="162" t="s">
        <v>7290</v>
      </c>
      <c r="B5266" s="59" t="s">
        <v>18808</v>
      </c>
      <c r="C5266" s="147" t="s">
        <v>23393</v>
      </c>
      <c r="D5266" s="284" t="s">
        <v>897</v>
      </c>
      <c r="E5266" s="178">
        <v>2021</v>
      </c>
      <c r="F5266" s="178" t="s">
        <v>4520</v>
      </c>
      <c r="G5266" s="496"/>
      <c r="H5266" s="994" t="s">
        <v>20224</v>
      </c>
      <c r="I5266" s="11" t="s">
        <v>7291</v>
      </c>
      <c r="J5266" s="1285"/>
      <c r="K5266" s="1285"/>
      <c r="L5266" s="1285"/>
    </row>
    <row r="5267" spans="1:12" ht="11.15" customHeight="1">
      <c r="A5267" s="162" t="s">
        <v>7292</v>
      </c>
      <c r="B5267" s="59" t="s">
        <v>21134</v>
      </c>
      <c r="C5267" s="147" t="s">
        <v>23393</v>
      </c>
      <c r="D5267" s="284" t="s">
        <v>897</v>
      </c>
      <c r="E5267" s="178">
        <v>2022</v>
      </c>
      <c r="F5267" s="178" t="s">
        <v>4520</v>
      </c>
      <c r="G5267" s="496"/>
      <c r="H5267" s="994" t="s">
        <v>20224</v>
      </c>
      <c r="I5267" s="11" t="s">
        <v>7293</v>
      </c>
      <c r="J5267" s="1285"/>
      <c r="K5267" s="1285"/>
      <c r="L5267" s="1285"/>
    </row>
    <row r="5268" spans="1:12" ht="11.15" customHeight="1">
      <c r="A5268" s="162" t="s">
        <v>7294</v>
      </c>
      <c r="B5268" s="154" t="s">
        <v>5452</v>
      </c>
      <c r="C5268" s="147"/>
      <c r="D5268" s="129"/>
      <c r="E5268" s="185"/>
      <c r="F5268" s="185"/>
      <c r="G5268" s="185"/>
      <c r="H5268" s="185"/>
      <c r="I5268" s="11"/>
    </row>
    <row r="5269" spans="1:12" ht="11.15" customHeight="1">
      <c r="A5269" s="162" t="s">
        <v>7295</v>
      </c>
      <c r="B5269" s="59" t="s">
        <v>21135</v>
      </c>
      <c r="C5269" s="147" t="s">
        <v>23393</v>
      </c>
      <c r="D5269" s="284" t="s">
        <v>897</v>
      </c>
      <c r="E5269" s="178">
        <v>2022</v>
      </c>
      <c r="F5269" s="178" t="s">
        <v>4520</v>
      </c>
      <c r="G5269" s="496"/>
      <c r="H5269" s="994" t="s">
        <v>20221</v>
      </c>
      <c r="I5269" s="11" t="s">
        <v>7296</v>
      </c>
      <c r="J5269" s="1285"/>
      <c r="K5269" s="1285"/>
      <c r="L5269" s="1285"/>
    </row>
    <row r="5270" spans="1:12" ht="11.15" customHeight="1">
      <c r="A5270" s="162" t="s">
        <v>7297</v>
      </c>
      <c r="B5270" s="59" t="s">
        <v>21135</v>
      </c>
      <c r="C5270" s="147" t="s">
        <v>23393</v>
      </c>
      <c r="D5270" s="284" t="s">
        <v>897</v>
      </c>
      <c r="E5270" s="178">
        <v>2021</v>
      </c>
      <c r="F5270" s="178" t="s">
        <v>4520</v>
      </c>
      <c r="G5270" s="496"/>
      <c r="H5270" s="994" t="s">
        <v>20221</v>
      </c>
      <c r="I5270" s="11" t="s">
        <v>7298</v>
      </c>
      <c r="J5270" s="1285"/>
      <c r="K5270" s="1285"/>
      <c r="L5270" s="1285"/>
    </row>
    <row r="5271" spans="1:12" ht="11.15" customHeight="1">
      <c r="A5271" s="162" t="s">
        <v>7299</v>
      </c>
      <c r="B5271" s="59" t="s">
        <v>21135</v>
      </c>
      <c r="C5271" s="147" t="s">
        <v>23393</v>
      </c>
      <c r="D5271" s="284" t="s">
        <v>897</v>
      </c>
      <c r="E5271" s="178">
        <v>2020</v>
      </c>
      <c r="F5271" s="178" t="s">
        <v>4520</v>
      </c>
      <c r="G5271" s="496"/>
      <c r="H5271" s="994" t="s">
        <v>20221</v>
      </c>
      <c r="I5271" s="11" t="s">
        <v>7300</v>
      </c>
      <c r="J5271" s="1285"/>
      <c r="K5271" s="1285"/>
      <c r="L5271" s="1285"/>
    </row>
    <row r="5272" spans="1:12" ht="11.15" customHeight="1">
      <c r="A5272" s="162" t="s">
        <v>7301</v>
      </c>
      <c r="B5272" s="59" t="s">
        <v>21135</v>
      </c>
      <c r="C5272" s="147" t="s">
        <v>23393</v>
      </c>
      <c r="D5272" s="284" t="s">
        <v>897</v>
      </c>
      <c r="E5272" s="178">
        <v>2018</v>
      </c>
      <c r="F5272" s="178" t="s">
        <v>4520</v>
      </c>
      <c r="G5272" s="496"/>
      <c r="H5272" s="994" t="s">
        <v>20224</v>
      </c>
      <c r="I5272" s="11" t="s">
        <v>7302</v>
      </c>
      <c r="J5272" s="1285"/>
      <c r="K5272" s="1285"/>
      <c r="L5272" s="1285"/>
    </row>
    <row r="5273" spans="1:12" ht="11.15" customHeight="1">
      <c r="A5273" s="162" t="s">
        <v>7303</v>
      </c>
      <c r="B5273" s="59" t="s">
        <v>21135</v>
      </c>
      <c r="C5273" s="147" t="s">
        <v>23393</v>
      </c>
      <c r="D5273" s="284" t="s">
        <v>897</v>
      </c>
      <c r="E5273" s="178">
        <v>2016</v>
      </c>
      <c r="F5273" s="178" t="s">
        <v>4520</v>
      </c>
      <c r="G5273" s="496"/>
      <c r="H5273" s="994" t="s">
        <v>20224</v>
      </c>
      <c r="I5273" s="11" t="s">
        <v>7304</v>
      </c>
      <c r="J5273" s="1285"/>
      <c r="K5273" s="1285"/>
      <c r="L5273" s="1285"/>
    </row>
    <row r="5274" spans="1:12" ht="11.15" customHeight="1">
      <c r="A5274" s="162" t="s">
        <v>7305</v>
      </c>
      <c r="B5274" s="59" t="s">
        <v>21135</v>
      </c>
      <c r="C5274" s="147" t="s">
        <v>23393</v>
      </c>
      <c r="D5274" s="284" t="s">
        <v>897</v>
      </c>
      <c r="E5274" s="178">
        <v>2009</v>
      </c>
      <c r="F5274" s="178" t="s">
        <v>4520</v>
      </c>
      <c r="G5274" s="496"/>
      <c r="H5274" s="994" t="s">
        <v>20224</v>
      </c>
      <c r="I5274" s="11" t="s">
        <v>7306</v>
      </c>
      <c r="J5274" s="1285"/>
      <c r="K5274" s="1285"/>
      <c r="L5274" s="1285"/>
    </row>
    <row r="5275" spans="1:12" ht="11.15" customHeight="1">
      <c r="A5275" s="162" t="s">
        <v>7307</v>
      </c>
      <c r="B5275" s="59" t="s">
        <v>21136</v>
      </c>
      <c r="C5275" s="147" t="s">
        <v>20221</v>
      </c>
      <c r="D5275" s="284" t="s">
        <v>897</v>
      </c>
      <c r="E5275" s="178">
        <v>2004</v>
      </c>
      <c r="F5275" s="178" t="s">
        <v>23395</v>
      </c>
      <c r="G5275" s="496"/>
      <c r="H5275" s="994" t="s">
        <v>20277</v>
      </c>
      <c r="I5275" s="11" t="s">
        <v>7308</v>
      </c>
      <c r="J5275" s="1285"/>
      <c r="K5275" s="1285"/>
      <c r="L5275" s="1285"/>
    </row>
    <row r="5276" spans="1:12" ht="11.15" customHeight="1">
      <c r="A5276" s="162" t="s">
        <v>7309</v>
      </c>
      <c r="B5276" s="59" t="s">
        <v>21137</v>
      </c>
      <c r="C5276" s="147" t="s">
        <v>23393</v>
      </c>
      <c r="D5276" s="284" t="s">
        <v>897</v>
      </c>
      <c r="E5276" s="178">
        <v>2004</v>
      </c>
      <c r="F5276" s="178" t="s">
        <v>23395</v>
      </c>
      <c r="G5276" s="496"/>
      <c r="H5276" s="994" t="s">
        <v>20277</v>
      </c>
      <c r="I5276" s="11" t="s">
        <v>7310</v>
      </c>
      <c r="J5276" s="1285"/>
      <c r="K5276" s="1285"/>
      <c r="L5276" s="1285"/>
    </row>
    <row r="5277" spans="1:12" ht="11.15" customHeight="1">
      <c r="A5277" s="162" t="s">
        <v>7311</v>
      </c>
      <c r="B5277" s="59" t="s">
        <v>21138</v>
      </c>
      <c r="C5277" s="147" t="s">
        <v>23393</v>
      </c>
      <c r="D5277" s="284" t="s">
        <v>897</v>
      </c>
      <c r="E5277" s="178">
        <v>2021</v>
      </c>
      <c r="F5277" s="178" t="s">
        <v>9658</v>
      </c>
      <c r="G5277" s="496"/>
      <c r="H5277" s="994" t="s">
        <v>20224</v>
      </c>
      <c r="I5277" s="11" t="s">
        <v>7312</v>
      </c>
      <c r="J5277" s="1285"/>
      <c r="K5277" s="1285"/>
      <c r="L5277" s="1285"/>
    </row>
    <row r="5278" spans="1:12" ht="11.15" customHeight="1">
      <c r="A5278" s="162" t="s">
        <v>7313</v>
      </c>
      <c r="B5278" s="59" t="s">
        <v>21062</v>
      </c>
      <c r="C5278" s="147" t="s">
        <v>23393</v>
      </c>
      <c r="D5278" s="284" t="s">
        <v>897</v>
      </c>
      <c r="E5278" s="178">
        <v>2019</v>
      </c>
      <c r="F5278" s="178" t="s">
        <v>23394</v>
      </c>
      <c r="G5278" s="496"/>
      <c r="H5278" s="994" t="s">
        <v>20224</v>
      </c>
      <c r="I5278" s="11" t="s">
        <v>7314</v>
      </c>
      <c r="J5278" s="1285"/>
      <c r="K5278" s="1285"/>
      <c r="L5278" s="1285"/>
    </row>
    <row r="5279" spans="1:12" ht="11.15" customHeight="1">
      <c r="A5279" s="162" t="s">
        <v>7315</v>
      </c>
      <c r="B5279" s="59" t="s">
        <v>20737</v>
      </c>
      <c r="C5279" s="147" t="s">
        <v>23393</v>
      </c>
      <c r="D5279" s="284" t="s">
        <v>897</v>
      </c>
      <c r="E5279" s="178" t="s">
        <v>20221</v>
      </c>
      <c r="F5279" s="178" t="s">
        <v>23394</v>
      </c>
      <c r="G5279" s="496" t="s">
        <v>20221</v>
      </c>
      <c r="H5279" s="994" t="s">
        <v>3907</v>
      </c>
      <c r="I5279" s="11" t="s">
        <v>7316</v>
      </c>
      <c r="J5279" s="1285"/>
      <c r="K5279" s="1285"/>
      <c r="L5279" s="1285"/>
    </row>
    <row r="5280" spans="1:12" ht="11.15" customHeight="1">
      <c r="A5280" s="162" t="s">
        <v>7317</v>
      </c>
      <c r="B5280" s="59" t="s">
        <v>21114</v>
      </c>
      <c r="C5280" s="147" t="s">
        <v>23393</v>
      </c>
      <c r="D5280" s="284" t="s">
        <v>897</v>
      </c>
      <c r="E5280" s="178">
        <v>2020</v>
      </c>
      <c r="F5280" s="178" t="s">
        <v>4520</v>
      </c>
      <c r="G5280" s="496"/>
      <c r="H5280" s="994" t="s">
        <v>20224</v>
      </c>
      <c r="I5280" s="11" t="s">
        <v>7318</v>
      </c>
      <c r="J5280" s="1285"/>
      <c r="K5280" s="1285"/>
      <c r="L5280" s="1285"/>
    </row>
    <row r="5281" spans="1:12" ht="11.15" customHeight="1">
      <c r="A5281" s="162" t="s">
        <v>7319</v>
      </c>
      <c r="B5281" s="59" t="s">
        <v>21139</v>
      </c>
      <c r="C5281" s="147" t="s">
        <v>23393</v>
      </c>
      <c r="D5281" s="284" t="s">
        <v>897</v>
      </c>
      <c r="E5281" s="178">
        <v>2020</v>
      </c>
      <c r="F5281" s="178" t="s">
        <v>23394</v>
      </c>
      <c r="G5281" s="496"/>
      <c r="H5281" s="994" t="s">
        <v>20224</v>
      </c>
      <c r="I5281" s="11" t="s">
        <v>7320</v>
      </c>
      <c r="J5281" s="1285"/>
      <c r="K5281" s="1285"/>
      <c r="L5281" s="1285"/>
    </row>
    <row r="5282" spans="1:12" ht="11.15" customHeight="1">
      <c r="A5282" s="162" t="s">
        <v>7321</v>
      </c>
      <c r="B5282" s="177" t="s">
        <v>6506</v>
      </c>
      <c r="C5282" s="147"/>
      <c r="D5282" s="161"/>
      <c r="E5282" s="36"/>
      <c r="F5282" s="178"/>
      <c r="G5282" s="496"/>
      <c r="H5282" s="36"/>
      <c r="I5282" s="11"/>
    </row>
    <row r="5283" spans="1:12" ht="11.15" customHeight="1">
      <c r="A5283" s="162" t="s">
        <v>7322</v>
      </c>
      <c r="B5283" s="59" t="s">
        <v>21140</v>
      </c>
      <c r="C5283" s="147" t="s">
        <v>23393</v>
      </c>
      <c r="D5283" s="284" t="s">
        <v>897</v>
      </c>
      <c r="E5283" s="178">
        <v>2018</v>
      </c>
      <c r="F5283" s="178" t="s">
        <v>11931</v>
      </c>
      <c r="G5283" s="496"/>
      <c r="H5283" s="994" t="s">
        <v>20224</v>
      </c>
      <c r="I5283" s="11" t="s">
        <v>7323</v>
      </c>
      <c r="J5283" s="1285"/>
      <c r="K5283" s="1285"/>
      <c r="L5283" s="1285"/>
    </row>
    <row r="5284" spans="1:12" ht="11.15" customHeight="1">
      <c r="A5284" s="162" t="s">
        <v>7324</v>
      </c>
      <c r="B5284" s="59" t="s">
        <v>21140</v>
      </c>
      <c r="C5284" s="147" t="s">
        <v>23393</v>
      </c>
      <c r="D5284" s="284" t="s">
        <v>897</v>
      </c>
      <c r="E5284" s="178">
        <v>2017</v>
      </c>
      <c r="F5284" s="178" t="s">
        <v>11931</v>
      </c>
      <c r="G5284" s="496"/>
      <c r="H5284" s="994" t="s">
        <v>20224</v>
      </c>
      <c r="I5284" s="11" t="s">
        <v>7325</v>
      </c>
      <c r="J5284" s="1285"/>
      <c r="K5284" s="1285"/>
      <c r="L5284" s="1285"/>
    </row>
    <row r="5285" spans="1:12" ht="11.15" customHeight="1">
      <c r="A5285" s="162" t="s">
        <v>7326</v>
      </c>
      <c r="B5285" s="59" t="s">
        <v>21140</v>
      </c>
      <c r="C5285" s="147" t="s">
        <v>23393</v>
      </c>
      <c r="D5285" s="284" t="s">
        <v>897</v>
      </c>
      <c r="E5285" s="178">
        <v>2013</v>
      </c>
      <c r="F5285" s="178" t="s">
        <v>11931</v>
      </c>
      <c r="G5285" s="496"/>
      <c r="H5285" s="994" t="s">
        <v>20224</v>
      </c>
      <c r="I5285" s="11" t="s">
        <v>7327</v>
      </c>
      <c r="J5285" s="1285"/>
      <c r="K5285" s="1285"/>
      <c r="L5285" s="1285"/>
    </row>
    <row r="5286" spans="1:12" ht="11.15" customHeight="1">
      <c r="A5286" s="162" t="s">
        <v>7328</v>
      </c>
      <c r="B5286" s="59" t="s">
        <v>21141</v>
      </c>
      <c r="C5286" s="147" t="s">
        <v>20221</v>
      </c>
      <c r="D5286" s="284" t="s">
        <v>897</v>
      </c>
      <c r="E5286" s="178">
        <v>2011</v>
      </c>
      <c r="F5286" s="178" t="s">
        <v>11931</v>
      </c>
      <c r="G5286" s="496"/>
      <c r="H5286" s="994" t="s">
        <v>20224</v>
      </c>
      <c r="I5286" s="11" t="s">
        <v>7329</v>
      </c>
      <c r="J5286" s="1285"/>
      <c r="K5286" s="1285"/>
      <c r="L5286" s="1285"/>
    </row>
    <row r="5287" spans="1:12" ht="11.15" customHeight="1">
      <c r="A5287" s="129" t="s">
        <v>7330</v>
      </c>
      <c r="B5287" s="185"/>
      <c r="C5287" s="185"/>
      <c r="D5287" s="185"/>
      <c r="E5287" s="185"/>
      <c r="F5287" s="185"/>
      <c r="G5287" s="185"/>
      <c r="H5287" s="185"/>
      <c r="I5287" s="11"/>
    </row>
    <row r="5288" spans="1:12" ht="11.15" customHeight="1">
      <c r="A5288" s="162" t="s">
        <v>7331</v>
      </c>
      <c r="B5288" s="185"/>
      <c r="C5288" s="147"/>
      <c r="D5288" s="185"/>
      <c r="E5288" s="185"/>
      <c r="F5288" s="185"/>
      <c r="G5288" s="185"/>
      <c r="H5288" s="185"/>
      <c r="I5288" s="11"/>
    </row>
    <row r="5289" spans="1:12" ht="11.15" customHeight="1">
      <c r="A5289" s="162" t="s">
        <v>7332</v>
      </c>
      <c r="B5289" s="185"/>
      <c r="C5289" s="147"/>
      <c r="D5289" s="185"/>
      <c r="E5289" s="185"/>
      <c r="F5289" s="185"/>
      <c r="G5289" s="185"/>
      <c r="H5289" s="185"/>
      <c r="I5289" s="11"/>
    </row>
    <row r="5290" spans="1:12" ht="11.15" customHeight="1">
      <c r="A5290" s="162" t="s">
        <v>7333</v>
      </c>
      <c r="B5290" s="185"/>
      <c r="C5290" s="147"/>
      <c r="D5290" s="185"/>
      <c r="E5290" s="185"/>
      <c r="F5290" s="185"/>
      <c r="G5290" s="185"/>
      <c r="H5290" s="185"/>
      <c r="I5290" s="11"/>
    </row>
    <row r="5291" spans="1:12" ht="11.15" customHeight="1">
      <c r="A5291" s="129" t="s">
        <v>7334</v>
      </c>
      <c r="B5291" s="185"/>
      <c r="C5291" s="147"/>
      <c r="D5291" s="185"/>
      <c r="E5291" s="185"/>
      <c r="F5291" s="185"/>
      <c r="G5291" s="185"/>
      <c r="H5291" s="185"/>
      <c r="I5291" s="11"/>
    </row>
    <row r="5292" spans="1:12" ht="11.15" customHeight="1">
      <c r="A5292" s="162" t="s">
        <v>7335</v>
      </c>
      <c r="B5292" s="185"/>
      <c r="C5292" s="147"/>
      <c r="D5292" s="129"/>
      <c r="E5292" s="185"/>
      <c r="F5292" s="185"/>
      <c r="G5292" s="185"/>
      <c r="H5292" s="185"/>
      <c r="I5292" s="11"/>
    </row>
    <row r="5293" spans="1:12" ht="11.15" customHeight="1">
      <c r="A5293" s="162" t="s">
        <v>7336</v>
      </c>
      <c r="B5293" s="185"/>
      <c r="C5293" s="147"/>
      <c r="D5293" s="129"/>
      <c r="E5293" s="185"/>
      <c r="F5293" s="185"/>
      <c r="G5293" s="185"/>
      <c r="H5293" s="185"/>
      <c r="I5293" s="11"/>
    </row>
    <row r="5294" spans="1:12" ht="11.15" customHeight="1">
      <c r="A5294" s="162" t="s">
        <v>7337</v>
      </c>
      <c r="B5294" s="185"/>
      <c r="C5294" s="147"/>
      <c r="D5294" s="129"/>
      <c r="E5294" s="185"/>
      <c r="F5294" s="185"/>
      <c r="G5294" s="185"/>
      <c r="H5294" s="185"/>
      <c r="I5294" s="11"/>
    </row>
    <row r="5295" spans="1:12" ht="11.15" customHeight="1">
      <c r="A5295" s="162" t="s">
        <v>7338</v>
      </c>
      <c r="B5295" s="185"/>
      <c r="C5295" s="147"/>
      <c r="D5295" s="129"/>
      <c r="E5295" s="185"/>
      <c r="F5295" s="185"/>
      <c r="G5295" s="185"/>
      <c r="H5295" s="185"/>
      <c r="I5295" s="11"/>
    </row>
    <row r="5296" spans="1:12" ht="11.15" customHeight="1">
      <c r="A5296" s="162" t="s">
        <v>7339</v>
      </c>
      <c r="B5296" s="185"/>
      <c r="C5296" s="147"/>
      <c r="D5296" s="129"/>
      <c r="E5296" s="185"/>
      <c r="F5296" s="185"/>
      <c r="G5296" s="185"/>
      <c r="H5296" s="185"/>
      <c r="I5296" s="11"/>
    </row>
    <row r="5297" spans="1:9" ht="11.15" customHeight="1">
      <c r="A5297" s="162" t="s">
        <v>7340</v>
      </c>
      <c r="B5297" s="185"/>
      <c r="C5297" s="147"/>
      <c r="D5297" s="129"/>
      <c r="E5297" s="185"/>
      <c r="F5297" s="185"/>
      <c r="G5297" s="185"/>
      <c r="H5297" s="185"/>
      <c r="I5297" s="11"/>
    </row>
    <row r="5298" spans="1:9" ht="11.15" customHeight="1">
      <c r="A5298" s="162" t="s">
        <v>7341</v>
      </c>
      <c r="B5298" s="90"/>
      <c r="C5298" s="147"/>
      <c r="D5298" s="161"/>
      <c r="E5298" s="36"/>
      <c r="F5298" s="183"/>
      <c r="G5298" s="496"/>
      <c r="H5298" s="34"/>
      <c r="I5298" s="11"/>
    </row>
    <row r="5299" spans="1:9" ht="11.15" customHeight="1">
      <c r="A5299" s="162" t="s">
        <v>7342</v>
      </c>
      <c r="B5299" s="185"/>
      <c r="C5299" s="147"/>
      <c r="D5299" s="129"/>
      <c r="E5299" s="185"/>
      <c r="F5299" s="185"/>
      <c r="G5299" s="185"/>
      <c r="H5299" s="185"/>
      <c r="I5299" s="11"/>
    </row>
    <row r="5300" spans="1:9" ht="11.15" customHeight="1">
      <c r="A5300" s="162" t="s">
        <v>7343</v>
      </c>
      <c r="B5300" s="185"/>
      <c r="C5300" s="147"/>
      <c r="D5300" s="129"/>
      <c r="E5300" s="185"/>
      <c r="F5300" s="185"/>
      <c r="G5300" s="185"/>
      <c r="H5300" s="185"/>
      <c r="I5300" s="11"/>
    </row>
    <row r="5301" spans="1:9" ht="11.15" customHeight="1">
      <c r="A5301" s="162" t="s">
        <v>7344</v>
      </c>
      <c r="B5301" s="185"/>
      <c r="C5301" s="147"/>
      <c r="D5301" s="129"/>
      <c r="E5301" s="185"/>
      <c r="F5301" s="185"/>
      <c r="G5301" s="185"/>
      <c r="H5301" s="185"/>
      <c r="I5301" s="11"/>
    </row>
    <row r="5302" spans="1:9" ht="11.15" customHeight="1">
      <c r="A5302" s="162" t="s">
        <v>7345</v>
      </c>
      <c r="B5302" s="185"/>
      <c r="C5302" s="147"/>
      <c r="D5302" s="129"/>
      <c r="E5302" s="185"/>
      <c r="F5302" s="185"/>
      <c r="G5302" s="185"/>
      <c r="H5302" s="185"/>
      <c r="I5302" s="11"/>
    </row>
    <row r="5303" spans="1:9" ht="11.15" customHeight="1">
      <c r="A5303" s="162" t="s">
        <v>7346</v>
      </c>
      <c r="B5303" s="185"/>
      <c r="C5303" s="147"/>
      <c r="D5303" s="129"/>
      <c r="E5303" s="185"/>
      <c r="F5303" s="185"/>
      <c r="G5303" s="185"/>
      <c r="H5303" s="185"/>
      <c r="I5303" s="11"/>
    </row>
    <row r="5304" spans="1:9" ht="11.15" customHeight="1">
      <c r="A5304" s="162" t="s">
        <v>7347</v>
      </c>
      <c r="B5304" s="90"/>
      <c r="C5304" s="147"/>
      <c r="D5304" s="161"/>
      <c r="E5304" s="36"/>
      <c r="F5304" s="183"/>
      <c r="G5304" s="496"/>
      <c r="H5304" s="34"/>
      <c r="I5304" s="11"/>
    </row>
    <row r="5305" spans="1:9" ht="11.15" customHeight="1">
      <c r="A5305" s="162" t="s">
        <v>7348</v>
      </c>
      <c r="B5305" s="185"/>
      <c r="C5305" s="147"/>
      <c r="D5305" s="129"/>
      <c r="E5305" s="185"/>
      <c r="F5305" s="185"/>
      <c r="G5305" s="185"/>
      <c r="H5305" s="185"/>
      <c r="I5305" s="11"/>
    </row>
    <row r="5306" spans="1:9" ht="11.15" customHeight="1">
      <c r="A5306" s="29" t="s">
        <v>7349</v>
      </c>
      <c r="B5306" s="185"/>
      <c r="C5306" s="147"/>
      <c r="D5306" s="129"/>
      <c r="E5306" s="185"/>
      <c r="F5306" s="185"/>
      <c r="G5306" s="185"/>
      <c r="H5306" s="185"/>
      <c r="I5306" s="11"/>
    </row>
    <row r="5307" spans="1:9" ht="11.15" customHeight="1">
      <c r="A5307" s="166" t="s">
        <v>7350</v>
      </c>
      <c r="B5307" s="90"/>
      <c r="C5307" s="147"/>
      <c r="D5307" s="161"/>
      <c r="E5307" s="36"/>
      <c r="F5307" s="178"/>
      <c r="G5307" s="671"/>
      <c r="H5307" s="36"/>
      <c r="I5307" s="11"/>
    </row>
    <row r="5308" spans="1:9" ht="11.15" customHeight="1">
      <c r="A5308" s="166" t="s">
        <v>1244</v>
      </c>
      <c r="B5308" s="90"/>
      <c r="C5308" s="147"/>
      <c r="D5308" s="161"/>
      <c r="E5308" s="36"/>
      <c r="F5308" s="178"/>
      <c r="G5308" s="671"/>
      <c r="H5308" s="36"/>
      <c r="I5308" s="11"/>
    </row>
    <row r="5309" spans="1:9" ht="11.15" customHeight="1">
      <c r="A5309" s="166" t="s">
        <v>4074</v>
      </c>
      <c r="B5309" s="89"/>
      <c r="C5309" s="147"/>
      <c r="D5309" s="161"/>
      <c r="E5309" s="36"/>
      <c r="F5309" s="178"/>
      <c r="G5309" s="496"/>
      <c r="H5309" s="36"/>
      <c r="I5309" s="11"/>
    </row>
    <row r="5310" spans="1:9" ht="11.15" customHeight="1">
      <c r="A5310" s="166" t="s">
        <v>4075</v>
      </c>
      <c r="B5310" s="89"/>
      <c r="C5310" s="147"/>
      <c r="D5310" s="161"/>
      <c r="E5310" s="36"/>
      <c r="F5310" s="178"/>
      <c r="G5310" s="496"/>
      <c r="H5310" s="36"/>
      <c r="I5310" s="11"/>
    </row>
    <row r="5311" spans="1:9" ht="11.15" customHeight="1">
      <c r="A5311" s="129" t="s">
        <v>7351</v>
      </c>
      <c r="B5311" s="185"/>
      <c r="C5311" s="147"/>
      <c r="D5311" s="161"/>
      <c r="E5311" s="36"/>
      <c r="F5311" s="178"/>
      <c r="G5311" s="496"/>
      <c r="H5311" s="36"/>
      <c r="I5311" s="11"/>
    </row>
    <row r="5312" spans="1:9" ht="11.15" customHeight="1">
      <c r="A5312" s="129" t="s">
        <v>7352</v>
      </c>
      <c r="B5312" s="185"/>
      <c r="C5312" s="147"/>
      <c r="D5312" s="161"/>
      <c r="E5312" s="36"/>
      <c r="F5312" s="178"/>
      <c r="G5312" s="496"/>
      <c r="H5312" s="36"/>
      <c r="I5312" s="11"/>
    </row>
    <row r="5313" spans="1:9" ht="11.15" customHeight="1">
      <c r="A5313" s="424" t="s">
        <v>7353</v>
      </c>
      <c r="B5313" s="185"/>
      <c r="C5313" s="147"/>
      <c r="D5313" s="161"/>
      <c r="E5313" s="36"/>
      <c r="F5313" s="178"/>
      <c r="G5313" s="496"/>
      <c r="H5313" s="36"/>
      <c r="I5313" s="11"/>
    </row>
    <row r="5314" spans="1:9" ht="11.15" customHeight="1">
      <c r="A5314" s="29"/>
      <c r="B5314" s="185"/>
      <c r="C5314" s="147"/>
      <c r="D5314" s="161"/>
      <c r="E5314" s="36"/>
      <c r="F5314" s="178"/>
      <c r="G5314" s="496"/>
      <c r="H5314" s="36"/>
      <c r="I5314" s="11"/>
    </row>
    <row r="5315" spans="1:9" ht="11.15" customHeight="1">
      <c r="A5315" s="29"/>
      <c r="B5315" s="146" t="s">
        <v>5722</v>
      </c>
      <c r="C5315" s="147"/>
      <c r="D5315" s="161"/>
      <c r="E5315" s="36"/>
      <c r="F5315" s="178"/>
      <c r="G5315" s="496"/>
      <c r="H5315" s="36"/>
      <c r="I5315" s="11"/>
    </row>
    <row r="5316" spans="1:9" ht="9" customHeight="1">
      <c r="A5316" s="185"/>
      <c r="B5316" s="209" t="s">
        <v>5723</v>
      </c>
      <c r="C5316" s="147"/>
      <c r="D5316" s="161"/>
      <c r="E5316" s="36"/>
      <c r="F5316" s="178"/>
      <c r="G5316" s="671"/>
      <c r="H5316" s="36"/>
      <c r="I5316" s="11"/>
    </row>
    <row r="5317" spans="1:9" ht="9" customHeight="1">
      <c r="A5317" s="29"/>
      <c r="B5317" s="150" t="s">
        <v>5724</v>
      </c>
      <c r="C5317" s="147"/>
      <c r="D5317" s="129"/>
      <c r="E5317" s="185"/>
      <c r="F5317" s="185"/>
      <c r="G5317" s="185"/>
      <c r="H5317" s="185"/>
      <c r="I5317" s="11"/>
    </row>
    <row r="5318" spans="1:9" ht="9" customHeight="1">
      <c r="A5318" s="29"/>
      <c r="B5318" s="150" t="s">
        <v>5725</v>
      </c>
      <c r="C5318" s="147"/>
      <c r="D5318" s="129"/>
      <c r="E5318" s="185"/>
      <c r="F5318" s="185"/>
      <c r="G5318" s="185"/>
      <c r="H5318" s="185"/>
      <c r="I5318" s="11"/>
    </row>
    <row r="5319" spans="1:9" ht="9" customHeight="1">
      <c r="A5319" s="185"/>
      <c r="B5319" s="209" t="s">
        <v>5726</v>
      </c>
      <c r="C5319" s="147"/>
      <c r="D5319" s="161"/>
      <c r="E5319" s="36"/>
      <c r="F5319" s="178"/>
      <c r="G5319" s="671"/>
      <c r="H5319" s="36"/>
      <c r="I5319" s="11"/>
    </row>
    <row r="5320" spans="1:9" ht="11.15" customHeight="1">
      <c r="A5320" s="29"/>
      <c r="B5320" s="146" t="s">
        <v>5727</v>
      </c>
      <c r="C5320" s="147"/>
      <c r="D5320" s="161"/>
      <c r="E5320" s="36"/>
      <c r="F5320" s="178"/>
      <c r="G5320" s="496"/>
      <c r="H5320" s="36"/>
      <c r="I5320" s="11"/>
    </row>
    <row r="5321" spans="1:9" ht="9" customHeight="1">
      <c r="A5321" s="185"/>
      <c r="B5321" s="209" t="s">
        <v>5728</v>
      </c>
      <c r="C5321" s="147"/>
      <c r="D5321" s="161"/>
      <c r="E5321" s="36"/>
      <c r="F5321" s="178"/>
      <c r="G5321" s="671"/>
      <c r="H5321" s="36"/>
      <c r="I5321" s="11"/>
    </row>
    <row r="5322" spans="1:9" ht="9" customHeight="1">
      <c r="A5322" s="185"/>
      <c r="B5322" s="150" t="s">
        <v>5729</v>
      </c>
      <c r="C5322" s="147"/>
      <c r="D5322" s="161"/>
      <c r="E5322" s="36"/>
      <c r="F5322" s="178"/>
      <c r="G5322" s="671"/>
      <c r="H5322" s="36"/>
      <c r="I5322" s="11"/>
    </row>
    <row r="5323" spans="1:9" ht="9" customHeight="1">
      <c r="A5323" s="185"/>
      <c r="B5323" s="150" t="s">
        <v>5730</v>
      </c>
      <c r="C5323" s="147"/>
      <c r="D5323" s="161"/>
      <c r="E5323" s="36"/>
      <c r="F5323" s="178"/>
      <c r="G5323" s="671"/>
      <c r="H5323" s="36"/>
      <c r="I5323" s="11"/>
    </row>
    <row r="5324" spans="1:9" ht="9" customHeight="1">
      <c r="A5324" s="185"/>
      <c r="B5324" s="150" t="s">
        <v>5731</v>
      </c>
      <c r="C5324" s="147"/>
      <c r="D5324" s="161"/>
      <c r="E5324" s="36"/>
      <c r="F5324" s="178"/>
      <c r="G5324" s="671"/>
      <c r="H5324" s="36"/>
      <c r="I5324" s="11"/>
    </row>
    <row r="5325" spans="1:9" ht="9" customHeight="1">
      <c r="A5325" s="185"/>
      <c r="B5325" s="150" t="s">
        <v>5732</v>
      </c>
      <c r="C5325" s="147"/>
      <c r="D5325" s="161"/>
      <c r="E5325" s="36"/>
      <c r="F5325" s="178"/>
      <c r="G5325" s="671"/>
      <c r="H5325" s="36"/>
      <c r="I5325" s="11"/>
    </row>
    <row r="5326" spans="1:9" ht="9" customHeight="1">
      <c r="A5326" s="185"/>
      <c r="B5326" s="150" t="s">
        <v>5733</v>
      </c>
      <c r="C5326" s="147"/>
      <c r="D5326" s="161"/>
      <c r="E5326" s="36"/>
      <c r="F5326" s="178"/>
      <c r="G5326" s="671"/>
      <c r="H5326" s="36"/>
      <c r="I5326" s="11"/>
    </row>
    <row r="5327" spans="1:9" ht="9" customHeight="1">
      <c r="A5327" s="185"/>
      <c r="B5327" s="150" t="s">
        <v>5734</v>
      </c>
      <c r="C5327" s="147"/>
      <c r="D5327" s="161"/>
      <c r="E5327" s="36"/>
      <c r="F5327" s="178"/>
      <c r="G5327" s="671"/>
      <c r="H5327" s="36"/>
      <c r="I5327" s="11"/>
    </row>
    <row r="5328" spans="1:9" ht="9" customHeight="1">
      <c r="A5328" s="185"/>
      <c r="B5328" s="150" t="s">
        <v>5735</v>
      </c>
      <c r="C5328" s="147"/>
      <c r="D5328" s="161"/>
      <c r="E5328" s="36"/>
      <c r="F5328" s="178"/>
      <c r="G5328" s="671"/>
      <c r="H5328" s="36"/>
      <c r="I5328" s="11"/>
    </row>
    <row r="5329" spans="1:9" ht="9" customHeight="1">
      <c r="A5329" s="185"/>
      <c r="B5329" s="150" t="s">
        <v>5736</v>
      </c>
      <c r="C5329" s="147"/>
      <c r="D5329" s="161"/>
      <c r="E5329" s="36"/>
      <c r="F5329" s="178"/>
      <c r="G5329" s="671"/>
      <c r="H5329" s="36"/>
      <c r="I5329" s="11"/>
    </row>
    <row r="5330" spans="1:9" ht="9" customHeight="1">
      <c r="A5330" s="185"/>
      <c r="B5330" s="150" t="s">
        <v>5737</v>
      </c>
      <c r="C5330" s="147"/>
      <c r="D5330" s="161"/>
      <c r="E5330" s="36"/>
      <c r="F5330" s="178"/>
      <c r="G5330" s="671"/>
      <c r="H5330" s="36"/>
      <c r="I5330" s="11"/>
    </row>
    <row r="5331" spans="1:9" ht="9" customHeight="1">
      <c r="A5331" s="185"/>
      <c r="B5331" s="150" t="s">
        <v>5738</v>
      </c>
      <c r="C5331" s="147"/>
      <c r="D5331" s="161"/>
      <c r="E5331" s="36"/>
      <c r="F5331" s="178"/>
      <c r="G5331" s="671"/>
      <c r="H5331" s="36"/>
      <c r="I5331" s="11"/>
    </row>
    <row r="5332" spans="1:9" ht="9" customHeight="1">
      <c r="A5332" s="185"/>
      <c r="B5332" s="150" t="s">
        <v>5739</v>
      </c>
      <c r="C5332" s="147"/>
      <c r="D5332" s="161"/>
      <c r="E5332" s="36"/>
      <c r="F5332" s="178"/>
      <c r="G5332" s="671"/>
      <c r="H5332" s="36"/>
      <c r="I5332" s="11"/>
    </row>
    <row r="5333" spans="1:9" ht="9" customHeight="1">
      <c r="A5333" s="185"/>
      <c r="B5333" s="209" t="s">
        <v>5740</v>
      </c>
      <c r="C5333" s="147"/>
      <c r="D5333" s="161"/>
      <c r="E5333" s="36"/>
      <c r="F5333" s="178"/>
      <c r="G5333" s="671"/>
      <c r="H5333" s="36"/>
      <c r="I5333" s="11"/>
    </row>
    <row r="5334" spans="1:9" ht="9" customHeight="1">
      <c r="A5334" s="185"/>
      <c r="B5334" s="150" t="s">
        <v>5741</v>
      </c>
      <c r="C5334" s="147"/>
      <c r="D5334" s="161"/>
      <c r="E5334" s="36"/>
      <c r="F5334" s="178"/>
      <c r="G5334" s="671"/>
      <c r="H5334" s="36"/>
      <c r="I5334" s="11"/>
    </row>
    <row r="5335" spans="1:9" ht="9" customHeight="1">
      <c r="A5335" s="185"/>
      <c r="B5335" s="150" t="s">
        <v>5742</v>
      </c>
      <c r="C5335" s="147"/>
      <c r="D5335" s="161"/>
      <c r="E5335" s="36"/>
      <c r="F5335" s="178"/>
      <c r="G5335" s="671"/>
      <c r="H5335" s="36"/>
      <c r="I5335" s="11"/>
    </row>
    <row r="5336" spans="1:9" ht="9" customHeight="1">
      <c r="A5336" s="185"/>
      <c r="B5336" s="150" t="s">
        <v>5743</v>
      </c>
      <c r="C5336" s="147"/>
      <c r="D5336" s="161"/>
      <c r="E5336" s="36"/>
      <c r="F5336" s="178"/>
      <c r="G5336" s="671"/>
      <c r="H5336" s="36"/>
      <c r="I5336" s="11"/>
    </row>
    <row r="5337" spans="1:9" ht="9" customHeight="1">
      <c r="A5337" s="185"/>
      <c r="B5337" s="150" t="s">
        <v>5744</v>
      </c>
      <c r="C5337" s="147"/>
      <c r="D5337" s="161"/>
      <c r="E5337" s="36"/>
      <c r="F5337" s="178"/>
      <c r="G5337" s="671"/>
      <c r="H5337" s="36"/>
      <c r="I5337" s="11"/>
    </row>
    <row r="5338" spans="1:9" ht="9" customHeight="1">
      <c r="A5338" s="185"/>
      <c r="B5338" s="150" t="s">
        <v>5745</v>
      </c>
      <c r="C5338" s="147"/>
      <c r="D5338" s="161"/>
      <c r="E5338" s="36"/>
      <c r="F5338" s="178"/>
      <c r="G5338" s="671"/>
      <c r="H5338" s="36"/>
      <c r="I5338" s="11"/>
    </row>
    <row r="5339" spans="1:9" ht="9" customHeight="1">
      <c r="A5339" s="185"/>
      <c r="B5339" s="150" t="s">
        <v>5746</v>
      </c>
      <c r="C5339" s="147"/>
      <c r="D5339" s="161"/>
      <c r="E5339" s="36"/>
      <c r="F5339" s="178"/>
      <c r="G5339" s="671"/>
      <c r="H5339" s="36"/>
      <c r="I5339" s="11"/>
    </row>
    <row r="5340" spans="1:9" ht="9" customHeight="1">
      <c r="A5340" s="185"/>
      <c r="B5340" s="150" t="s">
        <v>5747</v>
      </c>
      <c r="C5340" s="147"/>
      <c r="D5340" s="161"/>
      <c r="E5340" s="36"/>
      <c r="F5340" s="178"/>
      <c r="G5340" s="671"/>
      <c r="H5340" s="36"/>
      <c r="I5340" s="11"/>
    </row>
    <row r="5341" spans="1:9" ht="9" customHeight="1">
      <c r="A5341" s="185"/>
      <c r="B5341" s="150" t="s">
        <v>5748</v>
      </c>
      <c r="C5341" s="147"/>
      <c r="D5341" s="161"/>
      <c r="E5341" s="36"/>
      <c r="F5341" s="178"/>
      <c r="G5341" s="671"/>
      <c r="H5341" s="36"/>
      <c r="I5341" s="11"/>
    </row>
    <row r="5342" spans="1:9" ht="9" customHeight="1">
      <c r="A5342" s="185"/>
      <c r="B5342" s="150" t="s">
        <v>5749</v>
      </c>
      <c r="C5342" s="147"/>
      <c r="D5342" s="161"/>
      <c r="E5342" s="36"/>
      <c r="F5342" s="178"/>
      <c r="G5342" s="671"/>
      <c r="H5342" s="36"/>
      <c r="I5342" s="11"/>
    </row>
    <row r="5343" spans="1:9" ht="9" customHeight="1">
      <c r="A5343" s="185"/>
      <c r="B5343" s="150" t="s">
        <v>5750</v>
      </c>
      <c r="C5343" s="147"/>
      <c r="D5343" s="161"/>
      <c r="E5343" s="36"/>
      <c r="F5343" s="178"/>
      <c r="G5343" s="671"/>
      <c r="H5343" s="36"/>
      <c r="I5343" s="11"/>
    </row>
    <row r="5344" spans="1:9" ht="11.15" customHeight="1">
      <c r="A5344" s="29"/>
      <c r="B5344" s="146" t="s">
        <v>5751</v>
      </c>
      <c r="C5344" s="147"/>
      <c r="D5344" s="161"/>
      <c r="E5344" s="36"/>
      <c r="F5344" s="178"/>
      <c r="G5344" s="496"/>
      <c r="H5344" s="36"/>
      <c r="I5344" s="11"/>
    </row>
    <row r="5345" spans="1:12" ht="9" customHeight="1">
      <c r="A5345" s="185"/>
      <c r="B5345" s="150" t="s">
        <v>5752</v>
      </c>
      <c r="C5345" s="147"/>
      <c r="D5345" s="161"/>
      <c r="E5345" s="36"/>
      <c r="F5345" s="178"/>
      <c r="G5345" s="671"/>
      <c r="H5345" s="36"/>
      <c r="I5345" s="11"/>
    </row>
    <row r="5346" spans="1:12" ht="9" customHeight="1">
      <c r="A5346" s="185"/>
      <c r="B5346" s="150" t="s">
        <v>5753</v>
      </c>
      <c r="C5346" s="147"/>
      <c r="D5346" s="161"/>
      <c r="E5346" s="36"/>
      <c r="F5346" s="178"/>
      <c r="G5346" s="671"/>
      <c r="H5346" s="36"/>
      <c r="I5346" s="11"/>
    </row>
    <row r="5347" spans="1:12" ht="9" customHeight="1">
      <c r="A5347" s="185"/>
      <c r="B5347" s="150" t="s">
        <v>5754</v>
      </c>
      <c r="C5347" s="147"/>
      <c r="D5347" s="161"/>
      <c r="E5347" s="36"/>
      <c r="F5347" s="178"/>
      <c r="G5347" s="671"/>
      <c r="H5347" s="36"/>
      <c r="I5347" s="11"/>
    </row>
    <row r="5348" spans="1:12" ht="9" customHeight="1">
      <c r="A5348" s="185"/>
      <c r="B5348" s="150" t="s">
        <v>5755</v>
      </c>
      <c r="C5348" s="147"/>
      <c r="D5348" s="161"/>
      <c r="E5348" s="36"/>
      <c r="F5348" s="178"/>
      <c r="G5348" s="671"/>
      <c r="H5348" s="36"/>
      <c r="I5348" s="11"/>
    </row>
    <row r="5349" spans="1:12" ht="9.75" customHeight="1">
      <c r="A5349" s="185"/>
      <c r="B5349" s="150" t="s">
        <v>5756</v>
      </c>
      <c r="C5349" s="147"/>
      <c r="D5349" s="161"/>
      <c r="E5349" s="36"/>
      <c r="F5349" s="178"/>
      <c r="G5349" s="671"/>
      <c r="H5349" s="36"/>
      <c r="I5349" s="11"/>
    </row>
    <row r="5350" spans="1:12" ht="9" customHeight="1">
      <c r="A5350" s="185"/>
      <c r="B5350" s="150" t="s">
        <v>5757</v>
      </c>
      <c r="C5350" s="147"/>
      <c r="D5350" s="161"/>
      <c r="E5350" s="36"/>
      <c r="F5350" s="178"/>
      <c r="G5350" s="671"/>
      <c r="H5350" s="36"/>
      <c r="I5350" s="11"/>
    </row>
    <row r="5351" spans="1:12" ht="9" customHeight="1">
      <c r="A5351" s="185"/>
      <c r="B5351" s="150" t="s">
        <v>5758</v>
      </c>
      <c r="C5351" s="147"/>
      <c r="D5351" s="161"/>
      <c r="E5351" s="36"/>
      <c r="F5351" s="178"/>
      <c r="G5351" s="671"/>
      <c r="H5351" s="36"/>
      <c r="I5351" s="11"/>
    </row>
    <row r="5352" spans="1:12" ht="9" customHeight="1" thickBot="1">
      <c r="A5352" s="185"/>
      <c r="B5352" s="150" t="s">
        <v>5759</v>
      </c>
      <c r="C5352" s="147"/>
      <c r="D5352" s="161"/>
      <c r="E5352" s="36"/>
      <c r="F5352" s="178"/>
      <c r="G5352" s="671"/>
      <c r="H5352" s="36"/>
      <c r="I5352" s="11"/>
    </row>
    <row r="5353" spans="1:12" ht="10.5" customHeight="1">
      <c r="A5353" s="153" t="s">
        <v>5760</v>
      </c>
      <c r="B5353" s="499" t="s">
        <v>5761</v>
      </c>
      <c r="C5353" s="191"/>
      <c r="D5353" s="500"/>
      <c r="E5353" s="31"/>
      <c r="F5353" s="563"/>
      <c r="G5353" s="1228"/>
      <c r="H5353" s="1121"/>
      <c r="I5353" s="11"/>
    </row>
    <row r="5354" spans="1:12" ht="10.5" customHeight="1">
      <c r="A5354" s="493" t="s">
        <v>7354</v>
      </c>
      <c r="B5354" s="501" t="s">
        <v>5763</v>
      </c>
      <c r="C5354" s="147"/>
      <c r="D5354" s="159"/>
      <c r="E5354" s="36"/>
      <c r="F5354" s="178"/>
      <c r="G5354" s="671"/>
      <c r="H5354" s="628"/>
      <c r="I5354" s="11"/>
    </row>
    <row r="5355" spans="1:12" ht="11.15" customHeight="1" thickBot="1">
      <c r="A5355" s="502" t="s">
        <v>5764</v>
      </c>
      <c r="B5355" s="59" t="s">
        <v>21142</v>
      </c>
      <c r="C5355" s="147" t="s">
        <v>20221</v>
      </c>
      <c r="D5355" s="701" t="s">
        <v>7355</v>
      </c>
      <c r="E5355" s="178">
        <v>2017</v>
      </c>
      <c r="F5355" s="178" t="s">
        <v>4520</v>
      </c>
      <c r="G5355" s="496"/>
      <c r="H5355" s="1305" t="s">
        <v>20221</v>
      </c>
      <c r="I5355" s="11" t="s">
        <v>5765</v>
      </c>
      <c r="J5355" s="1285"/>
      <c r="K5355" s="1285"/>
      <c r="L5355" s="1285"/>
    </row>
    <row r="5356" spans="1:12" ht="11.15" customHeight="1">
      <c r="A5356" s="503" t="s">
        <v>7356</v>
      </c>
      <c r="B5356" s="501" t="s">
        <v>5767</v>
      </c>
      <c r="C5356" s="147"/>
      <c r="D5356" s="159"/>
      <c r="E5356" s="36"/>
      <c r="F5356" s="178"/>
      <c r="G5356" s="671"/>
      <c r="H5356" s="628"/>
      <c r="I5356" s="11"/>
    </row>
    <row r="5357" spans="1:12" ht="10.5" customHeight="1">
      <c r="A5357" s="504" t="s">
        <v>5768</v>
      </c>
      <c r="B5357" s="59" t="s">
        <v>21144</v>
      </c>
      <c r="C5357" s="147" t="s">
        <v>23393</v>
      </c>
      <c r="D5357" s="284" t="s">
        <v>897</v>
      </c>
      <c r="E5357" s="178">
        <v>2020</v>
      </c>
      <c r="F5357" s="178" t="s">
        <v>4520</v>
      </c>
      <c r="G5357" s="496"/>
      <c r="H5357" s="1305" t="s">
        <v>20221</v>
      </c>
      <c r="I5357" s="11" t="s">
        <v>5769</v>
      </c>
      <c r="J5357" s="1285"/>
      <c r="K5357" s="1285"/>
      <c r="L5357" s="1285"/>
    </row>
    <row r="5358" spans="1:12" ht="11.15" customHeight="1">
      <c r="A5358" s="505" t="s">
        <v>7357</v>
      </c>
      <c r="B5358" s="59" t="s">
        <v>21144</v>
      </c>
      <c r="C5358" s="147" t="s">
        <v>23393</v>
      </c>
      <c r="D5358" s="284" t="s">
        <v>897</v>
      </c>
      <c r="E5358" s="178">
        <v>2019</v>
      </c>
      <c r="F5358" s="178" t="s">
        <v>4520</v>
      </c>
      <c r="G5358" s="496"/>
      <c r="H5358" s="1305" t="s">
        <v>20221</v>
      </c>
      <c r="I5358" s="11" t="s">
        <v>5771</v>
      </c>
      <c r="J5358" s="1285"/>
      <c r="K5358" s="1285"/>
      <c r="L5358" s="1285"/>
    </row>
    <row r="5359" spans="1:12" ht="11.15" customHeight="1">
      <c r="A5359" s="506" t="s">
        <v>5772</v>
      </c>
      <c r="B5359" s="59" t="s">
        <v>21144</v>
      </c>
      <c r="C5359" s="147" t="s">
        <v>20221</v>
      </c>
      <c r="D5359" s="284" t="s">
        <v>897</v>
      </c>
      <c r="E5359" s="178">
        <v>2018</v>
      </c>
      <c r="F5359" s="178" t="s">
        <v>4520</v>
      </c>
      <c r="G5359" s="496"/>
      <c r="H5359" s="1305" t="s">
        <v>20221</v>
      </c>
      <c r="I5359" s="11" t="s">
        <v>5773</v>
      </c>
      <c r="J5359" s="1285"/>
      <c r="K5359" s="1285"/>
      <c r="L5359" s="1285"/>
    </row>
    <row r="5360" spans="1:12" ht="11.15" customHeight="1">
      <c r="A5360" s="506"/>
      <c r="B5360" s="59" t="s">
        <v>21144</v>
      </c>
      <c r="C5360" s="147" t="s">
        <v>20221</v>
      </c>
      <c r="D5360" s="284" t="s">
        <v>897</v>
      </c>
      <c r="E5360" s="178">
        <v>2017</v>
      </c>
      <c r="F5360" s="178" t="s">
        <v>4520</v>
      </c>
      <c r="G5360" s="496"/>
      <c r="H5360" s="1305" t="s">
        <v>20277</v>
      </c>
      <c r="I5360" s="11" t="s">
        <v>5775</v>
      </c>
      <c r="J5360" s="1285"/>
      <c r="K5360" s="1285"/>
      <c r="L5360" s="1285"/>
    </row>
    <row r="5361" spans="1:12" ht="11.15" customHeight="1" thickBot="1">
      <c r="A5361" s="294"/>
      <c r="B5361" s="567" t="s">
        <v>21145</v>
      </c>
      <c r="C5361" s="203" t="s">
        <v>20221</v>
      </c>
      <c r="D5361" s="1313" t="s">
        <v>897</v>
      </c>
      <c r="E5361" s="568">
        <v>2016</v>
      </c>
      <c r="F5361" s="568" t="s">
        <v>4520</v>
      </c>
      <c r="G5361" s="1229"/>
      <c r="H5361" s="1314" t="s">
        <v>20221</v>
      </c>
      <c r="I5361" s="11" t="s">
        <v>5777</v>
      </c>
      <c r="J5361" s="1285"/>
      <c r="K5361" s="1285"/>
      <c r="L5361" s="1285"/>
    </row>
    <row r="5362" spans="1:12" ht="11.15" customHeight="1">
      <c r="A5362" s="29" t="s">
        <v>5779</v>
      </c>
      <c r="B5362" s="177" t="s">
        <v>6205</v>
      </c>
      <c r="C5362" s="147"/>
      <c r="D5362" s="161"/>
      <c r="E5362" s="36"/>
      <c r="F5362" s="178"/>
      <c r="G5362" s="671"/>
      <c r="H5362" s="36"/>
      <c r="I5362" s="11"/>
    </row>
    <row r="5363" spans="1:12" ht="10.5" customHeight="1">
      <c r="A5363" s="29" t="s">
        <v>5780</v>
      </c>
      <c r="B5363" s="59" t="s">
        <v>21146</v>
      </c>
      <c r="C5363" s="147" t="s">
        <v>23393</v>
      </c>
      <c r="D5363" s="701" t="s">
        <v>1129</v>
      </c>
      <c r="E5363" s="178">
        <v>2021</v>
      </c>
      <c r="F5363" s="178" t="s">
        <v>4520</v>
      </c>
      <c r="G5363" s="496"/>
      <c r="H5363" s="994" t="s">
        <v>20224</v>
      </c>
      <c r="I5363" s="11" t="s">
        <v>7358</v>
      </c>
      <c r="J5363" s="1285"/>
      <c r="K5363" s="1285"/>
      <c r="L5363" s="1285"/>
    </row>
    <row r="5364" spans="1:12" ht="10.5" customHeight="1">
      <c r="A5364" s="29" t="s">
        <v>5782</v>
      </c>
      <c r="B5364" s="59" t="s">
        <v>21147</v>
      </c>
      <c r="C5364" s="147" t="s">
        <v>23393</v>
      </c>
      <c r="D5364" s="701" t="s">
        <v>1129</v>
      </c>
      <c r="E5364" s="178">
        <v>2020</v>
      </c>
      <c r="F5364" s="178" t="s">
        <v>4520</v>
      </c>
      <c r="G5364" s="496"/>
      <c r="H5364" s="994" t="s">
        <v>20221</v>
      </c>
      <c r="I5364" s="11" t="s">
        <v>7359</v>
      </c>
      <c r="J5364" s="1285"/>
      <c r="K5364" s="1285"/>
      <c r="L5364" s="1285"/>
    </row>
    <row r="5365" spans="1:12" ht="11.15" customHeight="1">
      <c r="A5365" s="29" t="s">
        <v>5784</v>
      </c>
      <c r="B5365" s="59" t="s">
        <v>21147</v>
      </c>
      <c r="C5365" s="147" t="s">
        <v>23393</v>
      </c>
      <c r="D5365" s="701" t="s">
        <v>1129</v>
      </c>
      <c r="E5365" s="178">
        <v>2019</v>
      </c>
      <c r="F5365" s="178" t="s">
        <v>4520</v>
      </c>
      <c r="G5365" s="496"/>
      <c r="H5365" s="994" t="s">
        <v>20224</v>
      </c>
      <c r="I5365" s="11" t="s">
        <v>7360</v>
      </c>
      <c r="J5365" s="1285"/>
      <c r="K5365" s="1285"/>
      <c r="L5365" s="1285"/>
    </row>
    <row r="5366" spans="1:12" ht="11.15" customHeight="1">
      <c r="A5366" s="29" t="s">
        <v>5786</v>
      </c>
      <c r="B5366" s="59" t="s">
        <v>21148</v>
      </c>
      <c r="C5366" s="147" t="s">
        <v>23393</v>
      </c>
      <c r="D5366" s="701" t="s">
        <v>1129</v>
      </c>
      <c r="E5366" s="178">
        <v>2021</v>
      </c>
      <c r="F5366" s="178" t="s">
        <v>4520</v>
      </c>
      <c r="G5366" s="496"/>
      <c r="H5366" s="994" t="s">
        <v>20277</v>
      </c>
      <c r="I5366" s="11" t="s">
        <v>7361</v>
      </c>
      <c r="J5366" s="1285"/>
      <c r="K5366" s="1285"/>
      <c r="L5366" s="1285"/>
    </row>
    <row r="5367" spans="1:12" ht="11.15" customHeight="1">
      <c r="A5367" s="29" t="s">
        <v>5788</v>
      </c>
      <c r="B5367" s="59" t="s">
        <v>21149</v>
      </c>
      <c r="C5367" s="147" t="s">
        <v>23393</v>
      </c>
      <c r="D5367" s="701" t="s">
        <v>1129</v>
      </c>
      <c r="E5367" s="178">
        <v>2020</v>
      </c>
      <c r="F5367" s="178" t="s">
        <v>4520</v>
      </c>
      <c r="G5367" s="496"/>
      <c r="H5367" s="994" t="s">
        <v>20224</v>
      </c>
      <c r="I5367" s="11" t="s">
        <v>7362</v>
      </c>
      <c r="J5367" s="1285"/>
      <c r="K5367" s="1285"/>
      <c r="L5367" s="1285"/>
    </row>
    <row r="5368" spans="1:12" ht="10.5" customHeight="1">
      <c r="A5368" s="181" t="s">
        <v>5790</v>
      </c>
      <c r="B5368" s="59" t="s">
        <v>21150</v>
      </c>
      <c r="C5368" s="147" t="s">
        <v>20221</v>
      </c>
      <c r="D5368" s="701" t="s">
        <v>1129</v>
      </c>
      <c r="E5368" s="178">
        <v>2020</v>
      </c>
      <c r="F5368" s="178" t="s">
        <v>4520</v>
      </c>
      <c r="G5368" s="496"/>
      <c r="H5368" s="994" t="s">
        <v>20221</v>
      </c>
      <c r="I5368" s="11" t="s">
        <v>7363</v>
      </c>
      <c r="J5368" s="1285"/>
      <c r="K5368" s="1285"/>
      <c r="L5368" s="1285"/>
    </row>
    <row r="5369" spans="1:12" ht="10.5" customHeight="1">
      <c r="A5369" s="218" t="s">
        <v>5792</v>
      </c>
      <c r="B5369" s="177" t="s">
        <v>7364</v>
      </c>
      <c r="C5369" s="147"/>
      <c r="D5369" s="185"/>
      <c r="E5369" s="185"/>
      <c r="F5369" s="185"/>
      <c r="G5369" s="185"/>
      <c r="H5369" s="185"/>
      <c r="I5369" s="11"/>
    </row>
    <row r="5370" spans="1:12" ht="11.15" customHeight="1">
      <c r="A5370" s="181" t="s">
        <v>2536</v>
      </c>
      <c r="B5370" s="59" t="s">
        <v>21151</v>
      </c>
      <c r="C5370" s="147" t="s">
        <v>20221</v>
      </c>
      <c r="D5370" s="284" t="s">
        <v>897</v>
      </c>
      <c r="E5370" s="178">
        <v>2021</v>
      </c>
      <c r="F5370" s="178" t="s">
        <v>4520</v>
      </c>
      <c r="G5370" s="496"/>
      <c r="H5370" s="994" t="s">
        <v>20221</v>
      </c>
      <c r="I5370" s="11" t="s">
        <v>7365</v>
      </c>
      <c r="J5370" s="1285"/>
      <c r="K5370" s="1285"/>
      <c r="L5370" s="1285"/>
    </row>
    <row r="5371" spans="1:12" ht="11.15" customHeight="1">
      <c r="A5371" s="129" t="s">
        <v>1077</v>
      </c>
      <c r="B5371" s="59" t="s">
        <v>21151</v>
      </c>
      <c r="C5371" s="147" t="s">
        <v>20221</v>
      </c>
      <c r="D5371" s="284" t="s">
        <v>897</v>
      </c>
      <c r="E5371" s="178">
        <v>2020</v>
      </c>
      <c r="F5371" s="178" t="s">
        <v>4520</v>
      </c>
      <c r="G5371" s="496"/>
      <c r="H5371" s="994" t="s">
        <v>20221</v>
      </c>
      <c r="I5371" s="11" t="s">
        <v>7366</v>
      </c>
      <c r="J5371" s="1285"/>
      <c r="K5371" s="1285"/>
      <c r="L5371" s="1285"/>
    </row>
    <row r="5372" spans="1:12" ht="11.15" customHeight="1">
      <c r="A5372" s="162" t="s">
        <v>5796</v>
      </c>
      <c r="B5372" s="59" t="s">
        <v>21151</v>
      </c>
      <c r="C5372" s="147" t="s">
        <v>20221</v>
      </c>
      <c r="D5372" s="284" t="s">
        <v>897</v>
      </c>
      <c r="E5372" s="178">
        <v>2019</v>
      </c>
      <c r="F5372" s="178" t="s">
        <v>4520</v>
      </c>
      <c r="G5372" s="496"/>
      <c r="H5372" s="994" t="s">
        <v>20221</v>
      </c>
      <c r="I5372" s="11" t="s">
        <v>7367</v>
      </c>
      <c r="J5372" s="1285"/>
      <c r="K5372" s="1285"/>
      <c r="L5372" s="1285"/>
    </row>
    <row r="5373" spans="1:12" ht="11.15" customHeight="1">
      <c r="A5373" s="162" t="s">
        <v>5798</v>
      </c>
      <c r="B5373" s="177" t="s">
        <v>5452</v>
      </c>
      <c r="C5373" s="147"/>
      <c r="D5373" s="161"/>
      <c r="E5373" s="36"/>
      <c r="F5373" s="178"/>
      <c r="G5373" s="671"/>
      <c r="H5373" s="36"/>
      <c r="I5373" s="11"/>
    </row>
    <row r="5374" spans="1:12" ht="11.15" customHeight="1">
      <c r="A5374" s="162" t="s">
        <v>5800</v>
      </c>
      <c r="B5374" s="59" t="s">
        <v>21152</v>
      </c>
      <c r="C5374" s="147" t="s">
        <v>23393</v>
      </c>
      <c r="D5374" s="284" t="s">
        <v>897</v>
      </c>
      <c r="E5374" s="178">
        <v>2021</v>
      </c>
      <c r="F5374" s="178" t="s">
        <v>4520</v>
      </c>
      <c r="G5374" s="496"/>
      <c r="H5374" s="994" t="s">
        <v>20221</v>
      </c>
      <c r="I5374" s="11" t="s">
        <v>7368</v>
      </c>
      <c r="J5374" s="1285"/>
      <c r="K5374" s="1285"/>
      <c r="L5374" s="1285"/>
    </row>
    <row r="5375" spans="1:12" ht="11.15" customHeight="1">
      <c r="A5375" s="162" t="s">
        <v>5802</v>
      </c>
      <c r="B5375" s="59" t="s">
        <v>21152</v>
      </c>
      <c r="C5375" s="147" t="s">
        <v>23393</v>
      </c>
      <c r="D5375" s="284" t="s">
        <v>897</v>
      </c>
      <c r="E5375" s="178">
        <v>2020</v>
      </c>
      <c r="F5375" s="178" t="s">
        <v>4520</v>
      </c>
      <c r="G5375" s="496"/>
      <c r="H5375" s="994" t="s">
        <v>20221</v>
      </c>
      <c r="I5375" s="11" t="s">
        <v>7369</v>
      </c>
      <c r="J5375" s="1285"/>
      <c r="K5375" s="1285"/>
      <c r="L5375" s="1285"/>
    </row>
    <row r="5376" spans="1:12" ht="11.15" customHeight="1">
      <c r="A5376" s="162" t="s">
        <v>5804</v>
      </c>
      <c r="B5376" s="59" t="s">
        <v>21152</v>
      </c>
      <c r="C5376" s="147" t="s">
        <v>23393</v>
      </c>
      <c r="D5376" s="284" t="s">
        <v>897</v>
      </c>
      <c r="E5376" s="178">
        <v>2019</v>
      </c>
      <c r="F5376" s="178" t="s">
        <v>4520</v>
      </c>
      <c r="G5376" s="496"/>
      <c r="H5376" s="994" t="s">
        <v>20221</v>
      </c>
      <c r="I5376" s="11" t="s">
        <v>7370</v>
      </c>
      <c r="J5376" s="1285"/>
      <c r="K5376" s="1285"/>
      <c r="L5376" s="1285"/>
    </row>
    <row r="5377" spans="1:12" ht="11.15" customHeight="1">
      <c r="A5377" s="162" t="s">
        <v>5806</v>
      </c>
      <c r="B5377" s="59" t="s">
        <v>21153</v>
      </c>
      <c r="C5377" s="147" t="s">
        <v>20221</v>
      </c>
      <c r="D5377" s="284" t="s">
        <v>897</v>
      </c>
      <c r="E5377" s="178">
        <v>2015</v>
      </c>
      <c r="F5377" s="178" t="s">
        <v>4520</v>
      </c>
      <c r="G5377" s="496"/>
      <c r="H5377" s="994" t="s">
        <v>20221</v>
      </c>
      <c r="I5377" s="11" t="s">
        <v>7371</v>
      </c>
      <c r="J5377" s="1285"/>
      <c r="K5377" s="1285"/>
      <c r="L5377" s="1285"/>
    </row>
    <row r="5378" spans="1:12" ht="11.15" customHeight="1">
      <c r="A5378" s="162" t="s">
        <v>5808</v>
      </c>
      <c r="B5378" s="59" t="s">
        <v>21154</v>
      </c>
      <c r="C5378" s="147" t="s">
        <v>23393</v>
      </c>
      <c r="D5378" s="284" t="s">
        <v>897</v>
      </c>
      <c r="E5378" s="178">
        <v>2021</v>
      </c>
      <c r="F5378" s="178" t="s">
        <v>4520</v>
      </c>
      <c r="G5378" s="496"/>
      <c r="H5378" s="994" t="s">
        <v>20221</v>
      </c>
      <c r="I5378" s="11" t="s">
        <v>7372</v>
      </c>
      <c r="J5378" s="1285"/>
      <c r="K5378" s="1285"/>
      <c r="L5378" s="1285"/>
    </row>
    <row r="5379" spans="1:12" ht="11.15" customHeight="1">
      <c r="A5379" s="162" t="s">
        <v>5810</v>
      </c>
      <c r="B5379" s="59" t="s">
        <v>21154</v>
      </c>
      <c r="C5379" s="147" t="s">
        <v>23393</v>
      </c>
      <c r="D5379" s="284" t="s">
        <v>897</v>
      </c>
      <c r="E5379" s="178">
        <v>2020</v>
      </c>
      <c r="F5379" s="178" t="s">
        <v>4520</v>
      </c>
      <c r="G5379" s="496"/>
      <c r="H5379" s="994" t="s">
        <v>20221</v>
      </c>
      <c r="I5379" s="11" t="s">
        <v>7373</v>
      </c>
      <c r="J5379" s="1285"/>
      <c r="K5379" s="1285"/>
      <c r="L5379" s="1285"/>
    </row>
    <row r="5380" spans="1:12" ht="11.15" customHeight="1">
      <c r="A5380" s="162" t="s">
        <v>5812</v>
      </c>
      <c r="B5380" s="59" t="s">
        <v>21154</v>
      </c>
      <c r="C5380" s="147" t="s">
        <v>23393</v>
      </c>
      <c r="D5380" s="284" t="s">
        <v>897</v>
      </c>
      <c r="E5380" s="178">
        <v>2019</v>
      </c>
      <c r="F5380" s="178" t="s">
        <v>4520</v>
      </c>
      <c r="G5380" s="496"/>
      <c r="H5380" s="994" t="s">
        <v>20221</v>
      </c>
      <c r="I5380" s="11" t="s">
        <v>7374</v>
      </c>
      <c r="J5380" s="1285"/>
      <c r="K5380" s="1285"/>
      <c r="L5380" s="1285"/>
    </row>
    <row r="5381" spans="1:12" ht="10.5" customHeight="1">
      <c r="A5381" s="162" t="s">
        <v>5814</v>
      </c>
      <c r="B5381" s="59" t="s">
        <v>21154</v>
      </c>
      <c r="C5381" s="147" t="s">
        <v>20221</v>
      </c>
      <c r="D5381" s="284" t="s">
        <v>897</v>
      </c>
      <c r="E5381" s="178">
        <v>2018</v>
      </c>
      <c r="F5381" s="178" t="s">
        <v>4520</v>
      </c>
      <c r="G5381" s="496"/>
      <c r="H5381" s="994" t="s">
        <v>20221</v>
      </c>
      <c r="I5381" s="11" t="s">
        <v>7375</v>
      </c>
      <c r="J5381" s="1285"/>
      <c r="K5381" s="1285"/>
      <c r="L5381" s="1285"/>
    </row>
    <row r="5382" spans="1:12" ht="11.15" customHeight="1">
      <c r="A5382" s="162" t="s">
        <v>5816</v>
      </c>
      <c r="B5382" s="59" t="s">
        <v>21154</v>
      </c>
      <c r="C5382" s="147" t="s">
        <v>20221</v>
      </c>
      <c r="D5382" s="284" t="s">
        <v>897</v>
      </c>
      <c r="E5382" s="178">
        <v>2017</v>
      </c>
      <c r="F5382" s="178" t="s">
        <v>4520</v>
      </c>
      <c r="G5382" s="496"/>
      <c r="H5382" s="994" t="s">
        <v>20221</v>
      </c>
      <c r="I5382" s="11" t="s">
        <v>7376</v>
      </c>
      <c r="J5382" s="1285"/>
      <c r="K5382" s="1285"/>
      <c r="L5382" s="1285"/>
    </row>
    <row r="5383" spans="1:12" ht="11.15" customHeight="1">
      <c r="A5383" s="162" t="s">
        <v>5818</v>
      </c>
      <c r="B5383" s="59" t="s">
        <v>21155</v>
      </c>
      <c r="C5383" s="147" t="s">
        <v>23393</v>
      </c>
      <c r="D5383" s="284" t="s">
        <v>897</v>
      </c>
      <c r="E5383" s="178">
        <v>2021</v>
      </c>
      <c r="F5383" s="178" t="s">
        <v>4520</v>
      </c>
      <c r="G5383" s="496"/>
      <c r="H5383" s="994" t="s">
        <v>20221</v>
      </c>
      <c r="I5383" s="11" t="s">
        <v>7377</v>
      </c>
      <c r="J5383" s="1285"/>
      <c r="K5383" s="1285"/>
      <c r="L5383" s="1285"/>
    </row>
    <row r="5384" spans="1:12" ht="11.15" customHeight="1">
      <c r="A5384" s="162" t="s">
        <v>5820</v>
      </c>
      <c r="B5384" s="59" t="s">
        <v>21155</v>
      </c>
      <c r="C5384" s="147" t="s">
        <v>23393</v>
      </c>
      <c r="D5384" s="284" t="s">
        <v>897</v>
      </c>
      <c r="E5384" s="178">
        <v>2020</v>
      </c>
      <c r="F5384" s="178" t="s">
        <v>4520</v>
      </c>
      <c r="G5384" s="496"/>
      <c r="H5384" s="994" t="s">
        <v>20221</v>
      </c>
      <c r="I5384" s="11" t="s">
        <v>7378</v>
      </c>
      <c r="J5384" s="1285"/>
      <c r="K5384" s="1285"/>
      <c r="L5384" s="1285"/>
    </row>
    <row r="5385" spans="1:12" ht="11.15" customHeight="1">
      <c r="A5385" s="166" t="s">
        <v>5822</v>
      </c>
      <c r="B5385" s="59" t="s">
        <v>21155</v>
      </c>
      <c r="C5385" s="147" t="s">
        <v>23393</v>
      </c>
      <c r="D5385" s="284" t="s">
        <v>897</v>
      </c>
      <c r="E5385" s="178">
        <v>2019</v>
      </c>
      <c r="F5385" s="178" t="s">
        <v>4520</v>
      </c>
      <c r="G5385" s="496"/>
      <c r="H5385" s="994" t="s">
        <v>20221</v>
      </c>
      <c r="I5385" s="11" t="s">
        <v>7379</v>
      </c>
      <c r="J5385" s="1285"/>
      <c r="K5385" s="1285"/>
      <c r="L5385" s="1285"/>
    </row>
    <row r="5386" spans="1:12" ht="11.15" customHeight="1" thickBot="1">
      <c r="A5386" s="169" t="s">
        <v>5824</v>
      </c>
      <c r="B5386" s="59" t="s">
        <v>21155</v>
      </c>
      <c r="C5386" s="147" t="s">
        <v>20221</v>
      </c>
      <c r="D5386" s="284" t="s">
        <v>897</v>
      </c>
      <c r="E5386" s="178">
        <v>2018</v>
      </c>
      <c r="F5386" s="178" t="s">
        <v>4520</v>
      </c>
      <c r="G5386" s="496"/>
      <c r="H5386" s="994" t="s">
        <v>20221</v>
      </c>
      <c r="I5386" s="11" t="s">
        <v>7380</v>
      </c>
      <c r="J5386" s="1285"/>
      <c r="K5386" s="1285"/>
      <c r="L5386" s="1285"/>
    </row>
    <row r="5387" spans="1:12" ht="11.15" customHeight="1" thickBot="1">
      <c r="A5387" s="434" t="s">
        <v>7381</v>
      </c>
      <c r="B5387" s="59" t="s">
        <v>21155</v>
      </c>
      <c r="C5387" s="147" t="s">
        <v>20221</v>
      </c>
      <c r="D5387" s="284" t="s">
        <v>897</v>
      </c>
      <c r="E5387" s="178">
        <v>2017</v>
      </c>
      <c r="F5387" s="178" t="s">
        <v>4520</v>
      </c>
      <c r="G5387" s="496"/>
      <c r="H5387" s="994" t="s">
        <v>20221</v>
      </c>
      <c r="I5387" s="11" t="s">
        <v>7382</v>
      </c>
      <c r="J5387" s="1285"/>
      <c r="K5387" s="1285"/>
      <c r="L5387" s="1285"/>
    </row>
    <row r="5388" spans="1:12" ht="11.15" customHeight="1">
      <c r="A5388" s="129" t="s">
        <v>7383</v>
      </c>
      <c r="B5388" s="59" t="s">
        <v>21018</v>
      </c>
      <c r="C5388" s="147" t="s">
        <v>20221</v>
      </c>
      <c r="D5388" s="284" t="s">
        <v>897</v>
      </c>
      <c r="E5388" s="178" t="s">
        <v>20221</v>
      </c>
      <c r="F5388" s="178" t="s">
        <v>4520</v>
      </c>
      <c r="G5388" s="496" t="s">
        <v>20221</v>
      </c>
      <c r="H5388" s="994" t="s">
        <v>3907</v>
      </c>
      <c r="I5388" s="11" t="s">
        <v>7384</v>
      </c>
      <c r="J5388" s="1285"/>
      <c r="K5388" s="1285"/>
      <c r="L5388" s="1285"/>
    </row>
    <row r="5389" spans="1:12" ht="11.15" customHeight="1">
      <c r="A5389" s="29"/>
      <c r="B5389" s="59" t="s">
        <v>21019</v>
      </c>
      <c r="C5389" s="147" t="s">
        <v>23393</v>
      </c>
      <c r="D5389" s="284" t="s">
        <v>897</v>
      </c>
      <c r="E5389" s="178">
        <v>2021</v>
      </c>
      <c r="F5389" s="178" t="s">
        <v>4520</v>
      </c>
      <c r="G5389" s="496"/>
      <c r="H5389" s="994" t="s">
        <v>20224</v>
      </c>
      <c r="I5389" s="11" t="s">
        <v>7385</v>
      </c>
      <c r="J5389" s="1285"/>
      <c r="K5389" s="1285"/>
      <c r="L5389" s="1285"/>
    </row>
    <row r="5390" spans="1:12" ht="11.15" customHeight="1">
      <c r="A5390" s="185"/>
      <c r="B5390" s="59" t="s">
        <v>21019</v>
      </c>
      <c r="C5390" s="147" t="s">
        <v>23393</v>
      </c>
      <c r="D5390" s="284" t="s">
        <v>897</v>
      </c>
      <c r="E5390" s="178">
        <v>2020</v>
      </c>
      <c r="F5390" s="178" t="s">
        <v>4520</v>
      </c>
      <c r="G5390" s="496"/>
      <c r="H5390" s="994" t="s">
        <v>20221</v>
      </c>
      <c r="I5390" s="11" t="s">
        <v>7386</v>
      </c>
      <c r="J5390" s="1285"/>
      <c r="K5390" s="1285"/>
      <c r="L5390" s="1285"/>
    </row>
    <row r="5391" spans="1:12" ht="11.15" customHeight="1">
      <c r="A5391" s="185"/>
      <c r="B5391" s="59" t="s">
        <v>21019</v>
      </c>
      <c r="C5391" s="147" t="s">
        <v>23393</v>
      </c>
      <c r="D5391" s="284" t="s">
        <v>897</v>
      </c>
      <c r="E5391" s="178">
        <v>2019</v>
      </c>
      <c r="F5391" s="178" t="s">
        <v>4520</v>
      </c>
      <c r="G5391" s="496"/>
      <c r="H5391" s="994" t="s">
        <v>20221</v>
      </c>
      <c r="I5391" s="11" t="s">
        <v>7387</v>
      </c>
      <c r="J5391" s="1285"/>
      <c r="K5391" s="1285"/>
      <c r="L5391" s="1285"/>
    </row>
    <row r="5392" spans="1:12" ht="11.15" customHeight="1">
      <c r="A5392" s="185"/>
      <c r="B5392" s="59" t="s">
        <v>21019</v>
      </c>
      <c r="C5392" s="147" t="s">
        <v>20221</v>
      </c>
      <c r="D5392" s="284" t="s">
        <v>897</v>
      </c>
      <c r="E5392" s="178">
        <v>2018</v>
      </c>
      <c r="F5392" s="178" t="s">
        <v>4520</v>
      </c>
      <c r="G5392" s="496"/>
      <c r="H5392" s="994" t="s">
        <v>20221</v>
      </c>
      <c r="I5392" s="11" t="s">
        <v>7388</v>
      </c>
      <c r="J5392" s="1285"/>
      <c r="K5392" s="1285"/>
      <c r="L5392" s="1285"/>
    </row>
    <row r="5393" spans="1:12" ht="11.15" customHeight="1">
      <c r="A5393" s="162"/>
      <c r="B5393" s="59" t="s">
        <v>21019</v>
      </c>
      <c r="C5393" s="147" t="s">
        <v>20221</v>
      </c>
      <c r="D5393" s="284" t="s">
        <v>897</v>
      </c>
      <c r="E5393" s="178">
        <v>2017</v>
      </c>
      <c r="F5393" s="178" t="s">
        <v>4520</v>
      </c>
      <c r="G5393" s="496"/>
      <c r="H5393" s="994" t="s">
        <v>20221</v>
      </c>
      <c r="I5393" s="11" t="s">
        <v>7389</v>
      </c>
      <c r="J5393" s="1285"/>
      <c r="K5393" s="1285"/>
      <c r="L5393" s="1285"/>
    </row>
    <row r="5394" spans="1:12" ht="11.15" customHeight="1">
      <c r="A5394" s="162"/>
      <c r="B5394" s="59" t="s">
        <v>21019</v>
      </c>
      <c r="C5394" s="147" t="s">
        <v>20221</v>
      </c>
      <c r="D5394" s="284" t="s">
        <v>897</v>
      </c>
      <c r="E5394" s="178">
        <v>2016</v>
      </c>
      <c r="F5394" s="178" t="s">
        <v>4520</v>
      </c>
      <c r="G5394" s="496"/>
      <c r="H5394" s="994" t="s">
        <v>20221</v>
      </c>
      <c r="I5394" s="11" t="s">
        <v>7390</v>
      </c>
      <c r="J5394" s="1285"/>
      <c r="K5394" s="1285"/>
      <c r="L5394" s="1285"/>
    </row>
    <row r="5395" spans="1:12" ht="11.15" customHeight="1">
      <c r="A5395" s="185"/>
      <c r="B5395" s="59" t="s">
        <v>21019</v>
      </c>
      <c r="C5395" s="147" t="s">
        <v>20221</v>
      </c>
      <c r="D5395" s="284" t="s">
        <v>897</v>
      </c>
      <c r="E5395" s="178">
        <v>2015</v>
      </c>
      <c r="F5395" s="178" t="s">
        <v>4520</v>
      </c>
      <c r="G5395" s="496"/>
      <c r="H5395" s="994" t="s">
        <v>20224</v>
      </c>
      <c r="I5395" s="11" t="s">
        <v>7391</v>
      </c>
      <c r="J5395" s="1285"/>
      <c r="K5395" s="1285"/>
      <c r="L5395" s="1285"/>
    </row>
    <row r="5396" spans="1:12" ht="11.15" customHeight="1">
      <c r="A5396" s="185"/>
      <c r="B5396" s="89"/>
      <c r="C5396" s="147"/>
      <c r="D5396" s="161"/>
      <c r="E5396" s="34"/>
      <c r="F5396" s="178"/>
      <c r="G5396" s="1230"/>
      <c r="H5396" s="36"/>
      <c r="I5396" s="11"/>
    </row>
    <row r="5397" spans="1:12" ht="11.15" customHeight="1">
      <c r="A5397" s="29"/>
      <c r="B5397" s="146" t="s">
        <v>7392</v>
      </c>
      <c r="C5397" s="147"/>
      <c r="D5397" s="122"/>
      <c r="E5397" s="185"/>
      <c r="F5397" s="185"/>
      <c r="G5397" s="416"/>
      <c r="H5397" s="185"/>
      <c r="I5397" s="11"/>
    </row>
    <row r="5398" spans="1:12" ht="9" customHeight="1">
      <c r="A5398" s="29"/>
      <c r="B5398" s="150" t="s">
        <v>7393</v>
      </c>
      <c r="C5398" s="147"/>
      <c r="D5398" s="122"/>
      <c r="E5398" s="185"/>
      <c r="F5398" s="185"/>
      <c r="G5398" s="416"/>
      <c r="H5398" s="185"/>
      <c r="I5398" s="11"/>
    </row>
    <row r="5399" spans="1:12" ht="9" customHeight="1">
      <c r="A5399" s="29"/>
      <c r="B5399" s="150" t="s">
        <v>7394</v>
      </c>
      <c r="C5399" s="147"/>
      <c r="D5399" s="122"/>
      <c r="E5399" s="185"/>
      <c r="F5399" s="185"/>
      <c r="G5399" s="416"/>
      <c r="H5399" s="185"/>
      <c r="I5399" s="11"/>
    </row>
    <row r="5400" spans="1:12" ht="9" customHeight="1">
      <c r="A5400" s="29"/>
      <c r="B5400" s="150" t="s">
        <v>7395</v>
      </c>
      <c r="C5400" s="147"/>
      <c r="D5400" s="122"/>
      <c r="E5400" s="185"/>
      <c r="F5400" s="185"/>
      <c r="G5400" s="416"/>
      <c r="H5400" s="185"/>
      <c r="I5400" s="11"/>
    </row>
    <row r="5401" spans="1:12" ht="9" customHeight="1">
      <c r="B5401" s="150" t="s">
        <v>7396</v>
      </c>
      <c r="C5401" s="147"/>
      <c r="D5401" s="122"/>
      <c r="E5401" s="185"/>
      <c r="F5401" s="185"/>
      <c r="G5401" s="416"/>
      <c r="H5401" s="185"/>
      <c r="I5401" s="11"/>
    </row>
    <row r="5402" spans="1:12" ht="9" customHeight="1">
      <c r="A5402" s="129"/>
      <c r="B5402" s="150" t="s">
        <v>7397</v>
      </c>
      <c r="C5402" s="147"/>
      <c r="D5402" s="122"/>
      <c r="E5402" s="36"/>
      <c r="F5402" s="178"/>
      <c r="G5402" s="453"/>
      <c r="H5402" s="36"/>
      <c r="I5402" s="11"/>
    </row>
    <row r="5403" spans="1:12" ht="9" customHeight="1">
      <c r="A5403" s="129"/>
      <c r="B5403" s="150" t="s">
        <v>7398</v>
      </c>
      <c r="C5403" s="147"/>
      <c r="D5403" s="122"/>
      <c r="E5403" s="36"/>
      <c r="F5403" s="178"/>
      <c r="G5403" s="453"/>
      <c r="H5403" s="36"/>
      <c r="I5403" s="11"/>
    </row>
    <row r="5404" spans="1:12" ht="9" customHeight="1">
      <c r="A5404" s="129"/>
      <c r="B5404" s="150" t="s">
        <v>7399</v>
      </c>
      <c r="C5404" s="147"/>
      <c r="D5404" s="122"/>
      <c r="E5404" s="36"/>
      <c r="F5404" s="178"/>
      <c r="G5404" s="453"/>
      <c r="H5404" s="36"/>
      <c r="I5404" s="11"/>
    </row>
    <row r="5405" spans="1:12" ht="9" customHeight="1">
      <c r="A5405" s="129"/>
      <c r="B5405" s="150" t="s">
        <v>7400</v>
      </c>
      <c r="C5405" s="147"/>
      <c r="D5405" s="122"/>
      <c r="E5405" s="36"/>
      <c r="F5405" s="178"/>
      <c r="G5405" s="453"/>
      <c r="H5405" s="36"/>
      <c r="I5405" s="11"/>
    </row>
    <row r="5406" spans="1:12" ht="9" customHeight="1">
      <c r="A5406" s="129"/>
      <c r="B5406" s="150" t="s">
        <v>7401</v>
      </c>
      <c r="C5406" s="147"/>
      <c r="D5406" s="122"/>
      <c r="E5406" s="36"/>
      <c r="F5406" s="178"/>
      <c r="G5406" s="453"/>
      <c r="H5406" s="36"/>
      <c r="I5406" s="11"/>
    </row>
    <row r="5407" spans="1:12" ht="9" customHeight="1">
      <c r="A5407" s="129"/>
      <c r="B5407" s="150" t="s">
        <v>7402</v>
      </c>
      <c r="C5407" s="147"/>
      <c r="D5407" s="122"/>
      <c r="E5407" s="36"/>
      <c r="F5407" s="178"/>
      <c r="G5407" s="453"/>
      <c r="H5407" s="36"/>
      <c r="I5407" s="11"/>
    </row>
    <row r="5408" spans="1:12" ht="9" customHeight="1">
      <c r="A5408" s="129"/>
      <c r="B5408" s="150" t="s">
        <v>7403</v>
      </c>
      <c r="C5408" s="147"/>
      <c r="D5408" s="122"/>
      <c r="E5408" s="36"/>
      <c r="F5408" s="178"/>
      <c r="G5408" s="453"/>
      <c r="H5408" s="36"/>
      <c r="I5408" s="11"/>
    </row>
    <row r="5409" spans="1:12" ht="9" customHeight="1">
      <c r="A5409" s="129"/>
      <c r="B5409" s="150" t="s">
        <v>7404</v>
      </c>
      <c r="C5409" s="147"/>
      <c r="D5409" s="122"/>
      <c r="E5409" s="36"/>
      <c r="F5409" s="178"/>
      <c r="G5409" s="453"/>
      <c r="H5409" s="36"/>
      <c r="I5409" s="11"/>
    </row>
    <row r="5410" spans="1:12" ht="9" customHeight="1" thickBot="1">
      <c r="A5410" s="129"/>
      <c r="B5410" s="150" t="s">
        <v>7405</v>
      </c>
      <c r="C5410" s="147"/>
      <c r="D5410" s="122"/>
      <c r="E5410" s="36"/>
      <c r="F5410" s="178"/>
      <c r="G5410" s="453"/>
      <c r="H5410" s="36"/>
      <c r="I5410" s="11"/>
    </row>
    <row r="5411" spans="1:12" ht="12" customHeight="1">
      <c r="A5411" s="754" t="s">
        <v>7406</v>
      </c>
      <c r="B5411" s="177" t="s">
        <v>7407</v>
      </c>
      <c r="C5411" s="147"/>
      <c r="D5411" s="161"/>
      <c r="E5411" s="36"/>
      <c r="F5411" s="178"/>
      <c r="G5411" s="1231"/>
      <c r="H5411" s="36"/>
      <c r="I5411" s="11"/>
    </row>
    <row r="5412" spans="1:12" ht="12" customHeight="1" thickBot="1">
      <c r="A5412" s="1346" t="s">
        <v>7408</v>
      </c>
      <c r="B5412" s="59" t="s">
        <v>21009</v>
      </c>
      <c r="C5412" s="147" t="s">
        <v>20221</v>
      </c>
      <c r="D5412" s="284" t="s">
        <v>897</v>
      </c>
      <c r="E5412" s="178">
        <v>2021</v>
      </c>
      <c r="F5412" s="178" t="s">
        <v>4520</v>
      </c>
      <c r="G5412" s="496"/>
      <c r="H5412" s="994" t="s">
        <v>20221</v>
      </c>
      <c r="I5412" s="11" t="s">
        <v>7409</v>
      </c>
      <c r="J5412" s="1285"/>
      <c r="K5412" s="1285"/>
      <c r="L5412" s="1285"/>
    </row>
    <row r="5413" spans="1:12" ht="11.15" customHeight="1">
      <c r="A5413" s="29" t="s">
        <v>7410</v>
      </c>
      <c r="B5413" s="59" t="s">
        <v>21009</v>
      </c>
      <c r="C5413" s="147" t="s">
        <v>20221</v>
      </c>
      <c r="D5413" s="284" t="s">
        <v>897</v>
      </c>
      <c r="E5413" s="178">
        <v>2020</v>
      </c>
      <c r="F5413" s="178" t="s">
        <v>4520</v>
      </c>
      <c r="G5413" s="496"/>
      <c r="H5413" s="994" t="s">
        <v>20221</v>
      </c>
      <c r="I5413" s="11" t="s">
        <v>7411</v>
      </c>
      <c r="J5413" s="1285"/>
      <c r="K5413" s="1285"/>
      <c r="L5413" s="1285"/>
    </row>
    <row r="5414" spans="1:12" ht="11.15" customHeight="1">
      <c r="A5414" s="29" t="s">
        <v>7412</v>
      </c>
      <c r="B5414" s="59" t="s">
        <v>21009</v>
      </c>
      <c r="C5414" s="147" t="s">
        <v>20221</v>
      </c>
      <c r="D5414" s="284" t="s">
        <v>897</v>
      </c>
      <c r="E5414" s="178">
        <v>2019</v>
      </c>
      <c r="F5414" s="178" t="s">
        <v>4520</v>
      </c>
      <c r="G5414" s="496"/>
      <c r="H5414" s="994" t="s">
        <v>20221</v>
      </c>
      <c r="I5414" s="11" t="s">
        <v>7413</v>
      </c>
      <c r="J5414" s="1285"/>
      <c r="K5414" s="1285"/>
      <c r="L5414" s="1285"/>
    </row>
    <row r="5415" spans="1:12" ht="11.15" customHeight="1">
      <c r="A5415" s="29" t="s">
        <v>7414</v>
      </c>
      <c r="B5415" s="59" t="s">
        <v>21009</v>
      </c>
      <c r="C5415" s="147" t="s">
        <v>20221</v>
      </c>
      <c r="D5415" s="284" t="s">
        <v>897</v>
      </c>
      <c r="E5415" s="178">
        <v>2018</v>
      </c>
      <c r="F5415" s="178" t="s">
        <v>4520</v>
      </c>
      <c r="G5415" s="496"/>
      <c r="H5415" s="994" t="s">
        <v>20224</v>
      </c>
      <c r="I5415" s="11" t="s">
        <v>7415</v>
      </c>
      <c r="J5415" s="1285"/>
      <c r="K5415" s="1285"/>
      <c r="L5415" s="1285"/>
    </row>
    <row r="5416" spans="1:12" ht="11.15" customHeight="1">
      <c r="A5416" s="29" t="s">
        <v>7416</v>
      </c>
      <c r="B5416" s="59" t="s">
        <v>21009</v>
      </c>
      <c r="C5416" s="147" t="s">
        <v>20221</v>
      </c>
      <c r="D5416" s="284" t="s">
        <v>897</v>
      </c>
      <c r="E5416" s="178">
        <v>2014</v>
      </c>
      <c r="F5416" s="178" t="s">
        <v>23395</v>
      </c>
      <c r="G5416" s="496"/>
      <c r="H5416" s="994" t="s">
        <v>20221</v>
      </c>
      <c r="I5416" s="11" t="s">
        <v>7417</v>
      </c>
      <c r="J5416" s="1285"/>
      <c r="K5416" s="1285"/>
      <c r="L5416" s="1285"/>
    </row>
    <row r="5417" spans="1:12" ht="11.15" customHeight="1">
      <c r="A5417" s="29" t="s">
        <v>7418</v>
      </c>
      <c r="B5417" s="59" t="s">
        <v>21009</v>
      </c>
      <c r="C5417" s="147" t="s">
        <v>20221</v>
      </c>
      <c r="D5417" s="284" t="s">
        <v>897</v>
      </c>
      <c r="E5417" s="178">
        <v>2013</v>
      </c>
      <c r="F5417" s="178" t="s">
        <v>23395</v>
      </c>
      <c r="G5417" s="496"/>
      <c r="H5417" s="994" t="s">
        <v>20224</v>
      </c>
      <c r="I5417" s="11" t="s">
        <v>7419</v>
      </c>
      <c r="J5417" s="1285"/>
      <c r="K5417" s="1285"/>
      <c r="L5417" s="1285"/>
    </row>
    <row r="5418" spans="1:12" ht="11.15" customHeight="1">
      <c r="A5418" s="129" t="s">
        <v>1077</v>
      </c>
      <c r="B5418" s="59" t="s">
        <v>21158</v>
      </c>
      <c r="C5418" s="147" t="s">
        <v>20221</v>
      </c>
      <c r="D5418" s="284" t="s">
        <v>897</v>
      </c>
      <c r="E5418" s="178">
        <v>2018</v>
      </c>
      <c r="F5418" s="178" t="s">
        <v>4520</v>
      </c>
      <c r="G5418" s="496"/>
      <c r="H5418" s="994" t="s">
        <v>20221</v>
      </c>
      <c r="I5418" s="11" t="s">
        <v>7420</v>
      </c>
      <c r="J5418" s="1285"/>
      <c r="K5418" s="1285"/>
      <c r="L5418" s="1285"/>
    </row>
    <row r="5419" spans="1:12" ht="11.15" customHeight="1">
      <c r="A5419" s="162" t="s">
        <v>7421</v>
      </c>
      <c r="B5419" s="177" t="s">
        <v>7422</v>
      </c>
      <c r="C5419" s="147"/>
      <c r="D5419" s="161"/>
      <c r="E5419" s="36"/>
      <c r="F5419" s="178"/>
      <c r="G5419" s="1231"/>
      <c r="H5419" s="36"/>
      <c r="I5419" s="11"/>
    </row>
    <row r="5420" spans="1:12" ht="11.15" customHeight="1">
      <c r="A5420" s="162" t="s">
        <v>7423</v>
      </c>
      <c r="B5420" s="59" t="s">
        <v>21063</v>
      </c>
      <c r="C5420" s="147" t="s">
        <v>20221</v>
      </c>
      <c r="D5420" s="284" t="s">
        <v>897</v>
      </c>
      <c r="E5420" s="178">
        <v>2020</v>
      </c>
      <c r="F5420" s="178" t="s">
        <v>4520</v>
      </c>
      <c r="G5420" s="496"/>
      <c r="H5420" s="994" t="s">
        <v>20221</v>
      </c>
      <c r="I5420" s="11" t="s">
        <v>7424</v>
      </c>
      <c r="J5420" s="1285"/>
      <c r="K5420" s="1285"/>
      <c r="L5420" s="1285"/>
    </row>
    <row r="5421" spans="1:12" ht="11.15" customHeight="1">
      <c r="A5421" s="162" t="s">
        <v>7425</v>
      </c>
      <c r="B5421" s="59" t="s">
        <v>21063</v>
      </c>
      <c r="C5421" s="147" t="s">
        <v>20221</v>
      </c>
      <c r="D5421" s="284" t="s">
        <v>897</v>
      </c>
      <c r="E5421" s="178">
        <v>2019</v>
      </c>
      <c r="F5421" s="178" t="s">
        <v>4520</v>
      </c>
      <c r="G5421" s="496"/>
      <c r="H5421" s="994" t="s">
        <v>20221</v>
      </c>
      <c r="I5421" s="11" t="s">
        <v>7426</v>
      </c>
      <c r="J5421" s="1285"/>
      <c r="K5421" s="1285"/>
      <c r="L5421" s="1285"/>
    </row>
    <row r="5422" spans="1:12" ht="11.15" customHeight="1">
      <c r="A5422" s="162" t="s">
        <v>7427</v>
      </c>
      <c r="B5422" s="59" t="s">
        <v>21063</v>
      </c>
      <c r="C5422" s="147" t="s">
        <v>20221</v>
      </c>
      <c r="D5422" s="284" t="s">
        <v>897</v>
      </c>
      <c r="E5422" s="178">
        <v>2018</v>
      </c>
      <c r="F5422" s="178" t="s">
        <v>4520</v>
      </c>
      <c r="G5422" s="496"/>
      <c r="H5422" s="994" t="s">
        <v>20221</v>
      </c>
      <c r="I5422" s="11" t="s">
        <v>7428</v>
      </c>
      <c r="J5422" s="1285"/>
      <c r="K5422" s="1285"/>
      <c r="L5422" s="1285"/>
    </row>
    <row r="5423" spans="1:12" ht="11.15" customHeight="1">
      <c r="A5423" s="162" t="s">
        <v>7429</v>
      </c>
      <c r="B5423" s="59" t="s">
        <v>21021</v>
      </c>
      <c r="C5423" s="147" t="s">
        <v>20221</v>
      </c>
      <c r="D5423" s="284" t="s">
        <v>897</v>
      </c>
      <c r="E5423" s="178">
        <v>2020</v>
      </c>
      <c r="F5423" s="178" t="s">
        <v>4520</v>
      </c>
      <c r="G5423" s="496"/>
      <c r="H5423" s="994" t="s">
        <v>20221</v>
      </c>
      <c r="I5423" s="11" t="s">
        <v>7430</v>
      </c>
      <c r="J5423" s="1285"/>
      <c r="K5423" s="1285"/>
      <c r="L5423" s="1285"/>
    </row>
    <row r="5424" spans="1:12" ht="11.15" customHeight="1">
      <c r="A5424" s="162" t="s">
        <v>7431</v>
      </c>
      <c r="B5424" s="59" t="s">
        <v>21021</v>
      </c>
      <c r="C5424" s="147" t="s">
        <v>20221</v>
      </c>
      <c r="D5424" s="284" t="s">
        <v>897</v>
      </c>
      <c r="E5424" s="178">
        <v>2017</v>
      </c>
      <c r="F5424" s="178" t="s">
        <v>4520</v>
      </c>
      <c r="G5424" s="496"/>
      <c r="H5424" s="994" t="s">
        <v>20221</v>
      </c>
      <c r="I5424" s="11" t="s">
        <v>7432</v>
      </c>
      <c r="J5424" s="1285"/>
      <c r="K5424" s="1285"/>
      <c r="L5424" s="1285"/>
    </row>
    <row r="5425" spans="1:12" ht="11.15" customHeight="1">
      <c r="A5425" s="162" t="s">
        <v>7433</v>
      </c>
      <c r="B5425" s="59" t="s">
        <v>21021</v>
      </c>
      <c r="C5425" s="147" t="s">
        <v>20221</v>
      </c>
      <c r="D5425" s="284" t="s">
        <v>897</v>
      </c>
      <c r="E5425" s="178">
        <v>2014</v>
      </c>
      <c r="F5425" s="178" t="s">
        <v>23395</v>
      </c>
      <c r="G5425" s="496"/>
      <c r="H5425" s="994" t="s">
        <v>20221</v>
      </c>
      <c r="I5425" s="11" t="s">
        <v>7434</v>
      </c>
      <c r="J5425" s="1285"/>
      <c r="K5425" s="1285"/>
      <c r="L5425" s="1285"/>
    </row>
    <row r="5426" spans="1:12" ht="11.15" customHeight="1">
      <c r="A5426" s="162" t="s">
        <v>7435</v>
      </c>
      <c r="B5426" s="59" t="s">
        <v>21021</v>
      </c>
      <c r="C5426" s="147" t="s">
        <v>20221</v>
      </c>
      <c r="D5426" s="284" t="s">
        <v>897</v>
      </c>
      <c r="E5426" s="178">
        <v>2013</v>
      </c>
      <c r="F5426" s="178" t="s">
        <v>23395</v>
      </c>
      <c r="G5426" s="496"/>
      <c r="H5426" s="994" t="s">
        <v>20221</v>
      </c>
      <c r="I5426" s="11" t="s">
        <v>7436</v>
      </c>
      <c r="J5426" s="1285"/>
      <c r="K5426" s="1285"/>
      <c r="L5426" s="1285"/>
    </row>
    <row r="5427" spans="1:12" ht="11.15" customHeight="1">
      <c r="A5427" s="162" t="s">
        <v>7437</v>
      </c>
      <c r="B5427" s="59" t="s">
        <v>21021</v>
      </c>
      <c r="C5427" s="147" t="s">
        <v>20221</v>
      </c>
      <c r="D5427" s="284" t="s">
        <v>897</v>
      </c>
      <c r="E5427" s="178">
        <v>2011</v>
      </c>
      <c r="F5427" s="178" t="s">
        <v>23395</v>
      </c>
      <c r="G5427" s="496"/>
      <c r="H5427" s="994" t="s">
        <v>20221</v>
      </c>
      <c r="I5427" s="11" t="s">
        <v>7438</v>
      </c>
      <c r="J5427" s="1285"/>
      <c r="K5427" s="1285"/>
      <c r="L5427" s="1285"/>
    </row>
    <row r="5428" spans="1:12" ht="11.15" customHeight="1">
      <c r="A5428" s="162" t="s">
        <v>7439</v>
      </c>
      <c r="B5428" s="177" t="s">
        <v>7440</v>
      </c>
      <c r="C5428" s="147"/>
      <c r="D5428" s="159"/>
      <c r="E5428" s="36"/>
      <c r="F5428" s="178"/>
      <c r="G5428" s="496"/>
      <c r="H5428" s="36"/>
      <c r="I5428" s="11"/>
    </row>
    <row r="5429" spans="1:12" ht="11.15" customHeight="1">
      <c r="A5429" s="162" t="s">
        <v>7441</v>
      </c>
      <c r="B5429" s="90" t="s">
        <v>7442</v>
      </c>
      <c r="C5429" s="147" t="s">
        <v>20221</v>
      </c>
      <c r="D5429" s="701" t="s">
        <v>1129</v>
      </c>
      <c r="E5429" s="178">
        <v>2020</v>
      </c>
      <c r="F5429" s="178" t="s">
        <v>4520</v>
      </c>
      <c r="G5429" s="496" t="s">
        <v>20221</v>
      </c>
      <c r="H5429" s="994" t="s">
        <v>3907</v>
      </c>
      <c r="I5429" s="11" t="s">
        <v>7443</v>
      </c>
      <c r="J5429" s="1285"/>
      <c r="K5429" s="1285"/>
      <c r="L5429" s="1285"/>
    </row>
    <row r="5430" spans="1:12" ht="11.15" customHeight="1">
      <c r="A5430" s="29" t="s">
        <v>7444</v>
      </c>
      <c r="B5430" s="177" t="s">
        <v>7445</v>
      </c>
      <c r="C5430" s="147"/>
      <c r="D5430" s="159"/>
      <c r="E5430" s="36"/>
      <c r="F5430" s="178"/>
      <c r="G5430" s="429"/>
      <c r="H5430" s="36"/>
      <c r="I5430" s="11"/>
    </row>
    <row r="5431" spans="1:12" ht="11.15" customHeight="1">
      <c r="A5431" s="137" t="s">
        <v>7446</v>
      </c>
      <c r="B5431" s="59" t="s">
        <v>21159</v>
      </c>
      <c r="C5431" s="147" t="s">
        <v>20221</v>
      </c>
      <c r="D5431" s="701" t="s">
        <v>1129</v>
      </c>
      <c r="E5431" s="178">
        <v>2021</v>
      </c>
      <c r="F5431" s="178" t="s">
        <v>4520</v>
      </c>
      <c r="G5431" s="496"/>
      <c r="H5431" s="994" t="s">
        <v>20221</v>
      </c>
      <c r="I5431" s="11" t="s">
        <v>7447</v>
      </c>
      <c r="J5431" s="1285"/>
      <c r="K5431" s="1285"/>
      <c r="L5431" s="1285"/>
    </row>
    <row r="5432" spans="1:12" ht="12.75" customHeight="1">
      <c r="A5432" s="212" t="s">
        <v>6427</v>
      </c>
      <c r="B5432" s="59" t="s">
        <v>21159</v>
      </c>
      <c r="C5432" s="147" t="s">
        <v>20221</v>
      </c>
      <c r="D5432" s="701" t="s">
        <v>1129</v>
      </c>
      <c r="E5432" s="178">
        <v>2020</v>
      </c>
      <c r="F5432" s="178" t="s">
        <v>4520</v>
      </c>
      <c r="G5432" s="496"/>
      <c r="H5432" s="994" t="s">
        <v>20224</v>
      </c>
      <c r="I5432" s="11" t="s">
        <v>7448</v>
      </c>
      <c r="J5432" s="1285"/>
      <c r="K5432" s="1285"/>
      <c r="L5432" s="1285"/>
    </row>
    <row r="5433" spans="1:12" ht="11.15" customHeight="1">
      <c r="A5433" s="169" t="s">
        <v>7449</v>
      </c>
      <c r="B5433" s="177" t="s">
        <v>7450</v>
      </c>
      <c r="C5433" s="147"/>
      <c r="D5433" s="159"/>
      <c r="E5433" s="36"/>
      <c r="F5433" s="178"/>
      <c r="G5433" s="429"/>
      <c r="H5433" s="36"/>
      <c r="I5433" s="11"/>
      <c r="J5433" s="1285"/>
      <c r="K5433" s="1285"/>
      <c r="L5433" s="1285"/>
    </row>
    <row r="5434" spans="1:12" ht="11.15" customHeight="1">
      <c r="A5434" s="129" t="s">
        <v>7451</v>
      </c>
      <c r="B5434" s="59" t="s">
        <v>21160</v>
      </c>
      <c r="C5434" s="147" t="s">
        <v>20221</v>
      </c>
      <c r="D5434" s="701" t="s">
        <v>1129</v>
      </c>
      <c r="E5434" s="178">
        <v>2022</v>
      </c>
      <c r="F5434" s="178" t="s">
        <v>4520</v>
      </c>
      <c r="G5434" s="496"/>
      <c r="H5434" s="994" t="s">
        <v>20343</v>
      </c>
      <c r="I5434" s="11" t="s">
        <v>7452</v>
      </c>
      <c r="J5434" s="1285"/>
      <c r="K5434" s="1285"/>
      <c r="L5434" s="1285"/>
    </row>
    <row r="5435" spans="1:12" ht="11.15" customHeight="1">
      <c r="A5435" s="129" t="s">
        <v>7453</v>
      </c>
      <c r="B5435" s="59" t="s">
        <v>21161</v>
      </c>
      <c r="C5435" s="147" t="s">
        <v>20221</v>
      </c>
      <c r="D5435" s="701" t="s">
        <v>1129</v>
      </c>
      <c r="E5435" s="178" t="s">
        <v>20221</v>
      </c>
      <c r="F5435" s="178" t="s">
        <v>4520</v>
      </c>
      <c r="G5435" s="496" t="s">
        <v>20221</v>
      </c>
      <c r="H5435" s="994" t="s">
        <v>3907</v>
      </c>
      <c r="I5435" s="11" t="s">
        <v>7454</v>
      </c>
      <c r="J5435" s="1285"/>
      <c r="K5435" s="1285"/>
      <c r="L5435" s="1285"/>
    </row>
    <row r="5436" spans="1:12" ht="11.15" customHeight="1">
      <c r="A5436" s="481" t="s">
        <v>7455</v>
      </c>
      <c r="B5436" s="59" t="s">
        <v>21162</v>
      </c>
      <c r="C5436" s="147" t="s">
        <v>20221</v>
      </c>
      <c r="D5436" s="701" t="s">
        <v>1129</v>
      </c>
      <c r="E5436" s="178">
        <v>2020</v>
      </c>
      <c r="F5436" s="178" t="s">
        <v>4520</v>
      </c>
      <c r="G5436" s="496"/>
      <c r="H5436" s="994" t="s">
        <v>20224</v>
      </c>
      <c r="I5436" s="11" t="s">
        <v>7456</v>
      </c>
      <c r="J5436" s="1285"/>
      <c r="K5436" s="1285"/>
      <c r="L5436" s="1285"/>
    </row>
    <row r="5437" spans="1:12" ht="11.15" customHeight="1">
      <c r="A5437" s="29"/>
      <c r="B5437" s="59" t="s">
        <v>21163</v>
      </c>
      <c r="C5437" s="147" t="s">
        <v>20221</v>
      </c>
      <c r="D5437" s="701" t="s">
        <v>1129</v>
      </c>
      <c r="E5437" s="178">
        <v>2021</v>
      </c>
      <c r="F5437" s="178" t="s">
        <v>23394</v>
      </c>
      <c r="G5437" s="496"/>
      <c r="H5437" s="994" t="s">
        <v>20224</v>
      </c>
      <c r="I5437" s="11" t="s">
        <v>7457</v>
      </c>
      <c r="J5437" s="1285"/>
      <c r="K5437" s="1285"/>
      <c r="L5437" s="1285"/>
    </row>
    <row r="5438" spans="1:12" ht="11.15" customHeight="1">
      <c r="A5438" s="185"/>
      <c r="B5438" s="177" t="s">
        <v>7458</v>
      </c>
      <c r="C5438" s="147"/>
      <c r="D5438" s="159"/>
      <c r="E5438" s="36"/>
      <c r="F5438" s="178"/>
      <c r="G5438" s="1231"/>
      <c r="H5438" s="36"/>
      <c r="I5438" s="11"/>
      <c r="J5438" s="1285"/>
      <c r="K5438" s="1285"/>
      <c r="L5438" s="1285"/>
    </row>
    <row r="5439" spans="1:12" ht="11.15" customHeight="1">
      <c r="A5439" s="185"/>
      <c r="B5439" s="59" t="s">
        <v>21038</v>
      </c>
      <c r="C5439" s="147" t="s">
        <v>20221</v>
      </c>
      <c r="D5439" s="701" t="s">
        <v>1129</v>
      </c>
      <c r="E5439" s="178" t="s">
        <v>20221</v>
      </c>
      <c r="F5439" s="178" t="s">
        <v>23394</v>
      </c>
      <c r="G5439" s="496" t="s">
        <v>20221</v>
      </c>
      <c r="H5439" s="994" t="s">
        <v>3907</v>
      </c>
      <c r="I5439" s="11" t="s">
        <v>7459</v>
      </c>
      <c r="J5439" s="1285"/>
      <c r="K5439" s="1285"/>
      <c r="L5439" s="1285"/>
    </row>
    <row r="5440" spans="1:12" ht="11.15" customHeight="1">
      <c r="A5440" s="185"/>
      <c r="B5440" s="59" t="s">
        <v>21164</v>
      </c>
      <c r="C5440" s="147" t="s">
        <v>20221</v>
      </c>
      <c r="D5440" s="701" t="s">
        <v>1129</v>
      </c>
      <c r="E5440" s="178" t="s">
        <v>20221</v>
      </c>
      <c r="F5440" s="178" t="s">
        <v>23394</v>
      </c>
      <c r="G5440" s="496" t="s">
        <v>20221</v>
      </c>
      <c r="H5440" s="994" t="s">
        <v>3907</v>
      </c>
      <c r="I5440" s="11" t="s">
        <v>7460</v>
      </c>
      <c r="J5440" s="1285"/>
      <c r="K5440" s="1285"/>
      <c r="L5440" s="1285"/>
    </row>
    <row r="5441" spans="1:12" ht="11.15" customHeight="1">
      <c r="A5441" s="185"/>
      <c r="B5441" s="185"/>
      <c r="C5441" s="147"/>
      <c r="D5441" s="185"/>
      <c r="E5441" s="185"/>
      <c r="F5441" s="185"/>
      <c r="G5441" s="185"/>
      <c r="H5441" s="185"/>
      <c r="I5441" s="11"/>
    </row>
    <row r="5442" spans="1:12" ht="11.15" customHeight="1">
      <c r="A5442" s="185"/>
      <c r="B5442" s="216" t="s">
        <v>7461</v>
      </c>
      <c r="C5442" s="147"/>
      <c r="D5442" s="122"/>
      <c r="E5442" s="36"/>
      <c r="F5442" s="178"/>
      <c r="G5442" s="1232"/>
      <c r="H5442" s="36"/>
      <c r="I5442" s="11"/>
    </row>
    <row r="5443" spans="1:12" ht="11.15" customHeight="1" thickBot="1">
      <c r="A5443" s="185"/>
      <c r="B5443" s="209" t="s">
        <v>7462</v>
      </c>
      <c r="C5443" s="147"/>
      <c r="D5443" s="122"/>
      <c r="E5443" s="36"/>
      <c r="F5443" s="178"/>
      <c r="G5443" s="1232"/>
      <c r="H5443" s="36"/>
      <c r="I5443" s="11"/>
    </row>
    <row r="5444" spans="1:12" ht="11.15" customHeight="1">
      <c r="A5444" s="153" t="s">
        <v>7463</v>
      </c>
      <c r="B5444" s="154" t="s">
        <v>2242</v>
      </c>
      <c r="C5444" s="147"/>
      <c r="D5444" s="122"/>
      <c r="E5444" s="36"/>
      <c r="F5444" s="178"/>
      <c r="G5444" s="1232"/>
      <c r="H5444" s="36"/>
      <c r="I5444" s="11"/>
    </row>
    <row r="5445" spans="1:12" ht="11.15" customHeight="1">
      <c r="A5445" s="277" t="s">
        <v>7464</v>
      </c>
      <c r="B5445" s="59" t="s">
        <v>21166</v>
      </c>
      <c r="C5445" s="147" t="s">
        <v>23393</v>
      </c>
      <c r="D5445" s="701" t="s">
        <v>1129</v>
      </c>
      <c r="E5445" s="178">
        <v>2022</v>
      </c>
      <c r="F5445" s="178" t="s">
        <v>4520</v>
      </c>
      <c r="G5445" s="496"/>
      <c r="H5445" s="994" t="s">
        <v>20221</v>
      </c>
      <c r="I5445" s="11" t="s">
        <v>7465</v>
      </c>
      <c r="J5445" s="1285"/>
      <c r="K5445" s="1285"/>
      <c r="L5445" s="1285"/>
    </row>
    <row r="5446" spans="1:12" ht="11.15" customHeight="1" thickBot="1">
      <c r="A5446" s="230" t="s">
        <v>7466</v>
      </c>
      <c r="B5446" s="59" t="s">
        <v>18923</v>
      </c>
      <c r="C5446" s="147" t="s">
        <v>23393</v>
      </c>
      <c r="D5446" s="701" t="s">
        <v>1129</v>
      </c>
      <c r="E5446" s="178">
        <v>2015</v>
      </c>
      <c r="F5446" s="178" t="s">
        <v>4520</v>
      </c>
      <c r="G5446" s="496"/>
      <c r="H5446" s="994" t="s">
        <v>20221</v>
      </c>
      <c r="I5446" s="11" t="s">
        <v>7467</v>
      </c>
      <c r="J5446" s="1285"/>
      <c r="K5446" s="1285"/>
      <c r="L5446" s="1285"/>
    </row>
    <row r="5447" spans="1:12" ht="11.15" customHeight="1">
      <c r="A5447" s="29" t="s">
        <v>7468</v>
      </c>
      <c r="B5447" s="59" t="s">
        <v>21167</v>
      </c>
      <c r="C5447" s="147" t="s">
        <v>23393</v>
      </c>
      <c r="D5447" s="701" t="s">
        <v>1129</v>
      </c>
      <c r="E5447" s="178">
        <v>2019</v>
      </c>
      <c r="F5447" s="178" t="s">
        <v>4520</v>
      </c>
      <c r="G5447" s="496"/>
      <c r="H5447" s="994" t="s">
        <v>20221</v>
      </c>
      <c r="I5447" s="11" t="s">
        <v>7469</v>
      </c>
      <c r="J5447" s="1285"/>
      <c r="K5447" s="1285"/>
      <c r="L5447" s="1285"/>
    </row>
    <row r="5448" spans="1:12" ht="11.15" customHeight="1">
      <c r="A5448" s="29" t="s">
        <v>7470</v>
      </c>
      <c r="B5448" s="59" t="s">
        <v>21167</v>
      </c>
      <c r="C5448" s="147" t="s">
        <v>23393</v>
      </c>
      <c r="D5448" s="701" t="s">
        <v>1129</v>
      </c>
      <c r="E5448" s="178">
        <v>2017</v>
      </c>
      <c r="F5448" s="178" t="s">
        <v>4520</v>
      </c>
      <c r="G5448" s="496"/>
      <c r="H5448" s="994" t="s">
        <v>20221</v>
      </c>
      <c r="I5448" s="11" t="s">
        <v>7471</v>
      </c>
      <c r="J5448" s="1285"/>
      <c r="K5448" s="1285"/>
      <c r="L5448" s="1285"/>
    </row>
    <row r="5449" spans="1:12" ht="11.15" customHeight="1">
      <c r="A5449" s="218" t="s">
        <v>1110</v>
      </c>
      <c r="B5449" s="59" t="s">
        <v>21167</v>
      </c>
      <c r="C5449" s="147" t="s">
        <v>20221</v>
      </c>
      <c r="D5449" s="701" t="s">
        <v>1129</v>
      </c>
      <c r="E5449" s="178">
        <v>2013</v>
      </c>
      <c r="F5449" s="178" t="s">
        <v>4520</v>
      </c>
      <c r="G5449" s="496"/>
      <c r="H5449" s="994" t="s">
        <v>20224</v>
      </c>
      <c r="I5449" s="11" t="s">
        <v>7472</v>
      </c>
      <c r="J5449" s="1285"/>
      <c r="K5449" s="1285"/>
      <c r="L5449" s="1285"/>
    </row>
    <row r="5450" spans="1:12" ht="11.15" customHeight="1">
      <c r="A5450" s="218" t="s">
        <v>7473</v>
      </c>
      <c r="B5450" s="59" t="s">
        <v>21168</v>
      </c>
      <c r="C5450" s="147" t="s">
        <v>23393</v>
      </c>
      <c r="D5450" s="701" t="s">
        <v>1129</v>
      </c>
      <c r="E5450" s="178">
        <v>2019</v>
      </c>
      <c r="F5450" s="178" t="s">
        <v>4520</v>
      </c>
      <c r="G5450" s="496"/>
      <c r="H5450" s="994" t="s">
        <v>20221</v>
      </c>
      <c r="I5450" s="11" t="s">
        <v>7474</v>
      </c>
      <c r="J5450" s="1285"/>
      <c r="K5450" s="1285"/>
      <c r="L5450" s="1285"/>
    </row>
    <row r="5451" spans="1:12" ht="11.15" customHeight="1">
      <c r="A5451" s="29" t="s">
        <v>7475</v>
      </c>
      <c r="B5451" s="59" t="s">
        <v>21168</v>
      </c>
      <c r="C5451" s="147" t="s">
        <v>23393</v>
      </c>
      <c r="D5451" s="701" t="s">
        <v>1129</v>
      </c>
      <c r="E5451" s="178">
        <v>2018</v>
      </c>
      <c r="F5451" s="178" t="s">
        <v>4520</v>
      </c>
      <c r="G5451" s="496"/>
      <c r="H5451" s="994" t="s">
        <v>20221</v>
      </c>
      <c r="I5451" s="11" t="s">
        <v>7476</v>
      </c>
      <c r="J5451" s="1285"/>
      <c r="K5451" s="1285"/>
      <c r="L5451" s="1285"/>
    </row>
    <row r="5452" spans="1:12" ht="11.15" customHeight="1">
      <c r="A5452" s="29" t="s">
        <v>7477</v>
      </c>
      <c r="B5452" s="59" t="s">
        <v>21168</v>
      </c>
      <c r="C5452" s="147" t="s">
        <v>23393</v>
      </c>
      <c r="D5452" s="701" t="s">
        <v>1129</v>
      </c>
      <c r="E5452" s="178">
        <v>2015</v>
      </c>
      <c r="F5452" s="178" t="s">
        <v>4520</v>
      </c>
      <c r="G5452" s="496"/>
      <c r="H5452" s="994" t="s">
        <v>20221</v>
      </c>
      <c r="I5452" s="11" t="s">
        <v>7478</v>
      </c>
      <c r="J5452" s="1285"/>
      <c r="K5452" s="1285"/>
      <c r="L5452" s="1285"/>
    </row>
    <row r="5453" spans="1:12" ht="11.15" customHeight="1">
      <c r="A5453" s="29" t="s">
        <v>7479</v>
      </c>
      <c r="B5453" s="59" t="s">
        <v>21169</v>
      </c>
      <c r="C5453" s="147" t="s">
        <v>20221</v>
      </c>
      <c r="D5453" s="701" t="s">
        <v>1129</v>
      </c>
      <c r="E5453" s="178" t="s">
        <v>20221</v>
      </c>
      <c r="F5453" s="178" t="s">
        <v>4520</v>
      </c>
      <c r="G5453" s="496" t="s">
        <v>20221</v>
      </c>
      <c r="H5453" s="994" t="s">
        <v>3907</v>
      </c>
      <c r="I5453" s="11" t="s">
        <v>7480</v>
      </c>
      <c r="J5453" s="1285"/>
      <c r="K5453" s="1285"/>
      <c r="L5453" s="1285"/>
    </row>
    <row r="5454" spans="1:12" ht="11.15" customHeight="1">
      <c r="A5454" s="29" t="s">
        <v>7481</v>
      </c>
      <c r="B5454" s="59" t="s">
        <v>21170</v>
      </c>
      <c r="C5454" s="147" t="s">
        <v>20221</v>
      </c>
      <c r="D5454" s="701" t="s">
        <v>1129</v>
      </c>
      <c r="E5454" s="178" t="s">
        <v>20221</v>
      </c>
      <c r="F5454" s="178" t="s">
        <v>4520</v>
      </c>
      <c r="G5454" s="496" t="s">
        <v>20221</v>
      </c>
      <c r="H5454" s="994" t="s">
        <v>3907</v>
      </c>
      <c r="I5454" s="11" t="s">
        <v>7482</v>
      </c>
      <c r="J5454" s="1285"/>
      <c r="K5454" s="1285"/>
      <c r="L5454" s="1285"/>
    </row>
    <row r="5455" spans="1:12" ht="11.15" customHeight="1">
      <c r="A5455" s="29" t="s">
        <v>7483</v>
      </c>
      <c r="B5455" s="177" t="s">
        <v>7484</v>
      </c>
      <c r="C5455" s="147"/>
      <c r="D5455" s="161"/>
      <c r="E5455" s="36"/>
      <c r="F5455" s="178"/>
      <c r="G5455" s="1217"/>
      <c r="H5455" s="36"/>
      <c r="I5455" s="11"/>
    </row>
    <row r="5456" spans="1:12" ht="11.15" customHeight="1">
      <c r="A5456" s="29" t="s">
        <v>7485</v>
      </c>
      <c r="B5456" s="59" t="s">
        <v>21171</v>
      </c>
      <c r="C5456" s="147" t="s">
        <v>23393</v>
      </c>
      <c r="D5456" s="701" t="s">
        <v>1129</v>
      </c>
      <c r="E5456" s="178">
        <v>2022</v>
      </c>
      <c r="F5456" s="178" t="s">
        <v>4520</v>
      </c>
      <c r="G5456" s="496"/>
      <c r="H5456" s="994" t="s">
        <v>20221</v>
      </c>
      <c r="I5456" s="11" t="s">
        <v>6283</v>
      </c>
      <c r="J5456" s="1285"/>
      <c r="K5456" s="1285"/>
      <c r="L5456" s="1285"/>
    </row>
    <row r="5457" spans="1:12" ht="11.15" customHeight="1">
      <c r="A5457" s="129" t="s">
        <v>7486</v>
      </c>
      <c r="B5457" s="59" t="s">
        <v>21171</v>
      </c>
      <c r="C5457" s="147" t="s">
        <v>23393</v>
      </c>
      <c r="D5457" s="701" t="s">
        <v>1129</v>
      </c>
      <c r="E5457" s="178">
        <v>2020</v>
      </c>
      <c r="F5457" s="178" t="s">
        <v>4520</v>
      </c>
      <c r="G5457" s="496"/>
      <c r="H5457" s="994" t="s">
        <v>20221</v>
      </c>
      <c r="I5457" s="11" t="s">
        <v>6284</v>
      </c>
      <c r="J5457" s="1285"/>
      <c r="K5457" s="1285"/>
      <c r="L5457" s="1285"/>
    </row>
    <row r="5458" spans="1:12" ht="11.15" customHeight="1">
      <c r="A5458" s="355" t="s">
        <v>7487</v>
      </c>
      <c r="B5458" s="59" t="s">
        <v>21171</v>
      </c>
      <c r="C5458" s="147" t="s">
        <v>23393</v>
      </c>
      <c r="D5458" s="701" t="s">
        <v>1129</v>
      </c>
      <c r="E5458" s="178">
        <v>2018</v>
      </c>
      <c r="F5458" s="178" t="s">
        <v>4520</v>
      </c>
      <c r="G5458" s="496"/>
      <c r="H5458" s="994" t="s">
        <v>20277</v>
      </c>
      <c r="I5458" s="11" t="s">
        <v>7488</v>
      </c>
      <c r="J5458" s="1285"/>
      <c r="K5458" s="1285"/>
      <c r="L5458" s="1285"/>
    </row>
    <row r="5459" spans="1:12" ht="11.15" customHeight="1">
      <c r="A5459" s="162" t="s">
        <v>7489</v>
      </c>
      <c r="B5459" s="177" t="s">
        <v>6205</v>
      </c>
      <c r="C5459" s="147"/>
      <c r="D5459" s="161"/>
      <c r="E5459" s="36"/>
      <c r="F5459" s="178"/>
      <c r="G5459" s="1217"/>
      <c r="H5459" s="36"/>
      <c r="I5459" s="11"/>
    </row>
    <row r="5460" spans="1:12" ht="11.15" customHeight="1">
      <c r="A5460" s="162" t="s">
        <v>7490</v>
      </c>
      <c r="B5460" s="59" t="s">
        <v>21172</v>
      </c>
      <c r="C5460" s="147" t="s">
        <v>20221</v>
      </c>
      <c r="D5460" s="701" t="s">
        <v>1129</v>
      </c>
      <c r="E5460" s="178">
        <v>2022</v>
      </c>
      <c r="F5460" s="178" t="s">
        <v>4520</v>
      </c>
      <c r="G5460" s="496"/>
      <c r="H5460" s="994" t="s">
        <v>20221</v>
      </c>
      <c r="I5460" s="11" t="s">
        <v>7491</v>
      </c>
      <c r="J5460" s="1285"/>
      <c r="K5460" s="1285"/>
      <c r="L5460" s="1285"/>
    </row>
    <row r="5461" spans="1:12" ht="11.15" customHeight="1">
      <c r="A5461" s="162" t="s">
        <v>7492</v>
      </c>
      <c r="B5461" s="59" t="s">
        <v>21173</v>
      </c>
      <c r="C5461" s="147" t="s">
        <v>20221</v>
      </c>
      <c r="D5461" s="701" t="s">
        <v>1129</v>
      </c>
      <c r="E5461" s="178">
        <v>2022</v>
      </c>
      <c r="F5461" s="178" t="s">
        <v>4520</v>
      </c>
      <c r="G5461" s="496"/>
      <c r="H5461" s="994" t="s">
        <v>20224</v>
      </c>
      <c r="I5461" s="11" t="s">
        <v>7493</v>
      </c>
      <c r="J5461" s="1285"/>
      <c r="K5461" s="1285"/>
      <c r="L5461" s="1285"/>
    </row>
    <row r="5462" spans="1:12" ht="11.15" customHeight="1">
      <c r="A5462" s="355" t="s">
        <v>7494</v>
      </c>
      <c r="B5462" s="59" t="s">
        <v>21110</v>
      </c>
      <c r="C5462" s="147" t="s">
        <v>20221</v>
      </c>
      <c r="D5462" s="701" t="s">
        <v>1129</v>
      </c>
      <c r="E5462" s="178">
        <v>2022</v>
      </c>
      <c r="F5462" s="178" t="s">
        <v>4520</v>
      </c>
      <c r="G5462" s="496"/>
      <c r="H5462" s="994" t="s">
        <v>20221</v>
      </c>
      <c r="I5462" s="11" t="s">
        <v>7495</v>
      </c>
      <c r="J5462" s="1285"/>
      <c r="K5462" s="1285"/>
      <c r="L5462" s="1285"/>
    </row>
    <row r="5463" spans="1:12" ht="11.15" customHeight="1">
      <c r="A5463" s="162" t="s">
        <v>7496</v>
      </c>
      <c r="B5463" s="177" t="s">
        <v>1398</v>
      </c>
      <c r="C5463" s="147"/>
      <c r="D5463" s="122"/>
      <c r="E5463" s="36"/>
      <c r="F5463" s="178"/>
      <c r="G5463" s="1217"/>
      <c r="H5463" s="36"/>
      <c r="I5463" s="11"/>
    </row>
    <row r="5464" spans="1:12" ht="11.15" customHeight="1">
      <c r="A5464" s="162" t="s">
        <v>7497</v>
      </c>
      <c r="B5464" s="59" t="s">
        <v>21174</v>
      </c>
      <c r="C5464" s="147" t="s">
        <v>23393</v>
      </c>
      <c r="D5464" s="284" t="s">
        <v>897</v>
      </c>
      <c r="E5464" s="178">
        <v>2018</v>
      </c>
      <c r="F5464" s="178" t="s">
        <v>4520</v>
      </c>
      <c r="G5464" s="496"/>
      <c r="H5464" s="994" t="s">
        <v>20221</v>
      </c>
      <c r="I5464" s="11" t="s">
        <v>7498</v>
      </c>
      <c r="J5464" s="1285"/>
      <c r="K5464" s="1285"/>
      <c r="L5464" s="1285"/>
    </row>
    <row r="5465" spans="1:12" ht="11.15" customHeight="1">
      <c r="A5465" s="355" t="s">
        <v>7499</v>
      </c>
      <c r="B5465" s="59" t="s">
        <v>21175</v>
      </c>
      <c r="C5465" s="147" t="s">
        <v>23393</v>
      </c>
      <c r="D5465" s="284" t="s">
        <v>897</v>
      </c>
      <c r="E5465" s="178">
        <v>2022</v>
      </c>
      <c r="F5465" s="178" t="s">
        <v>4520</v>
      </c>
      <c r="G5465" s="496"/>
      <c r="H5465" s="994" t="s">
        <v>20221</v>
      </c>
      <c r="I5465" s="11" t="s">
        <v>7500</v>
      </c>
      <c r="J5465" s="1285"/>
      <c r="K5465" s="1285"/>
      <c r="L5465" s="1285"/>
    </row>
    <row r="5466" spans="1:12" ht="11.15" customHeight="1">
      <c r="A5466" s="387" t="s">
        <v>7501</v>
      </c>
      <c r="B5466" s="59" t="s">
        <v>21176</v>
      </c>
      <c r="C5466" s="147" t="s">
        <v>23393</v>
      </c>
      <c r="D5466" s="284" t="s">
        <v>897</v>
      </c>
      <c r="E5466" s="178">
        <v>2020</v>
      </c>
      <c r="F5466" s="178" t="s">
        <v>4520</v>
      </c>
      <c r="G5466" s="496"/>
      <c r="H5466" s="994" t="s">
        <v>20221</v>
      </c>
      <c r="I5466" s="11" t="s">
        <v>7502</v>
      </c>
      <c r="J5466" s="1285"/>
      <c r="K5466" s="1285"/>
      <c r="L5466" s="1285"/>
    </row>
    <row r="5467" spans="1:12" ht="11.15" customHeight="1">
      <c r="A5467" s="387" t="s">
        <v>7503</v>
      </c>
      <c r="B5467" s="59" t="s">
        <v>21176</v>
      </c>
      <c r="C5467" s="147" t="s">
        <v>23393</v>
      </c>
      <c r="D5467" s="284" t="s">
        <v>897</v>
      </c>
      <c r="E5467" s="178">
        <v>2018</v>
      </c>
      <c r="F5467" s="178" t="s">
        <v>4520</v>
      </c>
      <c r="G5467" s="496"/>
      <c r="H5467" s="994" t="s">
        <v>20221</v>
      </c>
      <c r="I5467" s="11" t="s">
        <v>7504</v>
      </c>
      <c r="J5467" s="1285"/>
      <c r="K5467" s="1285"/>
      <c r="L5467" s="1285"/>
    </row>
    <row r="5468" spans="1:12" ht="11.15" customHeight="1">
      <c r="A5468" s="387" t="s">
        <v>7505</v>
      </c>
      <c r="B5468" s="59" t="s">
        <v>21176</v>
      </c>
      <c r="C5468" s="147" t="s">
        <v>23393</v>
      </c>
      <c r="D5468" s="284" t="s">
        <v>897</v>
      </c>
      <c r="E5468" s="178">
        <v>2015</v>
      </c>
      <c r="F5468" s="178" t="s">
        <v>4520</v>
      </c>
      <c r="G5468" s="496"/>
      <c r="H5468" s="994" t="s">
        <v>20221</v>
      </c>
      <c r="I5468" s="11" t="s">
        <v>7506</v>
      </c>
      <c r="J5468" s="1285"/>
      <c r="K5468" s="1285"/>
      <c r="L5468" s="1285"/>
    </row>
    <row r="5469" spans="1:12" ht="11.15" customHeight="1">
      <c r="A5469" s="387" t="s">
        <v>7507</v>
      </c>
      <c r="B5469" s="59" t="s">
        <v>21176</v>
      </c>
      <c r="C5469" s="147" t="s">
        <v>23393</v>
      </c>
      <c r="D5469" s="284" t="s">
        <v>897</v>
      </c>
      <c r="E5469" s="178">
        <v>2014</v>
      </c>
      <c r="F5469" s="178" t="s">
        <v>4520</v>
      </c>
      <c r="G5469" s="496"/>
      <c r="H5469" s="994" t="s">
        <v>20221</v>
      </c>
      <c r="I5469" s="11" t="s">
        <v>7508</v>
      </c>
      <c r="J5469" s="1285"/>
      <c r="K5469" s="1285"/>
      <c r="L5469" s="1285"/>
    </row>
    <row r="5470" spans="1:12" ht="11.15" customHeight="1">
      <c r="A5470" s="387" t="s">
        <v>7509</v>
      </c>
      <c r="B5470" s="59" t="s">
        <v>21177</v>
      </c>
      <c r="C5470" s="147" t="s">
        <v>23393</v>
      </c>
      <c r="D5470" s="284" t="s">
        <v>897</v>
      </c>
      <c r="E5470" s="178">
        <v>2015</v>
      </c>
      <c r="F5470" s="178" t="s">
        <v>4520</v>
      </c>
      <c r="G5470" s="496"/>
      <c r="H5470" s="994" t="s">
        <v>20221</v>
      </c>
      <c r="I5470" s="11" t="s">
        <v>7510</v>
      </c>
      <c r="J5470" s="1285"/>
      <c r="K5470" s="1285"/>
      <c r="L5470" s="1285"/>
    </row>
    <row r="5471" spans="1:12" ht="11.15" customHeight="1">
      <c r="A5471" s="387" t="s">
        <v>7511</v>
      </c>
      <c r="B5471" s="59" t="s">
        <v>21177</v>
      </c>
      <c r="C5471" s="147" t="s">
        <v>23393</v>
      </c>
      <c r="D5471" s="284" t="s">
        <v>897</v>
      </c>
      <c r="E5471" s="178">
        <v>2014</v>
      </c>
      <c r="F5471" s="178" t="s">
        <v>4520</v>
      </c>
      <c r="G5471" s="496"/>
      <c r="H5471" s="994" t="s">
        <v>20221</v>
      </c>
      <c r="I5471" s="11" t="s">
        <v>7512</v>
      </c>
      <c r="J5471" s="1285"/>
      <c r="K5471" s="1285"/>
      <c r="L5471" s="1285"/>
    </row>
    <row r="5472" spans="1:12" ht="11.15" customHeight="1">
      <c r="A5472" s="129" t="s">
        <v>7513</v>
      </c>
      <c r="B5472" s="59" t="s">
        <v>21178</v>
      </c>
      <c r="C5472" s="147" t="s">
        <v>20221</v>
      </c>
      <c r="D5472" s="284" t="s">
        <v>897</v>
      </c>
      <c r="E5472" s="178">
        <v>2011</v>
      </c>
      <c r="F5472" s="178" t="s">
        <v>4520</v>
      </c>
      <c r="G5472" s="496"/>
      <c r="H5472" s="994" t="s">
        <v>20224</v>
      </c>
      <c r="I5472" s="11" t="s">
        <v>7514</v>
      </c>
      <c r="J5472" s="1285"/>
      <c r="K5472" s="1285"/>
      <c r="L5472" s="1285"/>
    </row>
    <row r="5473" spans="1:12" ht="11.15" customHeight="1">
      <c r="A5473" s="162" t="s">
        <v>7515</v>
      </c>
      <c r="B5473" s="59" t="s">
        <v>21179</v>
      </c>
      <c r="C5473" s="147" t="s">
        <v>23393</v>
      </c>
      <c r="D5473" s="284" t="s">
        <v>897</v>
      </c>
      <c r="E5473" s="178">
        <v>2021</v>
      </c>
      <c r="F5473" s="178" t="s">
        <v>4520</v>
      </c>
      <c r="G5473" s="496"/>
      <c r="H5473" s="994" t="s">
        <v>20221</v>
      </c>
      <c r="I5473" s="11" t="s">
        <v>7516</v>
      </c>
      <c r="J5473" s="1285"/>
      <c r="K5473" s="1285"/>
      <c r="L5473" s="1285"/>
    </row>
    <row r="5474" spans="1:12" ht="11.15" customHeight="1">
      <c r="A5474" s="162" t="s">
        <v>7517</v>
      </c>
      <c r="B5474" s="59" t="s">
        <v>21180</v>
      </c>
      <c r="C5474" s="147" t="s">
        <v>23393</v>
      </c>
      <c r="D5474" s="284" t="s">
        <v>897</v>
      </c>
      <c r="E5474" s="178">
        <v>2018</v>
      </c>
      <c r="F5474" s="178" t="s">
        <v>4520</v>
      </c>
      <c r="G5474" s="496"/>
      <c r="H5474" s="994" t="s">
        <v>20221</v>
      </c>
      <c r="I5474" s="11" t="s">
        <v>7518</v>
      </c>
      <c r="J5474" s="1285"/>
      <c r="K5474" s="1285"/>
      <c r="L5474" s="1285"/>
    </row>
    <row r="5475" spans="1:12" ht="11.15" customHeight="1">
      <c r="A5475" s="162" t="s">
        <v>7519</v>
      </c>
      <c r="B5475" s="59" t="s">
        <v>21180</v>
      </c>
      <c r="C5475" s="147" t="s">
        <v>23393</v>
      </c>
      <c r="D5475" s="284" t="s">
        <v>897</v>
      </c>
      <c r="E5475" s="178">
        <v>2017</v>
      </c>
      <c r="F5475" s="178" t="s">
        <v>4520</v>
      </c>
      <c r="G5475" s="496"/>
      <c r="H5475" s="994" t="s">
        <v>20221</v>
      </c>
      <c r="I5475" s="11" t="s">
        <v>7520</v>
      </c>
      <c r="J5475" s="1285"/>
      <c r="K5475" s="1285"/>
      <c r="L5475" s="1285"/>
    </row>
    <row r="5476" spans="1:12" ht="11.15" customHeight="1">
      <c r="A5476" s="162" t="s">
        <v>7521</v>
      </c>
      <c r="B5476" s="59" t="s">
        <v>21180</v>
      </c>
      <c r="C5476" s="147" t="s">
        <v>23393</v>
      </c>
      <c r="D5476" s="284" t="s">
        <v>897</v>
      </c>
      <c r="E5476" s="178">
        <v>2016</v>
      </c>
      <c r="F5476" s="178" t="s">
        <v>4520</v>
      </c>
      <c r="G5476" s="496"/>
      <c r="H5476" s="994" t="s">
        <v>20221</v>
      </c>
      <c r="I5476" s="11" t="s">
        <v>7522</v>
      </c>
      <c r="J5476" s="1285"/>
      <c r="K5476" s="1285"/>
      <c r="L5476" s="1285"/>
    </row>
    <row r="5477" spans="1:12" ht="11.15" customHeight="1">
      <c r="A5477" s="162" t="s">
        <v>7523</v>
      </c>
      <c r="B5477" s="59" t="s">
        <v>21180</v>
      </c>
      <c r="C5477" s="147" t="s">
        <v>23393</v>
      </c>
      <c r="D5477" s="284" t="s">
        <v>897</v>
      </c>
      <c r="E5477" s="178">
        <v>2015</v>
      </c>
      <c r="F5477" s="178" t="s">
        <v>4520</v>
      </c>
      <c r="G5477" s="496"/>
      <c r="H5477" s="994" t="s">
        <v>20221</v>
      </c>
      <c r="I5477" s="11" t="s">
        <v>7524</v>
      </c>
      <c r="J5477" s="1285"/>
      <c r="K5477" s="1285"/>
      <c r="L5477" s="1285"/>
    </row>
    <row r="5478" spans="1:12" ht="11.15" customHeight="1">
      <c r="A5478" s="162" t="s">
        <v>7525</v>
      </c>
      <c r="B5478" s="177" t="s">
        <v>7526</v>
      </c>
      <c r="C5478" s="147"/>
      <c r="D5478" s="161"/>
      <c r="E5478" s="36"/>
      <c r="F5478" s="178"/>
      <c r="G5478" s="1217"/>
      <c r="H5478" s="36"/>
      <c r="I5478" s="11"/>
    </row>
    <row r="5479" spans="1:12" ht="11.15" customHeight="1">
      <c r="A5479" s="162" t="s">
        <v>7527</v>
      </c>
      <c r="B5479" s="59" t="s">
        <v>21181</v>
      </c>
      <c r="C5479" s="147" t="s">
        <v>23393</v>
      </c>
      <c r="D5479" s="284" t="s">
        <v>897</v>
      </c>
      <c r="E5479" s="178">
        <v>2019</v>
      </c>
      <c r="F5479" s="178" t="s">
        <v>4520</v>
      </c>
      <c r="G5479" s="496"/>
      <c r="H5479" s="994" t="s">
        <v>20221</v>
      </c>
      <c r="I5479" s="11" t="s">
        <v>7528</v>
      </c>
      <c r="J5479" s="1285"/>
      <c r="K5479" s="1285"/>
      <c r="L5479" s="1285"/>
    </row>
    <row r="5480" spans="1:12" ht="11.15" customHeight="1">
      <c r="A5480" s="355" t="s">
        <v>7529</v>
      </c>
      <c r="B5480" s="59" t="s">
        <v>21181</v>
      </c>
      <c r="C5480" s="147" t="s">
        <v>23393</v>
      </c>
      <c r="D5480" s="284" t="s">
        <v>897</v>
      </c>
      <c r="E5480" s="178">
        <v>2018</v>
      </c>
      <c r="F5480" s="178" t="s">
        <v>4520</v>
      </c>
      <c r="G5480" s="496"/>
      <c r="H5480" s="994" t="s">
        <v>20221</v>
      </c>
      <c r="I5480" s="11" t="s">
        <v>7530</v>
      </c>
      <c r="J5480" s="1285"/>
      <c r="K5480" s="1285"/>
      <c r="L5480" s="1285"/>
    </row>
    <row r="5481" spans="1:12" ht="11.15" customHeight="1">
      <c r="A5481" s="162" t="s">
        <v>7531</v>
      </c>
      <c r="B5481" s="59" t="s">
        <v>21181</v>
      </c>
      <c r="C5481" s="147" t="s">
        <v>23393</v>
      </c>
      <c r="D5481" s="284" t="s">
        <v>897</v>
      </c>
      <c r="E5481" s="178">
        <v>2017</v>
      </c>
      <c r="F5481" s="178" t="s">
        <v>4520</v>
      </c>
      <c r="G5481" s="496"/>
      <c r="H5481" s="994" t="s">
        <v>20221</v>
      </c>
      <c r="I5481" s="11" t="s">
        <v>6286</v>
      </c>
      <c r="J5481" s="1285"/>
      <c r="K5481" s="1285"/>
      <c r="L5481" s="1285"/>
    </row>
    <row r="5482" spans="1:12" ht="11.15" customHeight="1">
      <c r="A5482" s="162" t="s">
        <v>7532</v>
      </c>
      <c r="B5482" s="59" t="s">
        <v>21181</v>
      </c>
      <c r="C5482" s="147" t="s">
        <v>23393</v>
      </c>
      <c r="D5482" s="284" t="s">
        <v>897</v>
      </c>
      <c r="E5482" s="178">
        <v>2015</v>
      </c>
      <c r="F5482" s="178" t="s">
        <v>4520</v>
      </c>
      <c r="G5482" s="496"/>
      <c r="H5482" s="994" t="s">
        <v>20221</v>
      </c>
      <c r="I5482" s="11" t="s">
        <v>7533</v>
      </c>
      <c r="J5482" s="1285"/>
      <c r="K5482" s="1285"/>
      <c r="L5482" s="1285"/>
    </row>
    <row r="5483" spans="1:12" ht="11.15" customHeight="1">
      <c r="A5483" s="162" t="s">
        <v>7534</v>
      </c>
      <c r="B5483" s="59" t="s">
        <v>21181</v>
      </c>
      <c r="C5483" s="147" t="s">
        <v>20221</v>
      </c>
      <c r="D5483" s="284" t="s">
        <v>897</v>
      </c>
      <c r="E5483" s="178">
        <v>2013</v>
      </c>
      <c r="F5483" s="178" t="s">
        <v>4520</v>
      </c>
      <c r="G5483" s="496"/>
      <c r="H5483" s="994" t="s">
        <v>20221</v>
      </c>
      <c r="I5483" s="11" t="s">
        <v>7535</v>
      </c>
      <c r="J5483" s="1285"/>
      <c r="K5483" s="1285"/>
      <c r="L5483" s="1285"/>
    </row>
    <row r="5484" spans="1:12" ht="11.15" customHeight="1">
      <c r="A5484" s="162" t="s">
        <v>7536</v>
      </c>
      <c r="B5484" s="177" t="s">
        <v>7537</v>
      </c>
      <c r="C5484" s="147"/>
      <c r="D5484" s="161"/>
      <c r="E5484" s="36"/>
      <c r="F5484" s="178"/>
      <c r="G5484" s="1227"/>
      <c r="H5484" s="36"/>
      <c r="I5484" s="11"/>
    </row>
    <row r="5485" spans="1:12" ht="11.15" customHeight="1">
      <c r="A5485" s="162" t="s">
        <v>7538</v>
      </c>
      <c r="B5485" s="59" t="s">
        <v>21182</v>
      </c>
      <c r="C5485" s="147" t="s">
        <v>23393</v>
      </c>
      <c r="D5485" s="284" t="s">
        <v>897</v>
      </c>
      <c r="E5485" s="178">
        <v>2020</v>
      </c>
      <c r="F5485" s="178" t="s">
        <v>4520</v>
      </c>
      <c r="G5485" s="496"/>
      <c r="H5485" s="994" t="s">
        <v>20221</v>
      </c>
      <c r="I5485" s="11" t="s">
        <v>7539</v>
      </c>
      <c r="J5485" s="1285"/>
      <c r="K5485" s="1285"/>
      <c r="L5485" s="1285"/>
    </row>
    <row r="5486" spans="1:12" ht="11.15" customHeight="1">
      <c r="A5486" s="162" t="s">
        <v>7540</v>
      </c>
      <c r="B5486" s="59" t="s">
        <v>21182</v>
      </c>
      <c r="C5486" s="147" t="s">
        <v>23393</v>
      </c>
      <c r="D5486" s="284" t="s">
        <v>897</v>
      </c>
      <c r="E5486" s="178">
        <v>2019</v>
      </c>
      <c r="F5486" s="178" t="s">
        <v>4520</v>
      </c>
      <c r="G5486" s="496"/>
      <c r="H5486" s="994" t="s">
        <v>20221</v>
      </c>
      <c r="I5486" s="11" t="s">
        <v>7541</v>
      </c>
      <c r="J5486" s="1285"/>
      <c r="K5486" s="1285"/>
      <c r="L5486" s="1285"/>
    </row>
    <row r="5487" spans="1:12" ht="11.15" customHeight="1">
      <c r="A5487" s="162" t="s">
        <v>7542</v>
      </c>
      <c r="B5487" s="59" t="s">
        <v>21182</v>
      </c>
      <c r="C5487" s="147" t="s">
        <v>23393</v>
      </c>
      <c r="D5487" s="284" t="s">
        <v>897</v>
      </c>
      <c r="E5487" s="178">
        <v>2018</v>
      </c>
      <c r="F5487" s="178" t="s">
        <v>4520</v>
      </c>
      <c r="G5487" s="496"/>
      <c r="H5487" s="994" t="s">
        <v>20221</v>
      </c>
      <c r="I5487" s="11" t="s">
        <v>7543</v>
      </c>
      <c r="J5487" s="1285"/>
      <c r="K5487" s="1285"/>
      <c r="L5487" s="1285"/>
    </row>
    <row r="5488" spans="1:12" ht="11.15" customHeight="1">
      <c r="A5488" s="162" t="s">
        <v>7544</v>
      </c>
      <c r="B5488" s="59" t="s">
        <v>21182</v>
      </c>
      <c r="C5488" s="147" t="s">
        <v>23393</v>
      </c>
      <c r="D5488" s="284" t="s">
        <v>897</v>
      </c>
      <c r="E5488" s="178">
        <v>2017</v>
      </c>
      <c r="F5488" s="178" t="s">
        <v>4520</v>
      </c>
      <c r="G5488" s="496"/>
      <c r="H5488" s="994" t="s">
        <v>20221</v>
      </c>
      <c r="I5488" s="11" t="s">
        <v>7545</v>
      </c>
      <c r="J5488" s="1285"/>
      <c r="K5488" s="1285"/>
      <c r="L5488" s="1285"/>
    </row>
    <row r="5489" spans="1:12" ht="11.15" customHeight="1">
      <c r="A5489" s="162" t="s">
        <v>7546</v>
      </c>
      <c r="B5489" s="59" t="s">
        <v>21182</v>
      </c>
      <c r="C5489" s="147" t="s">
        <v>23393</v>
      </c>
      <c r="D5489" s="284" t="s">
        <v>897</v>
      </c>
      <c r="E5489" s="178">
        <v>2016</v>
      </c>
      <c r="F5489" s="178" t="s">
        <v>4520</v>
      </c>
      <c r="G5489" s="496"/>
      <c r="H5489" s="994" t="s">
        <v>20221</v>
      </c>
      <c r="I5489" s="11" t="s">
        <v>7547</v>
      </c>
      <c r="J5489" s="1285"/>
      <c r="K5489" s="1285"/>
      <c r="L5489" s="1285"/>
    </row>
    <row r="5490" spans="1:12" ht="11.15" customHeight="1">
      <c r="A5490" s="162" t="s">
        <v>7548</v>
      </c>
      <c r="B5490" s="59" t="s">
        <v>21182</v>
      </c>
      <c r="C5490" s="147" t="s">
        <v>23393</v>
      </c>
      <c r="D5490" s="284" t="s">
        <v>897</v>
      </c>
      <c r="E5490" s="178">
        <v>2014</v>
      </c>
      <c r="F5490" s="178" t="s">
        <v>4520</v>
      </c>
      <c r="G5490" s="496"/>
      <c r="H5490" s="994" t="s">
        <v>20221</v>
      </c>
      <c r="I5490" s="11" t="s">
        <v>6289</v>
      </c>
      <c r="J5490" s="1285"/>
      <c r="K5490" s="1285"/>
      <c r="L5490" s="1285"/>
    </row>
    <row r="5491" spans="1:12" ht="11.15" customHeight="1">
      <c r="A5491" s="162" t="s">
        <v>7549</v>
      </c>
      <c r="B5491" s="59" t="s">
        <v>21183</v>
      </c>
      <c r="C5491" s="147" t="s">
        <v>20221</v>
      </c>
      <c r="D5491" s="284" t="s">
        <v>897</v>
      </c>
      <c r="E5491" s="178">
        <v>2013</v>
      </c>
      <c r="F5491" s="178" t="s">
        <v>5257</v>
      </c>
      <c r="G5491" s="496"/>
      <c r="H5491" s="994" t="s">
        <v>20224</v>
      </c>
      <c r="I5491" s="11" t="s">
        <v>6299</v>
      </c>
      <c r="J5491" s="1285"/>
      <c r="K5491" s="1285"/>
      <c r="L5491" s="1285"/>
    </row>
    <row r="5492" spans="1:12" ht="11.15" customHeight="1">
      <c r="A5492" s="129" t="s">
        <v>7550</v>
      </c>
      <c r="B5492" s="177" t="s">
        <v>7551</v>
      </c>
      <c r="C5492" s="147"/>
      <c r="D5492" s="161"/>
      <c r="E5492" s="36"/>
      <c r="F5492" s="178"/>
      <c r="G5492" s="1217"/>
      <c r="H5492" s="36"/>
      <c r="I5492" s="11"/>
    </row>
    <row r="5493" spans="1:12" ht="11.15" customHeight="1">
      <c r="A5493" s="162" t="s">
        <v>7552</v>
      </c>
      <c r="B5493" s="59" t="s">
        <v>18810</v>
      </c>
      <c r="C5493" s="147" t="s">
        <v>23393</v>
      </c>
      <c r="D5493" s="284" t="s">
        <v>897</v>
      </c>
      <c r="E5493" s="178">
        <v>2019</v>
      </c>
      <c r="F5493" s="178" t="s">
        <v>4520</v>
      </c>
      <c r="G5493" s="496"/>
      <c r="H5493" s="994" t="s">
        <v>20221</v>
      </c>
      <c r="I5493" s="11" t="s">
        <v>7553</v>
      </c>
      <c r="J5493" s="1285"/>
      <c r="K5493" s="1285"/>
      <c r="L5493" s="1285"/>
    </row>
    <row r="5494" spans="1:12" ht="11.15" customHeight="1">
      <c r="A5494" s="162" t="s">
        <v>7554</v>
      </c>
      <c r="B5494" s="59" t="s">
        <v>18810</v>
      </c>
      <c r="C5494" s="147" t="s">
        <v>23393</v>
      </c>
      <c r="D5494" s="284" t="s">
        <v>897</v>
      </c>
      <c r="E5494" s="178">
        <v>2017</v>
      </c>
      <c r="F5494" s="178" t="s">
        <v>4520</v>
      </c>
      <c r="G5494" s="496"/>
      <c r="H5494" s="994" t="s">
        <v>20224</v>
      </c>
      <c r="I5494" s="11" t="s">
        <v>7555</v>
      </c>
      <c r="J5494" s="1285"/>
      <c r="K5494" s="1285"/>
      <c r="L5494" s="1285"/>
    </row>
    <row r="5495" spans="1:12" ht="11.15" customHeight="1">
      <c r="A5495" s="162" t="s">
        <v>7556</v>
      </c>
      <c r="B5495" s="59" t="s">
        <v>21017</v>
      </c>
      <c r="C5495" s="147" t="s">
        <v>23393</v>
      </c>
      <c r="D5495" s="284" t="s">
        <v>897</v>
      </c>
      <c r="E5495" s="178">
        <v>2019</v>
      </c>
      <c r="F5495" s="178" t="s">
        <v>4520</v>
      </c>
      <c r="G5495" s="496"/>
      <c r="H5495" s="994" t="s">
        <v>20221</v>
      </c>
      <c r="I5495" s="11" t="s">
        <v>7558</v>
      </c>
      <c r="J5495" s="1285"/>
      <c r="K5495" s="1285"/>
      <c r="L5495" s="1285"/>
    </row>
    <row r="5496" spans="1:12" ht="11.15" customHeight="1">
      <c r="A5496" s="162" t="s">
        <v>7557</v>
      </c>
      <c r="B5496" s="59" t="s">
        <v>21184</v>
      </c>
      <c r="C5496" s="147" t="s">
        <v>23393</v>
      </c>
      <c r="D5496" s="284" t="s">
        <v>897</v>
      </c>
      <c r="E5496" s="178">
        <v>2019</v>
      </c>
      <c r="F5496" s="178" t="s">
        <v>4520</v>
      </c>
      <c r="G5496" s="496"/>
      <c r="H5496" s="994" t="s">
        <v>20221</v>
      </c>
      <c r="I5496" s="11" t="s">
        <v>7560</v>
      </c>
      <c r="J5496" s="1285"/>
      <c r="K5496" s="1285"/>
      <c r="L5496" s="1285"/>
    </row>
    <row r="5497" spans="1:12" ht="11.15" customHeight="1">
      <c r="A5497" s="162" t="s">
        <v>7559</v>
      </c>
      <c r="B5497" s="59" t="s">
        <v>21185</v>
      </c>
      <c r="C5497" s="147" t="s">
        <v>23393</v>
      </c>
      <c r="D5497" s="284" t="s">
        <v>897</v>
      </c>
      <c r="E5497" s="178">
        <v>2019</v>
      </c>
      <c r="F5497" s="178" t="s">
        <v>4520</v>
      </c>
      <c r="G5497" s="496"/>
      <c r="H5497" s="994" t="s">
        <v>20221</v>
      </c>
      <c r="I5497" s="11" t="s">
        <v>7562</v>
      </c>
      <c r="J5497" s="1285"/>
      <c r="K5497" s="1285"/>
      <c r="L5497" s="1285"/>
    </row>
    <row r="5498" spans="1:12" ht="11.15" customHeight="1">
      <c r="A5498" s="162" t="s">
        <v>7561</v>
      </c>
      <c r="B5498" s="59" t="s">
        <v>21185</v>
      </c>
      <c r="C5498" s="147" t="s">
        <v>23393</v>
      </c>
      <c r="D5498" s="284" t="s">
        <v>897</v>
      </c>
      <c r="E5498" s="178">
        <v>2018</v>
      </c>
      <c r="F5498" s="178" t="s">
        <v>4520</v>
      </c>
      <c r="G5498" s="496"/>
      <c r="H5498" s="994" t="s">
        <v>20221</v>
      </c>
      <c r="I5498" s="11" t="s">
        <v>7563</v>
      </c>
      <c r="J5498" s="1285"/>
      <c r="K5498" s="1285"/>
      <c r="L5498" s="1285"/>
    </row>
    <row r="5499" spans="1:12" ht="11.15" customHeight="1">
      <c r="A5499" s="129" t="s">
        <v>1308</v>
      </c>
      <c r="B5499" s="59" t="s">
        <v>21185</v>
      </c>
      <c r="C5499" s="147" t="s">
        <v>23393</v>
      </c>
      <c r="D5499" s="284" t="s">
        <v>897</v>
      </c>
      <c r="E5499" s="178">
        <v>2017</v>
      </c>
      <c r="F5499" s="178" t="s">
        <v>4520</v>
      </c>
      <c r="G5499" s="496"/>
      <c r="H5499" s="994" t="s">
        <v>20221</v>
      </c>
      <c r="I5499" s="11" t="s">
        <v>7565</v>
      </c>
      <c r="J5499" s="1285"/>
      <c r="K5499" s="1285"/>
      <c r="L5499" s="1285"/>
    </row>
    <row r="5500" spans="1:12" ht="11.15" customHeight="1">
      <c r="A5500" s="162" t="s">
        <v>7564</v>
      </c>
      <c r="B5500" s="59" t="s">
        <v>21185</v>
      </c>
      <c r="C5500" s="147" t="s">
        <v>23393</v>
      </c>
      <c r="D5500" s="284" t="s">
        <v>897</v>
      </c>
      <c r="E5500" s="178">
        <v>2016</v>
      </c>
      <c r="F5500" s="178" t="s">
        <v>4520</v>
      </c>
      <c r="G5500" s="496"/>
      <c r="H5500" s="994" t="s">
        <v>20221</v>
      </c>
      <c r="I5500" s="11" t="s">
        <v>7567</v>
      </c>
      <c r="J5500" s="1285"/>
      <c r="K5500" s="1285"/>
      <c r="L5500" s="1285"/>
    </row>
    <row r="5501" spans="1:12" ht="11.15" customHeight="1">
      <c r="A5501" s="162" t="s">
        <v>7566</v>
      </c>
      <c r="B5501" s="59" t="s">
        <v>21185</v>
      </c>
      <c r="C5501" s="147" t="s">
        <v>23393</v>
      </c>
      <c r="D5501" s="284" t="s">
        <v>897</v>
      </c>
      <c r="E5501" s="178">
        <v>2015</v>
      </c>
      <c r="F5501" s="178" t="s">
        <v>4520</v>
      </c>
      <c r="G5501" s="496"/>
      <c r="H5501" s="994" t="s">
        <v>20221</v>
      </c>
      <c r="I5501" s="11" t="s">
        <v>7569</v>
      </c>
      <c r="J5501" s="1285"/>
      <c r="K5501" s="1285"/>
      <c r="L5501" s="1285"/>
    </row>
    <row r="5502" spans="1:12" ht="11.15" customHeight="1">
      <c r="A5502" s="162" t="s">
        <v>7568</v>
      </c>
      <c r="B5502" s="59" t="s">
        <v>21185</v>
      </c>
      <c r="C5502" s="147" t="s">
        <v>23393</v>
      </c>
      <c r="D5502" s="284" t="s">
        <v>897</v>
      </c>
      <c r="E5502" s="178">
        <v>2014</v>
      </c>
      <c r="F5502" s="178" t="s">
        <v>4520</v>
      </c>
      <c r="G5502" s="496"/>
      <c r="H5502" s="994" t="s">
        <v>20221</v>
      </c>
      <c r="I5502" s="11" t="s">
        <v>7571</v>
      </c>
      <c r="J5502" s="1285"/>
      <c r="K5502" s="1285"/>
      <c r="L5502" s="1285"/>
    </row>
    <row r="5503" spans="1:12" ht="11.15" customHeight="1">
      <c r="A5503" s="162" t="s">
        <v>7570</v>
      </c>
      <c r="B5503" s="185"/>
      <c r="C5503" s="147"/>
      <c r="D5503" s="185"/>
      <c r="E5503" s="185"/>
      <c r="F5503" s="185"/>
      <c r="G5503" s="185"/>
      <c r="H5503" s="185"/>
      <c r="I5503" s="11"/>
    </row>
    <row r="5504" spans="1:12" ht="11.15" customHeight="1">
      <c r="A5504" s="162" t="s">
        <v>7572</v>
      </c>
      <c r="B5504" s="185"/>
      <c r="C5504" s="147"/>
      <c r="D5504" s="185"/>
      <c r="E5504" s="185"/>
      <c r="F5504" s="185"/>
      <c r="G5504" s="185"/>
      <c r="H5504" s="185"/>
      <c r="I5504" s="11"/>
    </row>
    <row r="5505" spans="1:9" ht="11.15" customHeight="1">
      <c r="A5505" s="162" t="s">
        <v>7573</v>
      </c>
      <c r="B5505" s="185"/>
      <c r="C5505" s="147"/>
      <c r="D5505" s="185"/>
      <c r="E5505" s="185"/>
      <c r="F5505" s="185"/>
      <c r="G5505" s="185"/>
      <c r="H5505" s="185"/>
      <c r="I5505" s="11"/>
    </row>
    <row r="5506" spans="1:9" ht="11.15" customHeight="1">
      <c r="A5506" s="162" t="s">
        <v>7574</v>
      </c>
      <c r="B5506" s="185"/>
      <c r="C5506" s="147"/>
      <c r="D5506" s="185"/>
      <c r="E5506" s="185"/>
      <c r="F5506" s="185"/>
      <c r="G5506" s="185"/>
      <c r="H5506" s="185"/>
      <c r="I5506" s="11"/>
    </row>
    <row r="5507" spans="1:9" ht="11.15" customHeight="1">
      <c r="A5507" s="162" t="s">
        <v>7575</v>
      </c>
      <c r="B5507" s="185"/>
      <c r="C5507" s="147"/>
      <c r="D5507" s="185"/>
      <c r="E5507" s="185"/>
      <c r="F5507" s="185"/>
      <c r="G5507" s="185"/>
      <c r="H5507" s="185"/>
      <c r="I5507" s="11"/>
    </row>
    <row r="5508" spans="1:9" ht="11.15" customHeight="1">
      <c r="A5508" s="162" t="s">
        <v>7576</v>
      </c>
      <c r="B5508" s="185"/>
      <c r="C5508" s="147"/>
      <c r="D5508" s="185"/>
      <c r="E5508" s="185"/>
      <c r="F5508" s="185"/>
      <c r="G5508" s="185"/>
      <c r="H5508" s="185"/>
      <c r="I5508" s="11"/>
    </row>
    <row r="5509" spans="1:9" ht="11.15" customHeight="1">
      <c r="A5509" s="162" t="s">
        <v>7577</v>
      </c>
      <c r="B5509" s="185"/>
      <c r="C5509" s="147"/>
      <c r="D5509" s="185"/>
      <c r="E5509" s="185"/>
      <c r="F5509" s="185"/>
      <c r="G5509" s="185"/>
      <c r="H5509" s="185"/>
      <c r="I5509" s="11"/>
    </row>
    <row r="5510" spans="1:9" ht="11.15" customHeight="1">
      <c r="A5510" s="162" t="s">
        <v>3730</v>
      </c>
      <c r="B5510" s="185"/>
      <c r="C5510" s="147"/>
      <c r="D5510" s="185"/>
      <c r="E5510" s="185"/>
      <c r="F5510" s="185"/>
      <c r="G5510" s="185"/>
      <c r="H5510" s="185"/>
      <c r="I5510" s="11"/>
    </row>
    <row r="5511" spans="1:9" ht="11.15" customHeight="1">
      <c r="A5511" s="162" t="s">
        <v>7578</v>
      </c>
      <c r="B5511" s="90"/>
      <c r="C5511" s="147"/>
      <c r="D5511" s="161"/>
      <c r="E5511" s="36"/>
      <c r="F5511" s="183"/>
      <c r="G5511" s="496"/>
      <c r="H5511" s="34"/>
      <c r="I5511" s="11"/>
    </row>
    <row r="5512" spans="1:9" ht="11.15" customHeight="1">
      <c r="A5512" s="162" t="s">
        <v>7579</v>
      </c>
      <c r="B5512" s="185"/>
      <c r="C5512" s="147"/>
      <c r="D5512" s="185"/>
      <c r="E5512" s="185"/>
      <c r="F5512" s="185"/>
      <c r="G5512" s="185"/>
      <c r="H5512" s="185"/>
      <c r="I5512" s="11"/>
    </row>
    <row r="5513" spans="1:9" ht="11.15" customHeight="1">
      <c r="A5513" s="162" t="s">
        <v>7580</v>
      </c>
      <c r="B5513" s="90"/>
      <c r="C5513" s="147"/>
      <c r="D5513" s="161"/>
      <c r="E5513" s="36"/>
      <c r="F5513" s="183"/>
      <c r="G5513" s="496"/>
      <c r="H5513" s="34"/>
      <c r="I5513" s="11"/>
    </row>
    <row r="5514" spans="1:9" ht="11.15" customHeight="1">
      <c r="A5514" s="162" t="s">
        <v>7581</v>
      </c>
      <c r="B5514" s="90"/>
      <c r="C5514" s="147"/>
      <c r="D5514" s="161"/>
      <c r="E5514" s="36"/>
      <c r="F5514" s="183"/>
      <c r="G5514" s="496"/>
      <c r="H5514" s="34"/>
      <c r="I5514" s="11"/>
    </row>
    <row r="5515" spans="1:9" ht="11.15" customHeight="1">
      <c r="A5515" s="162" t="s">
        <v>7582</v>
      </c>
      <c r="B5515" s="90"/>
      <c r="C5515" s="147"/>
      <c r="D5515" s="161"/>
      <c r="E5515" s="36"/>
      <c r="F5515" s="183"/>
      <c r="G5515" s="496"/>
      <c r="H5515" s="34"/>
      <c r="I5515" s="11"/>
    </row>
    <row r="5516" spans="1:9" ht="11.15" customHeight="1">
      <c r="A5516" s="162" t="s">
        <v>7583</v>
      </c>
      <c r="B5516" s="90"/>
      <c r="C5516" s="147"/>
      <c r="D5516" s="161"/>
      <c r="E5516" s="36"/>
      <c r="F5516" s="183"/>
      <c r="G5516" s="496"/>
      <c r="H5516" s="34"/>
      <c r="I5516" s="11"/>
    </row>
    <row r="5517" spans="1:9" ht="11.15" customHeight="1">
      <c r="A5517" s="166" t="s">
        <v>7584</v>
      </c>
      <c r="B5517" s="90"/>
      <c r="C5517" s="147"/>
      <c r="D5517" s="161"/>
      <c r="E5517" s="36"/>
      <c r="F5517" s="183"/>
      <c r="G5517" s="496"/>
      <c r="H5517" s="34"/>
      <c r="I5517" s="11"/>
    </row>
    <row r="5518" spans="1:9" ht="11.15" customHeight="1">
      <c r="A5518" s="169" t="s">
        <v>7585</v>
      </c>
      <c r="B5518" s="90"/>
      <c r="C5518" s="147"/>
      <c r="D5518" s="161"/>
      <c r="E5518" s="36"/>
      <c r="F5518" s="183"/>
      <c r="G5518" s="496"/>
      <c r="H5518" s="34"/>
      <c r="I5518" s="11"/>
    </row>
    <row r="5519" spans="1:9" ht="11.15" customHeight="1">
      <c r="A5519" s="169" t="s">
        <v>7586</v>
      </c>
      <c r="B5519" s="90"/>
      <c r="C5519" s="147"/>
      <c r="D5519" s="161"/>
      <c r="E5519" s="36"/>
      <c r="F5519" s="183"/>
      <c r="G5519" s="496"/>
      <c r="H5519" s="34"/>
      <c r="I5519" s="11"/>
    </row>
    <row r="5520" spans="1:9" ht="11.15" customHeight="1">
      <c r="A5520" s="481" t="s">
        <v>7587</v>
      </c>
      <c r="B5520" s="90"/>
      <c r="C5520" s="147"/>
      <c r="D5520" s="161"/>
      <c r="E5520" s="36"/>
      <c r="F5520" s="183"/>
      <c r="G5520" s="496"/>
      <c r="H5520" s="34"/>
      <c r="I5520" s="11"/>
    </row>
    <row r="5521" spans="1:12" ht="11.15" customHeight="1" thickBot="1">
      <c r="A5521" s="185"/>
      <c r="B5521" s="90"/>
      <c r="C5521" s="147"/>
      <c r="D5521" s="161"/>
      <c r="E5521" s="36"/>
      <c r="F5521" s="183"/>
      <c r="G5521" s="496"/>
      <c r="H5521" s="34"/>
      <c r="I5521" s="11"/>
    </row>
    <row r="5522" spans="1:12" ht="11.15" customHeight="1">
      <c r="A5522" s="185"/>
      <c r="B5522" s="507" t="s">
        <v>7588</v>
      </c>
      <c r="C5522" s="147"/>
      <c r="D5522" s="122"/>
      <c r="E5522" s="36"/>
      <c r="F5522" s="178"/>
      <c r="G5522" s="453"/>
      <c r="H5522" s="36"/>
      <c r="I5522" s="11"/>
    </row>
    <row r="5523" spans="1:12" ht="11.15" customHeight="1" thickBot="1">
      <c r="A5523" s="29"/>
      <c r="B5523" s="508" t="s">
        <v>7589</v>
      </c>
      <c r="C5523" s="147"/>
      <c r="D5523" s="122"/>
      <c r="E5523" s="36"/>
      <c r="F5523" s="178"/>
      <c r="G5523" s="453"/>
      <c r="H5523" s="36"/>
      <c r="I5523" s="11"/>
    </row>
    <row r="5524" spans="1:12" ht="10.5" customHeight="1">
      <c r="A5524" s="153" t="s">
        <v>7590</v>
      </c>
      <c r="B5524" s="154" t="s">
        <v>7593</v>
      </c>
      <c r="C5524" s="147"/>
      <c r="D5524" s="129"/>
      <c r="E5524" s="185"/>
      <c r="F5524" s="185"/>
      <c r="G5524" s="185"/>
      <c r="H5524" s="185"/>
      <c r="I5524" s="11"/>
    </row>
    <row r="5525" spans="1:12" ht="11.15" customHeight="1" thickBot="1">
      <c r="A5525" s="230" t="s">
        <v>7591</v>
      </c>
      <c r="B5525" s="59" t="s">
        <v>21187</v>
      </c>
      <c r="C5525" s="147" t="s">
        <v>20221</v>
      </c>
      <c r="D5525" s="701" t="s">
        <v>1129</v>
      </c>
      <c r="E5525" s="178">
        <v>2012</v>
      </c>
      <c r="F5525" s="178" t="s">
        <v>23395</v>
      </c>
      <c r="G5525" s="496"/>
      <c r="H5525" s="994" t="s">
        <v>20221</v>
      </c>
      <c r="I5525" s="11" t="s">
        <v>7595</v>
      </c>
      <c r="J5525" s="1285"/>
      <c r="K5525" s="1285"/>
      <c r="L5525" s="1285"/>
    </row>
    <row r="5526" spans="1:12" ht="10.5" customHeight="1">
      <c r="A5526" s="29" t="s">
        <v>7592</v>
      </c>
      <c r="B5526" s="59" t="s">
        <v>21026</v>
      </c>
      <c r="C5526" s="147" t="s">
        <v>20221</v>
      </c>
      <c r="D5526" s="701" t="s">
        <v>1129</v>
      </c>
      <c r="E5526" s="178">
        <v>2015</v>
      </c>
      <c r="F5526" s="178" t="s">
        <v>4520</v>
      </c>
      <c r="G5526" s="496"/>
      <c r="H5526" s="994" t="s">
        <v>20221</v>
      </c>
      <c r="I5526" s="11" t="s">
        <v>7596</v>
      </c>
      <c r="J5526" s="1285"/>
      <c r="K5526" s="1285"/>
      <c r="L5526" s="1285"/>
    </row>
    <row r="5527" spans="1:12" ht="11.15" customHeight="1">
      <c r="A5527" s="58" t="s">
        <v>7594</v>
      </c>
      <c r="B5527" s="59" t="s">
        <v>21188</v>
      </c>
      <c r="C5527" s="147" t="s">
        <v>20221</v>
      </c>
      <c r="D5527" s="701" t="s">
        <v>1129</v>
      </c>
      <c r="E5527" s="178">
        <v>2018</v>
      </c>
      <c r="F5527" s="178" t="s">
        <v>4520</v>
      </c>
      <c r="G5527" s="496"/>
      <c r="H5527" s="994" t="s">
        <v>20221</v>
      </c>
      <c r="I5527" s="11" t="s">
        <v>7598</v>
      </c>
      <c r="J5527" s="1285"/>
      <c r="K5527" s="1285"/>
      <c r="L5527" s="1285"/>
    </row>
    <row r="5528" spans="1:12" ht="11.15" customHeight="1">
      <c r="A5528" s="29" t="s">
        <v>6879</v>
      </c>
      <c r="B5528" s="59" t="s">
        <v>21033</v>
      </c>
      <c r="C5528" s="147" t="s">
        <v>20221</v>
      </c>
      <c r="D5528" s="701" t="s">
        <v>1129</v>
      </c>
      <c r="E5528" s="178">
        <v>2014</v>
      </c>
      <c r="F5528" s="178" t="s">
        <v>4520</v>
      </c>
      <c r="G5528" s="496"/>
      <c r="H5528" s="994" t="s">
        <v>20224</v>
      </c>
      <c r="I5528" s="16" t="s">
        <v>7600</v>
      </c>
      <c r="J5528" s="1285"/>
      <c r="K5528" s="1285"/>
      <c r="L5528" s="1285"/>
    </row>
    <row r="5529" spans="1:12" ht="11.15" customHeight="1">
      <c r="A5529" s="29" t="s">
        <v>7597</v>
      </c>
      <c r="B5529" s="154" t="s">
        <v>6205</v>
      </c>
      <c r="C5529" s="147"/>
      <c r="D5529" s="129"/>
      <c r="E5529" s="185"/>
      <c r="F5529" s="185"/>
      <c r="G5529" s="185"/>
      <c r="H5529" s="185"/>
      <c r="I5529" s="11"/>
    </row>
    <row r="5530" spans="1:12" ht="11.15" customHeight="1">
      <c r="A5530" s="29" t="s">
        <v>7599</v>
      </c>
      <c r="B5530" s="59" t="s">
        <v>21189</v>
      </c>
      <c r="C5530" s="147" t="s">
        <v>20221</v>
      </c>
      <c r="D5530" s="701" t="s">
        <v>1129</v>
      </c>
      <c r="E5530" s="178">
        <v>2011</v>
      </c>
      <c r="F5530" s="178" t="s">
        <v>4520</v>
      </c>
      <c r="G5530" s="496"/>
      <c r="H5530" s="994" t="s">
        <v>20221</v>
      </c>
      <c r="I5530" s="11" t="s">
        <v>7602</v>
      </c>
      <c r="J5530" s="1285"/>
      <c r="K5530" s="1285"/>
      <c r="L5530" s="1285"/>
    </row>
    <row r="5531" spans="1:12" ht="10.5" customHeight="1">
      <c r="A5531" s="181" t="s">
        <v>2536</v>
      </c>
      <c r="B5531" s="59" t="s">
        <v>21190</v>
      </c>
      <c r="C5531" s="147" t="s">
        <v>20221</v>
      </c>
      <c r="D5531" s="701" t="s">
        <v>1129</v>
      </c>
      <c r="E5531" s="178">
        <v>2017</v>
      </c>
      <c r="F5531" s="178" t="s">
        <v>4520</v>
      </c>
      <c r="G5531" s="496"/>
      <c r="H5531" s="994" t="s">
        <v>20221</v>
      </c>
      <c r="I5531" s="11" t="s">
        <v>7603</v>
      </c>
      <c r="J5531" s="1285"/>
      <c r="K5531" s="1285"/>
      <c r="L5531" s="1285"/>
    </row>
    <row r="5532" spans="1:12" ht="11.15" customHeight="1">
      <c r="A5532" s="29" t="s">
        <v>7601</v>
      </c>
      <c r="B5532" s="59" t="s">
        <v>21190</v>
      </c>
      <c r="C5532" s="147" t="s">
        <v>20221</v>
      </c>
      <c r="D5532" s="701" t="s">
        <v>1129</v>
      </c>
      <c r="E5532" s="178">
        <v>2014</v>
      </c>
      <c r="F5532" s="178" t="s">
        <v>4520</v>
      </c>
      <c r="G5532" s="496"/>
      <c r="H5532" s="994" t="s">
        <v>20221</v>
      </c>
      <c r="I5532" s="11" t="s">
        <v>7605</v>
      </c>
      <c r="J5532" s="1285"/>
      <c r="K5532" s="1285"/>
      <c r="L5532" s="1285"/>
    </row>
    <row r="5533" spans="1:12" ht="11.15" customHeight="1">
      <c r="A5533" s="129" t="s">
        <v>1077</v>
      </c>
      <c r="B5533" s="59" t="s">
        <v>21029</v>
      </c>
      <c r="C5533" s="147" t="s">
        <v>20221</v>
      </c>
      <c r="D5533" s="701" t="s">
        <v>1129</v>
      </c>
      <c r="E5533" s="178">
        <v>2013</v>
      </c>
      <c r="F5533" s="178" t="s">
        <v>4520</v>
      </c>
      <c r="G5533" s="496"/>
      <c r="H5533" s="994" t="s">
        <v>20221</v>
      </c>
      <c r="I5533" s="11" t="s">
        <v>7607</v>
      </c>
      <c r="J5533" s="1285"/>
      <c r="K5533" s="1285"/>
      <c r="L5533" s="1285"/>
    </row>
    <row r="5534" spans="1:12" ht="11.15" customHeight="1">
      <c r="A5534" s="162" t="s">
        <v>7604</v>
      </c>
      <c r="B5534" s="59" t="s">
        <v>21191</v>
      </c>
      <c r="C5534" s="147" t="s">
        <v>20221</v>
      </c>
      <c r="D5534" s="701" t="s">
        <v>1129</v>
      </c>
      <c r="E5534" s="178" t="s">
        <v>20221</v>
      </c>
      <c r="F5534" s="178" t="s">
        <v>4520</v>
      </c>
      <c r="G5534" s="496" t="s">
        <v>20221</v>
      </c>
      <c r="H5534" s="994" t="s">
        <v>3907</v>
      </c>
      <c r="I5534" s="11" t="s">
        <v>7609</v>
      </c>
      <c r="J5534" s="1285"/>
      <c r="K5534" s="1285"/>
      <c r="L5534" s="1285"/>
    </row>
    <row r="5535" spans="1:12" ht="11.15" customHeight="1">
      <c r="A5535" s="162" t="s">
        <v>7606</v>
      </c>
      <c r="B5535" s="154" t="s">
        <v>5405</v>
      </c>
      <c r="C5535" s="147"/>
      <c r="D5535" s="159"/>
      <c r="E5535" s="36"/>
      <c r="F5535" s="178"/>
      <c r="G5535" s="496"/>
      <c r="H5535" s="36"/>
      <c r="I5535" s="11"/>
    </row>
    <row r="5536" spans="1:12" ht="11.15" customHeight="1">
      <c r="A5536" s="162" t="s">
        <v>7608</v>
      </c>
      <c r="B5536" s="59" t="s">
        <v>21192</v>
      </c>
      <c r="C5536" s="147" t="s">
        <v>20221</v>
      </c>
      <c r="D5536" s="284" t="s">
        <v>897</v>
      </c>
      <c r="E5536" s="178">
        <v>2010</v>
      </c>
      <c r="F5536" s="178" t="s">
        <v>4520</v>
      </c>
      <c r="G5536" s="496"/>
      <c r="H5536" s="994" t="s">
        <v>20221</v>
      </c>
      <c r="I5536" s="11" t="s">
        <v>7612</v>
      </c>
      <c r="J5536" s="1285"/>
      <c r="K5536" s="1285"/>
      <c r="L5536" s="1285"/>
    </row>
    <row r="5537" spans="1:12" ht="11.15" customHeight="1">
      <c r="A5537" s="162" t="s">
        <v>7610</v>
      </c>
      <c r="B5537" s="154" t="s">
        <v>5452</v>
      </c>
      <c r="C5537" s="147"/>
      <c r="D5537" s="159"/>
      <c r="E5537" s="36"/>
      <c r="F5537" s="178"/>
      <c r="G5537" s="496"/>
      <c r="H5537" s="36"/>
      <c r="I5537" s="11"/>
    </row>
    <row r="5538" spans="1:12" ht="11.15" customHeight="1">
      <c r="A5538" s="162" t="s">
        <v>7611</v>
      </c>
      <c r="B5538" s="59" t="s">
        <v>21193</v>
      </c>
      <c r="C5538" s="147" t="s">
        <v>20221</v>
      </c>
      <c r="D5538" s="284" t="s">
        <v>897</v>
      </c>
      <c r="E5538" s="178">
        <v>2006</v>
      </c>
      <c r="F5538" s="178" t="s">
        <v>23395</v>
      </c>
      <c r="G5538" s="496"/>
      <c r="H5538" s="994" t="s">
        <v>20465</v>
      </c>
      <c r="I5538" s="11" t="s">
        <v>7615</v>
      </c>
      <c r="J5538" s="1285"/>
      <c r="K5538" s="1285"/>
      <c r="L5538" s="1285"/>
    </row>
    <row r="5539" spans="1:12" ht="11.15" customHeight="1">
      <c r="A5539" s="162" t="s">
        <v>7613</v>
      </c>
      <c r="B5539" s="59" t="s">
        <v>21194</v>
      </c>
      <c r="C5539" s="147" t="s">
        <v>20221</v>
      </c>
      <c r="D5539" s="284" t="s">
        <v>897</v>
      </c>
      <c r="E5539" s="178">
        <v>2013</v>
      </c>
      <c r="F5539" s="178" t="s">
        <v>4520</v>
      </c>
      <c r="G5539" s="496"/>
      <c r="H5539" s="994" t="s">
        <v>20221</v>
      </c>
      <c r="I5539" s="11" t="s">
        <v>7617</v>
      </c>
      <c r="J5539" s="1285"/>
      <c r="K5539" s="1285"/>
      <c r="L5539" s="1285"/>
    </row>
    <row r="5540" spans="1:12" ht="11.15" customHeight="1">
      <c r="A5540" s="162" t="s">
        <v>7614</v>
      </c>
      <c r="B5540" s="59" t="s">
        <v>21194</v>
      </c>
      <c r="C5540" s="147" t="s">
        <v>20221</v>
      </c>
      <c r="D5540" s="284" t="s">
        <v>897</v>
      </c>
      <c r="E5540" s="178">
        <v>2010</v>
      </c>
      <c r="F5540" s="178" t="s">
        <v>4520</v>
      </c>
      <c r="G5540" s="496"/>
      <c r="H5540" s="994" t="s">
        <v>20221</v>
      </c>
      <c r="I5540" s="11" t="s">
        <v>7619</v>
      </c>
      <c r="J5540" s="1285"/>
      <c r="K5540" s="1285"/>
      <c r="L5540" s="1285"/>
    </row>
    <row r="5541" spans="1:12" ht="11.15" customHeight="1">
      <c r="A5541" s="162" t="s">
        <v>7616</v>
      </c>
      <c r="B5541" s="59" t="s">
        <v>21195</v>
      </c>
      <c r="C5541" s="147" t="s">
        <v>20221</v>
      </c>
      <c r="D5541" s="284" t="s">
        <v>897</v>
      </c>
      <c r="E5541" s="178">
        <v>2010</v>
      </c>
      <c r="F5541" s="178" t="s">
        <v>4520</v>
      </c>
      <c r="G5541" s="496"/>
      <c r="H5541" s="994" t="s">
        <v>20221</v>
      </c>
      <c r="I5541" s="11" t="s">
        <v>7621</v>
      </c>
      <c r="J5541" s="1285"/>
      <c r="K5541" s="1285"/>
      <c r="L5541" s="1285"/>
    </row>
    <row r="5542" spans="1:12" ht="11.15" customHeight="1">
      <c r="A5542" s="162" t="s">
        <v>7618</v>
      </c>
      <c r="B5542" s="59" t="s">
        <v>21195</v>
      </c>
      <c r="C5542" s="147" t="s">
        <v>20221</v>
      </c>
      <c r="D5542" s="284" t="s">
        <v>897</v>
      </c>
      <c r="E5542" s="178">
        <v>2000</v>
      </c>
      <c r="F5542" s="178" t="s">
        <v>4520</v>
      </c>
      <c r="G5542" s="496"/>
      <c r="H5542" s="994" t="s">
        <v>20221</v>
      </c>
      <c r="I5542" s="11" t="s">
        <v>6296</v>
      </c>
      <c r="J5542" s="1285"/>
      <c r="K5542" s="1285"/>
      <c r="L5542" s="1285"/>
    </row>
    <row r="5543" spans="1:12" ht="11.15" customHeight="1">
      <c r="A5543" s="129" t="s">
        <v>7620</v>
      </c>
      <c r="B5543" s="59" t="s">
        <v>21195</v>
      </c>
      <c r="C5543" s="147" t="s">
        <v>20221</v>
      </c>
      <c r="D5543" s="284" t="s">
        <v>897</v>
      </c>
      <c r="E5543" s="178">
        <v>1998</v>
      </c>
      <c r="F5543" s="178" t="s">
        <v>4520</v>
      </c>
      <c r="G5543" s="496"/>
      <c r="H5543" s="994" t="s">
        <v>20221</v>
      </c>
      <c r="I5543" s="11" t="s">
        <v>7624</v>
      </c>
      <c r="J5543" s="1285"/>
      <c r="K5543" s="1285"/>
      <c r="L5543" s="1285"/>
    </row>
    <row r="5544" spans="1:12" ht="11.15" customHeight="1">
      <c r="A5544" s="162" t="s">
        <v>7622</v>
      </c>
      <c r="B5544" s="59" t="s">
        <v>21184</v>
      </c>
      <c r="C5544" s="147" t="s">
        <v>20221</v>
      </c>
      <c r="D5544" s="284" t="s">
        <v>897</v>
      </c>
      <c r="E5544" s="178">
        <v>2017</v>
      </c>
      <c r="F5544" s="178" t="s">
        <v>4520</v>
      </c>
      <c r="G5544" s="496"/>
      <c r="H5544" s="994" t="s">
        <v>20221</v>
      </c>
      <c r="I5544" s="11" t="s">
        <v>7626</v>
      </c>
      <c r="J5544" s="1285"/>
      <c r="K5544" s="1285"/>
      <c r="L5544" s="1285"/>
    </row>
    <row r="5545" spans="1:12" ht="11.15" customHeight="1">
      <c r="A5545" s="162" t="s">
        <v>7623</v>
      </c>
      <c r="B5545" s="59" t="s">
        <v>21184</v>
      </c>
      <c r="C5545" s="147" t="s">
        <v>20221</v>
      </c>
      <c r="D5545" s="284" t="s">
        <v>897</v>
      </c>
      <c r="E5545" s="178">
        <v>2006</v>
      </c>
      <c r="F5545" s="178" t="s">
        <v>4520</v>
      </c>
      <c r="G5545" s="496"/>
      <c r="H5545" s="994" t="s">
        <v>20221</v>
      </c>
      <c r="I5545" s="11" t="s">
        <v>7628</v>
      </c>
      <c r="J5545" s="1285"/>
      <c r="K5545" s="1285"/>
      <c r="L5545" s="1285"/>
    </row>
    <row r="5546" spans="1:12" ht="11.15" customHeight="1">
      <c r="A5546" s="162" t="s">
        <v>7625</v>
      </c>
      <c r="B5546" s="59" t="s">
        <v>21114</v>
      </c>
      <c r="C5546" s="147" t="s">
        <v>20221</v>
      </c>
      <c r="D5546" s="284" t="s">
        <v>897</v>
      </c>
      <c r="E5546" s="178">
        <v>2016</v>
      </c>
      <c r="F5546" s="178" t="s">
        <v>4520</v>
      </c>
      <c r="G5546" s="496"/>
      <c r="H5546" s="994" t="s">
        <v>20221</v>
      </c>
      <c r="I5546" s="11" t="s">
        <v>7630</v>
      </c>
      <c r="J5546" s="1285"/>
      <c r="K5546" s="1285"/>
      <c r="L5546" s="1285"/>
    </row>
    <row r="5547" spans="1:12" ht="11.15" customHeight="1">
      <c r="A5547" s="162" t="s">
        <v>7627</v>
      </c>
      <c r="B5547" s="59" t="s">
        <v>21114</v>
      </c>
      <c r="C5547" s="147" t="s">
        <v>20221</v>
      </c>
      <c r="D5547" s="284" t="s">
        <v>897</v>
      </c>
      <c r="E5547" s="178">
        <v>2012</v>
      </c>
      <c r="F5547" s="178" t="s">
        <v>4520</v>
      </c>
      <c r="G5547" s="496"/>
      <c r="H5547" s="994" t="s">
        <v>20221</v>
      </c>
      <c r="I5547" s="11" t="s">
        <v>7632</v>
      </c>
      <c r="J5547" s="1285"/>
      <c r="K5547" s="1285"/>
      <c r="L5547" s="1285"/>
    </row>
    <row r="5548" spans="1:12" ht="11.15" customHeight="1">
      <c r="A5548" s="162" t="s">
        <v>7629</v>
      </c>
      <c r="B5548" s="59" t="s">
        <v>21114</v>
      </c>
      <c r="C5548" s="147" t="s">
        <v>20221</v>
      </c>
      <c r="D5548" s="284" t="s">
        <v>897</v>
      </c>
      <c r="E5548" s="178">
        <v>2008</v>
      </c>
      <c r="F5548" s="178" t="s">
        <v>4520</v>
      </c>
      <c r="G5548" s="496"/>
      <c r="H5548" s="994" t="s">
        <v>20221</v>
      </c>
      <c r="I5548" s="11" t="s">
        <v>7634</v>
      </c>
      <c r="J5548" s="1285"/>
      <c r="K5548" s="1285"/>
      <c r="L5548" s="1285"/>
    </row>
    <row r="5549" spans="1:12" ht="9.75" customHeight="1">
      <c r="A5549" s="162" t="s">
        <v>7631</v>
      </c>
      <c r="B5549" s="59" t="s">
        <v>21114</v>
      </c>
      <c r="C5549" s="147" t="s">
        <v>20221</v>
      </c>
      <c r="D5549" s="284" t="s">
        <v>897</v>
      </c>
      <c r="E5549" s="178">
        <v>2004</v>
      </c>
      <c r="F5549" s="178" t="s">
        <v>4520</v>
      </c>
      <c r="G5549" s="496"/>
      <c r="H5549" s="994" t="s">
        <v>20221</v>
      </c>
      <c r="I5549" s="11" t="s">
        <v>7636</v>
      </c>
      <c r="J5549" s="1285"/>
      <c r="K5549" s="1285"/>
      <c r="L5549" s="1285"/>
    </row>
    <row r="5550" spans="1:12" ht="11.15" customHeight="1">
      <c r="A5550" s="162" t="s">
        <v>7633</v>
      </c>
      <c r="B5550" s="59" t="s">
        <v>21114</v>
      </c>
      <c r="C5550" s="147" t="s">
        <v>20221</v>
      </c>
      <c r="D5550" s="284" t="s">
        <v>897</v>
      </c>
      <c r="E5550" s="178">
        <v>2003</v>
      </c>
      <c r="F5550" s="178" t="s">
        <v>4520</v>
      </c>
      <c r="G5550" s="496"/>
      <c r="H5550" s="994" t="s">
        <v>20221</v>
      </c>
      <c r="I5550" s="11" t="s">
        <v>7638</v>
      </c>
      <c r="J5550" s="1285"/>
      <c r="K5550" s="1285"/>
      <c r="L5550" s="1285"/>
    </row>
    <row r="5551" spans="1:12" ht="11.15" customHeight="1">
      <c r="A5551" s="162" t="s">
        <v>7635</v>
      </c>
      <c r="B5551" s="59" t="s">
        <v>21063</v>
      </c>
      <c r="C5551" s="147" t="s">
        <v>20221</v>
      </c>
      <c r="D5551" s="284" t="s">
        <v>897</v>
      </c>
      <c r="E5551" s="178">
        <v>1978</v>
      </c>
      <c r="F5551" s="178" t="s">
        <v>4520</v>
      </c>
      <c r="G5551" s="496"/>
      <c r="H5551" s="994" t="s">
        <v>20224</v>
      </c>
      <c r="I5551" s="11" t="s">
        <v>7640</v>
      </c>
      <c r="J5551" s="1285"/>
      <c r="K5551" s="1285"/>
      <c r="L5551" s="1285"/>
    </row>
    <row r="5552" spans="1:12" ht="11.15" customHeight="1">
      <c r="A5552" s="162" t="s">
        <v>7637</v>
      </c>
      <c r="B5552" s="59" t="s">
        <v>21063</v>
      </c>
      <c r="C5552" s="147" t="s">
        <v>20221</v>
      </c>
      <c r="D5552" s="284" t="s">
        <v>897</v>
      </c>
      <c r="E5552" s="178">
        <v>1976</v>
      </c>
      <c r="F5552" s="178" t="s">
        <v>4520</v>
      </c>
      <c r="G5552" s="496"/>
      <c r="H5552" s="994" t="s">
        <v>20224</v>
      </c>
      <c r="I5552" s="11" t="s">
        <v>7642</v>
      </c>
      <c r="J5552" s="1285"/>
      <c r="K5552" s="1285"/>
      <c r="L5552" s="1285"/>
    </row>
    <row r="5553" spans="1:12" ht="11.15" customHeight="1">
      <c r="A5553" s="129" t="s">
        <v>7639</v>
      </c>
      <c r="B5553" s="154" t="s">
        <v>6506</v>
      </c>
      <c r="C5553" s="147"/>
      <c r="D5553" s="159"/>
      <c r="E5553" s="36"/>
      <c r="F5553" s="178"/>
      <c r="G5553" s="496"/>
      <c r="H5553" s="36"/>
      <c r="I5553" s="11"/>
    </row>
    <row r="5554" spans="1:12" ht="11.15" customHeight="1">
      <c r="A5554" s="162" t="s">
        <v>7641</v>
      </c>
      <c r="B5554" s="59" t="s">
        <v>21196</v>
      </c>
      <c r="C5554" s="147" t="s">
        <v>20221</v>
      </c>
      <c r="D5554" s="284" t="s">
        <v>897</v>
      </c>
      <c r="E5554" s="178">
        <v>2012</v>
      </c>
      <c r="F5554" s="178" t="s">
        <v>11931</v>
      </c>
      <c r="G5554" s="496"/>
      <c r="H5554" s="994" t="s">
        <v>20224</v>
      </c>
      <c r="I5554" s="11" t="s">
        <v>7645</v>
      </c>
      <c r="J5554" s="1285"/>
      <c r="K5554" s="1285"/>
      <c r="L5554" s="1285"/>
    </row>
    <row r="5555" spans="1:12" ht="11.15" customHeight="1">
      <c r="A5555" s="162" t="s">
        <v>7643</v>
      </c>
      <c r="B5555" s="59" t="s">
        <v>21197</v>
      </c>
      <c r="C5555" s="147" t="s">
        <v>20221</v>
      </c>
      <c r="D5555" s="284" t="s">
        <v>897</v>
      </c>
      <c r="E5555" s="178">
        <v>2012</v>
      </c>
      <c r="F5555" s="178" t="s">
        <v>11931</v>
      </c>
      <c r="G5555" s="496"/>
      <c r="H5555" s="994" t="s">
        <v>20224</v>
      </c>
      <c r="I5555" s="11" t="s">
        <v>7647</v>
      </c>
      <c r="J5555" s="1285"/>
      <c r="K5555" s="1285"/>
      <c r="L5555" s="1285"/>
    </row>
    <row r="5556" spans="1:12" ht="11.15" customHeight="1">
      <c r="A5556" s="162" t="s">
        <v>7644</v>
      </c>
      <c r="B5556" s="59" t="s">
        <v>21198</v>
      </c>
      <c r="C5556" s="147" t="s">
        <v>20221</v>
      </c>
      <c r="D5556" s="284" t="s">
        <v>897</v>
      </c>
      <c r="E5556" s="178">
        <v>2012</v>
      </c>
      <c r="F5556" s="178" t="s">
        <v>11931</v>
      </c>
      <c r="G5556" s="496"/>
      <c r="H5556" s="994" t="s">
        <v>20224</v>
      </c>
      <c r="I5556" s="11" t="s">
        <v>7649</v>
      </c>
      <c r="J5556" s="1285"/>
      <c r="K5556" s="1285"/>
      <c r="L5556" s="1285"/>
    </row>
    <row r="5557" spans="1:12" ht="11.15" customHeight="1">
      <c r="A5557" s="162" t="s">
        <v>7646</v>
      </c>
      <c r="B5557" s="185"/>
      <c r="C5557" s="147"/>
      <c r="D5557" s="185"/>
      <c r="E5557" s="185"/>
      <c r="F5557" s="185"/>
      <c r="G5557" s="185"/>
      <c r="H5557" s="185"/>
      <c r="I5557" s="11"/>
    </row>
    <row r="5558" spans="1:12" ht="11.15" customHeight="1">
      <c r="A5558" s="162" t="s">
        <v>7648</v>
      </c>
      <c r="B5558" s="185"/>
      <c r="C5558" s="147"/>
      <c r="D5558" s="185"/>
      <c r="E5558" s="185"/>
      <c r="F5558" s="185"/>
      <c r="G5558" s="185"/>
      <c r="H5558" s="185"/>
      <c r="I5558" s="11"/>
    </row>
    <row r="5559" spans="1:12" ht="11.15" customHeight="1">
      <c r="A5559" s="162" t="s">
        <v>7650</v>
      </c>
      <c r="B5559" s="185"/>
      <c r="C5559" s="147"/>
      <c r="D5559" s="185"/>
      <c r="E5559" s="185"/>
      <c r="F5559" s="185"/>
      <c r="G5559" s="185"/>
      <c r="H5559" s="185"/>
      <c r="I5559" s="11"/>
    </row>
    <row r="5560" spans="1:12" ht="11.15" customHeight="1">
      <c r="A5560" s="162" t="s">
        <v>7651</v>
      </c>
      <c r="B5560" s="185"/>
      <c r="C5560" s="147"/>
      <c r="D5560" s="185"/>
      <c r="E5560" s="185"/>
      <c r="F5560" s="185"/>
      <c r="G5560" s="185"/>
      <c r="H5560" s="185"/>
      <c r="I5560" s="11"/>
    </row>
    <row r="5561" spans="1:12" ht="11.15" customHeight="1">
      <c r="A5561" s="162" t="s">
        <v>7652</v>
      </c>
      <c r="B5561" s="185"/>
      <c r="C5561" s="147"/>
      <c r="D5561" s="185"/>
      <c r="E5561" s="185"/>
      <c r="F5561" s="185"/>
      <c r="G5561" s="185"/>
      <c r="H5561" s="185"/>
      <c r="I5561" s="11"/>
    </row>
    <row r="5562" spans="1:12" ht="11.15" customHeight="1">
      <c r="A5562" s="166" t="s">
        <v>7653</v>
      </c>
      <c r="B5562" s="185"/>
      <c r="C5562" s="147"/>
      <c r="D5562" s="185"/>
      <c r="E5562" s="185"/>
      <c r="F5562" s="185"/>
      <c r="G5562" s="185"/>
      <c r="H5562" s="185"/>
      <c r="I5562" s="11"/>
    </row>
    <row r="5563" spans="1:12" ht="11.15" customHeight="1">
      <c r="A5563" s="481" t="s">
        <v>7654</v>
      </c>
      <c r="B5563" s="185"/>
      <c r="C5563" s="147"/>
      <c r="D5563" s="185"/>
      <c r="E5563" s="185"/>
      <c r="F5563" s="185"/>
      <c r="G5563" s="185"/>
      <c r="H5563" s="185"/>
      <c r="I5563" s="11"/>
    </row>
    <row r="5564" spans="1:12" ht="11.15" customHeight="1">
      <c r="A5564" s="29"/>
      <c r="B5564" s="185"/>
      <c r="C5564" s="147"/>
      <c r="D5564" s="185"/>
      <c r="E5564" s="185"/>
      <c r="F5564" s="185"/>
      <c r="G5564" s="185"/>
      <c r="H5564" s="185"/>
      <c r="I5564" s="11"/>
    </row>
    <row r="5565" spans="1:12" ht="11.15" customHeight="1" thickBot="1">
      <c r="A5565" s="484"/>
      <c r="B5565" s="209" t="s">
        <v>7655</v>
      </c>
      <c r="C5565" s="147"/>
      <c r="D5565" s="122"/>
      <c r="E5565" s="36"/>
      <c r="F5565" s="178"/>
      <c r="G5565" s="60"/>
      <c r="H5565" s="36"/>
      <c r="I5565" s="11"/>
    </row>
    <row r="5566" spans="1:12" ht="11.15" customHeight="1" thickBot="1">
      <c r="A5566" s="184" t="s">
        <v>7656</v>
      </c>
      <c r="B5566" s="154" t="s">
        <v>7440</v>
      </c>
      <c r="C5566" s="147"/>
      <c r="D5566" s="129"/>
      <c r="E5566" s="185"/>
      <c r="F5566" s="185"/>
      <c r="G5566" s="185"/>
      <c r="H5566" s="185"/>
      <c r="I5566" s="11"/>
    </row>
    <row r="5567" spans="1:12" ht="11.15" customHeight="1">
      <c r="A5567" s="29" t="s">
        <v>7657</v>
      </c>
      <c r="B5567" s="59" t="s">
        <v>20877</v>
      </c>
      <c r="C5567" s="147" t="s">
        <v>20221</v>
      </c>
      <c r="D5567" s="701" t="s">
        <v>1129</v>
      </c>
      <c r="E5567" s="178">
        <v>2023</v>
      </c>
      <c r="F5567" s="178" t="s">
        <v>4520</v>
      </c>
      <c r="G5567" s="496"/>
      <c r="H5567" s="994" t="s">
        <v>20221</v>
      </c>
      <c r="I5567" s="11" t="s">
        <v>7658</v>
      </c>
      <c r="J5567" s="1285"/>
      <c r="K5567" s="1285"/>
      <c r="L5567" s="1285"/>
    </row>
    <row r="5568" spans="1:12" ht="11.15" customHeight="1">
      <c r="A5568" s="29" t="s">
        <v>7659</v>
      </c>
      <c r="B5568" s="59" t="s">
        <v>21199</v>
      </c>
      <c r="C5568" s="147" t="s">
        <v>20221</v>
      </c>
      <c r="D5568" s="701" t="s">
        <v>1129</v>
      </c>
      <c r="E5568" s="178">
        <v>2023</v>
      </c>
      <c r="F5568" s="178" t="s">
        <v>4520</v>
      </c>
      <c r="G5568" s="496"/>
      <c r="H5568" s="994" t="s">
        <v>20221</v>
      </c>
      <c r="I5568" s="11" t="s">
        <v>7661</v>
      </c>
      <c r="J5568" s="1285"/>
      <c r="K5568" s="1285"/>
      <c r="L5568" s="1285"/>
    </row>
    <row r="5569" spans="1:12" ht="11.15" customHeight="1">
      <c r="A5569" s="29" t="s">
        <v>7660</v>
      </c>
      <c r="B5569" s="154" t="s">
        <v>1398</v>
      </c>
      <c r="C5569" s="147"/>
      <c r="D5569" s="159"/>
      <c r="E5569" s="36"/>
      <c r="F5569" s="178"/>
      <c r="G5569" s="496"/>
      <c r="H5569" s="36"/>
      <c r="I5569" s="11"/>
    </row>
    <row r="5570" spans="1:12" ht="11.15" customHeight="1">
      <c r="A5570" s="181" t="s">
        <v>7662</v>
      </c>
      <c r="B5570" s="59" t="s">
        <v>21200</v>
      </c>
      <c r="C5570" s="147" t="s">
        <v>20221</v>
      </c>
      <c r="D5570" s="284" t="s">
        <v>897</v>
      </c>
      <c r="E5570" s="178">
        <v>2019</v>
      </c>
      <c r="F5570" s="178" t="s">
        <v>4520</v>
      </c>
      <c r="G5570" s="496"/>
      <c r="H5570" s="994" t="s">
        <v>20221</v>
      </c>
      <c r="I5570" s="11" t="s">
        <v>7664</v>
      </c>
      <c r="J5570" s="1285"/>
      <c r="K5570" s="1285"/>
      <c r="L5570" s="1285"/>
    </row>
    <row r="5571" spans="1:12" ht="11.15" customHeight="1">
      <c r="A5571" s="29" t="s">
        <v>7663</v>
      </c>
      <c r="B5571" s="59" t="s">
        <v>21200</v>
      </c>
      <c r="C5571" s="147" t="s">
        <v>20221</v>
      </c>
      <c r="D5571" s="284" t="s">
        <v>897</v>
      </c>
      <c r="E5571" s="178">
        <v>1990</v>
      </c>
      <c r="F5571" s="178" t="s">
        <v>23395</v>
      </c>
      <c r="G5571" s="496"/>
      <c r="H5571" s="994" t="s">
        <v>20224</v>
      </c>
      <c r="I5571" s="11" t="s">
        <v>7666</v>
      </c>
      <c r="J5571" s="1285"/>
      <c r="K5571" s="1285"/>
      <c r="L5571" s="1285"/>
    </row>
    <row r="5572" spans="1:12" ht="11.15" customHeight="1">
      <c r="A5572" s="29" t="s">
        <v>7665</v>
      </c>
      <c r="B5572" s="185"/>
      <c r="C5572" s="147"/>
      <c r="D5572" s="185"/>
      <c r="E5572" s="185"/>
      <c r="F5572" s="185"/>
      <c r="G5572" s="185"/>
      <c r="H5572" s="185"/>
      <c r="I5572" s="11"/>
    </row>
    <row r="5573" spans="1:12" ht="11.15" customHeight="1">
      <c r="A5573" s="29" t="s">
        <v>7667</v>
      </c>
      <c r="B5573" s="5"/>
      <c r="C5573" s="5"/>
      <c r="D5573" s="5"/>
      <c r="E5573" s="5"/>
      <c r="F5573" s="5"/>
      <c r="G5573" s="5"/>
      <c r="H5573" s="5"/>
      <c r="I5573" s="5"/>
      <c r="J5573" s="5"/>
    </row>
    <row r="5574" spans="1:12" ht="11.15" customHeight="1">
      <c r="A5574" s="29" t="s">
        <v>7668</v>
      </c>
      <c r="B5574" s="185"/>
      <c r="C5574" s="147"/>
      <c r="D5574" s="185"/>
      <c r="E5574" s="185"/>
      <c r="F5574" s="185"/>
      <c r="G5574" s="185"/>
      <c r="H5574" s="185"/>
      <c r="I5574" s="11"/>
    </row>
    <row r="5575" spans="1:12" ht="11.15" customHeight="1">
      <c r="A5575" s="181" t="s">
        <v>7669</v>
      </c>
      <c r="B5575" s="185"/>
      <c r="C5575" s="147"/>
      <c r="D5575" s="185"/>
      <c r="E5575" s="185"/>
      <c r="F5575" s="185"/>
      <c r="G5575" s="185"/>
      <c r="H5575" s="185"/>
      <c r="I5575" s="11"/>
    </row>
    <row r="5576" spans="1:12" ht="11.15" customHeight="1">
      <c r="A5576" s="129" t="s">
        <v>903</v>
      </c>
      <c r="B5576" s="185"/>
      <c r="C5576" s="147"/>
      <c r="D5576" s="185"/>
      <c r="E5576" s="185"/>
      <c r="F5576" s="185"/>
      <c r="G5576" s="185"/>
      <c r="H5576" s="185"/>
      <c r="I5576" s="11"/>
    </row>
    <row r="5577" spans="1:12" ht="11.15" customHeight="1">
      <c r="A5577" s="162" t="s">
        <v>7670</v>
      </c>
      <c r="B5577" s="185"/>
      <c r="C5577" s="147"/>
      <c r="D5577" s="185"/>
      <c r="E5577" s="185"/>
      <c r="F5577" s="185"/>
      <c r="G5577" s="185"/>
      <c r="H5577" s="185"/>
      <c r="I5577" s="11"/>
    </row>
    <row r="5578" spans="1:12" ht="11.15" customHeight="1">
      <c r="A5578" s="162" t="s">
        <v>7671</v>
      </c>
      <c r="B5578" s="185"/>
      <c r="C5578" s="147"/>
      <c r="D5578" s="185"/>
      <c r="E5578" s="185"/>
      <c r="F5578" s="185"/>
      <c r="G5578" s="185"/>
      <c r="H5578" s="185"/>
      <c r="I5578" s="11"/>
    </row>
    <row r="5579" spans="1:12" ht="11.15" customHeight="1">
      <c r="A5579" s="162" t="s">
        <v>7672</v>
      </c>
      <c r="B5579" s="185"/>
      <c r="C5579" s="147"/>
      <c r="D5579" s="185"/>
      <c r="E5579" s="185"/>
      <c r="F5579" s="185"/>
      <c r="G5579" s="185"/>
      <c r="H5579" s="185"/>
      <c r="I5579" s="11"/>
    </row>
    <row r="5580" spans="1:12" ht="11.15" customHeight="1">
      <c r="A5580" s="162" t="s">
        <v>7673</v>
      </c>
      <c r="B5580" s="185"/>
      <c r="C5580" s="147"/>
      <c r="D5580" s="185"/>
      <c r="E5580" s="185"/>
      <c r="F5580" s="185"/>
      <c r="G5580" s="185"/>
      <c r="H5580" s="185"/>
      <c r="I5580" s="11"/>
    </row>
    <row r="5581" spans="1:12" ht="11.15" customHeight="1">
      <c r="A5581" s="162" t="s">
        <v>7674</v>
      </c>
      <c r="B5581" s="185"/>
      <c r="C5581" s="147"/>
      <c r="D5581" s="185"/>
      <c r="E5581" s="185"/>
      <c r="F5581" s="185"/>
      <c r="G5581" s="185"/>
      <c r="H5581" s="185"/>
      <c r="I5581" s="11"/>
    </row>
    <row r="5582" spans="1:12" ht="11.15" customHeight="1">
      <c r="A5582" s="162" t="s">
        <v>7675</v>
      </c>
      <c r="B5582" s="185"/>
      <c r="C5582" s="147"/>
      <c r="D5582" s="185"/>
      <c r="E5582" s="185"/>
      <c r="F5582" s="185"/>
      <c r="G5582" s="185"/>
      <c r="H5582" s="185"/>
      <c r="I5582" s="11"/>
    </row>
    <row r="5583" spans="1:12" ht="11.15" customHeight="1">
      <c r="A5583" s="162" t="s">
        <v>7676</v>
      </c>
      <c r="B5583" s="185"/>
      <c r="C5583" s="147"/>
      <c r="D5583" s="185"/>
      <c r="E5583" s="185"/>
      <c r="F5583" s="185"/>
      <c r="G5583" s="185"/>
      <c r="H5583" s="185"/>
      <c r="I5583" s="11"/>
    </row>
    <row r="5584" spans="1:12" ht="11.15" customHeight="1">
      <c r="A5584" s="162" t="s">
        <v>7677</v>
      </c>
      <c r="B5584" s="185"/>
      <c r="C5584" s="147"/>
      <c r="D5584" s="185"/>
      <c r="E5584" s="185"/>
      <c r="F5584" s="185"/>
      <c r="G5584" s="185"/>
      <c r="H5584" s="185"/>
      <c r="I5584" s="11"/>
    </row>
    <row r="5585" spans="1:9" ht="11.15" customHeight="1">
      <c r="A5585" s="162" t="s">
        <v>7678</v>
      </c>
      <c r="B5585" s="185"/>
      <c r="C5585" s="147"/>
      <c r="D5585" s="185"/>
      <c r="E5585" s="185"/>
      <c r="F5585" s="185"/>
      <c r="G5585" s="185"/>
      <c r="H5585" s="185"/>
      <c r="I5585" s="11"/>
    </row>
    <row r="5586" spans="1:9" ht="11.15" customHeight="1">
      <c r="A5586" s="129" t="s">
        <v>6076</v>
      </c>
      <c r="B5586" s="185"/>
      <c r="C5586" s="147"/>
      <c r="D5586" s="185"/>
      <c r="E5586" s="185"/>
      <c r="F5586" s="185"/>
      <c r="G5586" s="185"/>
      <c r="H5586" s="185"/>
      <c r="I5586" s="11"/>
    </row>
    <row r="5587" spans="1:9" ht="11.15" customHeight="1">
      <c r="A5587" s="162" t="s">
        <v>7679</v>
      </c>
      <c r="B5587" s="90"/>
      <c r="C5587" s="147"/>
      <c r="D5587" s="161"/>
      <c r="E5587" s="36"/>
      <c r="F5587" s="178"/>
      <c r="G5587" s="1217"/>
      <c r="H5587" s="36"/>
      <c r="I5587" s="11"/>
    </row>
    <row r="5588" spans="1:9" ht="11.15" customHeight="1">
      <c r="A5588" s="162" t="s">
        <v>7680</v>
      </c>
      <c r="B5588" s="90"/>
      <c r="C5588" s="147"/>
      <c r="D5588" s="161"/>
      <c r="E5588" s="36"/>
      <c r="F5588" s="178"/>
      <c r="G5588" s="1217"/>
      <c r="H5588" s="36"/>
      <c r="I5588" s="11"/>
    </row>
    <row r="5589" spans="1:9" ht="11.15" customHeight="1">
      <c r="A5589" s="162" t="s">
        <v>7681</v>
      </c>
      <c r="B5589" s="90"/>
      <c r="C5589" s="147"/>
      <c r="D5589" s="161"/>
      <c r="E5589" s="36"/>
      <c r="F5589" s="178"/>
      <c r="G5589" s="1217"/>
      <c r="H5589" s="36"/>
      <c r="I5589" s="11"/>
    </row>
    <row r="5590" spans="1:9" ht="11.15" customHeight="1">
      <c r="A5590" s="162" t="s">
        <v>7682</v>
      </c>
      <c r="B5590" s="90"/>
      <c r="C5590" s="147"/>
      <c r="D5590" s="161"/>
      <c r="E5590" s="36"/>
      <c r="F5590" s="178"/>
      <c r="G5590" s="1217"/>
      <c r="H5590" s="36"/>
      <c r="I5590" s="11"/>
    </row>
    <row r="5591" spans="1:9" ht="11.15" customHeight="1">
      <c r="A5591" s="212" t="s">
        <v>7683</v>
      </c>
      <c r="B5591" s="90"/>
      <c r="C5591" s="147"/>
      <c r="D5591" s="161"/>
      <c r="E5591" s="36"/>
      <c r="F5591" s="178"/>
      <c r="G5591" s="1217"/>
      <c r="H5591" s="36"/>
      <c r="I5591" s="11"/>
    </row>
    <row r="5592" spans="1:9" ht="11.15" customHeight="1">
      <c r="A5592" s="481" t="s">
        <v>7684</v>
      </c>
      <c r="B5592" s="90"/>
      <c r="C5592" s="147"/>
      <c r="D5592" s="161"/>
      <c r="E5592" s="36"/>
      <c r="F5592" s="178"/>
      <c r="G5592" s="1217"/>
      <c r="H5592" s="36"/>
      <c r="I5592" s="11"/>
    </row>
    <row r="5593" spans="1:9" ht="11.15" customHeight="1">
      <c r="A5593" s="29"/>
      <c r="B5593" s="185"/>
      <c r="C5593" s="147"/>
      <c r="D5593" s="161"/>
      <c r="E5593" s="36"/>
      <c r="F5593" s="178"/>
      <c r="G5593" s="1217"/>
      <c r="H5593" s="36"/>
      <c r="I5593" s="11"/>
    </row>
    <row r="5594" spans="1:9" ht="9" customHeight="1">
      <c r="A5594" s="484"/>
      <c r="B5594" s="413" t="s">
        <v>7685</v>
      </c>
      <c r="C5594" s="147"/>
      <c r="D5594" s="161"/>
      <c r="E5594" s="36"/>
      <c r="F5594" s="178"/>
      <c r="G5594" s="1217"/>
      <c r="H5594" s="36"/>
      <c r="I5594" s="11"/>
    </row>
    <row r="5595" spans="1:9" ht="9" customHeight="1">
      <c r="A5595" s="29"/>
      <c r="B5595" s="150" t="s">
        <v>7686</v>
      </c>
      <c r="C5595" s="147"/>
      <c r="D5595" s="161"/>
      <c r="E5595" s="36"/>
      <c r="F5595" s="178"/>
      <c r="G5595" s="1217"/>
      <c r="H5595" s="36"/>
      <c r="I5595" s="11"/>
    </row>
    <row r="5596" spans="1:9" ht="9" customHeight="1">
      <c r="A5596" s="29"/>
      <c r="B5596" s="150" t="s">
        <v>7687</v>
      </c>
      <c r="C5596" s="147"/>
      <c r="D5596" s="161"/>
      <c r="E5596" s="36"/>
      <c r="F5596" s="178"/>
      <c r="G5596" s="1217"/>
      <c r="H5596" s="36"/>
      <c r="I5596" s="11"/>
    </row>
    <row r="5597" spans="1:9" ht="9" customHeight="1">
      <c r="A5597" s="29"/>
      <c r="B5597" s="150" t="s">
        <v>7688</v>
      </c>
      <c r="C5597" s="147"/>
      <c r="D5597" s="161"/>
      <c r="E5597" s="36"/>
      <c r="F5597" s="178"/>
      <c r="G5597" s="1217"/>
      <c r="H5597" s="36"/>
      <c r="I5597" s="11"/>
    </row>
    <row r="5598" spans="1:9" ht="9" customHeight="1">
      <c r="A5598" s="185"/>
      <c r="B5598" s="150" t="s">
        <v>7689</v>
      </c>
      <c r="C5598" s="147"/>
      <c r="D5598" s="161"/>
      <c r="E5598" s="36"/>
      <c r="F5598" s="178"/>
      <c r="G5598" s="1217"/>
      <c r="H5598" s="36"/>
      <c r="I5598" s="11"/>
    </row>
    <row r="5599" spans="1:9" ht="9" customHeight="1" thickBot="1">
      <c r="A5599" s="29"/>
      <c r="B5599" s="150" t="s">
        <v>7690</v>
      </c>
      <c r="C5599" s="147"/>
      <c r="D5599" s="161"/>
      <c r="E5599" s="36"/>
      <c r="F5599" s="178"/>
      <c r="G5599" s="1217"/>
      <c r="H5599" s="36"/>
      <c r="I5599" s="11"/>
    </row>
    <row r="5600" spans="1:9" ht="11.15" customHeight="1">
      <c r="A5600" s="153" t="s">
        <v>7691</v>
      </c>
      <c r="B5600" s="177" t="s">
        <v>7692</v>
      </c>
      <c r="C5600" s="147"/>
      <c r="D5600" s="122"/>
      <c r="E5600" s="36"/>
      <c r="F5600" s="178"/>
      <c r="G5600" s="453"/>
      <c r="H5600" s="36"/>
      <c r="I5600" s="11"/>
    </row>
    <row r="5601" spans="1:12" ht="11.15" customHeight="1" thickBot="1">
      <c r="A5601" s="230" t="s">
        <v>7693</v>
      </c>
      <c r="B5601" s="59" t="s">
        <v>21202</v>
      </c>
      <c r="C5601" s="147" t="s">
        <v>20221</v>
      </c>
      <c r="D5601" s="701" t="s">
        <v>1129</v>
      </c>
      <c r="E5601" s="178">
        <v>2021</v>
      </c>
      <c r="F5601" s="178" t="s">
        <v>4520</v>
      </c>
      <c r="G5601" s="496"/>
      <c r="H5601" s="994" t="s">
        <v>20221</v>
      </c>
      <c r="I5601" s="11" t="s">
        <v>7694</v>
      </c>
      <c r="J5601" s="1285"/>
      <c r="K5601" s="1285"/>
      <c r="L5601" s="1285"/>
    </row>
    <row r="5602" spans="1:12" ht="11.15" customHeight="1">
      <c r="A5602" s="29" t="s">
        <v>7695</v>
      </c>
      <c r="B5602" s="59" t="s">
        <v>21202</v>
      </c>
      <c r="C5602" s="147" t="s">
        <v>20221</v>
      </c>
      <c r="D5602" s="701" t="s">
        <v>1129</v>
      </c>
      <c r="E5602" s="178">
        <v>2020</v>
      </c>
      <c r="F5602" s="178" t="s">
        <v>4520</v>
      </c>
      <c r="G5602" s="496"/>
      <c r="H5602" s="994" t="s">
        <v>20221</v>
      </c>
      <c r="I5602" s="11" t="s">
        <v>7696</v>
      </c>
      <c r="J5602" s="1285"/>
      <c r="K5602" s="1285"/>
      <c r="L5602" s="1285"/>
    </row>
    <row r="5603" spans="1:12" ht="11.15" customHeight="1">
      <c r="A5603" s="29" t="s">
        <v>7697</v>
      </c>
      <c r="B5603" s="59" t="s">
        <v>21202</v>
      </c>
      <c r="C5603" s="147" t="s">
        <v>20221</v>
      </c>
      <c r="D5603" s="701" t="s">
        <v>1129</v>
      </c>
      <c r="E5603" s="178">
        <v>2018</v>
      </c>
      <c r="F5603" s="178" t="s">
        <v>23395</v>
      </c>
      <c r="G5603" s="496"/>
      <c r="H5603" s="994" t="s">
        <v>20221</v>
      </c>
      <c r="I5603" s="11" t="s">
        <v>7698</v>
      </c>
      <c r="J5603" s="1285"/>
      <c r="K5603" s="1285"/>
      <c r="L5603" s="1285"/>
    </row>
    <row r="5604" spans="1:12" ht="11.15" customHeight="1">
      <c r="A5604" s="29" t="s">
        <v>7699</v>
      </c>
      <c r="B5604" s="59" t="s">
        <v>21202</v>
      </c>
      <c r="C5604" s="147" t="s">
        <v>20221</v>
      </c>
      <c r="D5604" s="701" t="s">
        <v>1129</v>
      </c>
      <c r="E5604" s="178">
        <v>2017</v>
      </c>
      <c r="F5604" s="178" t="s">
        <v>4520</v>
      </c>
      <c r="G5604" s="496"/>
      <c r="H5604" s="994" t="s">
        <v>20221</v>
      </c>
      <c r="I5604" s="11" t="s">
        <v>7700</v>
      </c>
      <c r="J5604" s="1285"/>
      <c r="K5604" s="1285"/>
      <c r="L5604" s="1285"/>
    </row>
    <row r="5605" spans="1:12" ht="11.15" customHeight="1">
      <c r="A5605" s="29" t="s">
        <v>7701</v>
      </c>
      <c r="B5605" s="59" t="s">
        <v>21203</v>
      </c>
      <c r="C5605" s="147" t="s">
        <v>20221</v>
      </c>
      <c r="D5605" s="701" t="s">
        <v>1129</v>
      </c>
      <c r="E5605" s="178">
        <v>2022</v>
      </c>
      <c r="F5605" s="178" t="s">
        <v>4520</v>
      </c>
      <c r="G5605" s="496"/>
      <c r="H5605" s="994" t="s">
        <v>20221</v>
      </c>
      <c r="I5605" s="11" t="s">
        <v>7702</v>
      </c>
      <c r="J5605" s="1285"/>
      <c r="K5605" s="1285"/>
      <c r="L5605" s="1285"/>
    </row>
    <row r="5606" spans="1:12" ht="11.15" customHeight="1">
      <c r="A5606" s="29" t="s">
        <v>7703</v>
      </c>
      <c r="B5606" s="59" t="s">
        <v>21203</v>
      </c>
      <c r="C5606" s="147" t="s">
        <v>20221</v>
      </c>
      <c r="D5606" s="701" t="s">
        <v>1129</v>
      </c>
      <c r="E5606" s="178">
        <v>2021</v>
      </c>
      <c r="F5606" s="178" t="s">
        <v>4520</v>
      </c>
      <c r="G5606" s="496"/>
      <c r="H5606" s="994" t="s">
        <v>20221</v>
      </c>
      <c r="I5606" s="11" t="s">
        <v>7704</v>
      </c>
      <c r="J5606" s="1285"/>
      <c r="K5606" s="1285"/>
      <c r="L5606" s="1285"/>
    </row>
    <row r="5607" spans="1:12" ht="11.15" customHeight="1">
      <c r="A5607" s="181" t="s">
        <v>972</v>
      </c>
      <c r="B5607" s="59" t="s">
        <v>21203</v>
      </c>
      <c r="C5607" s="147" t="s">
        <v>20221</v>
      </c>
      <c r="D5607" s="701" t="s">
        <v>1129</v>
      </c>
      <c r="E5607" s="178">
        <v>2020</v>
      </c>
      <c r="F5607" s="178" t="s">
        <v>4520</v>
      </c>
      <c r="G5607" s="496"/>
      <c r="H5607" s="994" t="s">
        <v>20221</v>
      </c>
      <c r="I5607" s="11" t="s">
        <v>7705</v>
      </c>
      <c r="J5607" s="1285"/>
      <c r="K5607" s="1285"/>
      <c r="L5607" s="1285"/>
    </row>
    <row r="5608" spans="1:12" ht="11.15" customHeight="1">
      <c r="A5608" s="181" t="s">
        <v>2536</v>
      </c>
      <c r="B5608" s="59" t="s">
        <v>21203</v>
      </c>
      <c r="C5608" s="147" t="s">
        <v>20221</v>
      </c>
      <c r="D5608" s="701" t="s">
        <v>1129</v>
      </c>
      <c r="E5608" s="178">
        <v>2019</v>
      </c>
      <c r="F5608" s="178" t="s">
        <v>4520</v>
      </c>
      <c r="G5608" s="496"/>
      <c r="H5608" s="994" t="s">
        <v>20221</v>
      </c>
      <c r="I5608" s="11" t="s">
        <v>7706</v>
      </c>
      <c r="J5608" s="1285"/>
      <c r="K5608" s="1285"/>
      <c r="L5608" s="1285"/>
    </row>
    <row r="5609" spans="1:12" ht="11.15" customHeight="1">
      <c r="A5609" s="129" t="s">
        <v>1308</v>
      </c>
      <c r="B5609" s="59" t="s">
        <v>21203</v>
      </c>
      <c r="C5609" s="147" t="s">
        <v>20221</v>
      </c>
      <c r="D5609" s="701" t="s">
        <v>1129</v>
      </c>
      <c r="E5609" s="178">
        <v>2018</v>
      </c>
      <c r="F5609" s="178" t="s">
        <v>4520</v>
      </c>
      <c r="G5609" s="496"/>
      <c r="H5609" s="994" t="s">
        <v>20221</v>
      </c>
      <c r="I5609" s="11" t="s">
        <v>7707</v>
      </c>
      <c r="J5609" s="1285"/>
      <c r="K5609" s="1285"/>
      <c r="L5609" s="1285"/>
    </row>
    <row r="5610" spans="1:12" ht="11.15" customHeight="1">
      <c r="A5610" s="162" t="s">
        <v>7708</v>
      </c>
      <c r="B5610" s="177" t="s">
        <v>7709</v>
      </c>
      <c r="C5610" s="147"/>
      <c r="D5610" s="122"/>
      <c r="E5610" s="36"/>
      <c r="F5610" s="178"/>
      <c r="G5610" s="453"/>
      <c r="H5610" s="36"/>
      <c r="I5610" s="11"/>
    </row>
    <row r="5611" spans="1:12" ht="11.15" customHeight="1">
      <c r="A5611" s="162" t="s">
        <v>7710</v>
      </c>
      <c r="B5611" s="59" t="s">
        <v>21204</v>
      </c>
      <c r="C5611" s="147" t="s">
        <v>20221</v>
      </c>
      <c r="D5611" s="701" t="s">
        <v>1129</v>
      </c>
      <c r="E5611" s="178">
        <v>2022</v>
      </c>
      <c r="F5611" s="178" t="s">
        <v>23394</v>
      </c>
      <c r="G5611" s="496"/>
      <c r="H5611" s="994" t="s">
        <v>20221</v>
      </c>
      <c r="I5611" s="11" t="s">
        <v>7711</v>
      </c>
      <c r="J5611" s="1285"/>
      <c r="K5611" s="1285"/>
      <c r="L5611" s="1285"/>
    </row>
    <row r="5612" spans="1:12" ht="11.15" customHeight="1">
      <c r="A5612" s="162" t="s">
        <v>7712</v>
      </c>
      <c r="B5612" s="59" t="s">
        <v>21204</v>
      </c>
      <c r="C5612" s="147" t="s">
        <v>20221</v>
      </c>
      <c r="D5612" s="701" t="s">
        <v>1129</v>
      </c>
      <c r="E5612" s="178">
        <v>2001</v>
      </c>
      <c r="F5612" s="178" t="s">
        <v>23395</v>
      </c>
      <c r="G5612" s="496"/>
      <c r="H5612" s="994" t="s">
        <v>20277</v>
      </c>
      <c r="I5612" s="11" t="s">
        <v>7713</v>
      </c>
      <c r="J5612" s="1285"/>
      <c r="K5612" s="1285"/>
      <c r="L5612" s="1285"/>
    </row>
    <row r="5613" spans="1:12" ht="11.15" customHeight="1">
      <c r="A5613" s="162" t="s">
        <v>7714</v>
      </c>
      <c r="B5613" s="177" t="s">
        <v>7715</v>
      </c>
      <c r="C5613" s="147"/>
      <c r="D5613" s="122"/>
      <c r="E5613" s="36"/>
      <c r="F5613" s="178"/>
      <c r="G5613" s="453"/>
      <c r="H5613" s="36"/>
      <c r="I5613" s="11"/>
    </row>
    <row r="5614" spans="1:12" ht="11.15" customHeight="1">
      <c r="A5614" s="162" t="s">
        <v>7716</v>
      </c>
      <c r="B5614" s="59" t="s">
        <v>21205</v>
      </c>
      <c r="C5614" s="147" t="s">
        <v>20221</v>
      </c>
      <c r="D5614" s="284" t="s">
        <v>897</v>
      </c>
      <c r="E5614" s="178">
        <v>2020</v>
      </c>
      <c r="F5614" s="178" t="s">
        <v>4520</v>
      </c>
      <c r="G5614" s="496"/>
      <c r="H5614" s="994" t="s">
        <v>20221</v>
      </c>
      <c r="I5614" s="11" t="s">
        <v>7717</v>
      </c>
      <c r="J5614" s="1285"/>
      <c r="K5614" s="1285"/>
      <c r="L5614" s="1285"/>
    </row>
    <row r="5615" spans="1:12" ht="11.15" customHeight="1">
      <c r="A5615" s="162" t="s">
        <v>7718</v>
      </c>
      <c r="B5615" s="177" t="s">
        <v>7720</v>
      </c>
      <c r="C5615" s="147"/>
      <c r="D5615" s="122"/>
      <c r="E5615" s="36"/>
      <c r="F5615" s="178"/>
      <c r="G5615" s="453"/>
      <c r="H5615" s="36"/>
      <c r="I5615" s="11"/>
    </row>
    <row r="5616" spans="1:12" ht="11.15" customHeight="1">
      <c r="A5616" s="162" t="s">
        <v>7719</v>
      </c>
      <c r="B5616" s="59" t="s">
        <v>21206</v>
      </c>
      <c r="C5616" s="147" t="s">
        <v>20221</v>
      </c>
      <c r="D5616" s="284" t="s">
        <v>897</v>
      </c>
      <c r="E5616" s="178">
        <v>2019</v>
      </c>
      <c r="F5616" s="178" t="s">
        <v>4520</v>
      </c>
      <c r="G5616" s="496"/>
      <c r="H5616" s="994" t="s">
        <v>20221</v>
      </c>
      <c r="I5616" s="11" t="s">
        <v>7722</v>
      </c>
      <c r="J5616" s="1285"/>
      <c r="K5616" s="1285"/>
      <c r="L5616" s="1285"/>
    </row>
    <row r="5617" spans="1:12" ht="11.15" customHeight="1">
      <c r="A5617" s="162" t="s">
        <v>7721</v>
      </c>
      <c r="B5617" s="59" t="s">
        <v>21207</v>
      </c>
      <c r="C5617" s="147" t="s">
        <v>20221</v>
      </c>
      <c r="D5617" s="284" t="s">
        <v>897</v>
      </c>
      <c r="E5617" s="178">
        <v>2015</v>
      </c>
      <c r="F5617" s="178" t="s">
        <v>4520</v>
      </c>
      <c r="G5617" s="496"/>
      <c r="H5617" s="994" t="s">
        <v>20221</v>
      </c>
      <c r="I5617" s="11" t="s">
        <v>7724</v>
      </c>
      <c r="J5617" s="1285"/>
      <c r="K5617" s="1285"/>
      <c r="L5617" s="1285"/>
    </row>
    <row r="5618" spans="1:12" ht="11.15" customHeight="1">
      <c r="A5618" s="162" t="s">
        <v>7723</v>
      </c>
      <c r="B5618" s="59" t="s">
        <v>21207</v>
      </c>
      <c r="C5618" s="147" t="s">
        <v>20221</v>
      </c>
      <c r="D5618" s="284" t="s">
        <v>897</v>
      </c>
      <c r="E5618" s="178">
        <v>2013</v>
      </c>
      <c r="F5618" s="178" t="s">
        <v>4520</v>
      </c>
      <c r="G5618" s="496"/>
      <c r="H5618" s="994" t="s">
        <v>20221</v>
      </c>
      <c r="I5618" s="11" t="s">
        <v>7725</v>
      </c>
      <c r="J5618" s="1285"/>
      <c r="K5618" s="1285"/>
      <c r="L5618" s="1285"/>
    </row>
    <row r="5619" spans="1:12" ht="11.15" customHeight="1">
      <c r="A5619" s="129" t="s">
        <v>6076</v>
      </c>
      <c r="B5619" s="59" t="s">
        <v>21207</v>
      </c>
      <c r="C5619" s="147" t="s">
        <v>20221</v>
      </c>
      <c r="D5619" s="284" t="s">
        <v>897</v>
      </c>
      <c r="E5619" s="178">
        <v>2012</v>
      </c>
      <c r="F5619" s="178" t="s">
        <v>4520</v>
      </c>
      <c r="G5619" s="496"/>
      <c r="H5619" s="994" t="s">
        <v>20221</v>
      </c>
      <c r="I5619" s="11" t="s">
        <v>7727</v>
      </c>
      <c r="J5619" s="1285"/>
      <c r="K5619" s="1285"/>
      <c r="L5619" s="1285"/>
    </row>
    <row r="5620" spans="1:12" ht="11.15" customHeight="1">
      <c r="A5620" s="162" t="s">
        <v>7726</v>
      </c>
      <c r="B5620" s="59" t="s">
        <v>21208</v>
      </c>
      <c r="C5620" s="147" t="s">
        <v>20221</v>
      </c>
      <c r="D5620" s="284" t="s">
        <v>897</v>
      </c>
      <c r="E5620" s="178">
        <v>2022</v>
      </c>
      <c r="F5620" s="178" t="s">
        <v>4520</v>
      </c>
      <c r="G5620" s="496"/>
      <c r="H5620" s="994" t="s">
        <v>20221</v>
      </c>
      <c r="I5620" s="11" t="s">
        <v>7729</v>
      </c>
      <c r="J5620" s="1285"/>
      <c r="K5620" s="1285"/>
      <c r="L5620" s="1285"/>
    </row>
    <row r="5621" spans="1:12" ht="11.15" customHeight="1">
      <c r="A5621" s="162" t="s">
        <v>7728</v>
      </c>
      <c r="B5621" s="59" t="s">
        <v>21208</v>
      </c>
      <c r="C5621" s="147" t="s">
        <v>20221</v>
      </c>
      <c r="D5621" s="284" t="s">
        <v>897</v>
      </c>
      <c r="E5621" s="178">
        <v>2021</v>
      </c>
      <c r="F5621" s="178" t="s">
        <v>4520</v>
      </c>
      <c r="G5621" s="496"/>
      <c r="H5621" s="994" t="s">
        <v>20221</v>
      </c>
      <c r="I5621" s="11" t="s">
        <v>7731</v>
      </c>
      <c r="J5621" s="1285"/>
      <c r="K5621" s="1285"/>
      <c r="L5621" s="1285"/>
    </row>
    <row r="5622" spans="1:12" ht="11.15" customHeight="1">
      <c r="A5622" s="162" t="s">
        <v>7730</v>
      </c>
      <c r="B5622" s="59" t="s">
        <v>21208</v>
      </c>
      <c r="C5622" s="147" t="s">
        <v>20221</v>
      </c>
      <c r="D5622" s="284" t="s">
        <v>897</v>
      </c>
      <c r="E5622" s="178">
        <v>2020</v>
      </c>
      <c r="F5622" s="178" t="s">
        <v>4520</v>
      </c>
      <c r="G5622" s="496"/>
      <c r="H5622" s="994" t="s">
        <v>20221</v>
      </c>
      <c r="I5622" s="11" t="s">
        <v>7733</v>
      </c>
      <c r="J5622" s="1285"/>
      <c r="K5622" s="1285"/>
      <c r="L5622" s="1285"/>
    </row>
    <row r="5623" spans="1:12" ht="11.15" customHeight="1">
      <c r="A5623" s="162" t="s">
        <v>7732</v>
      </c>
      <c r="B5623" s="59" t="s">
        <v>21208</v>
      </c>
      <c r="C5623" s="147" t="s">
        <v>20221</v>
      </c>
      <c r="D5623" s="284" t="s">
        <v>897</v>
      </c>
      <c r="E5623" s="178">
        <v>2019</v>
      </c>
      <c r="F5623" s="178" t="s">
        <v>4520</v>
      </c>
      <c r="G5623" s="496"/>
      <c r="H5623" s="994" t="s">
        <v>20221</v>
      </c>
      <c r="I5623" s="11" t="s">
        <v>7735</v>
      </c>
      <c r="J5623" s="1285"/>
      <c r="K5623" s="1285"/>
      <c r="L5623" s="1285"/>
    </row>
    <row r="5624" spans="1:12" ht="11.15" customHeight="1">
      <c r="A5624" s="162" t="s">
        <v>7734</v>
      </c>
      <c r="B5624" s="59" t="s">
        <v>21208</v>
      </c>
      <c r="C5624" s="147" t="s">
        <v>20221</v>
      </c>
      <c r="D5624" s="284" t="s">
        <v>897</v>
      </c>
      <c r="E5624" s="178">
        <v>2018</v>
      </c>
      <c r="F5624" s="178" t="s">
        <v>4520</v>
      </c>
      <c r="G5624" s="496"/>
      <c r="H5624" s="994" t="s">
        <v>20221</v>
      </c>
      <c r="I5624" s="11" t="s">
        <v>7737</v>
      </c>
      <c r="J5624" s="1285"/>
      <c r="K5624" s="1285"/>
      <c r="L5624" s="1285"/>
    </row>
    <row r="5625" spans="1:12" ht="11.15" customHeight="1">
      <c r="A5625" s="162" t="s">
        <v>7736</v>
      </c>
      <c r="B5625" s="59" t="s">
        <v>21208</v>
      </c>
      <c r="C5625" s="147" t="s">
        <v>20221</v>
      </c>
      <c r="D5625" s="284" t="s">
        <v>897</v>
      </c>
      <c r="E5625" s="178">
        <v>2017</v>
      </c>
      <c r="F5625" s="178" t="s">
        <v>4520</v>
      </c>
      <c r="G5625" s="496"/>
      <c r="H5625" s="994" t="s">
        <v>20221</v>
      </c>
      <c r="I5625" s="11" t="s">
        <v>7739</v>
      </c>
      <c r="J5625" s="1285"/>
      <c r="K5625" s="1285"/>
      <c r="L5625" s="1285"/>
    </row>
    <row r="5626" spans="1:12" ht="11.15" customHeight="1">
      <c r="A5626" s="166" t="s">
        <v>7738</v>
      </c>
      <c r="B5626" s="59" t="s">
        <v>21208</v>
      </c>
      <c r="C5626" s="147" t="s">
        <v>20221</v>
      </c>
      <c r="D5626" s="284" t="s">
        <v>897</v>
      </c>
      <c r="E5626" s="178">
        <v>2016</v>
      </c>
      <c r="F5626" s="178" t="s">
        <v>4520</v>
      </c>
      <c r="G5626" s="496"/>
      <c r="H5626" s="994" t="s">
        <v>20221</v>
      </c>
      <c r="I5626" s="11" t="s">
        <v>7741</v>
      </c>
      <c r="J5626" s="1285"/>
      <c r="K5626" s="1285"/>
      <c r="L5626" s="1285"/>
    </row>
    <row r="5627" spans="1:12" ht="11.15" customHeight="1">
      <c r="A5627" s="771" t="s">
        <v>7740</v>
      </c>
      <c r="B5627" s="59" t="s">
        <v>21208</v>
      </c>
      <c r="C5627" s="147" t="s">
        <v>20221</v>
      </c>
      <c r="D5627" s="284" t="s">
        <v>897</v>
      </c>
      <c r="E5627" s="178">
        <v>2014</v>
      </c>
      <c r="F5627" s="178" t="s">
        <v>4520</v>
      </c>
      <c r="G5627" s="496"/>
      <c r="H5627" s="994" t="s">
        <v>20221</v>
      </c>
      <c r="I5627" s="11" t="s">
        <v>7743</v>
      </c>
      <c r="J5627" s="1285"/>
      <c r="K5627" s="1285"/>
      <c r="L5627" s="1285"/>
    </row>
    <row r="5628" spans="1:12" ht="11.15" customHeight="1">
      <c r="A5628" s="386" t="s">
        <v>7742</v>
      </c>
      <c r="B5628" s="59" t="s">
        <v>21208</v>
      </c>
      <c r="C5628" s="147" t="s">
        <v>20221</v>
      </c>
      <c r="D5628" s="284" t="s">
        <v>897</v>
      </c>
      <c r="E5628" s="178">
        <v>2013</v>
      </c>
      <c r="F5628" s="178" t="s">
        <v>4520</v>
      </c>
      <c r="G5628" s="496"/>
      <c r="H5628" s="994" t="s">
        <v>20224</v>
      </c>
      <c r="I5628" s="11" t="s">
        <v>7745</v>
      </c>
      <c r="J5628" s="1285"/>
      <c r="K5628" s="1285"/>
      <c r="L5628" s="1285"/>
    </row>
    <row r="5629" spans="1:12" ht="11.15" customHeight="1">
      <c r="A5629" s="481" t="s">
        <v>7744</v>
      </c>
      <c r="B5629" s="59" t="s">
        <v>21208</v>
      </c>
      <c r="C5629" s="147" t="s">
        <v>20221</v>
      </c>
      <c r="D5629" s="284" t="s">
        <v>897</v>
      </c>
      <c r="E5629" s="178">
        <v>2008</v>
      </c>
      <c r="F5629" s="178" t="s">
        <v>4520</v>
      </c>
      <c r="G5629" s="496"/>
      <c r="H5629" s="994" t="s">
        <v>20224</v>
      </c>
      <c r="I5629" s="11" t="s">
        <v>7746</v>
      </c>
      <c r="J5629" s="1285"/>
      <c r="K5629" s="1285"/>
      <c r="L5629" s="1285"/>
    </row>
    <row r="5630" spans="1:12" ht="11.15" customHeight="1">
      <c r="A5630" s="29"/>
      <c r="B5630" s="177" t="s">
        <v>7747</v>
      </c>
      <c r="C5630" s="147"/>
      <c r="D5630" s="122"/>
      <c r="E5630" s="36"/>
      <c r="F5630" s="178"/>
      <c r="G5630" s="453"/>
      <c r="H5630" s="36"/>
      <c r="I5630" s="11"/>
    </row>
    <row r="5631" spans="1:12" ht="11.15" customHeight="1">
      <c r="A5631" s="185"/>
      <c r="B5631" s="59" t="s">
        <v>21209</v>
      </c>
      <c r="C5631" s="147" t="s">
        <v>20221</v>
      </c>
      <c r="D5631" s="284" t="s">
        <v>897</v>
      </c>
      <c r="E5631" s="178">
        <v>2012</v>
      </c>
      <c r="F5631" s="178" t="s">
        <v>11931</v>
      </c>
      <c r="G5631" s="496"/>
      <c r="H5631" s="994" t="s">
        <v>20224</v>
      </c>
      <c r="I5631" s="11" t="s">
        <v>7748</v>
      </c>
      <c r="J5631" s="1285"/>
      <c r="K5631" s="1285"/>
      <c r="L5631" s="1285"/>
    </row>
    <row r="5632" spans="1:12" ht="11.15" customHeight="1">
      <c r="A5632" s="185"/>
      <c r="B5632" s="59" t="s">
        <v>21209</v>
      </c>
      <c r="C5632" s="147" t="s">
        <v>20221</v>
      </c>
      <c r="D5632" s="284" t="s">
        <v>897</v>
      </c>
      <c r="E5632" s="178">
        <v>2011</v>
      </c>
      <c r="F5632" s="178" t="s">
        <v>11931</v>
      </c>
      <c r="G5632" s="496"/>
      <c r="H5632" s="994" t="s">
        <v>20221</v>
      </c>
      <c r="I5632" s="11" t="s">
        <v>7749</v>
      </c>
      <c r="J5632" s="1285"/>
      <c r="K5632" s="1285"/>
      <c r="L5632" s="1285"/>
    </row>
    <row r="5633" spans="1:12" ht="11.15" customHeight="1">
      <c r="A5633" s="185"/>
      <c r="B5633" s="185"/>
      <c r="C5633" s="147"/>
      <c r="D5633" s="185"/>
      <c r="E5633" s="185"/>
      <c r="F5633" s="185"/>
      <c r="G5633" s="185"/>
      <c r="H5633" s="185"/>
      <c r="I5633" s="11"/>
    </row>
    <row r="5634" spans="1:12" ht="11.15" customHeight="1" thickBot="1">
      <c r="A5634" s="129"/>
      <c r="B5634" s="210" t="s">
        <v>7750</v>
      </c>
      <c r="C5634" s="147"/>
      <c r="D5634" s="122"/>
      <c r="E5634" s="36"/>
      <c r="F5634" s="178"/>
      <c r="G5634" s="60"/>
      <c r="H5634" s="36"/>
      <c r="I5634" s="11"/>
    </row>
    <row r="5635" spans="1:12" ht="11.15" customHeight="1" thickBot="1">
      <c r="A5635" s="184" t="s">
        <v>7751</v>
      </c>
      <c r="B5635" s="177" t="s">
        <v>2242</v>
      </c>
      <c r="C5635" s="147"/>
      <c r="D5635" s="122"/>
      <c r="E5635" s="36"/>
      <c r="F5635" s="178"/>
      <c r="G5635" s="60"/>
      <c r="H5635" s="36"/>
      <c r="I5635" s="11"/>
    </row>
    <row r="5636" spans="1:12" ht="11.15" customHeight="1">
      <c r="A5636" s="29" t="s">
        <v>7752</v>
      </c>
      <c r="B5636" s="59" t="s">
        <v>21211</v>
      </c>
      <c r="C5636" s="147" t="s">
        <v>20221</v>
      </c>
      <c r="D5636" s="701" t="s">
        <v>1129</v>
      </c>
      <c r="E5636" s="178">
        <v>2014</v>
      </c>
      <c r="F5636" s="178" t="s">
        <v>4520</v>
      </c>
      <c r="G5636" s="496"/>
      <c r="H5636" s="994" t="s">
        <v>20277</v>
      </c>
      <c r="I5636" s="11" t="s">
        <v>7754</v>
      </c>
      <c r="J5636" s="1285"/>
      <c r="K5636" s="1285"/>
      <c r="L5636" s="1285"/>
    </row>
    <row r="5637" spans="1:12" ht="11.25" customHeight="1">
      <c r="A5637" s="29" t="s">
        <v>7753</v>
      </c>
      <c r="B5637" s="59" t="s">
        <v>21212</v>
      </c>
      <c r="C5637" s="147" t="s">
        <v>20221</v>
      </c>
      <c r="D5637" s="701" t="s">
        <v>1129</v>
      </c>
      <c r="E5637" s="178">
        <v>2016</v>
      </c>
      <c r="F5637" s="178" t="s">
        <v>4520</v>
      </c>
      <c r="G5637" s="496"/>
      <c r="H5637" s="994" t="s">
        <v>20221</v>
      </c>
      <c r="I5637" s="11" t="s">
        <v>7756</v>
      </c>
      <c r="J5637" s="1285"/>
      <c r="K5637" s="1285"/>
      <c r="L5637" s="1285"/>
    </row>
    <row r="5638" spans="1:12" ht="11.15" customHeight="1">
      <c r="A5638" s="29" t="s">
        <v>7755</v>
      </c>
      <c r="B5638" s="59" t="s">
        <v>21212</v>
      </c>
      <c r="C5638" s="147" t="s">
        <v>20221</v>
      </c>
      <c r="D5638" s="701" t="s">
        <v>1129</v>
      </c>
      <c r="E5638" s="178">
        <v>2015</v>
      </c>
      <c r="F5638" s="178" t="s">
        <v>4520</v>
      </c>
      <c r="G5638" s="496"/>
      <c r="H5638" s="994" t="s">
        <v>20224</v>
      </c>
      <c r="I5638" s="11" t="s">
        <v>7758</v>
      </c>
      <c r="J5638" s="1285"/>
      <c r="K5638" s="1285"/>
      <c r="L5638" s="1285"/>
    </row>
    <row r="5639" spans="1:12" ht="11.15" customHeight="1">
      <c r="A5639" s="29" t="s">
        <v>7757</v>
      </c>
      <c r="B5639" s="59" t="s">
        <v>21212</v>
      </c>
      <c r="C5639" s="147" t="s">
        <v>20221</v>
      </c>
      <c r="D5639" s="701" t="s">
        <v>1129</v>
      </c>
      <c r="E5639" s="178">
        <v>2014</v>
      </c>
      <c r="F5639" s="178" t="s">
        <v>4520</v>
      </c>
      <c r="G5639" s="496"/>
      <c r="H5639" s="994" t="s">
        <v>20221</v>
      </c>
      <c r="I5639" s="11" t="s">
        <v>7760</v>
      </c>
      <c r="J5639" s="1285"/>
      <c r="K5639" s="1285"/>
      <c r="L5639" s="1285"/>
    </row>
    <row r="5640" spans="1:12" ht="11.15" customHeight="1">
      <c r="A5640" s="29" t="s">
        <v>7759</v>
      </c>
      <c r="B5640" s="59" t="s">
        <v>21212</v>
      </c>
      <c r="C5640" s="147" t="s">
        <v>20221</v>
      </c>
      <c r="D5640" s="701" t="s">
        <v>1129</v>
      </c>
      <c r="E5640" s="178">
        <v>2012</v>
      </c>
      <c r="F5640" s="178" t="s">
        <v>4520</v>
      </c>
      <c r="G5640" s="496"/>
      <c r="H5640" s="994" t="s">
        <v>20221</v>
      </c>
      <c r="I5640" s="11" t="s">
        <v>7762</v>
      </c>
      <c r="J5640" s="1285"/>
      <c r="K5640" s="1285"/>
      <c r="L5640" s="1285"/>
    </row>
    <row r="5641" spans="1:12" ht="11.15" customHeight="1">
      <c r="A5641" s="181" t="s">
        <v>7761</v>
      </c>
      <c r="B5641" s="59" t="s">
        <v>21212</v>
      </c>
      <c r="C5641" s="147" t="s">
        <v>20221</v>
      </c>
      <c r="D5641" s="701" t="s">
        <v>1129</v>
      </c>
      <c r="E5641" s="178">
        <v>2011</v>
      </c>
      <c r="F5641" s="178" t="s">
        <v>4520</v>
      </c>
      <c r="G5641" s="496"/>
      <c r="H5641" s="994" t="s">
        <v>20221</v>
      </c>
      <c r="I5641" s="11" t="s">
        <v>7763</v>
      </c>
      <c r="J5641" s="1285"/>
      <c r="K5641" s="1285"/>
      <c r="L5641" s="1285"/>
    </row>
    <row r="5642" spans="1:12" ht="11.15" customHeight="1">
      <c r="A5642" s="129" t="s">
        <v>951</v>
      </c>
      <c r="B5642" s="177" t="s">
        <v>5405</v>
      </c>
      <c r="C5642" s="147"/>
      <c r="D5642" s="122"/>
      <c r="E5642" s="36"/>
      <c r="F5642" s="178"/>
      <c r="G5642" s="496"/>
      <c r="H5642" s="36"/>
      <c r="I5642" s="11"/>
    </row>
    <row r="5643" spans="1:12" ht="11.15" customHeight="1">
      <c r="A5643" s="162" t="s">
        <v>7764</v>
      </c>
      <c r="B5643" s="59" t="s">
        <v>21213</v>
      </c>
      <c r="C5643" s="147" t="s">
        <v>20221</v>
      </c>
      <c r="D5643" s="284" t="s">
        <v>897</v>
      </c>
      <c r="E5643" s="178">
        <v>2015</v>
      </c>
      <c r="F5643" s="178" t="s">
        <v>4520</v>
      </c>
      <c r="G5643" s="496"/>
      <c r="H5643" s="994" t="s">
        <v>20221</v>
      </c>
      <c r="I5643" s="11" t="s">
        <v>7766</v>
      </c>
      <c r="J5643" s="1285"/>
      <c r="K5643" s="1285"/>
      <c r="L5643" s="1285"/>
    </row>
    <row r="5644" spans="1:12" ht="11.15" customHeight="1">
      <c r="A5644" s="162" t="s">
        <v>7765</v>
      </c>
      <c r="B5644" s="59" t="s">
        <v>21213</v>
      </c>
      <c r="C5644" s="147" t="s">
        <v>20221</v>
      </c>
      <c r="D5644" s="284" t="s">
        <v>897</v>
      </c>
      <c r="E5644" s="178">
        <v>2014</v>
      </c>
      <c r="F5644" s="178" t="s">
        <v>4520</v>
      </c>
      <c r="G5644" s="496"/>
      <c r="H5644" s="994" t="s">
        <v>20221</v>
      </c>
      <c r="I5644" s="11" t="s">
        <v>7768</v>
      </c>
      <c r="J5644" s="1285"/>
      <c r="K5644" s="1285"/>
      <c r="L5644" s="1285"/>
    </row>
    <row r="5645" spans="1:12" ht="11.15" customHeight="1">
      <c r="A5645" s="162" t="s">
        <v>7767</v>
      </c>
      <c r="B5645" s="59" t="s">
        <v>21213</v>
      </c>
      <c r="C5645" s="147" t="s">
        <v>20221</v>
      </c>
      <c r="D5645" s="284" t="s">
        <v>897</v>
      </c>
      <c r="E5645" s="178">
        <v>2012</v>
      </c>
      <c r="F5645" s="178" t="s">
        <v>4520</v>
      </c>
      <c r="G5645" s="496"/>
      <c r="H5645" s="994" t="s">
        <v>20221</v>
      </c>
      <c r="I5645" s="11" t="s">
        <v>7770</v>
      </c>
      <c r="J5645" s="1285"/>
      <c r="K5645" s="1285"/>
      <c r="L5645" s="1285"/>
    </row>
    <row r="5646" spans="1:12" ht="11.15" customHeight="1">
      <c r="A5646" s="162" t="s">
        <v>7769</v>
      </c>
      <c r="B5646" s="59" t="s">
        <v>21214</v>
      </c>
      <c r="C5646" s="147" t="s">
        <v>20221</v>
      </c>
      <c r="D5646" s="284" t="s">
        <v>897</v>
      </c>
      <c r="E5646" s="178">
        <v>2015</v>
      </c>
      <c r="F5646" s="178" t="s">
        <v>4520</v>
      </c>
      <c r="G5646" s="496"/>
      <c r="H5646" s="994" t="s">
        <v>20221</v>
      </c>
      <c r="I5646" s="11" t="s">
        <v>7772</v>
      </c>
      <c r="J5646" s="1285"/>
      <c r="K5646" s="1285"/>
      <c r="L5646" s="1285"/>
    </row>
    <row r="5647" spans="1:12" ht="11.15" customHeight="1">
      <c r="A5647" s="162" t="s">
        <v>7771</v>
      </c>
      <c r="B5647" s="59" t="s">
        <v>21215</v>
      </c>
      <c r="C5647" s="147" t="s">
        <v>20221</v>
      </c>
      <c r="D5647" s="284" t="s">
        <v>897</v>
      </c>
      <c r="E5647" s="178">
        <v>2016</v>
      </c>
      <c r="F5647" s="178" t="s">
        <v>4520</v>
      </c>
      <c r="G5647" s="496"/>
      <c r="H5647" s="994" t="s">
        <v>20221</v>
      </c>
      <c r="I5647" s="11" t="s">
        <v>7774</v>
      </c>
      <c r="J5647" s="1285"/>
      <c r="K5647" s="1285"/>
      <c r="L5647" s="1285"/>
    </row>
    <row r="5648" spans="1:12" ht="11.15" customHeight="1">
      <c r="A5648" s="162" t="s">
        <v>7773</v>
      </c>
      <c r="B5648" s="59" t="s">
        <v>20999</v>
      </c>
      <c r="C5648" s="147" t="s">
        <v>20221</v>
      </c>
      <c r="D5648" s="284" t="s">
        <v>897</v>
      </c>
      <c r="E5648" s="178">
        <v>2012</v>
      </c>
      <c r="F5648" s="178" t="s">
        <v>4520</v>
      </c>
      <c r="G5648" s="496"/>
      <c r="H5648" s="994" t="s">
        <v>20221</v>
      </c>
      <c r="I5648" s="11" t="s">
        <v>7776</v>
      </c>
      <c r="J5648" s="1285"/>
      <c r="K5648" s="1285"/>
      <c r="L5648" s="1285"/>
    </row>
    <row r="5649" spans="1:12" ht="11.15" customHeight="1">
      <c r="A5649" s="162" t="s">
        <v>7775</v>
      </c>
      <c r="B5649" s="59" t="s">
        <v>20999</v>
      </c>
      <c r="C5649" s="147" t="s">
        <v>20221</v>
      </c>
      <c r="D5649" s="284" t="s">
        <v>897</v>
      </c>
      <c r="E5649" s="178">
        <v>2011</v>
      </c>
      <c r="F5649" s="178" t="s">
        <v>4520</v>
      </c>
      <c r="G5649" s="496"/>
      <c r="H5649" s="994" t="s">
        <v>20465</v>
      </c>
      <c r="I5649" s="11" t="s">
        <v>7778</v>
      </c>
      <c r="J5649" s="1285"/>
      <c r="K5649" s="1285"/>
      <c r="L5649" s="1285"/>
    </row>
    <row r="5650" spans="1:12" ht="11.15" customHeight="1">
      <c r="A5650" s="162" t="s">
        <v>7777</v>
      </c>
      <c r="B5650" s="59" t="s">
        <v>21216</v>
      </c>
      <c r="C5650" s="147" t="s">
        <v>20221</v>
      </c>
      <c r="D5650" s="284" t="s">
        <v>897</v>
      </c>
      <c r="E5650" s="178">
        <v>2011</v>
      </c>
      <c r="F5650" s="178" t="s">
        <v>4520</v>
      </c>
      <c r="G5650" s="496"/>
      <c r="H5650" s="994" t="s">
        <v>20221</v>
      </c>
      <c r="I5650" s="11" t="s">
        <v>7780</v>
      </c>
      <c r="J5650" s="1285"/>
      <c r="K5650" s="1285"/>
      <c r="L5650" s="1285"/>
    </row>
    <row r="5651" spans="1:12" ht="11.15" customHeight="1">
      <c r="A5651" s="162" t="s">
        <v>7779</v>
      </c>
      <c r="B5651" s="177" t="s">
        <v>5452</v>
      </c>
      <c r="C5651" s="147"/>
      <c r="D5651" s="185"/>
      <c r="E5651" s="185"/>
      <c r="F5651" s="185"/>
      <c r="G5651" s="185"/>
      <c r="H5651" s="185"/>
      <c r="I5651" s="11"/>
    </row>
    <row r="5652" spans="1:12" ht="11.15" customHeight="1">
      <c r="A5652" s="162" t="s">
        <v>7781</v>
      </c>
      <c r="B5652" s="59" t="s">
        <v>21217</v>
      </c>
      <c r="C5652" s="147" t="s">
        <v>20221</v>
      </c>
      <c r="D5652" s="284" t="s">
        <v>897</v>
      </c>
      <c r="E5652" s="178">
        <v>2011</v>
      </c>
      <c r="F5652" s="178" t="s">
        <v>4520</v>
      </c>
      <c r="G5652" s="496"/>
      <c r="H5652" s="994" t="s">
        <v>20221</v>
      </c>
      <c r="I5652" s="11" t="s">
        <v>7783</v>
      </c>
      <c r="J5652" s="1285"/>
      <c r="K5652" s="1285"/>
      <c r="L5652" s="1285"/>
    </row>
    <row r="5653" spans="1:12" ht="11.15" customHeight="1">
      <c r="A5653" s="162" t="s">
        <v>7782</v>
      </c>
      <c r="B5653" s="59" t="s">
        <v>21218</v>
      </c>
      <c r="C5653" s="147" t="s">
        <v>20221</v>
      </c>
      <c r="D5653" s="284" t="s">
        <v>897</v>
      </c>
      <c r="E5653" s="178">
        <v>2015</v>
      </c>
      <c r="F5653" s="178" t="s">
        <v>4520</v>
      </c>
      <c r="G5653" s="496"/>
      <c r="H5653" s="994" t="s">
        <v>20224</v>
      </c>
      <c r="I5653" s="11" t="s">
        <v>7785</v>
      </c>
      <c r="J5653" s="1285"/>
      <c r="K5653" s="1285"/>
      <c r="L5653" s="1285"/>
    </row>
    <row r="5654" spans="1:12" ht="11.15" customHeight="1">
      <c r="A5654" s="162" t="s">
        <v>7784</v>
      </c>
      <c r="B5654" s="59" t="s">
        <v>21218</v>
      </c>
      <c r="C5654" s="147" t="s">
        <v>20221</v>
      </c>
      <c r="D5654" s="284" t="s">
        <v>897</v>
      </c>
      <c r="E5654" s="178">
        <v>2012</v>
      </c>
      <c r="F5654" s="178" t="s">
        <v>4520</v>
      </c>
      <c r="G5654" s="496"/>
      <c r="H5654" s="994" t="s">
        <v>20221</v>
      </c>
      <c r="I5654" s="11" t="s">
        <v>7787</v>
      </c>
      <c r="J5654" s="1285"/>
      <c r="K5654" s="1285"/>
      <c r="L5654" s="1285"/>
    </row>
    <row r="5655" spans="1:12" ht="11.15" customHeight="1">
      <c r="A5655" s="162" t="s">
        <v>7786</v>
      </c>
      <c r="B5655" s="59" t="s">
        <v>21218</v>
      </c>
      <c r="C5655" s="147" t="s">
        <v>20221</v>
      </c>
      <c r="D5655" s="284" t="s">
        <v>897</v>
      </c>
      <c r="E5655" s="178">
        <v>2010</v>
      </c>
      <c r="F5655" s="178" t="s">
        <v>4520</v>
      </c>
      <c r="G5655" s="496"/>
      <c r="H5655" s="994" t="s">
        <v>20221</v>
      </c>
      <c r="I5655" s="11" t="s">
        <v>7789</v>
      </c>
      <c r="J5655" s="1285"/>
      <c r="K5655" s="1285"/>
      <c r="L5655" s="1285"/>
    </row>
    <row r="5656" spans="1:12" ht="11.15" customHeight="1">
      <c r="A5656" s="162" t="s">
        <v>7788</v>
      </c>
      <c r="B5656" s="59" t="s">
        <v>21219</v>
      </c>
      <c r="C5656" s="147" t="s">
        <v>20221</v>
      </c>
      <c r="D5656" s="284" t="s">
        <v>897</v>
      </c>
      <c r="E5656" s="178">
        <v>2016</v>
      </c>
      <c r="F5656" s="178" t="s">
        <v>4520</v>
      </c>
      <c r="G5656" s="496"/>
      <c r="H5656" s="994" t="s">
        <v>20221</v>
      </c>
      <c r="I5656" s="11" t="s">
        <v>6292</v>
      </c>
      <c r="J5656" s="1285"/>
      <c r="K5656" s="1285"/>
      <c r="L5656" s="1285"/>
    </row>
    <row r="5657" spans="1:12" ht="11.15" customHeight="1">
      <c r="A5657" s="162" t="s">
        <v>7790</v>
      </c>
      <c r="B5657" s="59" t="s">
        <v>21221</v>
      </c>
      <c r="C5657" s="147" t="s">
        <v>20221</v>
      </c>
      <c r="D5657" s="284" t="s">
        <v>897</v>
      </c>
      <c r="E5657" s="178">
        <v>2016</v>
      </c>
      <c r="F5657" s="178" t="s">
        <v>4520</v>
      </c>
      <c r="G5657" s="496"/>
      <c r="H5657" s="994" t="s">
        <v>20221</v>
      </c>
      <c r="I5657" s="11" t="s">
        <v>7792</v>
      </c>
      <c r="J5657" s="1285"/>
      <c r="K5657" s="1285"/>
      <c r="L5657" s="1285"/>
    </row>
    <row r="5658" spans="1:12" ht="11.15" customHeight="1">
      <c r="A5658" s="162" t="s">
        <v>7791</v>
      </c>
      <c r="B5658" s="59" t="s">
        <v>21220</v>
      </c>
      <c r="C5658" s="147" t="s">
        <v>20221</v>
      </c>
      <c r="D5658" s="284" t="s">
        <v>897</v>
      </c>
      <c r="E5658" s="178">
        <v>2016</v>
      </c>
      <c r="F5658" s="178" t="s">
        <v>4520</v>
      </c>
      <c r="G5658" s="496"/>
      <c r="H5658" s="994" t="s">
        <v>20221</v>
      </c>
      <c r="I5658" s="11" t="s">
        <v>7794</v>
      </c>
      <c r="J5658" s="1285"/>
      <c r="K5658" s="1285"/>
      <c r="L5658" s="1285"/>
    </row>
    <row r="5659" spans="1:12" ht="11.15" customHeight="1">
      <c r="A5659" s="162" t="s">
        <v>7793</v>
      </c>
      <c r="B5659" s="185"/>
      <c r="C5659" s="147"/>
      <c r="D5659" s="185"/>
      <c r="E5659" s="185"/>
      <c r="F5659" s="185"/>
      <c r="G5659" s="185"/>
      <c r="H5659" s="185"/>
      <c r="I5659" s="11"/>
    </row>
    <row r="5660" spans="1:12" ht="11.15" customHeight="1">
      <c r="A5660" s="129" t="s">
        <v>1077</v>
      </c>
      <c r="B5660" s="185"/>
      <c r="C5660" s="147"/>
      <c r="D5660" s="185"/>
      <c r="E5660" s="185"/>
      <c r="F5660" s="185"/>
      <c r="G5660" s="185"/>
      <c r="H5660" s="185"/>
      <c r="I5660" s="11"/>
    </row>
    <row r="5661" spans="1:12" ht="11.15" customHeight="1">
      <c r="A5661" s="162" t="s">
        <v>7795</v>
      </c>
      <c r="B5661" s="90"/>
      <c r="C5661" s="147"/>
      <c r="D5661" s="161"/>
      <c r="E5661" s="36"/>
      <c r="F5661" s="178"/>
      <c r="G5661" s="1217"/>
      <c r="H5661" s="36"/>
      <c r="I5661" s="11"/>
    </row>
    <row r="5662" spans="1:12" ht="11.15" customHeight="1">
      <c r="A5662" s="162" t="s">
        <v>7796</v>
      </c>
      <c r="B5662" s="90"/>
      <c r="C5662" s="147"/>
      <c r="D5662" s="161"/>
      <c r="E5662" s="36"/>
      <c r="F5662" s="178"/>
      <c r="G5662" s="1217"/>
      <c r="H5662" s="36"/>
      <c r="I5662" s="11"/>
    </row>
    <row r="5663" spans="1:12" ht="11.15" customHeight="1">
      <c r="A5663" s="162" t="s">
        <v>7797</v>
      </c>
      <c r="B5663" s="90"/>
      <c r="C5663" s="147"/>
      <c r="D5663" s="161"/>
      <c r="E5663" s="36"/>
      <c r="F5663" s="178"/>
      <c r="G5663" s="1217"/>
      <c r="H5663" s="36"/>
      <c r="I5663" s="11"/>
    </row>
    <row r="5664" spans="1:12" ht="11.15" customHeight="1">
      <c r="A5664" s="162" t="s">
        <v>7798</v>
      </c>
      <c r="B5664" s="90"/>
      <c r="C5664" s="147"/>
      <c r="D5664" s="161"/>
      <c r="E5664" s="36"/>
      <c r="F5664" s="178"/>
      <c r="G5664" s="1217"/>
      <c r="H5664" s="36"/>
      <c r="I5664" s="11"/>
    </row>
    <row r="5665" spans="1:9" ht="11.15" customHeight="1">
      <c r="A5665" s="162" t="s">
        <v>7799</v>
      </c>
      <c r="B5665" s="90"/>
      <c r="C5665" s="147"/>
      <c r="D5665" s="161"/>
      <c r="E5665" s="36"/>
      <c r="F5665" s="178"/>
      <c r="G5665" s="1217"/>
      <c r="H5665" s="36"/>
      <c r="I5665" s="11"/>
    </row>
    <row r="5666" spans="1:9" ht="11.15" customHeight="1">
      <c r="A5666" s="162" t="s">
        <v>7800</v>
      </c>
      <c r="B5666" s="90"/>
      <c r="C5666" s="147"/>
      <c r="D5666" s="161"/>
      <c r="E5666" s="36"/>
      <c r="F5666" s="178"/>
      <c r="G5666" s="1217"/>
      <c r="H5666" s="36"/>
      <c r="I5666" s="11"/>
    </row>
    <row r="5667" spans="1:9" ht="11.15" customHeight="1">
      <c r="A5667" s="162" t="s">
        <v>7801</v>
      </c>
      <c r="B5667" s="90"/>
      <c r="C5667" s="147"/>
      <c r="D5667" s="161"/>
      <c r="E5667" s="36"/>
      <c r="F5667" s="178"/>
      <c r="G5667" s="1217"/>
      <c r="H5667" s="36"/>
      <c r="I5667" s="11"/>
    </row>
    <row r="5668" spans="1:9" ht="11.15" customHeight="1">
      <c r="A5668" s="162" t="s">
        <v>7802</v>
      </c>
      <c r="B5668" s="90"/>
      <c r="C5668" s="147"/>
      <c r="D5668" s="161"/>
      <c r="E5668" s="36"/>
      <c r="F5668" s="178"/>
      <c r="G5668" s="1217"/>
      <c r="H5668" s="36"/>
      <c r="I5668" s="11"/>
    </row>
    <row r="5669" spans="1:9" ht="11.15" customHeight="1">
      <c r="A5669" s="212" t="s">
        <v>7803</v>
      </c>
      <c r="B5669" s="90"/>
      <c r="C5669" s="147"/>
      <c r="D5669" s="161"/>
      <c r="E5669" s="36"/>
      <c r="F5669" s="178"/>
      <c r="G5669" s="1217"/>
      <c r="H5669" s="36"/>
      <c r="I5669" s="11"/>
    </row>
    <row r="5670" spans="1:9" ht="11.15" customHeight="1">
      <c r="A5670" s="481" t="s">
        <v>7804</v>
      </c>
      <c r="B5670" s="90"/>
      <c r="C5670" s="147"/>
      <c r="D5670" s="161"/>
      <c r="E5670" s="36"/>
      <c r="F5670" s="178"/>
      <c r="G5670" s="1217"/>
      <c r="H5670" s="36"/>
      <c r="I5670" s="11"/>
    </row>
    <row r="5671" spans="1:9" ht="11.15" customHeight="1">
      <c r="A5671" s="29"/>
      <c r="B5671" s="90"/>
      <c r="C5671" s="147"/>
      <c r="D5671" s="161"/>
      <c r="E5671" s="36"/>
      <c r="F5671" s="178"/>
      <c r="G5671" s="1217"/>
      <c r="H5671" s="36"/>
      <c r="I5671" s="11"/>
    </row>
    <row r="5672" spans="1:9" ht="11.15" customHeight="1">
      <c r="A5672" s="185"/>
      <c r="B5672" s="413" t="s">
        <v>7805</v>
      </c>
      <c r="C5672" s="147"/>
      <c r="D5672" s="161"/>
      <c r="E5672" s="36"/>
      <c r="F5672" s="178"/>
      <c r="G5672" s="1217"/>
      <c r="H5672" s="36"/>
      <c r="I5672" s="11"/>
    </row>
    <row r="5673" spans="1:9" ht="9" customHeight="1">
      <c r="A5673" s="185"/>
      <c r="B5673" s="209" t="s">
        <v>7806</v>
      </c>
      <c r="C5673" s="147"/>
      <c r="D5673" s="161"/>
      <c r="E5673" s="36"/>
      <c r="F5673" s="178"/>
      <c r="G5673" s="1217"/>
      <c r="H5673" s="36"/>
      <c r="I5673" s="11"/>
    </row>
    <row r="5674" spans="1:9" ht="9" customHeight="1">
      <c r="A5674" s="185"/>
      <c r="B5674" s="209" t="s">
        <v>7807</v>
      </c>
      <c r="C5674" s="147"/>
      <c r="D5674" s="161"/>
      <c r="E5674" s="36"/>
      <c r="F5674" s="178"/>
      <c r="G5674" s="1217"/>
      <c r="H5674" s="36"/>
      <c r="I5674" s="11"/>
    </row>
    <row r="5675" spans="1:9" ht="9" customHeight="1">
      <c r="A5675" s="185"/>
      <c r="B5675" s="150" t="s">
        <v>7808</v>
      </c>
      <c r="C5675" s="147"/>
      <c r="D5675" s="161"/>
      <c r="E5675" s="36"/>
      <c r="F5675" s="178"/>
      <c r="G5675" s="1217"/>
      <c r="H5675" s="36"/>
      <c r="I5675" s="11"/>
    </row>
    <row r="5676" spans="1:9" ht="9" customHeight="1">
      <c r="A5676" s="137"/>
      <c r="B5676" s="150" t="s">
        <v>7809</v>
      </c>
      <c r="C5676" s="147"/>
      <c r="D5676" s="161"/>
      <c r="E5676" s="36"/>
      <c r="F5676" s="178"/>
      <c r="G5676" s="1217"/>
      <c r="H5676" s="36"/>
      <c r="I5676" s="11"/>
    </row>
    <row r="5677" spans="1:9" ht="9" customHeight="1">
      <c r="A5677" s="137"/>
      <c r="B5677" s="150" t="s">
        <v>7810</v>
      </c>
      <c r="C5677" s="147"/>
      <c r="D5677" s="161"/>
      <c r="E5677" s="36"/>
      <c r="F5677" s="178"/>
      <c r="G5677" s="1217"/>
      <c r="H5677" s="36"/>
      <c r="I5677" s="11"/>
    </row>
    <row r="5678" spans="1:9" ht="9" customHeight="1">
      <c r="A5678" s="137"/>
      <c r="B5678" s="150" t="s">
        <v>7811</v>
      </c>
      <c r="C5678" s="147"/>
      <c r="D5678" s="161"/>
      <c r="E5678" s="36"/>
      <c r="F5678" s="178"/>
      <c r="G5678" s="1217"/>
      <c r="H5678" s="36"/>
      <c r="I5678" s="11"/>
    </row>
    <row r="5679" spans="1:9" ht="9" customHeight="1">
      <c r="A5679" s="185"/>
      <c r="B5679" s="150" t="s">
        <v>7812</v>
      </c>
      <c r="C5679" s="147"/>
      <c r="D5679" s="161"/>
      <c r="E5679" s="36"/>
      <c r="F5679" s="178"/>
      <c r="G5679" s="1217"/>
      <c r="H5679" s="36"/>
      <c r="I5679" s="11"/>
    </row>
    <row r="5680" spans="1:9" ht="9" customHeight="1">
      <c r="A5680" s="185"/>
      <c r="B5680" s="150" t="s">
        <v>7813</v>
      </c>
      <c r="C5680" s="147"/>
      <c r="D5680" s="161"/>
      <c r="E5680" s="36"/>
      <c r="F5680" s="178"/>
      <c r="G5680" s="1217"/>
      <c r="H5680" s="36"/>
      <c r="I5680" s="11"/>
    </row>
    <row r="5681" spans="1:12" ht="9" customHeight="1">
      <c r="A5681" s="185"/>
      <c r="B5681" s="150" t="s">
        <v>7814</v>
      </c>
      <c r="C5681" s="147"/>
      <c r="D5681" s="161"/>
      <c r="E5681" s="36"/>
      <c r="F5681" s="178"/>
      <c r="G5681" s="1217"/>
      <c r="H5681" s="36"/>
      <c r="I5681" s="11"/>
    </row>
    <row r="5682" spans="1:12" ht="9" customHeight="1" thickBot="1">
      <c r="A5682" s="185"/>
      <c r="B5682" s="209" t="s">
        <v>7815</v>
      </c>
      <c r="C5682" s="147"/>
      <c r="D5682" s="122"/>
      <c r="E5682" s="36"/>
      <c r="F5682" s="178"/>
      <c r="G5682" s="453"/>
      <c r="H5682" s="36"/>
      <c r="I5682" s="11"/>
    </row>
    <row r="5683" spans="1:12" ht="11.15" customHeight="1">
      <c r="A5683" s="153" t="s">
        <v>7816</v>
      </c>
      <c r="B5683" s="154" t="s">
        <v>6512</v>
      </c>
      <c r="C5683" s="147"/>
      <c r="D5683" s="122"/>
      <c r="E5683" s="36"/>
      <c r="F5683" s="178"/>
      <c r="G5683" s="453"/>
      <c r="H5683" s="36"/>
      <c r="I5683" s="11"/>
    </row>
    <row r="5684" spans="1:12" ht="11.15" customHeight="1" thickBot="1">
      <c r="A5684" s="230" t="s">
        <v>7817</v>
      </c>
      <c r="B5684" s="59" t="s">
        <v>21223</v>
      </c>
      <c r="C5684" s="147" t="s">
        <v>20221</v>
      </c>
      <c r="D5684" s="701" t="s">
        <v>1129</v>
      </c>
      <c r="E5684" s="178">
        <v>2020</v>
      </c>
      <c r="F5684" s="178" t="s">
        <v>4520</v>
      </c>
      <c r="G5684" s="496"/>
      <c r="H5684" s="994" t="s">
        <v>20221</v>
      </c>
      <c r="I5684" s="11" t="s">
        <v>7818</v>
      </c>
      <c r="J5684" s="1285"/>
      <c r="K5684" s="1285"/>
      <c r="L5684" s="1285"/>
    </row>
    <row r="5685" spans="1:12" ht="11.15" customHeight="1">
      <c r="A5685" s="29" t="s">
        <v>7819</v>
      </c>
      <c r="B5685" s="59" t="s">
        <v>21223</v>
      </c>
      <c r="C5685" s="147" t="s">
        <v>20221</v>
      </c>
      <c r="D5685" s="701" t="s">
        <v>1129</v>
      </c>
      <c r="E5685" s="178">
        <v>2019</v>
      </c>
      <c r="F5685" s="178" t="s">
        <v>4520</v>
      </c>
      <c r="G5685" s="496"/>
      <c r="H5685" s="994" t="s">
        <v>20277</v>
      </c>
      <c r="I5685" s="11" t="s">
        <v>7820</v>
      </c>
      <c r="J5685" s="1285"/>
      <c r="K5685" s="1285"/>
      <c r="L5685" s="1285"/>
    </row>
    <row r="5686" spans="1:12" ht="11.15" customHeight="1">
      <c r="A5686" s="29" t="s">
        <v>7821</v>
      </c>
      <c r="B5686" s="177" t="s">
        <v>6205</v>
      </c>
      <c r="C5686" s="147"/>
      <c r="D5686" s="159"/>
      <c r="E5686" s="36"/>
      <c r="F5686" s="178"/>
      <c r="G5686" s="671"/>
      <c r="H5686" s="36"/>
      <c r="I5686" s="11"/>
    </row>
    <row r="5687" spans="1:12" ht="11.15" customHeight="1">
      <c r="A5687" s="29" t="s">
        <v>7822</v>
      </c>
      <c r="B5687" s="59" t="s">
        <v>21224</v>
      </c>
      <c r="C5687" s="147" t="s">
        <v>20221</v>
      </c>
      <c r="D5687" s="701" t="s">
        <v>1129</v>
      </c>
      <c r="E5687" s="178">
        <v>2019</v>
      </c>
      <c r="F5687" s="178" t="s">
        <v>4520</v>
      </c>
      <c r="G5687" s="496"/>
      <c r="H5687" s="994" t="s">
        <v>20221</v>
      </c>
      <c r="I5687" s="11" t="s">
        <v>7823</v>
      </c>
      <c r="J5687" s="1285"/>
      <c r="K5687" s="1285"/>
      <c r="L5687" s="1285"/>
    </row>
    <row r="5688" spans="1:12" ht="11.15" customHeight="1">
      <c r="A5688" s="29" t="s">
        <v>7824</v>
      </c>
      <c r="B5688" s="177" t="s">
        <v>4692</v>
      </c>
      <c r="C5688" s="147"/>
      <c r="D5688" s="159"/>
      <c r="E5688" s="36"/>
      <c r="F5688" s="178"/>
      <c r="G5688" s="671"/>
      <c r="H5688" s="36"/>
      <c r="I5688" s="11"/>
    </row>
    <row r="5689" spans="1:12" ht="11.15" customHeight="1">
      <c r="A5689" s="29" t="s">
        <v>7825</v>
      </c>
      <c r="B5689" s="59" t="s">
        <v>20783</v>
      </c>
      <c r="C5689" s="147" t="s">
        <v>20221</v>
      </c>
      <c r="D5689" s="701" t="s">
        <v>1129</v>
      </c>
      <c r="E5689" s="178">
        <v>2021</v>
      </c>
      <c r="F5689" s="178" t="s">
        <v>4520</v>
      </c>
      <c r="G5689" s="496"/>
      <c r="H5689" s="994" t="s">
        <v>20221</v>
      </c>
      <c r="I5689" s="11" t="s">
        <v>7826</v>
      </c>
      <c r="J5689" s="1285"/>
      <c r="K5689" s="1285"/>
      <c r="L5689" s="1285"/>
    </row>
    <row r="5690" spans="1:12" ht="11.15" customHeight="1">
      <c r="A5690" s="29" t="s">
        <v>7827</v>
      </c>
      <c r="B5690" s="59" t="s">
        <v>20783</v>
      </c>
      <c r="C5690" s="147" t="s">
        <v>20221</v>
      </c>
      <c r="D5690" s="701" t="s">
        <v>1129</v>
      </c>
      <c r="E5690" s="178">
        <v>2020</v>
      </c>
      <c r="F5690" s="178" t="s">
        <v>4520</v>
      </c>
      <c r="G5690" s="496"/>
      <c r="H5690" s="994" t="s">
        <v>20224</v>
      </c>
      <c r="I5690" s="11" t="s">
        <v>7828</v>
      </c>
      <c r="J5690" s="1285"/>
      <c r="K5690" s="1285"/>
      <c r="L5690" s="1285"/>
    </row>
    <row r="5691" spans="1:12" ht="11.15" customHeight="1">
      <c r="A5691" s="29" t="s">
        <v>7829</v>
      </c>
      <c r="B5691" s="59" t="s">
        <v>20783</v>
      </c>
      <c r="C5691" s="147" t="s">
        <v>20221</v>
      </c>
      <c r="D5691" s="701" t="s">
        <v>1129</v>
      </c>
      <c r="E5691" s="178">
        <v>2019</v>
      </c>
      <c r="F5691" s="178" t="s">
        <v>4520</v>
      </c>
      <c r="G5691" s="496"/>
      <c r="H5691" s="994" t="s">
        <v>20277</v>
      </c>
      <c r="I5691" s="11" t="s">
        <v>7830</v>
      </c>
      <c r="J5691" s="1285"/>
      <c r="K5691" s="1285"/>
      <c r="L5691" s="1285"/>
    </row>
    <row r="5692" spans="1:12" ht="11.15" customHeight="1">
      <c r="A5692" s="29" t="s">
        <v>7831</v>
      </c>
      <c r="B5692" s="177" t="s">
        <v>7832</v>
      </c>
      <c r="C5692" s="147"/>
      <c r="D5692" s="185"/>
      <c r="E5692" s="185"/>
      <c r="F5692" s="185"/>
      <c r="G5692" s="185"/>
      <c r="H5692" s="185"/>
      <c r="I5692" s="11"/>
    </row>
    <row r="5693" spans="1:12" ht="11.15" customHeight="1">
      <c r="A5693" s="181" t="s">
        <v>7833</v>
      </c>
      <c r="B5693" s="59" t="s">
        <v>21225</v>
      </c>
      <c r="C5693" s="147" t="s">
        <v>20221</v>
      </c>
      <c r="D5693" s="701" t="s">
        <v>1129</v>
      </c>
      <c r="E5693" s="178">
        <v>2018</v>
      </c>
      <c r="F5693" s="178" t="s">
        <v>5257</v>
      </c>
      <c r="G5693" s="496"/>
      <c r="H5693" s="994" t="s">
        <v>20224</v>
      </c>
      <c r="I5693" s="11" t="s">
        <v>7834</v>
      </c>
      <c r="J5693" s="1285"/>
      <c r="K5693" s="1285"/>
      <c r="L5693" s="1285"/>
    </row>
    <row r="5694" spans="1:12" ht="11.15" customHeight="1">
      <c r="A5694" s="129" t="s">
        <v>7835</v>
      </c>
      <c r="B5694" s="59" t="s">
        <v>21226</v>
      </c>
      <c r="C5694" s="147" t="s">
        <v>20221</v>
      </c>
      <c r="D5694" s="701" t="s">
        <v>1129</v>
      </c>
      <c r="E5694" s="178">
        <v>2018</v>
      </c>
      <c r="F5694" s="178" t="s">
        <v>5257</v>
      </c>
      <c r="G5694" s="496"/>
      <c r="H5694" s="994" t="s">
        <v>20277</v>
      </c>
      <c r="I5694" s="11" t="s">
        <v>7836</v>
      </c>
      <c r="J5694" s="1285"/>
      <c r="K5694" s="1285"/>
      <c r="L5694" s="1285"/>
    </row>
    <row r="5695" spans="1:12" ht="11.15" customHeight="1">
      <c r="A5695" s="162" t="s">
        <v>7837</v>
      </c>
      <c r="B5695" s="59" t="s">
        <v>21227</v>
      </c>
      <c r="C5695" s="147" t="s">
        <v>20221</v>
      </c>
      <c r="D5695" s="701" t="s">
        <v>1129</v>
      </c>
      <c r="E5695" s="178">
        <v>2020</v>
      </c>
      <c r="F5695" s="178" t="s">
        <v>5257</v>
      </c>
      <c r="G5695" s="496"/>
      <c r="H5695" s="994" t="s">
        <v>20221</v>
      </c>
      <c r="I5695" s="11" t="s">
        <v>7838</v>
      </c>
      <c r="J5695" s="1285"/>
      <c r="K5695" s="1285"/>
      <c r="L5695" s="1285"/>
    </row>
    <row r="5696" spans="1:12" ht="11.15" customHeight="1">
      <c r="A5696" s="162" t="s">
        <v>7839</v>
      </c>
      <c r="B5696" s="59" t="s">
        <v>21227</v>
      </c>
      <c r="C5696" s="147" t="s">
        <v>20221</v>
      </c>
      <c r="D5696" s="701" t="s">
        <v>1129</v>
      </c>
      <c r="E5696" s="178">
        <v>2018</v>
      </c>
      <c r="F5696" s="178" t="s">
        <v>5257</v>
      </c>
      <c r="G5696" s="496"/>
      <c r="H5696" s="994" t="s">
        <v>20224</v>
      </c>
      <c r="I5696" s="11" t="s">
        <v>7840</v>
      </c>
      <c r="J5696" s="1285"/>
      <c r="K5696" s="1285"/>
      <c r="L5696" s="1285"/>
    </row>
    <row r="5697" spans="1:12" ht="11.15" customHeight="1">
      <c r="A5697" s="162" t="s">
        <v>7841</v>
      </c>
      <c r="B5697" s="59" t="s">
        <v>21228</v>
      </c>
      <c r="C5697" s="147" t="s">
        <v>20221</v>
      </c>
      <c r="D5697" s="701" t="s">
        <v>1129</v>
      </c>
      <c r="E5697" s="178">
        <v>2018</v>
      </c>
      <c r="F5697" s="178" t="s">
        <v>5257</v>
      </c>
      <c r="G5697" s="496"/>
      <c r="H5697" s="994" t="s">
        <v>20221</v>
      </c>
      <c r="I5697" s="11" t="s">
        <v>7842</v>
      </c>
      <c r="J5697" s="1285"/>
      <c r="K5697" s="1285"/>
      <c r="L5697" s="1285"/>
    </row>
    <row r="5698" spans="1:12" ht="11.15" customHeight="1">
      <c r="A5698" s="162" t="s">
        <v>7843</v>
      </c>
      <c r="B5698" s="59" t="s">
        <v>20786</v>
      </c>
      <c r="C5698" s="147" t="s">
        <v>20221</v>
      </c>
      <c r="D5698" s="701" t="s">
        <v>1129</v>
      </c>
      <c r="E5698" s="178">
        <v>2019</v>
      </c>
      <c r="F5698" s="178" t="s">
        <v>5257</v>
      </c>
      <c r="G5698" s="496"/>
      <c r="H5698" s="994" t="s">
        <v>20224</v>
      </c>
      <c r="I5698" s="11" t="s">
        <v>7844</v>
      </c>
      <c r="J5698" s="1285"/>
      <c r="K5698" s="1285"/>
      <c r="L5698" s="1285"/>
    </row>
    <row r="5699" spans="1:12" ht="11.15" customHeight="1">
      <c r="A5699" s="162" t="s">
        <v>7845</v>
      </c>
      <c r="B5699" s="185"/>
      <c r="C5699" s="147"/>
      <c r="D5699" s="185"/>
      <c r="E5699" s="185"/>
      <c r="F5699" s="185"/>
      <c r="G5699" s="185"/>
      <c r="H5699" s="185"/>
      <c r="I5699" s="11"/>
    </row>
    <row r="5700" spans="1:12" ht="11.15" customHeight="1">
      <c r="A5700" s="162" t="s">
        <v>7846</v>
      </c>
      <c r="B5700" s="154" t="s">
        <v>4832</v>
      </c>
      <c r="C5700" s="147"/>
      <c r="D5700" s="122"/>
      <c r="E5700" s="36"/>
      <c r="F5700" s="178"/>
      <c r="G5700" s="453"/>
      <c r="H5700" s="36"/>
      <c r="I5700" s="11"/>
    </row>
    <row r="5701" spans="1:12" ht="11.15" customHeight="1">
      <c r="A5701" s="162" t="s">
        <v>7847</v>
      </c>
      <c r="B5701" s="59" t="s">
        <v>21229</v>
      </c>
      <c r="C5701" s="147" t="s">
        <v>20221</v>
      </c>
      <c r="D5701" s="284" t="s">
        <v>897</v>
      </c>
      <c r="E5701" s="178">
        <v>2020</v>
      </c>
      <c r="F5701" s="178" t="s">
        <v>4520</v>
      </c>
      <c r="G5701" s="496"/>
      <c r="H5701" s="994" t="s">
        <v>20221</v>
      </c>
      <c r="I5701" s="11" t="s">
        <v>7848</v>
      </c>
      <c r="J5701" s="1285"/>
      <c r="K5701" s="1285"/>
      <c r="L5701" s="1285"/>
    </row>
    <row r="5702" spans="1:12" ht="11.15" customHeight="1">
      <c r="A5702" s="162" t="s">
        <v>7849</v>
      </c>
      <c r="B5702" s="59" t="s">
        <v>21229</v>
      </c>
      <c r="C5702" s="147" t="s">
        <v>20221</v>
      </c>
      <c r="D5702" s="284" t="s">
        <v>897</v>
      </c>
      <c r="E5702" s="178">
        <v>2019</v>
      </c>
      <c r="F5702" s="178" t="s">
        <v>4520</v>
      </c>
      <c r="G5702" s="496"/>
      <c r="H5702" s="994" t="s">
        <v>20221</v>
      </c>
      <c r="I5702" s="11" t="s">
        <v>7850</v>
      </c>
      <c r="J5702" s="1285"/>
      <c r="K5702" s="1285"/>
      <c r="L5702" s="1285"/>
    </row>
    <row r="5703" spans="1:12" ht="11.15" customHeight="1">
      <c r="A5703" s="162" t="s">
        <v>7851</v>
      </c>
      <c r="B5703" s="59" t="s">
        <v>21229</v>
      </c>
      <c r="C5703" s="147" t="s">
        <v>20221</v>
      </c>
      <c r="D5703" s="284" t="s">
        <v>897</v>
      </c>
      <c r="E5703" s="178">
        <v>2018</v>
      </c>
      <c r="F5703" s="178" t="s">
        <v>4520</v>
      </c>
      <c r="G5703" s="496"/>
      <c r="H5703" s="994" t="s">
        <v>20221</v>
      </c>
      <c r="I5703" s="11" t="s">
        <v>7852</v>
      </c>
      <c r="J5703" s="1285"/>
      <c r="K5703" s="1285"/>
      <c r="L5703" s="1285"/>
    </row>
    <row r="5704" spans="1:12" ht="11.15" customHeight="1">
      <c r="A5704" s="162" t="s">
        <v>7853</v>
      </c>
      <c r="B5704" s="59" t="s">
        <v>21229</v>
      </c>
      <c r="C5704" s="147" t="s">
        <v>20221</v>
      </c>
      <c r="D5704" s="284" t="s">
        <v>897</v>
      </c>
      <c r="E5704" s="178">
        <v>2017</v>
      </c>
      <c r="F5704" s="178" t="s">
        <v>4520</v>
      </c>
      <c r="G5704" s="496"/>
      <c r="H5704" s="994" t="s">
        <v>20221</v>
      </c>
      <c r="I5704" s="11" t="s">
        <v>7854</v>
      </c>
      <c r="J5704" s="1285"/>
      <c r="K5704" s="1285"/>
      <c r="L5704" s="1285"/>
    </row>
    <row r="5705" spans="1:12" ht="11.15" customHeight="1">
      <c r="A5705" s="129" t="s">
        <v>7855</v>
      </c>
      <c r="B5705" s="59" t="s">
        <v>20856</v>
      </c>
      <c r="C5705" s="147" t="s">
        <v>20221</v>
      </c>
      <c r="D5705" s="284" t="s">
        <v>897</v>
      </c>
      <c r="E5705" s="178">
        <v>2016</v>
      </c>
      <c r="F5705" s="178" t="s">
        <v>4520</v>
      </c>
      <c r="G5705" s="496"/>
      <c r="H5705" s="994" t="s">
        <v>20221</v>
      </c>
      <c r="I5705" s="11" t="s">
        <v>7856</v>
      </c>
      <c r="J5705" s="1285"/>
      <c r="K5705" s="1285"/>
      <c r="L5705" s="1285"/>
    </row>
    <row r="5706" spans="1:12" ht="11.15" customHeight="1">
      <c r="A5706" s="162" t="s">
        <v>7857</v>
      </c>
      <c r="B5706" s="59" t="s">
        <v>20856</v>
      </c>
      <c r="C5706" s="147" t="s">
        <v>20221</v>
      </c>
      <c r="D5706" s="284" t="s">
        <v>897</v>
      </c>
      <c r="E5706" s="178">
        <v>2015</v>
      </c>
      <c r="F5706" s="178" t="s">
        <v>4520</v>
      </c>
      <c r="G5706" s="496"/>
      <c r="H5706" s="994" t="s">
        <v>20221</v>
      </c>
      <c r="I5706" s="11" t="s">
        <v>7858</v>
      </c>
      <c r="J5706" s="1285"/>
      <c r="K5706" s="1285"/>
      <c r="L5706" s="1285"/>
    </row>
    <row r="5707" spans="1:12" ht="11.15" customHeight="1">
      <c r="A5707" s="162" t="s">
        <v>7859</v>
      </c>
      <c r="B5707" s="59" t="s">
        <v>20856</v>
      </c>
      <c r="C5707" s="147" t="s">
        <v>20221</v>
      </c>
      <c r="D5707" s="284" t="s">
        <v>897</v>
      </c>
      <c r="E5707" s="178">
        <v>2014</v>
      </c>
      <c r="F5707" s="178" t="s">
        <v>4520</v>
      </c>
      <c r="G5707" s="496"/>
      <c r="H5707" s="994" t="s">
        <v>20221</v>
      </c>
      <c r="I5707" s="11" t="s">
        <v>7860</v>
      </c>
      <c r="J5707" s="1285"/>
      <c r="K5707" s="1285"/>
      <c r="L5707" s="1285"/>
    </row>
    <row r="5708" spans="1:12" ht="11.15" customHeight="1">
      <c r="A5708" s="162" t="s">
        <v>7861</v>
      </c>
      <c r="B5708" s="177" t="s">
        <v>7059</v>
      </c>
      <c r="C5708" s="147"/>
      <c r="D5708" s="159"/>
      <c r="E5708" s="36"/>
      <c r="F5708" s="178"/>
      <c r="G5708" s="671"/>
      <c r="H5708" s="36"/>
      <c r="I5708" s="11"/>
    </row>
    <row r="5709" spans="1:12" ht="11.15" customHeight="1">
      <c r="A5709" s="162" t="s">
        <v>7862</v>
      </c>
      <c r="B5709" s="59" t="s">
        <v>21230</v>
      </c>
      <c r="C5709" s="147" t="s">
        <v>20221</v>
      </c>
      <c r="D5709" s="284" t="s">
        <v>897</v>
      </c>
      <c r="E5709" s="178">
        <v>2020</v>
      </c>
      <c r="F5709" s="178" t="s">
        <v>4520</v>
      </c>
      <c r="G5709" s="496"/>
      <c r="H5709" s="994" t="s">
        <v>20221</v>
      </c>
      <c r="I5709" s="11" t="s">
        <v>7863</v>
      </c>
      <c r="J5709" s="1285"/>
      <c r="K5709" s="1285"/>
      <c r="L5709" s="1285"/>
    </row>
    <row r="5710" spans="1:12" ht="11.15" customHeight="1">
      <c r="A5710" s="162" t="s">
        <v>7864</v>
      </c>
      <c r="B5710" s="59" t="s">
        <v>21230</v>
      </c>
      <c r="C5710" s="147" t="s">
        <v>20221</v>
      </c>
      <c r="D5710" s="284" t="s">
        <v>897</v>
      </c>
      <c r="E5710" s="178">
        <v>2019</v>
      </c>
      <c r="F5710" s="178" t="s">
        <v>4520</v>
      </c>
      <c r="G5710" s="496"/>
      <c r="H5710" s="994" t="s">
        <v>20221</v>
      </c>
      <c r="I5710" s="11" t="s">
        <v>7865</v>
      </c>
      <c r="J5710" s="1285"/>
      <c r="K5710" s="1285"/>
      <c r="L5710" s="1285"/>
    </row>
    <row r="5711" spans="1:12" ht="11.15" customHeight="1">
      <c r="A5711" s="162" t="s">
        <v>7866</v>
      </c>
      <c r="B5711" s="59" t="s">
        <v>21230</v>
      </c>
      <c r="C5711" s="147" t="s">
        <v>20221</v>
      </c>
      <c r="D5711" s="284" t="s">
        <v>897</v>
      </c>
      <c r="E5711" s="178">
        <v>2018</v>
      </c>
      <c r="F5711" s="178" t="s">
        <v>4520</v>
      </c>
      <c r="G5711" s="496"/>
      <c r="H5711" s="994" t="s">
        <v>20221</v>
      </c>
      <c r="I5711" s="11" t="s">
        <v>7867</v>
      </c>
      <c r="J5711" s="1285"/>
      <c r="K5711" s="1285"/>
      <c r="L5711" s="1285"/>
    </row>
    <row r="5712" spans="1:12" ht="11.15" customHeight="1">
      <c r="A5712" s="162" t="s">
        <v>7868</v>
      </c>
      <c r="B5712" s="59" t="s">
        <v>21230</v>
      </c>
      <c r="C5712" s="147" t="s">
        <v>20221</v>
      </c>
      <c r="D5712" s="284" t="s">
        <v>897</v>
      </c>
      <c r="E5712" s="178">
        <v>2017</v>
      </c>
      <c r="F5712" s="178" t="s">
        <v>4520</v>
      </c>
      <c r="G5712" s="496"/>
      <c r="H5712" s="994" t="s">
        <v>20221</v>
      </c>
      <c r="I5712" s="11" t="s">
        <v>7869</v>
      </c>
      <c r="J5712" s="1285"/>
      <c r="K5712" s="1285"/>
      <c r="L5712" s="1285"/>
    </row>
    <row r="5713" spans="1:12" ht="11.15" customHeight="1">
      <c r="A5713" s="162" t="s">
        <v>7870</v>
      </c>
      <c r="B5713" s="59" t="s">
        <v>21230</v>
      </c>
      <c r="C5713" s="147" t="s">
        <v>20221</v>
      </c>
      <c r="D5713" s="284" t="s">
        <v>897</v>
      </c>
      <c r="E5713" s="178">
        <v>2016</v>
      </c>
      <c r="F5713" s="178" t="s">
        <v>4520</v>
      </c>
      <c r="G5713" s="496"/>
      <c r="H5713" s="994" t="s">
        <v>20221</v>
      </c>
      <c r="I5713" s="11" t="s">
        <v>7871</v>
      </c>
      <c r="J5713" s="1285"/>
      <c r="K5713" s="1285"/>
      <c r="L5713" s="1285"/>
    </row>
    <row r="5714" spans="1:12" ht="11.15" customHeight="1">
      <c r="A5714" s="162" t="s">
        <v>7872</v>
      </c>
      <c r="B5714" s="59" t="s">
        <v>21230</v>
      </c>
      <c r="C5714" s="147" t="s">
        <v>20221</v>
      </c>
      <c r="D5714" s="284" t="s">
        <v>897</v>
      </c>
      <c r="E5714" s="178">
        <v>2015</v>
      </c>
      <c r="F5714" s="178" t="s">
        <v>4520</v>
      </c>
      <c r="G5714" s="496"/>
      <c r="H5714" s="994" t="s">
        <v>20221</v>
      </c>
      <c r="I5714" s="11" t="s">
        <v>7873</v>
      </c>
      <c r="J5714" s="1285"/>
      <c r="K5714" s="1285"/>
      <c r="L5714" s="1285"/>
    </row>
    <row r="5715" spans="1:12" ht="11.15" customHeight="1">
      <c r="A5715" s="162" t="s">
        <v>7874</v>
      </c>
      <c r="B5715" s="59" t="s">
        <v>21230</v>
      </c>
      <c r="C5715" s="147" t="s">
        <v>20221</v>
      </c>
      <c r="D5715" s="284" t="s">
        <v>897</v>
      </c>
      <c r="E5715" s="178">
        <v>2014</v>
      </c>
      <c r="F5715" s="178" t="s">
        <v>4520</v>
      </c>
      <c r="G5715" s="496"/>
      <c r="H5715" s="994" t="s">
        <v>20221</v>
      </c>
      <c r="I5715" s="11" t="s">
        <v>7875</v>
      </c>
      <c r="J5715" s="1285"/>
      <c r="K5715" s="1285"/>
      <c r="L5715" s="1285"/>
    </row>
    <row r="5716" spans="1:12" ht="11.15" customHeight="1">
      <c r="A5716" s="162" t="s">
        <v>7876</v>
      </c>
      <c r="B5716" s="59" t="s">
        <v>21230</v>
      </c>
      <c r="C5716" s="147" t="s">
        <v>20221</v>
      </c>
      <c r="D5716" s="284" t="s">
        <v>897</v>
      </c>
      <c r="E5716" s="178">
        <v>2013</v>
      </c>
      <c r="F5716" s="178" t="s">
        <v>4520</v>
      </c>
      <c r="G5716" s="496"/>
      <c r="H5716" s="994" t="s">
        <v>20221</v>
      </c>
      <c r="I5716" s="11" t="s">
        <v>7877</v>
      </c>
      <c r="J5716" s="1285"/>
      <c r="K5716" s="1285"/>
      <c r="L5716" s="1285"/>
    </row>
    <row r="5717" spans="1:12" ht="11.15" customHeight="1">
      <c r="A5717" s="162" t="s">
        <v>7878</v>
      </c>
      <c r="B5717" s="59" t="s">
        <v>21230</v>
      </c>
      <c r="C5717" s="147" t="s">
        <v>20221</v>
      </c>
      <c r="D5717" s="284" t="s">
        <v>897</v>
      </c>
      <c r="E5717" s="178">
        <v>2012</v>
      </c>
      <c r="F5717" s="178" t="s">
        <v>4520</v>
      </c>
      <c r="G5717" s="496"/>
      <c r="H5717" s="994" t="s">
        <v>20224</v>
      </c>
      <c r="I5717" s="11" t="s">
        <v>7879</v>
      </c>
      <c r="J5717" s="1285"/>
      <c r="K5717" s="1285"/>
      <c r="L5717" s="1285"/>
    </row>
    <row r="5718" spans="1:12" ht="11.15" customHeight="1">
      <c r="A5718" s="129" t="s">
        <v>7880</v>
      </c>
      <c r="B5718" s="177" t="s">
        <v>5452</v>
      </c>
      <c r="C5718" s="147"/>
      <c r="D5718" s="161"/>
      <c r="E5718" s="36"/>
      <c r="F5718" s="178"/>
      <c r="G5718" s="496"/>
      <c r="H5718" s="36"/>
      <c r="I5718" s="11"/>
    </row>
    <row r="5719" spans="1:12" ht="11.15" customHeight="1">
      <c r="A5719" s="162" t="s">
        <v>7881</v>
      </c>
      <c r="B5719" s="59" t="s">
        <v>21231</v>
      </c>
      <c r="C5719" s="147" t="s">
        <v>20221</v>
      </c>
      <c r="D5719" s="284" t="s">
        <v>897</v>
      </c>
      <c r="E5719" s="178">
        <v>2020</v>
      </c>
      <c r="F5719" s="178" t="s">
        <v>4520</v>
      </c>
      <c r="G5719" s="496"/>
      <c r="H5719" s="994" t="s">
        <v>20221</v>
      </c>
      <c r="I5719" s="11" t="s">
        <v>7882</v>
      </c>
      <c r="J5719" s="1285"/>
      <c r="K5719" s="1285"/>
      <c r="L5719" s="1285"/>
    </row>
    <row r="5720" spans="1:12" ht="11.15" customHeight="1">
      <c r="A5720" s="162" t="s">
        <v>7883</v>
      </c>
      <c r="B5720" s="59" t="s">
        <v>21231</v>
      </c>
      <c r="C5720" s="147" t="s">
        <v>20221</v>
      </c>
      <c r="D5720" s="284" t="s">
        <v>897</v>
      </c>
      <c r="E5720" s="178">
        <v>2019</v>
      </c>
      <c r="F5720" s="178" t="s">
        <v>4520</v>
      </c>
      <c r="G5720" s="496"/>
      <c r="H5720" s="994" t="s">
        <v>20221</v>
      </c>
      <c r="I5720" s="11" t="s">
        <v>7884</v>
      </c>
      <c r="J5720" s="1285"/>
      <c r="K5720" s="1285"/>
      <c r="L5720" s="1285"/>
    </row>
    <row r="5721" spans="1:12" ht="11.15" customHeight="1">
      <c r="A5721" s="162" t="s">
        <v>7885</v>
      </c>
      <c r="B5721" s="59" t="s">
        <v>21231</v>
      </c>
      <c r="C5721" s="147" t="s">
        <v>20221</v>
      </c>
      <c r="D5721" s="284" t="s">
        <v>897</v>
      </c>
      <c r="E5721" s="178">
        <v>2018</v>
      </c>
      <c r="F5721" s="178" t="s">
        <v>4520</v>
      </c>
      <c r="G5721" s="496"/>
      <c r="H5721" s="994" t="s">
        <v>20221</v>
      </c>
      <c r="I5721" s="11" t="s">
        <v>7886</v>
      </c>
      <c r="J5721" s="1285"/>
      <c r="K5721" s="1285"/>
      <c r="L5721" s="1285"/>
    </row>
    <row r="5722" spans="1:12" ht="11.15" customHeight="1">
      <c r="A5722" s="162" t="s">
        <v>7887</v>
      </c>
      <c r="B5722" s="59" t="s">
        <v>21231</v>
      </c>
      <c r="C5722" s="147" t="s">
        <v>20221</v>
      </c>
      <c r="D5722" s="284" t="s">
        <v>897</v>
      </c>
      <c r="E5722" s="178">
        <v>2016</v>
      </c>
      <c r="F5722" s="178" t="s">
        <v>4520</v>
      </c>
      <c r="G5722" s="496"/>
      <c r="H5722" s="994" t="s">
        <v>20221</v>
      </c>
      <c r="I5722" s="11" t="s">
        <v>7888</v>
      </c>
      <c r="J5722" s="1285"/>
      <c r="K5722" s="1285"/>
      <c r="L5722" s="1285"/>
    </row>
    <row r="5723" spans="1:12" ht="11.15" customHeight="1">
      <c r="A5723" s="162" t="s">
        <v>7889</v>
      </c>
      <c r="B5723" s="59" t="s">
        <v>21231</v>
      </c>
      <c r="C5723" s="147" t="s">
        <v>20221</v>
      </c>
      <c r="D5723" s="284" t="s">
        <v>897</v>
      </c>
      <c r="E5723" s="178">
        <v>2015</v>
      </c>
      <c r="F5723" s="178" t="s">
        <v>4520</v>
      </c>
      <c r="G5723" s="496"/>
      <c r="H5723" s="994" t="s">
        <v>20221</v>
      </c>
      <c r="I5723" s="11" t="s">
        <v>7890</v>
      </c>
      <c r="J5723" s="1285"/>
      <c r="K5723" s="1285"/>
      <c r="L5723" s="1285"/>
    </row>
    <row r="5724" spans="1:12" ht="11.15" customHeight="1">
      <c r="A5724" s="162" t="s">
        <v>7891</v>
      </c>
      <c r="B5724" s="59" t="s">
        <v>21231</v>
      </c>
      <c r="C5724" s="147" t="s">
        <v>20221</v>
      </c>
      <c r="D5724" s="284" t="s">
        <v>897</v>
      </c>
      <c r="E5724" s="178">
        <v>2014</v>
      </c>
      <c r="F5724" s="178" t="s">
        <v>4520</v>
      </c>
      <c r="G5724" s="496"/>
      <c r="H5724" s="994" t="s">
        <v>20221</v>
      </c>
      <c r="I5724" s="11" t="s">
        <v>7892</v>
      </c>
      <c r="J5724" s="1285"/>
      <c r="K5724" s="1285"/>
      <c r="L5724" s="1285"/>
    </row>
    <row r="5725" spans="1:12" ht="11.15" customHeight="1">
      <c r="A5725" s="162" t="s">
        <v>7893</v>
      </c>
      <c r="B5725" s="59" t="s">
        <v>21231</v>
      </c>
      <c r="C5725" s="147" t="s">
        <v>20221</v>
      </c>
      <c r="D5725" s="284" t="s">
        <v>897</v>
      </c>
      <c r="E5725" s="178">
        <v>2013</v>
      </c>
      <c r="F5725" s="178" t="s">
        <v>4520</v>
      </c>
      <c r="G5725" s="496"/>
      <c r="H5725" s="994" t="s">
        <v>20221</v>
      </c>
      <c r="I5725" s="11" t="s">
        <v>7894</v>
      </c>
      <c r="J5725" s="1285"/>
      <c r="K5725" s="1285"/>
      <c r="L5725" s="1285"/>
    </row>
    <row r="5726" spans="1:12" ht="11.15" customHeight="1">
      <c r="A5726" s="162" t="s">
        <v>7895</v>
      </c>
      <c r="B5726" s="59" t="s">
        <v>21231</v>
      </c>
      <c r="C5726" s="147" t="s">
        <v>20221</v>
      </c>
      <c r="D5726" s="284" t="s">
        <v>897</v>
      </c>
      <c r="E5726" s="178">
        <v>2012</v>
      </c>
      <c r="F5726" s="178" t="s">
        <v>4520</v>
      </c>
      <c r="G5726" s="496"/>
      <c r="H5726" s="994" t="s">
        <v>20221</v>
      </c>
      <c r="I5726" s="11" t="s">
        <v>7896</v>
      </c>
      <c r="J5726" s="1285"/>
      <c r="K5726" s="1285"/>
      <c r="L5726" s="1285"/>
    </row>
    <row r="5727" spans="1:12" ht="11.15" customHeight="1">
      <c r="A5727" s="29" t="s">
        <v>7897</v>
      </c>
      <c r="B5727" s="59" t="s">
        <v>21231</v>
      </c>
      <c r="C5727" s="147" t="s">
        <v>20221</v>
      </c>
      <c r="D5727" s="284" t="s">
        <v>897</v>
      </c>
      <c r="E5727" s="178">
        <v>2011</v>
      </c>
      <c r="F5727" s="178" t="s">
        <v>4520</v>
      </c>
      <c r="G5727" s="496"/>
      <c r="H5727" s="994" t="s">
        <v>20221</v>
      </c>
      <c r="I5727" s="11" t="s">
        <v>7898</v>
      </c>
      <c r="J5727" s="1285"/>
      <c r="K5727" s="1285"/>
      <c r="L5727" s="1285"/>
    </row>
    <row r="5728" spans="1:12" ht="11.15" customHeight="1">
      <c r="A5728" s="166" t="s">
        <v>7899</v>
      </c>
      <c r="B5728" s="59" t="s">
        <v>21232</v>
      </c>
      <c r="C5728" s="147" t="s">
        <v>20221</v>
      </c>
      <c r="D5728" s="284" t="s">
        <v>897</v>
      </c>
      <c r="E5728" s="178">
        <v>2020</v>
      </c>
      <c r="F5728" s="178" t="s">
        <v>4520</v>
      </c>
      <c r="G5728" s="496"/>
      <c r="H5728" s="994" t="s">
        <v>20221</v>
      </c>
      <c r="I5728" s="11" t="s">
        <v>7900</v>
      </c>
      <c r="J5728" s="1285"/>
      <c r="K5728" s="1285"/>
      <c r="L5728" s="1285"/>
    </row>
    <row r="5729" spans="1:12" ht="11.15" customHeight="1">
      <c r="A5729" s="169" t="s">
        <v>7901</v>
      </c>
      <c r="B5729" s="59" t="s">
        <v>21232</v>
      </c>
      <c r="C5729" s="147" t="s">
        <v>20221</v>
      </c>
      <c r="D5729" s="284" t="s">
        <v>897</v>
      </c>
      <c r="E5729" s="178">
        <v>2019</v>
      </c>
      <c r="F5729" s="178" t="s">
        <v>4520</v>
      </c>
      <c r="G5729" s="496"/>
      <c r="H5729" s="994" t="s">
        <v>20221</v>
      </c>
      <c r="I5729" s="11" t="s">
        <v>7902</v>
      </c>
      <c r="J5729" s="1285"/>
      <c r="K5729" s="1285"/>
      <c r="L5729" s="1285"/>
    </row>
    <row r="5730" spans="1:12" ht="11.15" customHeight="1">
      <c r="A5730" s="169" t="s">
        <v>7903</v>
      </c>
      <c r="B5730" s="59" t="s">
        <v>21232</v>
      </c>
      <c r="C5730" s="147" t="s">
        <v>20221</v>
      </c>
      <c r="D5730" s="284" t="s">
        <v>897</v>
      </c>
      <c r="E5730" s="178">
        <v>2018</v>
      </c>
      <c r="F5730" s="178" t="s">
        <v>4520</v>
      </c>
      <c r="G5730" s="496"/>
      <c r="H5730" s="994" t="s">
        <v>20221</v>
      </c>
      <c r="I5730" s="11" t="s">
        <v>7904</v>
      </c>
      <c r="J5730" s="1285"/>
      <c r="K5730" s="1285"/>
      <c r="L5730" s="1285"/>
    </row>
    <row r="5731" spans="1:12" ht="11.15" customHeight="1">
      <c r="A5731" s="481" t="s">
        <v>7905</v>
      </c>
      <c r="B5731" s="59" t="s">
        <v>21232</v>
      </c>
      <c r="C5731" s="147" t="s">
        <v>20221</v>
      </c>
      <c r="D5731" s="284" t="s">
        <v>897</v>
      </c>
      <c r="E5731" s="178">
        <v>2017</v>
      </c>
      <c r="F5731" s="178" t="s">
        <v>4520</v>
      </c>
      <c r="G5731" s="496"/>
      <c r="H5731" s="994" t="s">
        <v>20221</v>
      </c>
      <c r="I5731" s="11" t="s">
        <v>7906</v>
      </c>
      <c r="J5731" s="1285"/>
      <c r="K5731" s="1285"/>
      <c r="L5731" s="1285"/>
    </row>
    <row r="5732" spans="1:12" ht="11.15" customHeight="1">
      <c r="A5732" s="29"/>
      <c r="B5732" s="59" t="s">
        <v>21232</v>
      </c>
      <c r="C5732" s="147" t="s">
        <v>20221</v>
      </c>
      <c r="D5732" s="284" t="s">
        <v>897</v>
      </c>
      <c r="E5732" s="178">
        <v>2016</v>
      </c>
      <c r="F5732" s="178" t="s">
        <v>4520</v>
      </c>
      <c r="G5732" s="496"/>
      <c r="H5732" s="994" t="s">
        <v>20221</v>
      </c>
      <c r="I5732" s="11" t="s">
        <v>7907</v>
      </c>
      <c r="J5732" s="1285"/>
      <c r="K5732" s="1285"/>
      <c r="L5732" s="1285"/>
    </row>
    <row r="5733" spans="1:12" ht="11.15" customHeight="1">
      <c r="A5733" s="185"/>
      <c r="B5733" s="59" t="s">
        <v>21232</v>
      </c>
      <c r="C5733" s="147" t="s">
        <v>20221</v>
      </c>
      <c r="D5733" s="284" t="s">
        <v>897</v>
      </c>
      <c r="E5733" s="178">
        <v>2015</v>
      </c>
      <c r="F5733" s="178" t="s">
        <v>4520</v>
      </c>
      <c r="G5733" s="496"/>
      <c r="H5733" s="994" t="s">
        <v>20221</v>
      </c>
      <c r="I5733" s="11" t="s">
        <v>7908</v>
      </c>
      <c r="J5733" s="1285"/>
      <c r="K5733" s="1285"/>
      <c r="L5733" s="1285"/>
    </row>
    <row r="5734" spans="1:12" ht="11.15" customHeight="1">
      <c r="A5734" s="185"/>
      <c r="B5734" s="59" t="s">
        <v>21232</v>
      </c>
      <c r="C5734" s="147" t="s">
        <v>20221</v>
      </c>
      <c r="D5734" s="284" t="s">
        <v>897</v>
      </c>
      <c r="E5734" s="178">
        <v>2014</v>
      </c>
      <c r="F5734" s="178" t="s">
        <v>4520</v>
      </c>
      <c r="G5734" s="496"/>
      <c r="H5734" s="994" t="s">
        <v>20221</v>
      </c>
      <c r="I5734" s="11" t="s">
        <v>7909</v>
      </c>
      <c r="J5734" s="1285"/>
      <c r="K5734" s="1285"/>
      <c r="L5734" s="1285"/>
    </row>
    <row r="5735" spans="1:12" ht="11.15" customHeight="1">
      <c r="A5735" s="185"/>
      <c r="B5735" s="59" t="s">
        <v>21232</v>
      </c>
      <c r="C5735" s="147" t="s">
        <v>20221</v>
      </c>
      <c r="D5735" s="284" t="s">
        <v>897</v>
      </c>
      <c r="E5735" s="178">
        <v>2013</v>
      </c>
      <c r="F5735" s="178" t="s">
        <v>4520</v>
      </c>
      <c r="G5735" s="496"/>
      <c r="H5735" s="994" t="s">
        <v>20221</v>
      </c>
      <c r="I5735" s="11" t="s">
        <v>7910</v>
      </c>
      <c r="J5735" s="1285"/>
      <c r="K5735" s="1285"/>
      <c r="L5735" s="1285"/>
    </row>
    <row r="5736" spans="1:12" ht="11.15" customHeight="1">
      <c r="A5736" s="185"/>
      <c r="B5736" s="59" t="s">
        <v>21232</v>
      </c>
      <c r="C5736" s="147" t="s">
        <v>20221</v>
      </c>
      <c r="D5736" s="284" t="s">
        <v>897</v>
      </c>
      <c r="E5736" s="178">
        <v>2012</v>
      </c>
      <c r="F5736" s="178" t="s">
        <v>4520</v>
      </c>
      <c r="G5736" s="496"/>
      <c r="H5736" s="994" t="s">
        <v>20221</v>
      </c>
      <c r="I5736" s="11" t="s">
        <v>7911</v>
      </c>
      <c r="J5736" s="1285"/>
      <c r="K5736" s="1285"/>
      <c r="L5736" s="1285"/>
    </row>
    <row r="5737" spans="1:12" ht="11.15" customHeight="1">
      <c r="A5737" s="185"/>
      <c r="B5737" s="59" t="s">
        <v>21232</v>
      </c>
      <c r="C5737" s="147" t="s">
        <v>20221</v>
      </c>
      <c r="D5737" s="284" t="s">
        <v>897</v>
      </c>
      <c r="E5737" s="178">
        <v>2011</v>
      </c>
      <c r="F5737" s="178" t="s">
        <v>4520</v>
      </c>
      <c r="G5737" s="496"/>
      <c r="H5737" s="994" t="s">
        <v>20221</v>
      </c>
      <c r="I5737" s="11" t="s">
        <v>7912</v>
      </c>
      <c r="J5737" s="1285"/>
      <c r="K5737" s="1285"/>
      <c r="L5737" s="1285"/>
    </row>
    <row r="5738" spans="1:12" ht="11.15" customHeight="1">
      <c r="A5738" s="185"/>
      <c r="B5738" s="177" t="s">
        <v>6506</v>
      </c>
      <c r="C5738" s="147"/>
      <c r="D5738" s="159"/>
      <c r="E5738" s="36"/>
      <c r="F5738" s="178"/>
      <c r="G5738" s="671"/>
      <c r="H5738" s="36"/>
      <c r="I5738" s="11"/>
    </row>
    <row r="5739" spans="1:12" ht="11.15" customHeight="1">
      <c r="A5739" s="185"/>
      <c r="B5739" s="59" t="s">
        <v>21233</v>
      </c>
      <c r="C5739" s="147" t="s">
        <v>20221</v>
      </c>
      <c r="D5739" s="284" t="s">
        <v>897</v>
      </c>
      <c r="E5739" s="178">
        <v>2020</v>
      </c>
      <c r="F5739" s="178" t="s">
        <v>5257</v>
      </c>
      <c r="G5739" s="496"/>
      <c r="H5739" s="994" t="s">
        <v>20221</v>
      </c>
      <c r="I5739" s="11" t="s">
        <v>7913</v>
      </c>
      <c r="J5739" s="1285"/>
      <c r="K5739" s="1285"/>
      <c r="L5739" s="1285"/>
    </row>
    <row r="5740" spans="1:12" ht="11.15" customHeight="1">
      <c r="A5740" s="271"/>
      <c r="B5740" s="59" t="s">
        <v>21234</v>
      </c>
      <c r="C5740" s="147" t="s">
        <v>20221</v>
      </c>
      <c r="D5740" s="284" t="s">
        <v>897</v>
      </c>
      <c r="E5740" s="178">
        <v>2018</v>
      </c>
      <c r="F5740" s="178" t="s">
        <v>5257</v>
      </c>
      <c r="G5740" s="496"/>
      <c r="H5740" s="994" t="s">
        <v>20221</v>
      </c>
      <c r="I5740" s="11" t="s">
        <v>7914</v>
      </c>
      <c r="J5740" s="1285"/>
      <c r="K5740" s="1285"/>
      <c r="L5740" s="1285"/>
    </row>
    <row r="5741" spans="1:12" ht="11.15" customHeight="1">
      <c r="A5741" s="185"/>
      <c r="B5741" s="59" t="s">
        <v>21235</v>
      </c>
      <c r="C5741" s="147" t="s">
        <v>20221</v>
      </c>
      <c r="D5741" s="284" t="s">
        <v>897</v>
      </c>
      <c r="E5741" s="178">
        <v>2020</v>
      </c>
      <c r="F5741" s="178" t="s">
        <v>5257</v>
      </c>
      <c r="G5741" s="496"/>
      <c r="H5741" s="994" t="s">
        <v>20221</v>
      </c>
      <c r="I5741" s="12" t="s">
        <v>7915</v>
      </c>
      <c r="J5741" s="1285"/>
      <c r="K5741" s="1285"/>
      <c r="L5741" s="1285"/>
    </row>
    <row r="5742" spans="1:12" ht="11.15" customHeight="1">
      <c r="A5742" s="185"/>
      <c r="B5742" s="59" t="s">
        <v>21235</v>
      </c>
      <c r="C5742" s="147" t="s">
        <v>20221</v>
      </c>
      <c r="D5742" s="284" t="s">
        <v>897</v>
      </c>
      <c r="E5742" s="178">
        <v>2019</v>
      </c>
      <c r="F5742" s="178" t="s">
        <v>5257</v>
      </c>
      <c r="G5742" s="496"/>
      <c r="H5742" s="994" t="s">
        <v>20221</v>
      </c>
      <c r="I5742" s="11" t="s">
        <v>7916</v>
      </c>
      <c r="J5742" s="1285"/>
      <c r="K5742" s="1285"/>
      <c r="L5742" s="1285"/>
    </row>
    <row r="5743" spans="1:12" ht="11.15" customHeight="1">
      <c r="A5743" s="185"/>
      <c r="B5743" s="59" t="s">
        <v>21235</v>
      </c>
      <c r="C5743" s="147" t="s">
        <v>20221</v>
      </c>
      <c r="D5743" s="284" t="s">
        <v>897</v>
      </c>
      <c r="E5743" s="178">
        <v>2018</v>
      </c>
      <c r="F5743" s="178" t="s">
        <v>5257</v>
      </c>
      <c r="G5743" s="496"/>
      <c r="H5743" s="994" t="s">
        <v>20221</v>
      </c>
      <c r="I5743" s="11" t="s">
        <v>7917</v>
      </c>
      <c r="J5743" s="1285"/>
      <c r="K5743" s="1285"/>
      <c r="L5743" s="1285"/>
    </row>
    <row r="5744" spans="1:12" ht="11.15" customHeight="1">
      <c r="A5744" s="185"/>
      <c r="B5744" s="59" t="s">
        <v>21236</v>
      </c>
      <c r="C5744" s="147" t="s">
        <v>20221</v>
      </c>
      <c r="D5744" s="284" t="s">
        <v>897</v>
      </c>
      <c r="E5744" s="178">
        <v>2018</v>
      </c>
      <c r="F5744" s="178" t="s">
        <v>5257</v>
      </c>
      <c r="G5744" s="496"/>
      <c r="H5744" s="994" t="s">
        <v>20221</v>
      </c>
      <c r="I5744" s="11" t="s">
        <v>7918</v>
      </c>
      <c r="J5744" s="1285"/>
      <c r="K5744" s="1285"/>
      <c r="L5744" s="1285"/>
    </row>
    <row r="5745" spans="1:9" ht="11.15" customHeight="1">
      <c r="A5745" s="496"/>
      <c r="B5745" s="185"/>
      <c r="C5745" s="147"/>
      <c r="D5745" s="185"/>
      <c r="E5745" s="185"/>
      <c r="F5745" s="185"/>
      <c r="G5745" s="185"/>
      <c r="H5745" s="185"/>
      <c r="I5745" s="11"/>
    </row>
    <row r="5746" spans="1:9" ht="9.75" customHeight="1">
      <c r="A5746" s="129"/>
      <c r="B5746" s="413" t="s">
        <v>7919</v>
      </c>
      <c r="C5746" s="147"/>
      <c r="D5746" s="161"/>
      <c r="E5746" s="36"/>
      <c r="F5746" s="178"/>
      <c r="G5746" s="496"/>
      <c r="H5746" s="36"/>
      <c r="I5746" s="11"/>
    </row>
    <row r="5747" spans="1:9" ht="9" customHeight="1">
      <c r="A5747" s="129"/>
      <c r="B5747" s="209" t="s">
        <v>7920</v>
      </c>
      <c r="C5747" s="147"/>
      <c r="D5747" s="161"/>
      <c r="E5747" s="36"/>
      <c r="F5747" s="178"/>
      <c r="G5747" s="496"/>
      <c r="H5747" s="36"/>
      <c r="I5747" s="11"/>
    </row>
    <row r="5748" spans="1:9" ht="9" customHeight="1">
      <c r="A5748" s="129"/>
      <c r="B5748" s="209" t="s">
        <v>7921</v>
      </c>
      <c r="C5748" s="147"/>
      <c r="D5748" s="161"/>
      <c r="E5748" s="36"/>
      <c r="F5748" s="178"/>
      <c r="G5748" s="496"/>
      <c r="H5748" s="36"/>
      <c r="I5748" s="11"/>
    </row>
    <row r="5749" spans="1:9" ht="9" customHeight="1">
      <c r="A5749" s="129"/>
      <c r="B5749" s="150" t="s">
        <v>7922</v>
      </c>
      <c r="C5749" s="147"/>
      <c r="D5749" s="161"/>
      <c r="E5749" s="36"/>
      <c r="F5749" s="178"/>
      <c r="G5749" s="496"/>
      <c r="H5749" s="36"/>
      <c r="I5749" s="11"/>
    </row>
    <row r="5750" spans="1:9" ht="9" customHeight="1">
      <c r="A5750" s="129"/>
      <c r="B5750" s="150" t="s">
        <v>7923</v>
      </c>
      <c r="C5750" s="147"/>
      <c r="D5750" s="161"/>
      <c r="E5750" s="36"/>
      <c r="F5750" s="178"/>
      <c r="G5750" s="496"/>
      <c r="H5750" s="36"/>
      <c r="I5750" s="11"/>
    </row>
    <row r="5751" spans="1:9" ht="9" customHeight="1">
      <c r="A5751" s="129"/>
      <c r="B5751" s="150" t="s">
        <v>7924</v>
      </c>
      <c r="C5751" s="147"/>
      <c r="D5751" s="161"/>
      <c r="E5751" s="36"/>
      <c r="F5751" s="178"/>
      <c r="G5751" s="496"/>
      <c r="H5751" s="36"/>
      <c r="I5751" s="11"/>
    </row>
    <row r="5752" spans="1:9" ht="9" customHeight="1">
      <c r="A5752" s="129"/>
      <c r="B5752" s="150" t="s">
        <v>7925</v>
      </c>
      <c r="C5752" s="147"/>
      <c r="D5752" s="161"/>
      <c r="E5752" s="36"/>
      <c r="F5752" s="178"/>
      <c r="G5752" s="496"/>
      <c r="H5752" s="36"/>
      <c r="I5752" s="11"/>
    </row>
    <row r="5753" spans="1:9" ht="9" customHeight="1">
      <c r="A5753" s="129"/>
      <c r="B5753" s="150" t="s">
        <v>7926</v>
      </c>
      <c r="C5753" s="147"/>
      <c r="D5753" s="161"/>
      <c r="E5753" s="36"/>
      <c r="F5753" s="178"/>
      <c r="G5753" s="496"/>
      <c r="H5753" s="36"/>
      <c r="I5753" s="11"/>
    </row>
    <row r="5754" spans="1:9" ht="9" customHeight="1">
      <c r="A5754" s="129"/>
      <c r="B5754" s="150" t="s">
        <v>7927</v>
      </c>
      <c r="C5754" s="147"/>
      <c r="D5754" s="161"/>
      <c r="E5754" s="36"/>
      <c r="F5754" s="178"/>
      <c r="G5754" s="496"/>
      <c r="H5754" s="36"/>
      <c r="I5754" s="11"/>
    </row>
    <row r="5755" spans="1:9" ht="9" customHeight="1">
      <c r="A5755" s="129"/>
      <c r="B5755" s="150" t="s">
        <v>7928</v>
      </c>
      <c r="C5755" s="147"/>
      <c r="D5755" s="161"/>
      <c r="E5755" s="36"/>
      <c r="F5755" s="178"/>
      <c r="G5755" s="496"/>
      <c r="H5755" s="36"/>
      <c r="I5755" s="11"/>
    </row>
    <row r="5756" spans="1:9" ht="9" customHeight="1">
      <c r="A5756" s="129"/>
      <c r="B5756" s="150" t="s">
        <v>7929</v>
      </c>
      <c r="C5756" s="147"/>
      <c r="D5756" s="161"/>
      <c r="E5756" s="36"/>
      <c r="F5756" s="178"/>
      <c r="G5756" s="496"/>
      <c r="H5756" s="36"/>
      <c r="I5756" s="11"/>
    </row>
    <row r="5757" spans="1:9" ht="9" customHeight="1">
      <c r="A5757" s="129"/>
      <c r="B5757" s="150" t="s">
        <v>7930</v>
      </c>
      <c r="C5757" s="147"/>
      <c r="D5757" s="161"/>
      <c r="E5757" s="36"/>
      <c r="F5757" s="178"/>
      <c r="G5757" s="496"/>
      <c r="H5757" s="36"/>
      <c r="I5757" s="11"/>
    </row>
    <row r="5758" spans="1:9" ht="9" customHeight="1">
      <c r="A5758" s="129"/>
      <c r="B5758" s="150" t="s">
        <v>7931</v>
      </c>
      <c r="C5758" s="147"/>
      <c r="D5758" s="161"/>
      <c r="E5758" s="36"/>
      <c r="F5758" s="178"/>
      <c r="G5758" s="496"/>
      <c r="H5758" s="36"/>
      <c r="I5758" s="11"/>
    </row>
    <row r="5759" spans="1:9" ht="9" customHeight="1">
      <c r="A5759" s="129"/>
      <c r="B5759" s="150" t="s">
        <v>7932</v>
      </c>
      <c r="C5759" s="147"/>
      <c r="D5759" s="161"/>
      <c r="E5759" s="36"/>
      <c r="F5759" s="178"/>
      <c r="G5759" s="496"/>
      <c r="H5759" s="36"/>
      <c r="I5759" s="11"/>
    </row>
    <row r="5760" spans="1:9" ht="9" customHeight="1">
      <c r="A5760" s="129"/>
      <c r="B5760" s="150" t="s">
        <v>7933</v>
      </c>
      <c r="C5760" s="147"/>
      <c r="D5760" s="161"/>
      <c r="E5760" s="36"/>
      <c r="F5760" s="178"/>
      <c r="G5760" s="496"/>
      <c r="H5760" s="36"/>
      <c r="I5760" s="11"/>
    </row>
    <row r="5761" spans="1:12" ht="9" customHeight="1">
      <c r="A5761" s="129"/>
      <c r="B5761" s="150" t="s">
        <v>7934</v>
      </c>
      <c r="C5761" s="147"/>
      <c r="D5761" s="161"/>
      <c r="E5761" s="36"/>
      <c r="F5761" s="178"/>
      <c r="G5761" s="496"/>
      <c r="H5761" s="36"/>
      <c r="I5761" s="11"/>
    </row>
    <row r="5762" spans="1:12" ht="9" customHeight="1">
      <c r="A5762" s="129"/>
      <c r="B5762" s="150" t="s">
        <v>7935</v>
      </c>
      <c r="C5762" s="147"/>
      <c r="D5762" s="161"/>
      <c r="E5762" s="36"/>
      <c r="F5762" s="178"/>
      <c r="G5762" s="496"/>
      <c r="H5762" s="36"/>
      <c r="I5762" s="11"/>
    </row>
    <row r="5763" spans="1:12" ht="9" customHeight="1">
      <c r="A5763" s="129"/>
      <c r="B5763" s="150" t="s">
        <v>7936</v>
      </c>
      <c r="C5763" s="147"/>
      <c r="D5763" s="161"/>
      <c r="E5763" s="36"/>
      <c r="F5763" s="178"/>
      <c r="G5763" s="496"/>
      <c r="H5763" s="36"/>
      <c r="I5763" s="11"/>
    </row>
    <row r="5764" spans="1:12" ht="9" customHeight="1">
      <c r="A5764" s="129"/>
      <c r="B5764" s="150" t="s">
        <v>7937</v>
      </c>
      <c r="C5764" s="147"/>
      <c r="D5764" s="161"/>
      <c r="E5764" s="36"/>
      <c r="F5764" s="178"/>
      <c r="G5764" s="496"/>
      <c r="H5764" s="36"/>
      <c r="I5764" s="11"/>
    </row>
    <row r="5765" spans="1:12" ht="9" customHeight="1">
      <c r="A5765" s="129"/>
      <c r="B5765" s="150" t="s">
        <v>7938</v>
      </c>
      <c r="C5765" s="147"/>
      <c r="D5765" s="161"/>
      <c r="E5765" s="36"/>
      <c r="F5765" s="178"/>
      <c r="G5765" s="496"/>
      <c r="H5765" s="36"/>
      <c r="I5765" s="11"/>
    </row>
    <row r="5766" spans="1:12" ht="9" customHeight="1">
      <c r="A5766" s="129"/>
      <c r="B5766" s="150" t="s">
        <v>7939</v>
      </c>
      <c r="C5766" s="147"/>
      <c r="D5766" s="122"/>
      <c r="E5766" s="36"/>
      <c r="F5766" s="178"/>
      <c r="G5766" s="60"/>
      <c r="H5766" s="36"/>
      <c r="I5766" s="11"/>
    </row>
    <row r="5767" spans="1:12" ht="9" customHeight="1">
      <c r="A5767" s="129"/>
      <c r="B5767" s="209" t="s">
        <v>7940</v>
      </c>
      <c r="C5767" s="147"/>
      <c r="D5767" s="122"/>
      <c r="E5767" s="36"/>
      <c r="F5767" s="178"/>
      <c r="G5767" s="60"/>
      <c r="H5767" s="36"/>
      <c r="I5767" s="11"/>
    </row>
    <row r="5768" spans="1:12" ht="9" customHeight="1" thickBot="1">
      <c r="A5768" s="129"/>
      <c r="B5768" s="209" t="s">
        <v>7941</v>
      </c>
      <c r="C5768" s="147"/>
      <c r="D5768" s="122"/>
      <c r="E5768" s="36"/>
      <c r="F5768" s="178"/>
      <c r="G5768" s="60"/>
      <c r="H5768" s="36"/>
      <c r="I5768" s="11"/>
    </row>
    <row r="5769" spans="1:12" ht="11.15" customHeight="1">
      <c r="A5769" s="281" t="s">
        <v>7942</v>
      </c>
      <c r="B5769" s="177" t="s">
        <v>7943</v>
      </c>
      <c r="C5769" s="147"/>
      <c r="D5769" s="185"/>
      <c r="E5769" s="185"/>
      <c r="F5769" s="185"/>
      <c r="G5769" s="185"/>
      <c r="H5769" s="185"/>
      <c r="I5769" s="11"/>
    </row>
    <row r="5770" spans="1:12" ht="11.15" customHeight="1" thickBot="1">
      <c r="A5770" s="230" t="s">
        <v>7944</v>
      </c>
      <c r="B5770" s="59" t="s">
        <v>21238</v>
      </c>
      <c r="C5770" s="147" t="s">
        <v>20221</v>
      </c>
      <c r="D5770" s="284" t="s">
        <v>897</v>
      </c>
      <c r="E5770" s="178">
        <v>2017</v>
      </c>
      <c r="F5770" s="178" t="s">
        <v>4520</v>
      </c>
      <c r="G5770" s="496"/>
      <c r="H5770" s="994" t="s">
        <v>20221</v>
      </c>
      <c r="I5770" s="11" t="s">
        <v>7945</v>
      </c>
      <c r="J5770" s="1285"/>
      <c r="K5770" s="1285"/>
      <c r="L5770" s="1285"/>
    </row>
    <row r="5771" spans="1:12" ht="11.15" customHeight="1">
      <c r="A5771" s="29" t="s">
        <v>7946</v>
      </c>
      <c r="B5771" s="59" t="s">
        <v>21238</v>
      </c>
      <c r="C5771" s="147" t="s">
        <v>20221</v>
      </c>
      <c r="D5771" s="284" t="s">
        <v>897</v>
      </c>
      <c r="E5771" s="178">
        <v>2016</v>
      </c>
      <c r="F5771" s="178" t="s">
        <v>4520</v>
      </c>
      <c r="G5771" s="496"/>
      <c r="H5771" s="994" t="s">
        <v>20221</v>
      </c>
      <c r="I5771" s="11" t="s">
        <v>7947</v>
      </c>
      <c r="J5771" s="1285"/>
      <c r="K5771" s="1285"/>
      <c r="L5771" s="1285"/>
    </row>
    <row r="5772" spans="1:12" ht="11.15" customHeight="1">
      <c r="A5772" s="29" t="s">
        <v>7948</v>
      </c>
      <c r="B5772" s="59" t="s">
        <v>21238</v>
      </c>
      <c r="C5772" s="147" t="s">
        <v>20221</v>
      </c>
      <c r="D5772" s="284" t="s">
        <v>897</v>
      </c>
      <c r="E5772" s="178">
        <v>2015</v>
      </c>
      <c r="F5772" s="178" t="s">
        <v>23395</v>
      </c>
      <c r="G5772" s="496"/>
      <c r="H5772" s="994" t="s">
        <v>20221</v>
      </c>
      <c r="I5772" s="11" t="s">
        <v>7949</v>
      </c>
      <c r="J5772" s="1285"/>
      <c r="K5772" s="1285"/>
      <c r="L5772" s="1285"/>
    </row>
    <row r="5773" spans="1:12" ht="11.15" customHeight="1">
      <c r="A5773" s="218" t="s">
        <v>1595</v>
      </c>
      <c r="B5773" s="59" t="s">
        <v>21238</v>
      </c>
      <c r="C5773" s="147" t="s">
        <v>20221</v>
      </c>
      <c r="D5773" s="284" t="s">
        <v>897</v>
      </c>
      <c r="E5773" s="178">
        <v>2014</v>
      </c>
      <c r="F5773" s="178" t="s">
        <v>4520</v>
      </c>
      <c r="G5773" s="496"/>
      <c r="H5773" s="994" t="s">
        <v>20221</v>
      </c>
      <c r="I5773" s="11" t="s">
        <v>6294</v>
      </c>
      <c r="J5773" s="1285"/>
      <c r="K5773" s="1285"/>
      <c r="L5773" s="1285"/>
    </row>
    <row r="5774" spans="1:12" ht="11.15" customHeight="1">
      <c r="A5774" s="195" t="s">
        <v>7950</v>
      </c>
      <c r="B5774" s="59" t="s">
        <v>21239</v>
      </c>
      <c r="C5774" s="147" t="s">
        <v>20221</v>
      </c>
      <c r="D5774" s="284" t="s">
        <v>897</v>
      </c>
      <c r="E5774" s="178">
        <v>2011</v>
      </c>
      <c r="F5774" s="178" t="s">
        <v>23395</v>
      </c>
      <c r="G5774" s="496"/>
      <c r="H5774" s="994" t="s">
        <v>20221</v>
      </c>
      <c r="I5774" s="11" t="s">
        <v>7951</v>
      </c>
      <c r="J5774" s="1285"/>
      <c r="K5774" s="1285"/>
      <c r="L5774" s="1285"/>
    </row>
    <row r="5775" spans="1:12" ht="11.15" customHeight="1">
      <c r="A5775" s="29" t="s">
        <v>7952</v>
      </c>
      <c r="B5775" s="59" t="s">
        <v>21240</v>
      </c>
      <c r="C5775" s="147" t="s">
        <v>20221</v>
      </c>
      <c r="D5775" s="284" t="s">
        <v>897</v>
      </c>
      <c r="E5775" s="178" t="s">
        <v>20221</v>
      </c>
      <c r="F5775" s="178" t="s">
        <v>4520</v>
      </c>
      <c r="G5775" s="496" t="s">
        <v>20221</v>
      </c>
      <c r="H5775" s="994" t="s">
        <v>3907</v>
      </c>
      <c r="I5775" s="11" t="s">
        <v>7953</v>
      </c>
      <c r="J5775" s="1285"/>
      <c r="K5775" s="1285"/>
      <c r="L5775" s="1285"/>
    </row>
    <row r="5776" spans="1:12" ht="11.15" customHeight="1">
      <c r="A5776" s="29" t="s">
        <v>7954</v>
      </c>
      <c r="B5776" s="59" t="s">
        <v>21241</v>
      </c>
      <c r="C5776" s="147" t="s">
        <v>20221</v>
      </c>
      <c r="D5776" s="284" t="s">
        <v>897</v>
      </c>
      <c r="E5776" s="178" t="s">
        <v>20221</v>
      </c>
      <c r="F5776" s="178" t="s">
        <v>4520</v>
      </c>
      <c r="G5776" s="496" t="s">
        <v>20221</v>
      </c>
      <c r="H5776" s="994" t="s">
        <v>3907</v>
      </c>
      <c r="I5776" s="11" t="s">
        <v>7955</v>
      </c>
      <c r="J5776" s="1285"/>
      <c r="K5776" s="1285"/>
      <c r="L5776" s="1285"/>
    </row>
    <row r="5777" spans="1:12" ht="11.15" customHeight="1">
      <c r="A5777" s="29" t="s">
        <v>7956</v>
      </c>
      <c r="B5777" s="59" t="s">
        <v>21242</v>
      </c>
      <c r="C5777" s="147" t="s">
        <v>20221</v>
      </c>
      <c r="D5777" s="284" t="s">
        <v>897</v>
      </c>
      <c r="E5777" s="178" t="s">
        <v>20221</v>
      </c>
      <c r="F5777" s="178" t="s">
        <v>4520</v>
      </c>
      <c r="G5777" s="496" t="s">
        <v>20221</v>
      </c>
      <c r="H5777" s="994" t="s">
        <v>3907</v>
      </c>
      <c r="I5777" s="11" t="s">
        <v>7957</v>
      </c>
      <c r="J5777" s="1285"/>
      <c r="K5777" s="1285"/>
      <c r="L5777" s="1285"/>
    </row>
    <row r="5778" spans="1:12" ht="11.15" customHeight="1">
      <c r="A5778" s="29" t="s">
        <v>7958</v>
      </c>
      <c r="B5778" s="59" t="s">
        <v>21243</v>
      </c>
      <c r="C5778" s="147" t="s">
        <v>20221</v>
      </c>
      <c r="D5778" s="284" t="s">
        <v>897</v>
      </c>
      <c r="E5778" s="178">
        <v>2021</v>
      </c>
      <c r="F5778" s="178" t="s">
        <v>4520</v>
      </c>
      <c r="G5778" s="496"/>
      <c r="H5778" s="994" t="s">
        <v>20221</v>
      </c>
      <c r="I5778" s="11" t="s">
        <v>7959</v>
      </c>
      <c r="J5778" s="1285"/>
      <c r="K5778" s="1285"/>
      <c r="L5778" s="1285"/>
    </row>
    <row r="5779" spans="1:12" ht="11.15" customHeight="1">
      <c r="A5779" s="29" t="s">
        <v>7960</v>
      </c>
      <c r="B5779" s="177" t="s">
        <v>2242</v>
      </c>
      <c r="C5779" s="147"/>
      <c r="D5779" s="159"/>
      <c r="E5779" s="36"/>
      <c r="F5779" s="178"/>
      <c r="G5779" s="496"/>
      <c r="H5779" s="36"/>
      <c r="I5779" s="11"/>
    </row>
    <row r="5780" spans="1:12" ht="11.15" customHeight="1">
      <c r="A5780" s="29" t="s">
        <v>7961</v>
      </c>
      <c r="B5780" s="59" t="s">
        <v>21244</v>
      </c>
      <c r="C5780" s="147" t="s">
        <v>20221</v>
      </c>
      <c r="D5780" s="701" t="s">
        <v>1129</v>
      </c>
      <c r="E5780" s="178" t="s">
        <v>20221</v>
      </c>
      <c r="F5780" s="178" t="s">
        <v>4520</v>
      </c>
      <c r="G5780" s="496" t="s">
        <v>20221</v>
      </c>
      <c r="H5780" s="996" t="s">
        <v>3907</v>
      </c>
      <c r="I5780" s="11" t="s">
        <v>7962</v>
      </c>
      <c r="J5780" s="1285"/>
      <c r="K5780" s="1285"/>
      <c r="L5780" s="1285"/>
    </row>
    <row r="5781" spans="1:12" ht="11.15" customHeight="1">
      <c r="A5781" s="129" t="s">
        <v>7963</v>
      </c>
      <c r="B5781" s="59" t="s">
        <v>21245</v>
      </c>
      <c r="C5781" s="147" t="s">
        <v>20221</v>
      </c>
      <c r="D5781" s="701" t="s">
        <v>1129</v>
      </c>
      <c r="E5781" s="178">
        <v>2022</v>
      </c>
      <c r="F5781" s="178" t="s">
        <v>4520</v>
      </c>
      <c r="G5781" s="496"/>
      <c r="H5781" s="994" t="s">
        <v>20221</v>
      </c>
      <c r="I5781" s="11" t="s">
        <v>7964</v>
      </c>
      <c r="J5781" s="1285"/>
      <c r="K5781" s="1285"/>
      <c r="L5781" s="1285"/>
    </row>
    <row r="5782" spans="1:12" ht="11.15" customHeight="1">
      <c r="A5782" s="162" t="s">
        <v>7965</v>
      </c>
      <c r="B5782" s="177" t="s">
        <v>6205</v>
      </c>
      <c r="C5782" s="147"/>
      <c r="D5782" s="185"/>
      <c r="E5782" s="185"/>
      <c r="F5782" s="185"/>
      <c r="G5782" s="185"/>
      <c r="H5782" s="185"/>
      <c r="I5782" s="11"/>
    </row>
    <row r="5783" spans="1:12" ht="11.15" customHeight="1">
      <c r="A5783" s="162" t="s">
        <v>7966</v>
      </c>
      <c r="B5783" s="59" t="s">
        <v>21246</v>
      </c>
      <c r="C5783" s="147" t="s">
        <v>20221</v>
      </c>
      <c r="D5783" s="701" t="s">
        <v>1129</v>
      </c>
      <c r="E5783" s="178">
        <v>2020</v>
      </c>
      <c r="F5783" s="178" t="s">
        <v>23395</v>
      </c>
      <c r="G5783" s="496"/>
      <c r="H5783" s="994" t="s">
        <v>20221</v>
      </c>
      <c r="I5783" s="11" t="s">
        <v>7967</v>
      </c>
      <c r="J5783" s="1285"/>
      <c r="K5783" s="1285"/>
      <c r="L5783" s="1285"/>
    </row>
    <row r="5784" spans="1:12" ht="11.15" customHeight="1">
      <c r="A5784" s="162" t="s">
        <v>7968</v>
      </c>
      <c r="B5784" s="59" t="s">
        <v>21247</v>
      </c>
      <c r="C5784" s="147" t="s">
        <v>20221</v>
      </c>
      <c r="D5784" s="701" t="s">
        <v>1129</v>
      </c>
      <c r="E5784" s="178" t="s">
        <v>20221</v>
      </c>
      <c r="F5784" s="178" t="s">
        <v>4520</v>
      </c>
      <c r="G5784" s="496" t="s">
        <v>20221</v>
      </c>
      <c r="H5784" s="994" t="s">
        <v>3907</v>
      </c>
      <c r="I5784" s="11" t="s">
        <v>7969</v>
      </c>
      <c r="J5784" s="1285"/>
      <c r="K5784" s="1285"/>
      <c r="L5784" s="1285"/>
    </row>
    <row r="5785" spans="1:12" ht="11.15" customHeight="1">
      <c r="A5785" s="162" t="s">
        <v>7970</v>
      </c>
      <c r="B5785" s="59" t="s">
        <v>21248</v>
      </c>
      <c r="C5785" s="147" t="s">
        <v>20221</v>
      </c>
      <c r="D5785" s="701" t="s">
        <v>1129</v>
      </c>
      <c r="E5785" s="178" t="s">
        <v>20221</v>
      </c>
      <c r="F5785" s="178" t="s">
        <v>4520</v>
      </c>
      <c r="G5785" s="496" t="s">
        <v>20221</v>
      </c>
      <c r="H5785" s="994" t="s">
        <v>3907</v>
      </c>
      <c r="I5785" s="11" t="s">
        <v>7971</v>
      </c>
      <c r="J5785" s="1285"/>
      <c r="K5785" s="1285"/>
      <c r="L5785" s="1285"/>
    </row>
    <row r="5786" spans="1:12" ht="11.15" customHeight="1">
      <c r="A5786" s="162" t="s">
        <v>7972</v>
      </c>
      <c r="B5786" s="59" t="s">
        <v>21249</v>
      </c>
      <c r="C5786" s="147" t="s">
        <v>20221</v>
      </c>
      <c r="D5786" s="701" t="s">
        <v>1129</v>
      </c>
      <c r="E5786" s="178" t="s">
        <v>20221</v>
      </c>
      <c r="F5786" s="178" t="s">
        <v>4520</v>
      </c>
      <c r="G5786" s="496" t="s">
        <v>20221</v>
      </c>
      <c r="H5786" s="994" t="s">
        <v>3907</v>
      </c>
      <c r="I5786" s="11" t="s">
        <v>7973</v>
      </c>
      <c r="J5786" s="1285"/>
      <c r="K5786" s="1285"/>
      <c r="L5786" s="1285"/>
    </row>
    <row r="5787" spans="1:12" ht="11.15" customHeight="1">
      <c r="A5787" s="162" t="s">
        <v>7974</v>
      </c>
      <c r="B5787" s="59" t="s">
        <v>21250</v>
      </c>
      <c r="C5787" s="147" t="s">
        <v>20221</v>
      </c>
      <c r="D5787" s="701" t="s">
        <v>1129</v>
      </c>
      <c r="E5787" s="178" t="s">
        <v>20221</v>
      </c>
      <c r="F5787" s="178" t="s">
        <v>4520</v>
      </c>
      <c r="G5787" s="496" t="s">
        <v>20221</v>
      </c>
      <c r="H5787" s="994" t="s">
        <v>3907</v>
      </c>
      <c r="I5787" s="11" t="s">
        <v>7975</v>
      </c>
      <c r="J5787" s="1285"/>
      <c r="K5787" s="1285"/>
      <c r="L5787" s="1285"/>
    </row>
    <row r="5788" spans="1:12" ht="11.15" customHeight="1">
      <c r="A5788" s="162" t="s">
        <v>7976</v>
      </c>
      <c r="B5788" s="185"/>
      <c r="C5788" s="147"/>
      <c r="D5788" s="185"/>
      <c r="E5788" s="185"/>
      <c r="F5788" s="185"/>
      <c r="G5788" s="185"/>
      <c r="H5788" s="185"/>
      <c r="I5788" s="11"/>
    </row>
    <row r="5789" spans="1:12" ht="11.15" customHeight="1">
      <c r="A5789" s="129" t="s">
        <v>7977</v>
      </c>
      <c r="B5789" s="185"/>
      <c r="C5789" s="147"/>
      <c r="D5789" s="185"/>
      <c r="E5789" s="185"/>
      <c r="F5789" s="185"/>
      <c r="G5789" s="185"/>
      <c r="H5789" s="185"/>
      <c r="I5789" s="11"/>
    </row>
    <row r="5790" spans="1:12" ht="11.15" customHeight="1">
      <c r="A5790" s="162" t="s">
        <v>7978</v>
      </c>
      <c r="B5790" s="185"/>
      <c r="C5790" s="147"/>
      <c r="D5790" s="185"/>
      <c r="E5790" s="185"/>
      <c r="F5790" s="185"/>
      <c r="G5790" s="185"/>
      <c r="H5790" s="185"/>
      <c r="I5790" s="11"/>
    </row>
    <row r="5791" spans="1:12" ht="11.15" customHeight="1">
      <c r="A5791" s="162" t="s">
        <v>7979</v>
      </c>
      <c r="B5791" s="185"/>
      <c r="C5791" s="147"/>
      <c r="D5791" s="185"/>
      <c r="E5791" s="185"/>
      <c r="F5791" s="185"/>
      <c r="G5791" s="185"/>
      <c r="H5791" s="185"/>
      <c r="I5791" s="11"/>
    </row>
    <row r="5792" spans="1:12" ht="11.15" customHeight="1">
      <c r="A5792" s="162" t="s">
        <v>7980</v>
      </c>
      <c r="B5792" s="185"/>
      <c r="C5792" s="147"/>
      <c r="D5792" s="185"/>
      <c r="E5792" s="185"/>
      <c r="F5792" s="185"/>
      <c r="G5792" s="185"/>
      <c r="H5792" s="185"/>
      <c r="I5792" s="11"/>
    </row>
    <row r="5793" spans="1:12" ht="11.15" customHeight="1">
      <c r="A5793" s="162" t="s">
        <v>7981</v>
      </c>
      <c r="B5793" s="185"/>
      <c r="C5793" s="147"/>
      <c r="D5793" s="185"/>
      <c r="E5793" s="185"/>
      <c r="F5793" s="185"/>
      <c r="G5793" s="185"/>
      <c r="H5793" s="185"/>
      <c r="I5793" s="11"/>
    </row>
    <row r="5794" spans="1:12" ht="11.15" customHeight="1">
      <c r="A5794" s="162" t="s">
        <v>7982</v>
      </c>
      <c r="B5794" s="185"/>
      <c r="C5794" s="147"/>
      <c r="D5794" s="185"/>
      <c r="E5794" s="185"/>
      <c r="F5794" s="185"/>
      <c r="G5794" s="185"/>
      <c r="H5794" s="185"/>
      <c r="I5794" s="11"/>
    </row>
    <row r="5795" spans="1:12" ht="11.15" customHeight="1">
      <c r="A5795" s="29" t="s">
        <v>7983</v>
      </c>
      <c r="B5795" s="185"/>
      <c r="C5795" s="147"/>
      <c r="D5795" s="185"/>
      <c r="E5795" s="185"/>
      <c r="F5795" s="185"/>
      <c r="G5795" s="185"/>
      <c r="H5795" s="185"/>
      <c r="I5795" s="11"/>
    </row>
    <row r="5796" spans="1:12" ht="11.15" customHeight="1">
      <c r="A5796" s="29" t="s">
        <v>7984</v>
      </c>
      <c r="B5796" s="185"/>
      <c r="C5796" s="147"/>
      <c r="D5796" s="185"/>
      <c r="E5796" s="185"/>
      <c r="F5796" s="185"/>
      <c r="G5796" s="185"/>
      <c r="H5796" s="185"/>
      <c r="I5796" s="11"/>
    </row>
    <row r="5797" spans="1:12" ht="11.15" customHeight="1">
      <c r="A5797" s="169" t="s">
        <v>7985</v>
      </c>
      <c r="B5797" s="185"/>
      <c r="C5797" s="147"/>
      <c r="D5797" s="185"/>
      <c r="E5797" s="185"/>
      <c r="F5797" s="185"/>
      <c r="G5797" s="185"/>
      <c r="H5797" s="185"/>
      <c r="I5797" s="11"/>
    </row>
    <row r="5798" spans="1:12" ht="11.15" customHeight="1">
      <c r="A5798" s="481" t="s">
        <v>7986</v>
      </c>
      <c r="B5798" s="185"/>
      <c r="C5798" s="147"/>
      <c r="D5798" s="185"/>
      <c r="E5798" s="185"/>
      <c r="F5798" s="185"/>
      <c r="G5798" s="185"/>
      <c r="H5798" s="185"/>
      <c r="I5798" s="11"/>
    </row>
    <row r="5799" spans="1:12" ht="11.15" customHeight="1" thickBot="1">
      <c r="A5799" s="29"/>
      <c r="B5799" s="185"/>
      <c r="C5799" s="147"/>
      <c r="D5799" s="185"/>
      <c r="E5799" s="185"/>
      <c r="F5799" s="185"/>
      <c r="G5799" s="185"/>
      <c r="H5799" s="185"/>
      <c r="I5799" s="11"/>
    </row>
    <row r="5800" spans="1:12" ht="24" customHeight="1" thickBot="1">
      <c r="A5800" s="509"/>
      <c r="B5800" s="64" t="s">
        <v>7987</v>
      </c>
      <c r="C5800" s="170"/>
      <c r="D5800" s="139"/>
      <c r="E5800" s="510"/>
      <c r="F5800" s="1080"/>
      <c r="G5800" s="1142"/>
      <c r="H5800" s="516"/>
      <c r="I5800" s="11"/>
    </row>
    <row r="5801" spans="1:12" ht="11.15" customHeight="1" thickBot="1">
      <c r="A5801" s="184" t="s">
        <v>7988</v>
      </c>
      <c r="B5801" s="177" t="s">
        <v>7989</v>
      </c>
      <c r="C5801" s="147"/>
      <c r="D5801" s="159"/>
      <c r="E5801" s="36"/>
      <c r="F5801" s="178"/>
      <c r="G5801" s="496"/>
      <c r="H5801" s="36"/>
      <c r="I5801" s="11"/>
    </row>
    <row r="5802" spans="1:12" ht="11.15" customHeight="1">
      <c r="A5802" s="29" t="s">
        <v>7990</v>
      </c>
      <c r="B5802" s="59" t="s">
        <v>21252</v>
      </c>
      <c r="C5802" s="147" t="s">
        <v>20221</v>
      </c>
      <c r="D5802" s="701" t="s">
        <v>1129</v>
      </c>
      <c r="E5802" s="178">
        <v>2021</v>
      </c>
      <c r="F5802" s="178" t="s">
        <v>4520</v>
      </c>
      <c r="G5802" s="496"/>
      <c r="H5802" s="994" t="s">
        <v>20221</v>
      </c>
      <c r="I5802" s="11" t="s">
        <v>7991</v>
      </c>
      <c r="J5802" s="1285"/>
      <c r="K5802" s="1285"/>
      <c r="L5802" s="1285"/>
    </row>
    <row r="5803" spans="1:12" ht="11.15" customHeight="1">
      <c r="A5803" s="29" t="s">
        <v>7992</v>
      </c>
      <c r="B5803" s="59" t="s">
        <v>21252</v>
      </c>
      <c r="C5803" s="147" t="s">
        <v>20221</v>
      </c>
      <c r="D5803" s="701" t="s">
        <v>1129</v>
      </c>
      <c r="E5803" s="178">
        <v>2020</v>
      </c>
      <c r="F5803" s="178" t="s">
        <v>4520</v>
      </c>
      <c r="G5803" s="496"/>
      <c r="H5803" s="994" t="s">
        <v>20221</v>
      </c>
      <c r="I5803" s="11" t="s">
        <v>7993</v>
      </c>
      <c r="J5803" s="1285"/>
      <c r="K5803" s="1285"/>
      <c r="L5803" s="1285"/>
    </row>
    <row r="5804" spans="1:12" ht="11.15" customHeight="1">
      <c r="A5804" s="29" t="s">
        <v>6879</v>
      </c>
      <c r="B5804" s="177" t="s">
        <v>7994</v>
      </c>
      <c r="C5804" s="147"/>
      <c r="D5804" s="122"/>
      <c r="E5804" s="36"/>
      <c r="F5804" s="178"/>
      <c r="G5804" s="671"/>
      <c r="H5804" s="36"/>
      <c r="I5804" s="11"/>
    </row>
    <row r="5805" spans="1:12" ht="11.15" customHeight="1">
      <c r="A5805" s="181" t="s">
        <v>7995</v>
      </c>
      <c r="B5805" s="59" t="s">
        <v>21253</v>
      </c>
      <c r="C5805" s="147" t="s">
        <v>20221</v>
      </c>
      <c r="D5805" s="284" t="s">
        <v>897</v>
      </c>
      <c r="E5805" s="178">
        <v>2022</v>
      </c>
      <c r="F5805" s="178" t="s">
        <v>4520</v>
      </c>
      <c r="G5805" s="496"/>
      <c r="H5805" s="994" t="s">
        <v>20221</v>
      </c>
      <c r="I5805" s="11" t="s">
        <v>7996</v>
      </c>
      <c r="J5805" s="1285"/>
      <c r="K5805" s="1285"/>
      <c r="L5805" s="1285"/>
    </row>
    <row r="5806" spans="1:12" ht="11.15" customHeight="1">
      <c r="A5806" s="29" t="s">
        <v>7997</v>
      </c>
      <c r="B5806" s="59" t="s">
        <v>21253</v>
      </c>
      <c r="C5806" s="147" t="s">
        <v>20221</v>
      </c>
      <c r="D5806" s="284" t="s">
        <v>897</v>
      </c>
      <c r="E5806" s="178">
        <v>2021</v>
      </c>
      <c r="F5806" s="178" t="s">
        <v>4520</v>
      </c>
      <c r="G5806" s="496"/>
      <c r="H5806" s="994" t="s">
        <v>20221</v>
      </c>
      <c r="I5806" s="11" t="s">
        <v>7998</v>
      </c>
      <c r="J5806" s="1285"/>
      <c r="K5806" s="1285"/>
      <c r="L5806" s="1285"/>
    </row>
    <row r="5807" spans="1:12" ht="11.15" customHeight="1">
      <c r="A5807" s="129" t="s">
        <v>1077</v>
      </c>
      <c r="B5807" s="59" t="s">
        <v>21253</v>
      </c>
      <c r="C5807" s="147" t="s">
        <v>20221</v>
      </c>
      <c r="D5807" s="284" t="s">
        <v>897</v>
      </c>
      <c r="E5807" s="178">
        <v>2018</v>
      </c>
      <c r="F5807" s="178" t="s">
        <v>4520</v>
      </c>
      <c r="G5807" s="496"/>
      <c r="H5807" s="994" t="s">
        <v>20221</v>
      </c>
      <c r="I5807" s="11" t="s">
        <v>7999</v>
      </c>
      <c r="J5807" s="1285"/>
      <c r="K5807" s="1285"/>
      <c r="L5807" s="1285"/>
    </row>
    <row r="5808" spans="1:12" ht="11.15" customHeight="1">
      <c r="A5808" s="162" t="s">
        <v>8000</v>
      </c>
      <c r="B5808" s="59" t="s">
        <v>21253</v>
      </c>
      <c r="C5808" s="147" t="s">
        <v>20221</v>
      </c>
      <c r="D5808" s="284" t="s">
        <v>897</v>
      </c>
      <c r="E5808" s="178">
        <v>2017</v>
      </c>
      <c r="F5808" s="178" t="s">
        <v>4520</v>
      </c>
      <c r="G5808" s="496"/>
      <c r="H5808" s="994" t="s">
        <v>20221</v>
      </c>
      <c r="I5808" s="11" t="s">
        <v>8001</v>
      </c>
      <c r="J5808" s="1285"/>
      <c r="K5808" s="1285"/>
      <c r="L5808" s="1285"/>
    </row>
    <row r="5809" spans="1:12" ht="11.15" customHeight="1">
      <c r="A5809" s="162" t="s">
        <v>8002</v>
      </c>
      <c r="B5809" s="59" t="s">
        <v>21253</v>
      </c>
      <c r="C5809" s="147" t="s">
        <v>20221</v>
      </c>
      <c r="D5809" s="284" t="s">
        <v>897</v>
      </c>
      <c r="E5809" s="178">
        <v>2016</v>
      </c>
      <c r="F5809" s="178" t="s">
        <v>23395</v>
      </c>
      <c r="G5809" s="496"/>
      <c r="H5809" s="994" t="s">
        <v>20221</v>
      </c>
      <c r="I5809" s="11" t="s">
        <v>8003</v>
      </c>
      <c r="J5809" s="1285"/>
      <c r="K5809" s="1285"/>
      <c r="L5809" s="1285"/>
    </row>
    <row r="5810" spans="1:12" ht="9.75" customHeight="1">
      <c r="A5810" s="162" t="s">
        <v>8004</v>
      </c>
      <c r="B5810" s="59" t="s">
        <v>21253</v>
      </c>
      <c r="C5810" s="147" t="s">
        <v>20221</v>
      </c>
      <c r="D5810" s="284" t="s">
        <v>897</v>
      </c>
      <c r="E5810" s="178">
        <v>2015</v>
      </c>
      <c r="F5810" s="178" t="s">
        <v>4520</v>
      </c>
      <c r="G5810" s="496"/>
      <c r="H5810" s="994" t="s">
        <v>20221</v>
      </c>
      <c r="I5810" s="11" t="s">
        <v>8005</v>
      </c>
      <c r="J5810" s="1285"/>
      <c r="K5810" s="1285"/>
      <c r="L5810" s="1285"/>
    </row>
    <row r="5811" spans="1:12" ht="11.15" customHeight="1">
      <c r="A5811" s="162" t="s">
        <v>8006</v>
      </c>
      <c r="B5811" s="177" t="s">
        <v>8007</v>
      </c>
      <c r="C5811" s="147"/>
      <c r="D5811" s="122"/>
      <c r="E5811" s="36"/>
      <c r="F5811" s="178"/>
      <c r="G5811" s="671"/>
      <c r="H5811" s="36"/>
      <c r="I5811" s="11"/>
    </row>
    <row r="5812" spans="1:12" ht="11.15" customHeight="1">
      <c r="A5812" s="162" t="s">
        <v>8008</v>
      </c>
      <c r="B5812" s="59" t="s">
        <v>21254</v>
      </c>
      <c r="C5812" s="147" t="s">
        <v>20221</v>
      </c>
      <c r="D5812" s="284" t="s">
        <v>897</v>
      </c>
      <c r="E5812" s="178">
        <v>2019</v>
      </c>
      <c r="F5812" s="178" t="s">
        <v>4520</v>
      </c>
      <c r="G5812" s="496"/>
      <c r="H5812" s="994" t="s">
        <v>20221</v>
      </c>
      <c r="I5812" s="11" t="s">
        <v>8009</v>
      </c>
      <c r="J5812" s="1285"/>
      <c r="K5812" s="1285"/>
      <c r="L5812" s="1285"/>
    </row>
    <row r="5813" spans="1:12" ht="11.15" customHeight="1">
      <c r="A5813" s="162" t="s">
        <v>8010</v>
      </c>
      <c r="B5813" s="59" t="s">
        <v>21254</v>
      </c>
      <c r="C5813" s="147" t="s">
        <v>20221</v>
      </c>
      <c r="D5813" s="284" t="s">
        <v>897</v>
      </c>
      <c r="E5813" s="178">
        <v>2016</v>
      </c>
      <c r="F5813" s="178" t="s">
        <v>4520</v>
      </c>
      <c r="G5813" s="496"/>
      <c r="H5813" s="994" t="s">
        <v>20221</v>
      </c>
      <c r="I5813" s="11" t="s">
        <v>8011</v>
      </c>
      <c r="J5813" s="1285"/>
      <c r="K5813" s="1285"/>
      <c r="L5813" s="1285"/>
    </row>
    <row r="5814" spans="1:12" ht="11.15" customHeight="1">
      <c r="A5814" s="162" t="s">
        <v>8012</v>
      </c>
      <c r="B5814" s="59" t="s">
        <v>21254</v>
      </c>
      <c r="C5814" s="147" t="s">
        <v>20221</v>
      </c>
      <c r="D5814" s="284" t="s">
        <v>897</v>
      </c>
      <c r="E5814" s="178">
        <v>2015</v>
      </c>
      <c r="F5814" s="178" t="s">
        <v>23395</v>
      </c>
      <c r="G5814" s="496"/>
      <c r="H5814" s="994" t="s">
        <v>20221</v>
      </c>
      <c r="I5814" s="11" t="s">
        <v>8013</v>
      </c>
      <c r="J5814" s="1285"/>
      <c r="K5814" s="1285"/>
      <c r="L5814" s="1285"/>
    </row>
    <row r="5815" spans="1:12" ht="11.15" customHeight="1">
      <c r="A5815" s="162" t="s">
        <v>8014</v>
      </c>
      <c r="B5815" s="59" t="s">
        <v>21254</v>
      </c>
      <c r="C5815" s="147" t="s">
        <v>20221</v>
      </c>
      <c r="D5815" s="284" t="s">
        <v>897</v>
      </c>
      <c r="E5815" s="178">
        <v>2014</v>
      </c>
      <c r="F5815" s="178" t="s">
        <v>23395</v>
      </c>
      <c r="G5815" s="496"/>
      <c r="H5815" s="994" t="s">
        <v>20277</v>
      </c>
      <c r="I5815" s="11" t="s">
        <v>8015</v>
      </c>
      <c r="J5815" s="1285"/>
      <c r="K5815" s="1285"/>
      <c r="L5815" s="1285"/>
    </row>
    <row r="5816" spans="1:12" ht="11.15" customHeight="1">
      <c r="A5816" s="129" t="s">
        <v>6076</v>
      </c>
      <c r="B5816" s="59" t="s">
        <v>21255</v>
      </c>
      <c r="C5816" s="147" t="s">
        <v>20221</v>
      </c>
      <c r="D5816" s="284" t="s">
        <v>897</v>
      </c>
      <c r="E5816" s="178">
        <v>2022</v>
      </c>
      <c r="F5816" s="178" t="s">
        <v>4520</v>
      </c>
      <c r="G5816" s="496"/>
      <c r="H5816" s="994" t="s">
        <v>20221</v>
      </c>
      <c r="I5816" s="11" t="s">
        <v>8016</v>
      </c>
      <c r="J5816" s="1285"/>
      <c r="K5816" s="1285"/>
      <c r="L5816" s="1285"/>
    </row>
    <row r="5817" spans="1:12" ht="11.15" customHeight="1">
      <c r="A5817" s="162" t="s">
        <v>8017</v>
      </c>
      <c r="B5817" s="59" t="s">
        <v>21255</v>
      </c>
      <c r="C5817" s="147" t="s">
        <v>20221</v>
      </c>
      <c r="D5817" s="284" t="s">
        <v>897</v>
      </c>
      <c r="E5817" s="178">
        <v>2021</v>
      </c>
      <c r="F5817" s="178" t="s">
        <v>4520</v>
      </c>
      <c r="G5817" s="496"/>
      <c r="H5817" s="994" t="s">
        <v>20221</v>
      </c>
      <c r="I5817" s="11" t="s">
        <v>8018</v>
      </c>
      <c r="J5817" s="1285"/>
      <c r="K5817" s="1285"/>
      <c r="L5817" s="1285"/>
    </row>
    <row r="5818" spans="1:12" ht="11.15" customHeight="1">
      <c r="A5818" s="162" t="s">
        <v>8019</v>
      </c>
      <c r="B5818" s="59" t="s">
        <v>21255</v>
      </c>
      <c r="C5818" s="147" t="s">
        <v>20221</v>
      </c>
      <c r="D5818" s="284" t="s">
        <v>897</v>
      </c>
      <c r="E5818" s="178">
        <v>2020</v>
      </c>
      <c r="F5818" s="178" t="s">
        <v>4520</v>
      </c>
      <c r="G5818" s="496"/>
      <c r="H5818" s="994" t="s">
        <v>20221</v>
      </c>
      <c r="I5818" s="11" t="s">
        <v>8020</v>
      </c>
      <c r="J5818" s="1285"/>
      <c r="K5818" s="1285"/>
      <c r="L5818" s="1285"/>
    </row>
    <row r="5819" spans="1:12" ht="11.15" customHeight="1">
      <c r="A5819" s="162" t="s">
        <v>8021</v>
      </c>
      <c r="B5819" s="59" t="s">
        <v>21255</v>
      </c>
      <c r="C5819" s="147" t="s">
        <v>20221</v>
      </c>
      <c r="D5819" s="284" t="s">
        <v>897</v>
      </c>
      <c r="E5819" s="178">
        <v>2019</v>
      </c>
      <c r="F5819" s="178" t="s">
        <v>4520</v>
      </c>
      <c r="G5819" s="496"/>
      <c r="H5819" s="994" t="s">
        <v>20221</v>
      </c>
      <c r="I5819" s="11" t="s">
        <v>8022</v>
      </c>
      <c r="J5819" s="1285"/>
      <c r="K5819" s="1285"/>
      <c r="L5819" s="1285"/>
    </row>
    <row r="5820" spans="1:12" ht="11.15" customHeight="1">
      <c r="A5820" s="162" t="s">
        <v>8023</v>
      </c>
      <c r="B5820" s="59" t="s">
        <v>21255</v>
      </c>
      <c r="C5820" s="147" t="s">
        <v>20221</v>
      </c>
      <c r="D5820" s="284" t="s">
        <v>897</v>
      </c>
      <c r="E5820" s="178">
        <v>2018</v>
      </c>
      <c r="F5820" s="178" t="s">
        <v>4520</v>
      </c>
      <c r="G5820" s="496"/>
      <c r="H5820" s="994" t="s">
        <v>20221</v>
      </c>
      <c r="I5820" s="11" t="s">
        <v>8024</v>
      </c>
      <c r="J5820" s="1285"/>
      <c r="K5820" s="1285"/>
      <c r="L5820" s="1285"/>
    </row>
    <row r="5821" spans="1:12" ht="11.15" customHeight="1">
      <c r="A5821" s="162" t="s">
        <v>8025</v>
      </c>
      <c r="B5821" s="59" t="s">
        <v>21255</v>
      </c>
      <c r="C5821" s="147" t="s">
        <v>20221</v>
      </c>
      <c r="D5821" s="284" t="s">
        <v>897</v>
      </c>
      <c r="E5821" s="178">
        <v>2017</v>
      </c>
      <c r="F5821" s="178" t="s">
        <v>4520</v>
      </c>
      <c r="G5821" s="496"/>
      <c r="H5821" s="994" t="s">
        <v>20221</v>
      </c>
      <c r="I5821" s="11" t="s">
        <v>8026</v>
      </c>
      <c r="J5821" s="1285"/>
      <c r="K5821" s="1285"/>
      <c r="L5821" s="1285"/>
    </row>
    <row r="5822" spans="1:12" ht="11.15" customHeight="1">
      <c r="A5822" s="162" t="s">
        <v>8027</v>
      </c>
      <c r="B5822" s="59" t="s">
        <v>21255</v>
      </c>
      <c r="C5822" s="147" t="s">
        <v>20221</v>
      </c>
      <c r="D5822" s="284" t="s">
        <v>897</v>
      </c>
      <c r="E5822" s="178">
        <v>2016</v>
      </c>
      <c r="F5822" s="178" t="s">
        <v>4520</v>
      </c>
      <c r="G5822" s="496"/>
      <c r="H5822" s="994" t="s">
        <v>20224</v>
      </c>
      <c r="I5822" s="11" t="s">
        <v>8028</v>
      </c>
      <c r="J5822" s="1285"/>
      <c r="K5822" s="1285"/>
      <c r="L5822" s="1285"/>
    </row>
    <row r="5823" spans="1:12" ht="11.15" customHeight="1">
      <c r="A5823" s="162" t="s">
        <v>8029</v>
      </c>
      <c r="B5823" s="59" t="s">
        <v>21255</v>
      </c>
      <c r="C5823" s="147" t="s">
        <v>20221</v>
      </c>
      <c r="D5823" s="284" t="s">
        <v>897</v>
      </c>
      <c r="E5823" s="178">
        <v>2015</v>
      </c>
      <c r="F5823" s="178" t="s">
        <v>23395</v>
      </c>
      <c r="G5823" s="496"/>
      <c r="H5823" s="994" t="s">
        <v>20465</v>
      </c>
      <c r="I5823" s="11" t="s">
        <v>8030</v>
      </c>
      <c r="J5823" s="1285"/>
      <c r="K5823" s="1285"/>
      <c r="L5823" s="1285"/>
    </row>
    <row r="5824" spans="1:12" ht="11.15" customHeight="1">
      <c r="A5824" s="162" t="s">
        <v>8031</v>
      </c>
      <c r="B5824" s="59" t="s">
        <v>21255</v>
      </c>
      <c r="C5824" s="147" t="s">
        <v>20221</v>
      </c>
      <c r="D5824" s="284" t="s">
        <v>897</v>
      </c>
      <c r="E5824" s="178">
        <v>2014</v>
      </c>
      <c r="F5824" s="178" t="s">
        <v>23395</v>
      </c>
      <c r="G5824" s="496"/>
      <c r="H5824" s="994" t="s">
        <v>20221</v>
      </c>
      <c r="I5824" s="11" t="s">
        <v>8032</v>
      </c>
      <c r="J5824" s="1285"/>
      <c r="K5824" s="1285"/>
      <c r="L5824" s="1285"/>
    </row>
    <row r="5825" spans="1:12" ht="11.15" customHeight="1">
      <c r="A5825" s="162" t="s">
        <v>8033</v>
      </c>
      <c r="B5825" s="59" t="s">
        <v>21255</v>
      </c>
      <c r="C5825" s="147" t="s">
        <v>20221</v>
      </c>
      <c r="D5825" s="284" t="s">
        <v>897</v>
      </c>
      <c r="E5825" s="178">
        <v>2013</v>
      </c>
      <c r="F5825" s="178" t="s">
        <v>23395</v>
      </c>
      <c r="G5825" s="496"/>
      <c r="H5825" s="994" t="s">
        <v>20465</v>
      </c>
      <c r="I5825" s="11" t="s">
        <v>8034</v>
      </c>
      <c r="J5825" s="1285"/>
      <c r="K5825" s="1285"/>
      <c r="L5825" s="1285"/>
    </row>
    <row r="5826" spans="1:12" ht="11.15" customHeight="1">
      <c r="A5826" s="169" t="s">
        <v>8035</v>
      </c>
      <c r="B5826" s="177" t="s">
        <v>8036</v>
      </c>
      <c r="C5826" s="147"/>
      <c r="D5826" s="161"/>
      <c r="E5826" s="36"/>
      <c r="F5826" s="178"/>
      <c r="G5826" s="671"/>
      <c r="H5826" s="36"/>
      <c r="I5826" s="11"/>
    </row>
    <row r="5827" spans="1:12" ht="11.15" customHeight="1">
      <c r="A5827" s="495" t="s">
        <v>8037</v>
      </c>
      <c r="B5827" s="59" t="s">
        <v>21256</v>
      </c>
      <c r="C5827" s="147" t="s">
        <v>20221</v>
      </c>
      <c r="D5827" s="284" t="s">
        <v>897</v>
      </c>
      <c r="E5827" s="178">
        <v>2022</v>
      </c>
      <c r="F5827" s="178" t="s">
        <v>4520</v>
      </c>
      <c r="G5827" s="496"/>
      <c r="H5827" s="994" t="s">
        <v>20221</v>
      </c>
      <c r="I5827" s="11" t="s">
        <v>8038</v>
      </c>
      <c r="J5827" s="1285"/>
      <c r="K5827" s="1285"/>
      <c r="L5827" s="1285"/>
    </row>
    <row r="5828" spans="1:12" ht="11.15" customHeight="1">
      <c r="A5828" s="481" t="s">
        <v>8039</v>
      </c>
      <c r="B5828" s="59" t="s">
        <v>21256</v>
      </c>
      <c r="C5828" s="147" t="s">
        <v>20221</v>
      </c>
      <c r="D5828" s="284" t="s">
        <v>897</v>
      </c>
      <c r="E5828" s="178">
        <v>2020</v>
      </c>
      <c r="F5828" s="178" t="s">
        <v>4520</v>
      </c>
      <c r="G5828" s="496"/>
      <c r="H5828" s="994" t="s">
        <v>20221</v>
      </c>
      <c r="I5828" s="11" t="s">
        <v>8040</v>
      </c>
      <c r="J5828" s="1285"/>
      <c r="K5828" s="1285"/>
      <c r="L5828" s="1285"/>
    </row>
    <row r="5829" spans="1:12" ht="11.15" customHeight="1">
      <c r="A5829" s="29"/>
      <c r="B5829" s="59" t="s">
        <v>21256</v>
      </c>
      <c r="C5829" s="147" t="s">
        <v>20221</v>
      </c>
      <c r="D5829" s="284" t="s">
        <v>897</v>
      </c>
      <c r="E5829" s="178">
        <v>2019</v>
      </c>
      <c r="F5829" s="178" t="s">
        <v>4520</v>
      </c>
      <c r="G5829" s="496"/>
      <c r="H5829" s="994" t="s">
        <v>20221</v>
      </c>
      <c r="I5829" s="11" t="s">
        <v>8041</v>
      </c>
      <c r="J5829" s="1285"/>
      <c r="K5829" s="1285"/>
      <c r="L5829" s="1285"/>
    </row>
    <row r="5830" spans="1:12" ht="11.15" customHeight="1">
      <c r="A5830" s="185"/>
      <c r="B5830" s="59" t="s">
        <v>21256</v>
      </c>
      <c r="C5830" s="147" t="s">
        <v>20221</v>
      </c>
      <c r="D5830" s="284" t="s">
        <v>897</v>
      </c>
      <c r="E5830" s="178">
        <v>2018</v>
      </c>
      <c r="F5830" s="178" t="s">
        <v>4520</v>
      </c>
      <c r="G5830" s="496"/>
      <c r="H5830" s="994" t="s">
        <v>20221</v>
      </c>
      <c r="I5830" s="11" t="s">
        <v>8042</v>
      </c>
      <c r="J5830" s="1285"/>
      <c r="K5830" s="1285"/>
      <c r="L5830" s="1285"/>
    </row>
    <row r="5831" spans="1:12" ht="11.15" customHeight="1">
      <c r="A5831" s="185"/>
      <c r="B5831" s="59" t="s">
        <v>21256</v>
      </c>
      <c r="C5831" s="147" t="s">
        <v>20221</v>
      </c>
      <c r="D5831" s="284" t="s">
        <v>897</v>
      </c>
      <c r="E5831" s="178">
        <v>2017</v>
      </c>
      <c r="F5831" s="178" t="s">
        <v>4520</v>
      </c>
      <c r="G5831" s="496"/>
      <c r="H5831" s="994" t="s">
        <v>20221</v>
      </c>
      <c r="I5831" s="11" t="s">
        <v>8043</v>
      </c>
      <c r="J5831" s="1285"/>
      <c r="K5831" s="1285"/>
      <c r="L5831" s="1285"/>
    </row>
    <row r="5832" spans="1:12" ht="11.15" customHeight="1">
      <c r="A5832" s="185"/>
      <c r="B5832" s="59" t="s">
        <v>21256</v>
      </c>
      <c r="C5832" s="147" t="s">
        <v>20221</v>
      </c>
      <c r="D5832" s="284" t="s">
        <v>897</v>
      </c>
      <c r="E5832" s="178">
        <v>2012</v>
      </c>
      <c r="F5832" s="178" t="s">
        <v>23395</v>
      </c>
      <c r="G5832" s="496"/>
      <c r="H5832" s="994" t="s">
        <v>20221</v>
      </c>
      <c r="I5832" s="11" t="s">
        <v>8044</v>
      </c>
      <c r="J5832" s="1285"/>
      <c r="K5832" s="1285"/>
      <c r="L5832" s="1285"/>
    </row>
    <row r="5833" spans="1:12" ht="11.15" customHeight="1">
      <c r="A5833" s="185"/>
      <c r="B5833" s="59" t="s">
        <v>21256</v>
      </c>
      <c r="C5833" s="147" t="s">
        <v>20221</v>
      </c>
      <c r="D5833" s="284" t="s">
        <v>897</v>
      </c>
      <c r="E5833" s="178">
        <v>2010</v>
      </c>
      <c r="F5833" s="178" t="s">
        <v>23395</v>
      </c>
      <c r="G5833" s="496"/>
      <c r="H5833" s="994" t="s">
        <v>20221</v>
      </c>
      <c r="I5833" s="11" t="s">
        <v>8045</v>
      </c>
      <c r="J5833" s="1285"/>
      <c r="K5833" s="1285"/>
      <c r="L5833" s="1285"/>
    </row>
    <row r="5834" spans="1:12" ht="11.15" customHeight="1">
      <c r="A5834" s="185"/>
      <c r="B5834" s="59" t="s">
        <v>21256</v>
      </c>
      <c r="C5834" s="147" t="s">
        <v>20221</v>
      </c>
      <c r="D5834" s="284" t="s">
        <v>897</v>
      </c>
      <c r="E5834" s="178">
        <v>2008</v>
      </c>
      <c r="F5834" s="178" t="s">
        <v>23395</v>
      </c>
      <c r="G5834" s="496"/>
      <c r="H5834" s="994" t="s">
        <v>20221</v>
      </c>
      <c r="I5834" s="11" t="s">
        <v>8046</v>
      </c>
      <c r="J5834" s="1285"/>
      <c r="K5834" s="1285"/>
      <c r="L5834" s="1285"/>
    </row>
    <row r="5835" spans="1:12" ht="11.15" customHeight="1">
      <c r="A5835" s="185"/>
      <c r="B5835" s="177" t="s">
        <v>8047</v>
      </c>
      <c r="C5835" s="147"/>
      <c r="D5835" s="161"/>
      <c r="E5835" s="36"/>
      <c r="F5835" s="178"/>
      <c r="G5835" s="671"/>
      <c r="H5835" s="36"/>
      <c r="I5835" s="11"/>
    </row>
    <row r="5836" spans="1:12" ht="11.15" customHeight="1">
      <c r="A5836" s="185"/>
      <c r="B5836" s="59" t="s">
        <v>21257</v>
      </c>
      <c r="C5836" s="147" t="s">
        <v>20221</v>
      </c>
      <c r="D5836" s="284" t="s">
        <v>897</v>
      </c>
      <c r="E5836" s="178">
        <v>2015</v>
      </c>
      <c r="F5836" s="178" t="s">
        <v>11931</v>
      </c>
      <c r="G5836" s="496"/>
      <c r="H5836" s="994" t="s">
        <v>20221</v>
      </c>
      <c r="I5836" s="11" t="s">
        <v>8048</v>
      </c>
      <c r="J5836" s="1285"/>
      <c r="K5836" s="1285"/>
      <c r="L5836" s="1285"/>
    </row>
    <row r="5837" spans="1:12" ht="11.15" customHeight="1">
      <c r="A5837" s="185"/>
      <c r="B5837" s="59" t="s">
        <v>21258</v>
      </c>
      <c r="C5837" s="147" t="s">
        <v>20221</v>
      </c>
      <c r="D5837" s="284" t="s">
        <v>897</v>
      </c>
      <c r="E5837" s="178">
        <v>2014</v>
      </c>
      <c r="F5837" s="178" t="s">
        <v>11931</v>
      </c>
      <c r="G5837" s="496"/>
      <c r="H5837" s="994" t="s">
        <v>20224</v>
      </c>
      <c r="I5837" s="11" t="s">
        <v>8049</v>
      </c>
      <c r="J5837" s="1285"/>
      <c r="K5837" s="1285"/>
      <c r="L5837" s="1285"/>
    </row>
    <row r="5838" spans="1:12" ht="11.15" customHeight="1">
      <c r="A5838" s="185"/>
      <c r="B5838" s="59" t="s">
        <v>21258</v>
      </c>
      <c r="C5838" s="147" t="s">
        <v>20221</v>
      </c>
      <c r="D5838" s="284" t="s">
        <v>897</v>
      </c>
      <c r="E5838" s="178">
        <v>2013</v>
      </c>
      <c r="F5838" s="178" t="s">
        <v>11931</v>
      </c>
      <c r="G5838" s="496"/>
      <c r="H5838" s="994" t="s">
        <v>20221</v>
      </c>
      <c r="I5838" s="11" t="s">
        <v>8050</v>
      </c>
      <c r="J5838" s="1285"/>
      <c r="K5838" s="1285"/>
      <c r="L5838" s="1285"/>
    </row>
    <row r="5839" spans="1:12" ht="11.15" customHeight="1">
      <c r="A5839" s="185"/>
      <c r="B5839" s="59" t="s">
        <v>21258</v>
      </c>
      <c r="C5839" s="147" t="s">
        <v>20221</v>
      </c>
      <c r="D5839" s="284" t="s">
        <v>897</v>
      </c>
      <c r="E5839" s="178">
        <v>2011</v>
      </c>
      <c r="F5839" s="178" t="s">
        <v>11931</v>
      </c>
      <c r="G5839" s="496"/>
      <c r="H5839" s="994" t="s">
        <v>20224</v>
      </c>
      <c r="I5839" s="11" t="s">
        <v>8051</v>
      </c>
      <c r="J5839" s="1285"/>
      <c r="K5839" s="1285"/>
      <c r="L5839" s="1285"/>
    </row>
    <row r="5840" spans="1:12" ht="11.15" customHeight="1">
      <c r="A5840" s="185" t="s">
        <v>8052</v>
      </c>
      <c r="B5840" s="59" t="s">
        <v>21259</v>
      </c>
      <c r="C5840" s="147" t="s">
        <v>20221</v>
      </c>
      <c r="D5840" s="284" t="s">
        <v>897</v>
      </c>
      <c r="E5840" s="178">
        <v>2012</v>
      </c>
      <c r="F5840" s="178" t="s">
        <v>11931</v>
      </c>
      <c r="G5840" s="496"/>
      <c r="H5840" s="994" t="s">
        <v>20221</v>
      </c>
      <c r="I5840" s="11" t="s">
        <v>8053</v>
      </c>
      <c r="J5840" s="1285"/>
      <c r="K5840" s="1285"/>
      <c r="L5840" s="1285"/>
    </row>
    <row r="5841" spans="1:12" ht="11.15" customHeight="1" thickBot="1">
      <c r="A5841" s="185"/>
      <c r="B5841" s="90"/>
      <c r="C5841" s="147"/>
      <c r="D5841" s="122"/>
      <c r="E5841" s="36"/>
      <c r="F5841" s="178"/>
      <c r="G5841" s="60"/>
      <c r="H5841" s="36"/>
      <c r="I5841" s="11"/>
    </row>
    <row r="5842" spans="1:12" ht="11.15" customHeight="1">
      <c r="A5842" s="153" t="s">
        <v>8054</v>
      </c>
      <c r="B5842" s="177" t="s">
        <v>7593</v>
      </c>
      <c r="C5842" s="147"/>
      <c r="D5842" s="122"/>
      <c r="E5842" s="36"/>
      <c r="F5842" s="178"/>
      <c r="G5842" s="60"/>
      <c r="H5842" s="36"/>
      <c r="I5842" s="11"/>
    </row>
    <row r="5843" spans="1:12" ht="11.15" customHeight="1" thickBot="1">
      <c r="A5843" s="155" t="s">
        <v>8055</v>
      </c>
      <c r="B5843" s="59" t="s">
        <v>21261</v>
      </c>
      <c r="C5843" s="147" t="s">
        <v>20221</v>
      </c>
      <c r="D5843" s="701" t="s">
        <v>1129</v>
      </c>
      <c r="E5843" s="178">
        <v>2015</v>
      </c>
      <c r="F5843" s="178" t="s">
        <v>23395</v>
      </c>
      <c r="G5843" s="496"/>
      <c r="H5843" s="994" t="s">
        <v>20221</v>
      </c>
      <c r="I5843" s="11" t="s">
        <v>8056</v>
      </c>
      <c r="J5843" s="1285"/>
      <c r="K5843" s="1285"/>
      <c r="L5843" s="1285"/>
    </row>
    <row r="5844" spans="1:12" ht="11.15" customHeight="1">
      <c r="A5844" s="29" t="s">
        <v>8057</v>
      </c>
      <c r="B5844" s="59" t="s">
        <v>21261</v>
      </c>
      <c r="C5844" s="147" t="s">
        <v>20221</v>
      </c>
      <c r="D5844" s="701" t="s">
        <v>1129</v>
      </c>
      <c r="E5844" s="178">
        <v>2014</v>
      </c>
      <c r="F5844" s="178" t="s">
        <v>23395</v>
      </c>
      <c r="G5844" s="496"/>
      <c r="H5844" s="994" t="s">
        <v>20221</v>
      </c>
      <c r="I5844" s="11" t="s">
        <v>8058</v>
      </c>
      <c r="J5844" s="1285"/>
      <c r="K5844" s="1285"/>
      <c r="L5844" s="1285"/>
    </row>
    <row r="5845" spans="1:12" ht="11.15" customHeight="1">
      <c r="A5845" s="29" t="s">
        <v>8059</v>
      </c>
      <c r="B5845" s="59" t="s">
        <v>21262</v>
      </c>
      <c r="C5845" s="147" t="s">
        <v>20221</v>
      </c>
      <c r="D5845" s="701" t="s">
        <v>1129</v>
      </c>
      <c r="E5845" s="178">
        <v>2021</v>
      </c>
      <c r="F5845" s="178" t="s">
        <v>23395</v>
      </c>
      <c r="G5845" s="496"/>
      <c r="H5845" s="994" t="s">
        <v>20343</v>
      </c>
      <c r="I5845" s="11" t="s">
        <v>8060</v>
      </c>
      <c r="J5845" s="1285"/>
      <c r="K5845" s="1285"/>
      <c r="L5845" s="1285"/>
    </row>
    <row r="5846" spans="1:12" ht="11.15" customHeight="1">
      <c r="A5846" s="29" t="s">
        <v>8061</v>
      </c>
      <c r="B5846" s="59" t="s">
        <v>21263</v>
      </c>
      <c r="C5846" s="147" t="s">
        <v>20221</v>
      </c>
      <c r="D5846" s="701" t="s">
        <v>1129</v>
      </c>
      <c r="E5846" s="178">
        <v>2022</v>
      </c>
      <c r="F5846" s="178" t="s">
        <v>23395</v>
      </c>
      <c r="G5846" s="496"/>
      <c r="H5846" s="994" t="s">
        <v>20221</v>
      </c>
      <c r="I5846" s="11" t="s">
        <v>8062</v>
      </c>
      <c r="J5846" s="1285"/>
      <c r="K5846" s="1285"/>
      <c r="L5846" s="1285"/>
    </row>
    <row r="5847" spans="1:12" ht="11.15" customHeight="1">
      <c r="A5847" s="29" t="s">
        <v>8063</v>
      </c>
      <c r="B5847" s="177" t="s">
        <v>8064</v>
      </c>
      <c r="C5847" s="147"/>
      <c r="D5847" s="122"/>
      <c r="E5847" s="36"/>
      <c r="F5847" s="178"/>
      <c r="G5847" s="60"/>
      <c r="H5847" s="36"/>
      <c r="I5847" s="11"/>
    </row>
    <row r="5848" spans="1:12" ht="11.15" customHeight="1">
      <c r="A5848" s="181" t="s">
        <v>972</v>
      </c>
      <c r="B5848" s="59" t="s">
        <v>21264</v>
      </c>
      <c r="C5848" s="147" t="s">
        <v>20221</v>
      </c>
      <c r="D5848" s="701" t="s">
        <v>1129</v>
      </c>
      <c r="E5848" s="178">
        <v>2022</v>
      </c>
      <c r="F5848" s="178" t="s">
        <v>23395</v>
      </c>
      <c r="G5848" s="496"/>
      <c r="H5848" s="994" t="s">
        <v>20343</v>
      </c>
      <c r="I5848" s="11" t="s">
        <v>8065</v>
      </c>
      <c r="J5848" s="1285"/>
      <c r="K5848" s="1285"/>
      <c r="L5848" s="1285"/>
    </row>
    <row r="5849" spans="1:12" ht="11.15" customHeight="1">
      <c r="A5849" s="29" t="s">
        <v>8066</v>
      </c>
      <c r="B5849" s="59" t="s">
        <v>21264</v>
      </c>
      <c r="C5849" s="147" t="s">
        <v>20221</v>
      </c>
      <c r="D5849" s="701" t="s">
        <v>1129</v>
      </c>
      <c r="E5849" s="178">
        <v>2015</v>
      </c>
      <c r="F5849" s="178" t="s">
        <v>23395</v>
      </c>
      <c r="G5849" s="496"/>
      <c r="H5849" s="994" t="s">
        <v>20221</v>
      </c>
      <c r="I5849" s="11" t="s">
        <v>8067</v>
      </c>
      <c r="J5849" s="1285"/>
      <c r="K5849" s="1285"/>
      <c r="L5849" s="1285"/>
    </row>
    <row r="5850" spans="1:12" ht="11.15" customHeight="1">
      <c r="A5850" s="29" t="s">
        <v>8068</v>
      </c>
      <c r="B5850" s="59" t="s">
        <v>21264</v>
      </c>
      <c r="C5850" s="147" t="s">
        <v>20221</v>
      </c>
      <c r="D5850" s="701" t="s">
        <v>1129</v>
      </c>
      <c r="E5850" s="178">
        <v>2012</v>
      </c>
      <c r="F5850" s="178" t="s">
        <v>23395</v>
      </c>
      <c r="G5850" s="496"/>
      <c r="H5850" s="994" t="s">
        <v>20221</v>
      </c>
      <c r="I5850" s="11" t="s">
        <v>8069</v>
      </c>
      <c r="J5850" s="1285"/>
      <c r="K5850" s="1285"/>
      <c r="L5850" s="1285"/>
    </row>
    <row r="5851" spans="1:12" ht="11.15" customHeight="1">
      <c r="A5851" s="129" t="s">
        <v>1077</v>
      </c>
      <c r="B5851" s="59" t="s">
        <v>21265</v>
      </c>
      <c r="C5851" s="147" t="s">
        <v>20221</v>
      </c>
      <c r="D5851" s="701" t="s">
        <v>1129</v>
      </c>
      <c r="E5851" s="178">
        <v>2021</v>
      </c>
      <c r="F5851" s="178" t="s">
        <v>23395</v>
      </c>
      <c r="G5851" s="496"/>
      <c r="H5851" s="994" t="s">
        <v>20221</v>
      </c>
      <c r="I5851" s="11" t="s">
        <v>8070</v>
      </c>
      <c r="J5851" s="1285"/>
      <c r="K5851" s="1285"/>
      <c r="L5851" s="1285"/>
    </row>
    <row r="5852" spans="1:12" ht="11.15" customHeight="1">
      <c r="A5852" s="162" t="s">
        <v>4848</v>
      </c>
      <c r="B5852" s="59" t="s">
        <v>21265</v>
      </c>
      <c r="C5852" s="147" t="s">
        <v>20221</v>
      </c>
      <c r="D5852" s="701" t="s">
        <v>1129</v>
      </c>
      <c r="E5852" s="178">
        <v>2020</v>
      </c>
      <c r="F5852" s="178" t="s">
        <v>23395</v>
      </c>
      <c r="G5852" s="496"/>
      <c r="H5852" s="994" t="s">
        <v>20221</v>
      </c>
      <c r="I5852" s="11" t="s">
        <v>8071</v>
      </c>
      <c r="J5852" s="1285"/>
      <c r="K5852" s="1285"/>
      <c r="L5852" s="1285"/>
    </row>
    <row r="5853" spans="1:12" ht="11.15" customHeight="1">
      <c r="A5853" s="162" t="s">
        <v>8072</v>
      </c>
      <c r="B5853" s="59" t="s">
        <v>21265</v>
      </c>
      <c r="C5853" s="147" t="s">
        <v>20221</v>
      </c>
      <c r="D5853" s="701" t="s">
        <v>1129</v>
      </c>
      <c r="E5853" s="178">
        <v>2019</v>
      </c>
      <c r="F5853" s="178" t="s">
        <v>23395</v>
      </c>
      <c r="G5853" s="496"/>
      <c r="H5853" s="994" t="s">
        <v>20221</v>
      </c>
      <c r="I5853" s="11" t="s">
        <v>8073</v>
      </c>
      <c r="J5853" s="1285"/>
      <c r="K5853" s="1285"/>
      <c r="L5853" s="1285"/>
    </row>
    <row r="5854" spans="1:12" ht="11.15" customHeight="1">
      <c r="A5854" s="162" t="s">
        <v>8074</v>
      </c>
      <c r="B5854" s="59" t="s">
        <v>21265</v>
      </c>
      <c r="C5854" s="147" t="s">
        <v>20221</v>
      </c>
      <c r="D5854" s="701" t="s">
        <v>1129</v>
      </c>
      <c r="E5854" s="178">
        <v>2018</v>
      </c>
      <c r="F5854" s="178" t="s">
        <v>23395</v>
      </c>
      <c r="G5854" s="496"/>
      <c r="H5854" s="994" t="s">
        <v>20221</v>
      </c>
      <c r="I5854" s="11" t="s">
        <v>8075</v>
      </c>
      <c r="J5854" s="1285"/>
      <c r="K5854" s="1285"/>
      <c r="L5854" s="1285"/>
    </row>
    <row r="5855" spans="1:12" ht="11.15" customHeight="1">
      <c r="A5855" s="162" t="s">
        <v>8076</v>
      </c>
      <c r="B5855" s="59" t="s">
        <v>21265</v>
      </c>
      <c r="C5855" s="147" t="s">
        <v>20221</v>
      </c>
      <c r="D5855" s="701" t="s">
        <v>1129</v>
      </c>
      <c r="E5855" s="178">
        <v>2017</v>
      </c>
      <c r="F5855" s="178" t="s">
        <v>23395</v>
      </c>
      <c r="G5855" s="496"/>
      <c r="H5855" s="994" t="s">
        <v>20221</v>
      </c>
      <c r="I5855" s="11" t="s">
        <v>8077</v>
      </c>
      <c r="J5855" s="1285"/>
      <c r="K5855" s="1285"/>
      <c r="L5855" s="1285"/>
    </row>
    <row r="5856" spans="1:12" ht="11.15" customHeight="1">
      <c r="A5856" s="162" t="s">
        <v>8078</v>
      </c>
      <c r="B5856" s="59" t="s">
        <v>21265</v>
      </c>
      <c r="C5856" s="147" t="s">
        <v>20221</v>
      </c>
      <c r="D5856" s="701" t="s">
        <v>1129</v>
      </c>
      <c r="E5856" s="178">
        <v>2016</v>
      </c>
      <c r="F5856" s="178" t="s">
        <v>23395</v>
      </c>
      <c r="G5856" s="496"/>
      <c r="H5856" s="994" t="s">
        <v>20221</v>
      </c>
      <c r="I5856" s="11" t="s">
        <v>8079</v>
      </c>
      <c r="J5856" s="1285"/>
      <c r="K5856" s="1285"/>
      <c r="L5856" s="1285"/>
    </row>
    <row r="5857" spans="1:12" ht="11.15" customHeight="1">
      <c r="A5857" s="129" t="s">
        <v>6076</v>
      </c>
      <c r="B5857" s="177" t="s">
        <v>8080</v>
      </c>
      <c r="C5857" s="147"/>
      <c r="D5857" s="122"/>
      <c r="E5857" s="178"/>
      <c r="F5857" s="178"/>
      <c r="G5857" s="60"/>
      <c r="H5857" s="178"/>
      <c r="I5857" s="11"/>
    </row>
    <row r="5858" spans="1:12" ht="11.15" customHeight="1">
      <c r="A5858" s="162" t="s">
        <v>8081</v>
      </c>
      <c r="B5858" s="59" t="s">
        <v>21266</v>
      </c>
      <c r="C5858" s="147" t="s">
        <v>20221</v>
      </c>
      <c r="D5858" s="284" t="s">
        <v>897</v>
      </c>
      <c r="E5858" s="178">
        <v>2015</v>
      </c>
      <c r="F5858" s="178" t="s">
        <v>7168</v>
      </c>
      <c r="G5858" s="496"/>
      <c r="H5858" s="994" t="s">
        <v>20221</v>
      </c>
      <c r="I5858" s="11" t="s">
        <v>8082</v>
      </c>
      <c r="J5858" s="1285"/>
      <c r="K5858" s="1285"/>
      <c r="L5858" s="1285"/>
    </row>
    <row r="5859" spans="1:12" ht="11.15" customHeight="1">
      <c r="A5859" s="162" t="s">
        <v>8083</v>
      </c>
      <c r="B5859" s="59" t="s">
        <v>21266</v>
      </c>
      <c r="C5859" s="147" t="s">
        <v>20221</v>
      </c>
      <c r="D5859" s="284" t="s">
        <v>897</v>
      </c>
      <c r="E5859" s="178">
        <v>2014</v>
      </c>
      <c r="F5859" s="178" t="s">
        <v>7168</v>
      </c>
      <c r="G5859" s="496"/>
      <c r="H5859" s="994" t="s">
        <v>20221</v>
      </c>
      <c r="I5859" s="12" t="s">
        <v>8084</v>
      </c>
      <c r="J5859" s="1285"/>
      <c r="K5859" s="1285"/>
      <c r="L5859" s="1285"/>
    </row>
    <row r="5860" spans="1:12" ht="11.15" customHeight="1">
      <c r="A5860" s="162" t="s">
        <v>8085</v>
      </c>
      <c r="B5860" s="59" t="s">
        <v>21266</v>
      </c>
      <c r="C5860" s="147" t="s">
        <v>20221</v>
      </c>
      <c r="D5860" s="284" t="s">
        <v>897</v>
      </c>
      <c r="E5860" s="178">
        <v>2012</v>
      </c>
      <c r="F5860" s="178" t="s">
        <v>7168</v>
      </c>
      <c r="G5860" s="496"/>
      <c r="H5860" s="994" t="s">
        <v>20224</v>
      </c>
      <c r="I5860" s="12" t="s">
        <v>8086</v>
      </c>
      <c r="J5860" s="1285"/>
      <c r="K5860" s="1285"/>
      <c r="L5860" s="1285"/>
    </row>
    <row r="5861" spans="1:12" ht="11.15" customHeight="1">
      <c r="A5861" s="162" t="s">
        <v>8087</v>
      </c>
      <c r="B5861" s="177" t="s">
        <v>8088</v>
      </c>
      <c r="C5861" s="147"/>
      <c r="D5861" s="161"/>
      <c r="E5861" s="36"/>
      <c r="F5861" s="183"/>
      <c r="G5861" s="496"/>
      <c r="H5861" s="183"/>
      <c r="I5861" s="11"/>
    </row>
    <row r="5862" spans="1:12" ht="11.15" customHeight="1">
      <c r="A5862" s="162" t="s">
        <v>8089</v>
      </c>
      <c r="B5862" s="59" t="s">
        <v>21267</v>
      </c>
      <c r="C5862" s="147" t="s">
        <v>20221</v>
      </c>
      <c r="D5862" s="284" t="s">
        <v>897</v>
      </c>
      <c r="E5862" s="178">
        <v>2021</v>
      </c>
      <c r="F5862" s="178" t="s">
        <v>23395</v>
      </c>
      <c r="G5862" s="496"/>
      <c r="H5862" s="994" t="s">
        <v>20221</v>
      </c>
      <c r="I5862" s="11" t="s">
        <v>8090</v>
      </c>
      <c r="J5862" s="1285"/>
      <c r="K5862" s="1285"/>
      <c r="L5862" s="1285"/>
    </row>
    <row r="5863" spans="1:12" ht="11.15" customHeight="1">
      <c r="A5863" s="162" t="s">
        <v>8091</v>
      </c>
      <c r="B5863" s="59" t="s">
        <v>21267</v>
      </c>
      <c r="C5863" s="147" t="s">
        <v>20221</v>
      </c>
      <c r="D5863" s="284" t="s">
        <v>897</v>
      </c>
      <c r="E5863" s="178">
        <v>2020</v>
      </c>
      <c r="F5863" s="178" t="s">
        <v>23395</v>
      </c>
      <c r="G5863" s="496"/>
      <c r="H5863" s="994" t="s">
        <v>20221</v>
      </c>
      <c r="I5863" s="11" t="s">
        <v>8092</v>
      </c>
      <c r="J5863" s="1285"/>
      <c r="K5863" s="1285"/>
      <c r="L5863" s="1285"/>
    </row>
    <row r="5864" spans="1:12" ht="11.15" customHeight="1">
      <c r="A5864" s="162" t="s">
        <v>8093</v>
      </c>
      <c r="B5864" s="59" t="s">
        <v>21267</v>
      </c>
      <c r="C5864" s="147" t="s">
        <v>20221</v>
      </c>
      <c r="D5864" s="284" t="s">
        <v>897</v>
      </c>
      <c r="E5864" s="178">
        <v>2019</v>
      </c>
      <c r="F5864" s="178" t="s">
        <v>23395</v>
      </c>
      <c r="G5864" s="496"/>
      <c r="H5864" s="994" t="s">
        <v>20221</v>
      </c>
      <c r="I5864" s="11" t="s">
        <v>8094</v>
      </c>
      <c r="J5864" s="1285"/>
      <c r="K5864" s="1285"/>
      <c r="L5864" s="1285"/>
    </row>
    <row r="5865" spans="1:12" ht="11.15" customHeight="1">
      <c r="A5865" s="29" t="s">
        <v>7897</v>
      </c>
      <c r="B5865" s="59" t="s">
        <v>21267</v>
      </c>
      <c r="C5865" s="147" t="s">
        <v>20221</v>
      </c>
      <c r="D5865" s="284" t="s">
        <v>897</v>
      </c>
      <c r="E5865" s="178">
        <v>2017</v>
      </c>
      <c r="F5865" s="178" t="s">
        <v>23395</v>
      </c>
      <c r="G5865" s="496"/>
      <c r="H5865" s="994" t="s">
        <v>20221</v>
      </c>
      <c r="I5865" s="11" t="s">
        <v>8095</v>
      </c>
      <c r="J5865" s="1285"/>
      <c r="K5865" s="1285"/>
      <c r="L5865" s="1285"/>
    </row>
    <row r="5866" spans="1:12" ht="11.15" customHeight="1">
      <c r="A5866" s="771" t="s">
        <v>7740</v>
      </c>
      <c r="B5866" s="59" t="s">
        <v>21267</v>
      </c>
      <c r="C5866" s="147" t="s">
        <v>20221</v>
      </c>
      <c r="D5866" s="284" t="s">
        <v>897</v>
      </c>
      <c r="E5866" s="178">
        <v>2016</v>
      </c>
      <c r="F5866" s="178" t="s">
        <v>23395</v>
      </c>
      <c r="G5866" s="496"/>
      <c r="H5866" s="994" t="s">
        <v>20221</v>
      </c>
      <c r="I5866" s="11" t="s">
        <v>8096</v>
      </c>
      <c r="J5866" s="1285"/>
      <c r="K5866" s="1285"/>
      <c r="L5866" s="1285"/>
    </row>
    <row r="5867" spans="1:12" ht="11.15" customHeight="1">
      <c r="A5867" s="166" t="s">
        <v>8097</v>
      </c>
      <c r="B5867" s="59" t="s">
        <v>21267</v>
      </c>
      <c r="C5867" s="147" t="s">
        <v>20221</v>
      </c>
      <c r="D5867" s="284" t="s">
        <v>897</v>
      </c>
      <c r="E5867" s="178">
        <v>2015</v>
      </c>
      <c r="F5867" s="178" t="s">
        <v>23395</v>
      </c>
      <c r="G5867" s="496"/>
      <c r="H5867" s="994" t="s">
        <v>20221</v>
      </c>
      <c r="I5867" s="11" t="s">
        <v>8098</v>
      </c>
      <c r="J5867" s="1285"/>
      <c r="K5867" s="1285"/>
      <c r="L5867" s="1285"/>
    </row>
    <row r="5868" spans="1:12" ht="11.15" customHeight="1">
      <c r="A5868" s="169" t="s">
        <v>8099</v>
      </c>
      <c r="B5868" s="177" t="s">
        <v>8100</v>
      </c>
      <c r="C5868" s="147"/>
      <c r="D5868" s="161"/>
      <c r="E5868" s="36"/>
      <c r="F5868" s="183"/>
      <c r="G5868" s="496"/>
      <c r="H5868" s="183"/>
      <c r="I5868" s="11"/>
    </row>
    <row r="5869" spans="1:12" ht="11.15" customHeight="1">
      <c r="A5869" s="495" t="s">
        <v>8101</v>
      </c>
      <c r="B5869" s="59" t="s">
        <v>21268</v>
      </c>
      <c r="C5869" s="147" t="s">
        <v>20221</v>
      </c>
      <c r="D5869" s="284" t="s">
        <v>897</v>
      </c>
      <c r="E5869" s="178">
        <v>2021</v>
      </c>
      <c r="F5869" s="178" t="s">
        <v>23395</v>
      </c>
      <c r="G5869" s="496"/>
      <c r="H5869" s="994" t="s">
        <v>20221</v>
      </c>
      <c r="I5869" s="11" t="s">
        <v>8102</v>
      </c>
      <c r="J5869" s="1285"/>
      <c r="K5869" s="1285"/>
      <c r="L5869" s="1285"/>
    </row>
    <row r="5870" spans="1:12" ht="11.15" customHeight="1">
      <c r="A5870" s="129" t="s">
        <v>2579</v>
      </c>
      <c r="B5870" s="59" t="s">
        <v>21269</v>
      </c>
      <c r="C5870" s="147" t="s">
        <v>20221</v>
      </c>
      <c r="D5870" s="284" t="s">
        <v>897</v>
      </c>
      <c r="E5870" s="178">
        <v>2022</v>
      </c>
      <c r="F5870" s="178" t="s">
        <v>23395</v>
      </c>
      <c r="G5870" s="496"/>
      <c r="H5870" s="994" t="s">
        <v>20343</v>
      </c>
      <c r="I5870" s="11" t="s">
        <v>8103</v>
      </c>
      <c r="J5870" s="1285"/>
      <c r="K5870" s="1285"/>
      <c r="L5870" s="1285"/>
    </row>
    <row r="5871" spans="1:12" ht="11.15" customHeight="1">
      <c r="A5871" s="481" t="s">
        <v>8104</v>
      </c>
      <c r="B5871" s="59" t="s">
        <v>21269</v>
      </c>
      <c r="C5871" s="147" t="s">
        <v>20221</v>
      </c>
      <c r="D5871" s="284" t="s">
        <v>897</v>
      </c>
      <c r="E5871" s="178">
        <v>2019</v>
      </c>
      <c r="F5871" s="178" t="s">
        <v>23395</v>
      </c>
      <c r="G5871" s="496"/>
      <c r="H5871" s="994" t="s">
        <v>20221</v>
      </c>
      <c r="I5871" s="11" t="s">
        <v>8105</v>
      </c>
      <c r="J5871" s="1285"/>
      <c r="K5871" s="1285"/>
      <c r="L5871" s="1285"/>
    </row>
    <row r="5872" spans="1:12" ht="11.15" customHeight="1">
      <c r="A5872" s="29"/>
      <c r="B5872" s="59" t="s">
        <v>21269</v>
      </c>
      <c r="C5872" s="147" t="s">
        <v>20221</v>
      </c>
      <c r="D5872" s="284" t="s">
        <v>897</v>
      </c>
      <c r="E5872" s="178">
        <v>2018</v>
      </c>
      <c r="F5872" s="178" t="s">
        <v>23395</v>
      </c>
      <c r="G5872" s="496"/>
      <c r="H5872" s="994" t="s">
        <v>20221</v>
      </c>
      <c r="I5872" s="11" t="s">
        <v>8106</v>
      </c>
      <c r="J5872" s="1285"/>
      <c r="K5872" s="1285"/>
      <c r="L5872" s="1285"/>
    </row>
    <row r="5873" spans="1:12" ht="11.15" customHeight="1">
      <c r="A5873" s="185"/>
      <c r="B5873" s="59" t="s">
        <v>21269</v>
      </c>
      <c r="C5873" s="147" t="s">
        <v>20221</v>
      </c>
      <c r="D5873" s="284" t="s">
        <v>897</v>
      </c>
      <c r="E5873" s="178">
        <v>2017</v>
      </c>
      <c r="F5873" s="178" t="s">
        <v>23395</v>
      </c>
      <c r="G5873" s="496"/>
      <c r="H5873" s="994" t="s">
        <v>20221</v>
      </c>
      <c r="I5873" s="11" t="s">
        <v>8107</v>
      </c>
      <c r="J5873" s="1285"/>
      <c r="K5873" s="1285"/>
      <c r="L5873" s="1285"/>
    </row>
    <row r="5874" spans="1:12" ht="11.15" customHeight="1">
      <c r="A5874" s="185"/>
      <c r="B5874" s="59" t="s">
        <v>21269</v>
      </c>
      <c r="C5874" s="147" t="s">
        <v>20221</v>
      </c>
      <c r="D5874" s="284" t="s">
        <v>897</v>
      </c>
      <c r="E5874" s="178">
        <v>2016</v>
      </c>
      <c r="F5874" s="178" t="s">
        <v>23395</v>
      </c>
      <c r="G5874" s="496"/>
      <c r="H5874" s="994" t="s">
        <v>20221</v>
      </c>
      <c r="I5874" s="11" t="s">
        <v>8108</v>
      </c>
      <c r="J5874" s="1285"/>
      <c r="K5874" s="1285"/>
      <c r="L5874" s="1285"/>
    </row>
    <row r="5875" spans="1:12" ht="11.15" customHeight="1">
      <c r="A5875" s="185"/>
      <c r="B5875" s="59" t="s">
        <v>21269</v>
      </c>
      <c r="C5875" s="147" t="s">
        <v>20221</v>
      </c>
      <c r="D5875" s="284" t="s">
        <v>897</v>
      </c>
      <c r="E5875" s="178">
        <v>2015</v>
      </c>
      <c r="F5875" s="178" t="s">
        <v>23395</v>
      </c>
      <c r="G5875" s="496"/>
      <c r="H5875" s="994" t="s">
        <v>20221</v>
      </c>
      <c r="I5875" s="11" t="s">
        <v>8109</v>
      </c>
      <c r="J5875" s="1285"/>
      <c r="K5875" s="1285"/>
      <c r="L5875" s="1285"/>
    </row>
    <row r="5876" spans="1:12" ht="11.15" customHeight="1">
      <c r="A5876" s="185"/>
      <c r="B5876" s="59" t="s">
        <v>21269</v>
      </c>
      <c r="C5876" s="147" t="s">
        <v>20221</v>
      </c>
      <c r="D5876" s="284" t="s">
        <v>897</v>
      </c>
      <c r="E5876" s="178">
        <v>2013</v>
      </c>
      <c r="F5876" s="178" t="s">
        <v>23395</v>
      </c>
      <c r="G5876" s="496"/>
      <c r="H5876" s="994" t="s">
        <v>20221</v>
      </c>
      <c r="I5876" s="11" t="s">
        <v>8110</v>
      </c>
      <c r="J5876" s="1285"/>
      <c r="K5876" s="1285"/>
      <c r="L5876" s="1285"/>
    </row>
    <row r="5877" spans="1:12" ht="11.15" customHeight="1">
      <c r="A5877" s="185"/>
      <c r="B5877" s="59" t="s">
        <v>21270</v>
      </c>
      <c r="C5877" s="147" t="s">
        <v>20221</v>
      </c>
      <c r="D5877" s="284" t="s">
        <v>897</v>
      </c>
      <c r="E5877" s="178">
        <v>2022</v>
      </c>
      <c r="F5877" s="178" t="s">
        <v>23395</v>
      </c>
      <c r="G5877" s="496"/>
      <c r="H5877" s="994" t="s">
        <v>20343</v>
      </c>
      <c r="I5877" s="11" t="s">
        <v>8111</v>
      </c>
      <c r="J5877" s="1285"/>
      <c r="K5877" s="1285"/>
      <c r="L5877" s="1285"/>
    </row>
    <row r="5878" spans="1:12" ht="11.15" customHeight="1">
      <c r="A5878" s="185"/>
      <c r="B5878" s="59" t="s">
        <v>21270</v>
      </c>
      <c r="C5878" s="147" t="s">
        <v>20221</v>
      </c>
      <c r="D5878" s="284" t="s">
        <v>897</v>
      </c>
      <c r="E5878" s="178">
        <v>2020</v>
      </c>
      <c r="F5878" s="178" t="s">
        <v>23395</v>
      </c>
      <c r="G5878" s="496"/>
      <c r="H5878" s="994" t="s">
        <v>20221</v>
      </c>
      <c r="I5878" s="11" t="s">
        <v>8112</v>
      </c>
      <c r="J5878" s="1285"/>
      <c r="K5878" s="1285"/>
      <c r="L5878" s="1285"/>
    </row>
    <row r="5879" spans="1:12" ht="11.15" customHeight="1">
      <c r="A5879" s="185"/>
      <c r="B5879" s="59" t="s">
        <v>21270</v>
      </c>
      <c r="C5879" s="147" t="s">
        <v>20221</v>
      </c>
      <c r="D5879" s="284" t="s">
        <v>897</v>
      </c>
      <c r="E5879" s="178">
        <v>2019</v>
      </c>
      <c r="F5879" s="178" t="s">
        <v>23395</v>
      </c>
      <c r="G5879" s="496"/>
      <c r="H5879" s="994" t="s">
        <v>20221</v>
      </c>
      <c r="I5879" s="11" t="s">
        <v>8113</v>
      </c>
      <c r="J5879" s="1285"/>
      <c r="K5879" s="1285"/>
      <c r="L5879" s="1285"/>
    </row>
    <row r="5880" spans="1:12" ht="11.15" customHeight="1">
      <c r="A5880" s="185"/>
      <c r="B5880" s="59" t="s">
        <v>21270</v>
      </c>
      <c r="C5880" s="147" t="s">
        <v>20221</v>
      </c>
      <c r="D5880" s="284" t="s">
        <v>897</v>
      </c>
      <c r="E5880" s="178">
        <v>2018</v>
      </c>
      <c r="F5880" s="178" t="s">
        <v>23395</v>
      </c>
      <c r="G5880" s="496"/>
      <c r="H5880" s="994" t="s">
        <v>20221</v>
      </c>
      <c r="I5880" s="11" t="s">
        <v>8114</v>
      </c>
      <c r="J5880" s="1285"/>
      <c r="K5880" s="1285"/>
      <c r="L5880" s="1285"/>
    </row>
    <row r="5881" spans="1:12" ht="11.15" customHeight="1">
      <c r="A5881" s="185"/>
      <c r="B5881" s="59" t="s">
        <v>21270</v>
      </c>
      <c r="C5881" s="147" t="s">
        <v>20221</v>
      </c>
      <c r="D5881" s="284" t="s">
        <v>897</v>
      </c>
      <c r="E5881" s="178">
        <v>2017</v>
      </c>
      <c r="F5881" s="178" t="s">
        <v>23395</v>
      </c>
      <c r="G5881" s="496"/>
      <c r="H5881" s="994" t="s">
        <v>20221</v>
      </c>
      <c r="I5881" s="11" t="s">
        <v>8115</v>
      </c>
      <c r="J5881" s="1285"/>
      <c r="K5881" s="1285"/>
      <c r="L5881" s="1285"/>
    </row>
    <row r="5882" spans="1:12" ht="11.15" customHeight="1">
      <c r="A5882" s="185"/>
      <c r="B5882" s="59" t="s">
        <v>21270</v>
      </c>
      <c r="C5882" s="147" t="s">
        <v>20221</v>
      </c>
      <c r="D5882" s="284" t="s">
        <v>897</v>
      </c>
      <c r="E5882" s="178">
        <v>2016</v>
      </c>
      <c r="F5882" s="178" t="s">
        <v>23395</v>
      </c>
      <c r="G5882" s="496"/>
      <c r="H5882" s="994" t="s">
        <v>20221</v>
      </c>
      <c r="I5882" s="11" t="s">
        <v>8116</v>
      </c>
      <c r="J5882" s="1285"/>
      <c r="K5882" s="1285"/>
      <c r="L5882" s="1285"/>
    </row>
    <row r="5883" spans="1:12" ht="11.15" customHeight="1">
      <c r="A5883" s="185"/>
      <c r="B5883" s="59" t="s">
        <v>21270</v>
      </c>
      <c r="C5883" s="147" t="s">
        <v>20221</v>
      </c>
      <c r="D5883" s="284" t="s">
        <v>897</v>
      </c>
      <c r="E5883" s="178">
        <v>2015</v>
      </c>
      <c r="F5883" s="178" t="s">
        <v>23395</v>
      </c>
      <c r="G5883" s="496"/>
      <c r="H5883" s="994" t="s">
        <v>20221</v>
      </c>
      <c r="I5883" s="11" t="s">
        <v>8117</v>
      </c>
      <c r="J5883" s="1285"/>
      <c r="K5883" s="1285"/>
      <c r="L5883" s="1285"/>
    </row>
    <row r="5884" spans="1:12" ht="11.15" customHeight="1">
      <c r="A5884" s="185"/>
      <c r="B5884" s="59" t="s">
        <v>21270</v>
      </c>
      <c r="C5884" s="147" t="s">
        <v>20221</v>
      </c>
      <c r="D5884" s="284" t="s">
        <v>897</v>
      </c>
      <c r="E5884" s="178">
        <v>2014</v>
      </c>
      <c r="F5884" s="178" t="s">
        <v>23395</v>
      </c>
      <c r="G5884" s="496"/>
      <c r="H5884" s="994" t="s">
        <v>20221</v>
      </c>
      <c r="I5884" s="11" t="s">
        <v>8118</v>
      </c>
      <c r="J5884" s="1285"/>
      <c r="K5884" s="1285"/>
      <c r="L5884" s="1285"/>
    </row>
    <row r="5885" spans="1:12" ht="11.15" customHeight="1">
      <c r="A5885" s="185"/>
      <c r="B5885" s="59" t="s">
        <v>21271</v>
      </c>
      <c r="C5885" s="147" t="s">
        <v>20221</v>
      </c>
      <c r="D5885" s="284" t="s">
        <v>897</v>
      </c>
      <c r="E5885" s="178">
        <v>2012</v>
      </c>
      <c r="F5885" s="178" t="s">
        <v>11931</v>
      </c>
      <c r="G5885" s="496"/>
      <c r="H5885" s="994" t="s">
        <v>20221</v>
      </c>
      <c r="I5885" s="11" t="s">
        <v>8119</v>
      </c>
      <c r="J5885" s="1285"/>
      <c r="K5885" s="1285"/>
      <c r="L5885" s="1285"/>
    </row>
    <row r="5886" spans="1:12" ht="11.15" customHeight="1">
      <c r="A5886" s="185"/>
      <c r="B5886" s="177" t="s">
        <v>8120</v>
      </c>
      <c r="C5886" s="147"/>
      <c r="D5886" s="122"/>
      <c r="E5886" s="178"/>
      <c r="F5886" s="178"/>
      <c r="G5886" s="60"/>
      <c r="H5886" s="178"/>
      <c r="I5886" s="11"/>
    </row>
    <row r="5887" spans="1:12" ht="11.15" customHeight="1">
      <c r="A5887" s="185"/>
      <c r="B5887" s="59" t="s">
        <v>21272</v>
      </c>
      <c r="C5887" s="147" t="s">
        <v>20221</v>
      </c>
      <c r="D5887" s="284" t="s">
        <v>897</v>
      </c>
      <c r="E5887" s="178">
        <v>2015</v>
      </c>
      <c r="F5887" s="178" t="s">
        <v>23395</v>
      </c>
      <c r="G5887" s="496"/>
      <c r="H5887" s="994" t="s">
        <v>20221</v>
      </c>
      <c r="I5887" s="11" t="s">
        <v>8121</v>
      </c>
      <c r="J5887" s="1285"/>
      <c r="K5887" s="1285"/>
      <c r="L5887" s="1285"/>
    </row>
    <row r="5888" spans="1:12" ht="11.15" customHeight="1">
      <c r="A5888" s="185"/>
      <c r="B5888" s="59" t="s">
        <v>21272</v>
      </c>
      <c r="C5888" s="147" t="s">
        <v>20221</v>
      </c>
      <c r="D5888" s="284" t="s">
        <v>897</v>
      </c>
      <c r="E5888" s="178">
        <v>2013</v>
      </c>
      <c r="F5888" s="178" t="s">
        <v>23395</v>
      </c>
      <c r="G5888" s="496"/>
      <c r="H5888" s="994" t="s">
        <v>20221</v>
      </c>
      <c r="I5888" s="11" t="s">
        <v>8122</v>
      </c>
      <c r="J5888" s="1285"/>
      <c r="K5888" s="1285"/>
      <c r="L5888" s="1285"/>
    </row>
    <row r="5889" spans="1:12" ht="11.15" customHeight="1">
      <c r="A5889" s="185"/>
      <c r="B5889" s="59" t="s">
        <v>21272</v>
      </c>
      <c r="C5889" s="147" t="s">
        <v>20221</v>
      </c>
      <c r="D5889" s="284" t="s">
        <v>897</v>
      </c>
      <c r="E5889" s="178">
        <v>2010</v>
      </c>
      <c r="F5889" s="178" t="s">
        <v>23395</v>
      </c>
      <c r="G5889" s="496"/>
      <c r="H5889" s="994" t="s">
        <v>20221</v>
      </c>
      <c r="I5889" s="11" t="s">
        <v>8123</v>
      </c>
      <c r="J5889" s="1285"/>
      <c r="K5889" s="1285"/>
      <c r="L5889" s="1285"/>
    </row>
    <row r="5890" spans="1:12" ht="11.15" customHeight="1">
      <c r="A5890" s="185"/>
      <c r="B5890" s="377"/>
      <c r="C5890" s="147"/>
      <c r="D5890" s="122"/>
      <c r="E5890" s="178"/>
      <c r="F5890" s="178"/>
      <c r="G5890" s="60"/>
      <c r="H5890" s="178"/>
      <c r="I5890" s="11"/>
    </row>
    <row r="5891" spans="1:12" ht="11.15" customHeight="1">
      <c r="A5891" s="512"/>
      <c r="B5891" s="413" t="s">
        <v>8124</v>
      </c>
      <c r="C5891" s="147"/>
      <c r="D5891" s="159"/>
      <c r="E5891" s="36"/>
      <c r="F5891" s="178"/>
      <c r="G5891" s="496"/>
      <c r="H5891" s="36"/>
      <c r="I5891" s="11"/>
    </row>
    <row r="5892" spans="1:12" ht="9" customHeight="1">
      <c r="A5892" s="29"/>
      <c r="B5892" s="210" t="s">
        <v>8125</v>
      </c>
      <c r="C5892" s="147"/>
      <c r="D5892" s="159"/>
      <c r="E5892" s="36"/>
      <c r="F5892" s="178"/>
      <c r="G5892" s="496"/>
      <c r="H5892" s="36"/>
      <c r="I5892" s="11"/>
    </row>
    <row r="5893" spans="1:12" ht="9" customHeight="1">
      <c r="A5893" s="29"/>
      <c r="B5893" s="150" t="s">
        <v>8126</v>
      </c>
      <c r="C5893" s="147"/>
      <c r="D5893" s="159"/>
      <c r="E5893" s="36"/>
      <c r="F5893" s="178"/>
      <c r="G5893" s="496"/>
      <c r="H5893" s="36"/>
      <c r="I5893" s="11"/>
    </row>
    <row r="5894" spans="1:12" ht="9" customHeight="1">
      <c r="A5894" s="29"/>
      <c r="B5894" s="150" t="s">
        <v>8127</v>
      </c>
      <c r="C5894" s="147"/>
      <c r="D5894" s="159"/>
      <c r="E5894" s="36"/>
      <c r="F5894" s="178"/>
      <c r="G5894" s="496"/>
      <c r="H5894" s="36"/>
      <c r="I5894" s="11"/>
    </row>
    <row r="5895" spans="1:12" ht="9" customHeight="1">
      <c r="A5895" s="29"/>
      <c r="B5895" s="150" t="s">
        <v>8128</v>
      </c>
      <c r="C5895" s="147"/>
      <c r="D5895" s="159"/>
      <c r="E5895" s="36"/>
      <c r="F5895" s="178"/>
      <c r="G5895" s="496"/>
      <c r="H5895" s="36"/>
      <c r="I5895" s="11"/>
    </row>
    <row r="5896" spans="1:12" ht="9" customHeight="1">
      <c r="A5896" s="29"/>
      <c r="B5896" s="150" t="s">
        <v>8129</v>
      </c>
      <c r="C5896" s="147"/>
      <c r="D5896" s="159"/>
      <c r="E5896" s="36"/>
      <c r="F5896" s="178"/>
      <c r="G5896" s="496"/>
      <c r="H5896" s="36"/>
      <c r="I5896" s="11"/>
    </row>
    <row r="5897" spans="1:12" ht="9" customHeight="1">
      <c r="A5897" s="29"/>
      <c r="B5897" s="150" t="s">
        <v>8130</v>
      </c>
      <c r="C5897" s="147"/>
      <c r="D5897" s="159"/>
      <c r="E5897" s="36"/>
      <c r="F5897" s="178"/>
      <c r="G5897" s="496"/>
      <c r="H5897" s="36"/>
      <c r="I5897" s="11"/>
    </row>
    <row r="5898" spans="1:12" ht="9" customHeight="1">
      <c r="A5898" s="29"/>
      <c r="B5898" s="150" t="s">
        <v>8131</v>
      </c>
      <c r="C5898" s="147"/>
      <c r="D5898" s="159"/>
      <c r="E5898" s="36"/>
      <c r="F5898" s="178"/>
      <c r="G5898" s="496"/>
      <c r="H5898" s="36"/>
      <c r="I5898" s="11"/>
    </row>
    <row r="5899" spans="1:12" ht="9" customHeight="1">
      <c r="A5899" s="29"/>
      <c r="B5899" s="150" t="s">
        <v>8132</v>
      </c>
      <c r="C5899" s="147"/>
      <c r="D5899" s="156"/>
      <c r="E5899" s="36"/>
      <c r="F5899" s="178"/>
      <c r="G5899" s="497"/>
      <c r="H5899" s="36"/>
      <c r="I5899" s="11"/>
    </row>
    <row r="5900" spans="1:12" ht="9" customHeight="1">
      <c r="A5900" s="29"/>
      <c r="B5900" s="150" t="s">
        <v>8133</v>
      </c>
      <c r="C5900" s="147"/>
      <c r="D5900" s="156"/>
      <c r="E5900" s="36"/>
      <c r="F5900" s="178"/>
      <c r="G5900" s="497"/>
      <c r="H5900" s="36"/>
      <c r="I5900" s="11"/>
    </row>
    <row r="5901" spans="1:12" ht="9" customHeight="1">
      <c r="A5901" s="29"/>
      <c r="B5901" s="150" t="s">
        <v>8134</v>
      </c>
      <c r="C5901" s="147"/>
      <c r="D5901" s="156"/>
      <c r="E5901" s="36"/>
      <c r="F5901" s="178"/>
      <c r="G5901" s="497"/>
      <c r="H5901" s="36"/>
      <c r="I5901" s="11"/>
    </row>
    <row r="5902" spans="1:12" ht="9" customHeight="1">
      <c r="A5902" s="29"/>
      <c r="B5902" s="150" t="s">
        <v>8135</v>
      </c>
      <c r="C5902" s="147"/>
      <c r="D5902" s="156"/>
      <c r="E5902" s="36"/>
      <c r="F5902" s="178"/>
      <c r="G5902" s="497"/>
      <c r="H5902" s="36"/>
      <c r="I5902" s="11"/>
    </row>
    <row r="5903" spans="1:12" ht="9" customHeight="1">
      <c r="A5903" s="29"/>
      <c r="B5903" s="150" t="s">
        <v>8136</v>
      </c>
      <c r="C5903" s="147"/>
      <c r="D5903" s="156"/>
      <c r="E5903" s="36"/>
      <c r="F5903" s="178"/>
      <c r="G5903" s="497"/>
      <c r="H5903" s="36"/>
      <c r="I5903" s="11"/>
    </row>
    <row r="5904" spans="1:12" ht="9" customHeight="1" thickBot="1">
      <c r="A5904" s="29"/>
      <c r="B5904" s="150" t="s">
        <v>8137</v>
      </c>
      <c r="C5904" s="147"/>
      <c r="D5904" s="156"/>
      <c r="E5904" s="36"/>
      <c r="F5904" s="178"/>
      <c r="G5904" s="497"/>
      <c r="H5904" s="36"/>
      <c r="I5904" s="11"/>
    </row>
    <row r="5905" spans="1:12" ht="11.15" customHeight="1">
      <c r="A5905" s="513" t="s">
        <v>8138</v>
      </c>
      <c r="B5905" s="154" t="s">
        <v>8139</v>
      </c>
      <c r="C5905" s="147"/>
      <c r="D5905" s="156"/>
      <c r="E5905" s="36"/>
      <c r="F5905" s="178"/>
      <c r="G5905" s="497"/>
      <c r="H5905" s="36"/>
      <c r="I5905" s="11"/>
    </row>
    <row r="5906" spans="1:12" ht="11.15" customHeight="1" thickBot="1">
      <c r="A5906" s="354" t="s">
        <v>8140</v>
      </c>
      <c r="B5906" s="59" t="s">
        <v>21274</v>
      </c>
      <c r="C5906" s="147" t="s">
        <v>20221</v>
      </c>
      <c r="D5906" s="701" t="s">
        <v>884</v>
      </c>
      <c r="E5906" s="178">
        <v>2021</v>
      </c>
      <c r="F5906" s="178" t="s">
        <v>4520</v>
      </c>
      <c r="G5906" s="496"/>
      <c r="H5906" s="994" t="s">
        <v>20221</v>
      </c>
      <c r="I5906" s="11" t="s">
        <v>8141</v>
      </c>
      <c r="J5906" s="1285"/>
      <c r="K5906" s="1285"/>
      <c r="L5906" s="1285"/>
    </row>
    <row r="5907" spans="1:12" ht="11.15" customHeight="1">
      <c r="A5907" s="29" t="s">
        <v>8142</v>
      </c>
      <c r="B5907" s="154" t="s">
        <v>6512</v>
      </c>
      <c r="C5907" s="147"/>
      <c r="D5907" s="156"/>
      <c r="E5907" s="36"/>
      <c r="F5907" s="178"/>
      <c r="G5907" s="497"/>
      <c r="H5907" s="36"/>
      <c r="I5907" s="11"/>
    </row>
    <row r="5908" spans="1:12" ht="11.15" customHeight="1">
      <c r="A5908" s="181" t="s">
        <v>8143</v>
      </c>
      <c r="B5908" s="59" t="s">
        <v>21275</v>
      </c>
      <c r="C5908" s="147" t="s">
        <v>23393</v>
      </c>
      <c r="D5908" s="701" t="s">
        <v>1129</v>
      </c>
      <c r="E5908" s="178">
        <v>2023</v>
      </c>
      <c r="F5908" s="178" t="s">
        <v>4520</v>
      </c>
      <c r="G5908" s="496"/>
      <c r="H5908" s="994" t="s">
        <v>20221</v>
      </c>
      <c r="I5908" s="11" t="s">
        <v>8144</v>
      </c>
      <c r="J5908" s="1285"/>
      <c r="K5908" s="1285"/>
      <c r="L5908" s="1285"/>
    </row>
    <row r="5909" spans="1:12" ht="11.15" customHeight="1">
      <c r="A5909" s="181" t="s">
        <v>8145</v>
      </c>
      <c r="B5909" s="59" t="s">
        <v>21275</v>
      </c>
      <c r="C5909" s="147" t="s">
        <v>23393</v>
      </c>
      <c r="D5909" s="701" t="s">
        <v>1129</v>
      </c>
      <c r="E5909" s="178">
        <v>2022</v>
      </c>
      <c r="F5909" s="178" t="s">
        <v>4520</v>
      </c>
      <c r="G5909" s="496"/>
      <c r="H5909" s="994" t="s">
        <v>20221</v>
      </c>
      <c r="I5909" s="11" t="s">
        <v>8146</v>
      </c>
      <c r="J5909" s="1285"/>
      <c r="K5909" s="1285"/>
      <c r="L5909" s="1285"/>
    </row>
    <row r="5910" spans="1:12" ht="11.15" customHeight="1">
      <c r="A5910" s="29" t="s">
        <v>8147</v>
      </c>
      <c r="B5910" s="59" t="s">
        <v>21244</v>
      </c>
      <c r="C5910" s="147" t="s">
        <v>23393</v>
      </c>
      <c r="D5910" s="701" t="s">
        <v>1129</v>
      </c>
      <c r="E5910" s="178">
        <v>2020</v>
      </c>
      <c r="F5910" s="178" t="s">
        <v>4520</v>
      </c>
      <c r="G5910" s="496"/>
      <c r="H5910" s="994" t="s">
        <v>20221</v>
      </c>
      <c r="I5910" s="11" t="s">
        <v>8148</v>
      </c>
      <c r="J5910" s="1285"/>
      <c r="K5910" s="1285"/>
      <c r="L5910" s="1285"/>
    </row>
    <row r="5911" spans="1:12" ht="11.15" customHeight="1">
      <c r="A5911" s="29" t="s">
        <v>8149</v>
      </c>
      <c r="B5911" s="59" t="s">
        <v>21276</v>
      </c>
      <c r="C5911" s="147" t="s">
        <v>23393</v>
      </c>
      <c r="D5911" s="701" t="s">
        <v>1129</v>
      </c>
      <c r="E5911" s="178">
        <v>2019</v>
      </c>
      <c r="F5911" s="178" t="s">
        <v>4520</v>
      </c>
      <c r="G5911" s="496"/>
      <c r="H5911" s="994" t="s">
        <v>20221</v>
      </c>
      <c r="I5911" s="11" t="s">
        <v>8150</v>
      </c>
      <c r="J5911" s="1285"/>
      <c r="K5911" s="1285"/>
      <c r="L5911" s="1285"/>
    </row>
    <row r="5912" spans="1:12" ht="11.15" customHeight="1">
      <c r="A5912" s="29" t="s">
        <v>8151</v>
      </c>
      <c r="B5912" s="154" t="s">
        <v>8152</v>
      </c>
      <c r="C5912" s="147"/>
      <c r="D5912" s="156"/>
      <c r="E5912" s="36"/>
      <c r="F5912" s="178"/>
      <c r="G5912" s="497"/>
      <c r="H5912" s="36"/>
      <c r="I5912" s="11"/>
    </row>
    <row r="5913" spans="1:12" ht="11.15" customHeight="1">
      <c r="A5913" s="29" t="s">
        <v>8153</v>
      </c>
      <c r="B5913" s="59" t="s">
        <v>21277</v>
      </c>
      <c r="C5913" s="147" t="s">
        <v>23393</v>
      </c>
      <c r="D5913" s="701" t="s">
        <v>1129</v>
      </c>
      <c r="E5913" s="178">
        <v>2023</v>
      </c>
      <c r="F5913" s="178" t="s">
        <v>4520</v>
      </c>
      <c r="G5913" s="496"/>
      <c r="H5913" s="994" t="s">
        <v>20221</v>
      </c>
      <c r="I5913" s="11" t="s">
        <v>8154</v>
      </c>
      <c r="J5913" s="1285"/>
      <c r="K5913" s="1285"/>
      <c r="L5913" s="1285"/>
    </row>
    <row r="5914" spans="1:12" ht="11.15" customHeight="1">
      <c r="A5914" s="481" t="s">
        <v>8155</v>
      </c>
      <c r="B5914" s="59" t="s">
        <v>21277</v>
      </c>
      <c r="C5914" s="147" t="s">
        <v>23393</v>
      </c>
      <c r="D5914" s="701" t="s">
        <v>1129</v>
      </c>
      <c r="E5914" s="178">
        <v>2022</v>
      </c>
      <c r="F5914" s="178" t="s">
        <v>4520</v>
      </c>
      <c r="G5914" s="496"/>
      <c r="H5914" s="994" t="s">
        <v>20221</v>
      </c>
      <c r="I5914" s="11" t="s">
        <v>8156</v>
      </c>
      <c r="J5914" s="1285"/>
      <c r="K5914" s="1285"/>
      <c r="L5914" s="1285"/>
    </row>
    <row r="5915" spans="1:12" ht="11.15" customHeight="1">
      <c r="A5915" s="29"/>
      <c r="B5915" s="59" t="s">
        <v>21277</v>
      </c>
      <c r="C5915" s="147" t="s">
        <v>20221</v>
      </c>
      <c r="D5915" s="701" t="s">
        <v>1129</v>
      </c>
      <c r="E5915" s="178">
        <v>2017</v>
      </c>
      <c r="F5915" s="178" t="s">
        <v>23395</v>
      </c>
      <c r="G5915" s="496"/>
      <c r="H5915" s="994" t="s">
        <v>20224</v>
      </c>
      <c r="I5915" s="11" t="s">
        <v>8157</v>
      </c>
      <c r="J5915" s="1285"/>
      <c r="K5915" s="1285"/>
      <c r="L5915" s="1285"/>
    </row>
    <row r="5916" spans="1:12" ht="11.15" customHeight="1">
      <c r="A5916" s="185"/>
      <c r="B5916" s="59" t="s">
        <v>21278</v>
      </c>
      <c r="C5916" s="147" t="s">
        <v>20221</v>
      </c>
      <c r="D5916" s="701" t="s">
        <v>1129</v>
      </c>
      <c r="E5916" s="178">
        <v>2023</v>
      </c>
      <c r="F5916" s="178" t="s">
        <v>4520</v>
      </c>
      <c r="G5916" s="496"/>
      <c r="H5916" s="994" t="s">
        <v>20221</v>
      </c>
      <c r="I5916" s="11" t="s">
        <v>8158</v>
      </c>
      <c r="J5916" s="1285"/>
      <c r="K5916" s="1285"/>
      <c r="L5916" s="1285"/>
    </row>
    <row r="5917" spans="1:12" ht="11.15" customHeight="1">
      <c r="A5917" s="185"/>
      <c r="B5917" s="59" t="s">
        <v>21278</v>
      </c>
      <c r="C5917" s="147" t="s">
        <v>20221</v>
      </c>
      <c r="D5917" s="701" t="s">
        <v>1129</v>
      </c>
      <c r="E5917" s="178">
        <v>2012</v>
      </c>
      <c r="F5917" s="178" t="s">
        <v>23395</v>
      </c>
      <c r="G5917" s="496"/>
      <c r="H5917" s="994" t="s">
        <v>20221</v>
      </c>
      <c r="I5917" s="11" t="s">
        <v>8159</v>
      </c>
      <c r="J5917" s="1285"/>
      <c r="K5917" s="1285"/>
      <c r="L5917" s="1285"/>
    </row>
    <row r="5918" spans="1:12" ht="11.15" customHeight="1">
      <c r="A5918" s="185"/>
      <c r="B5918" s="154" t="s">
        <v>8160</v>
      </c>
      <c r="C5918" s="147"/>
      <c r="D5918" s="159"/>
      <c r="E5918" s="36"/>
      <c r="F5918" s="178"/>
      <c r="G5918" s="496"/>
      <c r="H5918" s="36"/>
      <c r="I5918" s="11"/>
    </row>
    <row r="5919" spans="1:12" ht="11.15" customHeight="1">
      <c r="A5919" s="185"/>
      <c r="B5919" s="59" t="s">
        <v>21279</v>
      </c>
      <c r="C5919" s="147" t="s">
        <v>23393</v>
      </c>
      <c r="D5919" s="701" t="s">
        <v>1129</v>
      </c>
      <c r="E5919" s="178">
        <v>2020</v>
      </c>
      <c r="F5919" s="178" t="s">
        <v>4520</v>
      </c>
      <c r="G5919" s="496"/>
      <c r="H5919" s="994" t="s">
        <v>20221</v>
      </c>
      <c r="I5919" s="11" t="s">
        <v>8161</v>
      </c>
      <c r="J5919" s="1285"/>
      <c r="K5919" s="1285"/>
      <c r="L5919" s="1285"/>
    </row>
    <row r="5920" spans="1:12" ht="11.15" customHeight="1">
      <c r="A5920" s="185"/>
      <c r="B5920" s="154" t="s">
        <v>4832</v>
      </c>
      <c r="C5920" s="147"/>
      <c r="D5920" s="159"/>
      <c r="E5920" s="36"/>
      <c r="F5920" s="178"/>
      <c r="G5920" s="496"/>
      <c r="H5920" s="36"/>
      <c r="I5920" s="11"/>
    </row>
    <row r="5921" spans="1:12" ht="11.15" customHeight="1">
      <c r="A5921" s="185"/>
      <c r="B5921" s="59" t="s">
        <v>21280</v>
      </c>
      <c r="C5921" s="147" t="s">
        <v>23393</v>
      </c>
      <c r="D5921" s="284" t="s">
        <v>897</v>
      </c>
      <c r="E5921" s="178">
        <v>2020</v>
      </c>
      <c r="F5921" s="178" t="s">
        <v>4520</v>
      </c>
      <c r="G5921" s="496"/>
      <c r="H5921" s="994" t="s">
        <v>20221</v>
      </c>
      <c r="I5921" s="11" t="s">
        <v>8162</v>
      </c>
      <c r="J5921" s="1285"/>
      <c r="K5921" s="1285"/>
      <c r="L5921" s="1285"/>
    </row>
    <row r="5922" spans="1:12" ht="11.15" customHeight="1">
      <c r="A5922" s="185"/>
      <c r="B5922" s="59" t="s">
        <v>21281</v>
      </c>
      <c r="C5922" s="147" t="s">
        <v>23393</v>
      </c>
      <c r="D5922" s="284" t="s">
        <v>897</v>
      </c>
      <c r="E5922" s="178">
        <v>2023</v>
      </c>
      <c r="F5922" s="178" t="s">
        <v>4520</v>
      </c>
      <c r="G5922" s="496"/>
      <c r="H5922" s="994" t="s">
        <v>20221</v>
      </c>
      <c r="I5922" s="11" t="s">
        <v>8163</v>
      </c>
      <c r="J5922" s="1285"/>
      <c r="K5922" s="1285"/>
      <c r="L5922" s="1285"/>
    </row>
    <row r="5923" spans="1:12" ht="11.15" customHeight="1">
      <c r="A5923" s="185"/>
      <c r="B5923" s="59" t="s">
        <v>21281</v>
      </c>
      <c r="C5923" s="147" t="s">
        <v>23393</v>
      </c>
      <c r="D5923" s="284" t="s">
        <v>897</v>
      </c>
      <c r="E5923" s="178">
        <v>2022</v>
      </c>
      <c r="F5923" s="178" t="s">
        <v>4520</v>
      </c>
      <c r="G5923" s="496"/>
      <c r="H5923" s="994" t="s">
        <v>20221</v>
      </c>
      <c r="I5923" s="11" t="s">
        <v>8164</v>
      </c>
      <c r="J5923" s="1285"/>
      <c r="K5923" s="1285"/>
      <c r="L5923" s="1285"/>
    </row>
    <row r="5924" spans="1:12" ht="11.15" customHeight="1">
      <c r="A5924" s="185"/>
      <c r="B5924" s="59" t="s">
        <v>21281</v>
      </c>
      <c r="C5924" s="147" t="s">
        <v>23393</v>
      </c>
      <c r="D5924" s="284" t="s">
        <v>897</v>
      </c>
      <c r="E5924" s="178">
        <v>2020</v>
      </c>
      <c r="F5924" s="178" t="s">
        <v>4520</v>
      </c>
      <c r="G5924" s="496"/>
      <c r="H5924" s="994" t="s">
        <v>20221</v>
      </c>
      <c r="I5924" s="11" t="s">
        <v>8165</v>
      </c>
      <c r="J5924" s="1285"/>
      <c r="K5924" s="1285"/>
      <c r="L5924" s="1285"/>
    </row>
    <row r="5925" spans="1:12" ht="11.15" customHeight="1">
      <c r="A5925" s="185"/>
      <c r="B5925" s="59" t="s">
        <v>21281</v>
      </c>
      <c r="C5925" s="147" t="s">
        <v>23393</v>
      </c>
      <c r="D5925" s="284" t="s">
        <v>897</v>
      </c>
      <c r="E5925" s="178">
        <v>2019</v>
      </c>
      <c r="F5925" s="178" t="s">
        <v>23395</v>
      </c>
      <c r="G5925" s="496"/>
      <c r="H5925" s="994" t="s">
        <v>20221</v>
      </c>
      <c r="I5925" s="11" t="s">
        <v>8166</v>
      </c>
      <c r="J5925" s="1285"/>
      <c r="K5925" s="1285"/>
      <c r="L5925" s="1285"/>
    </row>
    <row r="5926" spans="1:12" ht="11.15" customHeight="1">
      <c r="A5926" s="185"/>
      <c r="B5926" s="59" t="s">
        <v>21282</v>
      </c>
      <c r="C5926" s="147" t="s">
        <v>23393</v>
      </c>
      <c r="D5926" s="284" t="s">
        <v>897</v>
      </c>
      <c r="E5926" s="178">
        <v>2021</v>
      </c>
      <c r="F5926" s="178" t="s">
        <v>23395</v>
      </c>
      <c r="G5926" s="496"/>
      <c r="H5926" s="994" t="s">
        <v>20221</v>
      </c>
      <c r="I5926" s="11" t="s">
        <v>8167</v>
      </c>
      <c r="J5926" s="1285"/>
      <c r="K5926" s="1285"/>
      <c r="L5926" s="1285"/>
    </row>
    <row r="5927" spans="1:12" ht="11.15" customHeight="1">
      <c r="A5927" s="185"/>
      <c r="B5927" s="59" t="s">
        <v>21282</v>
      </c>
      <c r="C5927" s="147" t="s">
        <v>20221</v>
      </c>
      <c r="D5927" s="284" t="s">
        <v>897</v>
      </c>
      <c r="E5927" s="178">
        <v>2016</v>
      </c>
      <c r="F5927" s="178" t="s">
        <v>23395</v>
      </c>
      <c r="G5927" s="496"/>
      <c r="H5927" s="994" t="s">
        <v>20221</v>
      </c>
      <c r="I5927" s="11" t="s">
        <v>8168</v>
      </c>
      <c r="J5927" s="1285"/>
      <c r="K5927" s="1285"/>
      <c r="L5927" s="1285"/>
    </row>
    <row r="5928" spans="1:12" ht="11.15" customHeight="1">
      <c r="A5928" s="185"/>
      <c r="B5928" s="154" t="s">
        <v>8169</v>
      </c>
      <c r="C5928" s="147"/>
      <c r="D5928" s="159"/>
      <c r="E5928" s="36"/>
      <c r="F5928" s="178"/>
      <c r="G5928" s="496"/>
      <c r="H5928" s="36"/>
      <c r="I5928" s="11"/>
    </row>
    <row r="5929" spans="1:12" ht="11.15" customHeight="1">
      <c r="A5929" s="185"/>
      <c r="B5929" s="59" t="s">
        <v>21283</v>
      </c>
      <c r="C5929" s="147" t="s">
        <v>23393</v>
      </c>
      <c r="D5929" s="284" t="s">
        <v>897</v>
      </c>
      <c r="E5929" s="178">
        <v>2021</v>
      </c>
      <c r="F5929" s="178" t="s">
        <v>23395</v>
      </c>
      <c r="G5929" s="496"/>
      <c r="H5929" s="994" t="s">
        <v>20221</v>
      </c>
      <c r="I5929" s="11" t="s">
        <v>8170</v>
      </c>
      <c r="J5929" s="1285"/>
      <c r="K5929" s="1285"/>
      <c r="L5929" s="1285"/>
    </row>
    <row r="5930" spans="1:12" ht="11.15" customHeight="1">
      <c r="A5930" s="185"/>
      <c r="B5930" s="59" t="s">
        <v>21283</v>
      </c>
      <c r="C5930" s="147" t="s">
        <v>23393</v>
      </c>
      <c r="D5930" s="284" t="s">
        <v>897</v>
      </c>
      <c r="E5930" s="178">
        <v>2020</v>
      </c>
      <c r="F5930" s="178" t="s">
        <v>4520</v>
      </c>
      <c r="G5930" s="496"/>
      <c r="H5930" s="994" t="s">
        <v>20221</v>
      </c>
      <c r="I5930" s="11" t="s">
        <v>8171</v>
      </c>
      <c r="J5930" s="1285"/>
      <c r="K5930" s="1285"/>
      <c r="L5930" s="1285"/>
    </row>
    <row r="5931" spans="1:12" ht="11.15" customHeight="1">
      <c r="A5931" s="29"/>
      <c r="B5931" s="59" t="s">
        <v>21283</v>
      </c>
      <c r="C5931" s="147" t="s">
        <v>23393</v>
      </c>
      <c r="D5931" s="284" t="s">
        <v>897</v>
      </c>
      <c r="E5931" s="178">
        <v>2019</v>
      </c>
      <c r="F5931" s="178" t="s">
        <v>4520</v>
      </c>
      <c r="G5931" s="496"/>
      <c r="H5931" s="994" t="s">
        <v>20221</v>
      </c>
      <c r="I5931" s="11" t="s">
        <v>8172</v>
      </c>
      <c r="J5931" s="1285"/>
      <c r="K5931" s="1285"/>
      <c r="L5931" s="1285"/>
    </row>
    <row r="5932" spans="1:12" ht="11.15" customHeight="1">
      <c r="A5932" s="185"/>
      <c r="B5932" s="59" t="s">
        <v>21283</v>
      </c>
      <c r="C5932" s="147" t="s">
        <v>20221</v>
      </c>
      <c r="D5932" s="284" t="s">
        <v>897</v>
      </c>
      <c r="E5932" s="178">
        <v>2018</v>
      </c>
      <c r="F5932" s="178" t="s">
        <v>4520</v>
      </c>
      <c r="G5932" s="496"/>
      <c r="H5932" s="994" t="s">
        <v>20221</v>
      </c>
      <c r="I5932" s="11" t="s">
        <v>8173</v>
      </c>
      <c r="J5932" s="1285"/>
      <c r="K5932" s="1285"/>
      <c r="L5932" s="1285"/>
    </row>
    <row r="5933" spans="1:12" ht="11.15" customHeight="1">
      <c r="A5933" s="185"/>
      <c r="B5933" s="59" t="s">
        <v>21283</v>
      </c>
      <c r="C5933" s="147" t="s">
        <v>20221</v>
      </c>
      <c r="D5933" s="284" t="s">
        <v>897</v>
      </c>
      <c r="E5933" s="178">
        <v>2017</v>
      </c>
      <c r="F5933" s="178" t="s">
        <v>23395</v>
      </c>
      <c r="G5933" s="496"/>
      <c r="H5933" s="994" t="s">
        <v>20221</v>
      </c>
      <c r="I5933" s="11" t="s">
        <v>8174</v>
      </c>
      <c r="J5933" s="1285"/>
      <c r="K5933" s="1285"/>
      <c r="L5933" s="1285"/>
    </row>
    <row r="5934" spans="1:12" ht="11.15" customHeight="1">
      <c r="A5934" s="185"/>
      <c r="B5934" s="59" t="s">
        <v>21283</v>
      </c>
      <c r="C5934" s="147" t="s">
        <v>20221</v>
      </c>
      <c r="D5934" s="284" t="s">
        <v>897</v>
      </c>
      <c r="E5934" s="178">
        <v>2016</v>
      </c>
      <c r="F5934" s="178" t="s">
        <v>23395</v>
      </c>
      <c r="G5934" s="496"/>
      <c r="H5934" s="994" t="s">
        <v>20221</v>
      </c>
      <c r="I5934" s="11" t="s">
        <v>8175</v>
      </c>
      <c r="J5934" s="1285"/>
      <c r="K5934" s="1285"/>
      <c r="L5934" s="1285"/>
    </row>
    <row r="5935" spans="1:12" ht="11.15" customHeight="1">
      <c r="A5935" s="185"/>
      <c r="B5935" s="59" t="s">
        <v>21283</v>
      </c>
      <c r="C5935" s="147" t="s">
        <v>20221</v>
      </c>
      <c r="D5935" s="284" t="s">
        <v>897</v>
      </c>
      <c r="E5935" s="178">
        <v>2015</v>
      </c>
      <c r="F5935" s="178" t="s">
        <v>4520</v>
      </c>
      <c r="G5935" s="496"/>
      <c r="H5935" s="994" t="s">
        <v>20224</v>
      </c>
      <c r="I5935" s="11" t="s">
        <v>8176</v>
      </c>
      <c r="J5935" s="1285"/>
      <c r="K5935" s="1285"/>
      <c r="L5935" s="1285"/>
    </row>
    <row r="5936" spans="1:12" ht="11.15" customHeight="1">
      <c r="A5936" s="185"/>
      <c r="B5936" s="59" t="s">
        <v>21283</v>
      </c>
      <c r="C5936" s="147" t="s">
        <v>20221</v>
      </c>
      <c r="D5936" s="284" t="s">
        <v>897</v>
      </c>
      <c r="E5936" s="178">
        <v>2013</v>
      </c>
      <c r="F5936" s="178" t="s">
        <v>23395</v>
      </c>
      <c r="G5936" s="496"/>
      <c r="H5936" s="994" t="s">
        <v>20221</v>
      </c>
      <c r="I5936" s="11" t="s">
        <v>8177</v>
      </c>
      <c r="J5936" s="1285"/>
      <c r="K5936" s="1285"/>
      <c r="L5936" s="1285"/>
    </row>
    <row r="5937" spans="1:12" ht="11.15" customHeight="1">
      <c r="A5937" s="185"/>
      <c r="B5937" s="59" t="s">
        <v>21283</v>
      </c>
      <c r="C5937" s="147" t="s">
        <v>20221</v>
      </c>
      <c r="D5937" s="284" t="s">
        <v>897</v>
      </c>
      <c r="E5937" s="178">
        <v>2012</v>
      </c>
      <c r="F5937" s="178" t="s">
        <v>23395</v>
      </c>
      <c r="G5937" s="496"/>
      <c r="H5937" s="994" t="s">
        <v>20221</v>
      </c>
      <c r="I5937" s="11" t="s">
        <v>8178</v>
      </c>
      <c r="J5937" s="1285"/>
      <c r="K5937" s="1285"/>
      <c r="L5937" s="1285"/>
    </row>
    <row r="5938" spans="1:12" ht="11.15" customHeight="1">
      <c r="A5938" s="185"/>
      <c r="B5938" s="59" t="s">
        <v>21284</v>
      </c>
      <c r="C5938" s="147" t="s">
        <v>23393</v>
      </c>
      <c r="D5938" s="284" t="s">
        <v>897</v>
      </c>
      <c r="E5938" s="178">
        <v>2023</v>
      </c>
      <c r="F5938" s="178" t="s">
        <v>4520</v>
      </c>
      <c r="G5938" s="496"/>
      <c r="H5938" s="994" t="s">
        <v>20221</v>
      </c>
      <c r="I5938" s="11" t="s">
        <v>8179</v>
      </c>
      <c r="J5938" s="1285"/>
      <c r="K5938" s="1285"/>
      <c r="L5938" s="1285"/>
    </row>
    <row r="5939" spans="1:12" ht="11.15" customHeight="1">
      <c r="A5939" s="185"/>
      <c r="B5939" s="59" t="s">
        <v>21284</v>
      </c>
      <c r="C5939" s="147" t="s">
        <v>23393</v>
      </c>
      <c r="D5939" s="284" t="s">
        <v>897</v>
      </c>
      <c r="E5939" s="178">
        <v>2022</v>
      </c>
      <c r="F5939" s="178" t="s">
        <v>4520</v>
      </c>
      <c r="G5939" s="496"/>
      <c r="H5939" s="994" t="s">
        <v>20221</v>
      </c>
      <c r="I5939" s="11" t="s">
        <v>8180</v>
      </c>
      <c r="J5939" s="1285"/>
      <c r="K5939" s="1285"/>
      <c r="L5939" s="1285"/>
    </row>
    <row r="5940" spans="1:12" ht="11.15" customHeight="1">
      <c r="A5940" s="185"/>
      <c r="B5940" s="59" t="s">
        <v>21284</v>
      </c>
      <c r="C5940" s="147" t="s">
        <v>23393</v>
      </c>
      <c r="D5940" s="284" t="s">
        <v>897</v>
      </c>
      <c r="E5940" s="178">
        <v>2021</v>
      </c>
      <c r="F5940" s="178" t="s">
        <v>23395</v>
      </c>
      <c r="G5940" s="496"/>
      <c r="H5940" s="994" t="s">
        <v>20221</v>
      </c>
      <c r="I5940" s="11" t="s">
        <v>8181</v>
      </c>
      <c r="J5940" s="1285"/>
      <c r="K5940" s="1285"/>
      <c r="L5940" s="1285"/>
    </row>
    <row r="5941" spans="1:12" ht="11.15" customHeight="1">
      <c r="A5941" s="185"/>
      <c r="B5941" s="59" t="s">
        <v>21284</v>
      </c>
      <c r="C5941" s="147" t="s">
        <v>23393</v>
      </c>
      <c r="D5941" s="284" t="s">
        <v>897</v>
      </c>
      <c r="E5941" s="178">
        <v>2020</v>
      </c>
      <c r="F5941" s="178" t="s">
        <v>4520</v>
      </c>
      <c r="G5941" s="496"/>
      <c r="H5941" s="994" t="s">
        <v>20221</v>
      </c>
      <c r="I5941" s="11" t="s">
        <v>8182</v>
      </c>
      <c r="J5941" s="1285"/>
      <c r="K5941" s="1285"/>
      <c r="L5941" s="1285"/>
    </row>
    <row r="5942" spans="1:12" ht="11.15" customHeight="1">
      <c r="A5942" s="185"/>
      <c r="B5942" s="59" t="s">
        <v>21284</v>
      </c>
      <c r="C5942" s="147" t="s">
        <v>23393</v>
      </c>
      <c r="D5942" s="284" t="s">
        <v>897</v>
      </c>
      <c r="E5942" s="178">
        <v>2019</v>
      </c>
      <c r="F5942" s="178" t="s">
        <v>4520</v>
      </c>
      <c r="G5942" s="496"/>
      <c r="H5942" s="994" t="s">
        <v>20221</v>
      </c>
      <c r="I5942" s="11" t="s">
        <v>8183</v>
      </c>
      <c r="J5942" s="1285"/>
      <c r="K5942" s="1285"/>
      <c r="L5942" s="1285"/>
    </row>
    <row r="5943" spans="1:12" ht="11.15" customHeight="1">
      <c r="A5943" s="185"/>
      <c r="B5943" s="59" t="s">
        <v>21284</v>
      </c>
      <c r="C5943" s="147" t="s">
        <v>20221</v>
      </c>
      <c r="D5943" s="284" t="s">
        <v>897</v>
      </c>
      <c r="E5943" s="178">
        <v>2018</v>
      </c>
      <c r="F5943" s="178" t="s">
        <v>23395</v>
      </c>
      <c r="G5943" s="496"/>
      <c r="H5943" s="994" t="s">
        <v>20277</v>
      </c>
      <c r="I5943" s="11" t="s">
        <v>8184</v>
      </c>
      <c r="J5943" s="1285"/>
      <c r="K5943" s="1285"/>
      <c r="L5943" s="1285"/>
    </row>
    <row r="5944" spans="1:12" ht="11.15" customHeight="1">
      <c r="A5944" s="185"/>
      <c r="B5944" s="59" t="s">
        <v>21284</v>
      </c>
      <c r="C5944" s="147" t="s">
        <v>20221</v>
      </c>
      <c r="D5944" s="284" t="s">
        <v>897</v>
      </c>
      <c r="E5944" s="178">
        <v>2017</v>
      </c>
      <c r="F5944" s="178" t="s">
        <v>23395</v>
      </c>
      <c r="G5944" s="496"/>
      <c r="H5944" s="994" t="s">
        <v>20221</v>
      </c>
      <c r="I5944" s="11" t="s">
        <v>8185</v>
      </c>
      <c r="J5944" s="1285"/>
      <c r="K5944" s="1285"/>
      <c r="L5944" s="1285"/>
    </row>
    <row r="5945" spans="1:12" ht="11.15" customHeight="1">
      <c r="A5945" s="185"/>
      <c r="B5945" s="59" t="s">
        <v>21284</v>
      </c>
      <c r="C5945" s="147" t="s">
        <v>20221</v>
      </c>
      <c r="D5945" s="284" t="s">
        <v>897</v>
      </c>
      <c r="E5945" s="178">
        <v>2016</v>
      </c>
      <c r="F5945" s="178" t="s">
        <v>23395</v>
      </c>
      <c r="G5945" s="496"/>
      <c r="H5945" s="994" t="s">
        <v>20221</v>
      </c>
      <c r="I5945" s="11" t="s">
        <v>8186</v>
      </c>
      <c r="J5945" s="1285"/>
      <c r="K5945" s="1285"/>
      <c r="L5945" s="1285"/>
    </row>
    <row r="5946" spans="1:12" ht="11.15" customHeight="1">
      <c r="A5946" s="185"/>
      <c r="B5946" s="59" t="s">
        <v>21284</v>
      </c>
      <c r="C5946" s="147" t="s">
        <v>20221</v>
      </c>
      <c r="D5946" s="284" t="s">
        <v>897</v>
      </c>
      <c r="E5946" s="178">
        <v>2013</v>
      </c>
      <c r="F5946" s="178" t="s">
        <v>23395</v>
      </c>
      <c r="G5946" s="496"/>
      <c r="H5946" s="994" t="s">
        <v>20224</v>
      </c>
      <c r="I5946" s="11" t="s">
        <v>8187</v>
      </c>
      <c r="J5946" s="1285"/>
      <c r="K5946" s="1285"/>
      <c r="L5946" s="1285"/>
    </row>
    <row r="5947" spans="1:12" ht="11.15" customHeight="1">
      <c r="A5947" s="185"/>
      <c r="B5947" s="154" t="s">
        <v>8188</v>
      </c>
      <c r="C5947" s="147"/>
      <c r="D5947" s="159"/>
      <c r="E5947" s="36"/>
      <c r="F5947" s="178"/>
      <c r="G5947" s="496"/>
      <c r="H5947" s="36"/>
      <c r="I5947" s="11"/>
    </row>
    <row r="5948" spans="1:12" ht="11.15" customHeight="1">
      <c r="A5948" s="185"/>
      <c r="B5948" s="59" t="s">
        <v>21285</v>
      </c>
      <c r="C5948" s="147" t="s">
        <v>23393</v>
      </c>
      <c r="D5948" s="284" t="s">
        <v>897</v>
      </c>
      <c r="E5948" s="178">
        <v>2021</v>
      </c>
      <c r="F5948" s="178" t="s">
        <v>23395</v>
      </c>
      <c r="G5948" s="496"/>
      <c r="H5948" s="994" t="s">
        <v>20221</v>
      </c>
      <c r="I5948" s="11" t="s">
        <v>8189</v>
      </c>
      <c r="J5948" s="1285"/>
      <c r="K5948" s="1285"/>
      <c r="L5948" s="1285"/>
    </row>
    <row r="5949" spans="1:12" ht="11.15" customHeight="1">
      <c r="A5949" s="185"/>
      <c r="B5949" s="59" t="s">
        <v>21285</v>
      </c>
      <c r="C5949" s="147" t="s">
        <v>23393</v>
      </c>
      <c r="D5949" s="284" t="s">
        <v>897</v>
      </c>
      <c r="E5949" s="178">
        <v>2019</v>
      </c>
      <c r="F5949" s="178" t="s">
        <v>4520</v>
      </c>
      <c r="G5949" s="496"/>
      <c r="H5949" s="994" t="s">
        <v>20221</v>
      </c>
      <c r="I5949" s="11" t="s">
        <v>8190</v>
      </c>
      <c r="J5949" s="1285"/>
      <c r="K5949" s="1285"/>
      <c r="L5949" s="1285"/>
    </row>
    <row r="5950" spans="1:12" ht="11.15" customHeight="1">
      <c r="A5950" s="185"/>
      <c r="B5950" s="59" t="s">
        <v>21285</v>
      </c>
      <c r="C5950" s="147" t="s">
        <v>20221</v>
      </c>
      <c r="D5950" s="284" t="s">
        <v>897</v>
      </c>
      <c r="E5950" s="178">
        <v>2017</v>
      </c>
      <c r="F5950" s="178" t="s">
        <v>23395</v>
      </c>
      <c r="G5950" s="496"/>
      <c r="H5950" s="994" t="s">
        <v>20221</v>
      </c>
      <c r="I5950" s="11" t="s">
        <v>8191</v>
      </c>
      <c r="J5950" s="1285"/>
      <c r="K5950" s="1285"/>
      <c r="L5950" s="1285"/>
    </row>
    <row r="5951" spans="1:12" ht="11.15" customHeight="1">
      <c r="A5951" s="185"/>
      <c r="B5951" s="59" t="s">
        <v>21285</v>
      </c>
      <c r="C5951" s="147" t="s">
        <v>20221</v>
      </c>
      <c r="D5951" s="284" t="s">
        <v>897</v>
      </c>
      <c r="E5951" s="178">
        <v>2016</v>
      </c>
      <c r="F5951" s="178" t="s">
        <v>23395</v>
      </c>
      <c r="G5951" s="496"/>
      <c r="H5951" s="994" t="s">
        <v>20221</v>
      </c>
      <c r="I5951" s="11" t="s">
        <v>8192</v>
      </c>
      <c r="J5951" s="1285"/>
      <c r="K5951" s="1285"/>
      <c r="L5951" s="1285"/>
    </row>
    <row r="5952" spans="1:12" ht="11.15" customHeight="1">
      <c r="A5952" s="185"/>
      <c r="B5952" s="59" t="s">
        <v>21285</v>
      </c>
      <c r="C5952" s="147" t="s">
        <v>20221</v>
      </c>
      <c r="D5952" s="284" t="s">
        <v>897</v>
      </c>
      <c r="E5952" s="178">
        <v>2015</v>
      </c>
      <c r="F5952" s="178" t="s">
        <v>4520</v>
      </c>
      <c r="G5952" s="496"/>
      <c r="H5952" s="994" t="s">
        <v>20221</v>
      </c>
      <c r="I5952" s="11" t="s">
        <v>8193</v>
      </c>
      <c r="J5952" s="1285"/>
      <c r="K5952" s="1285"/>
      <c r="L5952" s="1285"/>
    </row>
    <row r="5953" spans="1:12" ht="11.15" customHeight="1">
      <c r="A5953" s="185"/>
      <c r="B5953" s="59" t="s">
        <v>21285</v>
      </c>
      <c r="C5953" s="147" t="s">
        <v>20221</v>
      </c>
      <c r="D5953" s="284" t="s">
        <v>897</v>
      </c>
      <c r="E5953" s="178">
        <v>2013</v>
      </c>
      <c r="F5953" s="178" t="s">
        <v>23395</v>
      </c>
      <c r="G5953" s="496"/>
      <c r="H5953" s="994" t="s">
        <v>20277</v>
      </c>
      <c r="I5953" s="11" t="s">
        <v>8194</v>
      </c>
      <c r="J5953" s="1285"/>
      <c r="K5953" s="1285"/>
      <c r="L5953" s="1285"/>
    </row>
    <row r="5954" spans="1:12" ht="11.15" customHeight="1">
      <c r="A5954" s="185"/>
      <c r="B5954" s="59" t="s">
        <v>21285</v>
      </c>
      <c r="C5954" s="147" t="s">
        <v>20221</v>
      </c>
      <c r="D5954" s="284" t="s">
        <v>897</v>
      </c>
      <c r="E5954" s="178">
        <v>2009</v>
      </c>
      <c r="F5954" s="178" t="s">
        <v>23395</v>
      </c>
      <c r="G5954" s="496"/>
      <c r="H5954" s="994" t="s">
        <v>20221</v>
      </c>
      <c r="I5954" s="11" t="s">
        <v>8195</v>
      </c>
      <c r="J5954" s="1285"/>
      <c r="K5954" s="1285"/>
      <c r="L5954" s="1285"/>
    </row>
    <row r="5955" spans="1:12" ht="11.15" customHeight="1" thickBot="1">
      <c r="A5955" s="217"/>
      <c r="B5955" s="90"/>
      <c r="C5955" s="147"/>
      <c r="D5955" s="122"/>
      <c r="E5955" s="36"/>
      <c r="F5955" s="178"/>
      <c r="G5955" s="60"/>
      <c r="H5955" s="36"/>
      <c r="I5955" s="11"/>
    </row>
    <row r="5956" spans="1:12" ht="24" customHeight="1" thickBot="1">
      <c r="A5956" s="509"/>
      <c r="B5956" s="64" t="s">
        <v>8196</v>
      </c>
      <c r="C5956" s="170"/>
      <c r="D5956" s="139"/>
      <c r="E5956" s="510"/>
      <c r="F5956" s="1080"/>
      <c r="G5956" s="1142"/>
      <c r="H5956" s="516"/>
      <c r="I5956" s="11"/>
    </row>
    <row r="5957" spans="1:12" ht="11.15" customHeight="1" thickBot="1">
      <c r="A5957" s="273" t="s">
        <v>8197</v>
      </c>
      <c r="B5957" s="59" t="s">
        <v>21287</v>
      </c>
      <c r="C5957" s="147" t="s">
        <v>20221</v>
      </c>
      <c r="D5957" s="701" t="s">
        <v>1129</v>
      </c>
      <c r="E5957" s="178">
        <v>2018</v>
      </c>
      <c r="F5957" s="178" t="s">
        <v>23395</v>
      </c>
      <c r="G5957" s="496"/>
      <c r="H5957" s="994" t="s">
        <v>20221</v>
      </c>
      <c r="I5957" s="11" t="s">
        <v>8198</v>
      </c>
      <c r="J5957" s="1285"/>
      <c r="K5957" s="1285"/>
      <c r="L5957" s="1285"/>
    </row>
    <row r="5958" spans="1:12" ht="11.15" customHeight="1">
      <c r="A5958" s="29" t="s">
        <v>8199</v>
      </c>
      <c r="B5958" s="59" t="s">
        <v>21287</v>
      </c>
      <c r="C5958" s="147" t="s">
        <v>20221</v>
      </c>
      <c r="D5958" s="701" t="s">
        <v>1129</v>
      </c>
      <c r="E5958" s="178">
        <v>2016</v>
      </c>
      <c r="F5958" s="178" t="s">
        <v>23395</v>
      </c>
      <c r="G5958" s="496"/>
      <c r="H5958" s="994" t="s">
        <v>20221</v>
      </c>
      <c r="I5958" s="11" t="s">
        <v>8200</v>
      </c>
      <c r="J5958" s="1285"/>
      <c r="K5958" s="1285"/>
      <c r="L5958" s="1285"/>
    </row>
    <row r="5959" spans="1:12" ht="11.15" customHeight="1">
      <c r="A5959" s="29" t="s">
        <v>8201</v>
      </c>
      <c r="B5959" s="59" t="s">
        <v>21288</v>
      </c>
      <c r="C5959" s="147" t="s">
        <v>20221</v>
      </c>
      <c r="D5959" s="701" t="s">
        <v>1129</v>
      </c>
      <c r="E5959" s="178">
        <v>2018</v>
      </c>
      <c r="F5959" s="178" t="s">
        <v>23395</v>
      </c>
      <c r="G5959" s="496"/>
      <c r="H5959" s="994" t="s">
        <v>20221</v>
      </c>
      <c r="I5959" s="11" t="s">
        <v>8202</v>
      </c>
      <c r="J5959" s="1285"/>
      <c r="K5959" s="1285"/>
      <c r="L5959" s="1285"/>
    </row>
    <row r="5960" spans="1:12" ht="11.15" customHeight="1">
      <c r="A5960" s="29" t="s">
        <v>8203</v>
      </c>
      <c r="B5960" s="59" t="s">
        <v>21288</v>
      </c>
      <c r="C5960" s="147" t="s">
        <v>20221</v>
      </c>
      <c r="D5960" s="701" t="s">
        <v>1129</v>
      </c>
      <c r="E5960" s="178">
        <v>2016</v>
      </c>
      <c r="F5960" s="178" t="s">
        <v>23395</v>
      </c>
      <c r="G5960" s="496"/>
      <c r="H5960" s="994" t="s">
        <v>20221</v>
      </c>
      <c r="I5960" s="11" t="s">
        <v>8204</v>
      </c>
      <c r="J5960" s="1285"/>
      <c r="K5960" s="1285"/>
      <c r="L5960" s="1285"/>
    </row>
    <row r="5961" spans="1:12" ht="11.15" customHeight="1">
      <c r="A5961" s="29" t="s">
        <v>8205</v>
      </c>
      <c r="B5961" s="185"/>
      <c r="C5961" s="147"/>
      <c r="D5961" s="185"/>
      <c r="E5961" s="185"/>
      <c r="F5961" s="185"/>
      <c r="G5961" s="185"/>
      <c r="H5961" s="185"/>
      <c r="I5961" s="11"/>
    </row>
    <row r="5962" spans="1:12" ht="11.15" customHeight="1">
      <c r="A5962" s="181" t="s">
        <v>972</v>
      </c>
      <c r="B5962" s="90"/>
      <c r="C5962" s="147"/>
      <c r="D5962" s="159"/>
      <c r="E5962" s="36"/>
      <c r="F5962" s="178"/>
      <c r="G5962" s="496"/>
      <c r="H5962" s="36"/>
      <c r="I5962" s="11"/>
    </row>
    <row r="5963" spans="1:12" ht="11.15" customHeight="1">
      <c r="A5963" s="129" t="s">
        <v>903</v>
      </c>
      <c r="B5963" s="137"/>
      <c r="C5963" s="147"/>
      <c r="D5963" s="129"/>
      <c r="E5963" s="137"/>
      <c r="F5963" s="137"/>
      <c r="G5963" s="137"/>
      <c r="H5963" s="137"/>
      <c r="I5963" s="11"/>
    </row>
    <row r="5964" spans="1:12" ht="11.15" customHeight="1">
      <c r="A5964" s="162" t="s">
        <v>8206</v>
      </c>
      <c r="B5964" s="36"/>
      <c r="C5964" s="147"/>
      <c r="D5964" s="159"/>
      <c r="E5964" s="36"/>
      <c r="F5964" s="178"/>
      <c r="G5964" s="496"/>
      <c r="H5964" s="36"/>
      <c r="I5964" s="11"/>
    </row>
    <row r="5965" spans="1:12" ht="11.15" customHeight="1">
      <c r="A5965" s="162" t="s">
        <v>8207</v>
      </c>
      <c r="B5965" s="36"/>
      <c r="C5965" s="147"/>
      <c r="D5965" s="159"/>
      <c r="E5965" s="36"/>
      <c r="F5965" s="178"/>
      <c r="G5965" s="496"/>
      <c r="H5965" s="36"/>
      <c r="I5965" s="11"/>
    </row>
    <row r="5966" spans="1:12" ht="11.15" customHeight="1">
      <c r="A5966" s="162" t="s">
        <v>8208</v>
      </c>
      <c r="B5966" s="36"/>
      <c r="C5966" s="147"/>
      <c r="D5966" s="159"/>
      <c r="E5966" s="36"/>
      <c r="F5966" s="178"/>
      <c r="G5966" s="496"/>
      <c r="H5966" s="36"/>
      <c r="I5966" s="11"/>
    </row>
    <row r="5967" spans="1:12" ht="11.15" customHeight="1">
      <c r="A5967" s="162" t="s">
        <v>8209</v>
      </c>
      <c r="B5967" s="90"/>
      <c r="C5967" s="147"/>
      <c r="D5967" s="159"/>
      <c r="E5967" s="36"/>
      <c r="F5967" s="178"/>
      <c r="G5967" s="496"/>
      <c r="H5967" s="36"/>
      <c r="I5967" s="11"/>
    </row>
    <row r="5968" spans="1:12" ht="11.15" customHeight="1">
      <c r="A5968" s="166" t="s">
        <v>8210</v>
      </c>
      <c r="B5968" s="90"/>
      <c r="C5968" s="147"/>
      <c r="D5968" s="159"/>
      <c r="E5968" s="36"/>
      <c r="F5968" s="178"/>
      <c r="G5968" s="496"/>
      <c r="H5968" s="36"/>
      <c r="I5968" s="11"/>
    </row>
    <row r="5969" spans="1:12" ht="11.15" customHeight="1">
      <c r="A5969" s="166" t="s">
        <v>977</v>
      </c>
      <c r="B5969" s="90"/>
      <c r="C5969" s="147"/>
      <c r="D5969" s="159"/>
      <c r="E5969" s="36"/>
      <c r="F5969" s="178"/>
      <c r="G5969" s="496"/>
      <c r="H5969" s="36"/>
      <c r="I5969" s="11"/>
    </row>
    <row r="5970" spans="1:12" ht="11.15" customHeight="1">
      <c r="A5970" s="166" t="s">
        <v>8211</v>
      </c>
      <c r="B5970" s="90"/>
      <c r="C5970" s="147"/>
      <c r="D5970" s="159"/>
      <c r="E5970" s="36"/>
      <c r="F5970" s="178"/>
      <c r="G5970" s="496"/>
      <c r="H5970" s="36"/>
      <c r="I5970" s="11"/>
    </row>
    <row r="5971" spans="1:12" ht="11.15" customHeight="1">
      <c r="A5971" s="481" t="s">
        <v>8212</v>
      </c>
      <c r="B5971" s="185"/>
      <c r="C5971" s="147"/>
      <c r="D5971" s="185"/>
      <c r="E5971" s="185"/>
      <c r="F5971" s="185"/>
      <c r="G5971" s="185"/>
      <c r="H5971" s="185"/>
      <c r="I5971" s="11"/>
    </row>
    <row r="5972" spans="1:12" ht="11.15" customHeight="1" thickBot="1">
      <c r="A5972" s="512"/>
      <c r="B5972" s="185"/>
      <c r="C5972" s="147"/>
      <c r="D5972" s="185"/>
      <c r="E5972" s="185"/>
      <c r="F5972" s="185"/>
      <c r="G5972" s="185"/>
      <c r="H5972" s="185"/>
      <c r="I5972" s="11"/>
    </row>
    <row r="5973" spans="1:12" ht="11.15" customHeight="1" thickBot="1">
      <c r="A5973" s="184" t="s">
        <v>8213</v>
      </c>
      <c r="B5973" s="154" t="s">
        <v>8214</v>
      </c>
      <c r="C5973" s="147"/>
      <c r="D5973" s="159"/>
      <c r="E5973" s="36"/>
      <c r="F5973" s="178"/>
      <c r="G5973" s="496"/>
      <c r="H5973" s="36"/>
      <c r="I5973" s="11"/>
    </row>
    <row r="5974" spans="1:12" ht="11.15" customHeight="1">
      <c r="A5974" s="29" t="s">
        <v>8215</v>
      </c>
      <c r="B5974" s="59" t="s">
        <v>21290</v>
      </c>
      <c r="C5974" s="147" t="s">
        <v>20221</v>
      </c>
      <c r="D5974" s="701" t="s">
        <v>1129</v>
      </c>
      <c r="E5974" s="178">
        <v>2021</v>
      </c>
      <c r="F5974" s="178" t="s">
        <v>23395</v>
      </c>
      <c r="G5974" s="496"/>
      <c r="H5974" s="994" t="s">
        <v>20221</v>
      </c>
      <c r="I5974" s="11" t="s">
        <v>8216</v>
      </c>
      <c r="J5974" s="1285"/>
      <c r="K5974" s="1285"/>
      <c r="L5974" s="1285"/>
    </row>
    <row r="5975" spans="1:12" ht="11.15" customHeight="1">
      <c r="A5975" s="29" t="s">
        <v>8217</v>
      </c>
      <c r="B5975" s="154" t="s">
        <v>8218</v>
      </c>
      <c r="C5975" s="147"/>
      <c r="D5975" s="122"/>
      <c r="E5975" s="36"/>
      <c r="F5975" s="178"/>
      <c r="G5975" s="60"/>
      <c r="H5975" s="36"/>
      <c r="I5975" s="11"/>
    </row>
    <row r="5976" spans="1:12" ht="11.15" customHeight="1">
      <c r="A5976" s="29" t="s">
        <v>8219</v>
      </c>
      <c r="B5976" s="59" t="s">
        <v>21291</v>
      </c>
      <c r="C5976" s="147" t="s">
        <v>20221</v>
      </c>
      <c r="D5976" s="701" t="s">
        <v>1129</v>
      </c>
      <c r="E5976" s="178">
        <v>2021</v>
      </c>
      <c r="F5976" s="178" t="s">
        <v>7168</v>
      </c>
      <c r="G5976" s="496"/>
      <c r="H5976" s="994" t="s">
        <v>20221</v>
      </c>
      <c r="I5976" s="11" t="s">
        <v>8220</v>
      </c>
      <c r="J5976" s="1285"/>
      <c r="K5976" s="1285"/>
      <c r="L5976" s="1285"/>
    </row>
    <row r="5977" spans="1:12" ht="11.15" customHeight="1">
      <c r="A5977" s="129" t="s">
        <v>4633</v>
      </c>
      <c r="B5977" s="154" t="s">
        <v>8221</v>
      </c>
      <c r="C5977" s="147"/>
      <c r="D5977" s="185"/>
      <c r="E5977" s="185"/>
      <c r="F5977" s="185"/>
      <c r="G5977" s="185"/>
      <c r="H5977" s="185"/>
      <c r="I5977" s="11"/>
    </row>
    <row r="5978" spans="1:12" ht="11.15" customHeight="1">
      <c r="A5978" s="162" t="s">
        <v>8222</v>
      </c>
      <c r="B5978" s="59" t="s">
        <v>21292</v>
      </c>
      <c r="C5978" s="147" t="s">
        <v>20221</v>
      </c>
      <c r="D5978" s="701" t="s">
        <v>1129</v>
      </c>
      <c r="E5978" s="178">
        <v>2021</v>
      </c>
      <c r="F5978" s="178" t="s">
        <v>23395</v>
      </c>
      <c r="G5978" s="496"/>
      <c r="H5978" s="994" t="s">
        <v>20221</v>
      </c>
      <c r="I5978" s="11" t="s">
        <v>8223</v>
      </c>
      <c r="J5978" s="1285"/>
      <c r="K5978" s="1285"/>
      <c r="L5978" s="1285"/>
    </row>
    <row r="5979" spans="1:12" ht="11.15" customHeight="1">
      <c r="A5979" s="162" t="s">
        <v>8224</v>
      </c>
      <c r="B5979" s="59" t="s">
        <v>21292</v>
      </c>
      <c r="C5979" s="147" t="s">
        <v>20221</v>
      </c>
      <c r="D5979" s="701" t="s">
        <v>1129</v>
      </c>
      <c r="E5979" s="178">
        <v>2019</v>
      </c>
      <c r="F5979" s="178" t="s">
        <v>23395</v>
      </c>
      <c r="G5979" s="496"/>
      <c r="H5979" s="994" t="s">
        <v>20221</v>
      </c>
      <c r="I5979" s="11" t="s">
        <v>8225</v>
      </c>
      <c r="J5979" s="1285"/>
      <c r="K5979" s="1285"/>
      <c r="L5979" s="1285"/>
    </row>
    <row r="5980" spans="1:12" ht="11.15" customHeight="1">
      <c r="A5980" s="162" t="s">
        <v>8226</v>
      </c>
      <c r="B5980" s="59" t="s">
        <v>21293</v>
      </c>
      <c r="C5980" s="147" t="s">
        <v>20221</v>
      </c>
      <c r="D5980" s="701" t="s">
        <v>1129</v>
      </c>
      <c r="E5980" s="178">
        <v>2014</v>
      </c>
      <c r="F5980" s="178" t="s">
        <v>5257</v>
      </c>
      <c r="G5980" s="496"/>
      <c r="H5980" s="994" t="s">
        <v>20277</v>
      </c>
      <c r="I5980" s="11" t="s">
        <v>8228</v>
      </c>
      <c r="J5980" s="1285"/>
      <c r="K5980" s="1285"/>
      <c r="L5980" s="1285"/>
    </row>
    <row r="5981" spans="1:12" ht="11.15" customHeight="1">
      <c r="A5981" s="162" t="s">
        <v>8227</v>
      </c>
      <c r="B5981" s="154" t="s">
        <v>1398</v>
      </c>
      <c r="C5981" s="147"/>
      <c r="D5981" s="122"/>
      <c r="E5981" s="36"/>
      <c r="F5981" s="178"/>
      <c r="G5981" s="60"/>
      <c r="H5981" s="36"/>
      <c r="I5981" s="11"/>
    </row>
    <row r="5982" spans="1:12" ht="11.15" customHeight="1">
      <c r="A5982" s="162" t="s">
        <v>8229</v>
      </c>
      <c r="B5982" s="59" t="s">
        <v>21294</v>
      </c>
      <c r="C5982" s="147" t="s">
        <v>20221</v>
      </c>
      <c r="D5982" s="284" t="s">
        <v>897</v>
      </c>
      <c r="E5982" s="178">
        <v>2003</v>
      </c>
      <c r="F5982" s="178" t="s">
        <v>23395</v>
      </c>
      <c r="G5982" s="496"/>
      <c r="H5982" s="994" t="s">
        <v>20277</v>
      </c>
      <c r="I5982" s="11" t="s">
        <v>8231</v>
      </c>
      <c r="J5982" s="1285"/>
      <c r="K5982" s="1285"/>
      <c r="L5982" s="1285"/>
    </row>
    <row r="5983" spans="1:12" ht="11.15" customHeight="1">
      <c r="A5983" s="162" t="s">
        <v>8230</v>
      </c>
      <c r="B5983" s="185"/>
      <c r="C5983" s="147"/>
      <c r="D5983" s="185"/>
      <c r="E5983" s="185"/>
      <c r="F5983" s="185"/>
      <c r="G5983" s="185"/>
      <c r="H5983" s="185"/>
      <c r="I5983" s="11"/>
    </row>
    <row r="5984" spans="1:12" ht="11.15" customHeight="1">
      <c r="A5984" s="162" t="s">
        <v>8232</v>
      </c>
      <c r="B5984" s="90"/>
      <c r="C5984" s="147"/>
      <c r="D5984" s="161"/>
      <c r="E5984" s="34"/>
      <c r="F5984" s="178"/>
      <c r="G5984" s="496"/>
      <c r="H5984" s="36"/>
      <c r="I5984" s="11"/>
    </row>
    <row r="5985" spans="1:12" ht="11.15" customHeight="1">
      <c r="A5985" s="29" t="s">
        <v>8233</v>
      </c>
      <c r="B5985" s="90"/>
      <c r="C5985" s="147"/>
      <c r="D5985" s="161"/>
      <c r="E5985" s="34"/>
      <c r="F5985" s="178"/>
      <c r="G5985" s="496"/>
      <c r="H5985" s="36"/>
      <c r="I5985" s="11"/>
    </row>
    <row r="5986" spans="1:12" ht="11.15" customHeight="1">
      <c r="A5986" s="29" t="s">
        <v>8234</v>
      </c>
      <c r="B5986" s="90"/>
      <c r="C5986" s="147"/>
      <c r="D5986" s="161"/>
      <c r="E5986" s="34"/>
      <c r="F5986" s="178"/>
      <c r="G5986" s="496"/>
      <c r="H5986" s="36"/>
      <c r="I5986" s="11"/>
    </row>
    <row r="5987" spans="1:12" ht="11.15" customHeight="1">
      <c r="A5987" s="212" t="s">
        <v>8235</v>
      </c>
      <c r="B5987" s="90"/>
      <c r="C5987" s="147"/>
      <c r="D5987" s="161"/>
      <c r="E5987" s="34"/>
      <c r="F5987" s="178"/>
      <c r="G5987" s="496"/>
      <c r="H5987" s="36"/>
      <c r="I5987" s="11"/>
    </row>
    <row r="5988" spans="1:12" ht="11.15" customHeight="1">
      <c r="A5988" s="481" t="s">
        <v>8236</v>
      </c>
      <c r="B5988" s="90"/>
      <c r="C5988" s="147"/>
      <c r="D5988" s="161"/>
      <c r="E5988" s="34"/>
      <c r="F5988" s="178"/>
      <c r="G5988" s="496"/>
      <c r="H5988" s="36"/>
      <c r="I5988" s="11"/>
    </row>
    <row r="5989" spans="1:12" ht="11.15" customHeight="1" thickBot="1">
      <c r="A5989" s="29"/>
      <c r="B5989" s="226"/>
      <c r="C5989" s="147"/>
      <c r="D5989" s="122"/>
      <c r="E5989" s="36"/>
      <c r="F5989" s="178"/>
      <c r="G5989" s="60"/>
      <c r="H5989" s="36"/>
      <c r="I5989" s="11"/>
    </row>
    <row r="5990" spans="1:12" ht="11.15" customHeight="1" thickBot="1">
      <c r="A5990" s="184" t="s">
        <v>8237</v>
      </c>
      <c r="B5990" s="59" t="s">
        <v>21297</v>
      </c>
      <c r="C5990" s="147" t="s">
        <v>20221</v>
      </c>
      <c r="D5990" s="701" t="s">
        <v>1129</v>
      </c>
      <c r="E5990" s="178">
        <v>2013</v>
      </c>
      <c r="F5990" s="178" t="s">
        <v>23395</v>
      </c>
      <c r="G5990" s="496"/>
      <c r="H5990" s="994" t="s">
        <v>20221</v>
      </c>
      <c r="I5990" s="11" t="s">
        <v>8238</v>
      </c>
      <c r="J5990" s="1285"/>
      <c r="K5990" s="1285"/>
      <c r="L5990" s="1285"/>
    </row>
    <row r="5991" spans="1:12" ht="11.15" customHeight="1">
      <c r="A5991" s="29" t="s">
        <v>8239</v>
      </c>
      <c r="B5991" s="59" t="s">
        <v>21296</v>
      </c>
      <c r="C5991" s="147" t="s">
        <v>20221</v>
      </c>
      <c r="D5991" s="701" t="s">
        <v>1129</v>
      </c>
      <c r="E5991" s="178">
        <v>2014</v>
      </c>
      <c r="F5991" s="178" t="s">
        <v>23395</v>
      </c>
      <c r="G5991" s="496"/>
      <c r="H5991" s="994" t="s">
        <v>20221</v>
      </c>
      <c r="I5991" s="11" t="s">
        <v>8240</v>
      </c>
      <c r="J5991" s="1285"/>
      <c r="K5991" s="1285"/>
      <c r="L5991" s="1285"/>
    </row>
    <row r="5992" spans="1:12" ht="11.15" customHeight="1">
      <c r="A5992" s="29" t="s">
        <v>8241</v>
      </c>
      <c r="B5992" s="185"/>
      <c r="C5992" s="147"/>
      <c r="D5992" s="129"/>
      <c r="E5992" s="185"/>
      <c r="F5992" s="185"/>
      <c r="G5992" s="185"/>
      <c r="H5992" s="185"/>
      <c r="I5992" s="11"/>
    </row>
    <row r="5993" spans="1:12" ht="11.15" customHeight="1">
      <c r="A5993" s="29" t="s">
        <v>8242</v>
      </c>
      <c r="B5993" s="379"/>
      <c r="C5993" s="147"/>
      <c r="D5993" s="122"/>
      <c r="E5993" s="36"/>
      <c r="F5993" s="178"/>
      <c r="G5993" s="60"/>
      <c r="H5993" s="36"/>
      <c r="I5993" s="11"/>
    </row>
    <row r="5994" spans="1:12" ht="11.15" customHeight="1">
      <c r="A5994" s="29" t="s">
        <v>8243</v>
      </c>
      <c r="B5994" s="90"/>
      <c r="C5994" s="147"/>
      <c r="D5994" s="122"/>
      <c r="E5994" s="36"/>
      <c r="F5994" s="178"/>
      <c r="G5994" s="60"/>
      <c r="H5994" s="36"/>
      <c r="I5994" s="11"/>
    </row>
    <row r="5995" spans="1:12" ht="11.15" customHeight="1">
      <c r="A5995" s="29" t="s">
        <v>8244</v>
      </c>
      <c r="B5995" s="90"/>
      <c r="C5995" s="147"/>
      <c r="D5995" s="122"/>
      <c r="E5995" s="36"/>
      <c r="F5995" s="178"/>
      <c r="G5995" s="60"/>
      <c r="H5995" s="36"/>
      <c r="I5995" s="11"/>
    </row>
    <row r="5996" spans="1:12" ht="11.15" customHeight="1">
      <c r="A5996" s="212" t="s">
        <v>8245</v>
      </c>
      <c r="B5996" s="90"/>
      <c r="C5996" s="147"/>
      <c r="D5996" s="122"/>
      <c r="E5996" s="36"/>
      <c r="F5996" s="178"/>
      <c r="G5996" s="60"/>
      <c r="H5996" s="36"/>
      <c r="I5996" s="11"/>
    </row>
    <row r="5997" spans="1:12" ht="11.15" customHeight="1">
      <c r="A5997" s="481" t="s">
        <v>8246</v>
      </c>
      <c r="B5997" s="90"/>
      <c r="C5997" s="147"/>
      <c r="D5997" s="122"/>
      <c r="E5997" s="36"/>
      <c r="F5997" s="178"/>
      <c r="G5997" s="60"/>
      <c r="H5997" s="36"/>
      <c r="I5997" s="11"/>
    </row>
    <row r="5998" spans="1:12" ht="11.15" customHeight="1">
      <c r="A5998" s="29"/>
      <c r="B5998" s="413" t="s">
        <v>8247</v>
      </c>
      <c r="C5998" s="147"/>
      <c r="D5998" s="161"/>
      <c r="E5998" s="36"/>
      <c r="F5998" s="178"/>
      <c r="G5998" s="496"/>
      <c r="H5998" s="36"/>
      <c r="I5998" s="11"/>
    </row>
    <row r="5999" spans="1:12" ht="9" customHeight="1">
      <c r="A5999" s="137"/>
      <c r="B5999" s="150" t="s">
        <v>8248</v>
      </c>
      <c r="C5999" s="147"/>
      <c r="D5999" s="122"/>
      <c r="E5999" s="137"/>
      <c r="F5999" s="137"/>
      <c r="G5999" s="137"/>
      <c r="H5999" s="137"/>
      <c r="I5999" s="11"/>
    </row>
    <row r="6000" spans="1:12" ht="9" customHeight="1">
      <c r="A6000" s="137"/>
      <c r="B6000" s="209" t="s">
        <v>8249</v>
      </c>
      <c r="C6000" s="147"/>
      <c r="D6000" s="161"/>
      <c r="E6000" s="36"/>
      <c r="F6000" s="178"/>
      <c r="G6000" s="496"/>
      <c r="H6000" s="36"/>
      <c r="I6000" s="11"/>
    </row>
    <row r="6001" spans="1:12" ht="9" customHeight="1">
      <c r="A6001" s="137"/>
      <c r="B6001" s="209" t="s">
        <v>8250</v>
      </c>
      <c r="C6001" s="147"/>
      <c r="D6001" s="161"/>
      <c r="E6001" s="36"/>
      <c r="F6001" s="178"/>
      <c r="G6001" s="496"/>
      <c r="H6001" s="36"/>
      <c r="I6001" s="11"/>
    </row>
    <row r="6002" spans="1:12" ht="9" customHeight="1">
      <c r="A6002" s="137"/>
      <c r="B6002" s="209" t="s">
        <v>8251</v>
      </c>
      <c r="C6002" s="147"/>
      <c r="D6002" s="161"/>
      <c r="E6002" s="36"/>
      <c r="F6002" s="178"/>
      <c r="G6002" s="496"/>
      <c r="H6002" s="36"/>
      <c r="I6002" s="11"/>
    </row>
    <row r="6003" spans="1:12" ht="9" customHeight="1">
      <c r="A6003" s="137"/>
      <c r="B6003" s="209" t="s">
        <v>8252</v>
      </c>
      <c r="C6003" s="147"/>
      <c r="D6003" s="161"/>
      <c r="E6003" s="36"/>
      <c r="F6003" s="178"/>
      <c r="G6003" s="496"/>
      <c r="H6003" s="36"/>
      <c r="I6003" s="11"/>
    </row>
    <row r="6004" spans="1:12" ht="9" customHeight="1">
      <c r="A6004" s="137"/>
      <c r="B6004" s="209" t="s">
        <v>8253</v>
      </c>
      <c r="C6004" s="147"/>
      <c r="D6004" s="161"/>
      <c r="E6004" s="36"/>
      <c r="F6004" s="178"/>
      <c r="G6004" s="496"/>
      <c r="H6004" s="36"/>
      <c r="I6004" s="11"/>
    </row>
    <row r="6005" spans="1:12" ht="9" customHeight="1" thickBot="1">
      <c r="A6005" s="137"/>
      <c r="B6005" s="150" t="s">
        <v>8254</v>
      </c>
      <c r="C6005" s="147"/>
      <c r="D6005" s="122"/>
      <c r="E6005" s="137"/>
      <c r="F6005" s="137"/>
      <c r="G6005" s="137"/>
      <c r="H6005" s="137"/>
      <c r="I6005" s="11"/>
    </row>
    <row r="6006" spans="1:12" ht="11.15" customHeight="1" thickBot="1">
      <c r="A6006" s="184" t="s">
        <v>8255</v>
      </c>
      <c r="B6006" s="154" t="s">
        <v>8256</v>
      </c>
      <c r="C6006" s="147"/>
      <c r="D6006" s="129"/>
      <c r="E6006" s="185"/>
      <c r="F6006" s="185"/>
      <c r="G6006" s="185"/>
      <c r="H6006" s="185"/>
      <c r="I6006" s="11"/>
    </row>
    <row r="6007" spans="1:12" ht="11.15" customHeight="1">
      <c r="A6007" s="29" t="s">
        <v>8257</v>
      </c>
      <c r="B6007" s="59" t="s">
        <v>21298</v>
      </c>
      <c r="C6007" s="147" t="s">
        <v>20221</v>
      </c>
      <c r="D6007" s="701" t="s">
        <v>1129</v>
      </c>
      <c r="E6007" s="178">
        <v>2023</v>
      </c>
      <c r="F6007" s="178" t="s">
        <v>4520</v>
      </c>
      <c r="G6007" s="496"/>
      <c r="H6007" s="994" t="s">
        <v>20221</v>
      </c>
      <c r="I6007" s="11" t="s">
        <v>8258</v>
      </c>
      <c r="J6007" s="1285"/>
      <c r="K6007" s="1285"/>
      <c r="L6007" s="1285"/>
    </row>
    <row r="6008" spans="1:12" ht="11.15" customHeight="1">
      <c r="A6008" s="29" t="s">
        <v>8259</v>
      </c>
      <c r="B6008" s="154" t="s">
        <v>8260</v>
      </c>
      <c r="C6008" s="147"/>
      <c r="D6008" s="129"/>
      <c r="E6008" s="185"/>
      <c r="F6008" s="185"/>
      <c r="G6008" s="185"/>
      <c r="H6008" s="185"/>
      <c r="I6008" s="11"/>
    </row>
    <row r="6009" spans="1:12" ht="11.15" customHeight="1">
      <c r="A6009" s="29" t="s">
        <v>8261</v>
      </c>
      <c r="B6009" s="59" t="s">
        <v>21299</v>
      </c>
      <c r="C6009" s="147" t="s">
        <v>20221</v>
      </c>
      <c r="D6009" s="701" t="s">
        <v>1129</v>
      </c>
      <c r="E6009" s="178">
        <v>2023</v>
      </c>
      <c r="F6009" s="178" t="s">
        <v>4520</v>
      </c>
      <c r="G6009" s="496"/>
      <c r="H6009" s="994" t="s">
        <v>20221</v>
      </c>
      <c r="I6009" s="11" t="s">
        <v>8262</v>
      </c>
      <c r="J6009" s="1285"/>
      <c r="K6009" s="1285"/>
      <c r="L6009" s="1285"/>
    </row>
    <row r="6010" spans="1:12" ht="11.15" customHeight="1">
      <c r="A6010" s="29" t="s">
        <v>8263</v>
      </c>
      <c r="B6010" s="59" t="s">
        <v>21300</v>
      </c>
      <c r="C6010" s="147" t="s">
        <v>20221</v>
      </c>
      <c r="D6010" s="701" t="s">
        <v>1129</v>
      </c>
      <c r="E6010" s="178">
        <v>2023</v>
      </c>
      <c r="F6010" s="178" t="s">
        <v>4520</v>
      </c>
      <c r="G6010" s="496"/>
      <c r="H6010" s="994" t="s">
        <v>20221</v>
      </c>
      <c r="I6010" s="11" t="s">
        <v>8264</v>
      </c>
      <c r="J6010" s="1285"/>
      <c r="K6010" s="1285"/>
      <c r="L6010" s="1285"/>
    </row>
    <row r="6011" spans="1:12" ht="11.15" customHeight="1">
      <c r="A6011" s="218" t="s">
        <v>8265</v>
      </c>
      <c r="B6011" s="59" t="s">
        <v>21300</v>
      </c>
      <c r="C6011" s="147" t="s">
        <v>20221</v>
      </c>
      <c r="D6011" s="701" t="s">
        <v>1129</v>
      </c>
      <c r="E6011" s="178">
        <v>2022</v>
      </c>
      <c r="F6011" s="178" t="s">
        <v>4520</v>
      </c>
      <c r="G6011" s="496"/>
      <c r="H6011" s="994" t="s">
        <v>20221</v>
      </c>
      <c r="I6011" s="11" t="s">
        <v>8266</v>
      </c>
      <c r="J6011" s="1285"/>
      <c r="K6011" s="1285"/>
      <c r="L6011" s="1285"/>
    </row>
    <row r="6012" spans="1:12" ht="11.15" customHeight="1">
      <c r="A6012" s="181" t="s">
        <v>950</v>
      </c>
      <c r="B6012" s="154" t="s">
        <v>8267</v>
      </c>
      <c r="C6012" s="147"/>
      <c r="D6012" s="129"/>
      <c r="E6012" s="185"/>
      <c r="F6012" s="185"/>
      <c r="G6012" s="185"/>
      <c r="H6012" s="185"/>
      <c r="I6012" s="11"/>
    </row>
    <row r="6013" spans="1:12" ht="11.15" customHeight="1">
      <c r="A6013" s="129" t="s">
        <v>8268</v>
      </c>
      <c r="B6013" s="59" t="s">
        <v>21301</v>
      </c>
      <c r="C6013" s="147" t="s">
        <v>20221</v>
      </c>
      <c r="D6013" s="701" t="s">
        <v>1129</v>
      </c>
      <c r="E6013" s="178">
        <v>2021</v>
      </c>
      <c r="F6013" s="178" t="s">
        <v>23395</v>
      </c>
      <c r="G6013" s="496"/>
      <c r="H6013" s="994" t="s">
        <v>20221</v>
      </c>
      <c r="I6013" s="11" t="s">
        <v>8269</v>
      </c>
      <c r="J6013" s="1285"/>
      <c r="K6013" s="1285"/>
      <c r="L6013" s="1285"/>
    </row>
    <row r="6014" spans="1:12" ht="11.15" customHeight="1">
      <c r="A6014" s="162" t="s">
        <v>8270</v>
      </c>
      <c r="B6014" s="59" t="s">
        <v>21302</v>
      </c>
      <c r="C6014" s="147" t="s">
        <v>20221</v>
      </c>
      <c r="D6014" s="701" t="s">
        <v>1129</v>
      </c>
      <c r="E6014" s="178">
        <v>2023</v>
      </c>
      <c r="F6014" s="178" t="s">
        <v>4520</v>
      </c>
      <c r="G6014" s="496"/>
      <c r="H6014" s="994" t="s">
        <v>20221</v>
      </c>
      <c r="I6014" s="11" t="s">
        <v>8271</v>
      </c>
      <c r="J6014" s="1285"/>
      <c r="K6014" s="1285"/>
      <c r="L6014" s="1285"/>
    </row>
    <row r="6015" spans="1:12" ht="11.15" customHeight="1">
      <c r="A6015" s="162" t="s">
        <v>8272</v>
      </c>
      <c r="B6015" s="59" t="s">
        <v>21303</v>
      </c>
      <c r="C6015" s="147" t="s">
        <v>20221</v>
      </c>
      <c r="D6015" s="701" t="s">
        <v>1129</v>
      </c>
      <c r="E6015" s="178" t="s">
        <v>20221</v>
      </c>
      <c r="F6015" s="178" t="s">
        <v>23395</v>
      </c>
      <c r="G6015" s="496" t="s">
        <v>20221</v>
      </c>
      <c r="H6015" s="994" t="s">
        <v>3907</v>
      </c>
      <c r="I6015" s="11" t="s">
        <v>8273</v>
      </c>
      <c r="J6015" s="1285"/>
      <c r="K6015" s="1285"/>
      <c r="L6015" s="1285"/>
    </row>
    <row r="6016" spans="1:12" ht="11.15" customHeight="1">
      <c r="A6016" s="162" t="s">
        <v>8274</v>
      </c>
      <c r="B6016" s="154" t="s">
        <v>8275</v>
      </c>
      <c r="C6016" s="147"/>
      <c r="D6016" s="129"/>
      <c r="E6016" s="185"/>
      <c r="F6016" s="185"/>
      <c r="G6016" s="185"/>
      <c r="H6016" s="185"/>
      <c r="I6016" s="11"/>
    </row>
    <row r="6017" spans="1:12" ht="11.15" customHeight="1">
      <c r="A6017" s="162" t="s">
        <v>8276</v>
      </c>
      <c r="B6017" s="59" t="s">
        <v>21304</v>
      </c>
      <c r="C6017" s="147" t="s">
        <v>20221</v>
      </c>
      <c r="D6017" s="701" t="s">
        <v>1129</v>
      </c>
      <c r="E6017" s="178" t="s">
        <v>20221</v>
      </c>
      <c r="F6017" s="178" t="s">
        <v>23395</v>
      </c>
      <c r="G6017" s="496" t="s">
        <v>20221</v>
      </c>
      <c r="H6017" s="994" t="s">
        <v>3907</v>
      </c>
      <c r="I6017" s="11" t="s">
        <v>8277</v>
      </c>
      <c r="J6017" s="1285"/>
      <c r="K6017" s="1285"/>
      <c r="L6017" s="1285"/>
    </row>
    <row r="6018" spans="1:12" ht="11.15" customHeight="1">
      <c r="A6018" s="162" t="s">
        <v>8278</v>
      </c>
      <c r="B6018" s="59" t="s">
        <v>21305</v>
      </c>
      <c r="C6018" s="147" t="s">
        <v>20221</v>
      </c>
      <c r="D6018" s="701" t="s">
        <v>1129</v>
      </c>
      <c r="E6018" s="178">
        <v>2023</v>
      </c>
      <c r="F6018" s="178" t="s">
        <v>4520</v>
      </c>
      <c r="G6018" s="496"/>
      <c r="H6018" s="994" t="s">
        <v>20221</v>
      </c>
      <c r="I6018" s="11" t="s">
        <v>8279</v>
      </c>
      <c r="J6018" s="1285"/>
      <c r="K6018" s="1285"/>
      <c r="L6018" s="1285"/>
    </row>
    <row r="6019" spans="1:12" ht="11.15" customHeight="1">
      <c r="A6019" s="162" t="s">
        <v>8280</v>
      </c>
      <c r="B6019" s="59" t="s">
        <v>21306</v>
      </c>
      <c r="C6019" s="147" t="s">
        <v>20221</v>
      </c>
      <c r="D6019" s="701" t="s">
        <v>1129</v>
      </c>
      <c r="E6019" s="178">
        <v>2023</v>
      </c>
      <c r="F6019" s="178" t="s">
        <v>4520</v>
      </c>
      <c r="G6019" s="496"/>
      <c r="H6019" s="994" t="s">
        <v>20221</v>
      </c>
      <c r="I6019" s="11" t="s">
        <v>8281</v>
      </c>
      <c r="J6019" s="1285"/>
      <c r="K6019" s="1285"/>
      <c r="L6019" s="1285"/>
    </row>
    <row r="6020" spans="1:12" ht="11.15" customHeight="1">
      <c r="A6020" s="162" t="s">
        <v>8282</v>
      </c>
      <c r="B6020" s="154" t="s">
        <v>8283</v>
      </c>
      <c r="C6020" s="147"/>
      <c r="D6020" s="129"/>
      <c r="E6020" s="185"/>
      <c r="F6020" s="185"/>
      <c r="G6020" s="185"/>
      <c r="H6020" s="185"/>
      <c r="I6020" s="11"/>
    </row>
    <row r="6021" spans="1:12" ht="11.15" customHeight="1">
      <c r="A6021" s="162" t="s">
        <v>8284</v>
      </c>
      <c r="B6021" s="59" t="s">
        <v>21307</v>
      </c>
      <c r="C6021" s="147" t="s">
        <v>20221</v>
      </c>
      <c r="D6021" s="701" t="s">
        <v>1129</v>
      </c>
      <c r="E6021" s="178">
        <v>2022</v>
      </c>
      <c r="F6021" s="178" t="s">
        <v>4520</v>
      </c>
      <c r="G6021" s="496"/>
      <c r="H6021" s="994" t="s">
        <v>20221</v>
      </c>
      <c r="I6021" s="11" t="s">
        <v>8285</v>
      </c>
      <c r="J6021" s="1285"/>
      <c r="K6021" s="1285"/>
      <c r="L6021" s="1285"/>
    </row>
    <row r="6022" spans="1:12" ht="11.15" customHeight="1">
      <c r="A6022" s="162" t="s">
        <v>8286</v>
      </c>
      <c r="B6022" s="59" t="s">
        <v>21307</v>
      </c>
      <c r="C6022" s="147" t="s">
        <v>20221</v>
      </c>
      <c r="D6022" s="701" t="s">
        <v>1129</v>
      </c>
      <c r="E6022" s="178">
        <v>2019</v>
      </c>
      <c r="F6022" s="178" t="s">
        <v>23395</v>
      </c>
      <c r="G6022" s="496"/>
      <c r="H6022" s="994" t="s">
        <v>20277</v>
      </c>
      <c r="I6022" s="11" t="s">
        <v>8287</v>
      </c>
      <c r="J6022" s="1285"/>
      <c r="K6022" s="1285"/>
      <c r="L6022" s="1285"/>
    </row>
    <row r="6023" spans="1:12" ht="11.15" customHeight="1">
      <c r="A6023" s="514" t="s">
        <v>8288</v>
      </c>
      <c r="B6023" s="154" t="s">
        <v>8289</v>
      </c>
      <c r="C6023" s="147"/>
      <c r="D6023" s="129"/>
      <c r="E6023" s="185"/>
      <c r="F6023" s="185"/>
      <c r="G6023" s="185"/>
      <c r="H6023" s="185"/>
      <c r="I6023" s="11"/>
    </row>
    <row r="6024" spans="1:12" ht="11.15" customHeight="1">
      <c r="A6024" s="162" t="s">
        <v>8290</v>
      </c>
      <c r="B6024" s="59" t="s">
        <v>21308</v>
      </c>
      <c r="C6024" s="147" t="s">
        <v>20221</v>
      </c>
      <c r="D6024" s="284" t="s">
        <v>897</v>
      </c>
      <c r="E6024" s="178">
        <v>2018</v>
      </c>
      <c r="F6024" s="178" t="s">
        <v>23395</v>
      </c>
      <c r="G6024" s="496"/>
      <c r="H6024" s="994" t="s">
        <v>20221</v>
      </c>
      <c r="I6024" s="11" t="s">
        <v>8291</v>
      </c>
      <c r="J6024" s="1285"/>
      <c r="K6024" s="1285"/>
      <c r="L6024" s="1285"/>
    </row>
    <row r="6025" spans="1:12" ht="11.15" customHeight="1">
      <c r="A6025" s="162" t="s">
        <v>8292</v>
      </c>
      <c r="B6025" s="162"/>
      <c r="C6025" s="147"/>
      <c r="D6025" s="162"/>
      <c r="E6025" s="162"/>
      <c r="F6025" s="162"/>
      <c r="G6025" s="162"/>
      <c r="H6025" s="162"/>
      <c r="I6025" s="11"/>
    </row>
    <row r="6026" spans="1:12" ht="11.15" customHeight="1">
      <c r="A6026" s="162" t="s">
        <v>8293</v>
      </c>
      <c r="B6026" s="162"/>
      <c r="C6026" s="147"/>
      <c r="D6026" s="162"/>
      <c r="E6026" s="162"/>
      <c r="F6026" s="162"/>
      <c r="G6026" s="162"/>
      <c r="H6026" s="162"/>
      <c r="I6026" s="11"/>
    </row>
    <row r="6027" spans="1:12" ht="11.15" customHeight="1">
      <c r="A6027" s="162" t="s">
        <v>8294</v>
      </c>
      <c r="B6027" s="162"/>
      <c r="C6027" s="147"/>
      <c r="D6027" s="162"/>
      <c r="E6027" s="162"/>
      <c r="F6027" s="162"/>
      <c r="G6027" s="162"/>
      <c r="H6027" s="162"/>
      <c r="I6027" s="11"/>
    </row>
    <row r="6028" spans="1:12" ht="11.15" customHeight="1">
      <c r="A6028" s="129" t="s">
        <v>1077</v>
      </c>
      <c r="B6028" s="162"/>
      <c r="C6028" s="147"/>
      <c r="D6028" s="162"/>
      <c r="E6028" s="162"/>
      <c r="F6028" s="162"/>
      <c r="G6028" s="162"/>
      <c r="H6028" s="162"/>
      <c r="I6028" s="11"/>
    </row>
    <row r="6029" spans="1:12" ht="11.15" customHeight="1">
      <c r="A6029" s="162" t="s">
        <v>8295</v>
      </c>
      <c r="B6029" s="162"/>
      <c r="C6029" s="147"/>
      <c r="D6029" s="162"/>
      <c r="E6029" s="162"/>
      <c r="F6029" s="162"/>
      <c r="G6029" s="162"/>
      <c r="H6029" s="162"/>
      <c r="I6029" s="11"/>
    </row>
    <row r="6030" spans="1:12" ht="11.15" customHeight="1">
      <c r="A6030" s="162" t="s">
        <v>8296</v>
      </c>
      <c r="B6030" s="162"/>
      <c r="C6030" s="147"/>
      <c r="D6030" s="162"/>
      <c r="E6030" s="162"/>
      <c r="F6030" s="162"/>
      <c r="G6030" s="162"/>
      <c r="H6030" s="162"/>
      <c r="I6030" s="11"/>
    </row>
    <row r="6031" spans="1:12" ht="11.15" customHeight="1">
      <c r="A6031" s="162" t="s">
        <v>8297</v>
      </c>
      <c r="B6031" s="162"/>
      <c r="C6031" s="147"/>
      <c r="D6031" s="162"/>
      <c r="E6031" s="162"/>
      <c r="F6031" s="162"/>
      <c r="G6031" s="162"/>
      <c r="H6031" s="162"/>
      <c r="I6031" s="11"/>
    </row>
    <row r="6032" spans="1:12" ht="11.15" customHeight="1">
      <c r="A6032" s="162" t="s">
        <v>8298</v>
      </c>
      <c r="B6032" s="185"/>
      <c r="C6032" s="147"/>
      <c r="D6032" s="185"/>
      <c r="E6032" s="185"/>
      <c r="F6032" s="185"/>
      <c r="G6032" s="185"/>
      <c r="H6032" s="185"/>
      <c r="I6032" s="11"/>
    </row>
    <row r="6033" spans="1:9" ht="11.15" customHeight="1">
      <c r="A6033" s="162" t="s">
        <v>8299</v>
      </c>
      <c r="B6033" s="185"/>
      <c r="C6033" s="147"/>
      <c r="D6033" s="185"/>
      <c r="E6033" s="185"/>
      <c r="F6033" s="185"/>
      <c r="G6033" s="185"/>
      <c r="H6033" s="185"/>
      <c r="I6033" s="11"/>
    </row>
    <row r="6034" spans="1:9" ht="11.15" customHeight="1">
      <c r="A6034" s="162" t="s">
        <v>8300</v>
      </c>
      <c r="B6034" s="185"/>
      <c r="C6034" s="147"/>
      <c r="D6034" s="185"/>
      <c r="E6034" s="185"/>
      <c r="F6034" s="185"/>
      <c r="G6034" s="185"/>
      <c r="H6034" s="185"/>
      <c r="I6034" s="11"/>
    </row>
    <row r="6035" spans="1:9" ht="11.15" customHeight="1">
      <c r="A6035" s="162" t="s">
        <v>8301</v>
      </c>
      <c r="B6035" s="185"/>
      <c r="C6035" s="147"/>
      <c r="D6035" s="185"/>
      <c r="E6035" s="185"/>
      <c r="F6035" s="185"/>
      <c r="G6035" s="185"/>
      <c r="H6035" s="185"/>
      <c r="I6035" s="11"/>
    </row>
    <row r="6036" spans="1:9" ht="11.15" customHeight="1">
      <c r="A6036" s="162" t="s">
        <v>8302</v>
      </c>
      <c r="B6036" s="185"/>
      <c r="C6036" s="147"/>
      <c r="D6036" s="185"/>
      <c r="E6036" s="185"/>
      <c r="F6036" s="185"/>
      <c r="G6036" s="185"/>
      <c r="H6036" s="185"/>
      <c r="I6036" s="11"/>
    </row>
    <row r="6037" spans="1:9" ht="11.15" customHeight="1">
      <c r="A6037" s="162" t="s">
        <v>8303</v>
      </c>
      <c r="B6037" s="185"/>
      <c r="C6037" s="147"/>
      <c r="D6037" s="185"/>
      <c r="E6037" s="185"/>
      <c r="F6037" s="185"/>
      <c r="G6037" s="185"/>
      <c r="H6037" s="185"/>
      <c r="I6037" s="11"/>
    </row>
    <row r="6038" spans="1:9" ht="11.15" customHeight="1">
      <c r="A6038" s="162" t="s">
        <v>8304</v>
      </c>
      <c r="B6038" s="90"/>
      <c r="C6038" s="147"/>
      <c r="D6038" s="161"/>
      <c r="E6038" s="36"/>
      <c r="F6038" s="178"/>
      <c r="G6038" s="496"/>
      <c r="H6038" s="36"/>
      <c r="I6038" s="11"/>
    </row>
    <row r="6039" spans="1:9" ht="11.15" customHeight="1">
      <c r="A6039" s="162" t="s">
        <v>8305</v>
      </c>
      <c r="B6039" s="90"/>
      <c r="C6039" s="147"/>
      <c r="D6039" s="161"/>
      <c r="E6039" s="36"/>
      <c r="F6039" s="178"/>
      <c r="G6039" s="496"/>
      <c r="H6039" s="36"/>
      <c r="I6039" s="11"/>
    </row>
    <row r="6040" spans="1:9" ht="11.15" customHeight="1">
      <c r="A6040" s="162" t="s">
        <v>8306</v>
      </c>
      <c r="B6040" s="90"/>
      <c r="C6040" s="147"/>
      <c r="D6040" s="161"/>
      <c r="E6040" s="36"/>
      <c r="F6040" s="178"/>
      <c r="G6040" s="496"/>
      <c r="H6040" s="36"/>
      <c r="I6040" s="11"/>
    </row>
    <row r="6041" spans="1:9" ht="11.15" customHeight="1">
      <c r="A6041" s="162" t="s">
        <v>8307</v>
      </c>
      <c r="B6041" s="90"/>
      <c r="C6041" s="147"/>
      <c r="D6041" s="161"/>
      <c r="E6041" s="36"/>
      <c r="F6041" s="178"/>
      <c r="G6041" s="496"/>
      <c r="H6041" s="36"/>
      <c r="I6041" s="11"/>
    </row>
    <row r="6042" spans="1:9" ht="11.15" customHeight="1">
      <c r="A6042" s="162" t="s">
        <v>8308</v>
      </c>
      <c r="B6042" s="90"/>
      <c r="C6042" s="147"/>
      <c r="D6042" s="161"/>
      <c r="E6042" s="36"/>
      <c r="F6042" s="178"/>
      <c r="G6042" s="496"/>
      <c r="H6042" s="36"/>
      <c r="I6042" s="11"/>
    </row>
    <row r="6043" spans="1:9" ht="11.15" customHeight="1">
      <c r="A6043" s="162" t="s">
        <v>8309</v>
      </c>
      <c r="B6043" s="90"/>
      <c r="C6043" s="147"/>
      <c r="D6043" s="161"/>
      <c r="E6043" s="36"/>
      <c r="F6043" s="178"/>
      <c r="G6043" s="496"/>
      <c r="H6043" s="36"/>
      <c r="I6043" s="11"/>
    </row>
    <row r="6044" spans="1:9" ht="11.15" customHeight="1">
      <c r="A6044" s="29" t="s">
        <v>8310</v>
      </c>
      <c r="B6044" s="90"/>
      <c r="C6044" s="147"/>
      <c r="D6044" s="161"/>
      <c r="E6044" s="36"/>
      <c r="F6044" s="178"/>
      <c r="G6044" s="496"/>
      <c r="H6044" s="36"/>
      <c r="I6044" s="11"/>
    </row>
    <row r="6045" spans="1:9" ht="11.15" customHeight="1">
      <c r="A6045" s="166" t="s">
        <v>8311</v>
      </c>
      <c r="B6045" s="185"/>
      <c r="C6045" s="147"/>
      <c r="D6045" s="129"/>
      <c r="E6045" s="185"/>
      <c r="F6045" s="185"/>
      <c r="G6045" s="185"/>
      <c r="H6045" s="185"/>
      <c r="I6045" s="11"/>
    </row>
    <row r="6046" spans="1:9" ht="11.15" customHeight="1">
      <c r="A6046" s="129" t="s">
        <v>8312</v>
      </c>
      <c r="B6046" s="185"/>
      <c r="C6046" s="147"/>
      <c r="D6046" s="129"/>
      <c r="E6046" s="185"/>
      <c r="F6046" s="185"/>
      <c r="G6046" s="185"/>
      <c r="H6046" s="185"/>
      <c r="I6046" s="11"/>
    </row>
    <row r="6047" spans="1:9" ht="11.15" customHeight="1">
      <c r="A6047" s="481" t="s">
        <v>8313</v>
      </c>
      <c r="B6047" s="185"/>
      <c r="C6047" s="147"/>
      <c r="D6047" s="129"/>
      <c r="E6047" s="185"/>
      <c r="F6047" s="185"/>
      <c r="G6047" s="185"/>
      <c r="H6047" s="185"/>
      <c r="I6047" s="11"/>
    </row>
    <row r="6048" spans="1:9" ht="11.15" customHeight="1" thickBot="1">
      <c r="A6048" s="29"/>
      <c r="B6048" s="185"/>
      <c r="C6048" s="147"/>
      <c r="D6048" s="129"/>
      <c r="E6048" s="185"/>
      <c r="F6048" s="185"/>
      <c r="G6048" s="185"/>
      <c r="H6048" s="185"/>
      <c r="I6048" s="11"/>
    </row>
    <row r="6049" spans="1:12" ht="24" customHeight="1" thickBot="1">
      <c r="A6049" s="515"/>
      <c r="B6049" s="64" t="s">
        <v>8314</v>
      </c>
      <c r="C6049" s="170"/>
      <c r="D6049" s="382"/>
      <c r="E6049" s="235"/>
      <c r="F6049" s="383"/>
      <c r="G6049" s="1142"/>
      <c r="H6049" s="516"/>
      <c r="I6049" s="11"/>
    </row>
    <row r="6050" spans="1:12" ht="11.15" customHeight="1">
      <c r="A6050" s="271"/>
      <c r="B6050" s="146" t="s">
        <v>8315</v>
      </c>
      <c r="C6050" s="147"/>
      <c r="D6050" s="161"/>
      <c r="E6050" s="36"/>
      <c r="F6050" s="178"/>
      <c r="G6050" s="496"/>
      <c r="H6050" s="36"/>
      <c r="I6050" s="11"/>
    </row>
    <row r="6051" spans="1:12" ht="11.15" customHeight="1">
      <c r="A6051" s="271"/>
      <c r="B6051" s="150" t="s">
        <v>8316</v>
      </c>
      <c r="C6051" s="147"/>
      <c r="D6051" s="161"/>
      <c r="E6051" s="36"/>
      <c r="F6051" s="178"/>
      <c r="G6051" s="496"/>
      <c r="H6051" s="36"/>
      <c r="I6051" s="11"/>
    </row>
    <row r="6052" spans="1:12" ht="9" customHeight="1">
      <c r="A6052" s="29"/>
      <c r="B6052" s="150" t="s">
        <v>8317</v>
      </c>
      <c r="C6052" s="147"/>
      <c r="D6052" s="129"/>
      <c r="E6052" s="185"/>
      <c r="F6052" s="185"/>
      <c r="G6052" s="185"/>
      <c r="H6052" s="185"/>
      <c r="I6052" s="11"/>
    </row>
    <row r="6053" spans="1:12" ht="9" customHeight="1">
      <c r="A6053" s="29"/>
      <c r="B6053" s="150" t="s">
        <v>8318</v>
      </c>
      <c r="C6053" s="147"/>
      <c r="D6053" s="129"/>
      <c r="E6053" s="185"/>
      <c r="F6053" s="185"/>
      <c r="G6053" s="185"/>
      <c r="H6053" s="185"/>
      <c r="I6053" s="11"/>
    </row>
    <row r="6054" spans="1:12" ht="9" customHeight="1">
      <c r="A6054" s="271"/>
      <c r="B6054" s="150" t="s">
        <v>8319</v>
      </c>
      <c r="C6054" s="147"/>
      <c r="D6054" s="161"/>
      <c r="E6054" s="36"/>
      <c r="F6054" s="183"/>
      <c r="G6054" s="496"/>
      <c r="H6054" s="34"/>
      <c r="I6054" s="11"/>
    </row>
    <row r="6055" spans="1:12" ht="9" customHeight="1">
      <c r="A6055" s="271"/>
      <c r="B6055" s="150" t="s">
        <v>8320</v>
      </c>
      <c r="C6055" s="147"/>
      <c r="D6055" s="161"/>
      <c r="E6055" s="36"/>
      <c r="F6055" s="183"/>
      <c r="G6055" s="496"/>
      <c r="H6055" s="34"/>
      <c r="I6055" s="11"/>
    </row>
    <row r="6056" spans="1:12" ht="9" customHeight="1" thickBot="1">
      <c r="A6056" s="29"/>
      <c r="B6056" s="150" t="s">
        <v>8321</v>
      </c>
      <c r="C6056" s="147"/>
      <c r="D6056" s="129"/>
      <c r="E6056" s="185"/>
      <c r="F6056" s="185"/>
      <c r="G6056" s="185"/>
      <c r="H6056" s="185"/>
      <c r="I6056" s="11"/>
    </row>
    <row r="6057" spans="1:12" ht="11.15" customHeight="1">
      <c r="A6057" s="153" t="s">
        <v>8322</v>
      </c>
      <c r="B6057" s="154" t="s">
        <v>8323</v>
      </c>
      <c r="C6057" s="147"/>
      <c r="D6057" s="161"/>
      <c r="E6057" s="36"/>
      <c r="F6057" s="178"/>
      <c r="G6057" s="496"/>
      <c r="H6057" s="36"/>
      <c r="I6057" s="11"/>
    </row>
    <row r="6058" spans="1:12" ht="11.15" customHeight="1" thickBot="1">
      <c r="A6058" s="230" t="s">
        <v>8324</v>
      </c>
      <c r="B6058" s="59" t="s">
        <v>21309</v>
      </c>
      <c r="C6058" s="147" t="s">
        <v>20221</v>
      </c>
      <c r="D6058" s="284" t="s">
        <v>897</v>
      </c>
      <c r="E6058" s="178">
        <v>2022</v>
      </c>
      <c r="F6058" s="178" t="s">
        <v>4520</v>
      </c>
      <c r="G6058" s="496"/>
      <c r="H6058" s="994" t="s">
        <v>20221</v>
      </c>
      <c r="I6058" s="11" t="s">
        <v>8325</v>
      </c>
      <c r="J6058" s="1285"/>
      <c r="K6058" s="1285"/>
      <c r="L6058" s="1285"/>
    </row>
    <row r="6059" spans="1:12" ht="11.15" customHeight="1">
      <c r="A6059" s="29" t="s">
        <v>8326</v>
      </c>
      <c r="B6059" s="59" t="s">
        <v>21309</v>
      </c>
      <c r="C6059" s="147" t="s">
        <v>20221</v>
      </c>
      <c r="D6059" s="284" t="s">
        <v>897</v>
      </c>
      <c r="E6059" s="178">
        <v>2021</v>
      </c>
      <c r="F6059" s="178" t="s">
        <v>4520</v>
      </c>
      <c r="G6059" s="496"/>
      <c r="H6059" s="994" t="s">
        <v>20224</v>
      </c>
      <c r="I6059" s="11" t="s">
        <v>8327</v>
      </c>
      <c r="J6059" s="1285"/>
      <c r="K6059" s="1285"/>
      <c r="L6059" s="1285"/>
    </row>
    <row r="6060" spans="1:12" ht="11.15" customHeight="1">
      <c r="A6060" s="29" t="s">
        <v>8328</v>
      </c>
      <c r="B6060" s="59" t="s">
        <v>21309</v>
      </c>
      <c r="C6060" s="147" t="s">
        <v>20221</v>
      </c>
      <c r="D6060" s="284" t="s">
        <v>897</v>
      </c>
      <c r="E6060" s="178">
        <v>2020</v>
      </c>
      <c r="F6060" s="178" t="s">
        <v>4520</v>
      </c>
      <c r="G6060" s="496"/>
      <c r="H6060" s="994" t="s">
        <v>20221</v>
      </c>
      <c r="I6060" s="11" t="s">
        <v>8329</v>
      </c>
      <c r="J6060" s="1285"/>
      <c r="K6060" s="1285"/>
      <c r="L6060" s="1285"/>
    </row>
    <row r="6061" spans="1:12" ht="11.15" customHeight="1">
      <c r="A6061" s="29" t="s">
        <v>8330</v>
      </c>
      <c r="B6061" s="154" t="s">
        <v>8331</v>
      </c>
      <c r="C6061" s="147"/>
      <c r="D6061" s="185"/>
      <c r="E6061" s="185"/>
      <c r="F6061" s="185"/>
      <c r="G6061" s="185"/>
      <c r="H6061" s="185"/>
      <c r="I6061" s="11"/>
    </row>
    <row r="6062" spans="1:12" ht="11.15" customHeight="1">
      <c r="A6062" s="29" t="s">
        <v>8332</v>
      </c>
      <c r="B6062" s="59" t="s">
        <v>21310</v>
      </c>
      <c r="C6062" s="147" t="s">
        <v>20221</v>
      </c>
      <c r="D6062" s="284" t="s">
        <v>897</v>
      </c>
      <c r="E6062" s="178">
        <v>2022</v>
      </c>
      <c r="F6062" s="178" t="s">
        <v>4520</v>
      </c>
      <c r="G6062" s="496"/>
      <c r="H6062" s="994" t="s">
        <v>20221</v>
      </c>
      <c r="I6062" s="11" t="s">
        <v>8333</v>
      </c>
      <c r="J6062" s="1285"/>
      <c r="K6062" s="1285"/>
      <c r="L6062" s="1285"/>
    </row>
    <row r="6063" spans="1:12" ht="11.15" customHeight="1">
      <c r="A6063" s="29" t="s">
        <v>8334</v>
      </c>
      <c r="B6063" s="59" t="s">
        <v>21310</v>
      </c>
      <c r="C6063" s="147" t="s">
        <v>20221</v>
      </c>
      <c r="D6063" s="284" t="s">
        <v>897</v>
      </c>
      <c r="E6063" s="178">
        <v>2021</v>
      </c>
      <c r="F6063" s="178" t="s">
        <v>4520</v>
      </c>
      <c r="G6063" s="496"/>
      <c r="H6063" s="994" t="s">
        <v>20221</v>
      </c>
      <c r="I6063" s="11" t="s">
        <v>8335</v>
      </c>
      <c r="J6063" s="1285"/>
      <c r="K6063" s="1285"/>
      <c r="L6063" s="1285"/>
    </row>
    <row r="6064" spans="1:12" ht="11.15" customHeight="1">
      <c r="A6064" s="129" t="s">
        <v>8336</v>
      </c>
      <c r="B6064" s="59" t="s">
        <v>21310</v>
      </c>
      <c r="C6064" s="147" t="s">
        <v>20221</v>
      </c>
      <c r="D6064" s="284" t="s">
        <v>897</v>
      </c>
      <c r="E6064" s="178">
        <v>2020</v>
      </c>
      <c r="F6064" s="178" t="s">
        <v>4520</v>
      </c>
      <c r="G6064" s="496"/>
      <c r="H6064" s="994" t="s">
        <v>20221</v>
      </c>
      <c r="I6064" s="11" t="s">
        <v>8337</v>
      </c>
      <c r="J6064" s="1285"/>
      <c r="K6064" s="1285"/>
      <c r="L6064" s="1285"/>
    </row>
    <row r="6065" spans="1:12" ht="11.15" customHeight="1">
      <c r="A6065" s="162" t="s">
        <v>8338</v>
      </c>
      <c r="B6065" s="59" t="s">
        <v>21310</v>
      </c>
      <c r="C6065" s="147" t="s">
        <v>20221</v>
      </c>
      <c r="D6065" s="284" t="s">
        <v>897</v>
      </c>
      <c r="E6065" s="178">
        <v>2018</v>
      </c>
      <c r="F6065" s="178" t="s">
        <v>4520</v>
      </c>
      <c r="G6065" s="496"/>
      <c r="H6065" s="994" t="s">
        <v>20221</v>
      </c>
      <c r="I6065" s="11" t="s">
        <v>8339</v>
      </c>
      <c r="J6065" s="1285"/>
      <c r="K6065" s="1285"/>
      <c r="L6065" s="1285"/>
    </row>
    <row r="6066" spans="1:12" ht="11.15" customHeight="1">
      <c r="A6066" s="162" t="s">
        <v>8340</v>
      </c>
      <c r="B6066" s="59" t="s">
        <v>21311</v>
      </c>
      <c r="C6066" s="147" t="s">
        <v>20221</v>
      </c>
      <c r="D6066" s="284" t="s">
        <v>897</v>
      </c>
      <c r="E6066" s="178">
        <v>2022</v>
      </c>
      <c r="F6066" s="178" t="s">
        <v>4520</v>
      </c>
      <c r="G6066" s="496"/>
      <c r="H6066" s="994" t="s">
        <v>20221</v>
      </c>
      <c r="I6066" s="11" t="s">
        <v>8341</v>
      </c>
      <c r="J6066" s="1285"/>
      <c r="K6066" s="1285"/>
      <c r="L6066" s="1285"/>
    </row>
    <row r="6067" spans="1:12" ht="11.15" customHeight="1">
      <c r="A6067" s="162" t="s">
        <v>8342</v>
      </c>
      <c r="B6067" s="59" t="s">
        <v>21311</v>
      </c>
      <c r="C6067" s="147" t="s">
        <v>20221</v>
      </c>
      <c r="D6067" s="284" t="s">
        <v>897</v>
      </c>
      <c r="E6067" s="178">
        <v>2021</v>
      </c>
      <c r="F6067" s="178" t="s">
        <v>4520</v>
      </c>
      <c r="G6067" s="496"/>
      <c r="H6067" s="994" t="s">
        <v>20221</v>
      </c>
      <c r="I6067" s="11" t="s">
        <v>8343</v>
      </c>
      <c r="J6067" s="1285"/>
      <c r="K6067" s="1285"/>
      <c r="L6067" s="1285"/>
    </row>
    <row r="6068" spans="1:12" ht="11.15" customHeight="1">
      <c r="A6068" s="162" t="s">
        <v>8344</v>
      </c>
      <c r="B6068" s="59" t="s">
        <v>21311</v>
      </c>
      <c r="C6068" s="147" t="s">
        <v>20221</v>
      </c>
      <c r="D6068" s="284" t="s">
        <v>897</v>
      </c>
      <c r="E6068" s="178">
        <v>2020</v>
      </c>
      <c r="F6068" s="178" t="s">
        <v>4520</v>
      </c>
      <c r="G6068" s="496"/>
      <c r="H6068" s="994" t="s">
        <v>20221</v>
      </c>
      <c r="I6068" s="11" t="s">
        <v>8345</v>
      </c>
      <c r="J6068" s="1285"/>
      <c r="K6068" s="1285"/>
      <c r="L6068" s="1285"/>
    </row>
    <row r="6069" spans="1:12" ht="11.15" customHeight="1">
      <c r="A6069" s="162" t="s">
        <v>8346</v>
      </c>
      <c r="B6069" s="59" t="s">
        <v>21311</v>
      </c>
      <c r="C6069" s="147" t="s">
        <v>20221</v>
      </c>
      <c r="D6069" s="284" t="s">
        <v>897</v>
      </c>
      <c r="E6069" s="178">
        <v>2016</v>
      </c>
      <c r="F6069" s="178" t="s">
        <v>4520</v>
      </c>
      <c r="G6069" s="496"/>
      <c r="H6069" s="994" t="s">
        <v>20221</v>
      </c>
      <c r="I6069" s="11" t="s">
        <v>8347</v>
      </c>
      <c r="J6069" s="1285"/>
      <c r="K6069" s="1285"/>
      <c r="L6069" s="1285"/>
    </row>
    <row r="6070" spans="1:12" ht="11.15" customHeight="1">
      <c r="A6070" s="162" t="s">
        <v>8348</v>
      </c>
      <c r="B6070" s="59" t="s">
        <v>21311</v>
      </c>
      <c r="C6070" s="147" t="s">
        <v>20221</v>
      </c>
      <c r="D6070" s="284" t="s">
        <v>897</v>
      </c>
      <c r="E6070" s="178">
        <v>2014</v>
      </c>
      <c r="F6070" s="178" t="s">
        <v>4520</v>
      </c>
      <c r="G6070" s="496"/>
      <c r="H6070" s="994" t="s">
        <v>20221</v>
      </c>
      <c r="I6070" s="11" t="s">
        <v>8349</v>
      </c>
      <c r="J6070" s="1285"/>
      <c r="K6070" s="1285"/>
      <c r="L6070" s="1285"/>
    </row>
    <row r="6071" spans="1:12" ht="11.15" customHeight="1">
      <c r="A6071" s="129" t="s">
        <v>903</v>
      </c>
      <c r="B6071" s="59" t="s">
        <v>21312</v>
      </c>
      <c r="C6071" s="147" t="s">
        <v>20221</v>
      </c>
      <c r="D6071" s="284" t="s">
        <v>897</v>
      </c>
      <c r="E6071" s="178">
        <v>2020</v>
      </c>
      <c r="F6071" s="178" t="s">
        <v>4520</v>
      </c>
      <c r="G6071" s="496"/>
      <c r="H6071" s="994" t="s">
        <v>20221</v>
      </c>
      <c r="I6071" s="11" t="s">
        <v>8350</v>
      </c>
      <c r="J6071" s="1285"/>
      <c r="K6071" s="1285"/>
      <c r="L6071" s="1285"/>
    </row>
    <row r="6072" spans="1:12" ht="11.15" customHeight="1">
      <c r="A6072" s="162" t="s">
        <v>8351</v>
      </c>
      <c r="B6072" s="59" t="s">
        <v>21312</v>
      </c>
      <c r="C6072" s="147" t="s">
        <v>20221</v>
      </c>
      <c r="D6072" s="284" t="s">
        <v>897</v>
      </c>
      <c r="E6072" s="178">
        <v>2018</v>
      </c>
      <c r="F6072" s="178" t="s">
        <v>4520</v>
      </c>
      <c r="G6072" s="496"/>
      <c r="H6072" s="994" t="s">
        <v>20221</v>
      </c>
      <c r="I6072" s="11" t="s">
        <v>8352</v>
      </c>
      <c r="J6072" s="1285"/>
      <c r="K6072" s="1285"/>
      <c r="L6072" s="1285"/>
    </row>
    <row r="6073" spans="1:12" ht="11.15" customHeight="1">
      <c r="A6073" s="162" t="s">
        <v>8353</v>
      </c>
      <c r="B6073" s="59" t="s">
        <v>21313</v>
      </c>
      <c r="C6073" s="147" t="s">
        <v>20221</v>
      </c>
      <c r="D6073" s="284" t="s">
        <v>897</v>
      </c>
      <c r="E6073" s="178">
        <v>2021</v>
      </c>
      <c r="F6073" s="178" t="s">
        <v>4520</v>
      </c>
      <c r="G6073" s="496"/>
      <c r="H6073" s="994" t="s">
        <v>20224</v>
      </c>
      <c r="I6073" s="11" t="s">
        <v>8354</v>
      </c>
      <c r="J6073" s="1285"/>
      <c r="K6073" s="1285"/>
      <c r="L6073" s="1285"/>
    </row>
    <row r="6074" spans="1:12" ht="11.15" customHeight="1">
      <c r="A6074" s="162" t="s">
        <v>8355</v>
      </c>
      <c r="B6074" s="59" t="s">
        <v>21313</v>
      </c>
      <c r="C6074" s="147" t="s">
        <v>20221</v>
      </c>
      <c r="D6074" s="284" t="s">
        <v>897</v>
      </c>
      <c r="E6074" s="178">
        <v>2017</v>
      </c>
      <c r="F6074" s="178" t="s">
        <v>4520</v>
      </c>
      <c r="G6074" s="496"/>
      <c r="H6074" s="994" t="s">
        <v>20221</v>
      </c>
      <c r="I6074" s="11" t="s">
        <v>8356</v>
      </c>
      <c r="J6074" s="1285"/>
      <c r="K6074" s="1285"/>
      <c r="L6074" s="1285"/>
    </row>
    <row r="6075" spans="1:12" ht="11.15" customHeight="1">
      <c r="A6075" s="162" t="s">
        <v>8357</v>
      </c>
      <c r="B6075" s="59" t="s">
        <v>21313</v>
      </c>
      <c r="C6075" s="147" t="s">
        <v>20221</v>
      </c>
      <c r="D6075" s="284" t="s">
        <v>897</v>
      </c>
      <c r="E6075" s="178">
        <v>2015</v>
      </c>
      <c r="F6075" s="178" t="s">
        <v>4520</v>
      </c>
      <c r="G6075" s="496"/>
      <c r="H6075" s="994" t="s">
        <v>20221</v>
      </c>
      <c r="I6075" s="11" t="s">
        <v>8358</v>
      </c>
      <c r="J6075" s="1285"/>
      <c r="K6075" s="1285"/>
      <c r="L6075" s="1285"/>
    </row>
    <row r="6076" spans="1:12" ht="11.15" customHeight="1">
      <c r="A6076" s="162" t="s">
        <v>8359</v>
      </c>
      <c r="B6076" s="59" t="s">
        <v>21314</v>
      </c>
      <c r="C6076" s="147" t="s">
        <v>20221</v>
      </c>
      <c r="D6076" s="284" t="s">
        <v>897</v>
      </c>
      <c r="E6076" s="178">
        <v>2022</v>
      </c>
      <c r="F6076" s="178" t="s">
        <v>4520</v>
      </c>
      <c r="G6076" s="496"/>
      <c r="H6076" s="994" t="s">
        <v>20221</v>
      </c>
      <c r="I6076" s="11" t="s">
        <v>8360</v>
      </c>
      <c r="J6076" s="1285"/>
      <c r="K6076" s="1285"/>
      <c r="L6076" s="1285"/>
    </row>
    <row r="6077" spans="1:12" ht="11.15" customHeight="1">
      <c r="A6077" s="129" t="s">
        <v>8361</v>
      </c>
      <c r="B6077" s="154" t="s">
        <v>8362</v>
      </c>
      <c r="C6077" s="147"/>
      <c r="D6077" s="161"/>
      <c r="E6077" s="36"/>
      <c r="F6077" s="183"/>
      <c r="G6077" s="496"/>
      <c r="H6077" s="34"/>
      <c r="I6077" s="11"/>
    </row>
    <row r="6078" spans="1:12" ht="11.15" customHeight="1">
      <c r="A6078" s="129" t="s">
        <v>8363</v>
      </c>
      <c r="B6078" s="59" t="s">
        <v>21315</v>
      </c>
      <c r="C6078" s="147" t="s">
        <v>20221</v>
      </c>
      <c r="D6078" s="284" t="s">
        <v>897</v>
      </c>
      <c r="E6078" s="178">
        <v>2014</v>
      </c>
      <c r="F6078" s="178" t="s">
        <v>11931</v>
      </c>
      <c r="G6078" s="496"/>
      <c r="H6078" s="994" t="s">
        <v>20224</v>
      </c>
      <c r="I6078" s="11" t="s">
        <v>8364</v>
      </c>
      <c r="J6078" s="1285"/>
      <c r="K6078" s="1285"/>
      <c r="L6078" s="1285"/>
    </row>
    <row r="6079" spans="1:12" ht="11.15" customHeight="1">
      <c r="A6079" s="129" t="s">
        <v>8365</v>
      </c>
      <c r="B6079" s="185"/>
      <c r="C6079" s="147"/>
      <c r="D6079" s="185"/>
      <c r="E6079" s="185"/>
      <c r="F6079" s="185"/>
      <c r="G6079" s="185"/>
      <c r="H6079" s="185"/>
      <c r="I6079" s="11"/>
    </row>
    <row r="6080" spans="1:12" ht="11.15" customHeight="1">
      <c r="A6080" s="481" t="s">
        <v>8366</v>
      </c>
      <c r="B6080" s="185"/>
      <c r="C6080" s="147"/>
      <c r="D6080" s="122"/>
      <c r="E6080" s="36"/>
      <c r="F6080" s="178"/>
      <c r="G6080" s="60"/>
      <c r="H6080" s="36"/>
      <c r="I6080" s="11"/>
    </row>
    <row r="6081" spans="1:12" ht="11.15" customHeight="1" thickBot="1">
      <c r="A6081" s="29"/>
      <c r="B6081" s="185"/>
      <c r="C6081" s="147"/>
      <c r="D6081" s="122"/>
      <c r="E6081" s="36"/>
      <c r="F6081" s="178"/>
      <c r="G6081" s="60"/>
      <c r="H6081" s="36"/>
      <c r="I6081" s="11"/>
    </row>
    <row r="6082" spans="1:12" ht="11.15" customHeight="1">
      <c r="A6082" s="153" t="s">
        <v>8367</v>
      </c>
      <c r="B6082" s="59" t="s">
        <v>21317</v>
      </c>
      <c r="C6082" s="147" t="s">
        <v>20221</v>
      </c>
      <c r="D6082" s="701" t="s">
        <v>1129</v>
      </c>
      <c r="E6082" s="178">
        <v>2023</v>
      </c>
      <c r="F6082" s="178" t="s">
        <v>4520</v>
      </c>
      <c r="G6082" s="496"/>
      <c r="H6082" s="994" t="s">
        <v>20221</v>
      </c>
      <c r="I6082" s="11" t="s">
        <v>8368</v>
      </c>
      <c r="J6082" s="1285"/>
      <c r="K6082" s="1285"/>
      <c r="L6082" s="1285"/>
    </row>
    <row r="6083" spans="1:12" ht="11.15" customHeight="1" thickBot="1">
      <c r="A6083" s="230" t="s">
        <v>8369</v>
      </c>
      <c r="B6083" s="518"/>
      <c r="C6083" s="147"/>
      <c r="D6083" s="161"/>
      <c r="E6083" s="36"/>
      <c r="F6083" s="178"/>
      <c r="G6083" s="671"/>
      <c r="H6083" s="36"/>
      <c r="I6083" s="11"/>
    </row>
    <row r="6084" spans="1:12" ht="11.15" customHeight="1">
      <c r="A6084" s="29" t="s">
        <v>8370</v>
      </c>
      <c r="B6084" s="518"/>
      <c r="C6084" s="147"/>
      <c r="D6084" s="161"/>
      <c r="E6084" s="36"/>
      <c r="F6084" s="178"/>
      <c r="G6084" s="671"/>
      <c r="H6084" s="36"/>
      <c r="I6084" s="11"/>
    </row>
    <row r="6085" spans="1:12" ht="11.15" customHeight="1">
      <c r="A6085" s="218" t="s">
        <v>1595</v>
      </c>
      <c r="B6085" s="518"/>
      <c r="C6085" s="147"/>
      <c r="D6085" s="161"/>
      <c r="E6085" s="36"/>
      <c r="F6085" s="178"/>
      <c r="G6085" s="671"/>
      <c r="H6085" s="36"/>
      <c r="I6085" s="11"/>
    </row>
    <row r="6086" spans="1:12" ht="11.15" customHeight="1">
      <c r="A6086" s="29" t="s">
        <v>1862</v>
      </c>
      <c r="B6086" s="518"/>
      <c r="C6086" s="147"/>
      <c r="D6086" s="161"/>
      <c r="E6086" s="36"/>
      <c r="F6086" s="178"/>
      <c r="G6086" s="671"/>
      <c r="H6086" s="36"/>
      <c r="I6086" s="11"/>
    </row>
    <row r="6087" spans="1:12" ht="11.15" customHeight="1">
      <c r="A6087" s="481" t="s">
        <v>8371</v>
      </c>
      <c r="B6087" s="518"/>
      <c r="C6087" s="147"/>
      <c r="D6087" s="161"/>
      <c r="E6087" s="36"/>
      <c r="F6087" s="178"/>
      <c r="G6087" s="671"/>
      <c r="H6087" s="36"/>
      <c r="I6087" s="11"/>
    </row>
    <row r="6088" spans="1:12" ht="11.15" customHeight="1" thickBot="1">
      <c r="A6088" s="185"/>
      <c r="B6088" s="519" t="s">
        <v>8372</v>
      </c>
      <c r="C6088" s="147"/>
      <c r="D6088" s="122"/>
      <c r="E6088" s="36"/>
      <c r="F6088" s="178"/>
      <c r="G6088" s="60"/>
      <c r="H6088" s="36"/>
      <c r="I6088" s="11"/>
    </row>
    <row r="6089" spans="1:12" ht="11.15" customHeight="1" thickBot="1">
      <c r="A6089" s="184" t="s">
        <v>8373</v>
      </c>
      <c r="B6089" s="154" t="s">
        <v>8323</v>
      </c>
      <c r="C6089" s="147"/>
      <c r="D6089" s="129"/>
      <c r="E6089" s="520"/>
      <c r="F6089" s="520"/>
      <c r="G6089" s="520"/>
      <c r="H6089" s="520"/>
      <c r="I6089" s="11"/>
    </row>
    <row r="6090" spans="1:12" ht="11.15" customHeight="1">
      <c r="A6090" s="29" t="s">
        <v>8374</v>
      </c>
      <c r="B6090" s="59" t="s">
        <v>21319</v>
      </c>
      <c r="C6090" s="147" t="s">
        <v>20221</v>
      </c>
      <c r="D6090" s="284" t="s">
        <v>897</v>
      </c>
      <c r="E6090" s="178">
        <v>2016</v>
      </c>
      <c r="F6090" s="178" t="s">
        <v>23395</v>
      </c>
      <c r="G6090" s="496"/>
      <c r="H6090" s="994" t="s">
        <v>20221</v>
      </c>
      <c r="I6090" s="11" t="s">
        <v>8375</v>
      </c>
      <c r="J6090" s="1285"/>
      <c r="K6090" s="1285"/>
      <c r="L6090" s="1285"/>
    </row>
    <row r="6091" spans="1:12" ht="11.15" customHeight="1">
      <c r="A6091" s="29" t="s">
        <v>8376</v>
      </c>
      <c r="B6091" s="59" t="s">
        <v>21320</v>
      </c>
      <c r="C6091" s="147" t="s">
        <v>20221</v>
      </c>
      <c r="D6091" s="284" t="s">
        <v>897</v>
      </c>
      <c r="E6091" s="178">
        <v>2016</v>
      </c>
      <c r="F6091" s="178" t="s">
        <v>23395</v>
      </c>
      <c r="G6091" s="496"/>
      <c r="H6091" s="994" t="s">
        <v>20224</v>
      </c>
      <c r="I6091" s="11" t="s">
        <v>8377</v>
      </c>
      <c r="J6091" s="1285"/>
      <c r="K6091" s="1285"/>
      <c r="L6091" s="1285"/>
    </row>
    <row r="6092" spans="1:12" ht="11.15" customHeight="1">
      <c r="A6092" s="29" t="s">
        <v>8378</v>
      </c>
      <c r="B6092" s="59" t="s">
        <v>21320</v>
      </c>
      <c r="C6092" s="147" t="s">
        <v>20221</v>
      </c>
      <c r="D6092" s="284" t="s">
        <v>897</v>
      </c>
      <c r="E6092" s="178">
        <v>2015</v>
      </c>
      <c r="F6092" s="178" t="s">
        <v>23395</v>
      </c>
      <c r="G6092" s="496"/>
      <c r="H6092" s="994" t="s">
        <v>20221</v>
      </c>
      <c r="I6092" s="11" t="s">
        <v>8379</v>
      </c>
      <c r="J6092" s="1285"/>
      <c r="K6092" s="1285"/>
      <c r="L6092" s="1285"/>
    </row>
    <row r="6093" spans="1:12" ht="11.15" customHeight="1">
      <c r="A6093" s="181" t="s">
        <v>8380</v>
      </c>
      <c r="B6093" s="154" t="s">
        <v>8381</v>
      </c>
      <c r="C6093" s="147"/>
      <c r="D6093" s="129"/>
      <c r="E6093" s="185"/>
      <c r="F6093" s="185"/>
      <c r="G6093" s="185"/>
      <c r="H6093" s="185"/>
      <c r="I6093" s="11"/>
    </row>
    <row r="6094" spans="1:12" ht="11.15" customHeight="1">
      <c r="A6094" s="181" t="s">
        <v>2536</v>
      </c>
      <c r="B6094" s="59" t="s">
        <v>21321</v>
      </c>
      <c r="C6094" s="147" t="s">
        <v>20221</v>
      </c>
      <c r="D6094" s="284" t="s">
        <v>897</v>
      </c>
      <c r="E6094" s="178">
        <v>2016</v>
      </c>
      <c r="F6094" s="178" t="s">
        <v>11931</v>
      </c>
      <c r="G6094" s="496"/>
      <c r="H6094" s="994" t="s">
        <v>20224</v>
      </c>
      <c r="I6094" s="11" t="s">
        <v>8382</v>
      </c>
      <c r="J6094" s="1285"/>
      <c r="K6094" s="1285"/>
      <c r="L6094" s="1285"/>
    </row>
    <row r="6095" spans="1:12" ht="11.15" customHeight="1">
      <c r="A6095" s="29" t="s">
        <v>8383</v>
      </c>
      <c r="B6095" s="59" t="s">
        <v>21322</v>
      </c>
      <c r="C6095" s="147" t="s">
        <v>20221</v>
      </c>
      <c r="D6095" s="284" t="s">
        <v>897</v>
      </c>
      <c r="E6095" s="178">
        <v>2015</v>
      </c>
      <c r="F6095" s="178" t="s">
        <v>11931</v>
      </c>
      <c r="G6095" s="496"/>
      <c r="H6095" s="994" t="s">
        <v>20224</v>
      </c>
      <c r="I6095" s="11" t="s">
        <v>8384</v>
      </c>
      <c r="J6095" s="1285"/>
      <c r="K6095" s="1285"/>
      <c r="L6095" s="1285"/>
    </row>
    <row r="6096" spans="1:12" ht="11.15" customHeight="1">
      <c r="A6096" s="29" t="s">
        <v>8385</v>
      </c>
      <c r="B6096" s="59" t="s">
        <v>21323</v>
      </c>
      <c r="C6096" s="147" t="s">
        <v>20221</v>
      </c>
      <c r="D6096" s="284" t="s">
        <v>897</v>
      </c>
      <c r="E6096" s="178">
        <v>2016</v>
      </c>
      <c r="F6096" s="178" t="s">
        <v>11938</v>
      </c>
      <c r="G6096" s="496"/>
      <c r="H6096" s="994" t="s">
        <v>20224</v>
      </c>
      <c r="I6096" s="11" t="s">
        <v>8386</v>
      </c>
      <c r="J6096" s="1285"/>
      <c r="K6096" s="1285"/>
      <c r="L6096" s="1285"/>
    </row>
    <row r="6097" spans="1:12" ht="11.15" customHeight="1">
      <c r="A6097" s="129" t="s">
        <v>1069</v>
      </c>
      <c r="B6097" s="59"/>
      <c r="C6097" s="147"/>
      <c r="D6097" s="284"/>
      <c r="E6097" s="178"/>
      <c r="F6097" s="178"/>
      <c r="G6097" s="496"/>
      <c r="H6097" s="994"/>
      <c r="I6097" s="11"/>
      <c r="J6097" s="1285"/>
      <c r="K6097" s="1285"/>
      <c r="L6097" s="1285"/>
    </row>
    <row r="6098" spans="1:12" ht="11.15" customHeight="1">
      <c r="A6098" s="162" t="s">
        <v>8387</v>
      </c>
      <c r="B6098" s="518"/>
      <c r="C6098" s="147"/>
      <c r="D6098" s="161"/>
      <c r="E6098" s="36"/>
      <c r="F6098" s="183"/>
      <c r="G6098" s="671"/>
      <c r="H6098" s="34"/>
      <c r="I6098" s="11"/>
    </row>
    <row r="6099" spans="1:12" ht="11.15" customHeight="1">
      <c r="A6099" s="162" t="s">
        <v>8388</v>
      </c>
      <c r="B6099" s="518"/>
      <c r="C6099" s="147"/>
      <c r="D6099" s="161"/>
      <c r="E6099" s="36"/>
      <c r="F6099" s="183"/>
      <c r="G6099" s="671"/>
      <c r="H6099" s="34"/>
      <c r="I6099" s="11"/>
    </row>
    <row r="6100" spans="1:12" ht="11.15" customHeight="1">
      <c r="A6100" s="355" t="s">
        <v>8389</v>
      </c>
      <c r="B6100" s="518"/>
      <c r="C6100" s="147"/>
      <c r="D6100" s="161"/>
      <c r="E6100" s="36"/>
      <c r="F6100" s="183"/>
      <c r="G6100" s="671"/>
      <c r="H6100" s="34"/>
      <c r="I6100" s="11"/>
    </row>
    <row r="6101" spans="1:12" ht="11.15" customHeight="1">
      <c r="A6101" s="162" t="s">
        <v>8390</v>
      </c>
      <c r="B6101" s="518"/>
      <c r="C6101" s="147"/>
      <c r="D6101" s="122"/>
      <c r="E6101" s="36"/>
      <c r="F6101" s="178"/>
      <c r="G6101" s="60"/>
      <c r="H6101" s="36"/>
      <c r="I6101" s="11"/>
    </row>
    <row r="6102" spans="1:12" ht="11.15" customHeight="1">
      <c r="A6102" s="129" t="s">
        <v>903</v>
      </c>
      <c r="B6102" s="518"/>
      <c r="C6102" s="147"/>
      <c r="D6102" s="122"/>
      <c r="E6102" s="36"/>
      <c r="F6102" s="178"/>
      <c r="G6102" s="60"/>
      <c r="H6102" s="36"/>
      <c r="I6102" s="11"/>
    </row>
    <row r="6103" spans="1:12" ht="11.15" customHeight="1">
      <c r="A6103" s="162" t="s">
        <v>8391</v>
      </c>
      <c r="B6103" s="185"/>
      <c r="C6103" s="147"/>
      <c r="D6103" s="122"/>
      <c r="E6103" s="36"/>
      <c r="F6103" s="178"/>
      <c r="G6103" s="60"/>
      <c r="H6103" s="36"/>
      <c r="I6103" s="11"/>
    </row>
    <row r="6104" spans="1:12" ht="11.15" customHeight="1">
      <c r="A6104" s="162" t="s">
        <v>8392</v>
      </c>
      <c r="B6104" s="185"/>
      <c r="C6104" s="147"/>
      <c r="D6104" s="122"/>
      <c r="E6104" s="36"/>
      <c r="F6104" s="178"/>
      <c r="G6104" s="60"/>
      <c r="H6104" s="36"/>
      <c r="I6104" s="11"/>
    </row>
    <row r="6105" spans="1:12" ht="11.25" customHeight="1">
      <c r="A6105" s="166" t="s">
        <v>8393</v>
      </c>
      <c r="B6105" s="59"/>
      <c r="C6105" s="147"/>
      <c r="D6105" s="122"/>
      <c r="E6105" s="36"/>
      <c r="F6105" s="178"/>
      <c r="G6105" s="60"/>
      <c r="H6105" s="36"/>
      <c r="I6105" s="11"/>
    </row>
    <row r="6106" spans="1:12" ht="11.25" customHeight="1">
      <c r="A6106" s="481" t="s">
        <v>8394</v>
      </c>
      <c r="B6106" s="59"/>
      <c r="C6106" s="147"/>
      <c r="D6106" s="122"/>
      <c r="E6106" s="36"/>
      <c r="F6106" s="178"/>
      <c r="G6106" s="60"/>
      <c r="H6106" s="36"/>
      <c r="I6106" s="11"/>
    </row>
    <row r="6107" spans="1:12" ht="11.25" customHeight="1">
      <c r="A6107" s="29"/>
      <c r="B6107" s="59"/>
      <c r="C6107" s="147"/>
      <c r="D6107" s="122"/>
      <c r="E6107" s="36"/>
      <c r="F6107" s="178"/>
      <c r="G6107" s="60"/>
      <c r="H6107" s="36"/>
      <c r="I6107" s="11"/>
    </row>
    <row r="6108" spans="1:12" ht="11.15" customHeight="1">
      <c r="A6108" s="29"/>
      <c r="B6108" s="146" t="s">
        <v>8395</v>
      </c>
      <c r="C6108" s="147"/>
      <c r="D6108" s="122"/>
      <c r="E6108" s="36"/>
      <c r="F6108" s="178"/>
      <c r="G6108" s="60"/>
      <c r="H6108" s="36"/>
      <c r="I6108" s="11"/>
    </row>
    <row r="6109" spans="1:12" ht="9" customHeight="1">
      <c r="A6109" s="29"/>
      <c r="B6109" s="150" t="s">
        <v>8396</v>
      </c>
      <c r="C6109" s="147"/>
      <c r="D6109" s="122"/>
      <c r="E6109" s="36"/>
      <c r="F6109" s="178"/>
      <c r="G6109" s="60"/>
      <c r="H6109" s="36"/>
      <c r="I6109" s="11"/>
    </row>
    <row r="6110" spans="1:12" ht="9" customHeight="1">
      <c r="A6110" s="29"/>
      <c r="B6110" s="150" t="s">
        <v>8397</v>
      </c>
      <c r="C6110" s="147"/>
      <c r="D6110" s="122"/>
      <c r="E6110" s="36"/>
      <c r="F6110" s="178"/>
      <c r="G6110" s="60"/>
      <c r="H6110" s="36"/>
      <c r="I6110" s="11"/>
    </row>
    <row r="6111" spans="1:12" ht="9" customHeight="1">
      <c r="A6111" s="29"/>
      <c r="B6111" s="150" t="s">
        <v>8398</v>
      </c>
      <c r="C6111" s="147"/>
      <c r="D6111" s="122"/>
      <c r="E6111" s="36"/>
      <c r="F6111" s="178"/>
      <c r="G6111" s="60"/>
      <c r="H6111" s="36"/>
      <c r="I6111" s="11"/>
    </row>
    <row r="6112" spans="1:12" ht="9" customHeight="1">
      <c r="A6112" s="29"/>
      <c r="B6112" s="150" t="s">
        <v>8399</v>
      </c>
      <c r="C6112" s="147"/>
      <c r="D6112" s="122"/>
      <c r="E6112" s="36"/>
      <c r="F6112" s="178"/>
      <c r="G6112" s="60"/>
      <c r="H6112" s="36"/>
      <c r="I6112" s="11"/>
    </row>
    <row r="6113" spans="1:12" ht="9" customHeight="1">
      <c r="A6113" s="29"/>
      <c r="B6113" s="150" t="s">
        <v>8400</v>
      </c>
      <c r="C6113" s="147"/>
      <c r="D6113" s="122"/>
      <c r="E6113" s="36"/>
      <c r="F6113" s="178"/>
      <c r="G6113" s="60"/>
      <c r="H6113" s="36"/>
      <c r="I6113" s="11"/>
    </row>
    <row r="6114" spans="1:12" ht="9" customHeight="1">
      <c r="A6114" s="29"/>
      <c r="B6114" s="521" t="s">
        <v>8401</v>
      </c>
      <c r="C6114" s="147"/>
      <c r="D6114" s="122"/>
      <c r="E6114" s="36"/>
      <c r="F6114" s="178"/>
      <c r="G6114" s="60"/>
      <c r="H6114" s="36"/>
      <c r="I6114" s="11"/>
    </row>
    <row r="6115" spans="1:12" ht="9" customHeight="1">
      <c r="A6115" s="29"/>
      <c r="B6115" s="521" t="s">
        <v>8402</v>
      </c>
      <c r="C6115" s="147"/>
      <c r="D6115" s="122"/>
      <c r="E6115" s="36"/>
      <c r="F6115" s="178"/>
      <c r="G6115" s="60"/>
      <c r="H6115" s="36"/>
      <c r="I6115" s="11"/>
    </row>
    <row r="6116" spans="1:12" ht="9" customHeight="1">
      <c r="A6116" s="29"/>
      <c r="B6116" s="150" t="s">
        <v>8403</v>
      </c>
      <c r="C6116" s="147"/>
      <c r="D6116" s="122"/>
      <c r="E6116" s="36"/>
      <c r="F6116" s="178"/>
      <c r="G6116" s="60"/>
      <c r="H6116" s="36"/>
      <c r="I6116" s="11"/>
    </row>
    <row r="6117" spans="1:12" ht="9" customHeight="1" thickBot="1">
      <c r="A6117" s="29"/>
      <c r="B6117" s="150" t="s">
        <v>8404</v>
      </c>
      <c r="C6117" s="147"/>
      <c r="D6117" s="122"/>
      <c r="E6117" s="36"/>
      <c r="F6117" s="178"/>
      <c r="G6117" s="60"/>
      <c r="H6117" s="36"/>
      <c r="I6117" s="11"/>
    </row>
    <row r="6118" spans="1:12" ht="11.15" customHeight="1">
      <c r="A6118" s="153" t="s">
        <v>8405</v>
      </c>
      <c r="B6118" s="154" t="s">
        <v>5179</v>
      </c>
      <c r="C6118" s="147"/>
      <c r="D6118" s="122"/>
      <c r="E6118" s="36"/>
      <c r="F6118" s="178"/>
      <c r="G6118" s="60"/>
      <c r="H6118" s="36"/>
      <c r="I6118" s="11"/>
    </row>
    <row r="6119" spans="1:12" ht="11.15" customHeight="1">
      <c r="A6119" s="277" t="s">
        <v>8406</v>
      </c>
      <c r="B6119" s="59" t="s">
        <v>21325</v>
      </c>
      <c r="C6119" s="147" t="s">
        <v>20221</v>
      </c>
      <c r="D6119" s="284" t="s">
        <v>897</v>
      </c>
      <c r="E6119" s="178">
        <v>2017</v>
      </c>
      <c r="F6119" s="178" t="s">
        <v>11931</v>
      </c>
      <c r="G6119" s="496"/>
      <c r="H6119" s="994" t="s">
        <v>20224</v>
      </c>
      <c r="I6119" s="11" t="s">
        <v>8407</v>
      </c>
      <c r="J6119" s="1285"/>
      <c r="K6119" s="1285"/>
      <c r="L6119" s="1285"/>
    </row>
    <row r="6120" spans="1:12" ht="11.15" customHeight="1" thickBot="1">
      <c r="A6120" s="230" t="s">
        <v>8408</v>
      </c>
      <c r="B6120" s="154" t="s">
        <v>8409</v>
      </c>
      <c r="C6120" s="147"/>
      <c r="D6120" s="483"/>
      <c r="E6120" s="178"/>
      <c r="F6120" s="178"/>
      <c r="G6120" s="137"/>
      <c r="H6120" s="178"/>
      <c r="I6120" s="11"/>
    </row>
    <row r="6121" spans="1:12" ht="11.15" customHeight="1">
      <c r="A6121" s="29" t="s">
        <v>8410</v>
      </c>
      <c r="B6121" s="59" t="s">
        <v>21326</v>
      </c>
      <c r="C6121" s="147" t="s">
        <v>20221</v>
      </c>
      <c r="D6121" s="284" t="s">
        <v>897</v>
      </c>
      <c r="E6121" s="178">
        <v>2019</v>
      </c>
      <c r="F6121" s="178" t="s">
        <v>23395</v>
      </c>
      <c r="G6121" s="496"/>
      <c r="H6121" s="994" t="s">
        <v>20221</v>
      </c>
      <c r="I6121" s="11" t="s">
        <v>8411</v>
      </c>
      <c r="J6121" s="1285"/>
      <c r="K6121" s="1285"/>
      <c r="L6121" s="1285"/>
    </row>
    <row r="6122" spans="1:12" ht="11.15" customHeight="1">
      <c r="A6122" s="29" t="s">
        <v>8412</v>
      </c>
      <c r="B6122" s="59" t="s">
        <v>21327</v>
      </c>
      <c r="C6122" s="147" t="s">
        <v>20221</v>
      </c>
      <c r="D6122" s="284" t="s">
        <v>897</v>
      </c>
      <c r="E6122" s="178">
        <v>2018</v>
      </c>
      <c r="F6122" s="178" t="s">
        <v>23395</v>
      </c>
      <c r="G6122" s="496"/>
      <c r="H6122" s="994" t="s">
        <v>20221</v>
      </c>
      <c r="I6122" s="11" t="s">
        <v>8413</v>
      </c>
      <c r="J6122" s="1285"/>
      <c r="K6122" s="1285"/>
      <c r="L6122" s="1285"/>
    </row>
    <row r="6123" spans="1:12" ht="11.15" customHeight="1">
      <c r="A6123" s="181" t="s">
        <v>8414</v>
      </c>
      <c r="B6123" s="59" t="s">
        <v>21328</v>
      </c>
      <c r="C6123" s="147" t="s">
        <v>20221</v>
      </c>
      <c r="D6123" s="284" t="s">
        <v>897</v>
      </c>
      <c r="E6123" s="178">
        <v>2018</v>
      </c>
      <c r="F6123" s="178" t="s">
        <v>23395</v>
      </c>
      <c r="G6123" s="496"/>
      <c r="H6123" s="994" t="s">
        <v>20221</v>
      </c>
      <c r="I6123" s="11" t="s">
        <v>8415</v>
      </c>
      <c r="J6123" s="1285"/>
      <c r="K6123" s="1285"/>
      <c r="L6123" s="1285"/>
    </row>
    <row r="6124" spans="1:12" ht="11.15" customHeight="1">
      <c r="A6124" s="29" t="s">
        <v>8416</v>
      </c>
      <c r="B6124" s="59" t="s">
        <v>21329</v>
      </c>
      <c r="C6124" s="147" t="s">
        <v>23393</v>
      </c>
      <c r="D6124" s="284" t="s">
        <v>897</v>
      </c>
      <c r="E6124" s="178">
        <v>2022</v>
      </c>
      <c r="F6124" s="178" t="s">
        <v>23395</v>
      </c>
      <c r="G6124" s="496"/>
      <c r="H6124" s="994" t="s">
        <v>20221</v>
      </c>
      <c r="I6124" s="11" t="s">
        <v>8417</v>
      </c>
      <c r="J6124" s="1285"/>
      <c r="K6124" s="1285"/>
      <c r="L6124" s="1285"/>
    </row>
    <row r="6125" spans="1:12" ht="11.15" customHeight="1">
      <c r="A6125" s="29" t="s">
        <v>8418</v>
      </c>
      <c r="B6125" s="59" t="s">
        <v>21329</v>
      </c>
      <c r="C6125" s="147" t="s">
        <v>23393</v>
      </c>
      <c r="D6125" s="284" t="s">
        <v>897</v>
      </c>
      <c r="E6125" s="178">
        <v>2020</v>
      </c>
      <c r="F6125" s="178" t="s">
        <v>23395</v>
      </c>
      <c r="G6125" s="496"/>
      <c r="H6125" s="994" t="s">
        <v>20221</v>
      </c>
      <c r="I6125" s="11" t="s">
        <v>8419</v>
      </c>
      <c r="J6125" s="1285"/>
      <c r="K6125" s="1285"/>
      <c r="L6125" s="1285"/>
    </row>
    <row r="6126" spans="1:12" ht="11.15" customHeight="1">
      <c r="A6126" s="29" t="s">
        <v>8420</v>
      </c>
      <c r="B6126" s="59" t="s">
        <v>21329</v>
      </c>
      <c r="C6126" s="147" t="s">
        <v>23393</v>
      </c>
      <c r="D6126" s="284" t="s">
        <v>897</v>
      </c>
      <c r="E6126" s="178">
        <v>2019</v>
      </c>
      <c r="F6126" s="178" t="s">
        <v>23395</v>
      </c>
      <c r="G6126" s="496"/>
      <c r="H6126" s="994" t="s">
        <v>20277</v>
      </c>
      <c r="I6126" s="11" t="s">
        <v>8421</v>
      </c>
      <c r="J6126" s="1285"/>
      <c r="K6126" s="1285"/>
      <c r="L6126" s="1285"/>
    </row>
    <row r="6127" spans="1:12" ht="11.15" customHeight="1">
      <c r="A6127" s="29" t="s">
        <v>8422</v>
      </c>
      <c r="B6127" s="154" t="s">
        <v>8423</v>
      </c>
      <c r="C6127" s="147"/>
      <c r="D6127" s="483"/>
      <c r="E6127" s="178"/>
      <c r="F6127" s="178"/>
      <c r="G6127" s="137"/>
      <c r="H6127" s="178"/>
      <c r="I6127" s="11"/>
    </row>
    <row r="6128" spans="1:12" ht="11.15" customHeight="1" thickBot="1">
      <c r="A6128" s="29" t="s">
        <v>8424</v>
      </c>
      <c r="B6128" s="59" t="s">
        <v>21330</v>
      </c>
      <c r="C6128" s="147" t="s">
        <v>20221</v>
      </c>
      <c r="D6128" s="284" t="s">
        <v>897</v>
      </c>
      <c r="E6128" s="178">
        <v>2017</v>
      </c>
      <c r="F6128" s="178" t="s">
        <v>11931</v>
      </c>
      <c r="G6128" s="496"/>
      <c r="H6128" s="994" t="s">
        <v>20224</v>
      </c>
      <c r="I6128" s="11" t="s">
        <v>8425</v>
      </c>
      <c r="J6128" s="1285"/>
      <c r="K6128" s="1285"/>
      <c r="L6128" s="1285"/>
    </row>
    <row r="6129" spans="1:12" ht="11.15" customHeight="1">
      <c r="A6129" s="522" t="s">
        <v>8426</v>
      </c>
      <c r="B6129" s="59" t="s">
        <v>21331</v>
      </c>
      <c r="C6129" s="147" t="s">
        <v>20221</v>
      </c>
      <c r="D6129" s="284" t="s">
        <v>897</v>
      </c>
      <c r="E6129" s="178">
        <v>2018</v>
      </c>
      <c r="F6129" s="178" t="s">
        <v>11931</v>
      </c>
      <c r="G6129" s="496"/>
      <c r="H6129" s="994" t="s">
        <v>20224</v>
      </c>
      <c r="I6129" s="11" t="s">
        <v>8427</v>
      </c>
      <c r="J6129" s="1285"/>
      <c r="K6129" s="1285"/>
      <c r="L6129" s="1285"/>
    </row>
    <row r="6130" spans="1:12" ht="11.15" customHeight="1" thickBot="1">
      <c r="A6130" s="523" t="s">
        <v>8428</v>
      </c>
      <c r="B6130" s="59" t="s">
        <v>21332</v>
      </c>
      <c r="C6130" s="147" t="s">
        <v>20221</v>
      </c>
      <c r="D6130" s="284" t="s">
        <v>897</v>
      </c>
      <c r="E6130" s="178">
        <v>2018</v>
      </c>
      <c r="F6130" s="178" t="s">
        <v>11931</v>
      </c>
      <c r="G6130" s="496"/>
      <c r="H6130" s="994" t="s">
        <v>20224</v>
      </c>
      <c r="I6130" s="11" t="s">
        <v>8429</v>
      </c>
      <c r="J6130" s="1285"/>
      <c r="K6130" s="1285"/>
      <c r="L6130" s="1285"/>
    </row>
    <row r="6131" spans="1:12" ht="11.15" customHeight="1">
      <c r="A6131" s="129" t="s">
        <v>8430</v>
      </c>
      <c r="B6131" s="59" t="s">
        <v>21333</v>
      </c>
      <c r="C6131" s="147" t="s">
        <v>23393</v>
      </c>
      <c r="D6131" s="284" t="s">
        <v>897</v>
      </c>
      <c r="E6131" s="178">
        <v>2020</v>
      </c>
      <c r="F6131" s="178" t="s">
        <v>11931</v>
      </c>
      <c r="G6131" s="496"/>
      <c r="H6131" s="994" t="s">
        <v>20224</v>
      </c>
      <c r="I6131" s="11" t="s">
        <v>8431</v>
      </c>
      <c r="J6131" s="1285"/>
      <c r="K6131" s="1285"/>
      <c r="L6131" s="1285"/>
    </row>
    <row r="6132" spans="1:12" ht="11.15" customHeight="1">
      <c r="A6132" s="387" t="s">
        <v>8432</v>
      </c>
      <c r="B6132" s="59" t="s">
        <v>21333</v>
      </c>
      <c r="C6132" s="147" t="s">
        <v>23393</v>
      </c>
      <c r="D6132" s="284" t="s">
        <v>897</v>
      </c>
      <c r="E6132" s="178">
        <v>2019</v>
      </c>
      <c r="F6132" s="178" t="s">
        <v>11931</v>
      </c>
      <c r="G6132" s="496"/>
      <c r="H6132" s="994" t="s">
        <v>20224</v>
      </c>
      <c r="I6132" s="11" t="s">
        <v>8433</v>
      </c>
      <c r="J6132" s="1285"/>
      <c r="K6132" s="1285"/>
      <c r="L6132" s="1285"/>
    </row>
    <row r="6133" spans="1:12" ht="11.15" customHeight="1">
      <c r="A6133" s="387" t="s">
        <v>8434</v>
      </c>
      <c r="B6133" s="154" t="s">
        <v>8435</v>
      </c>
      <c r="C6133" s="147"/>
      <c r="D6133" s="483"/>
      <c r="E6133" s="178"/>
      <c r="F6133" s="178"/>
      <c r="G6133" s="137"/>
      <c r="H6133" s="178"/>
      <c r="I6133" s="11"/>
    </row>
    <row r="6134" spans="1:12" ht="11.15" customHeight="1">
      <c r="A6134" s="387" t="s">
        <v>8436</v>
      </c>
      <c r="B6134" s="59" t="s">
        <v>21334</v>
      </c>
      <c r="C6134" s="147" t="s">
        <v>23393</v>
      </c>
      <c r="D6134" s="284" t="s">
        <v>897</v>
      </c>
      <c r="E6134" s="178">
        <v>2018</v>
      </c>
      <c r="F6134" s="178" t="s">
        <v>23395</v>
      </c>
      <c r="G6134" s="496"/>
      <c r="H6134" s="994" t="s">
        <v>20221</v>
      </c>
      <c r="I6134" s="11" t="s">
        <v>8437</v>
      </c>
      <c r="J6134" s="1285"/>
      <c r="K6134" s="1285"/>
      <c r="L6134" s="1285"/>
    </row>
    <row r="6135" spans="1:12" ht="11.15" customHeight="1">
      <c r="A6135" s="387" t="s">
        <v>8438</v>
      </c>
      <c r="B6135" s="59" t="s">
        <v>21335</v>
      </c>
      <c r="C6135" s="147" t="s">
        <v>23393</v>
      </c>
      <c r="D6135" s="284" t="s">
        <v>897</v>
      </c>
      <c r="E6135" s="178">
        <v>2018</v>
      </c>
      <c r="F6135" s="178" t="s">
        <v>23395</v>
      </c>
      <c r="G6135" s="496"/>
      <c r="H6135" s="994" t="s">
        <v>20221</v>
      </c>
      <c r="I6135" s="11" t="s">
        <v>8439</v>
      </c>
      <c r="J6135" s="1285"/>
      <c r="K6135" s="1285"/>
      <c r="L6135" s="1285"/>
    </row>
    <row r="6136" spans="1:12" ht="11.15" customHeight="1">
      <c r="A6136" s="387" t="s">
        <v>8440</v>
      </c>
      <c r="B6136" s="59" t="s">
        <v>21336</v>
      </c>
      <c r="C6136" s="147" t="s">
        <v>23393</v>
      </c>
      <c r="D6136" s="284" t="s">
        <v>897</v>
      </c>
      <c r="E6136" s="178">
        <v>2022</v>
      </c>
      <c r="F6136" s="178" t="s">
        <v>23395</v>
      </c>
      <c r="G6136" s="496"/>
      <c r="H6136" s="994" t="s">
        <v>20221</v>
      </c>
      <c r="I6136" s="11" t="s">
        <v>8441</v>
      </c>
      <c r="J6136" s="1285"/>
      <c r="K6136" s="1285"/>
      <c r="L6136" s="1285"/>
    </row>
    <row r="6137" spans="1:12" ht="11.15" customHeight="1">
      <c r="A6137" s="387" t="s">
        <v>8442</v>
      </c>
      <c r="B6137" s="59" t="s">
        <v>21336</v>
      </c>
      <c r="C6137" s="147" t="s">
        <v>23393</v>
      </c>
      <c r="D6137" s="284" t="s">
        <v>897</v>
      </c>
      <c r="E6137" s="178">
        <v>2020</v>
      </c>
      <c r="F6137" s="178" t="s">
        <v>23395</v>
      </c>
      <c r="G6137" s="496"/>
      <c r="H6137" s="994" t="s">
        <v>20224</v>
      </c>
      <c r="I6137" s="11" t="s">
        <v>8443</v>
      </c>
      <c r="J6137" s="1285"/>
      <c r="K6137" s="1285"/>
      <c r="L6137" s="1285"/>
    </row>
    <row r="6138" spans="1:12" ht="11.15" customHeight="1">
      <c r="A6138" s="387" t="s">
        <v>8444</v>
      </c>
      <c r="B6138" s="59" t="s">
        <v>21337</v>
      </c>
      <c r="C6138" s="147" t="s">
        <v>23393</v>
      </c>
      <c r="D6138" s="284" t="s">
        <v>897</v>
      </c>
      <c r="E6138" s="178">
        <v>2022</v>
      </c>
      <c r="F6138" s="178" t="s">
        <v>23395</v>
      </c>
      <c r="G6138" s="496"/>
      <c r="H6138" s="994" t="s">
        <v>20224</v>
      </c>
      <c r="I6138" s="11" t="s">
        <v>8445</v>
      </c>
      <c r="J6138" s="1285"/>
      <c r="K6138" s="1285"/>
      <c r="L6138" s="1285"/>
    </row>
    <row r="6139" spans="1:12" ht="11.15" customHeight="1">
      <c r="A6139" s="387" t="s">
        <v>8446</v>
      </c>
      <c r="B6139" s="59" t="s">
        <v>21337</v>
      </c>
      <c r="C6139" s="147" t="s">
        <v>23393</v>
      </c>
      <c r="D6139" s="284" t="s">
        <v>897</v>
      </c>
      <c r="E6139" s="178">
        <v>2018</v>
      </c>
      <c r="F6139" s="178" t="s">
        <v>23395</v>
      </c>
      <c r="G6139" s="496"/>
      <c r="H6139" s="996" t="s">
        <v>3907</v>
      </c>
      <c r="I6139" s="11" t="s">
        <v>8447</v>
      </c>
      <c r="J6139" s="1285"/>
      <c r="K6139" s="1285"/>
      <c r="L6139" s="1285"/>
    </row>
    <row r="6140" spans="1:12" ht="11.15" customHeight="1">
      <c r="A6140" s="129" t="s">
        <v>903</v>
      </c>
      <c r="B6140" s="59" t="s">
        <v>21338</v>
      </c>
      <c r="C6140" s="147" t="s">
        <v>20221</v>
      </c>
      <c r="D6140" s="284" t="s">
        <v>897</v>
      </c>
      <c r="E6140" s="178">
        <v>2018</v>
      </c>
      <c r="F6140" s="178" t="s">
        <v>23395</v>
      </c>
      <c r="G6140" s="496"/>
      <c r="H6140" s="996" t="s">
        <v>3907</v>
      </c>
      <c r="I6140" s="11" t="s">
        <v>8448</v>
      </c>
      <c r="J6140" s="1285"/>
      <c r="K6140" s="1285"/>
      <c r="L6140" s="1285"/>
    </row>
    <row r="6141" spans="1:12" ht="11.15" customHeight="1">
      <c r="A6141" s="162" t="s">
        <v>8449</v>
      </c>
      <c r="B6141" s="154" t="s">
        <v>8450</v>
      </c>
      <c r="C6141" s="147"/>
      <c r="D6141" s="129"/>
      <c r="E6141" s="185"/>
      <c r="F6141" s="185"/>
      <c r="G6141" s="185"/>
      <c r="H6141" s="185"/>
      <c r="I6141" s="11"/>
    </row>
    <row r="6142" spans="1:12" ht="11.15" customHeight="1">
      <c r="A6142" s="162" t="s">
        <v>8451</v>
      </c>
      <c r="B6142" s="59" t="s">
        <v>21339</v>
      </c>
      <c r="C6142" s="147" t="s">
        <v>23393</v>
      </c>
      <c r="D6142" s="284" t="s">
        <v>897</v>
      </c>
      <c r="E6142" s="178">
        <v>2018</v>
      </c>
      <c r="F6142" s="178" t="s">
        <v>11931</v>
      </c>
      <c r="G6142" s="496"/>
      <c r="H6142" s="994" t="s">
        <v>20224</v>
      </c>
      <c r="I6142" s="11" t="s">
        <v>8452</v>
      </c>
      <c r="J6142" s="1285"/>
      <c r="K6142" s="1285"/>
      <c r="L6142" s="1285"/>
    </row>
    <row r="6143" spans="1:12" ht="11.15" customHeight="1">
      <c r="A6143" s="162" t="s">
        <v>8453</v>
      </c>
      <c r="B6143" s="59" t="s">
        <v>21340</v>
      </c>
      <c r="C6143" s="147" t="s">
        <v>23393</v>
      </c>
      <c r="D6143" s="284" t="s">
        <v>897</v>
      </c>
      <c r="E6143" s="178">
        <v>2018</v>
      </c>
      <c r="F6143" s="178" t="s">
        <v>11931</v>
      </c>
      <c r="G6143" s="496"/>
      <c r="H6143" s="994" t="s">
        <v>20224</v>
      </c>
      <c r="I6143" s="11" t="s">
        <v>8454</v>
      </c>
      <c r="J6143" s="1285"/>
      <c r="K6143" s="1285"/>
      <c r="L6143" s="1285"/>
    </row>
    <row r="6144" spans="1:12" ht="11.15" customHeight="1">
      <c r="A6144" s="162" t="s">
        <v>8455</v>
      </c>
      <c r="B6144" s="59" t="s">
        <v>21341</v>
      </c>
      <c r="C6144" s="147" t="s">
        <v>23393</v>
      </c>
      <c r="D6144" s="284" t="s">
        <v>897</v>
      </c>
      <c r="E6144" s="178">
        <v>2022</v>
      </c>
      <c r="F6144" s="178" t="s">
        <v>11931</v>
      </c>
      <c r="G6144" s="496"/>
      <c r="H6144" s="994" t="s">
        <v>20224</v>
      </c>
      <c r="I6144" s="11" t="s">
        <v>8456</v>
      </c>
      <c r="J6144" s="1285"/>
      <c r="K6144" s="1285"/>
      <c r="L6144" s="1285"/>
    </row>
    <row r="6145" spans="1:12" ht="11.15" customHeight="1">
      <c r="A6145" s="162" t="s">
        <v>8457</v>
      </c>
      <c r="B6145" s="59" t="s">
        <v>21341</v>
      </c>
      <c r="C6145" s="147" t="s">
        <v>23393</v>
      </c>
      <c r="D6145" s="284" t="s">
        <v>897</v>
      </c>
      <c r="E6145" s="178">
        <v>2020</v>
      </c>
      <c r="F6145" s="178" t="s">
        <v>11931</v>
      </c>
      <c r="G6145" s="496"/>
      <c r="H6145" s="994" t="s">
        <v>20224</v>
      </c>
      <c r="I6145" s="11" t="s">
        <v>8458</v>
      </c>
      <c r="J6145" s="1285"/>
      <c r="K6145" s="1285"/>
      <c r="L6145" s="1285"/>
    </row>
    <row r="6146" spans="1:12" ht="11.15" customHeight="1">
      <c r="A6146" s="162" t="s">
        <v>8459</v>
      </c>
      <c r="B6146" s="59" t="s">
        <v>21342</v>
      </c>
      <c r="C6146" s="147" t="s">
        <v>23393</v>
      </c>
      <c r="D6146" s="284" t="s">
        <v>897</v>
      </c>
      <c r="E6146" s="178">
        <v>2022</v>
      </c>
      <c r="F6146" s="178" t="s">
        <v>11931</v>
      </c>
      <c r="G6146" s="496"/>
      <c r="H6146" s="994" t="s">
        <v>20224</v>
      </c>
      <c r="I6146" s="11" t="s">
        <v>8460</v>
      </c>
      <c r="J6146" s="1285"/>
      <c r="K6146" s="1285"/>
      <c r="L6146" s="1285"/>
    </row>
    <row r="6147" spans="1:12" ht="11.15" customHeight="1">
      <c r="A6147" s="162" t="s">
        <v>8461</v>
      </c>
      <c r="B6147" s="185"/>
      <c r="C6147" s="147"/>
      <c r="D6147" s="129"/>
      <c r="E6147" s="185"/>
      <c r="F6147" s="185"/>
      <c r="G6147" s="185"/>
      <c r="H6147" s="185"/>
      <c r="I6147" s="11"/>
    </row>
    <row r="6148" spans="1:12" ht="11.15" customHeight="1">
      <c r="A6148" s="162" t="s">
        <v>8462</v>
      </c>
      <c r="B6148" s="59" t="s">
        <v>8463</v>
      </c>
      <c r="C6148" s="147"/>
      <c r="D6148" s="129"/>
      <c r="E6148" s="185"/>
      <c r="F6148" s="185"/>
      <c r="G6148" s="185"/>
      <c r="H6148" s="185"/>
      <c r="I6148" s="11"/>
    </row>
    <row r="6149" spans="1:12" ht="11.15" customHeight="1">
      <c r="A6149" s="162" t="s">
        <v>8464</v>
      </c>
      <c r="B6149" s="59"/>
      <c r="C6149" s="147"/>
      <c r="D6149" s="129"/>
      <c r="E6149" s="185"/>
      <c r="F6149" s="185"/>
      <c r="G6149" s="185"/>
      <c r="H6149" s="185"/>
      <c r="I6149" s="11"/>
    </row>
    <row r="6150" spans="1:12" ht="11.15" customHeight="1">
      <c r="A6150" s="162" t="s">
        <v>8465</v>
      </c>
      <c r="B6150" s="59"/>
      <c r="C6150" s="147"/>
      <c r="D6150" s="129"/>
      <c r="E6150" s="185"/>
      <c r="F6150" s="185"/>
      <c r="G6150" s="185"/>
      <c r="H6150" s="185"/>
      <c r="I6150" s="11"/>
    </row>
    <row r="6151" spans="1:12" ht="11.15" customHeight="1">
      <c r="A6151" s="162" t="s">
        <v>8466</v>
      </c>
      <c r="B6151" s="59"/>
      <c r="C6151" s="147"/>
      <c r="D6151" s="129"/>
      <c r="E6151" s="185"/>
      <c r="F6151" s="185"/>
      <c r="G6151" s="185"/>
      <c r="H6151" s="185"/>
      <c r="I6151" s="11"/>
    </row>
    <row r="6152" spans="1:12" ht="11.15" customHeight="1">
      <c r="A6152" s="162" t="s">
        <v>8467</v>
      </c>
      <c r="B6152" s="185"/>
      <c r="C6152" s="147"/>
      <c r="D6152" s="185"/>
      <c r="E6152" s="185"/>
      <c r="F6152" s="185"/>
      <c r="G6152" s="185"/>
      <c r="H6152" s="185"/>
      <c r="I6152" s="11"/>
    </row>
    <row r="6153" spans="1:12" ht="11.15" customHeight="1">
      <c r="A6153" s="162" t="s">
        <v>8468</v>
      </c>
      <c r="B6153" s="185"/>
      <c r="C6153" s="147"/>
      <c r="D6153" s="185"/>
      <c r="E6153" s="185"/>
      <c r="F6153" s="185"/>
      <c r="G6153" s="185"/>
      <c r="H6153" s="185"/>
      <c r="I6153" s="11"/>
    </row>
    <row r="6154" spans="1:12" ht="11.15" customHeight="1">
      <c r="A6154" s="29" t="s">
        <v>8469</v>
      </c>
      <c r="B6154" s="185"/>
      <c r="C6154" s="147"/>
      <c r="D6154" s="185"/>
      <c r="E6154" s="185"/>
      <c r="F6154" s="185"/>
      <c r="G6154" s="185"/>
      <c r="H6154" s="185"/>
      <c r="I6154" s="11"/>
    </row>
    <row r="6155" spans="1:12" ht="11.15" customHeight="1">
      <c r="A6155" s="169" t="s">
        <v>8470</v>
      </c>
      <c r="B6155" s="185"/>
      <c r="C6155" s="147"/>
      <c r="D6155" s="185"/>
      <c r="E6155" s="185"/>
      <c r="F6155" s="185"/>
      <c r="G6155" s="185"/>
      <c r="H6155" s="185"/>
      <c r="I6155" s="11"/>
    </row>
    <row r="6156" spans="1:12" ht="11.15" customHeight="1">
      <c r="A6156" s="169" t="s">
        <v>8471</v>
      </c>
      <c r="B6156" s="185"/>
      <c r="C6156" s="147"/>
      <c r="D6156" s="185"/>
      <c r="E6156" s="185"/>
      <c r="F6156" s="185"/>
      <c r="G6156" s="185"/>
      <c r="H6156" s="185"/>
      <c r="I6156" s="11"/>
    </row>
    <row r="6157" spans="1:12" ht="11.15" customHeight="1">
      <c r="A6157" s="481" t="s">
        <v>8472</v>
      </c>
      <c r="B6157" s="185"/>
      <c r="C6157" s="147"/>
      <c r="D6157" s="185"/>
      <c r="E6157" s="185"/>
      <c r="F6157" s="185"/>
      <c r="G6157" s="185"/>
      <c r="H6157" s="185"/>
      <c r="I6157" s="11"/>
    </row>
    <row r="6158" spans="1:12" ht="11.15" customHeight="1">
      <c r="A6158" s="29"/>
      <c r="B6158" s="185"/>
      <c r="C6158" s="147"/>
      <c r="D6158" s="185"/>
      <c r="E6158" s="185"/>
      <c r="F6158" s="185"/>
      <c r="G6158" s="185"/>
      <c r="H6158" s="185"/>
      <c r="I6158" s="11"/>
    </row>
    <row r="6159" spans="1:12" ht="11.15" customHeight="1">
      <c r="A6159" s="185"/>
      <c r="B6159" s="146" t="s">
        <v>8473</v>
      </c>
      <c r="C6159" s="147"/>
      <c r="D6159" s="129"/>
      <c r="E6159" s="178"/>
      <c r="F6159" s="137"/>
      <c r="G6159" s="137"/>
      <c r="H6159" s="137"/>
      <c r="I6159" s="11"/>
    </row>
    <row r="6160" spans="1:12" ht="9" customHeight="1">
      <c r="A6160" s="137"/>
      <c r="B6160" s="150" t="s">
        <v>8474</v>
      </c>
      <c r="C6160" s="147"/>
      <c r="D6160" s="362"/>
      <c r="E6160" s="178"/>
      <c r="F6160" s="137"/>
      <c r="G6160" s="137"/>
      <c r="H6160" s="137"/>
      <c r="I6160" s="11"/>
    </row>
    <row r="6161" spans="1:9" ht="9" customHeight="1">
      <c r="A6161" s="137"/>
      <c r="B6161" s="209" t="s">
        <v>8475</v>
      </c>
      <c r="C6161" s="147"/>
      <c r="D6161" s="362"/>
      <c r="E6161" s="178"/>
      <c r="F6161" s="137"/>
      <c r="G6161" s="137"/>
      <c r="H6161" s="137"/>
      <c r="I6161" s="11"/>
    </row>
    <row r="6162" spans="1:9" ht="9" customHeight="1">
      <c r="A6162" s="137"/>
      <c r="B6162" s="150" t="s">
        <v>8476</v>
      </c>
      <c r="C6162" s="147"/>
      <c r="D6162" s="362"/>
      <c r="E6162" s="178"/>
      <c r="F6162" s="137"/>
      <c r="G6162" s="137"/>
      <c r="H6162" s="137"/>
      <c r="I6162" s="11"/>
    </row>
    <row r="6163" spans="1:9" ht="9" customHeight="1">
      <c r="A6163" s="137"/>
      <c r="B6163" s="150" t="s">
        <v>8477</v>
      </c>
      <c r="C6163" s="147"/>
      <c r="D6163" s="362"/>
      <c r="E6163" s="178"/>
      <c r="F6163" s="137"/>
      <c r="G6163" s="137"/>
      <c r="H6163" s="137"/>
      <c r="I6163" s="11"/>
    </row>
    <row r="6164" spans="1:9" ht="9" customHeight="1">
      <c r="A6164" s="137"/>
      <c r="B6164" s="150" t="s">
        <v>8478</v>
      </c>
      <c r="C6164" s="147"/>
      <c r="D6164" s="362"/>
      <c r="E6164" s="178"/>
      <c r="F6164" s="137"/>
      <c r="G6164" s="137"/>
      <c r="H6164" s="137"/>
      <c r="I6164" s="11"/>
    </row>
    <row r="6165" spans="1:9" ht="9" customHeight="1">
      <c r="A6165" s="137"/>
      <c r="B6165" s="209" t="s">
        <v>8479</v>
      </c>
      <c r="C6165" s="147"/>
      <c r="D6165" s="362"/>
      <c r="E6165" s="178"/>
      <c r="F6165" s="137"/>
      <c r="G6165" s="137"/>
      <c r="H6165" s="137"/>
      <c r="I6165" s="11"/>
    </row>
    <row r="6166" spans="1:9" ht="9" customHeight="1">
      <c r="A6166" s="137"/>
      <c r="B6166" s="150" t="s">
        <v>8480</v>
      </c>
      <c r="C6166" s="147"/>
      <c r="D6166" s="362"/>
      <c r="E6166" s="178"/>
      <c r="F6166" s="137"/>
      <c r="G6166" s="137"/>
      <c r="H6166" s="137"/>
      <c r="I6166" s="11"/>
    </row>
    <row r="6167" spans="1:9" ht="9" customHeight="1">
      <c r="A6167" s="137"/>
      <c r="B6167" s="150" t="s">
        <v>8481</v>
      </c>
      <c r="C6167" s="147"/>
      <c r="D6167" s="362"/>
      <c r="E6167" s="178"/>
      <c r="F6167" s="137"/>
      <c r="G6167" s="137"/>
      <c r="H6167" s="137"/>
      <c r="I6167" s="11"/>
    </row>
    <row r="6168" spans="1:9" ht="9" customHeight="1">
      <c r="A6168" s="137"/>
      <c r="B6168" s="1348" t="s">
        <v>8482</v>
      </c>
      <c r="C6168" s="147"/>
      <c r="D6168" s="362"/>
      <c r="E6168" s="178"/>
      <c r="F6168" s="137"/>
      <c r="G6168" s="137"/>
      <c r="H6168" s="137"/>
      <c r="I6168" s="11"/>
    </row>
    <row r="6169" spans="1:9" ht="9" customHeight="1">
      <c r="A6169" s="137"/>
      <c r="B6169" s="150" t="s">
        <v>8483</v>
      </c>
      <c r="C6169" s="147"/>
      <c r="D6169" s="362"/>
      <c r="E6169" s="178"/>
      <c r="F6169" s="137"/>
      <c r="G6169" s="137"/>
      <c r="H6169" s="137"/>
      <c r="I6169" s="11"/>
    </row>
    <row r="6170" spans="1:9" ht="9" customHeight="1">
      <c r="A6170" s="137"/>
      <c r="B6170" s="150" t="s">
        <v>8484</v>
      </c>
      <c r="C6170" s="147"/>
      <c r="D6170" s="362"/>
      <c r="E6170" s="178"/>
      <c r="F6170" s="137"/>
      <c r="G6170" s="137"/>
      <c r="H6170" s="137"/>
      <c r="I6170" s="11"/>
    </row>
    <row r="6171" spans="1:9" ht="9" customHeight="1">
      <c r="A6171" s="137"/>
      <c r="B6171" s="150" t="s">
        <v>8485</v>
      </c>
      <c r="C6171" s="147"/>
      <c r="D6171" s="362"/>
      <c r="E6171" s="178"/>
      <c r="F6171" s="137"/>
      <c r="G6171" s="137"/>
      <c r="H6171" s="137"/>
      <c r="I6171" s="11"/>
    </row>
    <row r="6172" spans="1:9" ht="9" customHeight="1">
      <c r="A6172" s="137"/>
      <c r="B6172" s="150" t="s">
        <v>8486</v>
      </c>
      <c r="C6172" s="147"/>
      <c r="D6172" s="362"/>
      <c r="E6172" s="178"/>
      <c r="F6172" s="137"/>
      <c r="G6172" s="137"/>
      <c r="H6172" s="137"/>
      <c r="I6172" s="11"/>
    </row>
    <row r="6173" spans="1:9" ht="9" customHeight="1">
      <c r="A6173" s="137"/>
      <c r="B6173" s="150" t="s">
        <v>8487</v>
      </c>
      <c r="C6173" s="147"/>
      <c r="D6173" s="284"/>
      <c r="E6173" s="178"/>
      <c r="F6173" s="183"/>
      <c r="G6173" s="429"/>
      <c r="H6173" s="34"/>
      <c r="I6173" s="11"/>
    </row>
    <row r="6174" spans="1:9" ht="9" customHeight="1">
      <c r="A6174" s="137"/>
      <c r="B6174" s="150" t="s">
        <v>8488</v>
      </c>
      <c r="C6174" s="147"/>
      <c r="D6174" s="284"/>
      <c r="E6174" s="178"/>
      <c r="F6174" s="183"/>
      <c r="G6174" s="429"/>
      <c r="H6174" s="34"/>
      <c r="I6174" s="11"/>
    </row>
    <row r="6175" spans="1:9" ht="9" customHeight="1">
      <c r="A6175" s="137"/>
      <c r="B6175" s="150" t="s">
        <v>8489</v>
      </c>
      <c r="C6175" s="147"/>
      <c r="D6175" s="284"/>
      <c r="E6175" s="178"/>
      <c r="F6175" s="183"/>
      <c r="G6175" s="429"/>
      <c r="H6175" s="34"/>
      <c r="I6175" s="11"/>
    </row>
    <row r="6176" spans="1:9" ht="9" customHeight="1">
      <c r="A6176" s="137"/>
      <c r="B6176" s="150" t="s">
        <v>8490</v>
      </c>
      <c r="C6176" s="147"/>
      <c r="D6176" s="284"/>
      <c r="E6176" s="178"/>
      <c r="F6176" s="183"/>
      <c r="G6176" s="429"/>
      <c r="H6176" s="34"/>
      <c r="I6176" s="11"/>
    </row>
    <row r="6177" spans="1:9" ht="9" customHeight="1">
      <c r="A6177" s="137"/>
      <c r="B6177" s="150" t="s">
        <v>8491</v>
      </c>
      <c r="C6177" s="147"/>
      <c r="D6177" s="284"/>
      <c r="E6177" s="178"/>
      <c r="F6177" s="183"/>
      <c r="G6177" s="429"/>
      <c r="H6177" s="34"/>
      <c r="I6177" s="11"/>
    </row>
    <row r="6178" spans="1:9" ht="9" customHeight="1">
      <c r="A6178" s="137"/>
      <c r="B6178" s="150" t="s">
        <v>8492</v>
      </c>
      <c r="C6178" s="147"/>
      <c r="D6178" s="284"/>
      <c r="E6178" s="178"/>
      <c r="F6178" s="183"/>
      <c r="G6178" s="429"/>
      <c r="H6178" s="34"/>
      <c r="I6178" s="11"/>
    </row>
    <row r="6179" spans="1:9" ht="9" customHeight="1">
      <c r="A6179" s="137"/>
      <c r="B6179" s="150" t="s">
        <v>8493</v>
      </c>
      <c r="C6179" s="147"/>
      <c r="D6179" s="284"/>
      <c r="E6179" s="178"/>
      <c r="F6179" s="183"/>
      <c r="G6179" s="429"/>
      <c r="H6179" s="34"/>
      <c r="I6179" s="11"/>
    </row>
    <row r="6180" spans="1:9" ht="9" customHeight="1">
      <c r="A6180" s="137"/>
      <c r="B6180" s="150" t="s">
        <v>8494</v>
      </c>
      <c r="C6180" s="147"/>
      <c r="D6180" s="284"/>
      <c r="E6180" s="178"/>
      <c r="F6180" s="183"/>
      <c r="G6180" s="429"/>
      <c r="H6180" s="34"/>
      <c r="I6180" s="11"/>
    </row>
    <row r="6181" spans="1:9" ht="9" customHeight="1">
      <c r="A6181" s="524"/>
      <c r="B6181" s="150" t="s">
        <v>8495</v>
      </c>
      <c r="C6181" s="147"/>
      <c r="D6181" s="284"/>
      <c r="E6181" s="178"/>
      <c r="F6181" s="183"/>
      <c r="G6181" s="429"/>
      <c r="H6181" s="34"/>
      <c r="I6181" s="11"/>
    </row>
    <row r="6182" spans="1:9" ht="9" customHeight="1">
      <c r="A6182" s="137"/>
      <c r="B6182" s="209" t="s">
        <v>8496</v>
      </c>
      <c r="C6182" s="147"/>
      <c r="D6182" s="284"/>
      <c r="E6182" s="178"/>
      <c r="F6182" s="183"/>
      <c r="G6182" s="429"/>
      <c r="H6182" s="34"/>
      <c r="I6182" s="11"/>
    </row>
    <row r="6183" spans="1:9" ht="9" customHeight="1">
      <c r="A6183" s="137"/>
      <c r="B6183" s="209" t="s">
        <v>8497</v>
      </c>
      <c r="C6183" s="147"/>
      <c r="D6183" s="284"/>
      <c r="E6183" s="178"/>
      <c r="F6183" s="183"/>
      <c r="G6183" s="429"/>
      <c r="H6183" s="34"/>
      <c r="I6183" s="11"/>
    </row>
    <row r="6184" spans="1:9" ht="9" customHeight="1">
      <c r="A6184" s="137"/>
      <c r="B6184" s="209" t="s">
        <v>8498</v>
      </c>
      <c r="C6184" s="147"/>
      <c r="D6184" s="284"/>
      <c r="E6184" s="178"/>
      <c r="F6184" s="183"/>
      <c r="G6184" s="429"/>
      <c r="H6184" s="34"/>
      <c r="I6184" s="11"/>
    </row>
    <row r="6185" spans="1:9" ht="9" customHeight="1">
      <c r="A6185" s="137"/>
      <c r="B6185" s="209" t="s">
        <v>8499</v>
      </c>
      <c r="C6185" s="147"/>
      <c r="D6185" s="284"/>
      <c r="E6185" s="178"/>
      <c r="F6185" s="183"/>
      <c r="G6185" s="429"/>
      <c r="H6185" s="34"/>
      <c r="I6185" s="11"/>
    </row>
    <row r="6186" spans="1:9" ht="9" customHeight="1">
      <c r="A6186" s="137"/>
      <c r="B6186" s="209" t="s">
        <v>8500</v>
      </c>
      <c r="C6186" s="147"/>
      <c r="D6186" s="284"/>
      <c r="E6186" s="178"/>
      <c r="F6186" s="183"/>
      <c r="G6186" s="429"/>
      <c r="H6186" s="34"/>
      <c r="I6186" s="11"/>
    </row>
    <row r="6187" spans="1:9" ht="9" customHeight="1">
      <c r="A6187" s="137"/>
      <c r="B6187" s="209" t="s">
        <v>8501</v>
      </c>
      <c r="C6187" s="147"/>
      <c r="D6187" s="284"/>
      <c r="E6187" s="178"/>
      <c r="F6187" s="183"/>
      <c r="G6187" s="429"/>
      <c r="H6187" s="34"/>
      <c r="I6187" s="11"/>
    </row>
    <row r="6188" spans="1:9" ht="9" customHeight="1">
      <c r="A6188" s="137"/>
      <c r="B6188" s="150" t="s">
        <v>8502</v>
      </c>
      <c r="C6188" s="147"/>
      <c r="D6188" s="284"/>
      <c r="E6188" s="178"/>
      <c r="F6188" s="183"/>
      <c r="G6188" s="429"/>
      <c r="H6188" s="34"/>
      <c r="I6188" s="11"/>
    </row>
    <row r="6189" spans="1:9" ht="9" customHeight="1">
      <c r="A6189" s="137"/>
      <c r="B6189" s="150" t="s">
        <v>8503</v>
      </c>
      <c r="C6189" s="147"/>
      <c r="D6189" s="284"/>
      <c r="E6189" s="178"/>
      <c r="F6189" s="183"/>
      <c r="G6189" s="429"/>
      <c r="H6189" s="34"/>
      <c r="I6189" s="11"/>
    </row>
    <row r="6190" spans="1:9" ht="9" customHeight="1">
      <c r="A6190" s="137"/>
      <c r="B6190" s="150" t="s">
        <v>8504</v>
      </c>
      <c r="C6190" s="147"/>
      <c r="D6190" s="284"/>
      <c r="E6190" s="178"/>
      <c r="F6190" s="183"/>
      <c r="G6190" s="429"/>
      <c r="H6190" s="34"/>
      <c r="I6190" s="11"/>
    </row>
    <row r="6191" spans="1:9" ht="9" customHeight="1">
      <c r="A6191" s="137"/>
      <c r="B6191" s="150" t="s">
        <v>8505</v>
      </c>
      <c r="C6191" s="147"/>
      <c r="D6191" s="284"/>
      <c r="E6191" s="178"/>
      <c r="F6191" s="183"/>
      <c r="G6191" s="429"/>
      <c r="H6191" s="34"/>
      <c r="I6191" s="11"/>
    </row>
    <row r="6192" spans="1:9" ht="9" customHeight="1">
      <c r="A6192" s="137"/>
      <c r="B6192" s="209" t="s">
        <v>8506</v>
      </c>
      <c r="C6192" s="147"/>
      <c r="D6192" s="284"/>
      <c r="E6192" s="178"/>
      <c r="F6192" s="183"/>
      <c r="G6192" s="429"/>
      <c r="H6192" s="34"/>
      <c r="I6192" s="11"/>
    </row>
    <row r="6193" spans="1:12" ht="9" customHeight="1">
      <c r="A6193" s="137"/>
      <c r="B6193" s="209" t="s">
        <v>8507</v>
      </c>
      <c r="C6193" s="147"/>
      <c r="D6193" s="284"/>
      <c r="E6193" s="178"/>
      <c r="F6193" s="183"/>
      <c r="G6193" s="429"/>
      <c r="H6193" s="34"/>
      <c r="I6193" s="11"/>
    </row>
    <row r="6194" spans="1:12" ht="9" customHeight="1" thickBot="1">
      <c r="A6194" s="164"/>
      <c r="B6194" s="420" t="s">
        <v>8508</v>
      </c>
      <c r="C6194" s="147"/>
      <c r="D6194" s="161"/>
      <c r="E6194" s="178"/>
      <c r="F6194" s="183"/>
      <c r="G6194" s="429"/>
      <c r="H6194" s="34"/>
      <c r="I6194" s="11"/>
    </row>
    <row r="6195" spans="1:12" ht="11.15" customHeight="1" thickBot="1">
      <c r="A6195" s="184" t="s">
        <v>18993</v>
      </c>
      <c r="B6195" s="154" t="s">
        <v>8509</v>
      </c>
      <c r="C6195" s="147"/>
      <c r="D6195" s="161"/>
      <c r="E6195" s="178"/>
      <c r="F6195" s="178"/>
      <c r="G6195" s="429"/>
      <c r="H6195" s="36"/>
      <c r="I6195" s="11"/>
    </row>
    <row r="6196" spans="1:12" ht="11.15" customHeight="1">
      <c r="A6196" s="29" t="s">
        <v>8510</v>
      </c>
      <c r="B6196" s="59" t="s">
        <v>21343</v>
      </c>
      <c r="C6196" s="147" t="s">
        <v>20221</v>
      </c>
      <c r="D6196" s="701" t="s">
        <v>1129</v>
      </c>
      <c r="E6196" s="178">
        <v>2022</v>
      </c>
      <c r="F6196" s="178" t="s">
        <v>23395</v>
      </c>
      <c r="G6196" s="496"/>
      <c r="H6196" s="994" t="s">
        <v>20221</v>
      </c>
      <c r="I6196" s="11" t="s">
        <v>8511</v>
      </c>
      <c r="J6196" s="1285"/>
      <c r="K6196" s="1285"/>
      <c r="L6196" s="1285"/>
    </row>
    <row r="6197" spans="1:12" ht="11.15" customHeight="1">
      <c r="A6197" s="29" t="s">
        <v>8512</v>
      </c>
      <c r="B6197" s="154" t="s">
        <v>8513</v>
      </c>
      <c r="C6197" s="147"/>
      <c r="D6197" s="161"/>
      <c r="E6197" s="178"/>
      <c r="F6197" s="178"/>
      <c r="G6197" s="429"/>
      <c r="H6197" s="36"/>
      <c r="I6197" s="11"/>
    </row>
    <row r="6198" spans="1:12" ht="11.15" customHeight="1">
      <c r="A6198" s="29" t="s">
        <v>8514</v>
      </c>
      <c r="B6198" s="59" t="s">
        <v>21344</v>
      </c>
      <c r="C6198" s="147" t="s">
        <v>23393</v>
      </c>
      <c r="D6198" s="284" t="s">
        <v>897</v>
      </c>
      <c r="E6198" s="178">
        <v>2023</v>
      </c>
      <c r="F6198" s="178" t="s">
        <v>23395</v>
      </c>
      <c r="G6198" s="496"/>
      <c r="H6198" s="994" t="s">
        <v>20224</v>
      </c>
      <c r="I6198" s="11" t="s">
        <v>8515</v>
      </c>
      <c r="J6198" s="1285"/>
      <c r="K6198" s="1285"/>
      <c r="L6198" s="1285"/>
    </row>
    <row r="6199" spans="1:12" ht="11.15" customHeight="1">
      <c r="A6199" s="29" t="s">
        <v>8516</v>
      </c>
      <c r="B6199" s="59" t="s">
        <v>21344</v>
      </c>
      <c r="C6199" s="147" t="s">
        <v>20221</v>
      </c>
      <c r="D6199" s="284" t="s">
        <v>897</v>
      </c>
      <c r="E6199" s="178">
        <v>2021</v>
      </c>
      <c r="F6199" s="178" t="s">
        <v>4520</v>
      </c>
      <c r="G6199" s="496"/>
      <c r="H6199" s="994" t="s">
        <v>20221</v>
      </c>
      <c r="I6199" s="11" t="s">
        <v>8517</v>
      </c>
      <c r="J6199" s="1285"/>
      <c r="K6199" s="1285"/>
      <c r="L6199" s="1285"/>
    </row>
    <row r="6200" spans="1:12" ht="11.15" customHeight="1">
      <c r="A6200" s="29" t="s">
        <v>8518</v>
      </c>
      <c r="B6200" s="59" t="s">
        <v>21344</v>
      </c>
      <c r="C6200" s="147" t="s">
        <v>20221</v>
      </c>
      <c r="D6200" s="284" t="s">
        <v>897</v>
      </c>
      <c r="E6200" s="178">
        <v>2018</v>
      </c>
      <c r="F6200" s="178" t="s">
        <v>23395</v>
      </c>
      <c r="G6200" s="496"/>
      <c r="H6200" s="994" t="s">
        <v>20224</v>
      </c>
      <c r="I6200" s="11" t="s">
        <v>8519</v>
      </c>
      <c r="J6200" s="1285"/>
      <c r="K6200" s="1285"/>
      <c r="L6200" s="1285"/>
    </row>
    <row r="6201" spans="1:12" ht="11.15" customHeight="1">
      <c r="A6201" s="29" t="s">
        <v>8520</v>
      </c>
      <c r="B6201" s="59" t="s">
        <v>21345</v>
      </c>
      <c r="C6201" s="147" t="s">
        <v>20221</v>
      </c>
      <c r="D6201" s="284" t="s">
        <v>897</v>
      </c>
      <c r="E6201" s="178">
        <v>2021</v>
      </c>
      <c r="F6201" s="178" t="s">
        <v>11931</v>
      </c>
      <c r="G6201" s="496"/>
      <c r="H6201" s="994" t="s">
        <v>20221</v>
      </c>
      <c r="I6201" s="11" t="s">
        <v>8521</v>
      </c>
      <c r="J6201" s="1285"/>
      <c r="K6201" s="1285"/>
      <c r="L6201" s="1285"/>
    </row>
    <row r="6202" spans="1:12" ht="11.15" customHeight="1">
      <c r="A6202" s="181" t="s">
        <v>8522</v>
      </c>
      <c r="B6202" s="154" t="s">
        <v>8523</v>
      </c>
      <c r="C6202" s="147"/>
      <c r="D6202" s="161"/>
      <c r="E6202" s="178"/>
      <c r="F6202" s="178"/>
      <c r="G6202" s="429"/>
      <c r="H6202" s="36"/>
      <c r="I6202" s="11"/>
    </row>
    <row r="6203" spans="1:12" ht="11.15" customHeight="1">
      <c r="A6203" s="181" t="s">
        <v>2536</v>
      </c>
      <c r="B6203" s="59" t="s">
        <v>21346</v>
      </c>
      <c r="C6203" s="147" t="s">
        <v>20221</v>
      </c>
      <c r="D6203" s="284" t="s">
        <v>897</v>
      </c>
      <c r="E6203" s="178">
        <v>2022</v>
      </c>
      <c r="F6203" s="178" t="s">
        <v>23395</v>
      </c>
      <c r="G6203" s="496"/>
      <c r="H6203" s="994" t="s">
        <v>20221</v>
      </c>
      <c r="I6203" s="11" t="s">
        <v>8524</v>
      </c>
      <c r="J6203" s="1285"/>
      <c r="K6203" s="1285"/>
      <c r="L6203" s="1285"/>
    </row>
    <row r="6204" spans="1:12" ht="11.15" customHeight="1">
      <c r="A6204" s="129" t="s">
        <v>8525</v>
      </c>
      <c r="B6204" s="154" t="s">
        <v>8526</v>
      </c>
      <c r="C6204" s="147"/>
      <c r="D6204" s="161"/>
      <c r="E6204" s="178"/>
      <c r="F6204" s="178"/>
      <c r="G6204" s="429"/>
      <c r="H6204" s="36"/>
      <c r="I6204" s="11"/>
    </row>
    <row r="6205" spans="1:12" ht="11.15" customHeight="1">
      <c r="A6205" s="164" t="s">
        <v>8527</v>
      </c>
      <c r="B6205" s="59" t="s">
        <v>21347</v>
      </c>
      <c r="C6205" s="147" t="s">
        <v>20221</v>
      </c>
      <c r="D6205" s="284" t="s">
        <v>897</v>
      </c>
      <c r="E6205" s="178">
        <v>2016</v>
      </c>
      <c r="F6205" s="178" t="s">
        <v>23395</v>
      </c>
      <c r="G6205" s="496"/>
      <c r="H6205" s="994" t="s">
        <v>20221</v>
      </c>
      <c r="I6205" s="11" t="s">
        <v>8528</v>
      </c>
      <c r="J6205" s="1285"/>
      <c r="K6205" s="1285"/>
      <c r="L6205" s="1285"/>
    </row>
    <row r="6206" spans="1:12" ht="11.15" customHeight="1">
      <c r="A6206" s="162" t="s">
        <v>8529</v>
      </c>
      <c r="B6206" s="59" t="s">
        <v>21347</v>
      </c>
      <c r="C6206" s="147" t="s">
        <v>20221</v>
      </c>
      <c r="D6206" s="284" t="s">
        <v>897</v>
      </c>
      <c r="E6206" s="178">
        <v>2015</v>
      </c>
      <c r="F6206" s="178" t="s">
        <v>23395</v>
      </c>
      <c r="G6206" s="496"/>
      <c r="H6206" s="994" t="s">
        <v>20221</v>
      </c>
      <c r="I6206" s="11" t="s">
        <v>8530</v>
      </c>
      <c r="J6206" s="1285"/>
      <c r="K6206" s="1285"/>
      <c r="L6206" s="1285"/>
    </row>
    <row r="6207" spans="1:12" ht="11.15" customHeight="1">
      <c r="A6207" s="162" t="s">
        <v>8531</v>
      </c>
      <c r="B6207" s="59" t="s">
        <v>21348</v>
      </c>
      <c r="C6207" s="147" t="s">
        <v>20221</v>
      </c>
      <c r="D6207" s="284" t="s">
        <v>897</v>
      </c>
      <c r="E6207" s="178">
        <v>2022</v>
      </c>
      <c r="F6207" s="178" t="s">
        <v>23395</v>
      </c>
      <c r="G6207" s="496"/>
      <c r="H6207" s="994" t="s">
        <v>20221</v>
      </c>
      <c r="I6207" s="11" t="s">
        <v>8532</v>
      </c>
      <c r="J6207" s="1285"/>
      <c r="K6207" s="1285"/>
      <c r="L6207" s="1285"/>
    </row>
    <row r="6208" spans="1:12" ht="11.15" customHeight="1">
      <c r="A6208" s="129" t="s">
        <v>8533</v>
      </c>
      <c r="B6208" s="59" t="s">
        <v>21348</v>
      </c>
      <c r="C6208" s="147" t="s">
        <v>20221</v>
      </c>
      <c r="D6208" s="284" t="s">
        <v>897</v>
      </c>
      <c r="E6208" s="178">
        <v>2021</v>
      </c>
      <c r="F6208" s="178" t="s">
        <v>23395</v>
      </c>
      <c r="G6208" s="496"/>
      <c r="H6208" s="994" t="s">
        <v>20221</v>
      </c>
      <c r="I6208" s="11" t="s">
        <v>8534</v>
      </c>
      <c r="J6208" s="1285"/>
      <c r="K6208" s="1285"/>
      <c r="L6208" s="1285"/>
    </row>
    <row r="6209" spans="1:12" ht="11.15" customHeight="1">
      <c r="A6209" s="162" t="s">
        <v>8535</v>
      </c>
      <c r="B6209" s="59" t="s">
        <v>21348</v>
      </c>
      <c r="C6209" s="147" t="s">
        <v>20221</v>
      </c>
      <c r="D6209" s="284" t="s">
        <v>897</v>
      </c>
      <c r="E6209" s="178">
        <v>2020</v>
      </c>
      <c r="F6209" s="178" t="s">
        <v>23395</v>
      </c>
      <c r="G6209" s="496"/>
      <c r="H6209" s="994" t="s">
        <v>20221</v>
      </c>
      <c r="I6209" s="11" t="s">
        <v>8536</v>
      </c>
      <c r="J6209" s="1285"/>
      <c r="K6209" s="1285"/>
      <c r="L6209" s="1285"/>
    </row>
    <row r="6210" spans="1:12" ht="11.15" customHeight="1">
      <c r="A6210" s="164" t="s">
        <v>8537</v>
      </c>
      <c r="B6210" s="59" t="s">
        <v>21348</v>
      </c>
      <c r="C6210" s="147" t="s">
        <v>20221</v>
      </c>
      <c r="D6210" s="284" t="s">
        <v>897</v>
      </c>
      <c r="E6210" s="178">
        <v>2019</v>
      </c>
      <c r="F6210" s="178" t="s">
        <v>23395</v>
      </c>
      <c r="G6210" s="496"/>
      <c r="H6210" s="994" t="s">
        <v>20221</v>
      </c>
      <c r="I6210" s="11" t="s">
        <v>8538</v>
      </c>
      <c r="J6210" s="1285"/>
      <c r="K6210" s="1285"/>
      <c r="L6210" s="1285"/>
    </row>
    <row r="6211" spans="1:12" ht="11.15" customHeight="1">
      <c r="A6211" s="162" t="s">
        <v>8539</v>
      </c>
      <c r="B6211" s="59" t="s">
        <v>21348</v>
      </c>
      <c r="C6211" s="147" t="s">
        <v>20221</v>
      </c>
      <c r="D6211" s="284" t="s">
        <v>897</v>
      </c>
      <c r="E6211" s="178">
        <v>2018</v>
      </c>
      <c r="F6211" s="178" t="s">
        <v>23395</v>
      </c>
      <c r="G6211" s="496"/>
      <c r="H6211" s="994" t="s">
        <v>20221</v>
      </c>
      <c r="I6211" s="11" t="s">
        <v>8540</v>
      </c>
      <c r="J6211" s="1285"/>
      <c r="K6211" s="1285"/>
      <c r="L6211" s="1285"/>
    </row>
    <row r="6212" spans="1:12" ht="11.15" customHeight="1">
      <c r="A6212" s="162" t="s">
        <v>8541</v>
      </c>
      <c r="B6212" s="59" t="s">
        <v>21348</v>
      </c>
      <c r="C6212" s="147" t="s">
        <v>20221</v>
      </c>
      <c r="D6212" s="284" t="s">
        <v>897</v>
      </c>
      <c r="E6212" s="178">
        <v>2017</v>
      </c>
      <c r="F6212" s="178" t="s">
        <v>23395</v>
      </c>
      <c r="G6212" s="496"/>
      <c r="H6212" s="994" t="s">
        <v>20277</v>
      </c>
      <c r="I6212" s="11" t="s">
        <v>8542</v>
      </c>
      <c r="J6212" s="1285"/>
      <c r="K6212" s="1285"/>
      <c r="L6212" s="1285"/>
    </row>
    <row r="6213" spans="1:12" ht="11.15" customHeight="1">
      <c r="A6213" s="164" t="s">
        <v>8543</v>
      </c>
      <c r="B6213" s="59" t="s">
        <v>21349</v>
      </c>
      <c r="C6213" s="147" t="s">
        <v>20221</v>
      </c>
      <c r="D6213" s="284" t="s">
        <v>897</v>
      </c>
      <c r="E6213" s="178">
        <v>2022</v>
      </c>
      <c r="F6213" s="178" t="s">
        <v>23395</v>
      </c>
      <c r="G6213" s="496"/>
      <c r="H6213" s="994" t="s">
        <v>20221</v>
      </c>
      <c r="I6213" s="11" t="s">
        <v>8544</v>
      </c>
      <c r="J6213" s="1285"/>
      <c r="K6213" s="1285"/>
      <c r="L6213" s="1285"/>
    </row>
    <row r="6214" spans="1:12" ht="11.15" customHeight="1">
      <c r="A6214" s="164" t="s">
        <v>8545</v>
      </c>
      <c r="B6214" s="59" t="s">
        <v>21349</v>
      </c>
      <c r="C6214" s="147" t="s">
        <v>20221</v>
      </c>
      <c r="D6214" s="284" t="s">
        <v>897</v>
      </c>
      <c r="E6214" s="178">
        <v>2021</v>
      </c>
      <c r="F6214" s="178" t="s">
        <v>23395</v>
      </c>
      <c r="G6214" s="496"/>
      <c r="H6214" s="994" t="s">
        <v>20221</v>
      </c>
      <c r="I6214" s="11" t="s">
        <v>8546</v>
      </c>
      <c r="J6214" s="1285"/>
      <c r="K6214" s="1285"/>
      <c r="L6214" s="1285"/>
    </row>
    <row r="6215" spans="1:12" ht="11.15" customHeight="1">
      <c r="A6215" s="164" t="s">
        <v>8547</v>
      </c>
      <c r="B6215" s="59" t="s">
        <v>21349</v>
      </c>
      <c r="C6215" s="147" t="s">
        <v>20221</v>
      </c>
      <c r="D6215" s="284" t="s">
        <v>897</v>
      </c>
      <c r="E6215" s="178">
        <v>2020</v>
      </c>
      <c r="F6215" s="178" t="s">
        <v>23395</v>
      </c>
      <c r="G6215" s="496"/>
      <c r="H6215" s="994" t="s">
        <v>20221</v>
      </c>
      <c r="I6215" s="11" t="s">
        <v>8548</v>
      </c>
      <c r="J6215" s="1285"/>
      <c r="K6215" s="1285"/>
      <c r="L6215" s="1285"/>
    </row>
    <row r="6216" spans="1:12" ht="11.15" customHeight="1">
      <c r="A6216" s="162" t="s">
        <v>8549</v>
      </c>
      <c r="B6216" s="59" t="s">
        <v>21350</v>
      </c>
      <c r="C6216" s="147" t="s">
        <v>20221</v>
      </c>
      <c r="D6216" s="284" t="s">
        <v>897</v>
      </c>
      <c r="E6216" s="178">
        <v>2022</v>
      </c>
      <c r="F6216" s="178" t="s">
        <v>23395</v>
      </c>
      <c r="G6216" s="496"/>
      <c r="H6216" s="994" t="s">
        <v>20221</v>
      </c>
      <c r="I6216" s="11" t="s">
        <v>8550</v>
      </c>
      <c r="J6216" s="1285"/>
      <c r="K6216" s="1285"/>
      <c r="L6216" s="1285"/>
    </row>
    <row r="6217" spans="1:12" ht="11.15" customHeight="1">
      <c r="A6217" s="162" t="s">
        <v>8551</v>
      </c>
      <c r="B6217" s="59" t="s">
        <v>21350</v>
      </c>
      <c r="C6217" s="147" t="s">
        <v>20221</v>
      </c>
      <c r="D6217" s="284" t="s">
        <v>897</v>
      </c>
      <c r="E6217" s="178">
        <v>2021</v>
      </c>
      <c r="F6217" s="178" t="s">
        <v>4520</v>
      </c>
      <c r="G6217" s="496"/>
      <c r="H6217" s="994" t="s">
        <v>20221</v>
      </c>
      <c r="I6217" s="11" t="s">
        <v>8552</v>
      </c>
      <c r="J6217" s="1285"/>
      <c r="K6217" s="1285"/>
      <c r="L6217" s="1285"/>
    </row>
    <row r="6218" spans="1:12" ht="11.15" customHeight="1">
      <c r="A6218" s="164" t="s">
        <v>8553</v>
      </c>
      <c r="B6218" s="59" t="s">
        <v>21350</v>
      </c>
      <c r="C6218" s="147" t="s">
        <v>20221</v>
      </c>
      <c r="D6218" s="284" t="s">
        <v>897</v>
      </c>
      <c r="E6218" s="178">
        <v>2020</v>
      </c>
      <c r="F6218" s="178" t="s">
        <v>23395</v>
      </c>
      <c r="G6218" s="496"/>
      <c r="H6218" s="994" t="s">
        <v>20221</v>
      </c>
      <c r="I6218" s="11" t="s">
        <v>8554</v>
      </c>
      <c r="J6218" s="1285"/>
      <c r="K6218" s="1285"/>
      <c r="L6218" s="1285"/>
    </row>
    <row r="6219" spans="1:12" ht="11.15" customHeight="1">
      <c r="A6219" s="162" t="s">
        <v>8555</v>
      </c>
      <c r="B6219" s="154" t="s">
        <v>8556</v>
      </c>
      <c r="C6219" s="147"/>
      <c r="D6219" s="161"/>
      <c r="E6219" s="178"/>
      <c r="F6219" s="178"/>
      <c r="G6219" s="429"/>
      <c r="H6219" s="36"/>
      <c r="I6219" s="11"/>
    </row>
    <row r="6220" spans="1:12" ht="11.15" customHeight="1">
      <c r="A6220" s="164" t="s">
        <v>8557</v>
      </c>
      <c r="B6220" s="59" t="s">
        <v>21351</v>
      </c>
      <c r="C6220" s="147" t="s">
        <v>20221</v>
      </c>
      <c r="D6220" s="284" t="s">
        <v>897</v>
      </c>
      <c r="E6220" s="178">
        <v>2022</v>
      </c>
      <c r="F6220" s="178" t="s">
        <v>23395</v>
      </c>
      <c r="G6220" s="496"/>
      <c r="H6220" s="994" t="s">
        <v>20221</v>
      </c>
      <c r="I6220" s="11" t="s">
        <v>8558</v>
      </c>
      <c r="J6220" s="1285"/>
      <c r="K6220" s="1285"/>
      <c r="L6220" s="1285"/>
    </row>
    <row r="6221" spans="1:12" ht="11.15" customHeight="1">
      <c r="A6221" s="162" t="s">
        <v>8559</v>
      </c>
      <c r="B6221" s="59" t="s">
        <v>21351</v>
      </c>
      <c r="C6221" s="147" t="s">
        <v>20221</v>
      </c>
      <c r="D6221" s="284" t="s">
        <v>897</v>
      </c>
      <c r="E6221" s="178">
        <v>2021</v>
      </c>
      <c r="F6221" s="178" t="s">
        <v>23395</v>
      </c>
      <c r="G6221" s="496"/>
      <c r="H6221" s="994" t="s">
        <v>20221</v>
      </c>
      <c r="I6221" s="11" t="s">
        <v>8560</v>
      </c>
      <c r="J6221" s="1285"/>
      <c r="K6221" s="1285"/>
      <c r="L6221" s="1285"/>
    </row>
    <row r="6222" spans="1:12" ht="11.15" customHeight="1">
      <c r="A6222" s="162" t="s">
        <v>8561</v>
      </c>
      <c r="B6222" s="59" t="s">
        <v>21351</v>
      </c>
      <c r="C6222" s="147" t="s">
        <v>20221</v>
      </c>
      <c r="D6222" s="284" t="s">
        <v>897</v>
      </c>
      <c r="E6222" s="178">
        <v>2020</v>
      </c>
      <c r="F6222" s="178" t="s">
        <v>23395</v>
      </c>
      <c r="G6222" s="496"/>
      <c r="H6222" s="994" t="s">
        <v>20221</v>
      </c>
      <c r="I6222" s="11" t="s">
        <v>8562</v>
      </c>
      <c r="J6222" s="1285"/>
      <c r="K6222" s="1285"/>
      <c r="L6222" s="1285"/>
    </row>
    <row r="6223" spans="1:12" ht="11.15" customHeight="1">
      <c r="A6223" s="129" t="s">
        <v>2461</v>
      </c>
      <c r="B6223" s="59" t="s">
        <v>21351</v>
      </c>
      <c r="C6223" s="147" t="s">
        <v>20221</v>
      </c>
      <c r="D6223" s="284" t="s">
        <v>897</v>
      </c>
      <c r="E6223" s="178">
        <v>2019</v>
      </c>
      <c r="F6223" s="178" t="s">
        <v>23395</v>
      </c>
      <c r="G6223" s="496"/>
      <c r="H6223" s="994" t="s">
        <v>20221</v>
      </c>
      <c r="I6223" s="11" t="s">
        <v>8563</v>
      </c>
      <c r="J6223" s="1285"/>
      <c r="K6223" s="1285"/>
      <c r="L6223" s="1285"/>
    </row>
    <row r="6224" spans="1:12" ht="11.15" customHeight="1">
      <c r="A6224" s="162" t="s">
        <v>8564</v>
      </c>
      <c r="B6224" s="59" t="s">
        <v>21351</v>
      </c>
      <c r="C6224" s="147" t="s">
        <v>20221</v>
      </c>
      <c r="D6224" s="284" t="s">
        <v>897</v>
      </c>
      <c r="E6224" s="178">
        <v>2018</v>
      </c>
      <c r="F6224" s="178" t="s">
        <v>23395</v>
      </c>
      <c r="G6224" s="496"/>
      <c r="H6224" s="994" t="s">
        <v>20221</v>
      </c>
      <c r="I6224" s="11" t="s">
        <v>8565</v>
      </c>
      <c r="J6224" s="1285"/>
      <c r="K6224" s="1285"/>
      <c r="L6224" s="1285"/>
    </row>
    <row r="6225" spans="1:12" ht="11.15" customHeight="1">
      <c r="A6225" s="162" t="s">
        <v>8566</v>
      </c>
      <c r="B6225" s="59" t="s">
        <v>21351</v>
      </c>
      <c r="C6225" s="147" t="s">
        <v>20221</v>
      </c>
      <c r="D6225" s="284" t="s">
        <v>897</v>
      </c>
      <c r="E6225" s="178">
        <v>2017</v>
      </c>
      <c r="F6225" s="178" t="s">
        <v>23395</v>
      </c>
      <c r="G6225" s="496"/>
      <c r="H6225" s="994" t="s">
        <v>20221</v>
      </c>
      <c r="I6225" s="11" t="s">
        <v>8567</v>
      </c>
      <c r="J6225" s="1285"/>
      <c r="K6225" s="1285"/>
      <c r="L6225" s="1285"/>
    </row>
    <row r="6226" spans="1:12" ht="11.15" customHeight="1">
      <c r="A6226" s="162" t="s">
        <v>8568</v>
      </c>
      <c r="B6226" s="59" t="s">
        <v>21351</v>
      </c>
      <c r="C6226" s="147" t="s">
        <v>20221</v>
      </c>
      <c r="D6226" s="284" t="s">
        <v>897</v>
      </c>
      <c r="E6226" s="178">
        <v>2016</v>
      </c>
      <c r="F6226" s="178" t="s">
        <v>23395</v>
      </c>
      <c r="G6226" s="496"/>
      <c r="H6226" s="994" t="s">
        <v>20277</v>
      </c>
      <c r="I6226" s="11" t="s">
        <v>8569</v>
      </c>
      <c r="J6226" s="1285"/>
      <c r="K6226" s="1285"/>
      <c r="L6226" s="1285"/>
    </row>
    <row r="6227" spans="1:12" ht="11.15" customHeight="1">
      <c r="A6227" s="129" t="s">
        <v>1308</v>
      </c>
      <c r="B6227" s="154" t="s">
        <v>8570</v>
      </c>
      <c r="C6227" s="147"/>
      <c r="D6227" s="161"/>
      <c r="E6227" s="178"/>
      <c r="F6227" s="178"/>
      <c r="G6227" s="429"/>
      <c r="H6227" s="36"/>
      <c r="I6227" s="11"/>
    </row>
    <row r="6228" spans="1:12" ht="11.15" customHeight="1">
      <c r="A6228" s="162" t="s">
        <v>8571</v>
      </c>
      <c r="B6228" s="59" t="s">
        <v>21352</v>
      </c>
      <c r="C6228" s="147" t="s">
        <v>20221</v>
      </c>
      <c r="D6228" s="284" t="s">
        <v>897</v>
      </c>
      <c r="E6228" s="178">
        <v>2016</v>
      </c>
      <c r="F6228" s="178" t="s">
        <v>11931</v>
      </c>
      <c r="G6228" s="496"/>
      <c r="H6228" s="994" t="s">
        <v>20224</v>
      </c>
      <c r="I6228" s="11" t="s">
        <v>8572</v>
      </c>
      <c r="J6228" s="1285"/>
      <c r="K6228" s="1285"/>
      <c r="L6228" s="1285"/>
    </row>
    <row r="6229" spans="1:12" ht="11.15" customHeight="1">
      <c r="A6229" s="162" t="s">
        <v>8573</v>
      </c>
      <c r="B6229" s="59" t="s">
        <v>21353</v>
      </c>
      <c r="C6229" s="147" t="s">
        <v>20221</v>
      </c>
      <c r="D6229" s="284" t="s">
        <v>897</v>
      </c>
      <c r="E6229" s="178">
        <v>2022</v>
      </c>
      <c r="F6229" s="178" t="s">
        <v>5257</v>
      </c>
      <c r="G6229" s="496"/>
      <c r="H6229" s="994" t="s">
        <v>20224</v>
      </c>
      <c r="I6229" s="11" t="s">
        <v>8575</v>
      </c>
      <c r="J6229" s="1285"/>
      <c r="K6229" s="1285"/>
      <c r="L6229" s="1285"/>
    </row>
    <row r="6230" spans="1:12" ht="11.15" customHeight="1">
      <c r="A6230" s="162" t="s">
        <v>8574</v>
      </c>
      <c r="B6230" s="59" t="s">
        <v>21353</v>
      </c>
      <c r="C6230" s="147" t="s">
        <v>20221</v>
      </c>
      <c r="D6230" s="284" t="s">
        <v>897</v>
      </c>
      <c r="E6230" s="178">
        <v>2021</v>
      </c>
      <c r="F6230" s="178" t="s">
        <v>11931</v>
      </c>
      <c r="G6230" s="496"/>
      <c r="H6230" s="994" t="s">
        <v>20221</v>
      </c>
      <c r="I6230" s="11" t="s">
        <v>8577</v>
      </c>
      <c r="J6230" s="1285"/>
      <c r="K6230" s="1285"/>
      <c r="L6230" s="1285"/>
    </row>
    <row r="6231" spans="1:12" ht="11.15" customHeight="1">
      <c r="A6231" s="162" t="s">
        <v>8576</v>
      </c>
      <c r="B6231" s="59" t="s">
        <v>21353</v>
      </c>
      <c r="C6231" s="147" t="s">
        <v>20221</v>
      </c>
      <c r="D6231" s="284" t="s">
        <v>897</v>
      </c>
      <c r="E6231" s="178">
        <v>2020</v>
      </c>
      <c r="F6231" s="178" t="s">
        <v>11931</v>
      </c>
      <c r="G6231" s="496"/>
      <c r="H6231" s="994" t="s">
        <v>20224</v>
      </c>
      <c r="I6231" s="11" t="s">
        <v>8579</v>
      </c>
      <c r="J6231" s="1285"/>
      <c r="K6231" s="1285"/>
      <c r="L6231" s="1285"/>
    </row>
    <row r="6232" spans="1:12" ht="11.15" customHeight="1">
      <c r="A6232" s="162" t="s">
        <v>8578</v>
      </c>
      <c r="B6232" s="59" t="s">
        <v>21353</v>
      </c>
      <c r="C6232" s="147" t="s">
        <v>20221</v>
      </c>
      <c r="D6232" s="284" t="s">
        <v>897</v>
      </c>
      <c r="E6232" s="178">
        <v>2017</v>
      </c>
      <c r="F6232" s="178" t="s">
        <v>11931</v>
      </c>
      <c r="G6232" s="496"/>
      <c r="H6232" s="994" t="s">
        <v>20224</v>
      </c>
      <c r="I6232" s="11" t="s">
        <v>8581</v>
      </c>
      <c r="J6232" s="1285"/>
      <c r="K6232" s="1285"/>
      <c r="L6232" s="1285"/>
    </row>
    <row r="6233" spans="1:12" ht="11.15" customHeight="1">
      <c r="A6233" s="162" t="s">
        <v>8580</v>
      </c>
      <c r="B6233" s="59" t="s">
        <v>21353</v>
      </c>
      <c r="C6233" s="147" t="s">
        <v>20221</v>
      </c>
      <c r="D6233" s="284" t="s">
        <v>897</v>
      </c>
      <c r="E6233" s="178">
        <v>2015</v>
      </c>
      <c r="F6233" s="178" t="s">
        <v>11931</v>
      </c>
      <c r="G6233" s="496"/>
      <c r="H6233" s="994" t="s">
        <v>20224</v>
      </c>
      <c r="I6233" s="11" t="s">
        <v>8583</v>
      </c>
      <c r="J6233" s="1285"/>
      <c r="K6233" s="1285"/>
      <c r="L6233" s="1285"/>
    </row>
    <row r="6234" spans="1:12" ht="11.15" customHeight="1">
      <c r="A6234" s="162" t="s">
        <v>8582</v>
      </c>
      <c r="B6234" s="59" t="s">
        <v>21354</v>
      </c>
      <c r="C6234" s="147" t="s">
        <v>20221</v>
      </c>
      <c r="D6234" s="284" t="s">
        <v>897</v>
      </c>
      <c r="E6234" s="178">
        <v>2021</v>
      </c>
      <c r="F6234" s="178" t="s">
        <v>11931</v>
      </c>
      <c r="G6234" s="496"/>
      <c r="H6234" s="994" t="s">
        <v>20221</v>
      </c>
      <c r="I6234" s="11" t="s">
        <v>8584</v>
      </c>
      <c r="J6234" s="1285"/>
      <c r="K6234" s="1285"/>
      <c r="L6234" s="1285"/>
    </row>
    <row r="6235" spans="1:12" ht="11.15" customHeight="1">
      <c r="A6235" s="162" t="s">
        <v>2384</v>
      </c>
      <c r="B6235" s="59" t="s">
        <v>21354</v>
      </c>
      <c r="C6235" s="147" t="s">
        <v>20221</v>
      </c>
      <c r="D6235" s="284" t="s">
        <v>897</v>
      </c>
      <c r="E6235" s="178">
        <v>2016</v>
      </c>
      <c r="F6235" s="178" t="s">
        <v>11931</v>
      </c>
      <c r="G6235" s="496"/>
      <c r="H6235" s="994" t="s">
        <v>20224</v>
      </c>
      <c r="I6235" s="11" t="s">
        <v>8586</v>
      </c>
      <c r="J6235" s="1285"/>
      <c r="K6235" s="1285"/>
      <c r="L6235" s="1285"/>
    </row>
    <row r="6236" spans="1:12" ht="11.15" customHeight="1">
      <c r="A6236" s="162" t="s">
        <v>8585</v>
      </c>
      <c r="B6236" s="59" t="s">
        <v>21354</v>
      </c>
      <c r="C6236" s="147" t="s">
        <v>20221</v>
      </c>
      <c r="D6236" s="284" t="s">
        <v>897</v>
      </c>
      <c r="E6236" s="178">
        <v>2015</v>
      </c>
      <c r="F6236" s="178" t="s">
        <v>11931</v>
      </c>
      <c r="G6236" s="496"/>
      <c r="H6236" s="994" t="s">
        <v>20224</v>
      </c>
      <c r="I6236" s="11" t="s">
        <v>8588</v>
      </c>
      <c r="J6236" s="1285"/>
      <c r="K6236" s="1285"/>
      <c r="L6236" s="1285"/>
    </row>
    <row r="6237" spans="1:12" ht="11.15" customHeight="1">
      <c r="A6237" s="162" t="s">
        <v>8587</v>
      </c>
      <c r="B6237" s="59" t="s">
        <v>21355</v>
      </c>
      <c r="C6237" s="147" t="s">
        <v>20221</v>
      </c>
      <c r="D6237" s="284" t="s">
        <v>897</v>
      </c>
      <c r="E6237" s="178">
        <v>2021</v>
      </c>
      <c r="F6237" s="178" t="s">
        <v>11931</v>
      </c>
      <c r="G6237" s="496"/>
      <c r="H6237" s="994" t="s">
        <v>20224</v>
      </c>
      <c r="I6237" s="11" t="s">
        <v>8590</v>
      </c>
      <c r="J6237" s="1285"/>
      <c r="K6237" s="1285"/>
      <c r="L6237" s="1285"/>
    </row>
    <row r="6238" spans="1:12" ht="11.15" customHeight="1">
      <c r="A6238" s="162" t="s">
        <v>8589</v>
      </c>
      <c r="B6238" s="59" t="s">
        <v>21355</v>
      </c>
      <c r="C6238" s="147" t="s">
        <v>20221</v>
      </c>
      <c r="D6238" s="284" t="s">
        <v>897</v>
      </c>
      <c r="E6238" s="178">
        <v>2020</v>
      </c>
      <c r="F6238" s="178" t="s">
        <v>11931</v>
      </c>
      <c r="G6238" s="496"/>
      <c r="H6238" s="994" t="s">
        <v>20224</v>
      </c>
      <c r="I6238" s="11" t="s">
        <v>8592</v>
      </c>
      <c r="J6238" s="1285"/>
      <c r="K6238" s="1285"/>
      <c r="L6238" s="1285"/>
    </row>
    <row r="6239" spans="1:12" ht="11.15" customHeight="1">
      <c r="A6239" s="162" t="s">
        <v>8591</v>
      </c>
      <c r="B6239" s="154" t="s">
        <v>8594</v>
      </c>
      <c r="C6239" s="147"/>
      <c r="D6239" s="161"/>
      <c r="E6239" s="178"/>
      <c r="F6239" s="178"/>
      <c r="G6239" s="429"/>
      <c r="H6239" s="36"/>
      <c r="I6239" s="11"/>
    </row>
    <row r="6240" spans="1:12" ht="11.15" customHeight="1">
      <c r="A6240" s="162" t="s">
        <v>8593</v>
      </c>
      <c r="B6240" s="59" t="s">
        <v>21356</v>
      </c>
      <c r="C6240" s="147" t="s">
        <v>20221</v>
      </c>
      <c r="D6240" s="284" t="s">
        <v>897</v>
      </c>
      <c r="E6240" s="178">
        <v>2021</v>
      </c>
      <c r="F6240" s="178" t="s">
        <v>5257</v>
      </c>
      <c r="G6240" s="496"/>
      <c r="H6240" s="994" t="s">
        <v>20224</v>
      </c>
      <c r="I6240" s="11" t="s">
        <v>8596</v>
      </c>
      <c r="J6240" s="1285"/>
      <c r="K6240" s="1285"/>
      <c r="L6240" s="1285"/>
    </row>
    <row r="6241" spans="1:12" ht="11.15" customHeight="1">
      <c r="A6241" s="162" t="s">
        <v>8595</v>
      </c>
      <c r="B6241" s="59" t="s">
        <v>21356</v>
      </c>
      <c r="C6241" s="147" t="s">
        <v>20221</v>
      </c>
      <c r="D6241" s="284" t="s">
        <v>897</v>
      </c>
      <c r="E6241" s="178">
        <v>2020</v>
      </c>
      <c r="F6241" s="178" t="s">
        <v>11931</v>
      </c>
      <c r="G6241" s="496"/>
      <c r="H6241" s="994" t="s">
        <v>20221</v>
      </c>
      <c r="I6241" s="11" t="s">
        <v>8598</v>
      </c>
      <c r="J6241" s="1285"/>
      <c r="K6241" s="1285"/>
      <c r="L6241" s="1285"/>
    </row>
    <row r="6242" spans="1:12" ht="11.15" customHeight="1">
      <c r="A6242" s="162" t="s">
        <v>8597</v>
      </c>
      <c r="B6242" s="59" t="s">
        <v>21356</v>
      </c>
      <c r="C6242" s="147" t="s">
        <v>20221</v>
      </c>
      <c r="D6242" s="284" t="s">
        <v>897</v>
      </c>
      <c r="E6242" s="178">
        <v>2019</v>
      </c>
      <c r="F6242" s="178" t="s">
        <v>11931</v>
      </c>
      <c r="G6242" s="496"/>
      <c r="H6242" s="994" t="s">
        <v>20224</v>
      </c>
      <c r="I6242" s="11" t="s">
        <v>8600</v>
      </c>
      <c r="J6242" s="1285"/>
      <c r="K6242" s="1285"/>
      <c r="L6242" s="1285"/>
    </row>
    <row r="6243" spans="1:12" ht="11.15" customHeight="1">
      <c r="A6243" s="162" t="s">
        <v>8599</v>
      </c>
      <c r="B6243" s="59" t="s">
        <v>21356</v>
      </c>
      <c r="C6243" s="147" t="s">
        <v>20221</v>
      </c>
      <c r="D6243" s="284" t="s">
        <v>897</v>
      </c>
      <c r="E6243" s="178">
        <v>2018</v>
      </c>
      <c r="F6243" s="178" t="s">
        <v>11931</v>
      </c>
      <c r="G6243" s="496"/>
      <c r="H6243" s="994" t="s">
        <v>20224</v>
      </c>
      <c r="I6243" s="11" t="s">
        <v>8602</v>
      </c>
      <c r="J6243" s="1285"/>
      <c r="K6243" s="1285"/>
      <c r="L6243" s="1285"/>
    </row>
    <row r="6244" spans="1:12" ht="11.15" customHeight="1">
      <c r="A6244" s="162" t="s">
        <v>8601</v>
      </c>
      <c r="B6244" s="59" t="s">
        <v>21356</v>
      </c>
      <c r="C6244" s="147" t="s">
        <v>20221</v>
      </c>
      <c r="D6244" s="284" t="s">
        <v>897</v>
      </c>
      <c r="E6244" s="178">
        <v>2017</v>
      </c>
      <c r="F6244" s="178" t="s">
        <v>11931</v>
      </c>
      <c r="G6244" s="496"/>
      <c r="H6244" s="994" t="s">
        <v>20224</v>
      </c>
      <c r="I6244" s="11" t="s">
        <v>8604</v>
      </c>
      <c r="J6244" s="1285"/>
      <c r="K6244" s="1285"/>
      <c r="L6244" s="1285"/>
    </row>
    <row r="6245" spans="1:12" ht="11.15" customHeight="1">
      <c r="A6245" s="162" t="s">
        <v>8603</v>
      </c>
      <c r="B6245" s="59"/>
      <c r="C6245" s="147"/>
      <c r="D6245" s="284"/>
      <c r="E6245" s="178"/>
      <c r="F6245" s="178"/>
      <c r="G6245" s="496"/>
      <c r="H6245" s="994"/>
      <c r="I6245" s="11"/>
      <c r="J6245" s="1285"/>
      <c r="K6245" s="1285"/>
      <c r="L6245" s="1285"/>
    </row>
    <row r="6246" spans="1:12" ht="11.15" customHeight="1">
      <c r="A6246" s="162" t="s">
        <v>8605</v>
      </c>
      <c r="B6246" s="59"/>
      <c r="C6246" s="147"/>
      <c r="D6246" s="284"/>
      <c r="E6246" s="178"/>
      <c r="F6246" s="178"/>
      <c r="G6246" s="496"/>
      <c r="H6246" s="994"/>
      <c r="I6246" s="11"/>
      <c r="J6246" s="1285"/>
      <c r="K6246" s="1285"/>
      <c r="L6246" s="1285"/>
    </row>
    <row r="6247" spans="1:12" ht="11.15" customHeight="1">
      <c r="A6247" s="29" t="s">
        <v>8606</v>
      </c>
      <c r="B6247" s="59"/>
      <c r="C6247" s="147"/>
      <c r="D6247" s="284"/>
      <c r="E6247" s="178"/>
      <c r="F6247" s="178"/>
      <c r="G6247" s="496"/>
      <c r="H6247" s="994"/>
      <c r="I6247" s="11"/>
      <c r="J6247" s="1285"/>
      <c r="K6247" s="1285"/>
      <c r="L6247" s="1285"/>
    </row>
    <row r="6248" spans="1:12" ht="11.15" customHeight="1">
      <c r="A6248" s="29" t="s">
        <v>8607</v>
      </c>
      <c r="B6248" s="59"/>
      <c r="C6248" s="147"/>
      <c r="D6248" s="284"/>
      <c r="E6248" s="178"/>
      <c r="F6248" s="178"/>
      <c r="G6248" s="496"/>
      <c r="H6248" s="994"/>
      <c r="I6248" s="11"/>
      <c r="J6248" s="1285"/>
      <c r="K6248" s="1285"/>
      <c r="L6248" s="1285"/>
    </row>
    <row r="6249" spans="1:12" ht="11.15" customHeight="1">
      <c r="A6249" s="166" t="s">
        <v>8608</v>
      </c>
      <c r="B6249" s="59"/>
      <c r="C6249" s="147"/>
      <c r="D6249" s="284"/>
      <c r="E6249" s="178"/>
      <c r="F6249" s="178"/>
      <c r="G6249" s="496"/>
      <c r="H6249" s="994"/>
      <c r="I6249" s="11"/>
      <c r="J6249" s="1285"/>
      <c r="K6249" s="1285"/>
      <c r="L6249" s="1285"/>
    </row>
    <row r="6250" spans="1:12" ht="11.15" customHeight="1">
      <c r="A6250" s="169" t="s">
        <v>8609</v>
      </c>
      <c r="B6250" s="59"/>
      <c r="C6250" s="147"/>
      <c r="D6250" s="284"/>
      <c r="E6250" s="178"/>
      <c r="F6250" s="178"/>
      <c r="G6250" s="496"/>
      <c r="H6250" s="994"/>
      <c r="I6250" s="11"/>
      <c r="J6250" s="1285"/>
      <c r="K6250" s="1285"/>
      <c r="L6250" s="1285"/>
    </row>
    <row r="6251" spans="1:12" ht="11.15" customHeight="1">
      <c r="A6251" s="169" t="s">
        <v>8610</v>
      </c>
      <c r="B6251" s="59"/>
      <c r="C6251" s="147"/>
      <c r="D6251" s="284"/>
      <c r="E6251" s="178"/>
      <c r="F6251" s="178"/>
      <c r="G6251" s="496"/>
      <c r="H6251" s="994"/>
      <c r="I6251" s="11"/>
      <c r="J6251" s="1285"/>
      <c r="K6251" s="1285"/>
      <c r="L6251" s="1285"/>
    </row>
    <row r="6252" spans="1:12" ht="11.15" customHeight="1">
      <c r="A6252" s="481" t="s">
        <v>8611</v>
      </c>
      <c r="B6252" s="59"/>
      <c r="C6252" s="147"/>
      <c r="D6252" s="284"/>
      <c r="E6252" s="178"/>
      <c r="F6252" s="178"/>
      <c r="G6252" s="496"/>
      <c r="H6252" s="994"/>
      <c r="I6252" s="11"/>
      <c r="J6252" s="1285"/>
      <c r="K6252" s="1285"/>
      <c r="L6252" s="1285"/>
    </row>
    <row r="6253" spans="1:12" ht="11.15" customHeight="1" thickBot="1">
      <c r="A6253" s="185"/>
      <c r="B6253" s="59"/>
      <c r="C6253" s="147"/>
      <c r="D6253" s="161"/>
      <c r="E6253" s="178"/>
      <c r="F6253" s="183"/>
      <c r="G6253" s="429"/>
      <c r="H6253" s="34"/>
      <c r="I6253" s="11"/>
    </row>
    <row r="6254" spans="1:12" ht="11.15" customHeight="1" thickBot="1">
      <c r="A6254" s="184" t="s">
        <v>8612</v>
      </c>
      <c r="B6254" s="59" t="s">
        <v>21358</v>
      </c>
      <c r="C6254" s="147" t="s">
        <v>20221</v>
      </c>
      <c r="D6254" s="284" t="s">
        <v>897</v>
      </c>
      <c r="E6254" s="178">
        <v>2014</v>
      </c>
      <c r="F6254" s="178" t="s">
        <v>23395</v>
      </c>
      <c r="G6254" s="496"/>
      <c r="H6254" s="994" t="s">
        <v>20221</v>
      </c>
      <c r="I6254" s="11" t="s">
        <v>8613</v>
      </c>
      <c r="J6254" s="1285"/>
      <c r="K6254" s="1285"/>
      <c r="L6254" s="1285"/>
    </row>
    <row r="6255" spans="1:12" ht="11.15" customHeight="1">
      <c r="A6255" s="29" t="s">
        <v>8614</v>
      </c>
      <c r="B6255" s="59" t="s">
        <v>21359</v>
      </c>
      <c r="C6255" s="147" t="s">
        <v>20221</v>
      </c>
      <c r="D6255" s="284" t="s">
        <v>897</v>
      </c>
      <c r="E6255" s="178">
        <v>2013</v>
      </c>
      <c r="F6255" s="178" t="s">
        <v>23395</v>
      </c>
      <c r="G6255" s="496"/>
      <c r="H6255" s="994" t="s">
        <v>20221</v>
      </c>
      <c r="I6255" s="11" t="s">
        <v>8615</v>
      </c>
      <c r="J6255" s="1285"/>
      <c r="K6255" s="1285"/>
      <c r="L6255" s="1285"/>
    </row>
    <row r="6256" spans="1:12" ht="11.15" customHeight="1">
      <c r="A6256" s="29" t="s">
        <v>8616</v>
      </c>
      <c r="B6256" s="185"/>
      <c r="C6256" s="147"/>
      <c r="D6256" s="185"/>
      <c r="E6256" s="185"/>
      <c r="F6256" s="185"/>
      <c r="G6256" s="185"/>
      <c r="H6256" s="185"/>
      <c r="I6256" s="11"/>
    </row>
    <row r="6257" spans="1:9" ht="11.15" customHeight="1">
      <c r="A6257" s="29" t="s">
        <v>8617</v>
      </c>
      <c r="B6257" s="185"/>
      <c r="C6257" s="147"/>
      <c r="D6257" s="129"/>
      <c r="E6257" s="185"/>
      <c r="F6257" s="185"/>
      <c r="G6257" s="185"/>
      <c r="H6257" s="185"/>
      <c r="I6257" s="11"/>
    </row>
    <row r="6258" spans="1:9" ht="11.15" customHeight="1">
      <c r="A6258" s="181" t="s">
        <v>8618</v>
      </c>
      <c r="B6258" s="525"/>
      <c r="C6258" s="147"/>
      <c r="D6258" s="161"/>
      <c r="E6258" s="178"/>
      <c r="F6258" s="178"/>
      <c r="G6258" s="429"/>
      <c r="H6258" s="36"/>
      <c r="I6258" s="11"/>
    </row>
    <row r="6259" spans="1:9" ht="11.15" customHeight="1">
      <c r="A6259" s="162" t="s">
        <v>8619</v>
      </c>
      <c r="B6259" s="525"/>
      <c r="C6259" s="147"/>
      <c r="D6259" s="161"/>
      <c r="E6259" s="178"/>
      <c r="F6259" s="178"/>
      <c r="G6259" s="429"/>
      <c r="H6259" s="36"/>
      <c r="I6259" s="11"/>
    </row>
    <row r="6260" spans="1:9" ht="11.15" customHeight="1">
      <c r="A6260" s="162" t="s">
        <v>8620</v>
      </c>
      <c r="B6260" s="525"/>
      <c r="C6260" s="147"/>
      <c r="D6260" s="161"/>
      <c r="E6260" s="178"/>
      <c r="F6260" s="178"/>
      <c r="G6260" s="429"/>
      <c r="H6260" s="36"/>
      <c r="I6260" s="11"/>
    </row>
    <row r="6261" spans="1:9" ht="11.15" customHeight="1">
      <c r="A6261" s="162" t="s">
        <v>8621</v>
      </c>
      <c r="B6261" s="525"/>
      <c r="C6261" s="147"/>
      <c r="D6261" s="161"/>
      <c r="E6261" s="178"/>
      <c r="F6261" s="178"/>
      <c r="G6261" s="429"/>
      <c r="H6261" s="36"/>
      <c r="I6261" s="11"/>
    </row>
    <row r="6262" spans="1:9" ht="11.15" customHeight="1">
      <c r="A6262" s="129" t="s">
        <v>903</v>
      </c>
      <c r="B6262" s="526"/>
      <c r="C6262" s="147"/>
      <c r="D6262" s="129"/>
      <c r="E6262" s="377"/>
      <c r="F6262" s="185"/>
      <c r="G6262" s="185"/>
      <c r="H6262" s="185"/>
      <c r="I6262" s="11"/>
    </row>
    <row r="6263" spans="1:9" ht="11.15" customHeight="1">
      <c r="A6263" s="162" t="s">
        <v>8622</v>
      </c>
      <c r="B6263" s="526"/>
      <c r="C6263" s="147"/>
      <c r="D6263" s="129"/>
      <c r="E6263" s="377"/>
      <c r="F6263" s="185"/>
      <c r="G6263" s="185"/>
      <c r="H6263" s="185"/>
      <c r="I6263" s="11"/>
    </row>
    <row r="6264" spans="1:9" ht="11.15" customHeight="1">
      <c r="A6264" s="162" t="s">
        <v>8623</v>
      </c>
      <c r="B6264" s="526"/>
      <c r="C6264" s="147"/>
      <c r="D6264" s="129"/>
      <c r="E6264" s="377"/>
      <c r="F6264" s="185"/>
      <c r="G6264" s="185"/>
      <c r="H6264" s="185"/>
      <c r="I6264" s="11"/>
    </row>
    <row r="6265" spans="1:9" ht="11.15" customHeight="1">
      <c r="A6265" s="162" t="s">
        <v>8624</v>
      </c>
      <c r="B6265" s="526"/>
      <c r="C6265" s="147"/>
      <c r="D6265" s="129"/>
      <c r="E6265" s="377"/>
      <c r="F6265" s="185"/>
      <c r="G6265" s="185"/>
      <c r="H6265" s="185"/>
      <c r="I6265" s="11"/>
    </row>
    <row r="6266" spans="1:9" ht="11.15" customHeight="1">
      <c r="A6266" s="168" t="s">
        <v>8625</v>
      </c>
      <c r="B6266" s="526"/>
      <c r="C6266" s="147"/>
      <c r="D6266" s="129"/>
      <c r="E6266" s="185"/>
      <c r="F6266" s="185"/>
      <c r="G6266" s="185"/>
      <c r="H6266" s="185"/>
      <c r="I6266" s="11"/>
    </row>
    <row r="6267" spans="1:9" ht="11.15" customHeight="1">
      <c r="A6267" s="481" t="s">
        <v>8626</v>
      </c>
      <c r="B6267" s="526"/>
      <c r="C6267" s="147"/>
      <c r="D6267" s="129"/>
      <c r="E6267" s="185"/>
      <c r="F6267" s="185"/>
      <c r="G6267" s="185"/>
      <c r="H6267" s="185"/>
      <c r="I6267" s="11"/>
    </row>
    <row r="6268" spans="1:9" ht="11.15" customHeight="1">
      <c r="A6268" s="29"/>
      <c r="B6268" s="59"/>
      <c r="C6268" s="147"/>
      <c r="D6268" s="161"/>
      <c r="E6268" s="178"/>
      <c r="F6268" s="183"/>
      <c r="G6268" s="429"/>
      <c r="H6268" s="34"/>
      <c r="I6268" s="11"/>
    </row>
    <row r="6269" spans="1:9" ht="9" customHeight="1">
      <c r="A6269" s="29"/>
      <c r="B6269" s="146" t="s">
        <v>8627</v>
      </c>
      <c r="C6269" s="147"/>
      <c r="D6269" s="161"/>
      <c r="E6269" s="178"/>
      <c r="F6269" s="183"/>
      <c r="G6269" s="429"/>
      <c r="H6269" s="34"/>
      <c r="I6269" s="11"/>
    </row>
    <row r="6270" spans="1:9" ht="9" customHeight="1">
      <c r="A6270" s="185"/>
      <c r="B6270" s="209" t="s">
        <v>8628</v>
      </c>
      <c r="C6270" s="147"/>
      <c r="D6270" s="122"/>
      <c r="E6270" s="185"/>
      <c r="F6270" s="185"/>
      <c r="G6270" s="185"/>
      <c r="H6270" s="185"/>
      <c r="I6270" s="11"/>
    </row>
    <row r="6271" spans="1:9" ht="9" customHeight="1">
      <c r="A6271" s="185"/>
      <c r="B6271" s="209" t="s">
        <v>8629</v>
      </c>
      <c r="C6271" s="147"/>
      <c r="D6271" s="122"/>
      <c r="E6271" s="185"/>
      <c r="F6271" s="185"/>
      <c r="G6271" s="185"/>
      <c r="H6271" s="185"/>
      <c r="I6271" s="11"/>
    </row>
    <row r="6272" spans="1:9" ht="9" customHeight="1">
      <c r="A6272" s="185"/>
      <c r="B6272" s="216" t="s">
        <v>8630</v>
      </c>
      <c r="C6272" s="147"/>
      <c r="D6272" s="122"/>
      <c r="E6272" s="185"/>
      <c r="F6272" s="185"/>
      <c r="G6272" s="185"/>
      <c r="H6272" s="185"/>
      <c r="I6272" s="11"/>
    </row>
    <row r="6273" spans="1:9" ht="9" customHeight="1">
      <c r="A6273" s="185"/>
      <c r="B6273" s="209" t="s">
        <v>8631</v>
      </c>
      <c r="C6273" s="147"/>
      <c r="D6273" s="122"/>
      <c r="E6273" s="185"/>
      <c r="F6273" s="185"/>
      <c r="G6273" s="185"/>
      <c r="H6273" s="185"/>
      <c r="I6273" s="11"/>
    </row>
    <row r="6274" spans="1:9" ht="9" customHeight="1">
      <c r="A6274" s="185"/>
      <c r="B6274" s="209" t="s">
        <v>8632</v>
      </c>
      <c r="C6274" s="147"/>
      <c r="D6274" s="122"/>
      <c r="E6274" s="185"/>
      <c r="F6274" s="185"/>
      <c r="G6274" s="185"/>
      <c r="H6274" s="185"/>
      <c r="I6274" s="11"/>
    </row>
    <row r="6275" spans="1:9" ht="9" customHeight="1">
      <c r="A6275" s="185"/>
      <c r="B6275" s="209" t="s">
        <v>8633</v>
      </c>
      <c r="C6275" s="147"/>
      <c r="D6275" s="122"/>
      <c r="E6275" s="185"/>
      <c r="F6275" s="185"/>
      <c r="G6275" s="185"/>
      <c r="H6275" s="185"/>
      <c r="I6275" s="11"/>
    </row>
    <row r="6276" spans="1:9" ht="9" customHeight="1">
      <c r="A6276" s="185"/>
      <c r="B6276" s="209" t="s">
        <v>8634</v>
      </c>
      <c r="C6276" s="147"/>
      <c r="D6276" s="122"/>
      <c r="E6276" s="185"/>
      <c r="F6276" s="185"/>
      <c r="G6276" s="185"/>
      <c r="H6276" s="185"/>
      <c r="I6276" s="11"/>
    </row>
    <row r="6277" spans="1:9" ht="9" customHeight="1">
      <c r="A6277" s="185"/>
      <c r="B6277" s="216" t="s">
        <v>8635</v>
      </c>
      <c r="C6277" s="147"/>
      <c r="D6277" s="122"/>
      <c r="E6277" s="185"/>
      <c r="F6277" s="185"/>
      <c r="G6277" s="185"/>
      <c r="H6277" s="185"/>
      <c r="I6277" s="11"/>
    </row>
    <row r="6278" spans="1:9" ht="9" customHeight="1">
      <c r="A6278" s="29"/>
      <c r="B6278" s="146" t="s">
        <v>8636</v>
      </c>
      <c r="C6278" s="147"/>
      <c r="D6278" s="161"/>
      <c r="E6278" s="178"/>
      <c r="F6278" s="183"/>
      <c r="G6278" s="429"/>
      <c r="H6278" s="34"/>
      <c r="I6278" s="11"/>
    </row>
    <row r="6279" spans="1:9" ht="9" customHeight="1">
      <c r="A6279" s="29"/>
      <c r="B6279" s="150" t="s">
        <v>8637</v>
      </c>
      <c r="C6279" s="147"/>
      <c r="D6279" s="161"/>
      <c r="E6279" s="178"/>
      <c r="F6279" s="183"/>
      <c r="G6279" s="429"/>
      <c r="H6279" s="34"/>
      <c r="I6279" s="11"/>
    </row>
    <row r="6280" spans="1:9" ht="9" customHeight="1">
      <c r="A6280" s="185"/>
      <c r="B6280" s="209" t="s">
        <v>8638</v>
      </c>
      <c r="C6280" s="147"/>
      <c r="D6280" s="122"/>
      <c r="E6280" s="185"/>
      <c r="F6280" s="185"/>
      <c r="G6280" s="185"/>
      <c r="H6280" s="185"/>
      <c r="I6280" s="11"/>
    </row>
    <row r="6281" spans="1:9" ht="9" customHeight="1">
      <c r="A6281" s="185"/>
      <c r="B6281" s="150" t="s">
        <v>8639</v>
      </c>
      <c r="C6281" s="147"/>
      <c r="D6281" s="122"/>
      <c r="E6281" s="185"/>
      <c r="F6281" s="185"/>
      <c r="G6281" s="185"/>
      <c r="H6281" s="185"/>
      <c r="I6281" s="11"/>
    </row>
    <row r="6282" spans="1:9" ht="9" customHeight="1">
      <c r="A6282" s="185"/>
      <c r="B6282" s="209" t="s">
        <v>8640</v>
      </c>
      <c r="C6282" s="147"/>
      <c r="D6282" s="122"/>
      <c r="E6282" s="185"/>
      <c r="F6282" s="185"/>
      <c r="G6282" s="185"/>
      <c r="H6282" s="185"/>
      <c r="I6282" s="11"/>
    </row>
    <row r="6283" spans="1:9" ht="9" customHeight="1">
      <c r="A6283" s="185"/>
      <c r="B6283" s="209" t="s">
        <v>8641</v>
      </c>
      <c r="C6283" s="147"/>
      <c r="D6283" s="122"/>
      <c r="E6283" s="185"/>
      <c r="F6283" s="185"/>
      <c r="G6283" s="185"/>
      <c r="H6283" s="185"/>
      <c r="I6283" s="11"/>
    </row>
    <row r="6284" spans="1:9" ht="9" customHeight="1">
      <c r="A6284" s="185"/>
      <c r="B6284" s="209" t="s">
        <v>8642</v>
      </c>
      <c r="C6284" s="147"/>
      <c r="D6284" s="122"/>
      <c r="E6284" s="185"/>
      <c r="F6284" s="185"/>
      <c r="G6284" s="185"/>
      <c r="H6284" s="185"/>
      <c r="I6284" s="11"/>
    </row>
    <row r="6285" spans="1:9" ht="9" customHeight="1">
      <c r="A6285" s="185"/>
      <c r="B6285" s="150" t="s">
        <v>8643</v>
      </c>
      <c r="C6285" s="147"/>
      <c r="D6285" s="122"/>
      <c r="E6285" s="185"/>
      <c r="F6285" s="185"/>
      <c r="G6285" s="185"/>
      <c r="H6285" s="185"/>
      <c r="I6285" s="11"/>
    </row>
    <row r="6286" spans="1:9" ht="9" customHeight="1">
      <c r="A6286" s="185"/>
      <c r="B6286" s="209" t="s">
        <v>8644</v>
      </c>
      <c r="C6286" s="147"/>
      <c r="D6286" s="122"/>
      <c r="E6286" s="185"/>
      <c r="F6286" s="185"/>
      <c r="G6286" s="185"/>
      <c r="H6286" s="185"/>
      <c r="I6286" s="11"/>
    </row>
    <row r="6287" spans="1:9" ht="9" customHeight="1">
      <c r="A6287" s="185"/>
      <c r="B6287" s="209" t="s">
        <v>8645</v>
      </c>
      <c r="C6287" s="147"/>
      <c r="D6287" s="122"/>
      <c r="E6287" s="185"/>
      <c r="F6287" s="185"/>
      <c r="G6287" s="185"/>
      <c r="H6287" s="185"/>
      <c r="I6287" s="11"/>
    </row>
    <row r="6288" spans="1:9" ht="9" customHeight="1">
      <c r="A6288" s="185"/>
      <c r="B6288" s="150" t="s">
        <v>8646</v>
      </c>
      <c r="C6288" s="147"/>
      <c r="D6288" s="122"/>
      <c r="E6288" s="185"/>
      <c r="F6288" s="185"/>
      <c r="G6288" s="185"/>
      <c r="H6288" s="185"/>
      <c r="I6288" s="11"/>
    </row>
    <row r="6289" spans="1:12" ht="9" customHeight="1">
      <c r="A6289" s="185"/>
      <c r="B6289" s="150" t="s">
        <v>8647</v>
      </c>
      <c r="C6289" s="147"/>
      <c r="D6289" s="122"/>
      <c r="E6289" s="185"/>
      <c r="F6289" s="185"/>
      <c r="G6289" s="185"/>
      <c r="H6289" s="185"/>
      <c r="I6289" s="11"/>
    </row>
    <row r="6290" spans="1:12" ht="9" customHeight="1">
      <c r="A6290" s="185"/>
      <c r="B6290" s="150" t="s">
        <v>8648</v>
      </c>
      <c r="C6290" s="147"/>
      <c r="D6290" s="122"/>
      <c r="E6290" s="185"/>
      <c r="F6290" s="185"/>
      <c r="G6290" s="185"/>
      <c r="H6290" s="185"/>
      <c r="I6290" s="11"/>
    </row>
    <row r="6291" spans="1:12" ht="9" customHeight="1">
      <c r="A6291" s="185"/>
      <c r="B6291" s="150" t="s">
        <v>8649</v>
      </c>
      <c r="C6291" s="147"/>
      <c r="D6291" s="122"/>
      <c r="E6291" s="185"/>
      <c r="F6291" s="185"/>
      <c r="G6291" s="185"/>
      <c r="H6291" s="185"/>
      <c r="I6291" s="11"/>
    </row>
    <row r="6292" spans="1:12" ht="9" customHeight="1" thickBot="1">
      <c r="A6292" s="185"/>
      <c r="B6292" s="150" t="s">
        <v>8650</v>
      </c>
      <c r="C6292" s="147"/>
      <c r="D6292" s="122"/>
      <c r="E6292" s="185"/>
      <c r="F6292" s="185"/>
      <c r="G6292" s="185"/>
      <c r="H6292" s="185"/>
      <c r="I6292" s="11"/>
    </row>
    <row r="6293" spans="1:12" ht="11.15" customHeight="1">
      <c r="A6293" s="153" t="s">
        <v>8651</v>
      </c>
      <c r="B6293" s="177" t="s">
        <v>8652</v>
      </c>
      <c r="C6293" s="147"/>
      <c r="D6293" s="154"/>
      <c r="E6293" s="527"/>
      <c r="F6293" s="527"/>
      <c r="G6293" s="527"/>
      <c r="H6293" s="527"/>
      <c r="I6293" s="11"/>
    </row>
    <row r="6294" spans="1:12" ht="11.15" customHeight="1" thickBot="1">
      <c r="A6294" s="230" t="s">
        <v>8653</v>
      </c>
      <c r="B6294" s="59" t="s">
        <v>21360</v>
      </c>
      <c r="C6294" s="147" t="s">
        <v>20221</v>
      </c>
      <c r="D6294" s="284" t="s">
        <v>897</v>
      </c>
      <c r="E6294" s="178">
        <v>2018</v>
      </c>
      <c r="F6294" s="178" t="s">
        <v>4520</v>
      </c>
      <c r="G6294" s="496"/>
      <c r="H6294" s="994" t="s">
        <v>20221</v>
      </c>
      <c r="I6294" s="11" t="s">
        <v>8654</v>
      </c>
      <c r="J6294" s="1285"/>
      <c r="K6294" s="1285"/>
      <c r="L6294" s="1285"/>
    </row>
    <row r="6295" spans="1:12" ht="11.15" customHeight="1">
      <c r="A6295" s="29" t="s">
        <v>8655</v>
      </c>
      <c r="B6295" s="59" t="s">
        <v>21360</v>
      </c>
      <c r="C6295" s="147" t="s">
        <v>20221</v>
      </c>
      <c r="D6295" s="284" t="s">
        <v>897</v>
      </c>
      <c r="E6295" s="178">
        <v>2017</v>
      </c>
      <c r="F6295" s="178" t="s">
        <v>4520</v>
      </c>
      <c r="G6295" s="496"/>
      <c r="H6295" s="994" t="s">
        <v>20221</v>
      </c>
      <c r="I6295" s="11" t="s">
        <v>8656</v>
      </c>
      <c r="J6295" s="1285"/>
      <c r="K6295" s="1285"/>
      <c r="L6295" s="1285"/>
    </row>
    <row r="6296" spans="1:12" ht="11.15" customHeight="1">
      <c r="A6296" s="29" t="s">
        <v>8657</v>
      </c>
      <c r="B6296" s="59" t="s">
        <v>21361</v>
      </c>
      <c r="C6296" s="147" t="s">
        <v>20221</v>
      </c>
      <c r="D6296" s="284" t="s">
        <v>897</v>
      </c>
      <c r="E6296" s="178">
        <v>2014</v>
      </c>
      <c r="F6296" s="178" t="s">
        <v>4520</v>
      </c>
      <c r="G6296" s="496"/>
      <c r="H6296" s="994" t="s">
        <v>20224</v>
      </c>
      <c r="I6296" s="11" t="s">
        <v>8658</v>
      </c>
      <c r="J6296" s="1285"/>
      <c r="K6296" s="1285"/>
      <c r="L6296" s="1285"/>
    </row>
    <row r="6297" spans="1:12" ht="11.15" customHeight="1">
      <c r="A6297" s="29" t="s">
        <v>8659</v>
      </c>
      <c r="B6297" s="177" t="s">
        <v>8660</v>
      </c>
      <c r="C6297" s="147"/>
      <c r="D6297" s="161"/>
      <c r="E6297" s="36"/>
      <c r="F6297" s="178"/>
      <c r="G6297" s="496"/>
      <c r="H6297" s="36"/>
      <c r="I6297" s="11"/>
    </row>
    <row r="6298" spans="1:12" ht="11.15" customHeight="1">
      <c r="A6298" s="29" t="s">
        <v>8661</v>
      </c>
      <c r="B6298" s="59" t="s">
        <v>21362</v>
      </c>
      <c r="C6298" s="147" t="s">
        <v>20221</v>
      </c>
      <c r="D6298" s="284" t="s">
        <v>897</v>
      </c>
      <c r="E6298" s="178">
        <v>2017</v>
      </c>
      <c r="F6298" s="178" t="s">
        <v>4520</v>
      </c>
      <c r="G6298" s="496"/>
      <c r="H6298" s="994" t="s">
        <v>20221</v>
      </c>
      <c r="I6298" s="11" t="s">
        <v>8662</v>
      </c>
      <c r="J6298" s="1285"/>
      <c r="K6298" s="1285"/>
      <c r="L6298" s="1285"/>
    </row>
    <row r="6299" spans="1:12" ht="11.15" customHeight="1">
      <c r="A6299" s="181" t="s">
        <v>8663</v>
      </c>
      <c r="B6299" s="177" t="s">
        <v>8664</v>
      </c>
      <c r="C6299" s="147"/>
      <c r="D6299" s="161"/>
      <c r="E6299" s="36"/>
      <c r="F6299" s="178"/>
      <c r="G6299" s="496"/>
      <c r="H6299" s="36"/>
      <c r="I6299" s="11"/>
    </row>
    <row r="6300" spans="1:12" ht="11.15" customHeight="1">
      <c r="A6300" s="137" t="s">
        <v>8665</v>
      </c>
      <c r="B6300" s="59" t="s">
        <v>21363</v>
      </c>
      <c r="C6300" s="147" t="s">
        <v>20221</v>
      </c>
      <c r="D6300" s="284" t="s">
        <v>897</v>
      </c>
      <c r="E6300" s="178">
        <v>2021</v>
      </c>
      <c r="F6300" s="178" t="s">
        <v>4520</v>
      </c>
      <c r="G6300" s="496"/>
      <c r="H6300" s="994" t="s">
        <v>20221</v>
      </c>
      <c r="I6300" s="11" t="s">
        <v>8666</v>
      </c>
      <c r="J6300" s="1285"/>
      <c r="K6300" s="1285"/>
      <c r="L6300" s="1285"/>
    </row>
    <row r="6301" spans="1:12" ht="11.15" customHeight="1">
      <c r="A6301" s="29" t="s">
        <v>8667</v>
      </c>
      <c r="B6301" s="177" t="s">
        <v>8668</v>
      </c>
      <c r="C6301" s="147"/>
      <c r="D6301" s="161"/>
      <c r="E6301" s="36"/>
      <c r="F6301" s="178"/>
      <c r="G6301" s="496"/>
      <c r="H6301" s="36"/>
      <c r="I6301" s="11"/>
    </row>
    <row r="6302" spans="1:12" ht="11.15" customHeight="1">
      <c r="A6302" s="129" t="s">
        <v>903</v>
      </c>
      <c r="B6302" s="59" t="s">
        <v>21364</v>
      </c>
      <c r="C6302" s="147" t="s">
        <v>20221</v>
      </c>
      <c r="D6302" s="284" t="s">
        <v>897</v>
      </c>
      <c r="E6302" s="178">
        <v>2022</v>
      </c>
      <c r="F6302" s="178" t="s">
        <v>4520</v>
      </c>
      <c r="G6302" s="496"/>
      <c r="H6302" s="994" t="s">
        <v>20221</v>
      </c>
      <c r="I6302" s="11" t="s">
        <v>8669</v>
      </c>
      <c r="J6302" s="1285"/>
      <c r="K6302" s="1285"/>
      <c r="L6302" s="1285"/>
    </row>
    <row r="6303" spans="1:12" ht="11.15" customHeight="1">
      <c r="A6303" s="162" t="s">
        <v>8670</v>
      </c>
      <c r="B6303" s="59" t="s">
        <v>21364</v>
      </c>
      <c r="C6303" s="147" t="s">
        <v>20221</v>
      </c>
      <c r="D6303" s="284" t="s">
        <v>897</v>
      </c>
      <c r="E6303" s="178">
        <v>2021</v>
      </c>
      <c r="F6303" s="178" t="s">
        <v>4520</v>
      </c>
      <c r="G6303" s="496"/>
      <c r="H6303" s="994" t="s">
        <v>20221</v>
      </c>
      <c r="I6303" s="11" t="s">
        <v>8671</v>
      </c>
      <c r="J6303" s="1285"/>
      <c r="K6303" s="1285"/>
      <c r="L6303" s="1285"/>
    </row>
    <row r="6304" spans="1:12" ht="11.15" customHeight="1">
      <c r="A6304" s="162" t="s">
        <v>8672</v>
      </c>
      <c r="B6304" s="59" t="s">
        <v>21364</v>
      </c>
      <c r="C6304" s="147" t="s">
        <v>20221</v>
      </c>
      <c r="D6304" s="284" t="s">
        <v>897</v>
      </c>
      <c r="E6304" s="178">
        <v>2016</v>
      </c>
      <c r="F6304" s="178" t="s">
        <v>4520</v>
      </c>
      <c r="G6304" s="496"/>
      <c r="H6304" s="994" t="s">
        <v>20221</v>
      </c>
      <c r="I6304" s="11" t="s">
        <v>8673</v>
      </c>
      <c r="J6304" s="1285"/>
      <c r="K6304" s="1285"/>
      <c r="L6304" s="1285"/>
    </row>
    <row r="6305" spans="1:12" ht="11.15" customHeight="1">
      <c r="A6305" s="162" t="s">
        <v>8674</v>
      </c>
      <c r="B6305" s="59" t="s">
        <v>21364</v>
      </c>
      <c r="C6305" s="147" t="s">
        <v>20221</v>
      </c>
      <c r="D6305" s="284" t="s">
        <v>897</v>
      </c>
      <c r="E6305" s="178">
        <v>2015</v>
      </c>
      <c r="F6305" s="178" t="s">
        <v>4520</v>
      </c>
      <c r="G6305" s="496"/>
      <c r="H6305" s="994" t="s">
        <v>20221</v>
      </c>
      <c r="I6305" s="11" t="s">
        <v>8675</v>
      </c>
      <c r="J6305" s="1285"/>
      <c r="K6305" s="1285"/>
      <c r="L6305" s="1285"/>
    </row>
    <row r="6306" spans="1:12" ht="11.15" customHeight="1">
      <c r="A6306" s="162" t="s">
        <v>8676</v>
      </c>
      <c r="B6306" s="59" t="s">
        <v>21364</v>
      </c>
      <c r="C6306" s="147" t="s">
        <v>20221</v>
      </c>
      <c r="D6306" s="284" t="s">
        <v>897</v>
      </c>
      <c r="E6306" s="178">
        <v>2011</v>
      </c>
      <c r="F6306" s="178" t="s">
        <v>23395</v>
      </c>
      <c r="G6306" s="496"/>
      <c r="H6306" s="994" t="s">
        <v>20277</v>
      </c>
      <c r="I6306" s="11" t="s">
        <v>8677</v>
      </c>
      <c r="J6306" s="1285"/>
      <c r="K6306" s="1285"/>
      <c r="L6306" s="1285"/>
    </row>
    <row r="6307" spans="1:12" ht="11.15" customHeight="1">
      <c r="A6307" s="162" t="s">
        <v>8678</v>
      </c>
      <c r="B6307" s="177" t="s">
        <v>8679</v>
      </c>
      <c r="C6307" s="147"/>
      <c r="D6307" s="161"/>
      <c r="E6307" s="36"/>
      <c r="F6307" s="178"/>
      <c r="G6307" s="496"/>
      <c r="H6307" s="36"/>
      <c r="I6307" s="11"/>
    </row>
    <row r="6308" spans="1:12" ht="11.15" customHeight="1">
      <c r="A6308" s="162" t="s">
        <v>8680</v>
      </c>
      <c r="B6308" s="59" t="s">
        <v>21365</v>
      </c>
      <c r="C6308" s="147" t="s">
        <v>20221</v>
      </c>
      <c r="D6308" s="284" t="s">
        <v>897</v>
      </c>
      <c r="E6308" s="178">
        <v>2018</v>
      </c>
      <c r="F6308" s="178" t="s">
        <v>4520</v>
      </c>
      <c r="G6308" s="496"/>
      <c r="H6308" s="994" t="s">
        <v>20221</v>
      </c>
      <c r="I6308" s="11" t="s">
        <v>8681</v>
      </c>
      <c r="J6308" s="1285"/>
      <c r="K6308" s="1285"/>
      <c r="L6308" s="1285"/>
    </row>
    <row r="6309" spans="1:12" ht="11.15" customHeight="1">
      <c r="A6309" s="162" t="s">
        <v>8682</v>
      </c>
      <c r="B6309" s="59" t="s">
        <v>21366</v>
      </c>
      <c r="C6309" s="147" t="s">
        <v>20221</v>
      </c>
      <c r="D6309" s="284" t="s">
        <v>897</v>
      </c>
      <c r="E6309" s="178">
        <v>2018</v>
      </c>
      <c r="F6309" s="178" t="s">
        <v>5257</v>
      </c>
      <c r="G6309" s="496"/>
      <c r="H6309" s="994" t="s">
        <v>20224</v>
      </c>
      <c r="I6309" s="11" t="s">
        <v>8683</v>
      </c>
      <c r="J6309" s="1285"/>
      <c r="K6309" s="1285"/>
      <c r="L6309" s="1285"/>
    </row>
    <row r="6310" spans="1:12" ht="11.15" customHeight="1">
      <c r="A6310" s="162" t="s">
        <v>8684</v>
      </c>
      <c r="B6310" s="177" t="s">
        <v>8685</v>
      </c>
      <c r="C6310" s="147"/>
      <c r="D6310" s="161"/>
      <c r="E6310" s="36"/>
      <c r="F6310" s="178"/>
      <c r="G6310" s="496"/>
      <c r="H6310" s="36"/>
      <c r="I6310" s="11"/>
    </row>
    <row r="6311" spans="1:12" ht="11.15" customHeight="1">
      <c r="A6311" s="162" t="s">
        <v>8686</v>
      </c>
      <c r="B6311" s="59" t="s">
        <v>21367</v>
      </c>
      <c r="C6311" s="147" t="s">
        <v>20221</v>
      </c>
      <c r="D6311" s="284" t="s">
        <v>897</v>
      </c>
      <c r="E6311" s="178">
        <v>2022</v>
      </c>
      <c r="F6311" s="178" t="s">
        <v>4520</v>
      </c>
      <c r="G6311" s="496"/>
      <c r="H6311" s="994" t="s">
        <v>20221</v>
      </c>
      <c r="I6311" s="11" t="s">
        <v>8687</v>
      </c>
      <c r="J6311" s="1285"/>
      <c r="K6311" s="1285"/>
      <c r="L6311" s="1285"/>
    </row>
    <row r="6312" spans="1:12" ht="11.15" customHeight="1">
      <c r="A6312" s="162" t="s">
        <v>8688</v>
      </c>
      <c r="B6312" s="59" t="s">
        <v>21367</v>
      </c>
      <c r="C6312" s="147" t="s">
        <v>20221</v>
      </c>
      <c r="D6312" s="284" t="s">
        <v>897</v>
      </c>
      <c r="E6312" s="178">
        <v>2021</v>
      </c>
      <c r="F6312" s="178" t="s">
        <v>4520</v>
      </c>
      <c r="G6312" s="496"/>
      <c r="H6312" s="994" t="s">
        <v>20221</v>
      </c>
      <c r="I6312" s="11" t="s">
        <v>8689</v>
      </c>
      <c r="J6312" s="1285"/>
      <c r="K6312" s="1285"/>
      <c r="L6312" s="1285"/>
    </row>
    <row r="6313" spans="1:12" ht="11.15" customHeight="1">
      <c r="A6313" s="162" t="s">
        <v>8690</v>
      </c>
      <c r="B6313" s="59" t="s">
        <v>21367</v>
      </c>
      <c r="C6313" s="147" t="s">
        <v>20221</v>
      </c>
      <c r="D6313" s="284" t="s">
        <v>897</v>
      </c>
      <c r="E6313" s="178">
        <v>2018</v>
      </c>
      <c r="F6313" s="178" t="s">
        <v>4520</v>
      </c>
      <c r="G6313" s="496"/>
      <c r="H6313" s="994" t="s">
        <v>20221</v>
      </c>
      <c r="I6313" s="11" t="s">
        <v>8691</v>
      </c>
      <c r="J6313" s="1285"/>
      <c r="K6313" s="1285"/>
      <c r="L6313" s="1285"/>
    </row>
    <row r="6314" spans="1:12" ht="11.15" customHeight="1">
      <c r="A6314" s="162" t="s">
        <v>8692</v>
      </c>
      <c r="B6314" s="59" t="s">
        <v>21367</v>
      </c>
      <c r="C6314" s="147" t="s">
        <v>20221</v>
      </c>
      <c r="D6314" s="284" t="s">
        <v>897</v>
      </c>
      <c r="E6314" s="178">
        <v>2016</v>
      </c>
      <c r="F6314" s="178" t="s">
        <v>4520</v>
      </c>
      <c r="G6314" s="496"/>
      <c r="H6314" s="994" t="s">
        <v>20221</v>
      </c>
      <c r="I6314" s="11" t="s">
        <v>8693</v>
      </c>
      <c r="J6314" s="1285"/>
      <c r="K6314" s="1285"/>
      <c r="L6314" s="1285"/>
    </row>
    <row r="6315" spans="1:12" ht="11.15" customHeight="1">
      <c r="A6315" s="162" t="s">
        <v>8694</v>
      </c>
      <c r="B6315" s="59" t="s">
        <v>21367</v>
      </c>
      <c r="C6315" s="147" t="s">
        <v>20221</v>
      </c>
      <c r="D6315" s="284" t="s">
        <v>897</v>
      </c>
      <c r="E6315" s="178">
        <v>2015</v>
      </c>
      <c r="F6315" s="178" t="s">
        <v>4520</v>
      </c>
      <c r="G6315" s="496"/>
      <c r="H6315" s="994" t="s">
        <v>20221</v>
      </c>
      <c r="I6315" s="11" t="s">
        <v>8695</v>
      </c>
      <c r="J6315" s="1285"/>
      <c r="K6315" s="1285"/>
      <c r="L6315" s="1285"/>
    </row>
    <row r="6316" spans="1:12" ht="11.15" customHeight="1">
      <c r="A6316" s="162" t="s">
        <v>8696</v>
      </c>
      <c r="B6316" s="59" t="s">
        <v>21367</v>
      </c>
      <c r="C6316" s="147" t="s">
        <v>20221</v>
      </c>
      <c r="D6316" s="284" t="s">
        <v>897</v>
      </c>
      <c r="E6316" s="178">
        <v>2014</v>
      </c>
      <c r="F6316" s="178" t="s">
        <v>4520</v>
      </c>
      <c r="G6316" s="496"/>
      <c r="H6316" s="994" t="s">
        <v>20465</v>
      </c>
      <c r="I6316" s="11" t="s">
        <v>8697</v>
      </c>
      <c r="J6316" s="1285"/>
      <c r="K6316" s="1285"/>
      <c r="L6316" s="1285"/>
    </row>
    <row r="6317" spans="1:12" ht="11.15" customHeight="1">
      <c r="A6317" s="162" t="s">
        <v>8698</v>
      </c>
      <c r="B6317" s="59" t="s">
        <v>21368</v>
      </c>
      <c r="C6317" s="147" t="s">
        <v>20221</v>
      </c>
      <c r="D6317" s="284" t="s">
        <v>897</v>
      </c>
      <c r="E6317" s="178">
        <v>2022</v>
      </c>
      <c r="F6317" s="178" t="s">
        <v>11931</v>
      </c>
      <c r="G6317" s="496"/>
      <c r="H6317" s="994" t="s">
        <v>20221</v>
      </c>
      <c r="I6317" s="11" t="s">
        <v>8699</v>
      </c>
      <c r="J6317" s="1285"/>
      <c r="K6317" s="1285"/>
      <c r="L6317" s="1285"/>
    </row>
    <row r="6318" spans="1:12" ht="11.15" customHeight="1">
      <c r="A6318" s="162" t="s">
        <v>8700</v>
      </c>
      <c r="B6318" s="59" t="s">
        <v>21368</v>
      </c>
      <c r="C6318" s="147" t="s">
        <v>20221</v>
      </c>
      <c r="D6318" s="284" t="s">
        <v>897</v>
      </c>
      <c r="E6318" s="178">
        <v>2018</v>
      </c>
      <c r="F6318" s="178" t="s">
        <v>5257</v>
      </c>
      <c r="G6318" s="496"/>
      <c r="H6318" s="994" t="s">
        <v>20224</v>
      </c>
      <c r="I6318" s="11" t="s">
        <v>8701</v>
      </c>
      <c r="J6318" s="1285"/>
      <c r="K6318" s="1285"/>
      <c r="L6318" s="1285"/>
    </row>
    <row r="6319" spans="1:12" ht="11.15" customHeight="1">
      <c r="A6319" s="162" t="s">
        <v>8702</v>
      </c>
      <c r="B6319" s="177" t="s">
        <v>8703</v>
      </c>
      <c r="C6319" s="147"/>
      <c r="D6319" s="161"/>
      <c r="E6319" s="36"/>
      <c r="F6319" s="178"/>
      <c r="G6319" s="496"/>
      <c r="H6319" s="36"/>
      <c r="I6319" s="11"/>
    </row>
    <row r="6320" spans="1:12" ht="11.15" customHeight="1">
      <c r="A6320" s="162" t="s">
        <v>8704</v>
      </c>
      <c r="B6320" s="59" t="s">
        <v>21369</v>
      </c>
      <c r="C6320" s="147" t="s">
        <v>20221</v>
      </c>
      <c r="D6320" s="284" t="s">
        <v>897</v>
      </c>
      <c r="E6320" s="178">
        <v>2011</v>
      </c>
      <c r="F6320" s="178" t="s">
        <v>23395</v>
      </c>
      <c r="G6320" s="496"/>
      <c r="H6320" s="994" t="s">
        <v>20221</v>
      </c>
      <c r="I6320" s="11" t="s">
        <v>8705</v>
      </c>
      <c r="J6320" s="1285"/>
      <c r="K6320" s="1285"/>
      <c r="L6320" s="1285"/>
    </row>
    <row r="6321" spans="1:12" ht="11.15" customHeight="1">
      <c r="A6321" s="162" t="s">
        <v>8706</v>
      </c>
      <c r="B6321" s="59" t="s">
        <v>21369</v>
      </c>
      <c r="C6321" s="147" t="s">
        <v>20221</v>
      </c>
      <c r="D6321" s="284" t="s">
        <v>897</v>
      </c>
      <c r="E6321" s="178">
        <v>2009</v>
      </c>
      <c r="F6321" s="178" t="s">
        <v>23395</v>
      </c>
      <c r="G6321" s="496"/>
      <c r="H6321" s="994" t="s">
        <v>20224</v>
      </c>
      <c r="I6321" s="11" t="s">
        <v>8707</v>
      </c>
      <c r="J6321" s="1285"/>
      <c r="K6321" s="1285"/>
      <c r="L6321" s="1285"/>
    </row>
    <row r="6322" spans="1:12" ht="9" customHeight="1">
      <c r="A6322" s="129" t="s">
        <v>951</v>
      </c>
      <c r="B6322" s="185"/>
      <c r="C6322" s="147"/>
      <c r="D6322" s="129"/>
      <c r="E6322" s="185"/>
      <c r="F6322" s="185"/>
      <c r="G6322" s="185"/>
      <c r="H6322" s="185"/>
      <c r="I6322" s="11"/>
    </row>
    <row r="6323" spans="1:12" ht="9" customHeight="1">
      <c r="A6323" s="162" t="s">
        <v>8708</v>
      </c>
      <c r="B6323" s="185"/>
      <c r="C6323" s="147"/>
      <c r="D6323" s="129"/>
      <c r="E6323" s="185"/>
      <c r="F6323" s="185"/>
      <c r="G6323" s="185"/>
      <c r="H6323" s="185"/>
      <c r="I6323" s="11"/>
    </row>
    <row r="6324" spans="1:12" ht="9" customHeight="1">
      <c r="A6324" s="162" t="s">
        <v>8709</v>
      </c>
      <c r="B6324" s="185"/>
      <c r="C6324" s="147"/>
      <c r="D6324" s="122"/>
      <c r="E6324" s="185"/>
      <c r="F6324" s="185"/>
      <c r="G6324" s="185"/>
      <c r="H6324" s="185"/>
      <c r="I6324" s="11"/>
    </row>
    <row r="6325" spans="1:12" ht="9" customHeight="1">
      <c r="A6325" s="162" t="s">
        <v>8710</v>
      </c>
      <c r="B6325" s="185"/>
      <c r="C6325" s="147"/>
      <c r="D6325" s="122"/>
      <c r="E6325" s="185"/>
      <c r="F6325" s="185"/>
      <c r="G6325" s="185"/>
      <c r="H6325" s="185"/>
      <c r="I6325" s="11"/>
    </row>
    <row r="6326" spans="1:12" ht="9" customHeight="1">
      <c r="A6326" s="162" t="s">
        <v>8711</v>
      </c>
      <c r="B6326" s="185"/>
      <c r="C6326" s="147"/>
      <c r="D6326" s="122"/>
      <c r="E6326" s="185"/>
      <c r="F6326" s="185"/>
      <c r="G6326" s="185"/>
      <c r="H6326" s="185"/>
      <c r="I6326" s="11"/>
    </row>
    <row r="6327" spans="1:12" ht="9" customHeight="1">
      <c r="A6327" s="162" t="s">
        <v>8712</v>
      </c>
      <c r="B6327" s="185"/>
      <c r="C6327" s="147"/>
      <c r="D6327" s="122"/>
      <c r="E6327" s="185"/>
      <c r="F6327" s="185"/>
      <c r="G6327" s="185"/>
      <c r="H6327" s="185"/>
      <c r="I6327" s="11"/>
    </row>
    <row r="6328" spans="1:12" ht="9" customHeight="1">
      <c r="A6328" s="162" t="s">
        <v>8713</v>
      </c>
      <c r="B6328" s="185"/>
      <c r="C6328" s="147"/>
      <c r="D6328" s="122"/>
      <c r="E6328" s="185"/>
      <c r="F6328" s="185"/>
      <c r="G6328" s="185"/>
      <c r="H6328" s="185"/>
      <c r="I6328" s="11"/>
    </row>
    <row r="6329" spans="1:12" ht="9" customHeight="1">
      <c r="A6329" s="162" t="s">
        <v>8714</v>
      </c>
      <c r="B6329" s="185"/>
      <c r="C6329" s="147"/>
      <c r="D6329" s="129"/>
      <c r="E6329" s="185"/>
      <c r="F6329" s="185"/>
      <c r="G6329" s="185"/>
      <c r="H6329" s="185"/>
      <c r="I6329" s="11"/>
    </row>
    <row r="6330" spans="1:12" ht="9" customHeight="1">
      <c r="A6330" s="162" t="s">
        <v>8715</v>
      </c>
      <c r="B6330" s="185"/>
      <c r="C6330" s="147"/>
      <c r="D6330" s="122"/>
      <c r="E6330" s="185"/>
      <c r="F6330" s="185"/>
      <c r="G6330" s="185"/>
      <c r="H6330" s="185"/>
      <c r="I6330" s="11"/>
    </row>
    <row r="6331" spans="1:12" ht="9" customHeight="1">
      <c r="A6331" s="162" t="s">
        <v>8716</v>
      </c>
      <c r="B6331" s="185"/>
      <c r="C6331" s="147"/>
      <c r="D6331" s="129"/>
      <c r="E6331" s="185"/>
      <c r="F6331" s="185"/>
      <c r="G6331" s="185"/>
      <c r="H6331" s="185"/>
      <c r="I6331" s="11"/>
    </row>
    <row r="6332" spans="1:12" ht="9" customHeight="1">
      <c r="A6332" s="162" t="s">
        <v>8717</v>
      </c>
      <c r="B6332" s="185"/>
      <c r="C6332" s="147"/>
      <c r="D6332" s="129"/>
      <c r="E6332" s="185"/>
      <c r="F6332" s="185"/>
      <c r="G6332" s="185"/>
      <c r="H6332" s="185"/>
      <c r="I6332" s="11"/>
    </row>
    <row r="6333" spans="1:12" ht="9" customHeight="1">
      <c r="A6333" s="162" t="s">
        <v>8718</v>
      </c>
      <c r="B6333" s="185"/>
      <c r="C6333" s="147"/>
      <c r="D6333" s="129"/>
      <c r="E6333" s="185"/>
      <c r="F6333" s="185"/>
      <c r="G6333" s="185"/>
      <c r="H6333" s="185"/>
      <c r="I6333" s="11"/>
    </row>
    <row r="6334" spans="1:12" ht="9" customHeight="1">
      <c r="A6334" s="162" t="s">
        <v>8719</v>
      </c>
      <c r="B6334" s="185"/>
      <c r="C6334" s="147"/>
      <c r="D6334" s="129"/>
      <c r="E6334" s="185"/>
      <c r="F6334" s="185"/>
      <c r="G6334" s="185"/>
      <c r="H6334" s="185"/>
      <c r="I6334" s="11"/>
    </row>
    <row r="6335" spans="1:12" ht="11.15" customHeight="1">
      <c r="A6335" s="162" t="s">
        <v>8720</v>
      </c>
      <c r="B6335" s="185"/>
      <c r="C6335" s="147"/>
      <c r="D6335" s="129"/>
      <c r="E6335" s="185"/>
      <c r="F6335" s="185"/>
      <c r="G6335" s="185"/>
      <c r="H6335" s="185"/>
      <c r="I6335" s="11"/>
    </row>
    <row r="6336" spans="1:12" ht="11.15" customHeight="1">
      <c r="A6336" s="162" t="s">
        <v>8721</v>
      </c>
      <c r="B6336" s="185"/>
      <c r="C6336" s="147"/>
      <c r="D6336" s="129"/>
      <c r="E6336" s="185"/>
      <c r="F6336" s="185"/>
      <c r="G6336" s="185"/>
      <c r="H6336" s="185"/>
      <c r="I6336" s="11"/>
    </row>
    <row r="6337" spans="1:12" ht="11.15" customHeight="1">
      <c r="A6337" s="162" t="s">
        <v>8722</v>
      </c>
      <c r="B6337" s="185"/>
      <c r="C6337" s="147"/>
      <c r="D6337" s="129"/>
      <c r="E6337" s="185"/>
      <c r="F6337" s="185"/>
      <c r="G6337" s="185"/>
      <c r="H6337" s="185"/>
      <c r="I6337" s="11"/>
    </row>
    <row r="6338" spans="1:12" ht="11.15" customHeight="1">
      <c r="A6338" s="162" t="s">
        <v>8723</v>
      </c>
      <c r="B6338" s="185"/>
      <c r="C6338" s="147"/>
      <c r="D6338" s="129"/>
      <c r="E6338" s="185"/>
      <c r="F6338" s="185"/>
      <c r="G6338" s="185"/>
      <c r="H6338" s="185"/>
      <c r="I6338" s="11"/>
    </row>
    <row r="6339" spans="1:12" ht="11.15" customHeight="1">
      <c r="A6339" s="162" t="s">
        <v>8724</v>
      </c>
      <c r="B6339" s="185"/>
      <c r="C6339" s="147"/>
      <c r="D6339" s="129"/>
      <c r="E6339" s="185"/>
      <c r="F6339" s="185"/>
      <c r="G6339" s="185"/>
      <c r="H6339" s="185"/>
      <c r="I6339" s="11"/>
    </row>
    <row r="6340" spans="1:12" ht="11.15" customHeight="1">
      <c r="A6340" s="29" t="s">
        <v>3175</v>
      </c>
      <c r="B6340" s="185"/>
      <c r="C6340" s="147"/>
      <c r="D6340" s="129"/>
      <c r="E6340" s="185"/>
      <c r="F6340" s="185"/>
      <c r="G6340" s="185"/>
      <c r="H6340" s="185"/>
      <c r="I6340" s="11"/>
    </row>
    <row r="6341" spans="1:12" ht="11.15" customHeight="1">
      <c r="A6341" s="166" t="s">
        <v>8725</v>
      </c>
      <c r="B6341" s="185"/>
      <c r="C6341" s="147"/>
      <c r="D6341" s="129"/>
      <c r="E6341" s="185"/>
      <c r="F6341" s="185"/>
      <c r="G6341" s="185"/>
      <c r="H6341" s="185"/>
      <c r="I6341" s="11"/>
    </row>
    <row r="6342" spans="1:12" ht="11.15" customHeight="1">
      <c r="A6342" s="166" t="s">
        <v>8726</v>
      </c>
      <c r="B6342" s="185"/>
      <c r="C6342" s="147"/>
      <c r="D6342" s="129"/>
      <c r="E6342" s="185"/>
      <c r="F6342" s="185"/>
      <c r="G6342" s="185"/>
      <c r="H6342" s="185"/>
      <c r="I6342" s="11"/>
    </row>
    <row r="6343" spans="1:12" ht="11.15" customHeight="1">
      <c r="A6343" s="166" t="s">
        <v>8727</v>
      </c>
      <c r="B6343" s="185"/>
      <c r="C6343" s="147"/>
      <c r="D6343" s="129"/>
      <c r="E6343" s="185"/>
      <c r="F6343" s="185"/>
      <c r="G6343" s="185"/>
      <c r="H6343" s="185"/>
      <c r="I6343" s="11"/>
    </row>
    <row r="6344" spans="1:12" ht="11.15" customHeight="1">
      <c r="A6344" s="481" t="s">
        <v>8728</v>
      </c>
      <c r="B6344" s="185"/>
      <c r="C6344" s="147"/>
      <c r="D6344" s="122"/>
      <c r="E6344" s="185"/>
      <c r="F6344" s="185"/>
      <c r="G6344" s="185"/>
      <c r="H6344" s="185"/>
      <c r="I6344" s="11"/>
    </row>
    <row r="6345" spans="1:12" ht="11.15" customHeight="1" thickBot="1">
      <c r="A6345" s="484"/>
      <c r="B6345" s="185"/>
      <c r="C6345" s="147"/>
      <c r="D6345" s="122"/>
      <c r="E6345" s="185"/>
      <c r="F6345" s="185"/>
      <c r="G6345" s="185"/>
      <c r="H6345" s="185"/>
      <c r="I6345" s="11"/>
    </row>
    <row r="6346" spans="1:12" ht="11.15" customHeight="1">
      <c r="A6346" s="153" t="s">
        <v>8729</v>
      </c>
      <c r="B6346" s="154" t="s">
        <v>8513</v>
      </c>
      <c r="C6346" s="147"/>
      <c r="D6346" s="161"/>
      <c r="E6346" s="36"/>
      <c r="F6346" s="178"/>
      <c r="G6346" s="496"/>
      <c r="H6346" s="36"/>
      <c r="I6346" s="11"/>
    </row>
    <row r="6347" spans="1:12" ht="11.15" customHeight="1" thickBot="1">
      <c r="A6347" s="230" t="s">
        <v>8730</v>
      </c>
      <c r="B6347" s="59" t="s">
        <v>21371</v>
      </c>
      <c r="C6347" s="147" t="s">
        <v>20221</v>
      </c>
      <c r="D6347" s="284" t="s">
        <v>897</v>
      </c>
      <c r="E6347" s="178">
        <v>2017</v>
      </c>
      <c r="F6347" s="178" t="s">
        <v>4520</v>
      </c>
      <c r="G6347" s="496"/>
      <c r="H6347" s="994" t="s">
        <v>20221</v>
      </c>
      <c r="I6347" s="11" t="s">
        <v>8731</v>
      </c>
      <c r="J6347" s="1285"/>
      <c r="K6347" s="1285"/>
      <c r="L6347" s="1285"/>
    </row>
    <row r="6348" spans="1:12" ht="11.15" customHeight="1">
      <c r="A6348" s="29" t="s">
        <v>8732</v>
      </c>
      <c r="B6348" s="154" t="s">
        <v>8733</v>
      </c>
      <c r="C6348" s="147"/>
      <c r="D6348" s="129"/>
      <c r="E6348" s="185"/>
      <c r="F6348" s="185"/>
      <c r="G6348" s="185"/>
      <c r="H6348" s="185"/>
      <c r="I6348" s="11"/>
    </row>
    <row r="6349" spans="1:12" ht="10.5" customHeight="1">
      <c r="A6349" s="29" t="s">
        <v>8734</v>
      </c>
      <c r="B6349" s="59" t="s">
        <v>21372</v>
      </c>
      <c r="C6349" s="147" t="s">
        <v>20221</v>
      </c>
      <c r="D6349" s="284" t="s">
        <v>897</v>
      </c>
      <c r="E6349" s="178">
        <v>2018</v>
      </c>
      <c r="F6349" s="178" t="s">
        <v>4520</v>
      </c>
      <c r="G6349" s="496"/>
      <c r="H6349" s="994" t="s">
        <v>20221</v>
      </c>
      <c r="I6349" s="11" t="s">
        <v>8735</v>
      </c>
      <c r="J6349" s="1285"/>
      <c r="K6349" s="1285"/>
      <c r="L6349" s="1285"/>
    </row>
    <row r="6350" spans="1:12" ht="11.15" customHeight="1">
      <c r="A6350" s="29" t="s">
        <v>8736</v>
      </c>
      <c r="B6350" s="59" t="s">
        <v>21373</v>
      </c>
      <c r="C6350" s="147" t="s">
        <v>20221</v>
      </c>
      <c r="D6350" s="284" t="s">
        <v>897</v>
      </c>
      <c r="E6350" s="178">
        <v>2016</v>
      </c>
      <c r="F6350" s="178" t="s">
        <v>23395</v>
      </c>
      <c r="G6350" s="496"/>
      <c r="H6350" s="994" t="s">
        <v>20224</v>
      </c>
      <c r="I6350" s="11" t="s">
        <v>8737</v>
      </c>
      <c r="J6350" s="1285"/>
      <c r="K6350" s="1285"/>
      <c r="L6350" s="1285"/>
    </row>
    <row r="6351" spans="1:12" ht="11.15" customHeight="1">
      <c r="A6351" s="29" t="s">
        <v>8738</v>
      </c>
      <c r="B6351" s="59" t="s">
        <v>21374</v>
      </c>
      <c r="C6351" s="147" t="s">
        <v>20221</v>
      </c>
      <c r="D6351" s="284" t="s">
        <v>897</v>
      </c>
      <c r="E6351" s="178">
        <v>2017</v>
      </c>
      <c r="F6351" s="178" t="s">
        <v>4520</v>
      </c>
      <c r="G6351" s="496"/>
      <c r="H6351" s="994" t="s">
        <v>20221</v>
      </c>
      <c r="I6351" s="11" t="s">
        <v>8739</v>
      </c>
      <c r="J6351" s="1285"/>
      <c r="K6351" s="1285"/>
      <c r="L6351" s="1285"/>
    </row>
    <row r="6352" spans="1:12" ht="11.15" customHeight="1">
      <c r="A6352" s="129" t="s">
        <v>8740</v>
      </c>
      <c r="B6352" s="59" t="s">
        <v>21375</v>
      </c>
      <c r="C6352" s="147" t="s">
        <v>20221</v>
      </c>
      <c r="D6352" s="284" t="s">
        <v>897</v>
      </c>
      <c r="E6352" s="178">
        <v>2018</v>
      </c>
      <c r="F6352" s="178" t="s">
        <v>4520</v>
      </c>
      <c r="G6352" s="496"/>
      <c r="H6352" s="994" t="s">
        <v>20221</v>
      </c>
      <c r="I6352" s="11" t="s">
        <v>8741</v>
      </c>
      <c r="J6352" s="1285"/>
      <c r="K6352" s="1285"/>
      <c r="L6352" s="1285"/>
    </row>
    <row r="6353" spans="1:12" ht="11.15" customHeight="1">
      <c r="A6353" s="162" t="s">
        <v>8742</v>
      </c>
      <c r="B6353" s="59" t="s">
        <v>21376</v>
      </c>
      <c r="C6353" s="147" t="s">
        <v>20221</v>
      </c>
      <c r="D6353" s="284" t="s">
        <v>897</v>
      </c>
      <c r="E6353" s="178">
        <v>2018</v>
      </c>
      <c r="F6353" s="178" t="s">
        <v>4520</v>
      </c>
      <c r="G6353" s="496"/>
      <c r="H6353" s="994" t="s">
        <v>20221</v>
      </c>
      <c r="I6353" s="11" t="s">
        <v>8743</v>
      </c>
      <c r="J6353" s="1285"/>
      <c r="K6353" s="1285"/>
      <c r="L6353" s="1285"/>
    </row>
    <row r="6354" spans="1:12" ht="11.15" customHeight="1">
      <c r="A6354" s="162" t="s">
        <v>8744</v>
      </c>
      <c r="B6354" s="59" t="s">
        <v>21377</v>
      </c>
      <c r="C6354" s="147" t="s">
        <v>20221</v>
      </c>
      <c r="D6354" s="284" t="s">
        <v>897</v>
      </c>
      <c r="E6354" s="178">
        <v>2015</v>
      </c>
      <c r="F6354" s="178" t="s">
        <v>23395</v>
      </c>
      <c r="G6354" s="496"/>
      <c r="H6354" s="994" t="s">
        <v>20465</v>
      </c>
      <c r="I6354" s="11" t="s">
        <v>8745</v>
      </c>
      <c r="J6354" s="1285"/>
      <c r="K6354" s="1285"/>
      <c r="L6354" s="1285"/>
    </row>
    <row r="6355" spans="1:12" ht="11.15" customHeight="1">
      <c r="A6355" s="162" t="s">
        <v>8746</v>
      </c>
      <c r="B6355" s="154"/>
      <c r="C6355" s="147"/>
      <c r="D6355" s="161"/>
      <c r="E6355" s="36"/>
      <c r="F6355" s="178"/>
      <c r="G6355" s="496"/>
      <c r="H6355" s="36"/>
      <c r="I6355" s="11"/>
    </row>
    <row r="6356" spans="1:12" ht="11.15" customHeight="1">
      <c r="A6356" s="129" t="s">
        <v>1077</v>
      </c>
      <c r="B6356" s="59"/>
      <c r="C6356" s="147"/>
      <c r="D6356" s="284"/>
      <c r="E6356" s="178"/>
      <c r="F6356" s="178"/>
      <c r="G6356" s="496"/>
      <c r="H6356" s="994"/>
      <c r="I6356" s="11"/>
      <c r="J6356" s="1285"/>
      <c r="K6356" s="1285"/>
      <c r="L6356" s="1285"/>
    </row>
    <row r="6357" spans="1:12" ht="11.15" customHeight="1">
      <c r="A6357" s="162" t="s">
        <v>8747</v>
      </c>
      <c r="B6357" s="185"/>
      <c r="C6357" s="147"/>
      <c r="D6357" s="185"/>
      <c r="E6357" s="185"/>
      <c r="F6357" s="185"/>
      <c r="G6357" s="185"/>
      <c r="H6357" s="185"/>
      <c r="I6357" s="11"/>
    </row>
    <row r="6358" spans="1:12" ht="11.15" customHeight="1">
      <c r="A6358" s="162" t="s">
        <v>8748</v>
      </c>
      <c r="B6358" s="185"/>
      <c r="C6358" s="147"/>
      <c r="D6358" s="185"/>
      <c r="E6358" s="185"/>
      <c r="F6358" s="185"/>
      <c r="G6358" s="185"/>
      <c r="H6358" s="185"/>
      <c r="I6358" s="11"/>
    </row>
    <row r="6359" spans="1:12" ht="11.15" customHeight="1">
      <c r="A6359" s="162" t="s">
        <v>8749</v>
      </c>
      <c r="B6359" s="185"/>
      <c r="C6359" s="147"/>
      <c r="D6359" s="185"/>
      <c r="E6359" s="185"/>
      <c r="F6359" s="185"/>
      <c r="G6359" s="185"/>
      <c r="H6359" s="185"/>
      <c r="I6359" s="11"/>
    </row>
    <row r="6360" spans="1:12" ht="11.15" customHeight="1">
      <c r="A6360" s="162" t="s">
        <v>8750</v>
      </c>
      <c r="B6360" s="185"/>
      <c r="C6360" s="147"/>
      <c r="D6360" s="185"/>
      <c r="E6360" s="185"/>
      <c r="F6360" s="185"/>
      <c r="G6360" s="185"/>
      <c r="H6360" s="185"/>
      <c r="I6360" s="11"/>
    </row>
    <row r="6361" spans="1:12" ht="11.15" customHeight="1">
      <c r="A6361" s="162" t="s">
        <v>8751</v>
      </c>
      <c r="B6361" s="185"/>
      <c r="C6361" s="147"/>
      <c r="D6361" s="185"/>
      <c r="E6361" s="185"/>
      <c r="F6361" s="185"/>
      <c r="G6361" s="185"/>
      <c r="H6361" s="185"/>
      <c r="I6361" s="11"/>
    </row>
    <row r="6362" spans="1:12" ht="11.15" customHeight="1">
      <c r="A6362" s="162" t="s">
        <v>8752</v>
      </c>
      <c r="B6362" s="185"/>
      <c r="C6362" s="147"/>
      <c r="D6362" s="185"/>
      <c r="E6362" s="185"/>
      <c r="F6362" s="185"/>
      <c r="G6362" s="185"/>
      <c r="H6362" s="185"/>
      <c r="I6362" s="11"/>
    </row>
    <row r="6363" spans="1:12" ht="11.15" customHeight="1">
      <c r="A6363" s="181" t="s">
        <v>8753</v>
      </c>
      <c r="B6363" s="90"/>
      <c r="C6363" s="147"/>
      <c r="D6363" s="161"/>
      <c r="E6363" s="36"/>
      <c r="F6363" s="183"/>
      <c r="G6363" s="496"/>
      <c r="H6363" s="34"/>
      <c r="I6363" s="11"/>
    </row>
    <row r="6364" spans="1:12" ht="11.15" customHeight="1">
      <c r="A6364" s="181" t="s">
        <v>2536</v>
      </c>
      <c r="B6364" s="90"/>
      <c r="C6364" s="147"/>
      <c r="D6364" s="161"/>
      <c r="E6364" s="36"/>
      <c r="F6364" s="183"/>
      <c r="G6364" s="496"/>
      <c r="H6364" s="34"/>
      <c r="I6364" s="11"/>
    </row>
    <row r="6365" spans="1:12" ht="11.15" customHeight="1">
      <c r="A6365" s="166" t="s">
        <v>8754</v>
      </c>
      <c r="B6365" s="90"/>
      <c r="C6365" s="147"/>
      <c r="D6365" s="161"/>
      <c r="E6365" s="36"/>
      <c r="F6365" s="183"/>
      <c r="G6365" s="496"/>
      <c r="H6365" s="34"/>
      <c r="I6365" s="11"/>
    </row>
    <row r="6366" spans="1:12" ht="11.15" customHeight="1">
      <c r="A6366" s="481" t="s">
        <v>8755</v>
      </c>
      <c r="B6366" s="90"/>
      <c r="C6366" s="147"/>
      <c r="D6366" s="161"/>
      <c r="E6366" s="36"/>
      <c r="F6366" s="183"/>
      <c r="G6366" s="496"/>
      <c r="H6366" s="34"/>
      <c r="I6366" s="11"/>
    </row>
    <row r="6367" spans="1:12" ht="11.15" customHeight="1" thickBot="1">
      <c r="A6367" s="185"/>
      <c r="B6367" s="90"/>
      <c r="C6367" s="147"/>
      <c r="D6367" s="161"/>
      <c r="E6367" s="36"/>
      <c r="F6367" s="183"/>
      <c r="G6367" s="496"/>
      <c r="H6367" s="34"/>
      <c r="I6367" s="11"/>
    </row>
    <row r="6368" spans="1:12" ht="24" customHeight="1" thickBot="1">
      <c r="A6368" s="528"/>
      <c r="B6368" s="50" t="s">
        <v>8756</v>
      </c>
      <c r="C6368" s="170"/>
      <c r="D6368" s="382"/>
      <c r="E6368" s="235"/>
      <c r="F6368" s="383"/>
      <c r="G6368" s="1142"/>
      <c r="H6368" s="516"/>
      <c r="I6368" s="1131"/>
    </row>
    <row r="6369" spans="1:12" ht="9" customHeight="1">
      <c r="A6369" s="185"/>
      <c r="B6369" s="150" t="s">
        <v>8757</v>
      </c>
      <c r="C6369" s="147"/>
      <c r="D6369" s="182"/>
      <c r="E6369" s="36"/>
      <c r="F6369" s="183"/>
      <c r="G6369" s="671"/>
      <c r="H6369" s="34"/>
      <c r="I6369" s="11"/>
    </row>
    <row r="6370" spans="1:12" ht="9" customHeight="1" thickBot="1">
      <c r="A6370" s="185"/>
      <c r="B6370" s="152" t="s">
        <v>8758</v>
      </c>
      <c r="C6370" s="147"/>
      <c r="D6370" s="159"/>
      <c r="E6370" s="36"/>
      <c r="F6370" s="183"/>
      <c r="G6370" s="671"/>
      <c r="H6370" s="34"/>
      <c r="I6370" s="11"/>
    </row>
    <row r="6371" spans="1:12" ht="11.15" customHeight="1" thickBot="1">
      <c r="A6371" s="184" t="s">
        <v>8759</v>
      </c>
      <c r="B6371" s="177" t="s">
        <v>8760</v>
      </c>
      <c r="C6371" s="147"/>
      <c r="D6371" s="159"/>
      <c r="E6371" s="36"/>
      <c r="F6371" s="178"/>
      <c r="G6371" s="671"/>
      <c r="H6371" s="36"/>
      <c r="I6371" s="11"/>
    </row>
    <row r="6372" spans="1:12" ht="11.15" customHeight="1">
      <c r="A6372" s="29" t="s">
        <v>8761</v>
      </c>
      <c r="B6372" s="59" t="s">
        <v>21378</v>
      </c>
      <c r="C6372" s="147" t="s">
        <v>23393</v>
      </c>
      <c r="D6372" s="701" t="s">
        <v>1129</v>
      </c>
      <c r="E6372" s="178">
        <v>2023</v>
      </c>
      <c r="F6372" s="178" t="s">
        <v>4520</v>
      </c>
      <c r="G6372" s="496"/>
      <c r="H6372" s="994" t="s">
        <v>20221</v>
      </c>
      <c r="I6372" s="11" t="s">
        <v>8762</v>
      </c>
      <c r="J6372" s="1285"/>
      <c r="K6372" s="1285"/>
      <c r="L6372" s="1285"/>
    </row>
    <row r="6373" spans="1:12" ht="11.15" customHeight="1">
      <c r="A6373" s="29" t="s">
        <v>8763</v>
      </c>
      <c r="B6373" s="59" t="s">
        <v>21379</v>
      </c>
      <c r="C6373" s="147" t="s">
        <v>23393</v>
      </c>
      <c r="D6373" s="701" t="s">
        <v>1129</v>
      </c>
      <c r="E6373" s="178">
        <v>2023</v>
      </c>
      <c r="F6373" s="178" t="s">
        <v>4520</v>
      </c>
      <c r="G6373" s="496"/>
      <c r="H6373" s="994" t="s">
        <v>20224</v>
      </c>
      <c r="I6373" s="11" t="s">
        <v>8764</v>
      </c>
      <c r="J6373" s="1285"/>
      <c r="K6373" s="1285"/>
      <c r="L6373" s="1285"/>
    </row>
    <row r="6374" spans="1:12" ht="10.5" customHeight="1">
      <c r="A6374" s="29" t="s">
        <v>8765</v>
      </c>
      <c r="B6374" s="59" t="s">
        <v>21380</v>
      </c>
      <c r="C6374" s="147" t="s">
        <v>23393</v>
      </c>
      <c r="D6374" s="701" t="s">
        <v>1129</v>
      </c>
      <c r="E6374" s="178">
        <v>2022</v>
      </c>
      <c r="F6374" s="178" t="s">
        <v>4520</v>
      </c>
      <c r="G6374" s="496"/>
      <c r="H6374" s="994" t="s">
        <v>20221</v>
      </c>
      <c r="I6374" s="11" t="s">
        <v>8766</v>
      </c>
      <c r="J6374" s="1285"/>
      <c r="K6374" s="1285"/>
      <c r="L6374" s="1285"/>
    </row>
    <row r="6375" spans="1:12" ht="11.15" customHeight="1">
      <c r="A6375" s="29" t="s">
        <v>8767</v>
      </c>
      <c r="B6375" s="59" t="s">
        <v>21381</v>
      </c>
      <c r="C6375" s="147" t="s">
        <v>23393</v>
      </c>
      <c r="D6375" s="701" t="s">
        <v>1129</v>
      </c>
      <c r="E6375" s="178">
        <v>2022</v>
      </c>
      <c r="F6375" s="178" t="s">
        <v>4520</v>
      </c>
      <c r="G6375" s="496"/>
      <c r="H6375" s="994" t="s">
        <v>20224</v>
      </c>
      <c r="I6375" s="11" t="s">
        <v>8768</v>
      </c>
      <c r="J6375" s="1285"/>
      <c r="K6375" s="1285"/>
      <c r="L6375" s="1285"/>
    </row>
    <row r="6376" spans="1:12" ht="11.15" customHeight="1">
      <c r="A6376" s="181" t="s">
        <v>8769</v>
      </c>
      <c r="B6376" s="59" t="s">
        <v>21382</v>
      </c>
      <c r="C6376" s="147" t="s">
        <v>23393</v>
      </c>
      <c r="D6376" s="701" t="s">
        <v>1129</v>
      </c>
      <c r="E6376" s="178">
        <v>2022</v>
      </c>
      <c r="F6376" s="178" t="s">
        <v>11931</v>
      </c>
      <c r="G6376" s="496"/>
      <c r="H6376" s="994" t="s">
        <v>20224</v>
      </c>
      <c r="I6376" s="11" t="s">
        <v>8770</v>
      </c>
      <c r="J6376" s="1285"/>
      <c r="K6376" s="1285"/>
      <c r="L6376" s="1285"/>
    </row>
    <row r="6377" spans="1:12" ht="11.15" customHeight="1">
      <c r="A6377" s="181" t="s">
        <v>950</v>
      </c>
      <c r="B6377" s="177" t="s">
        <v>8771</v>
      </c>
      <c r="C6377" s="147"/>
      <c r="D6377" s="129"/>
      <c r="E6377" s="185"/>
      <c r="F6377" s="185"/>
      <c r="G6377" s="185"/>
      <c r="H6377" s="185"/>
      <c r="I6377" s="11"/>
    </row>
    <row r="6378" spans="1:12" ht="11.15" customHeight="1">
      <c r="A6378" s="129" t="s">
        <v>6076</v>
      </c>
      <c r="B6378" s="59" t="s">
        <v>21383</v>
      </c>
      <c r="C6378" s="147" t="s">
        <v>23393</v>
      </c>
      <c r="D6378" s="701" t="s">
        <v>1129</v>
      </c>
      <c r="E6378" s="178">
        <v>2022</v>
      </c>
      <c r="F6378" s="178" t="s">
        <v>4520</v>
      </c>
      <c r="G6378" s="496"/>
      <c r="H6378" s="994" t="s">
        <v>20221</v>
      </c>
      <c r="I6378" s="11" t="s">
        <v>8772</v>
      </c>
      <c r="J6378" s="1285"/>
      <c r="K6378" s="1285"/>
      <c r="L6378" s="1285"/>
    </row>
    <row r="6379" spans="1:12" ht="11.15" customHeight="1">
      <c r="A6379" s="162" t="s">
        <v>8773</v>
      </c>
      <c r="B6379" s="59" t="s">
        <v>21384</v>
      </c>
      <c r="C6379" s="147" t="s">
        <v>23393</v>
      </c>
      <c r="D6379" s="701" t="s">
        <v>1129</v>
      </c>
      <c r="E6379" s="178">
        <v>2022</v>
      </c>
      <c r="F6379" s="178" t="s">
        <v>4520</v>
      </c>
      <c r="G6379" s="496"/>
      <c r="H6379" s="994" t="s">
        <v>20221</v>
      </c>
      <c r="I6379" s="11" t="s">
        <v>8774</v>
      </c>
      <c r="J6379" s="1285"/>
      <c r="K6379" s="1285"/>
      <c r="L6379" s="1285"/>
    </row>
    <row r="6380" spans="1:12" ht="11.15" customHeight="1">
      <c r="A6380" s="162" t="s">
        <v>8775</v>
      </c>
      <c r="B6380" s="59" t="s">
        <v>21385</v>
      </c>
      <c r="C6380" s="147" t="s">
        <v>23393</v>
      </c>
      <c r="D6380" s="701" t="s">
        <v>1129</v>
      </c>
      <c r="E6380" s="178">
        <v>2022</v>
      </c>
      <c r="F6380" s="178" t="s">
        <v>11931</v>
      </c>
      <c r="G6380" s="496"/>
      <c r="H6380" s="994" t="s">
        <v>20277</v>
      </c>
      <c r="I6380" s="11" t="s">
        <v>8776</v>
      </c>
      <c r="J6380" s="1285"/>
      <c r="K6380" s="1285"/>
      <c r="L6380" s="1285"/>
    </row>
    <row r="6381" spans="1:12" ht="11.15" customHeight="1">
      <c r="A6381" s="162" t="s">
        <v>8777</v>
      </c>
      <c r="B6381" s="154" t="s">
        <v>1398</v>
      </c>
      <c r="C6381" s="147"/>
      <c r="D6381" s="129"/>
      <c r="E6381" s="185"/>
      <c r="F6381" s="185"/>
      <c r="G6381" s="185"/>
      <c r="H6381" s="185"/>
      <c r="I6381" s="11"/>
    </row>
    <row r="6382" spans="1:12" ht="11.15" customHeight="1">
      <c r="A6382" s="162" t="s">
        <v>8778</v>
      </c>
      <c r="B6382" s="59" t="s">
        <v>21386</v>
      </c>
      <c r="C6382" s="147" t="s">
        <v>23393</v>
      </c>
      <c r="D6382" s="284" t="s">
        <v>897</v>
      </c>
      <c r="E6382" s="178">
        <v>2023</v>
      </c>
      <c r="F6382" s="178" t="s">
        <v>4520</v>
      </c>
      <c r="G6382" s="496"/>
      <c r="H6382" s="994" t="s">
        <v>20221</v>
      </c>
      <c r="I6382" s="11" t="s">
        <v>8779</v>
      </c>
      <c r="J6382" s="1285"/>
      <c r="K6382" s="1285"/>
      <c r="L6382" s="1285"/>
    </row>
    <row r="6383" spans="1:12" ht="11.15" customHeight="1">
      <c r="A6383" s="162" t="s">
        <v>8780</v>
      </c>
      <c r="B6383" s="59" t="s">
        <v>21386</v>
      </c>
      <c r="C6383" s="147" t="s">
        <v>23393</v>
      </c>
      <c r="D6383" s="284" t="s">
        <v>897</v>
      </c>
      <c r="E6383" s="178">
        <v>2022</v>
      </c>
      <c r="F6383" s="178" t="s">
        <v>4520</v>
      </c>
      <c r="G6383" s="496"/>
      <c r="H6383" s="994" t="s">
        <v>20221</v>
      </c>
      <c r="I6383" s="11" t="s">
        <v>8781</v>
      </c>
      <c r="J6383" s="1285"/>
      <c r="K6383" s="1285"/>
      <c r="L6383" s="1285"/>
    </row>
    <row r="6384" spans="1:12" ht="11.15" customHeight="1">
      <c r="A6384" s="162" t="s">
        <v>8782</v>
      </c>
      <c r="B6384" s="59" t="s">
        <v>21387</v>
      </c>
      <c r="C6384" s="147" t="s">
        <v>23393</v>
      </c>
      <c r="D6384" s="284" t="s">
        <v>897</v>
      </c>
      <c r="E6384" s="178">
        <v>2023</v>
      </c>
      <c r="F6384" s="178" t="s">
        <v>4520</v>
      </c>
      <c r="G6384" s="496"/>
      <c r="H6384" s="994" t="s">
        <v>20221</v>
      </c>
      <c r="I6384" s="11" t="s">
        <v>8783</v>
      </c>
      <c r="J6384" s="1285"/>
      <c r="K6384" s="1285"/>
      <c r="L6384" s="1285"/>
    </row>
    <row r="6385" spans="1:12" ht="11.15" customHeight="1">
      <c r="A6385" s="162" t="s">
        <v>8784</v>
      </c>
      <c r="B6385" s="59" t="s">
        <v>21387</v>
      </c>
      <c r="C6385" s="147" t="s">
        <v>23393</v>
      </c>
      <c r="D6385" s="284" t="s">
        <v>897</v>
      </c>
      <c r="E6385" s="178">
        <v>2022</v>
      </c>
      <c r="F6385" s="178" t="s">
        <v>4520</v>
      </c>
      <c r="G6385" s="496"/>
      <c r="H6385" s="994" t="s">
        <v>20224</v>
      </c>
      <c r="I6385" s="11" t="s">
        <v>8785</v>
      </c>
      <c r="J6385" s="1285"/>
      <c r="K6385" s="1285"/>
      <c r="L6385" s="1285"/>
    </row>
    <row r="6386" spans="1:12" ht="11.15" customHeight="1">
      <c r="A6386" s="162" t="s">
        <v>8786</v>
      </c>
      <c r="B6386" s="59" t="s">
        <v>21388</v>
      </c>
      <c r="C6386" s="147" t="s">
        <v>23393</v>
      </c>
      <c r="D6386" s="284" t="s">
        <v>897</v>
      </c>
      <c r="E6386" s="178">
        <v>2023</v>
      </c>
      <c r="F6386" s="178" t="s">
        <v>4520</v>
      </c>
      <c r="G6386" s="496"/>
      <c r="H6386" s="994" t="s">
        <v>20221</v>
      </c>
      <c r="I6386" s="11" t="s">
        <v>8787</v>
      </c>
      <c r="J6386" s="1285"/>
      <c r="K6386" s="1285"/>
      <c r="L6386" s="1285"/>
    </row>
    <row r="6387" spans="1:12" ht="11.15" customHeight="1">
      <c r="A6387" s="162" t="s">
        <v>8788</v>
      </c>
      <c r="B6387" s="59" t="s">
        <v>21388</v>
      </c>
      <c r="C6387" s="147" t="s">
        <v>23393</v>
      </c>
      <c r="D6387" s="284" t="s">
        <v>897</v>
      </c>
      <c r="E6387" s="178">
        <v>2022</v>
      </c>
      <c r="F6387" s="178" t="s">
        <v>4520</v>
      </c>
      <c r="G6387" s="496"/>
      <c r="H6387" s="994" t="s">
        <v>20221</v>
      </c>
      <c r="I6387" s="11" t="s">
        <v>8789</v>
      </c>
      <c r="J6387" s="1285"/>
      <c r="K6387" s="1285"/>
      <c r="L6387" s="1285"/>
    </row>
    <row r="6388" spans="1:12" ht="11.15" customHeight="1">
      <c r="A6388" s="162" t="s">
        <v>8790</v>
      </c>
      <c r="B6388" s="59" t="s">
        <v>21389</v>
      </c>
      <c r="C6388" s="147" t="s">
        <v>23393</v>
      </c>
      <c r="D6388" s="284" t="s">
        <v>897</v>
      </c>
      <c r="E6388" s="178">
        <v>2023</v>
      </c>
      <c r="F6388" s="178" t="s">
        <v>4520</v>
      </c>
      <c r="G6388" s="496"/>
      <c r="H6388" s="994" t="s">
        <v>20221</v>
      </c>
      <c r="I6388" s="11" t="s">
        <v>8791</v>
      </c>
      <c r="J6388" s="1285"/>
      <c r="K6388" s="1285"/>
      <c r="L6388" s="1285"/>
    </row>
    <row r="6389" spans="1:12" ht="11.15" customHeight="1">
      <c r="A6389" s="162" t="s">
        <v>8792</v>
      </c>
      <c r="B6389" s="59" t="s">
        <v>21389</v>
      </c>
      <c r="C6389" s="147" t="s">
        <v>23393</v>
      </c>
      <c r="D6389" s="284" t="s">
        <v>897</v>
      </c>
      <c r="E6389" s="178">
        <v>2022</v>
      </c>
      <c r="F6389" s="178" t="s">
        <v>4520</v>
      </c>
      <c r="G6389" s="496"/>
      <c r="H6389" s="994" t="s">
        <v>20221</v>
      </c>
      <c r="I6389" s="11" t="s">
        <v>8793</v>
      </c>
      <c r="J6389" s="1285"/>
      <c r="K6389" s="1285"/>
      <c r="L6389" s="1285"/>
    </row>
    <row r="6390" spans="1:12" ht="11.15" customHeight="1">
      <c r="A6390" s="162" t="s">
        <v>8794</v>
      </c>
      <c r="B6390" s="154" t="s">
        <v>8795</v>
      </c>
      <c r="C6390" s="147"/>
      <c r="D6390" s="129"/>
      <c r="E6390" s="185"/>
      <c r="F6390" s="185"/>
      <c r="G6390" s="185"/>
      <c r="H6390" s="185"/>
      <c r="I6390" s="11"/>
    </row>
    <row r="6391" spans="1:12" ht="11.15" customHeight="1">
      <c r="A6391" s="162" t="s">
        <v>8796</v>
      </c>
      <c r="B6391" s="59" t="s">
        <v>21390</v>
      </c>
      <c r="C6391" s="147" t="s">
        <v>23393</v>
      </c>
      <c r="D6391" s="739" t="s">
        <v>1410</v>
      </c>
      <c r="E6391" s="178">
        <v>2018</v>
      </c>
      <c r="F6391" s="178" t="s">
        <v>7168</v>
      </c>
      <c r="G6391" s="496"/>
      <c r="H6391" s="994" t="s">
        <v>20277</v>
      </c>
      <c r="I6391" s="11" t="s">
        <v>8797</v>
      </c>
      <c r="J6391" s="1285"/>
      <c r="K6391" s="1285"/>
      <c r="L6391" s="1285"/>
    </row>
    <row r="6392" spans="1:12" ht="11.15" customHeight="1">
      <c r="A6392" s="162" t="s">
        <v>8798</v>
      </c>
      <c r="B6392" s="154" t="s">
        <v>8799</v>
      </c>
      <c r="C6392" s="147"/>
      <c r="D6392" s="182"/>
      <c r="E6392" s="36"/>
      <c r="F6392" s="183"/>
      <c r="G6392" s="671"/>
      <c r="H6392" s="34"/>
      <c r="I6392" s="11"/>
    </row>
    <row r="6393" spans="1:12" ht="11.15" customHeight="1">
      <c r="A6393" s="162" t="s">
        <v>8800</v>
      </c>
      <c r="B6393" s="59" t="s">
        <v>21391</v>
      </c>
      <c r="C6393" s="147" t="s">
        <v>23393</v>
      </c>
      <c r="D6393" s="183" t="s">
        <v>6904</v>
      </c>
      <c r="E6393" s="178" t="s">
        <v>20221</v>
      </c>
      <c r="F6393" s="178" t="s">
        <v>23406</v>
      </c>
      <c r="G6393" s="496"/>
      <c r="H6393" s="994" t="s">
        <v>20277</v>
      </c>
      <c r="I6393" s="11" t="s">
        <v>8801</v>
      </c>
      <c r="J6393" s="1285"/>
      <c r="K6393" s="1285"/>
      <c r="L6393" s="1285"/>
    </row>
    <row r="6394" spans="1:12" ht="11.15" customHeight="1">
      <c r="A6394" s="162" t="s">
        <v>8802</v>
      </c>
      <c r="B6394" s="185"/>
      <c r="C6394" s="147"/>
      <c r="D6394" s="185"/>
      <c r="E6394" s="185"/>
      <c r="F6394" s="185"/>
      <c r="G6394" s="185"/>
      <c r="H6394" s="185"/>
      <c r="I6394" s="11"/>
    </row>
    <row r="6395" spans="1:12" ht="11.15" customHeight="1">
      <c r="A6395" s="29" t="s">
        <v>7897</v>
      </c>
      <c r="B6395" s="185"/>
      <c r="C6395" s="147"/>
      <c r="D6395" s="185"/>
      <c r="E6395" s="185"/>
      <c r="F6395" s="185"/>
      <c r="G6395" s="185"/>
      <c r="H6395" s="185"/>
      <c r="I6395" s="11"/>
    </row>
    <row r="6396" spans="1:12" ht="11.15" customHeight="1">
      <c r="A6396" s="481" t="s">
        <v>8803</v>
      </c>
      <c r="B6396" s="185"/>
      <c r="C6396" s="147"/>
      <c r="D6396" s="185"/>
      <c r="E6396" s="185"/>
      <c r="F6396" s="185"/>
      <c r="G6396" s="185"/>
      <c r="H6396" s="185"/>
      <c r="I6396" s="11"/>
    </row>
    <row r="6397" spans="1:12" ht="11.15" customHeight="1">
      <c r="A6397" s="185"/>
      <c r="B6397" s="413" t="s">
        <v>8804</v>
      </c>
      <c r="C6397" s="147"/>
      <c r="D6397" s="159"/>
      <c r="E6397" s="529"/>
      <c r="F6397" s="178"/>
      <c r="G6397" s="671"/>
      <c r="H6397" s="36"/>
      <c r="I6397" s="11"/>
    </row>
    <row r="6398" spans="1:12" ht="9" customHeight="1">
      <c r="A6398" s="185"/>
      <c r="B6398" s="209" t="s">
        <v>8805</v>
      </c>
      <c r="C6398" s="147"/>
      <c r="D6398" s="122"/>
      <c r="E6398" s="36"/>
      <c r="F6398" s="178"/>
      <c r="G6398" s="60"/>
      <c r="H6398" s="36"/>
      <c r="I6398" s="11"/>
    </row>
    <row r="6399" spans="1:12" ht="9" customHeight="1">
      <c r="A6399" s="185"/>
      <c r="B6399" s="150" t="s">
        <v>8806</v>
      </c>
      <c r="C6399" s="147"/>
      <c r="D6399" s="122"/>
      <c r="E6399" s="36"/>
      <c r="F6399" s="178"/>
      <c r="G6399" s="60"/>
      <c r="H6399" s="36"/>
      <c r="I6399" s="11"/>
    </row>
    <row r="6400" spans="1:12" ht="9" customHeight="1">
      <c r="A6400" s="185"/>
      <c r="B6400" s="150" t="s">
        <v>8807</v>
      </c>
      <c r="C6400" s="147"/>
      <c r="D6400" s="122"/>
      <c r="E6400" s="36"/>
      <c r="F6400" s="178"/>
      <c r="G6400" s="60"/>
      <c r="H6400" s="36"/>
      <c r="I6400" s="11"/>
    </row>
    <row r="6401" spans="1:12" ht="9" customHeight="1">
      <c r="A6401" s="185"/>
      <c r="B6401" s="150" t="s">
        <v>8808</v>
      </c>
      <c r="C6401" s="147"/>
      <c r="D6401" s="122"/>
      <c r="E6401" s="36"/>
      <c r="F6401" s="178"/>
      <c r="G6401" s="60"/>
      <c r="H6401" s="36"/>
      <c r="I6401" s="11"/>
    </row>
    <row r="6402" spans="1:12" ht="9" customHeight="1" thickBot="1">
      <c r="A6402" s="185"/>
      <c r="B6402" s="150" t="s">
        <v>8809</v>
      </c>
      <c r="C6402" s="147"/>
      <c r="D6402" s="122"/>
      <c r="E6402" s="36"/>
      <c r="F6402" s="178"/>
      <c r="G6402" s="60"/>
      <c r="H6402" s="36"/>
      <c r="I6402" s="11"/>
    </row>
    <row r="6403" spans="1:12" ht="11.15" customHeight="1" thickBot="1">
      <c r="A6403" s="184" t="s">
        <v>8810</v>
      </c>
      <c r="B6403" s="154" t="s">
        <v>8811</v>
      </c>
      <c r="C6403" s="147"/>
      <c r="D6403" s="129"/>
      <c r="E6403" s="185"/>
      <c r="F6403" s="185"/>
      <c r="G6403" s="185"/>
      <c r="H6403" s="185"/>
      <c r="I6403" s="11"/>
    </row>
    <row r="6404" spans="1:12" ht="11.15" customHeight="1">
      <c r="A6404" s="29" t="s">
        <v>8812</v>
      </c>
      <c r="B6404" s="59" t="s">
        <v>21394</v>
      </c>
      <c r="C6404" s="147" t="s">
        <v>23393</v>
      </c>
      <c r="D6404" s="701" t="s">
        <v>884</v>
      </c>
      <c r="E6404" s="178" t="s">
        <v>19060</v>
      </c>
      <c r="F6404" s="178" t="s">
        <v>4520</v>
      </c>
      <c r="G6404" s="496"/>
      <c r="H6404" s="994" t="s">
        <v>20221</v>
      </c>
      <c r="I6404" s="11" t="s">
        <v>8813</v>
      </c>
      <c r="J6404" s="1285"/>
      <c r="K6404" s="1285"/>
      <c r="L6404" s="1285"/>
    </row>
    <row r="6405" spans="1:12" ht="11.15" customHeight="1">
      <c r="A6405" s="29" t="s">
        <v>8814</v>
      </c>
      <c r="B6405" s="59" t="s">
        <v>21395</v>
      </c>
      <c r="C6405" s="147" t="s">
        <v>23393</v>
      </c>
      <c r="D6405" s="701" t="s">
        <v>884</v>
      </c>
      <c r="E6405" s="178">
        <v>2020</v>
      </c>
      <c r="F6405" s="178" t="s">
        <v>4520</v>
      </c>
      <c r="G6405" s="496"/>
      <c r="H6405" s="994" t="s">
        <v>20221</v>
      </c>
      <c r="I6405" s="11" t="s">
        <v>8815</v>
      </c>
      <c r="J6405" s="1285"/>
      <c r="K6405" s="1285"/>
      <c r="L6405" s="1285"/>
    </row>
    <row r="6406" spans="1:12" ht="11.15" customHeight="1">
      <c r="A6406" s="229" t="s">
        <v>8816</v>
      </c>
      <c r="B6406" s="177" t="s">
        <v>8817</v>
      </c>
      <c r="C6406" s="147"/>
      <c r="D6406" s="122"/>
      <c r="E6406" s="36"/>
      <c r="F6406" s="178"/>
      <c r="G6406" s="60"/>
      <c r="H6406" s="36"/>
      <c r="I6406" s="11"/>
    </row>
    <row r="6407" spans="1:12" ht="11.15" customHeight="1">
      <c r="A6407" s="29" t="s">
        <v>8818</v>
      </c>
      <c r="B6407" s="59" t="s">
        <v>21396</v>
      </c>
      <c r="C6407" s="147" t="s">
        <v>23393</v>
      </c>
      <c r="D6407" s="701" t="s">
        <v>1129</v>
      </c>
      <c r="E6407" s="178">
        <v>2023</v>
      </c>
      <c r="F6407" s="178" t="s">
        <v>4520</v>
      </c>
      <c r="G6407" s="496"/>
      <c r="H6407" s="994" t="s">
        <v>20221</v>
      </c>
      <c r="I6407" s="11" t="s">
        <v>8819</v>
      </c>
      <c r="J6407" s="1285"/>
      <c r="K6407" s="1285"/>
      <c r="L6407" s="1285"/>
    </row>
    <row r="6408" spans="1:12" ht="11.15" customHeight="1">
      <c r="A6408" s="29" t="s">
        <v>8820</v>
      </c>
      <c r="B6408" s="59" t="s">
        <v>21396</v>
      </c>
      <c r="C6408" s="147" t="s">
        <v>23393</v>
      </c>
      <c r="D6408" s="701" t="s">
        <v>1129</v>
      </c>
      <c r="E6408" s="178">
        <v>2022</v>
      </c>
      <c r="F6408" s="178" t="s">
        <v>4520</v>
      </c>
      <c r="G6408" s="496"/>
      <c r="H6408" s="994" t="s">
        <v>20221</v>
      </c>
      <c r="I6408" s="11" t="s">
        <v>8821</v>
      </c>
      <c r="J6408" s="1285"/>
      <c r="K6408" s="1285"/>
      <c r="L6408" s="1285"/>
    </row>
    <row r="6409" spans="1:12" ht="11.15" customHeight="1">
      <c r="A6409" s="29" t="s">
        <v>8822</v>
      </c>
      <c r="B6409" s="59" t="s">
        <v>21397</v>
      </c>
      <c r="C6409" s="147" t="s">
        <v>23393</v>
      </c>
      <c r="D6409" s="701" t="s">
        <v>1129</v>
      </c>
      <c r="E6409" s="178">
        <v>2022</v>
      </c>
      <c r="F6409" s="178" t="s">
        <v>4520</v>
      </c>
      <c r="G6409" s="496"/>
      <c r="H6409" s="994" t="s">
        <v>20221</v>
      </c>
      <c r="I6409" s="21" t="s">
        <v>8824</v>
      </c>
      <c r="J6409" s="1285"/>
      <c r="K6409" s="1285"/>
      <c r="L6409" s="1285"/>
    </row>
    <row r="6410" spans="1:12" ht="11.15" customHeight="1">
      <c r="A6410" s="181" t="s">
        <v>8823</v>
      </c>
      <c r="B6410" s="59" t="s">
        <v>21397</v>
      </c>
      <c r="C6410" s="147" t="s">
        <v>23393</v>
      </c>
      <c r="D6410" s="701" t="s">
        <v>1129</v>
      </c>
      <c r="E6410" s="178">
        <v>2019</v>
      </c>
      <c r="F6410" s="178" t="s">
        <v>4520</v>
      </c>
      <c r="G6410" s="496"/>
      <c r="H6410" s="994" t="s">
        <v>20224</v>
      </c>
      <c r="I6410" s="11" t="s">
        <v>8826</v>
      </c>
      <c r="J6410" s="1285"/>
      <c r="K6410" s="1285"/>
      <c r="L6410" s="1285"/>
    </row>
    <row r="6411" spans="1:12" ht="11.15" customHeight="1">
      <c r="A6411" s="181" t="s">
        <v>8825</v>
      </c>
      <c r="B6411" s="59" t="s">
        <v>21398</v>
      </c>
      <c r="C6411" s="147" t="s">
        <v>23393</v>
      </c>
      <c r="D6411" s="701" t="s">
        <v>1129</v>
      </c>
      <c r="E6411" s="178">
        <v>2022</v>
      </c>
      <c r="F6411" s="178" t="s">
        <v>4520</v>
      </c>
      <c r="G6411" s="496"/>
      <c r="H6411" s="994" t="s">
        <v>20221</v>
      </c>
      <c r="I6411" s="11" t="s">
        <v>8828</v>
      </c>
      <c r="J6411" s="1285"/>
      <c r="K6411" s="1285"/>
      <c r="L6411" s="1285"/>
    </row>
    <row r="6412" spans="1:12" ht="11.15" customHeight="1">
      <c r="A6412" s="129" t="s">
        <v>8827</v>
      </c>
      <c r="B6412" s="59" t="s">
        <v>21398</v>
      </c>
      <c r="C6412" s="147" t="s">
        <v>23393</v>
      </c>
      <c r="D6412" s="701" t="s">
        <v>1129</v>
      </c>
      <c r="E6412" s="178">
        <v>2020</v>
      </c>
      <c r="F6412" s="178" t="s">
        <v>4520</v>
      </c>
      <c r="G6412" s="496"/>
      <c r="H6412" s="994" t="s">
        <v>20221</v>
      </c>
      <c r="I6412" s="11" t="s">
        <v>8830</v>
      </c>
      <c r="J6412" s="1285"/>
      <c r="K6412" s="1285"/>
      <c r="L6412" s="1285"/>
    </row>
    <row r="6413" spans="1:12" ht="11.15" customHeight="1">
      <c r="A6413" s="162" t="s">
        <v>8829</v>
      </c>
      <c r="B6413" s="59" t="s">
        <v>21399</v>
      </c>
      <c r="C6413" s="147" t="s">
        <v>23393</v>
      </c>
      <c r="D6413" s="701" t="s">
        <v>1129</v>
      </c>
      <c r="E6413" s="178">
        <v>2022</v>
      </c>
      <c r="F6413" s="178" t="s">
        <v>5257</v>
      </c>
      <c r="G6413" s="496"/>
      <c r="H6413" s="994" t="s">
        <v>20221</v>
      </c>
      <c r="I6413" s="11" t="s">
        <v>8832</v>
      </c>
      <c r="J6413" s="1285"/>
      <c r="K6413" s="1285"/>
      <c r="L6413" s="1285"/>
    </row>
    <row r="6414" spans="1:12" ht="11.15" customHeight="1">
      <c r="A6414" s="162" t="s">
        <v>8831</v>
      </c>
      <c r="B6414" s="59" t="s">
        <v>21400</v>
      </c>
      <c r="C6414" s="147" t="s">
        <v>23393</v>
      </c>
      <c r="D6414" s="701" t="s">
        <v>1129</v>
      </c>
      <c r="E6414" s="178">
        <v>2022</v>
      </c>
      <c r="F6414" s="178" t="s">
        <v>4520</v>
      </c>
      <c r="G6414" s="496"/>
      <c r="H6414" s="994" t="s">
        <v>20221</v>
      </c>
      <c r="I6414" s="11" t="s">
        <v>8834</v>
      </c>
      <c r="J6414" s="1285"/>
      <c r="K6414" s="1285"/>
      <c r="L6414" s="1285"/>
    </row>
    <row r="6415" spans="1:12" ht="11.15" customHeight="1">
      <c r="A6415" s="129" t="s">
        <v>8833</v>
      </c>
      <c r="B6415" s="59" t="s">
        <v>21400</v>
      </c>
      <c r="C6415" s="147" t="s">
        <v>23393</v>
      </c>
      <c r="D6415" s="701" t="s">
        <v>1129</v>
      </c>
      <c r="E6415" s="178">
        <v>2020</v>
      </c>
      <c r="F6415" s="178" t="s">
        <v>4520</v>
      </c>
      <c r="G6415" s="496"/>
      <c r="H6415" s="994" t="s">
        <v>20221</v>
      </c>
      <c r="I6415" s="11" t="s">
        <v>8836</v>
      </c>
      <c r="J6415" s="1285"/>
      <c r="K6415" s="1285"/>
      <c r="L6415" s="1285"/>
    </row>
    <row r="6416" spans="1:12" ht="11.15" customHeight="1">
      <c r="A6416" s="292" t="s">
        <v>8835</v>
      </c>
      <c r="B6416" s="177" t="s">
        <v>8838</v>
      </c>
      <c r="C6416" s="147"/>
      <c r="D6416" s="159"/>
      <c r="E6416" s="36"/>
      <c r="F6416" s="178"/>
      <c r="G6416" s="60"/>
      <c r="H6416" s="36"/>
      <c r="I6416" s="11"/>
    </row>
    <row r="6417" spans="1:12" ht="11.15" customHeight="1">
      <c r="A6417" s="291" t="s">
        <v>8837</v>
      </c>
      <c r="B6417" s="59" t="s">
        <v>21401</v>
      </c>
      <c r="C6417" s="147" t="s">
        <v>23393</v>
      </c>
      <c r="D6417" s="701" t="s">
        <v>1129</v>
      </c>
      <c r="E6417" s="178" t="s">
        <v>20221</v>
      </c>
      <c r="F6417" s="178" t="s">
        <v>4520</v>
      </c>
      <c r="G6417" s="496" t="s">
        <v>20221</v>
      </c>
      <c r="H6417" s="994" t="s">
        <v>3907</v>
      </c>
      <c r="I6417" s="11" t="s">
        <v>8840</v>
      </c>
      <c r="J6417" s="1285"/>
      <c r="K6417" s="1285"/>
      <c r="L6417" s="1285"/>
    </row>
    <row r="6418" spans="1:12" ht="11.15" customHeight="1">
      <c r="A6418" s="162" t="s">
        <v>8839</v>
      </c>
      <c r="B6418" s="59" t="s">
        <v>21402</v>
      </c>
      <c r="C6418" s="147" t="s">
        <v>23393</v>
      </c>
      <c r="D6418" s="701" t="s">
        <v>1129</v>
      </c>
      <c r="E6418" s="178">
        <v>2018</v>
      </c>
      <c r="F6418" s="178" t="s">
        <v>4520</v>
      </c>
      <c r="G6418" s="496"/>
      <c r="H6418" s="994" t="s">
        <v>20221</v>
      </c>
      <c r="I6418" s="11" t="s">
        <v>8842</v>
      </c>
      <c r="J6418" s="1285"/>
      <c r="K6418" s="1285"/>
      <c r="L6418" s="1285"/>
    </row>
    <row r="6419" spans="1:12" ht="11.15" customHeight="1">
      <c r="A6419" s="162" t="s">
        <v>8841</v>
      </c>
      <c r="B6419" s="59" t="s">
        <v>21403</v>
      </c>
      <c r="C6419" s="147" t="s">
        <v>23393</v>
      </c>
      <c r="D6419" s="701" t="s">
        <v>1129</v>
      </c>
      <c r="E6419" s="178">
        <v>2016</v>
      </c>
      <c r="F6419" s="178" t="s">
        <v>23407</v>
      </c>
      <c r="G6419" s="496"/>
      <c r="H6419" s="994" t="s">
        <v>20224</v>
      </c>
      <c r="I6419" s="11" t="s">
        <v>8843</v>
      </c>
      <c r="J6419" s="1285"/>
      <c r="K6419" s="1285"/>
      <c r="L6419" s="1285"/>
    </row>
    <row r="6420" spans="1:12" ht="11.15" customHeight="1">
      <c r="A6420" s="129" t="s">
        <v>1308</v>
      </c>
      <c r="B6420" s="177" t="s">
        <v>8844</v>
      </c>
      <c r="C6420" s="147"/>
      <c r="D6420" s="122"/>
      <c r="E6420" s="36"/>
      <c r="F6420" s="178"/>
      <c r="G6420" s="60"/>
      <c r="H6420" s="36"/>
      <c r="I6420" s="11"/>
    </row>
    <row r="6421" spans="1:12" ht="11.15" customHeight="1">
      <c r="A6421" s="162" t="s">
        <v>2685</v>
      </c>
      <c r="B6421" s="59" t="s">
        <v>21405</v>
      </c>
      <c r="C6421" s="147" t="s">
        <v>23393</v>
      </c>
      <c r="D6421" s="284" t="s">
        <v>897</v>
      </c>
      <c r="E6421" s="178">
        <v>2020</v>
      </c>
      <c r="F6421" s="178" t="s">
        <v>4520</v>
      </c>
      <c r="G6421" s="496"/>
      <c r="H6421" s="994" t="s">
        <v>20221</v>
      </c>
      <c r="I6421" s="11" t="s">
        <v>8845</v>
      </c>
      <c r="J6421" s="1285"/>
      <c r="K6421" s="1285"/>
      <c r="L6421" s="1285"/>
    </row>
    <row r="6422" spans="1:12" ht="11.15" customHeight="1">
      <c r="A6422" s="162" t="s">
        <v>3845</v>
      </c>
      <c r="B6422" s="59" t="s">
        <v>21405</v>
      </c>
      <c r="C6422" s="147" t="s">
        <v>23393</v>
      </c>
      <c r="D6422" s="284" t="s">
        <v>897</v>
      </c>
      <c r="E6422" s="178">
        <v>2018</v>
      </c>
      <c r="F6422" s="178" t="s">
        <v>4520</v>
      </c>
      <c r="G6422" s="496"/>
      <c r="H6422" s="994" t="s">
        <v>20221</v>
      </c>
      <c r="I6422" s="11" t="s">
        <v>8847</v>
      </c>
      <c r="J6422" s="1285"/>
      <c r="K6422" s="1285"/>
      <c r="L6422" s="1285"/>
    </row>
    <row r="6423" spans="1:12" ht="11.25" customHeight="1">
      <c r="A6423" s="162" t="s">
        <v>8846</v>
      </c>
      <c r="B6423" s="59" t="s">
        <v>21405</v>
      </c>
      <c r="C6423" s="147" t="s">
        <v>23393</v>
      </c>
      <c r="D6423" s="284" t="s">
        <v>897</v>
      </c>
      <c r="E6423" s="178">
        <v>2016</v>
      </c>
      <c r="F6423" s="178" t="s">
        <v>4520</v>
      </c>
      <c r="G6423" s="496"/>
      <c r="H6423" s="994" t="s">
        <v>20221</v>
      </c>
      <c r="I6423" s="11" t="s">
        <v>8849</v>
      </c>
      <c r="J6423" s="1285"/>
      <c r="K6423" s="1285"/>
      <c r="L6423" s="1285"/>
    </row>
    <row r="6424" spans="1:12" ht="11.15" customHeight="1">
      <c r="A6424" s="162" t="s">
        <v>8848</v>
      </c>
      <c r="B6424" s="59" t="s">
        <v>21405</v>
      </c>
      <c r="C6424" s="147" t="s">
        <v>23393</v>
      </c>
      <c r="D6424" s="284" t="s">
        <v>897</v>
      </c>
      <c r="E6424" s="178">
        <v>2015</v>
      </c>
      <c r="F6424" s="178" t="s">
        <v>4520</v>
      </c>
      <c r="G6424" s="496"/>
      <c r="H6424" s="994" t="s">
        <v>20277</v>
      </c>
      <c r="I6424" s="11" t="s">
        <v>8851</v>
      </c>
      <c r="J6424" s="1285"/>
      <c r="K6424" s="1285"/>
      <c r="L6424" s="1285"/>
    </row>
    <row r="6425" spans="1:12" ht="11.15" customHeight="1">
      <c r="A6425" s="162" t="s">
        <v>8850</v>
      </c>
      <c r="B6425" s="177" t="s">
        <v>8853</v>
      </c>
      <c r="C6425" s="147"/>
      <c r="D6425" s="122"/>
      <c r="E6425" s="36"/>
      <c r="F6425" s="178"/>
      <c r="G6425" s="60"/>
      <c r="H6425" s="36"/>
      <c r="I6425" s="11"/>
    </row>
    <row r="6426" spans="1:12" ht="11.15" customHeight="1">
      <c r="A6426" s="162" t="s">
        <v>8852</v>
      </c>
      <c r="B6426" s="59" t="s">
        <v>21388</v>
      </c>
      <c r="C6426" s="147" t="s">
        <v>23393</v>
      </c>
      <c r="D6426" s="284" t="s">
        <v>897</v>
      </c>
      <c r="E6426" s="178">
        <v>2023</v>
      </c>
      <c r="F6426" s="178" t="s">
        <v>4520</v>
      </c>
      <c r="G6426" s="496"/>
      <c r="H6426" s="994" t="s">
        <v>20221</v>
      </c>
      <c r="I6426" s="11" t="s">
        <v>8855</v>
      </c>
      <c r="J6426" s="1285"/>
      <c r="K6426" s="1285"/>
      <c r="L6426" s="1285"/>
    </row>
    <row r="6427" spans="1:12" ht="11.15" customHeight="1">
      <c r="A6427" s="162" t="s">
        <v>8854</v>
      </c>
      <c r="B6427" s="59" t="s">
        <v>21388</v>
      </c>
      <c r="C6427" s="147" t="s">
        <v>23393</v>
      </c>
      <c r="D6427" s="284" t="s">
        <v>897</v>
      </c>
      <c r="E6427" s="178">
        <v>2022</v>
      </c>
      <c r="F6427" s="178" t="s">
        <v>4520</v>
      </c>
      <c r="G6427" s="496"/>
      <c r="H6427" s="994" t="s">
        <v>20224</v>
      </c>
      <c r="I6427" s="11" t="s">
        <v>8857</v>
      </c>
      <c r="J6427" s="1285"/>
      <c r="K6427" s="1285"/>
      <c r="L6427" s="1285"/>
    </row>
    <row r="6428" spans="1:12" ht="11.15" customHeight="1">
      <c r="A6428" s="162" t="s">
        <v>8856</v>
      </c>
      <c r="B6428" s="177" t="s">
        <v>8859</v>
      </c>
      <c r="C6428" s="147"/>
      <c r="D6428" s="122"/>
      <c r="E6428" s="36"/>
      <c r="F6428" s="178"/>
      <c r="G6428" s="60"/>
      <c r="H6428" s="36"/>
      <c r="I6428" s="11"/>
    </row>
    <row r="6429" spans="1:12" ht="11.15" customHeight="1">
      <c r="A6429" s="162" t="s">
        <v>8858</v>
      </c>
      <c r="B6429" s="59" t="s">
        <v>21406</v>
      </c>
      <c r="C6429" s="147" t="s">
        <v>23393</v>
      </c>
      <c r="D6429" s="284" t="s">
        <v>897</v>
      </c>
      <c r="E6429" s="178">
        <v>2018</v>
      </c>
      <c r="F6429" s="178" t="s">
        <v>7168</v>
      </c>
      <c r="G6429" s="496"/>
      <c r="H6429" s="994" t="s">
        <v>20221</v>
      </c>
      <c r="I6429" s="11" t="s">
        <v>8861</v>
      </c>
      <c r="J6429" s="1285"/>
      <c r="K6429" s="1285"/>
      <c r="L6429" s="1285"/>
    </row>
    <row r="6430" spans="1:12" ht="11.15" customHeight="1">
      <c r="A6430" s="162" t="s">
        <v>8860</v>
      </c>
      <c r="B6430" s="59" t="s">
        <v>21407</v>
      </c>
      <c r="C6430" s="147" t="s">
        <v>23393</v>
      </c>
      <c r="D6430" s="284" t="s">
        <v>897</v>
      </c>
      <c r="E6430" s="178">
        <v>2022</v>
      </c>
      <c r="F6430" s="178" t="s">
        <v>4520</v>
      </c>
      <c r="G6430" s="496"/>
      <c r="H6430" s="994" t="s">
        <v>20221</v>
      </c>
      <c r="I6430" s="11" t="s">
        <v>8863</v>
      </c>
      <c r="J6430" s="1285"/>
      <c r="K6430" s="1285"/>
      <c r="L6430" s="1285"/>
    </row>
    <row r="6431" spans="1:12" ht="11.15" customHeight="1">
      <c r="A6431" s="162" t="s">
        <v>8862</v>
      </c>
      <c r="B6431" s="59" t="s">
        <v>21407</v>
      </c>
      <c r="C6431" s="147" t="s">
        <v>23393</v>
      </c>
      <c r="D6431" s="284" t="s">
        <v>897</v>
      </c>
      <c r="E6431" s="178">
        <v>2018</v>
      </c>
      <c r="F6431" s="178" t="s">
        <v>4520</v>
      </c>
      <c r="G6431" s="496"/>
      <c r="H6431" s="994" t="s">
        <v>20221</v>
      </c>
      <c r="I6431" s="11" t="s">
        <v>8865</v>
      </c>
      <c r="J6431" s="1285"/>
      <c r="K6431" s="1285"/>
      <c r="L6431" s="1285"/>
    </row>
    <row r="6432" spans="1:12" ht="11.15" customHeight="1">
      <c r="A6432" s="162" t="s">
        <v>8864</v>
      </c>
      <c r="B6432" s="59" t="s">
        <v>21407</v>
      </c>
      <c r="C6432" s="147" t="s">
        <v>23393</v>
      </c>
      <c r="D6432" s="284" t="s">
        <v>897</v>
      </c>
      <c r="E6432" s="178">
        <v>2016</v>
      </c>
      <c r="F6432" s="178" t="s">
        <v>4520</v>
      </c>
      <c r="G6432" s="496"/>
      <c r="H6432" s="994" t="s">
        <v>20221</v>
      </c>
      <c r="I6432" s="11" t="s">
        <v>8867</v>
      </c>
      <c r="J6432" s="1285"/>
      <c r="K6432" s="1285"/>
      <c r="L6432" s="1285"/>
    </row>
    <row r="6433" spans="1:12" ht="11.15" customHeight="1">
      <c r="A6433" s="162" t="s">
        <v>8866</v>
      </c>
      <c r="B6433" s="59" t="s">
        <v>21408</v>
      </c>
      <c r="C6433" s="147" t="s">
        <v>23393</v>
      </c>
      <c r="D6433" s="284" t="s">
        <v>897</v>
      </c>
      <c r="E6433" s="178" t="s">
        <v>20221</v>
      </c>
      <c r="F6433" s="178" t="s">
        <v>5257</v>
      </c>
      <c r="G6433" s="496" t="s">
        <v>20221</v>
      </c>
      <c r="H6433" s="994" t="s">
        <v>3907</v>
      </c>
      <c r="I6433" s="11" t="s">
        <v>8869</v>
      </c>
      <c r="J6433" s="1285"/>
      <c r="K6433" s="1285"/>
      <c r="L6433" s="1285"/>
    </row>
    <row r="6434" spans="1:12" ht="11.15" customHeight="1">
      <c r="A6434" s="162" t="s">
        <v>8868</v>
      </c>
      <c r="B6434" s="59" t="s">
        <v>21409</v>
      </c>
      <c r="C6434" s="147" t="s">
        <v>23393</v>
      </c>
      <c r="D6434" s="284" t="s">
        <v>897</v>
      </c>
      <c r="E6434" s="178">
        <v>2022</v>
      </c>
      <c r="F6434" s="178" t="s">
        <v>4520</v>
      </c>
      <c r="G6434" s="496"/>
      <c r="H6434" s="994" t="s">
        <v>20221</v>
      </c>
      <c r="I6434" s="11" t="s">
        <v>8871</v>
      </c>
      <c r="J6434" s="1285"/>
      <c r="K6434" s="1285"/>
      <c r="L6434" s="1285"/>
    </row>
    <row r="6435" spans="1:12" ht="11.15" customHeight="1">
      <c r="A6435" s="29" t="s">
        <v>8870</v>
      </c>
      <c r="B6435" s="59" t="s">
        <v>21409</v>
      </c>
      <c r="C6435" s="147" t="s">
        <v>23393</v>
      </c>
      <c r="D6435" s="284" t="s">
        <v>897</v>
      </c>
      <c r="E6435" s="178">
        <v>2018</v>
      </c>
      <c r="F6435" s="178" t="s">
        <v>4520</v>
      </c>
      <c r="G6435" s="496"/>
      <c r="H6435" s="994" t="s">
        <v>20224</v>
      </c>
      <c r="I6435" s="11" t="s">
        <v>8873</v>
      </c>
      <c r="J6435" s="1285"/>
      <c r="K6435" s="1285"/>
      <c r="L6435" s="1285"/>
    </row>
    <row r="6436" spans="1:12" ht="11.15" customHeight="1">
      <c r="A6436" s="166" t="s">
        <v>8872</v>
      </c>
      <c r="B6436" s="59" t="s">
        <v>21409</v>
      </c>
      <c r="C6436" s="147" t="s">
        <v>23393</v>
      </c>
      <c r="D6436" s="284" t="s">
        <v>897</v>
      </c>
      <c r="E6436" s="178">
        <v>2016</v>
      </c>
      <c r="F6436" s="178" t="s">
        <v>4520</v>
      </c>
      <c r="G6436" s="496"/>
      <c r="H6436" s="994" t="s">
        <v>20277</v>
      </c>
      <c r="I6436" s="11" t="s">
        <v>8875</v>
      </c>
      <c r="J6436" s="1285"/>
      <c r="K6436" s="1285"/>
      <c r="L6436" s="1285"/>
    </row>
    <row r="6437" spans="1:12" ht="11.15" customHeight="1">
      <c r="A6437" s="166" t="s">
        <v>8874</v>
      </c>
      <c r="B6437" s="177" t="s">
        <v>1408</v>
      </c>
      <c r="C6437" s="147"/>
      <c r="D6437" s="122"/>
      <c r="E6437" s="36"/>
      <c r="F6437" s="183"/>
      <c r="G6437" s="60"/>
      <c r="H6437" s="34"/>
      <c r="I6437" s="11"/>
    </row>
    <row r="6438" spans="1:12" ht="11.15" customHeight="1">
      <c r="A6438" s="166" t="s">
        <v>1244</v>
      </c>
      <c r="B6438" s="59" t="s">
        <v>21410</v>
      </c>
      <c r="C6438" s="147" t="s">
        <v>23393</v>
      </c>
      <c r="D6438" s="739" t="s">
        <v>1410</v>
      </c>
      <c r="E6438" s="178">
        <v>2018</v>
      </c>
      <c r="F6438" s="178" t="s">
        <v>23400</v>
      </c>
      <c r="G6438" s="496"/>
      <c r="H6438" s="994" t="s">
        <v>20221</v>
      </c>
      <c r="I6438" s="11" t="s">
        <v>8876</v>
      </c>
      <c r="J6438" s="1285"/>
      <c r="K6438" s="1285"/>
      <c r="L6438" s="1285"/>
    </row>
    <row r="6439" spans="1:12" ht="11.15" customHeight="1">
      <c r="A6439" s="481" t="s">
        <v>8803</v>
      </c>
      <c r="B6439" s="59" t="s">
        <v>21410</v>
      </c>
      <c r="C6439" s="147" t="s">
        <v>23393</v>
      </c>
      <c r="D6439" s="739" t="s">
        <v>1410</v>
      </c>
      <c r="E6439" s="178">
        <v>2012</v>
      </c>
      <c r="F6439" s="178" t="s">
        <v>23400</v>
      </c>
      <c r="G6439" s="496"/>
      <c r="H6439" s="994" t="s">
        <v>20221</v>
      </c>
      <c r="I6439" s="11" t="s">
        <v>8877</v>
      </c>
      <c r="J6439" s="1285"/>
      <c r="K6439" s="1285"/>
      <c r="L6439" s="1285"/>
    </row>
    <row r="6440" spans="1:12" ht="11.15" customHeight="1" thickBot="1">
      <c r="A6440" s="185"/>
      <c r="B6440" s="530"/>
      <c r="C6440" s="367"/>
      <c r="D6440" s="368"/>
      <c r="E6440" s="531"/>
      <c r="F6440" s="183"/>
      <c r="G6440" s="496"/>
      <c r="H6440" s="34"/>
      <c r="I6440" s="11"/>
    </row>
    <row r="6441" spans="1:12" ht="11.15" customHeight="1">
      <c r="A6441" s="185"/>
      <c r="B6441" s="532" t="s">
        <v>8878</v>
      </c>
      <c r="C6441" s="533"/>
      <c r="D6441" s="534"/>
      <c r="E6441" s="535"/>
      <c r="F6441" s="1069"/>
      <c r="G6441" s="1201"/>
      <c r="H6441" s="1136"/>
      <c r="I6441" s="11"/>
    </row>
    <row r="6442" spans="1:12" ht="11.15" customHeight="1">
      <c r="A6442" s="185"/>
      <c r="B6442" s="366" t="s">
        <v>8879</v>
      </c>
      <c r="C6442" s="536"/>
      <c r="D6442" s="537" t="s">
        <v>8880</v>
      </c>
      <c r="E6442" s="531"/>
      <c r="F6442" s="183"/>
      <c r="G6442" s="496"/>
      <c r="H6442" s="1137"/>
      <c r="I6442" s="11"/>
    </row>
    <row r="6443" spans="1:12" ht="11.15" customHeight="1">
      <c r="A6443" s="185"/>
      <c r="B6443" s="366" t="s">
        <v>8881</v>
      </c>
      <c r="C6443" s="367"/>
      <c r="D6443" s="368" t="s">
        <v>8882</v>
      </c>
      <c r="E6443" s="531"/>
      <c r="F6443" s="183"/>
      <c r="G6443" s="496"/>
      <c r="H6443" s="1137"/>
      <c r="I6443" s="11"/>
    </row>
    <row r="6444" spans="1:12" ht="11.15" customHeight="1" thickBot="1">
      <c r="A6444" s="185"/>
      <c r="B6444" s="538" t="s">
        <v>8883</v>
      </c>
      <c r="C6444" s="372"/>
      <c r="D6444" s="373" t="s">
        <v>8884</v>
      </c>
      <c r="E6444" s="539"/>
      <c r="F6444" s="1081"/>
      <c r="G6444" s="1229"/>
      <c r="H6444" s="1143"/>
      <c r="I6444" s="11"/>
    </row>
    <row r="6445" spans="1:12" ht="11.15" customHeight="1">
      <c r="A6445" s="185"/>
      <c r="B6445" s="185"/>
      <c r="C6445" s="147"/>
      <c r="D6445" s="185"/>
      <c r="E6445" s="185"/>
      <c r="F6445" s="185"/>
      <c r="G6445" s="185"/>
      <c r="H6445" s="185"/>
      <c r="I6445" s="11"/>
    </row>
    <row r="6446" spans="1:12" ht="9" customHeight="1">
      <c r="A6446" s="137"/>
      <c r="B6446" s="150" t="s">
        <v>8885</v>
      </c>
      <c r="C6446" s="147"/>
      <c r="D6446" s="137"/>
      <c r="E6446" s="137"/>
      <c r="F6446" s="137"/>
      <c r="G6446" s="137"/>
      <c r="H6446" s="137"/>
      <c r="I6446" s="11"/>
    </row>
    <row r="6447" spans="1:12" ht="9" customHeight="1">
      <c r="A6447" s="137"/>
      <c r="B6447" s="150" t="s">
        <v>8886</v>
      </c>
      <c r="C6447" s="147"/>
      <c r="D6447" s="137"/>
      <c r="E6447" s="137"/>
      <c r="F6447" s="137"/>
      <c r="G6447" s="137"/>
      <c r="H6447" s="137"/>
      <c r="I6447" s="11"/>
    </row>
    <row r="6448" spans="1:12" ht="9" customHeight="1">
      <c r="A6448" s="137"/>
      <c r="B6448" s="150" t="s">
        <v>8887</v>
      </c>
      <c r="C6448" s="147"/>
      <c r="D6448" s="137"/>
      <c r="E6448" s="137"/>
      <c r="F6448" s="137"/>
      <c r="G6448" s="137"/>
      <c r="H6448" s="137"/>
      <c r="I6448" s="11"/>
    </row>
    <row r="6449" spans="1:12" ht="9" customHeight="1" thickBot="1">
      <c r="A6449" s="137"/>
      <c r="B6449" s="477" t="s">
        <v>8888</v>
      </c>
      <c r="C6449" s="147"/>
      <c r="D6449" s="137"/>
      <c r="E6449" s="137"/>
      <c r="F6449" s="137"/>
      <c r="G6449" s="137"/>
      <c r="H6449" s="137"/>
      <c r="I6449" s="11"/>
    </row>
    <row r="6450" spans="1:12" ht="11.15" customHeight="1" thickBot="1">
      <c r="A6450" s="184" t="s">
        <v>8889</v>
      </c>
      <c r="B6450" s="154" t="s">
        <v>6506</v>
      </c>
      <c r="C6450" s="147"/>
      <c r="D6450" s="159"/>
      <c r="E6450" s="36"/>
      <c r="F6450" s="183"/>
      <c r="G6450" s="496"/>
      <c r="H6450" s="34"/>
      <c r="I6450" s="11"/>
    </row>
    <row r="6451" spans="1:12" ht="11.15" customHeight="1">
      <c r="A6451" s="29" t="s">
        <v>8890</v>
      </c>
      <c r="B6451" s="59" t="s">
        <v>21411</v>
      </c>
      <c r="C6451" s="147" t="s">
        <v>20221</v>
      </c>
      <c r="D6451" s="284" t="s">
        <v>897</v>
      </c>
      <c r="E6451" s="178">
        <v>1987</v>
      </c>
      <c r="F6451" s="178" t="s">
        <v>5257</v>
      </c>
      <c r="G6451" s="496"/>
      <c r="H6451" s="994" t="s">
        <v>20224</v>
      </c>
      <c r="I6451" s="11" t="s">
        <v>8891</v>
      </c>
      <c r="J6451" s="1285"/>
      <c r="K6451" s="1285"/>
      <c r="L6451" s="1285"/>
    </row>
    <row r="6452" spans="1:12" ht="11.15" customHeight="1">
      <c r="A6452" s="29" t="s">
        <v>8892</v>
      </c>
      <c r="B6452" s="59" t="s">
        <v>21411</v>
      </c>
      <c r="C6452" s="147" t="s">
        <v>20221</v>
      </c>
      <c r="D6452" s="284" t="s">
        <v>897</v>
      </c>
      <c r="E6452" s="178">
        <v>1982</v>
      </c>
      <c r="F6452" s="178" t="s">
        <v>5257</v>
      </c>
      <c r="G6452" s="496"/>
      <c r="H6452" s="994" t="s">
        <v>20221</v>
      </c>
      <c r="I6452" s="11" t="s">
        <v>8893</v>
      </c>
      <c r="J6452" s="1285"/>
      <c r="K6452" s="1285"/>
      <c r="L6452" s="1285"/>
    </row>
    <row r="6453" spans="1:12" ht="11.15" customHeight="1">
      <c r="A6453" s="29" t="s">
        <v>8894</v>
      </c>
      <c r="B6453" s="185"/>
      <c r="C6453" s="185"/>
      <c r="D6453" s="185"/>
      <c r="E6453" s="185"/>
      <c r="F6453" s="185"/>
      <c r="G6453" s="185"/>
      <c r="H6453" s="185"/>
      <c r="I6453" s="11"/>
    </row>
    <row r="6454" spans="1:12" ht="11.15" customHeight="1">
      <c r="A6454" s="29" t="s">
        <v>8895</v>
      </c>
      <c r="B6454" s="185"/>
      <c r="C6454" s="185"/>
      <c r="D6454" s="185"/>
      <c r="E6454" s="185"/>
      <c r="F6454" s="185"/>
      <c r="G6454" s="185"/>
      <c r="H6454" s="185"/>
      <c r="I6454" s="11"/>
    </row>
    <row r="6455" spans="1:12" ht="11.15" customHeight="1">
      <c r="A6455" s="357" t="s">
        <v>5463</v>
      </c>
      <c r="B6455" s="185"/>
      <c r="C6455" s="147"/>
      <c r="D6455" s="185"/>
      <c r="E6455" s="185"/>
      <c r="F6455" s="185"/>
      <c r="G6455" s="185"/>
      <c r="H6455" s="185"/>
      <c r="I6455" s="11"/>
    </row>
    <row r="6456" spans="1:12" ht="11.15" customHeight="1">
      <c r="A6456" s="481" t="s">
        <v>8896</v>
      </c>
      <c r="B6456" s="185"/>
      <c r="C6456" s="147"/>
      <c r="D6456" s="185"/>
      <c r="E6456" s="185"/>
      <c r="F6456" s="185"/>
      <c r="G6456" s="185"/>
      <c r="H6456" s="185"/>
      <c r="I6456" s="11"/>
    </row>
    <row r="6457" spans="1:12" ht="11.15" customHeight="1" thickBot="1">
      <c r="A6457" s="185"/>
      <c r="B6457" s="185"/>
      <c r="C6457" s="147"/>
      <c r="D6457" s="161"/>
      <c r="E6457" s="185"/>
      <c r="F6457" s="178"/>
      <c r="G6457" s="496"/>
      <c r="H6457" s="36"/>
      <c r="I6457" s="11"/>
    </row>
    <row r="6458" spans="1:12" ht="24" customHeight="1" thickBot="1">
      <c r="A6458" s="540"/>
      <c r="B6458" s="64" t="s">
        <v>8897</v>
      </c>
      <c r="C6458" s="170"/>
      <c r="D6458" s="541"/>
      <c r="E6458" s="235"/>
      <c r="F6458" s="383"/>
      <c r="G6458" s="1142"/>
      <c r="H6458" s="1141"/>
      <c r="I6458" s="11"/>
    </row>
    <row r="6459" spans="1:12" ht="11.15" customHeight="1" thickBot="1">
      <c r="A6459" s="184" t="s">
        <v>8898</v>
      </c>
      <c r="B6459" s="154" t="s">
        <v>8899</v>
      </c>
      <c r="C6459" s="147"/>
      <c r="D6459" s="185"/>
      <c r="E6459" s="185"/>
      <c r="F6459" s="185"/>
      <c r="G6459" s="185"/>
      <c r="H6459" s="185"/>
      <c r="I6459" s="11"/>
    </row>
    <row r="6460" spans="1:12" ht="11.15" customHeight="1">
      <c r="A6460" s="29" t="s">
        <v>8900</v>
      </c>
      <c r="B6460" s="59" t="s">
        <v>21413</v>
      </c>
      <c r="C6460" s="147" t="s">
        <v>23393</v>
      </c>
      <c r="D6460" s="701" t="s">
        <v>884</v>
      </c>
      <c r="E6460" s="178">
        <v>2022</v>
      </c>
      <c r="F6460" s="178" t="s">
        <v>23395</v>
      </c>
      <c r="G6460" s="496"/>
      <c r="H6460" s="994" t="s">
        <v>20221</v>
      </c>
      <c r="I6460" s="11" t="s">
        <v>8901</v>
      </c>
      <c r="J6460" s="1285"/>
      <c r="K6460" s="1285"/>
      <c r="L6460" s="1285"/>
    </row>
    <row r="6461" spans="1:12" ht="11.15" customHeight="1">
      <c r="A6461" s="181" t="s">
        <v>1236</v>
      </c>
      <c r="B6461" s="154" t="s">
        <v>8902</v>
      </c>
      <c r="C6461" s="147"/>
      <c r="D6461" s="185"/>
      <c r="E6461" s="185"/>
      <c r="F6461" s="185"/>
      <c r="G6461" s="185"/>
      <c r="H6461" s="185"/>
      <c r="I6461" s="11"/>
    </row>
    <row r="6462" spans="1:12" ht="11.15" customHeight="1">
      <c r="A6462" s="181" t="s">
        <v>8903</v>
      </c>
      <c r="B6462" s="59" t="s">
        <v>21414</v>
      </c>
      <c r="C6462" s="147" t="s">
        <v>23393</v>
      </c>
      <c r="D6462" s="1034" t="s">
        <v>8904</v>
      </c>
      <c r="E6462" s="178">
        <v>2024</v>
      </c>
      <c r="F6462" s="178" t="s">
        <v>23395</v>
      </c>
      <c r="G6462" s="496"/>
      <c r="H6462" s="994" t="s">
        <v>20221</v>
      </c>
      <c r="I6462" s="11" t="s">
        <v>8905</v>
      </c>
      <c r="J6462" s="1285"/>
      <c r="K6462" s="1285"/>
      <c r="L6462" s="1285"/>
    </row>
    <row r="6463" spans="1:12" ht="11.15" customHeight="1">
      <c r="A6463" s="29" t="s">
        <v>8906</v>
      </c>
      <c r="B6463" s="59"/>
      <c r="C6463" s="147"/>
      <c r="D6463" s="1034"/>
      <c r="E6463" s="178"/>
      <c r="F6463" s="178"/>
      <c r="G6463" s="496"/>
      <c r="H6463" s="994"/>
      <c r="I6463" s="11"/>
      <c r="J6463" s="1285"/>
      <c r="K6463" s="1285"/>
      <c r="L6463" s="1285"/>
    </row>
    <row r="6464" spans="1:12" ht="11.15" customHeight="1">
      <c r="A6464" s="129" t="s">
        <v>903</v>
      </c>
      <c r="B6464" s="90"/>
      <c r="C6464" s="147"/>
      <c r="D6464" s="156"/>
      <c r="E6464" s="157"/>
      <c r="F6464" s="178"/>
      <c r="G6464" s="496"/>
      <c r="H6464" s="36"/>
      <c r="I6464" s="11"/>
    </row>
    <row r="6465" spans="1:12" ht="11.15" customHeight="1">
      <c r="A6465" s="162" t="s">
        <v>8907</v>
      </c>
      <c r="B6465" s="90"/>
      <c r="C6465" s="147"/>
      <c r="D6465" s="156"/>
      <c r="E6465" s="157"/>
      <c r="F6465" s="183"/>
      <c r="G6465" s="496"/>
      <c r="H6465" s="34"/>
      <c r="I6465" s="11"/>
    </row>
    <row r="6466" spans="1:12" ht="11.15" customHeight="1">
      <c r="A6466" s="162" t="s">
        <v>8908</v>
      </c>
      <c r="B6466" s="90"/>
      <c r="C6466" s="147"/>
      <c r="D6466" s="122"/>
      <c r="E6466" s="36"/>
      <c r="F6466" s="178"/>
      <c r="G6466" s="60"/>
      <c r="H6466" s="36"/>
      <c r="I6466" s="11"/>
    </row>
    <row r="6467" spans="1:12" ht="11.15" customHeight="1">
      <c r="A6467" s="162" t="s">
        <v>8909</v>
      </c>
      <c r="B6467" s="36"/>
      <c r="C6467" s="147"/>
      <c r="D6467" s="122"/>
      <c r="E6467" s="36"/>
      <c r="F6467" s="178"/>
      <c r="G6467" s="60"/>
      <c r="H6467" s="36"/>
      <c r="I6467" s="11"/>
    </row>
    <row r="6468" spans="1:12" ht="11.15" customHeight="1">
      <c r="A6468" s="162" t="s">
        <v>8910</v>
      </c>
      <c r="B6468" s="36"/>
      <c r="C6468" s="147"/>
      <c r="D6468" s="122"/>
      <c r="E6468" s="36"/>
      <c r="F6468" s="178"/>
      <c r="G6468" s="60"/>
      <c r="H6468" s="36"/>
      <c r="I6468" s="11"/>
    </row>
    <row r="6469" spans="1:12" ht="11.15" customHeight="1">
      <c r="A6469" s="162" t="s">
        <v>8911</v>
      </c>
      <c r="B6469" s="36"/>
      <c r="C6469" s="147"/>
      <c r="D6469" s="122"/>
      <c r="E6469" s="36"/>
      <c r="F6469" s="178"/>
      <c r="G6469" s="60"/>
      <c r="H6469" s="36"/>
      <c r="I6469" s="11"/>
    </row>
    <row r="6470" spans="1:12" ht="11.15" customHeight="1">
      <c r="A6470" s="162" t="s">
        <v>8912</v>
      </c>
      <c r="B6470" s="36"/>
      <c r="C6470" s="147"/>
      <c r="D6470" s="122"/>
      <c r="E6470" s="36"/>
      <c r="F6470" s="178"/>
      <c r="G6470" s="60"/>
      <c r="H6470" s="36"/>
      <c r="I6470" s="11"/>
    </row>
    <row r="6471" spans="1:12" ht="11.15" customHeight="1">
      <c r="A6471" s="162" t="s">
        <v>8913</v>
      </c>
      <c r="B6471" s="36"/>
      <c r="C6471" s="147"/>
      <c r="D6471" s="122"/>
      <c r="E6471" s="36"/>
      <c r="F6471" s="178"/>
      <c r="G6471" s="60"/>
      <c r="H6471" s="36"/>
      <c r="I6471" s="11"/>
    </row>
    <row r="6472" spans="1:12" ht="11.15" customHeight="1">
      <c r="A6472" s="162" t="s">
        <v>8914</v>
      </c>
      <c r="B6472" s="36"/>
      <c r="C6472" s="147"/>
      <c r="D6472" s="122"/>
      <c r="E6472" s="36"/>
      <c r="F6472" s="178"/>
      <c r="G6472" s="60"/>
      <c r="H6472" s="36"/>
      <c r="I6472" s="11"/>
    </row>
    <row r="6473" spans="1:12" ht="11.15" customHeight="1">
      <c r="A6473" s="380" t="s">
        <v>8915</v>
      </c>
      <c r="B6473" s="379"/>
      <c r="C6473" s="147"/>
      <c r="D6473" s="122"/>
      <c r="E6473" s="36"/>
      <c r="F6473" s="183"/>
      <c r="G6473" s="60"/>
      <c r="H6473" s="34"/>
      <c r="I6473" s="11"/>
    </row>
    <row r="6474" spans="1:12" ht="11.15" customHeight="1">
      <c r="A6474" s="166" t="s">
        <v>8916</v>
      </c>
      <c r="B6474" s="36"/>
      <c r="C6474" s="147"/>
      <c r="D6474" s="122"/>
      <c r="E6474" s="36"/>
      <c r="F6474" s="178"/>
      <c r="G6474" s="453"/>
      <c r="H6474" s="36"/>
      <c r="I6474" s="11"/>
    </row>
    <row r="6475" spans="1:12" ht="11.15" customHeight="1">
      <c r="A6475" s="481" t="s">
        <v>8917</v>
      </c>
      <c r="B6475" s="36"/>
      <c r="C6475" s="147"/>
      <c r="D6475" s="122"/>
      <c r="E6475" s="36"/>
      <c r="F6475" s="178"/>
      <c r="G6475" s="453"/>
      <c r="H6475" s="36"/>
      <c r="I6475" s="11"/>
    </row>
    <row r="6476" spans="1:12" ht="11.15" customHeight="1" thickBot="1">
      <c r="A6476" s="29"/>
      <c r="B6476" s="185"/>
      <c r="C6476" s="147"/>
      <c r="D6476" s="129"/>
      <c r="E6476" s="185"/>
      <c r="F6476" s="185"/>
      <c r="G6476" s="185"/>
      <c r="H6476" s="185"/>
      <c r="I6476" s="11"/>
    </row>
    <row r="6477" spans="1:12" ht="24" customHeight="1" thickBot="1">
      <c r="A6477" s="542"/>
      <c r="B6477" s="50" t="s">
        <v>8918</v>
      </c>
      <c r="C6477" s="170"/>
      <c r="D6477" s="382"/>
      <c r="E6477" s="543"/>
      <c r="F6477" s="1082"/>
      <c r="G6477" s="1142"/>
      <c r="H6477" s="1141"/>
      <c r="I6477" s="11"/>
    </row>
    <row r="6478" spans="1:12" ht="11.15" customHeight="1" thickBot="1">
      <c r="A6478" s="184" t="s">
        <v>8919</v>
      </c>
      <c r="B6478" s="177" t="s">
        <v>8920</v>
      </c>
      <c r="C6478" s="147"/>
      <c r="D6478" s="122"/>
      <c r="E6478" s="36"/>
      <c r="F6478" s="178"/>
      <c r="G6478" s="60"/>
      <c r="H6478" s="36"/>
      <c r="I6478" s="11"/>
    </row>
    <row r="6479" spans="1:12" ht="11.15" customHeight="1">
      <c r="A6479" s="29" t="s">
        <v>8921</v>
      </c>
      <c r="B6479" s="59" t="s">
        <v>21416</v>
      </c>
      <c r="C6479" s="147" t="s">
        <v>20221</v>
      </c>
      <c r="D6479" s="701" t="s">
        <v>1129</v>
      </c>
      <c r="E6479" s="178">
        <v>2016</v>
      </c>
      <c r="F6479" s="178" t="s">
        <v>7168</v>
      </c>
      <c r="G6479" s="496"/>
      <c r="H6479" s="994" t="s">
        <v>20221</v>
      </c>
      <c r="I6479" s="11" t="s">
        <v>8922</v>
      </c>
      <c r="J6479" s="1285"/>
      <c r="K6479" s="1285"/>
      <c r="L6479" s="1285"/>
    </row>
    <row r="6480" spans="1:12" ht="11.15" customHeight="1">
      <c r="A6480" s="29" t="s">
        <v>8923</v>
      </c>
      <c r="B6480" s="177" t="s">
        <v>8924</v>
      </c>
      <c r="C6480" s="147"/>
      <c r="D6480" s="122"/>
      <c r="E6480" s="36"/>
      <c r="F6480" s="178"/>
      <c r="G6480" s="60"/>
      <c r="H6480" s="36"/>
      <c r="I6480" s="11"/>
    </row>
    <row r="6481" spans="1:12" ht="11.15" customHeight="1">
      <c r="A6481" s="29" t="s">
        <v>8925</v>
      </c>
      <c r="B6481" s="59" t="s">
        <v>21417</v>
      </c>
      <c r="C6481" s="147" t="s">
        <v>20221</v>
      </c>
      <c r="D6481" s="701" t="s">
        <v>1129</v>
      </c>
      <c r="E6481" s="178">
        <v>2024</v>
      </c>
      <c r="F6481" s="178" t="s">
        <v>4520</v>
      </c>
      <c r="G6481" s="496"/>
      <c r="H6481" s="994" t="s">
        <v>20221</v>
      </c>
      <c r="I6481" s="11" t="s">
        <v>23352</v>
      </c>
      <c r="J6481" s="1285"/>
      <c r="K6481" s="1285"/>
      <c r="L6481" s="1285"/>
    </row>
    <row r="6482" spans="1:12" ht="11.15" customHeight="1">
      <c r="A6482" s="212" t="s">
        <v>8927</v>
      </c>
      <c r="B6482" s="59" t="s">
        <v>21417</v>
      </c>
      <c r="C6482" s="147" t="s">
        <v>20221</v>
      </c>
      <c r="D6482" s="701" t="s">
        <v>1129</v>
      </c>
      <c r="E6482" s="178">
        <v>2023</v>
      </c>
      <c r="F6482" s="178" t="s">
        <v>4520</v>
      </c>
      <c r="G6482" s="496"/>
      <c r="H6482" s="994" t="s">
        <v>20465</v>
      </c>
      <c r="I6482" s="11" t="s">
        <v>8926</v>
      </c>
      <c r="J6482" s="1285"/>
      <c r="K6482" s="1285"/>
      <c r="L6482" s="1285"/>
    </row>
    <row r="6483" spans="1:12" ht="11.15" customHeight="1">
      <c r="A6483" s="129" t="s">
        <v>916</v>
      </c>
      <c r="B6483" s="59" t="s">
        <v>21418</v>
      </c>
      <c r="C6483" s="147" t="s">
        <v>20221</v>
      </c>
      <c r="D6483" s="701" t="s">
        <v>1129</v>
      </c>
      <c r="E6483" s="178">
        <v>2024</v>
      </c>
      <c r="F6483" s="178" t="s">
        <v>4520</v>
      </c>
      <c r="G6483" s="496"/>
      <c r="H6483" s="994" t="s">
        <v>20221</v>
      </c>
      <c r="I6483" s="11" t="s">
        <v>23353</v>
      </c>
      <c r="J6483" s="1285"/>
      <c r="K6483" s="1285"/>
      <c r="L6483" s="1285"/>
    </row>
    <row r="6484" spans="1:12" ht="11.15" customHeight="1">
      <c r="A6484" s="481" t="s">
        <v>8929</v>
      </c>
      <c r="B6484" s="59" t="s">
        <v>21418</v>
      </c>
      <c r="C6484" s="147" t="s">
        <v>20221</v>
      </c>
      <c r="D6484" s="701" t="s">
        <v>1129</v>
      </c>
      <c r="E6484" s="178">
        <v>2023</v>
      </c>
      <c r="F6484" s="178" t="s">
        <v>4520</v>
      </c>
      <c r="G6484" s="496"/>
      <c r="H6484" s="994" t="s">
        <v>20221</v>
      </c>
      <c r="I6484" s="11" t="s">
        <v>8928</v>
      </c>
      <c r="J6484" s="1285"/>
      <c r="K6484" s="1285"/>
      <c r="L6484" s="1285"/>
    </row>
    <row r="6485" spans="1:12" ht="11.15" customHeight="1">
      <c r="A6485" s="29"/>
      <c r="B6485" s="177" t="s">
        <v>8930</v>
      </c>
      <c r="C6485" s="147"/>
      <c r="D6485" s="122"/>
      <c r="E6485" s="36"/>
      <c r="F6485" s="178"/>
      <c r="G6485" s="60"/>
      <c r="H6485" s="36"/>
      <c r="I6485" s="11"/>
    </row>
    <row r="6486" spans="1:12" ht="11.15" customHeight="1">
      <c r="A6486" s="185"/>
      <c r="B6486" s="59" t="s">
        <v>21419</v>
      </c>
      <c r="C6486" s="147" t="s">
        <v>20221</v>
      </c>
      <c r="D6486" s="1034" t="s">
        <v>2573</v>
      </c>
      <c r="E6486" s="178">
        <v>2023</v>
      </c>
      <c r="F6486" s="178" t="s">
        <v>4520</v>
      </c>
      <c r="G6486" s="496"/>
      <c r="H6486" s="994" t="s">
        <v>20221</v>
      </c>
      <c r="I6486" s="11" t="s">
        <v>8931</v>
      </c>
      <c r="J6486" s="1285"/>
      <c r="K6486" s="1285"/>
      <c r="L6486" s="1285"/>
    </row>
    <row r="6487" spans="1:12" ht="11.15" customHeight="1">
      <c r="A6487" s="185"/>
      <c r="B6487" s="177" t="s">
        <v>8932</v>
      </c>
      <c r="C6487" s="147"/>
      <c r="D6487" s="129"/>
      <c r="E6487" s="185"/>
      <c r="F6487" s="185"/>
      <c r="G6487" s="185"/>
      <c r="H6487" s="185"/>
      <c r="I6487" s="11"/>
    </row>
    <row r="6488" spans="1:12" ht="11.15" customHeight="1">
      <c r="A6488" s="185"/>
      <c r="B6488" s="59" t="s">
        <v>21420</v>
      </c>
      <c r="C6488" s="147" t="s">
        <v>20221</v>
      </c>
      <c r="D6488" s="284" t="s">
        <v>897</v>
      </c>
      <c r="E6488" s="178">
        <v>2020</v>
      </c>
      <c r="F6488" s="178" t="s">
        <v>4520</v>
      </c>
      <c r="G6488" s="496"/>
      <c r="H6488" s="994" t="s">
        <v>20221</v>
      </c>
      <c r="I6488" s="11" t="s">
        <v>8933</v>
      </c>
      <c r="J6488" s="1285"/>
      <c r="K6488" s="1285"/>
      <c r="L6488" s="1285"/>
    </row>
    <row r="6489" spans="1:12" ht="11.15" customHeight="1">
      <c r="A6489" s="185"/>
      <c r="B6489" s="59" t="s">
        <v>21420</v>
      </c>
      <c r="C6489" s="147" t="s">
        <v>20221</v>
      </c>
      <c r="D6489" s="284" t="s">
        <v>897</v>
      </c>
      <c r="E6489" s="178">
        <v>2013</v>
      </c>
      <c r="F6489" s="178" t="s">
        <v>4520</v>
      </c>
      <c r="G6489" s="496"/>
      <c r="H6489" s="994" t="s">
        <v>20465</v>
      </c>
      <c r="I6489" s="11" t="s">
        <v>8934</v>
      </c>
      <c r="J6489" s="1285"/>
      <c r="K6489" s="1285"/>
      <c r="L6489" s="1285"/>
    </row>
    <row r="6490" spans="1:12" ht="11.15" customHeight="1">
      <c r="A6490" s="185"/>
      <c r="B6490" s="59" t="s">
        <v>21421</v>
      </c>
      <c r="C6490" s="147" t="s">
        <v>20221</v>
      </c>
      <c r="D6490" s="284" t="s">
        <v>897</v>
      </c>
      <c r="E6490" s="178">
        <v>2019</v>
      </c>
      <c r="F6490" s="178" t="s">
        <v>4520</v>
      </c>
      <c r="G6490" s="496"/>
      <c r="H6490" s="994" t="s">
        <v>20221</v>
      </c>
      <c r="I6490" s="11" t="s">
        <v>8935</v>
      </c>
      <c r="J6490" s="1285"/>
      <c r="K6490" s="1285"/>
      <c r="L6490" s="1285"/>
    </row>
    <row r="6491" spans="1:12" ht="11.15" customHeight="1">
      <c r="A6491" s="185"/>
      <c r="B6491" s="59" t="s">
        <v>21421</v>
      </c>
      <c r="C6491" s="147" t="s">
        <v>20221</v>
      </c>
      <c r="D6491" s="284" t="s">
        <v>897</v>
      </c>
      <c r="E6491" s="178">
        <v>2014</v>
      </c>
      <c r="F6491" s="178" t="s">
        <v>4520</v>
      </c>
      <c r="G6491" s="496"/>
      <c r="H6491" s="994" t="s">
        <v>20465</v>
      </c>
      <c r="I6491" s="11" t="s">
        <v>8936</v>
      </c>
      <c r="J6491" s="1285"/>
      <c r="K6491" s="1285"/>
      <c r="L6491" s="1285"/>
    </row>
    <row r="6492" spans="1:12" ht="11.15" customHeight="1" thickBot="1">
      <c r="A6492" s="185"/>
      <c r="B6492" s="59" t="s">
        <v>21421</v>
      </c>
      <c r="C6492" s="147" t="s">
        <v>20221</v>
      </c>
      <c r="D6492" s="284" t="s">
        <v>897</v>
      </c>
      <c r="E6492" s="178">
        <v>2012</v>
      </c>
      <c r="F6492" s="178" t="s">
        <v>4520</v>
      </c>
      <c r="G6492" s="496"/>
      <c r="H6492" s="994" t="s">
        <v>20277</v>
      </c>
      <c r="I6492" s="11" t="s">
        <v>8937</v>
      </c>
      <c r="J6492" s="1285"/>
      <c r="K6492" s="1285"/>
      <c r="L6492" s="1285"/>
    </row>
    <row r="6493" spans="1:12" ht="11.15" customHeight="1" thickBot="1">
      <c r="A6493" s="184" t="s">
        <v>8938</v>
      </c>
      <c r="B6493" s="59"/>
      <c r="C6493" s="147"/>
      <c r="D6493" s="284"/>
      <c r="E6493" s="178"/>
      <c r="F6493" s="178"/>
      <c r="G6493" s="496"/>
      <c r="H6493" s="994"/>
      <c r="I6493" s="11"/>
      <c r="J6493" s="1285"/>
      <c r="K6493" s="1285"/>
      <c r="L6493" s="1285"/>
    </row>
    <row r="6494" spans="1:12" ht="11.15" customHeight="1">
      <c r="A6494" s="29" t="s">
        <v>8940</v>
      </c>
      <c r="B6494" s="59" t="s">
        <v>21419</v>
      </c>
      <c r="C6494" s="147" t="s">
        <v>20221</v>
      </c>
      <c r="D6494" s="1034" t="s">
        <v>2573</v>
      </c>
      <c r="E6494" s="178">
        <v>2022</v>
      </c>
      <c r="F6494" s="178" t="s">
        <v>4520</v>
      </c>
      <c r="G6494" s="496"/>
      <c r="H6494" s="994" t="s">
        <v>20221</v>
      </c>
      <c r="I6494" s="11" t="s">
        <v>8939</v>
      </c>
      <c r="J6494" s="1285"/>
      <c r="K6494" s="1285"/>
      <c r="L6494" s="1285"/>
    </row>
    <row r="6495" spans="1:12" ht="11.15" customHeight="1">
      <c r="A6495" s="29" t="s">
        <v>8942</v>
      </c>
      <c r="B6495" s="59" t="s">
        <v>21422</v>
      </c>
      <c r="C6495" s="147" t="s">
        <v>20221</v>
      </c>
      <c r="D6495" s="701" t="s">
        <v>1129</v>
      </c>
      <c r="E6495" s="178">
        <v>2023</v>
      </c>
      <c r="F6495" s="178" t="s">
        <v>4520</v>
      </c>
      <c r="G6495" s="496"/>
      <c r="H6495" s="994" t="s">
        <v>20221</v>
      </c>
      <c r="I6495" s="11" t="s">
        <v>8941</v>
      </c>
      <c r="J6495" s="1285"/>
      <c r="K6495" s="1285"/>
      <c r="L6495" s="1285"/>
    </row>
    <row r="6496" spans="1:12" ht="11.15" customHeight="1">
      <c r="A6496" s="29" t="s">
        <v>8944</v>
      </c>
      <c r="B6496" s="59" t="s">
        <v>21423</v>
      </c>
      <c r="C6496" s="147" t="s">
        <v>20221</v>
      </c>
      <c r="D6496" s="701" t="s">
        <v>1129</v>
      </c>
      <c r="E6496" s="178">
        <v>2023</v>
      </c>
      <c r="F6496" s="178" t="s">
        <v>4520</v>
      </c>
      <c r="G6496" s="496"/>
      <c r="H6496" s="994" t="s">
        <v>20221</v>
      </c>
      <c r="I6496" s="11" t="s">
        <v>8943</v>
      </c>
      <c r="J6496" s="1285"/>
      <c r="K6496" s="1285"/>
      <c r="L6496" s="1285"/>
    </row>
    <row r="6497" spans="1:12" ht="11.15" customHeight="1">
      <c r="A6497" s="181" t="s">
        <v>950</v>
      </c>
      <c r="B6497" s="59" t="s">
        <v>21424</v>
      </c>
      <c r="C6497" s="147" t="s">
        <v>20221</v>
      </c>
      <c r="D6497" s="701" t="s">
        <v>1129</v>
      </c>
      <c r="E6497" s="178" t="s">
        <v>20221</v>
      </c>
      <c r="F6497" s="178" t="s">
        <v>4520</v>
      </c>
      <c r="G6497" s="496" t="s">
        <v>20221</v>
      </c>
      <c r="H6497" s="994" t="s">
        <v>3907</v>
      </c>
      <c r="I6497" s="11" t="s">
        <v>8945</v>
      </c>
      <c r="J6497" s="1285"/>
      <c r="K6497" s="1285"/>
      <c r="L6497" s="1285"/>
    </row>
    <row r="6498" spans="1:12" ht="11.15" customHeight="1">
      <c r="A6498" s="29" t="s">
        <v>8947</v>
      </c>
      <c r="B6498" s="59" t="s">
        <v>21425</v>
      </c>
      <c r="C6498" s="147" t="s">
        <v>20221</v>
      </c>
      <c r="D6498" s="701" t="s">
        <v>1129</v>
      </c>
      <c r="E6498" s="178">
        <v>2022</v>
      </c>
      <c r="F6498" s="178" t="s">
        <v>4520</v>
      </c>
      <c r="G6498" s="496"/>
      <c r="H6498" s="994" t="s">
        <v>20221</v>
      </c>
      <c r="I6498" s="11" t="s">
        <v>8946</v>
      </c>
      <c r="J6498" s="1285"/>
      <c r="K6498" s="1285"/>
      <c r="L6498" s="1285"/>
    </row>
    <row r="6499" spans="1:12" ht="11.15" customHeight="1">
      <c r="A6499" s="29" t="s">
        <v>8949</v>
      </c>
      <c r="B6499" s="59" t="s">
        <v>21426</v>
      </c>
      <c r="C6499" s="147" t="s">
        <v>20221</v>
      </c>
      <c r="D6499" s="701" t="s">
        <v>1129</v>
      </c>
      <c r="E6499" s="178">
        <v>2017</v>
      </c>
      <c r="F6499" s="178" t="s">
        <v>4520</v>
      </c>
      <c r="G6499" s="496"/>
      <c r="H6499" s="994" t="s">
        <v>20224</v>
      </c>
      <c r="I6499" s="11" t="s">
        <v>8948</v>
      </c>
      <c r="J6499" s="1285"/>
      <c r="K6499" s="1285"/>
      <c r="L6499" s="1285"/>
    </row>
    <row r="6500" spans="1:12" ht="11.15" customHeight="1">
      <c r="A6500" s="29" t="s">
        <v>8950</v>
      </c>
      <c r="B6500" s="185"/>
      <c r="C6500" s="147"/>
      <c r="D6500" s="129"/>
      <c r="E6500" s="185"/>
      <c r="F6500" s="185"/>
      <c r="G6500" s="185"/>
      <c r="H6500" s="185"/>
      <c r="I6500" s="11"/>
    </row>
    <row r="6501" spans="1:12" ht="11.15" customHeight="1">
      <c r="A6501" s="29" t="s">
        <v>8951</v>
      </c>
      <c r="B6501" s="90"/>
      <c r="C6501" s="147"/>
      <c r="D6501" s="156"/>
      <c r="E6501" s="36"/>
      <c r="F6501" s="178"/>
      <c r="G6501" s="496"/>
      <c r="H6501" s="36"/>
      <c r="I6501" s="11"/>
    </row>
    <row r="6502" spans="1:12" ht="11.15" customHeight="1">
      <c r="A6502" s="29" t="s">
        <v>8952</v>
      </c>
      <c r="B6502" s="90"/>
      <c r="C6502" s="147"/>
      <c r="D6502" s="156"/>
      <c r="E6502" s="36"/>
      <c r="F6502" s="178"/>
      <c r="G6502" s="496"/>
      <c r="H6502" s="36"/>
      <c r="I6502" s="11"/>
    </row>
    <row r="6503" spans="1:12" ht="11.15" customHeight="1">
      <c r="A6503" s="129" t="s">
        <v>903</v>
      </c>
      <c r="B6503" s="90"/>
      <c r="C6503" s="147"/>
      <c r="D6503" s="156"/>
      <c r="E6503" s="36"/>
      <c r="F6503" s="178"/>
      <c r="G6503" s="496"/>
      <c r="H6503" s="36"/>
      <c r="I6503" s="11"/>
    </row>
    <row r="6504" spans="1:12" ht="11.15" customHeight="1">
      <c r="A6504" s="162" t="s">
        <v>8953</v>
      </c>
      <c r="B6504" s="90"/>
      <c r="C6504" s="147"/>
      <c r="D6504" s="156"/>
      <c r="E6504" s="36"/>
      <c r="F6504" s="178"/>
      <c r="G6504" s="496"/>
      <c r="H6504" s="36"/>
      <c r="I6504" s="11"/>
    </row>
    <row r="6505" spans="1:12" ht="11.15" customHeight="1">
      <c r="A6505" s="162" t="s">
        <v>8954</v>
      </c>
      <c r="B6505" s="90"/>
      <c r="C6505" s="147"/>
      <c r="D6505" s="156"/>
      <c r="E6505" s="36"/>
      <c r="F6505" s="178"/>
      <c r="G6505" s="496"/>
      <c r="H6505" s="36"/>
      <c r="I6505" s="11"/>
    </row>
    <row r="6506" spans="1:12" ht="11.15" customHeight="1">
      <c r="A6506" s="162" t="s">
        <v>8955</v>
      </c>
      <c r="B6506" s="90"/>
      <c r="C6506" s="147"/>
      <c r="D6506" s="156"/>
      <c r="E6506" s="36"/>
      <c r="F6506" s="178"/>
      <c r="G6506" s="496"/>
      <c r="H6506" s="36"/>
      <c r="I6506" s="11"/>
    </row>
    <row r="6507" spans="1:12" ht="11.15" customHeight="1">
      <c r="A6507" s="29" t="s">
        <v>8956</v>
      </c>
      <c r="B6507" s="90"/>
      <c r="C6507" s="147"/>
      <c r="D6507" s="156"/>
      <c r="E6507" s="36"/>
      <c r="F6507" s="178"/>
      <c r="G6507" s="496"/>
      <c r="H6507" s="36"/>
      <c r="I6507" s="11"/>
    </row>
    <row r="6508" spans="1:12" ht="11.15" customHeight="1">
      <c r="A6508" s="129" t="s">
        <v>8957</v>
      </c>
      <c r="B6508" s="90"/>
      <c r="C6508" s="147"/>
      <c r="D6508" s="156"/>
      <c r="E6508" s="36"/>
      <c r="F6508" s="178"/>
      <c r="G6508" s="496"/>
      <c r="H6508" s="36"/>
      <c r="I6508" s="11"/>
    </row>
    <row r="6509" spans="1:12" ht="11.15" customHeight="1" thickBot="1">
      <c r="A6509" s="129"/>
      <c r="B6509" s="226"/>
      <c r="C6509" s="147"/>
      <c r="D6509" s="185"/>
      <c r="E6509" s="185"/>
      <c r="F6509" s="185"/>
      <c r="G6509" s="185"/>
      <c r="H6509" s="185"/>
      <c r="I6509" s="11"/>
    </row>
    <row r="6510" spans="1:12" ht="11.15" customHeight="1">
      <c r="A6510" s="153" t="s">
        <v>8958</v>
      </c>
      <c r="B6510" s="59" t="s">
        <v>21428</v>
      </c>
      <c r="C6510" s="147" t="s">
        <v>20221</v>
      </c>
      <c r="D6510" s="701" t="s">
        <v>1129</v>
      </c>
      <c r="E6510" s="178">
        <v>2024</v>
      </c>
      <c r="F6510" s="178" t="s">
        <v>4520</v>
      </c>
      <c r="G6510" s="496"/>
      <c r="H6510" s="994" t="s">
        <v>20221</v>
      </c>
      <c r="I6510" s="11" t="s">
        <v>23303</v>
      </c>
      <c r="J6510" s="1285"/>
      <c r="K6510" s="1285"/>
      <c r="L6510" s="1285"/>
    </row>
    <row r="6511" spans="1:12" ht="11.15" customHeight="1" thickBot="1">
      <c r="A6511" s="230" t="s">
        <v>8959</v>
      </c>
      <c r="B6511" s="59" t="s">
        <v>21430</v>
      </c>
      <c r="C6511" s="147" t="s">
        <v>20221</v>
      </c>
      <c r="D6511" s="701" t="s">
        <v>1129</v>
      </c>
      <c r="E6511" s="178">
        <v>2023</v>
      </c>
      <c r="F6511" s="178" t="s">
        <v>4520</v>
      </c>
      <c r="G6511" s="496"/>
      <c r="H6511" s="994" t="s">
        <v>20221</v>
      </c>
      <c r="I6511" s="11" t="s">
        <v>8960</v>
      </c>
      <c r="J6511" s="1285"/>
      <c r="K6511" s="1285"/>
      <c r="L6511" s="1285"/>
    </row>
    <row r="6512" spans="1:12" ht="11.15" customHeight="1">
      <c r="A6512" s="29" t="s">
        <v>8961</v>
      </c>
      <c r="B6512" s="59" t="s">
        <v>21431</v>
      </c>
      <c r="C6512" s="147" t="s">
        <v>20221</v>
      </c>
      <c r="D6512" s="701" t="s">
        <v>1129</v>
      </c>
      <c r="E6512" s="178">
        <v>2023</v>
      </c>
      <c r="F6512" s="178" t="s">
        <v>4520</v>
      </c>
      <c r="G6512" s="496"/>
      <c r="H6512" s="994" t="s">
        <v>20221</v>
      </c>
      <c r="I6512" s="11" t="s">
        <v>8962</v>
      </c>
      <c r="J6512" s="1285"/>
      <c r="K6512" s="1285"/>
      <c r="L6512" s="1285"/>
    </row>
    <row r="6513" spans="1:12" ht="11.15" customHeight="1">
      <c r="A6513" s="29" t="s">
        <v>8963</v>
      </c>
      <c r="B6513" s="59" t="s">
        <v>21432</v>
      </c>
      <c r="C6513" s="147" t="s">
        <v>20221</v>
      </c>
      <c r="D6513" s="701" t="s">
        <v>1129</v>
      </c>
      <c r="E6513" s="178" t="s">
        <v>20221</v>
      </c>
      <c r="F6513" s="178" t="s">
        <v>4520</v>
      </c>
      <c r="G6513" s="496" t="s">
        <v>20221</v>
      </c>
      <c r="H6513" s="994" t="s">
        <v>3907</v>
      </c>
      <c r="I6513" s="11" t="s">
        <v>8964</v>
      </c>
      <c r="J6513" s="1285"/>
      <c r="K6513" s="1285"/>
      <c r="L6513" s="1285"/>
    </row>
    <row r="6514" spans="1:12" ht="11.15" customHeight="1">
      <c r="A6514" s="181" t="s">
        <v>8965</v>
      </c>
      <c r="B6514" s="154" t="s">
        <v>4329</v>
      </c>
      <c r="C6514" s="147"/>
      <c r="D6514" s="129"/>
      <c r="E6514" s="185"/>
      <c r="F6514" s="185"/>
      <c r="G6514" s="185"/>
      <c r="H6514" s="185"/>
      <c r="I6514" s="11"/>
    </row>
    <row r="6515" spans="1:12" ht="11.15" customHeight="1">
      <c r="A6515" s="162" t="s">
        <v>8966</v>
      </c>
      <c r="B6515" s="59" t="s">
        <v>21433</v>
      </c>
      <c r="C6515" s="147" t="s">
        <v>20221</v>
      </c>
      <c r="D6515" s="701" t="s">
        <v>1129</v>
      </c>
      <c r="E6515" s="178">
        <v>2013</v>
      </c>
      <c r="F6515" s="178" t="s">
        <v>11931</v>
      </c>
      <c r="G6515" s="496"/>
      <c r="H6515" s="994" t="s">
        <v>20277</v>
      </c>
      <c r="I6515" s="11" t="s">
        <v>8967</v>
      </c>
      <c r="J6515" s="1285"/>
      <c r="K6515" s="1285"/>
      <c r="L6515" s="1285"/>
    </row>
    <row r="6516" spans="1:12" ht="11.15" customHeight="1">
      <c r="A6516" s="162" t="s">
        <v>8968</v>
      </c>
      <c r="B6516" s="185"/>
      <c r="C6516" s="147"/>
      <c r="D6516" s="185"/>
      <c r="E6516" s="185"/>
      <c r="F6516" s="185"/>
      <c r="G6516" s="185"/>
      <c r="H6516" s="185"/>
      <c r="I6516" s="11"/>
    </row>
    <row r="6517" spans="1:12" ht="11.15" customHeight="1">
      <c r="A6517" s="162" t="s">
        <v>8969</v>
      </c>
      <c r="B6517" s="185"/>
      <c r="C6517" s="147"/>
      <c r="D6517" s="185"/>
      <c r="E6517" s="185"/>
      <c r="F6517" s="185"/>
      <c r="G6517" s="185"/>
      <c r="H6517" s="185"/>
      <c r="I6517" s="11"/>
    </row>
    <row r="6518" spans="1:12" ht="11.15" customHeight="1">
      <c r="A6518" s="162" t="s">
        <v>8970</v>
      </c>
      <c r="B6518" s="185"/>
      <c r="C6518" s="147"/>
      <c r="D6518" s="185"/>
      <c r="E6518" s="185"/>
      <c r="F6518" s="185"/>
      <c r="G6518" s="185"/>
      <c r="H6518" s="185"/>
      <c r="I6518" s="11"/>
    </row>
    <row r="6519" spans="1:12" ht="11.15" customHeight="1">
      <c r="A6519" s="166" t="s">
        <v>8971</v>
      </c>
      <c r="B6519" s="185"/>
      <c r="C6519" s="147"/>
      <c r="D6519" s="185"/>
      <c r="E6519" s="185"/>
      <c r="F6519" s="185"/>
      <c r="G6519" s="185"/>
      <c r="H6519" s="185"/>
      <c r="I6519" s="11"/>
    </row>
    <row r="6520" spans="1:12" ht="11.15" customHeight="1">
      <c r="A6520" s="481" t="s">
        <v>8972</v>
      </c>
      <c r="B6520" s="90"/>
      <c r="C6520" s="147"/>
      <c r="D6520" s="159"/>
      <c r="E6520" s="36"/>
      <c r="F6520" s="183"/>
      <c r="G6520" s="496"/>
      <c r="H6520" s="34"/>
      <c r="I6520" s="11"/>
    </row>
    <row r="6521" spans="1:12" ht="11.15" customHeight="1" thickBot="1">
      <c r="A6521" s="29"/>
      <c r="B6521" s="122"/>
      <c r="C6521" s="147"/>
      <c r="D6521" s="129"/>
      <c r="E6521" s="185"/>
      <c r="F6521" s="185"/>
      <c r="G6521" s="185"/>
      <c r="H6521" s="185"/>
      <c r="I6521" s="11"/>
    </row>
    <row r="6522" spans="1:12" ht="11.15" customHeight="1">
      <c r="A6522" s="153" t="s">
        <v>8973</v>
      </c>
      <c r="B6522" s="59" t="s">
        <v>21435</v>
      </c>
      <c r="C6522" s="147" t="s">
        <v>20221</v>
      </c>
      <c r="D6522" s="1034" t="s">
        <v>2573</v>
      </c>
      <c r="E6522" s="178">
        <v>2022</v>
      </c>
      <c r="F6522" s="178" t="s">
        <v>4520</v>
      </c>
      <c r="G6522" s="496"/>
      <c r="H6522" s="994" t="s">
        <v>20221</v>
      </c>
      <c r="I6522" s="11" t="s">
        <v>8974</v>
      </c>
      <c r="J6522" s="1285"/>
      <c r="K6522" s="1285"/>
      <c r="L6522" s="1285"/>
    </row>
    <row r="6523" spans="1:12" ht="11.15" customHeight="1" thickBot="1">
      <c r="A6523" s="230" t="s">
        <v>8975</v>
      </c>
      <c r="B6523" s="59" t="s">
        <v>292</v>
      </c>
      <c r="C6523" s="147" t="s">
        <v>20221</v>
      </c>
      <c r="D6523" s="701" t="s">
        <v>1129</v>
      </c>
      <c r="E6523" s="178">
        <v>2023</v>
      </c>
      <c r="F6523" s="178" t="s">
        <v>4520</v>
      </c>
      <c r="G6523" s="496"/>
      <c r="H6523" s="994" t="s">
        <v>20221</v>
      </c>
      <c r="I6523" s="11" t="s">
        <v>8976</v>
      </c>
      <c r="J6523" s="1285"/>
      <c r="K6523" s="1285"/>
      <c r="L6523" s="1285"/>
    </row>
    <row r="6524" spans="1:12" ht="11.15" customHeight="1">
      <c r="A6524" s="29" t="s">
        <v>8977</v>
      </c>
      <c r="B6524" s="59" t="s">
        <v>21436</v>
      </c>
      <c r="C6524" s="147" t="s">
        <v>20221</v>
      </c>
      <c r="D6524" s="701" t="s">
        <v>1129</v>
      </c>
      <c r="E6524" s="178">
        <v>2020</v>
      </c>
      <c r="F6524" s="178" t="s">
        <v>4520</v>
      </c>
      <c r="G6524" s="496"/>
      <c r="H6524" s="994" t="s">
        <v>20221</v>
      </c>
      <c r="I6524" s="11" t="s">
        <v>8978</v>
      </c>
      <c r="J6524" s="1285"/>
      <c r="K6524" s="1285"/>
      <c r="L6524" s="1285"/>
    </row>
    <row r="6525" spans="1:12" ht="11.15" customHeight="1">
      <c r="A6525" s="29" t="s">
        <v>8979</v>
      </c>
      <c r="B6525" s="59" t="s">
        <v>21436</v>
      </c>
      <c r="C6525" s="147" t="s">
        <v>20221</v>
      </c>
      <c r="D6525" s="701" t="s">
        <v>1129</v>
      </c>
      <c r="E6525" s="178">
        <v>2019</v>
      </c>
      <c r="F6525" s="178" t="s">
        <v>4520</v>
      </c>
      <c r="G6525" s="496"/>
      <c r="H6525" s="994" t="s">
        <v>20224</v>
      </c>
      <c r="I6525" s="11" t="s">
        <v>8980</v>
      </c>
      <c r="J6525" s="1285"/>
      <c r="K6525" s="1285"/>
      <c r="L6525" s="1285"/>
    </row>
    <row r="6526" spans="1:12" ht="11.15" customHeight="1">
      <c r="A6526" s="29" t="s">
        <v>8981</v>
      </c>
      <c r="B6526" s="59" t="s">
        <v>21437</v>
      </c>
      <c r="C6526" s="147" t="s">
        <v>20221</v>
      </c>
      <c r="D6526" s="284" t="s">
        <v>897</v>
      </c>
      <c r="E6526" s="178">
        <v>2021</v>
      </c>
      <c r="F6526" s="178" t="s">
        <v>4520</v>
      </c>
      <c r="G6526" s="496"/>
      <c r="H6526" s="994" t="s">
        <v>20221</v>
      </c>
      <c r="I6526" s="11" t="s">
        <v>8982</v>
      </c>
      <c r="J6526" s="1285"/>
      <c r="K6526" s="1285"/>
      <c r="L6526" s="1285"/>
    </row>
    <row r="6527" spans="1:12" ht="11.15" customHeight="1">
      <c r="A6527" s="29" t="s">
        <v>8983</v>
      </c>
      <c r="B6527" s="185"/>
      <c r="C6527" s="147"/>
      <c r="D6527" s="185"/>
      <c r="E6527" s="185"/>
      <c r="F6527" s="185"/>
      <c r="G6527" s="185"/>
      <c r="H6527" s="185"/>
      <c r="I6527" s="11"/>
    </row>
    <row r="6528" spans="1:12" ht="11.15" customHeight="1">
      <c r="A6528" s="29" t="s">
        <v>8984</v>
      </c>
      <c r="B6528" s="90"/>
      <c r="C6528" s="147"/>
      <c r="D6528" s="159"/>
      <c r="E6528" s="36"/>
      <c r="F6528" s="178"/>
      <c r="G6528" s="496"/>
      <c r="H6528" s="36"/>
      <c r="I6528" s="11"/>
    </row>
    <row r="6529" spans="1:9" ht="11.15" customHeight="1">
      <c r="A6529" s="29" t="s">
        <v>8985</v>
      </c>
      <c r="B6529" s="90"/>
      <c r="C6529" s="147"/>
      <c r="D6529" s="159"/>
      <c r="E6529" s="36"/>
      <c r="F6529" s="178"/>
      <c r="G6529" s="496"/>
      <c r="H6529" s="36"/>
      <c r="I6529" s="11"/>
    </row>
    <row r="6530" spans="1:9" ht="11.15" customHeight="1">
      <c r="A6530" s="29" t="s">
        <v>8986</v>
      </c>
      <c r="B6530" s="90"/>
      <c r="C6530" s="147"/>
      <c r="D6530" s="159"/>
      <c r="E6530" s="36"/>
      <c r="F6530" s="178"/>
      <c r="G6530" s="496"/>
      <c r="H6530" s="36"/>
      <c r="I6530" s="11"/>
    </row>
    <row r="6531" spans="1:9" ht="11.15" customHeight="1">
      <c r="A6531" s="29" t="s">
        <v>8987</v>
      </c>
      <c r="B6531" s="90"/>
      <c r="C6531" s="147"/>
      <c r="D6531" s="159"/>
      <c r="E6531" s="36"/>
      <c r="F6531" s="183"/>
      <c r="G6531" s="496"/>
      <c r="H6531" s="34"/>
      <c r="I6531" s="11"/>
    </row>
    <row r="6532" spans="1:9" ht="11.15" customHeight="1">
      <c r="A6532" s="129" t="s">
        <v>8988</v>
      </c>
      <c r="B6532" s="90"/>
      <c r="C6532" s="147"/>
      <c r="D6532" s="159"/>
      <c r="E6532" s="36"/>
      <c r="F6532" s="178"/>
      <c r="G6532" s="496"/>
      <c r="H6532" s="36"/>
      <c r="I6532" s="11"/>
    </row>
    <row r="6533" spans="1:9" ht="11.15" customHeight="1">
      <c r="A6533" s="162" t="s">
        <v>8989</v>
      </c>
      <c r="B6533" s="90"/>
      <c r="C6533" s="147"/>
      <c r="D6533" s="159"/>
      <c r="E6533" s="36"/>
      <c r="F6533" s="183"/>
      <c r="G6533" s="496"/>
      <c r="H6533" s="34"/>
      <c r="I6533" s="11"/>
    </row>
    <row r="6534" spans="1:9" ht="11.15" customHeight="1">
      <c r="A6534" s="162" t="s">
        <v>8990</v>
      </c>
      <c r="B6534" s="90"/>
      <c r="C6534" s="147"/>
      <c r="D6534" s="159"/>
      <c r="E6534" s="36"/>
      <c r="F6534" s="183"/>
      <c r="G6534" s="496"/>
      <c r="H6534" s="34"/>
      <c r="I6534" s="11"/>
    </row>
    <row r="6535" spans="1:9" ht="11.15" customHeight="1">
      <c r="A6535" s="162" t="s">
        <v>8991</v>
      </c>
      <c r="B6535" s="90"/>
      <c r="C6535" s="147"/>
      <c r="D6535" s="159"/>
      <c r="E6535" s="36"/>
      <c r="F6535" s="183"/>
      <c r="G6535" s="496"/>
      <c r="H6535" s="34"/>
      <c r="I6535" s="11"/>
    </row>
    <row r="6536" spans="1:9" ht="11.15" customHeight="1">
      <c r="A6536" s="162" t="s">
        <v>8992</v>
      </c>
      <c r="B6536" s="90"/>
      <c r="C6536" s="147"/>
      <c r="D6536" s="159"/>
      <c r="E6536" s="36"/>
      <c r="F6536" s="183"/>
      <c r="G6536" s="496"/>
      <c r="H6536" s="34"/>
      <c r="I6536" s="11"/>
    </row>
    <row r="6537" spans="1:9" ht="11.15" customHeight="1">
      <c r="A6537" s="162" t="s">
        <v>8993</v>
      </c>
      <c r="B6537" s="90"/>
      <c r="C6537" s="147"/>
      <c r="D6537" s="159"/>
      <c r="E6537" s="36"/>
      <c r="F6537" s="183"/>
      <c r="G6537" s="496"/>
      <c r="H6537" s="34"/>
      <c r="I6537" s="11"/>
    </row>
    <row r="6538" spans="1:9" ht="11.15" customHeight="1">
      <c r="A6538" s="355" t="s">
        <v>8994</v>
      </c>
      <c r="B6538" s="90"/>
      <c r="C6538" s="147"/>
      <c r="D6538" s="159"/>
      <c r="E6538" s="36"/>
      <c r="F6538" s="183"/>
      <c r="G6538" s="496"/>
      <c r="H6538" s="34"/>
      <c r="I6538" s="11"/>
    </row>
    <row r="6539" spans="1:9" ht="11.15" customHeight="1">
      <c r="A6539" s="162" t="s">
        <v>8995</v>
      </c>
      <c r="B6539" s="90"/>
      <c r="C6539" s="147"/>
      <c r="D6539" s="159"/>
      <c r="E6539" s="36"/>
      <c r="F6539" s="183"/>
      <c r="G6539" s="496"/>
      <c r="H6539" s="34"/>
      <c r="I6539" s="11"/>
    </row>
    <row r="6540" spans="1:9" ht="11.15" customHeight="1">
      <c r="A6540" s="181" t="s">
        <v>1219</v>
      </c>
      <c r="B6540" s="90"/>
      <c r="C6540" s="147"/>
      <c r="D6540" s="159"/>
      <c r="E6540" s="36"/>
      <c r="F6540" s="178"/>
      <c r="G6540" s="496"/>
      <c r="H6540" s="36"/>
      <c r="I6540" s="11"/>
    </row>
    <row r="6541" spans="1:9" ht="11.15" customHeight="1">
      <c r="A6541" s="166" t="s">
        <v>8996</v>
      </c>
      <c r="B6541" s="90"/>
      <c r="C6541" s="147"/>
      <c r="D6541" s="159"/>
      <c r="E6541" s="36"/>
      <c r="F6541" s="183"/>
      <c r="G6541" s="496"/>
      <c r="H6541" s="34"/>
      <c r="I6541" s="11"/>
    </row>
    <row r="6542" spans="1:9" ht="11.15" customHeight="1">
      <c r="A6542" s="201" t="s">
        <v>1022</v>
      </c>
      <c r="B6542" s="90"/>
      <c r="C6542" s="147"/>
      <c r="D6542" s="161"/>
      <c r="E6542" s="544"/>
      <c r="F6542" s="965"/>
      <c r="G6542" s="1233"/>
      <c r="H6542" s="545"/>
      <c r="I6542" s="11"/>
    </row>
    <row r="6543" spans="1:9" ht="11.15" customHeight="1">
      <c r="A6543" s="481" t="s">
        <v>8997</v>
      </c>
      <c r="B6543" s="90"/>
      <c r="C6543" s="147"/>
      <c r="D6543" s="159"/>
      <c r="E6543" s="36"/>
      <c r="F6543" s="183"/>
      <c r="G6543" s="496"/>
      <c r="H6543" s="34"/>
      <c r="I6543" s="11"/>
    </row>
    <row r="6544" spans="1:9" ht="11.15" customHeight="1" thickBot="1">
      <c r="A6544" s="29"/>
      <c r="B6544" s="185"/>
      <c r="C6544" s="147"/>
      <c r="D6544" s="129"/>
      <c r="E6544" s="185"/>
      <c r="F6544" s="185"/>
      <c r="G6544" s="185"/>
      <c r="H6544" s="185"/>
      <c r="I6544" s="11"/>
    </row>
    <row r="6545" spans="1:12" ht="11.15" customHeight="1" thickBot="1">
      <c r="A6545" s="184" t="s">
        <v>8998</v>
      </c>
      <c r="B6545" s="59" t="s">
        <v>21439</v>
      </c>
      <c r="C6545" s="147" t="s">
        <v>20221</v>
      </c>
      <c r="D6545" s="284" t="s">
        <v>897</v>
      </c>
      <c r="E6545" s="178">
        <v>2013</v>
      </c>
      <c r="F6545" s="178" t="s">
        <v>23395</v>
      </c>
      <c r="G6545" s="496"/>
      <c r="H6545" s="994" t="s">
        <v>20221</v>
      </c>
      <c r="I6545" s="11" t="s">
        <v>8999</v>
      </c>
      <c r="J6545" s="1285"/>
      <c r="K6545" s="1285"/>
      <c r="L6545" s="1285"/>
    </row>
    <row r="6546" spans="1:12" ht="11.15" customHeight="1">
      <c r="A6546" s="29" t="s">
        <v>9000</v>
      </c>
      <c r="B6546" s="185"/>
      <c r="C6546" s="147"/>
      <c r="D6546" s="129"/>
      <c r="E6546" s="185"/>
      <c r="F6546" s="185"/>
      <c r="G6546" s="185"/>
      <c r="H6546" s="185"/>
      <c r="I6546" s="11"/>
    </row>
    <row r="6547" spans="1:12" ht="11.15" customHeight="1">
      <c r="A6547" s="29" t="s">
        <v>9001</v>
      </c>
      <c r="B6547" s="90"/>
      <c r="C6547" s="147"/>
      <c r="D6547" s="159"/>
      <c r="E6547" s="36"/>
      <c r="F6547" s="178"/>
      <c r="G6547" s="430"/>
      <c r="H6547" s="36"/>
      <c r="I6547" s="11"/>
    </row>
    <row r="6548" spans="1:12" ht="11.15" customHeight="1">
      <c r="A6548" s="181" t="s">
        <v>9002</v>
      </c>
      <c r="B6548" s="90"/>
      <c r="C6548" s="147"/>
      <c r="D6548" s="159"/>
      <c r="E6548" s="36"/>
      <c r="F6548" s="178"/>
      <c r="G6548" s="430"/>
      <c r="H6548" s="36"/>
      <c r="I6548" s="11"/>
    </row>
    <row r="6549" spans="1:12" ht="11.15" customHeight="1">
      <c r="A6549" s="212" t="s">
        <v>1244</v>
      </c>
      <c r="B6549" s="90"/>
      <c r="C6549" s="147"/>
      <c r="D6549" s="159"/>
      <c r="E6549" s="36"/>
      <c r="F6549" s="178"/>
      <c r="G6549" s="671"/>
      <c r="H6549" s="36"/>
      <c r="I6549" s="11"/>
    </row>
    <row r="6550" spans="1:12" ht="11.15" customHeight="1">
      <c r="A6550" s="129" t="s">
        <v>9003</v>
      </c>
      <c r="B6550" s="150"/>
      <c r="C6550" s="147"/>
      <c r="D6550" s="159"/>
      <c r="E6550" s="36"/>
      <c r="F6550" s="178"/>
      <c r="G6550" s="671"/>
      <c r="H6550" s="36"/>
      <c r="I6550" s="11"/>
    </row>
    <row r="6551" spans="1:12" ht="11.15" customHeight="1">
      <c r="A6551" s="481" t="s">
        <v>9004</v>
      </c>
      <c r="B6551" s="90"/>
      <c r="C6551" s="147"/>
      <c r="D6551" s="159"/>
      <c r="E6551" s="36"/>
      <c r="F6551" s="178"/>
      <c r="G6551" s="671"/>
      <c r="H6551" s="36"/>
      <c r="I6551" s="11"/>
    </row>
    <row r="6552" spans="1:12" ht="11.15" customHeight="1" thickBot="1">
      <c r="A6552" s="162"/>
      <c r="B6552" s="226"/>
      <c r="C6552" s="147"/>
      <c r="D6552" s="122"/>
      <c r="E6552" s="36"/>
      <c r="F6552" s="178"/>
      <c r="G6552" s="453"/>
      <c r="H6552" s="36"/>
      <c r="I6552" s="11"/>
    </row>
    <row r="6553" spans="1:12" ht="24" customHeight="1" thickBot="1">
      <c r="A6553" s="542"/>
      <c r="B6553" s="50" t="s">
        <v>9005</v>
      </c>
      <c r="C6553" s="170"/>
      <c r="D6553" s="382"/>
      <c r="E6553" s="543"/>
      <c r="F6553" s="1082"/>
      <c r="G6553" s="1142"/>
      <c r="H6553" s="1141"/>
      <c r="I6553" s="11"/>
    </row>
    <row r="6554" spans="1:12" ht="9" customHeight="1">
      <c r="A6554" s="185"/>
      <c r="B6554" s="150" t="s">
        <v>9006</v>
      </c>
      <c r="C6554" s="147"/>
      <c r="D6554" s="122"/>
      <c r="E6554" s="36"/>
      <c r="F6554" s="178"/>
      <c r="G6554" s="453"/>
      <c r="H6554" s="36"/>
      <c r="I6554" s="11"/>
    </row>
    <row r="6555" spans="1:12" ht="9" customHeight="1">
      <c r="A6555" s="137"/>
      <c r="B6555" s="150" t="s">
        <v>9007</v>
      </c>
      <c r="C6555" s="147"/>
      <c r="D6555" s="183"/>
      <c r="E6555" s="36"/>
      <c r="F6555" s="178"/>
      <c r="G6555" s="453"/>
      <c r="H6555" s="36"/>
      <c r="I6555" s="11"/>
    </row>
    <row r="6556" spans="1:12" ht="9" customHeight="1">
      <c r="A6556" s="185"/>
      <c r="B6556" s="150" t="s">
        <v>9008</v>
      </c>
      <c r="C6556" s="147"/>
      <c r="D6556" s="122"/>
      <c r="E6556" s="36"/>
      <c r="F6556" s="178"/>
      <c r="G6556" s="453"/>
      <c r="H6556" s="36"/>
      <c r="I6556" s="11"/>
    </row>
    <row r="6557" spans="1:12" ht="9" customHeight="1">
      <c r="A6557" s="185"/>
      <c r="B6557" s="150" t="s">
        <v>9009</v>
      </c>
      <c r="C6557" s="147"/>
      <c r="D6557" s="122"/>
      <c r="E6557" s="36"/>
      <c r="F6557" s="178"/>
      <c r="G6557" s="453"/>
      <c r="H6557" s="36"/>
      <c r="I6557" s="11"/>
    </row>
    <row r="6558" spans="1:12" ht="9" customHeight="1">
      <c r="A6558" s="185"/>
      <c r="B6558" s="150" t="s">
        <v>9010</v>
      </c>
      <c r="C6558" s="147"/>
      <c r="D6558" s="122"/>
      <c r="E6558" s="36"/>
      <c r="F6558" s="178"/>
      <c r="G6558" s="453"/>
      <c r="H6558" s="36"/>
      <c r="I6558" s="11"/>
    </row>
    <row r="6559" spans="1:12" ht="9" customHeight="1">
      <c r="A6559" s="185"/>
      <c r="B6559" s="150" t="s">
        <v>9011</v>
      </c>
      <c r="C6559" s="147"/>
      <c r="D6559" s="122"/>
      <c r="E6559" s="36"/>
      <c r="F6559" s="178"/>
      <c r="G6559" s="453"/>
      <c r="H6559" s="36"/>
      <c r="I6559" s="11"/>
    </row>
    <row r="6560" spans="1:12" ht="9" customHeight="1" thickBot="1">
      <c r="A6560" s="185"/>
      <c r="B6560" s="150" t="s">
        <v>9012</v>
      </c>
      <c r="C6560" s="147"/>
      <c r="D6560" s="122"/>
      <c r="E6560" s="36"/>
      <c r="F6560" s="178"/>
      <c r="G6560" s="453"/>
      <c r="H6560" s="36"/>
      <c r="I6560" s="11"/>
    </row>
    <row r="6561" spans="1:12" ht="11.15" customHeight="1" thickBot="1">
      <c r="A6561" s="184" t="s">
        <v>9013</v>
      </c>
      <c r="B6561" s="154" t="s">
        <v>9014</v>
      </c>
      <c r="C6561" s="147"/>
      <c r="D6561" s="159"/>
      <c r="E6561" s="185"/>
      <c r="F6561" s="185"/>
      <c r="G6561" s="185"/>
      <c r="H6561" s="185"/>
      <c r="I6561" s="11"/>
    </row>
    <row r="6562" spans="1:12" ht="11.15" customHeight="1">
      <c r="A6562" s="29" t="s">
        <v>9015</v>
      </c>
      <c r="B6562" s="59" t="s">
        <v>21440</v>
      </c>
      <c r="C6562" s="147" t="s">
        <v>23393</v>
      </c>
      <c r="D6562" s="701" t="s">
        <v>1129</v>
      </c>
      <c r="E6562" s="178">
        <v>2021</v>
      </c>
      <c r="F6562" s="178" t="s">
        <v>4520</v>
      </c>
      <c r="G6562" s="496"/>
      <c r="H6562" s="994" t="s">
        <v>20221</v>
      </c>
      <c r="I6562" s="11" t="s">
        <v>9016</v>
      </c>
      <c r="J6562" s="1285"/>
      <c r="K6562" s="1285"/>
      <c r="L6562" s="1285"/>
    </row>
    <row r="6563" spans="1:12" ht="11.15" customHeight="1">
      <c r="A6563" s="229" t="s">
        <v>9017</v>
      </c>
      <c r="B6563" s="154" t="s">
        <v>9018</v>
      </c>
      <c r="C6563" s="147"/>
      <c r="D6563" s="129"/>
      <c r="E6563" s="185"/>
      <c r="F6563" s="185"/>
      <c r="G6563" s="185"/>
      <c r="H6563" s="185"/>
      <c r="I6563" s="11"/>
    </row>
    <row r="6564" spans="1:12" ht="11.15" customHeight="1">
      <c r="A6564" s="29" t="s">
        <v>9019</v>
      </c>
      <c r="B6564" s="59" t="s">
        <v>21441</v>
      </c>
      <c r="C6564" s="147" t="s">
        <v>23393</v>
      </c>
      <c r="D6564" s="284" t="s">
        <v>897</v>
      </c>
      <c r="E6564" s="178">
        <v>2021</v>
      </c>
      <c r="F6564" s="178" t="s">
        <v>4520</v>
      </c>
      <c r="G6564" s="496"/>
      <c r="H6564" s="994" t="s">
        <v>20221</v>
      </c>
      <c r="I6564" s="11" t="s">
        <v>9020</v>
      </c>
      <c r="J6564" s="1285"/>
      <c r="K6564" s="1285"/>
      <c r="L6564" s="1285"/>
    </row>
    <row r="6565" spans="1:12" ht="11.15" customHeight="1">
      <c r="A6565" s="29" t="s">
        <v>9021</v>
      </c>
      <c r="B6565" s="59" t="s">
        <v>21442</v>
      </c>
      <c r="C6565" s="147" t="s">
        <v>23393</v>
      </c>
      <c r="D6565" s="284" t="s">
        <v>897</v>
      </c>
      <c r="E6565" s="178">
        <v>2021</v>
      </c>
      <c r="F6565" s="178" t="s">
        <v>4520</v>
      </c>
      <c r="G6565" s="496"/>
      <c r="H6565" s="994" t="s">
        <v>20221</v>
      </c>
      <c r="I6565" s="11" t="s">
        <v>9022</v>
      </c>
      <c r="J6565" s="1285"/>
      <c r="K6565" s="1285"/>
      <c r="L6565" s="1285"/>
    </row>
    <row r="6566" spans="1:12" ht="11.15" customHeight="1">
      <c r="A6566" s="29" t="s">
        <v>9023</v>
      </c>
      <c r="B6566" s="59" t="s">
        <v>21443</v>
      </c>
      <c r="C6566" s="147" t="s">
        <v>23393</v>
      </c>
      <c r="D6566" s="284" t="s">
        <v>897</v>
      </c>
      <c r="E6566" s="178">
        <v>2018</v>
      </c>
      <c r="F6566" s="178" t="s">
        <v>4520</v>
      </c>
      <c r="G6566" s="496"/>
      <c r="H6566" s="994" t="s">
        <v>20221</v>
      </c>
      <c r="I6566" s="11" t="s">
        <v>9024</v>
      </c>
      <c r="J6566" s="1285"/>
      <c r="K6566" s="1285"/>
      <c r="L6566" s="1285"/>
    </row>
    <row r="6567" spans="1:12" ht="11.15" customHeight="1">
      <c r="A6567" s="29" t="s">
        <v>9025</v>
      </c>
      <c r="B6567" s="90"/>
      <c r="C6567" s="147"/>
      <c r="D6567" s="161"/>
      <c r="E6567" s="36"/>
      <c r="F6567" s="178"/>
      <c r="G6567" s="496"/>
      <c r="H6567" s="36"/>
      <c r="I6567" s="11"/>
    </row>
    <row r="6568" spans="1:12" ht="11.15" customHeight="1">
      <c r="A6568" s="29" t="s">
        <v>9026</v>
      </c>
      <c r="B6568" s="90"/>
      <c r="C6568" s="147"/>
      <c r="D6568" s="159"/>
      <c r="E6568" s="36"/>
      <c r="F6568" s="178"/>
      <c r="G6568" s="496"/>
      <c r="H6568" s="36"/>
      <c r="I6568" s="11"/>
    </row>
    <row r="6569" spans="1:12" ht="11.15" customHeight="1">
      <c r="A6569" s="29" t="s">
        <v>9027</v>
      </c>
      <c r="B6569" s="185"/>
      <c r="C6569" s="147"/>
      <c r="D6569" s="161"/>
      <c r="E6569" s="36"/>
      <c r="F6569" s="178"/>
      <c r="G6569" s="496"/>
      <c r="H6569" s="36"/>
      <c r="I6569" s="11"/>
    </row>
    <row r="6570" spans="1:12" ht="11.15" customHeight="1">
      <c r="A6570" s="29" t="s">
        <v>9028</v>
      </c>
      <c r="B6570" s="185"/>
      <c r="C6570" s="147"/>
      <c r="D6570" s="185"/>
      <c r="E6570" s="185"/>
      <c r="F6570" s="185"/>
      <c r="G6570" s="185"/>
      <c r="H6570" s="185"/>
      <c r="I6570" s="11"/>
    </row>
    <row r="6571" spans="1:12" ht="11.15" customHeight="1">
      <c r="A6571" s="29" t="s">
        <v>9029</v>
      </c>
      <c r="B6571" s="185"/>
      <c r="C6571" s="147"/>
      <c r="D6571" s="182"/>
      <c r="E6571" s="36"/>
      <c r="F6571" s="178"/>
      <c r="G6571" s="496"/>
      <c r="H6571" s="36"/>
      <c r="I6571" s="11"/>
    </row>
    <row r="6572" spans="1:12" ht="11.15" customHeight="1">
      <c r="A6572" s="181" t="s">
        <v>9030</v>
      </c>
      <c r="B6572" s="185"/>
      <c r="C6572" s="147"/>
      <c r="D6572" s="182"/>
      <c r="E6572" s="36"/>
      <c r="F6572" s="178"/>
      <c r="G6572" s="496"/>
      <c r="H6572" s="36"/>
      <c r="I6572" s="11"/>
    </row>
    <row r="6573" spans="1:12" ht="11.15" customHeight="1">
      <c r="A6573" s="181" t="s">
        <v>9031</v>
      </c>
      <c r="B6573" s="185"/>
      <c r="C6573" s="147"/>
      <c r="D6573" s="182"/>
      <c r="E6573" s="36"/>
      <c r="F6573" s="178"/>
      <c r="G6573" s="496"/>
      <c r="H6573" s="36"/>
      <c r="I6573" s="11"/>
    </row>
    <row r="6574" spans="1:12" ht="11.15" customHeight="1">
      <c r="A6574" s="181" t="s">
        <v>950</v>
      </c>
      <c r="B6574" s="185"/>
      <c r="C6574" s="147"/>
      <c r="D6574" s="185"/>
      <c r="E6574" s="185"/>
      <c r="F6574" s="185"/>
      <c r="G6574" s="185"/>
      <c r="H6574" s="185"/>
      <c r="I6574" s="11"/>
    </row>
    <row r="6575" spans="1:12" ht="11.15" customHeight="1">
      <c r="A6575" s="29" t="s">
        <v>9032</v>
      </c>
      <c r="B6575" s="185"/>
      <c r="C6575" s="147"/>
      <c r="D6575" s="185"/>
      <c r="E6575" s="185"/>
      <c r="F6575" s="185"/>
      <c r="G6575" s="185"/>
      <c r="H6575" s="185"/>
      <c r="I6575" s="11"/>
    </row>
    <row r="6576" spans="1:12" ht="11.15" customHeight="1">
      <c r="A6576" s="29" t="s">
        <v>9033</v>
      </c>
      <c r="B6576" s="185"/>
      <c r="C6576" s="147"/>
      <c r="D6576" s="185"/>
      <c r="E6576" s="185"/>
      <c r="F6576" s="185"/>
      <c r="G6576" s="185"/>
      <c r="H6576" s="185"/>
      <c r="I6576" s="11"/>
    </row>
    <row r="6577" spans="1:9" ht="11.15" customHeight="1">
      <c r="A6577" s="29" t="s">
        <v>9034</v>
      </c>
      <c r="B6577" s="185"/>
      <c r="C6577" s="147"/>
      <c r="D6577" s="185"/>
      <c r="E6577" s="185"/>
      <c r="F6577" s="185"/>
      <c r="G6577" s="185"/>
      <c r="H6577" s="185"/>
      <c r="I6577" s="11"/>
    </row>
    <row r="6578" spans="1:9" ht="11.15" customHeight="1">
      <c r="A6578" s="129" t="s">
        <v>951</v>
      </c>
      <c r="B6578" s="185"/>
      <c r="C6578" s="147"/>
      <c r="D6578" s="185"/>
      <c r="E6578" s="185"/>
      <c r="F6578" s="185"/>
      <c r="G6578" s="185"/>
      <c r="H6578" s="185"/>
      <c r="I6578" s="11"/>
    </row>
    <row r="6579" spans="1:9" ht="11.15" customHeight="1">
      <c r="A6579" s="162" t="s">
        <v>9035</v>
      </c>
      <c r="B6579" s="185"/>
      <c r="C6579" s="147"/>
      <c r="D6579" s="185"/>
      <c r="E6579" s="185"/>
      <c r="F6579" s="185"/>
      <c r="G6579" s="185"/>
      <c r="H6579" s="185"/>
      <c r="I6579" s="11"/>
    </row>
    <row r="6580" spans="1:9" ht="11.15" customHeight="1">
      <c r="A6580" s="162" t="s">
        <v>9036</v>
      </c>
      <c r="B6580" s="546"/>
      <c r="C6580" s="147"/>
      <c r="D6580" s="182"/>
      <c r="E6580" s="36"/>
      <c r="F6580" s="178"/>
      <c r="G6580" s="496"/>
      <c r="H6580" s="36"/>
      <c r="I6580" s="11"/>
    </row>
    <row r="6581" spans="1:9" ht="11.15" customHeight="1">
      <c r="A6581" s="162" t="s">
        <v>9037</v>
      </c>
      <c r="B6581" s="546"/>
      <c r="C6581" s="147"/>
      <c r="D6581" s="182"/>
      <c r="E6581" s="36"/>
      <c r="F6581" s="178"/>
      <c r="G6581" s="496"/>
      <c r="H6581" s="36"/>
      <c r="I6581" s="11"/>
    </row>
    <row r="6582" spans="1:9" ht="11.15" customHeight="1">
      <c r="A6582" s="162" t="s">
        <v>9038</v>
      </c>
      <c r="B6582" s="546"/>
      <c r="C6582" s="147"/>
      <c r="D6582" s="182"/>
      <c r="E6582" s="36"/>
      <c r="F6582" s="178"/>
      <c r="G6582" s="496"/>
      <c r="H6582" s="36"/>
      <c r="I6582" s="11"/>
    </row>
    <row r="6583" spans="1:9" ht="11.15" customHeight="1">
      <c r="A6583" s="162" t="s">
        <v>9039</v>
      </c>
      <c r="B6583" s="546"/>
      <c r="C6583" s="147"/>
      <c r="D6583" s="182"/>
      <c r="E6583" s="36"/>
      <c r="F6583" s="178"/>
      <c r="G6583" s="496"/>
      <c r="H6583" s="36"/>
      <c r="I6583" s="11"/>
    </row>
    <row r="6584" spans="1:9" ht="11.15" customHeight="1">
      <c r="A6584" s="162" t="s">
        <v>9040</v>
      </c>
      <c r="B6584" s="546"/>
      <c r="C6584" s="147"/>
      <c r="D6584" s="182"/>
      <c r="E6584" s="36"/>
      <c r="F6584" s="178"/>
      <c r="G6584" s="496"/>
      <c r="H6584" s="36"/>
      <c r="I6584" s="11"/>
    </row>
    <row r="6585" spans="1:9" ht="11.15" customHeight="1">
      <c r="A6585" s="129" t="s">
        <v>1077</v>
      </c>
      <c r="B6585" s="546"/>
      <c r="C6585" s="147"/>
      <c r="D6585" s="182"/>
      <c r="E6585" s="36"/>
      <c r="F6585" s="178"/>
      <c r="G6585" s="496"/>
      <c r="H6585" s="36"/>
      <c r="I6585" s="11"/>
    </row>
    <row r="6586" spans="1:9" ht="11.15" customHeight="1">
      <c r="A6586" s="291" t="s">
        <v>9041</v>
      </c>
      <c r="B6586" s="546"/>
      <c r="C6586" s="147"/>
      <c r="D6586" s="182"/>
      <c r="E6586" s="36"/>
      <c r="F6586" s="178"/>
      <c r="G6586" s="496"/>
      <c r="H6586" s="36"/>
      <c r="I6586" s="11"/>
    </row>
    <row r="6587" spans="1:9" ht="11.15" customHeight="1">
      <c r="A6587" s="291" t="s">
        <v>9042</v>
      </c>
      <c r="B6587" s="546"/>
      <c r="C6587" s="147"/>
      <c r="D6587" s="182"/>
      <c r="E6587" s="36"/>
      <c r="F6587" s="178"/>
      <c r="G6587" s="496"/>
      <c r="H6587" s="36"/>
      <c r="I6587" s="11"/>
    </row>
    <row r="6588" spans="1:9" ht="11.15" customHeight="1">
      <c r="A6588" s="291" t="s">
        <v>9043</v>
      </c>
      <c r="B6588" s="546"/>
      <c r="C6588" s="147"/>
      <c r="D6588" s="182"/>
      <c r="E6588" s="36"/>
      <c r="F6588" s="178"/>
      <c r="G6588" s="496"/>
      <c r="H6588" s="36"/>
      <c r="I6588" s="11"/>
    </row>
    <row r="6589" spans="1:9" ht="11.15" customHeight="1">
      <c r="A6589" s="292" t="s">
        <v>9044</v>
      </c>
      <c r="B6589" s="546"/>
      <c r="C6589" s="147"/>
      <c r="D6589" s="182"/>
      <c r="E6589" s="36"/>
      <c r="F6589" s="178"/>
      <c r="G6589" s="496"/>
      <c r="H6589" s="36"/>
      <c r="I6589" s="11"/>
    </row>
    <row r="6590" spans="1:9" ht="11.15" customHeight="1">
      <c r="A6590" s="292" t="s">
        <v>9045</v>
      </c>
      <c r="B6590" s="546"/>
      <c r="C6590" s="147"/>
      <c r="D6590" s="182"/>
      <c r="E6590" s="36"/>
      <c r="F6590" s="178"/>
      <c r="G6590" s="496"/>
      <c r="H6590" s="36"/>
      <c r="I6590" s="11"/>
    </row>
    <row r="6591" spans="1:9" ht="11.15" customHeight="1">
      <c r="A6591" s="292" t="s">
        <v>9046</v>
      </c>
      <c r="B6591" s="546"/>
      <c r="C6591" s="147"/>
      <c r="D6591" s="182"/>
      <c r="E6591" s="36"/>
      <c r="F6591" s="178"/>
      <c r="G6591" s="496"/>
      <c r="H6591" s="36"/>
      <c r="I6591" s="11"/>
    </row>
    <row r="6592" spans="1:9" ht="11.15" customHeight="1">
      <c r="A6592" s="292" t="s">
        <v>9047</v>
      </c>
      <c r="B6592" s="90"/>
      <c r="C6592" s="147"/>
      <c r="D6592" s="182"/>
      <c r="E6592" s="36"/>
      <c r="F6592" s="178"/>
      <c r="G6592" s="496"/>
      <c r="H6592" s="36"/>
      <c r="I6592" s="11"/>
    </row>
    <row r="6593" spans="1:9" ht="11.15" customHeight="1">
      <c r="A6593" s="162" t="s">
        <v>9048</v>
      </c>
      <c r="B6593" s="90"/>
      <c r="C6593" s="147"/>
      <c r="D6593" s="182"/>
      <c r="E6593" s="36"/>
      <c r="F6593" s="178"/>
      <c r="G6593" s="496"/>
      <c r="H6593" s="36"/>
      <c r="I6593" s="11"/>
    </row>
    <row r="6594" spans="1:9" ht="11.15" customHeight="1">
      <c r="A6594" s="162" t="s">
        <v>9049</v>
      </c>
      <c r="B6594" s="185"/>
      <c r="C6594" s="147"/>
      <c r="D6594" s="182"/>
      <c r="E6594" s="36"/>
      <c r="F6594" s="178"/>
      <c r="G6594" s="496"/>
      <c r="H6594" s="36"/>
      <c r="I6594" s="11"/>
    </row>
    <row r="6595" spans="1:9" ht="11.15" customHeight="1">
      <c r="A6595" s="162" t="s">
        <v>9050</v>
      </c>
      <c r="B6595" s="90"/>
      <c r="C6595" s="147"/>
      <c r="D6595" s="182"/>
      <c r="E6595" s="36"/>
      <c r="F6595" s="178"/>
      <c r="G6595" s="496"/>
      <c r="H6595" s="36"/>
      <c r="I6595" s="11"/>
    </row>
    <row r="6596" spans="1:9" ht="11.15" customHeight="1">
      <c r="A6596" s="292" t="s">
        <v>9051</v>
      </c>
      <c r="B6596" s="90"/>
      <c r="C6596" s="147"/>
      <c r="D6596" s="182"/>
      <c r="E6596" s="36"/>
      <c r="F6596" s="178"/>
      <c r="G6596" s="496"/>
      <c r="H6596" s="36"/>
      <c r="I6596" s="11"/>
    </row>
    <row r="6597" spans="1:9" ht="11.15" customHeight="1">
      <c r="A6597" s="162" t="s">
        <v>9052</v>
      </c>
      <c r="B6597" s="90"/>
      <c r="C6597" s="147"/>
      <c r="D6597" s="182"/>
      <c r="E6597" s="36"/>
      <c r="F6597" s="178"/>
      <c r="G6597" s="496"/>
      <c r="H6597" s="36"/>
      <c r="I6597" s="11"/>
    </row>
    <row r="6598" spans="1:9" ht="11.15" customHeight="1">
      <c r="A6598" s="162" t="s">
        <v>9053</v>
      </c>
      <c r="B6598" s="90"/>
      <c r="C6598" s="147"/>
      <c r="D6598" s="182"/>
      <c r="E6598" s="36"/>
      <c r="F6598" s="178"/>
      <c r="G6598" s="496"/>
      <c r="H6598" s="36"/>
      <c r="I6598" s="11"/>
    </row>
    <row r="6599" spans="1:9" ht="11.15" customHeight="1">
      <c r="A6599" s="162" t="s">
        <v>9054</v>
      </c>
      <c r="B6599" s="185"/>
      <c r="C6599" s="147"/>
      <c r="D6599" s="122"/>
      <c r="E6599" s="36"/>
      <c r="F6599" s="178"/>
      <c r="G6599" s="453"/>
      <c r="H6599" s="36"/>
      <c r="I6599" s="11"/>
    </row>
    <row r="6600" spans="1:9" ht="11.15" customHeight="1">
      <c r="A6600" s="292" t="s">
        <v>9055</v>
      </c>
      <c r="B6600" s="185"/>
      <c r="C6600" s="147"/>
      <c r="D6600" s="122"/>
      <c r="E6600" s="36"/>
      <c r="F6600" s="178"/>
      <c r="G6600" s="453"/>
      <c r="H6600" s="36"/>
      <c r="I6600" s="11"/>
    </row>
    <row r="6601" spans="1:9" ht="11.15" customHeight="1">
      <c r="A6601" s="333" t="s">
        <v>2482</v>
      </c>
      <c r="B6601" s="185"/>
      <c r="C6601" s="147"/>
      <c r="D6601" s="122"/>
      <c r="E6601" s="36"/>
      <c r="F6601" s="178"/>
      <c r="G6601" s="453"/>
      <c r="H6601" s="36"/>
      <c r="I6601" s="11"/>
    </row>
    <row r="6602" spans="1:9" ht="11.15" customHeight="1">
      <c r="A6602" s="481" t="s">
        <v>9056</v>
      </c>
      <c r="B6602" s="185"/>
      <c r="C6602" s="147"/>
      <c r="D6602" s="122"/>
      <c r="E6602" s="36"/>
      <c r="F6602" s="178"/>
      <c r="G6602" s="453"/>
      <c r="H6602" s="36"/>
      <c r="I6602" s="11"/>
    </row>
    <row r="6603" spans="1:9" ht="11.15" customHeight="1">
      <c r="A6603" s="29"/>
      <c r="B6603" s="413" t="s">
        <v>9057</v>
      </c>
      <c r="C6603" s="147"/>
      <c r="D6603" s="122"/>
      <c r="E6603" s="36"/>
      <c r="F6603" s="178"/>
      <c r="G6603" s="453"/>
      <c r="H6603" s="36"/>
      <c r="I6603" s="11"/>
    </row>
    <row r="6604" spans="1:9" ht="11.15" customHeight="1">
      <c r="A6604" s="29"/>
      <c r="B6604" s="209" t="s">
        <v>9058</v>
      </c>
      <c r="C6604" s="147"/>
      <c r="D6604" s="122"/>
      <c r="E6604" s="36"/>
      <c r="F6604" s="178"/>
      <c r="G6604" s="453"/>
      <c r="H6604" s="36"/>
      <c r="I6604" s="11"/>
    </row>
    <row r="6605" spans="1:9" ht="9" customHeight="1">
      <c r="A6605" s="185"/>
      <c r="B6605" s="150" t="s">
        <v>9059</v>
      </c>
      <c r="C6605" s="147"/>
      <c r="D6605" s="122"/>
      <c r="E6605" s="36"/>
      <c r="F6605" s="178"/>
      <c r="G6605" s="453"/>
      <c r="H6605" s="36"/>
      <c r="I6605" s="11"/>
    </row>
    <row r="6606" spans="1:9" ht="9" customHeight="1">
      <c r="A6606" s="185"/>
      <c r="B6606" s="209" t="s">
        <v>9060</v>
      </c>
      <c r="C6606" s="147"/>
      <c r="D6606" s="122"/>
      <c r="E6606" s="36"/>
      <c r="F6606" s="178"/>
      <c r="G6606" s="453"/>
      <c r="H6606" s="36"/>
      <c r="I6606" s="11"/>
    </row>
    <row r="6607" spans="1:9" ht="9" customHeight="1">
      <c r="A6607" s="185"/>
      <c r="B6607" s="216" t="s">
        <v>9061</v>
      </c>
      <c r="C6607" s="147"/>
      <c r="D6607" s="122"/>
      <c r="E6607" s="36"/>
      <c r="F6607" s="178"/>
      <c r="G6607" s="453"/>
      <c r="H6607" s="36"/>
      <c r="I6607" s="11"/>
    </row>
    <row r="6608" spans="1:9" ht="9" customHeight="1">
      <c r="A6608" s="185"/>
      <c r="B6608" s="216" t="s">
        <v>9062</v>
      </c>
      <c r="C6608" s="147"/>
      <c r="D6608" s="122"/>
      <c r="E6608" s="36"/>
      <c r="F6608" s="178"/>
      <c r="G6608" s="453"/>
      <c r="H6608" s="36"/>
      <c r="I6608" s="11"/>
    </row>
    <row r="6609" spans="1:12" ht="9" customHeight="1">
      <c r="A6609" s="185"/>
      <c r="B6609" s="150" t="s">
        <v>9063</v>
      </c>
      <c r="C6609" s="147"/>
      <c r="D6609" s="122"/>
      <c r="E6609" s="36"/>
      <c r="F6609" s="178"/>
      <c r="G6609" s="453"/>
      <c r="H6609" s="36"/>
      <c r="I6609" s="11"/>
    </row>
    <row r="6610" spans="1:12" ht="9" customHeight="1">
      <c r="A6610" s="185"/>
      <c r="B6610" s="150" t="s">
        <v>9064</v>
      </c>
      <c r="C6610" s="147"/>
      <c r="D6610" s="122"/>
      <c r="E6610" s="36"/>
      <c r="F6610" s="178"/>
      <c r="G6610" s="453"/>
      <c r="H6610" s="36"/>
      <c r="I6610" s="11"/>
    </row>
    <row r="6611" spans="1:12" ht="9" customHeight="1">
      <c r="A6611" s="185"/>
      <c r="B6611" s="209" t="s">
        <v>9065</v>
      </c>
      <c r="C6611" s="147"/>
      <c r="D6611" s="122"/>
      <c r="E6611" s="36"/>
      <c r="F6611" s="178"/>
      <c r="G6611" s="453"/>
      <c r="H6611" s="36"/>
      <c r="I6611" s="11"/>
    </row>
    <row r="6612" spans="1:12" ht="9" customHeight="1">
      <c r="A6612" s="185"/>
      <c r="B6612" s="216" t="s">
        <v>9066</v>
      </c>
      <c r="C6612" s="147"/>
      <c r="D6612" s="122"/>
      <c r="E6612" s="36"/>
      <c r="F6612" s="178"/>
      <c r="G6612" s="453"/>
      <c r="H6612" s="36"/>
      <c r="I6612" s="11"/>
    </row>
    <row r="6613" spans="1:12" ht="9" customHeight="1">
      <c r="A6613" s="149"/>
      <c r="B6613" s="150" t="s">
        <v>9067</v>
      </c>
      <c r="C6613" s="147"/>
      <c r="D6613" s="122"/>
      <c r="E6613" s="36"/>
      <c r="F6613" s="178"/>
      <c r="G6613" s="453"/>
      <c r="H6613" s="36"/>
      <c r="I6613" s="11"/>
    </row>
    <row r="6614" spans="1:12" ht="9" customHeight="1">
      <c r="A6614" s="185"/>
      <c r="B6614" s="150" t="s">
        <v>9068</v>
      </c>
      <c r="C6614" s="147"/>
      <c r="D6614" s="122"/>
      <c r="E6614" s="36"/>
      <c r="F6614" s="178"/>
      <c r="G6614" s="453"/>
      <c r="H6614" s="36"/>
      <c r="I6614" s="11"/>
    </row>
    <row r="6615" spans="1:12" ht="9" customHeight="1" thickBot="1">
      <c r="A6615" s="185"/>
      <c r="B6615" s="150" t="s">
        <v>9069</v>
      </c>
      <c r="C6615" s="147"/>
      <c r="D6615" s="122"/>
      <c r="E6615" s="36"/>
      <c r="F6615" s="178"/>
      <c r="G6615" s="453"/>
      <c r="H6615" s="36"/>
      <c r="I6615" s="11"/>
    </row>
    <row r="6616" spans="1:12" ht="11.15" customHeight="1">
      <c r="A6616" s="153" t="s">
        <v>9070</v>
      </c>
      <c r="B6616" s="154" t="s">
        <v>1398</v>
      </c>
      <c r="C6616" s="147"/>
      <c r="D6616" s="129"/>
      <c r="E6616" s="185"/>
      <c r="F6616" s="185"/>
      <c r="G6616" s="185"/>
      <c r="H6616" s="185"/>
      <c r="I6616" s="11"/>
    </row>
    <row r="6617" spans="1:12" ht="11.15" customHeight="1">
      <c r="A6617" s="277" t="s">
        <v>9071</v>
      </c>
      <c r="B6617" s="59" t="s">
        <v>21445</v>
      </c>
      <c r="C6617" s="147" t="s">
        <v>20221</v>
      </c>
      <c r="D6617" s="284" t="s">
        <v>897</v>
      </c>
      <c r="E6617" s="178">
        <v>2011</v>
      </c>
      <c r="F6617" s="178" t="s">
        <v>4520</v>
      </c>
      <c r="G6617" s="496"/>
      <c r="H6617" s="994" t="s">
        <v>20224</v>
      </c>
      <c r="I6617" s="11" t="s">
        <v>9072</v>
      </c>
      <c r="J6617" s="1285"/>
      <c r="K6617" s="1285"/>
      <c r="L6617" s="1285"/>
    </row>
    <row r="6618" spans="1:12" ht="11.15" customHeight="1" thickBot="1">
      <c r="A6618" s="230" t="s">
        <v>9073</v>
      </c>
      <c r="B6618" s="154"/>
      <c r="C6618" s="147"/>
      <c r="D6618" s="129"/>
      <c r="E6618" s="185"/>
      <c r="F6618" s="185"/>
      <c r="G6618" s="185"/>
      <c r="H6618" s="185"/>
      <c r="I6618" s="11"/>
    </row>
    <row r="6619" spans="1:12" ht="11.15" customHeight="1">
      <c r="A6619" s="29" t="s">
        <v>9074</v>
      </c>
      <c r="B6619" s="154"/>
      <c r="C6619" s="147"/>
      <c r="D6619" s="129"/>
      <c r="E6619" s="185"/>
      <c r="F6619" s="185"/>
      <c r="G6619" s="185"/>
      <c r="H6619" s="185"/>
      <c r="I6619" s="11"/>
    </row>
    <row r="6620" spans="1:12" ht="11.15" customHeight="1">
      <c r="A6620" s="181" t="s">
        <v>9075</v>
      </c>
      <c r="B6620" s="90"/>
      <c r="C6620" s="147"/>
      <c r="D6620" s="182"/>
      <c r="E6620" s="36"/>
      <c r="F6620" s="178"/>
      <c r="G6620" s="496"/>
      <c r="H6620" s="36"/>
      <c r="I6620" s="11"/>
    </row>
    <row r="6621" spans="1:12" ht="11.15" customHeight="1">
      <c r="A6621" s="29" t="s">
        <v>9076</v>
      </c>
      <c r="B6621" s="90"/>
      <c r="C6621" s="147"/>
      <c r="D6621" s="182"/>
      <c r="E6621" s="36"/>
      <c r="F6621" s="178"/>
      <c r="G6621" s="496"/>
      <c r="H6621" s="36"/>
      <c r="I6621" s="11"/>
    </row>
    <row r="6622" spans="1:12" ht="11.15" customHeight="1">
      <c r="A6622" s="29" t="s">
        <v>9077</v>
      </c>
      <c r="B6622" s="185"/>
      <c r="C6622" s="147"/>
      <c r="D6622" s="185"/>
      <c r="E6622" s="185"/>
      <c r="F6622" s="185"/>
      <c r="G6622" s="185"/>
      <c r="H6622" s="185"/>
      <c r="I6622" s="11"/>
    </row>
    <row r="6623" spans="1:12" ht="11.15" customHeight="1">
      <c r="A6623" s="29" t="s">
        <v>9078</v>
      </c>
      <c r="B6623" s="185"/>
      <c r="C6623" s="147"/>
      <c r="D6623" s="185"/>
      <c r="E6623" s="185"/>
      <c r="F6623" s="185"/>
      <c r="G6623" s="185"/>
      <c r="H6623" s="185"/>
      <c r="I6623" s="11"/>
    </row>
    <row r="6624" spans="1:12" ht="11.15" customHeight="1">
      <c r="A6624" s="29" t="s">
        <v>9079</v>
      </c>
      <c r="B6624" s="185"/>
      <c r="C6624" s="147"/>
      <c r="D6624" s="185"/>
      <c r="E6624" s="185"/>
      <c r="F6624" s="185"/>
      <c r="G6624" s="185"/>
      <c r="H6624" s="185"/>
      <c r="I6624" s="11"/>
    </row>
    <row r="6625" spans="1:12" ht="11.15" customHeight="1">
      <c r="A6625" s="29" t="s">
        <v>9080</v>
      </c>
      <c r="B6625" s="185"/>
      <c r="C6625" s="147"/>
      <c r="D6625" s="185"/>
      <c r="E6625" s="185"/>
      <c r="F6625" s="185"/>
      <c r="G6625" s="185"/>
      <c r="H6625" s="185"/>
      <c r="I6625" s="11"/>
    </row>
    <row r="6626" spans="1:12" ht="11.15" customHeight="1">
      <c r="A6626" s="168" t="s">
        <v>9081</v>
      </c>
      <c r="B6626" s="226"/>
      <c r="C6626" s="147"/>
      <c r="D6626" s="122"/>
      <c r="E6626" s="36"/>
      <c r="F6626" s="178"/>
      <c r="G6626" s="453"/>
      <c r="H6626" s="36"/>
      <c r="I6626" s="11"/>
    </row>
    <row r="6627" spans="1:12" ht="11.15" customHeight="1">
      <c r="A6627" s="129" t="s">
        <v>9082</v>
      </c>
      <c r="B6627" s="226"/>
      <c r="C6627" s="147"/>
      <c r="D6627" s="122"/>
      <c r="E6627" s="36"/>
      <c r="F6627" s="178"/>
      <c r="G6627" s="453"/>
      <c r="H6627" s="36"/>
      <c r="I6627" s="11"/>
    </row>
    <row r="6628" spans="1:12" ht="11.15" customHeight="1">
      <c r="A6628" s="481" t="s">
        <v>9083</v>
      </c>
      <c r="B6628" s="226"/>
      <c r="C6628" s="147"/>
      <c r="D6628" s="122"/>
      <c r="E6628" s="36"/>
      <c r="F6628" s="178"/>
      <c r="G6628" s="453"/>
      <c r="H6628" s="36"/>
      <c r="I6628" s="11"/>
    </row>
    <row r="6629" spans="1:12" ht="11.15" customHeight="1">
      <c r="A6629" s="481"/>
      <c r="B6629" s="226"/>
      <c r="C6629" s="147"/>
      <c r="D6629" s="122"/>
      <c r="E6629" s="36"/>
      <c r="F6629" s="178"/>
      <c r="G6629" s="453"/>
      <c r="H6629" s="36"/>
      <c r="I6629" s="11"/>
    </row>
    <row r="6630" spans="1:12" ht="11.15" customHeight="1" thickBot="1">
      <c r="A6630" s="185"/>
      <c r="B6630" s="150" t="s">
        <v>9084</v>
      </c>
      <c r="C6630" s="147"/>
      <c r="D6630" s="122"/>
      <c r="E6630" s="36"/>
      <c r="F6630" s="178"/>
      <c r="G6630" s="453"/>
      <c r="H6630" s="36"/>
      <c r="I6630" s="11"/>
    </row>
    <row r="6631" spans="1:12" ht="11.15" customHeight="1" thickBot="1">
      <c r="A6631" s="184" t="s">
        <v>9085</v>
      </c>
      <c r="B6631" s="154" t="s">
        <v>9086</v>
      </c>
      <c r="C6631" s="147"/>
      <c r="D6631" s="129"/>
      <c r="E6631" s="185"/>
      <c r="F6631" s="185"/>
      <c r="G6631" s="185"/>
      <c r="H6631" s="185"/>
      <c r="I6631" s="11"/>
    </row>
    <row r="6632" spans="1:12" ht="11.15" customHeight="1">
      <c r="A6632" s="29" t="s">
        <v>9087</v>
      </c>
      <c r="B6632" s="59" t="s">
        <v>21447</v>
      </c>
      <c r="C6632" s="147" t="s">
        <v>20221</v>
      </c>
      <c r="D6632" s="701" t="s">
        <v>1129</v>
      </c>
      <c r="E6632" s="178" t="s">
        <v>20221</v>
      </c>
      <c r="F6632" s="178" t="s">
        <v>4520</v>
      </c>
      <c r="G6632" s="496" t="s">
        <v>20221</v>
      </c>
      <c r="H6632" s="994" t="s">
        <v>3907</v>
      </c>
      <c r="I6632" s="11" t="s">
        <v>9088</v>
      </c>
      <c r="J6632" s="1285"/>
      <c r="K6632" s="1285"/>
      <c r="L6632" s="1285"/>
    </row>
    <row r="6633" spans="1:12" ht="11.15" customHeight="1">
      <c r="A6633" s="29" t="s">
        <v>9089</v>
      </c>
      <c r="B6633" s="154" t="s">
        <v>9090</v>
      </c>
      <c r="C6633" s="147"/>
      <c r="D6633" s="129"/>
      <c r="E6633" s="185"/>
      <c r="F6633" s="185"/>
      <c r="G6633" s="185"/>
      <c r="H6633" s="185"/>
      <c r="I6633" s="11"/>
    </row>
    <row r="6634" spans="1:12" ht="11.15" customHeight="1">
      <c r="A6634" s="29" t="s">
        <v>9091</v>
      </c>
      <c r="B6634" s="59" t="s">
        <v>21448</v>
      </c>
      <c r="C6634" s="147" t="s">
        <v>20221</v>
      </c>
      <c r="D6634" s="701" t="s">
        <v>1129</v>
      </c>
      <c r="E6634" s="178">
        <v>2022</v>
      </c>
      <c r="F6634" s="178" t="s">
        <v>4520</v>
      </c>
      <c r="G6634" s="496"/>
      <c r="H6634" s="994" t="s">
        <v>20221</v>
      </c>
      <c r="I6634" s="11" t="s">
        <v>9092</v>
      </c>
      <c r="J6634" s="1285"/>
      <c r="K6634" s="1285"/>
      <c r="L6634" s="1285"/>
    </row>
    <row r="6635" spans="1:12" ht="11.15" customHeight="1">
      <c r="A6635" s="181" t="s">
        <v>1640</v>
      </c>
      <c r="B6635" s="59" t="s">
        <v>21448</v>
      </c>
      <c r="C6635" s="147" t="s">
        <v>20221</v>
      </c>
      <c r="D6635" s="701" t="s">
        <v>1129</v>
      </c>
      <c r="E6635" s="178">
        <v>2015</v>
      </c>
      <c r="F6635" s="178" t="s">
        <v>23395</v>
      </c>
      <c r="G6635" s="496"/>
      <c r="H6635" s="994" t="s">
        <v>20221</v>
      </c>
      <c r="I6635" s="11" t="s">
        <v>9093</v>
      </c>
      <c r="J6635" s="1285"/>
      <c r="K6635" s="1285"/>
      <c r="L6635" s="1285"/>
    </row>
    <row r="6636" spans="1:12" ht="11.15" customHeight="1">
      <c r="A6636" s="181" t="s">
        <v>9094</v>
      </c>
      <c r="B6636" s="59" t="s">
        <v>21448</v>
      </c>
      <c r="C6636" s="147" t="s">
        <v>20221</v>
      </c>
      <c r="D6636" s="701" t="s">
        <v>1129</v>
      </c>
      <c r="E6636" s="178">
        <v>2012</v>
      </c>
      <c r="F6636" s="178" t="s">
        <v>4520</v>
      </c>
      <c r="G6636" s="496"/>
      <c r="H6636" s="994" t="s">
        <v>20277</v>
      </c>
      <c r="I6636" s="11" t="s">
        <v>9095</v>
      </c>
      <c r="J6636" s="1285"/>
      <c r="K6636" s="1285"/>
      <c r="L6636" s="1285"/>
    </row>
    <row r="6637" spans="1:12" ht="11.15" customHeight="1">
      <c r="A6637" s="129" t="s">
        <v>9096</v>
      </c>
      <c r="B6637" s="59" t="s">
        <v>21449</v>
      </c>
      <c r="C6637" s="147" t="s">
        <v>20221</v>
      </c>
      <c r="D6637" s="701" t="s">
        <v>1129</v>
      </c>
      <c r="E6637" s="178">
        <v>2021</v>
      </c>
      <c r="F6637" s="178" t="s">
        <v>4520</v>
      </c>
      <c r="G6637" s="496"/>
      <c r="H6637" s="994" t="s">
        <v>20221</v>
      </c>
      <c r="I6637" s="11" t="s">
        <v>9097</v>
      </c>
      <c r="J6637" s="1285"/>
      <c r="K6637" s="1285"/>
      <c r="L6637" s="1285"/>
    </row>
    <row r="6638" spans="1:12" ht="11.15" customHeight="1">
      <c r="A6638" s="162" t="s">
        <v>9098</v>
      </c>
      <c r="B6638" s="154" t="s">
        <v>9099</v>
      </c>
      <c r="C6638" s="147"/>
      <c r="D6638" s="185"/>
      <c r="E6638" s="185"/>
      <c r="F6638" s="185"/>
      <c r="G6638" s="185"/>
      <c r="H6638" s="185"/>
      <c r="I6638" s="11"/>
    </row>
    <row r="6639" spans="1:12" ht="11.15" customHeight="1">
      <c r="A6639" s="162" t="s">
        <v>9100</v>
      </c>
      <c r="B6639" s="59" t="s">
        <v>21450</v>
      </c>
      <c r="C6639" s="147" t="s">
        <v>20221</v>
      </c>
      <c r="D6639" s="701" t="s">
        <v>1129</v>
      </c>
      <c r="E6639" s="178">
        <v>2019</v>
      </c>
      <c r="F6639" s="178" t="s">
        <v>4520</v>
      </c>
      <c r="G6639" s="496"/>
      <c r="H6639" s="994" t="s">
        <v>20221</v>
      </c>
      <c r="I6639" s="11" t="s">
        <v>9101</v>
      </c>
      <c r="J6639" s="1285"/>
      <c r="K6639" s="1285"/>
      <c r="L6639" s="1285"/>
    </row>
    <row r="6640" spans="1:12" ht="11.15" customHeight="1">
      <c r="A6640" s="355" t="s">
        <v>9102</v>
      </c>
      <c r="B6640" s="59" t="s">
        <v>21450</v>
      </c>
      <c r="C6640" s="147" t="s">
        <v>20221</v>
      </c>
      <c r="D6640" s="701" t="s">
        <v>1129</v>
      </c>
      <c r="E6640" s="178">
        <v>2010</v>
      </c>
      <c r="F6640" s="178" t="s">
        <v>4520</v>
      </c>
      <c r="G6640" s="496"/>
      <c r="H6640" s="994" t="s">
        <v>20224</v>
      </c>
      <c r="I6640" s="11" t="s">
        <v>9103</v>
      </c>
      <c r="J6640" s="1285"/>
      <c r="K6640" s="1285"/>
      <c r="L6640" s="1285"/>
    </row>
    <row r="6641" spans="1:12" ht="11.15" customHeight="1">
      <c r="A6641" s="162" t="s">
        <v>9104</v>
      </c>
      <c r="B6641" s="59" t="s">
        <v>21450</v>
      </c>
      <c r="C6641" s="147" t="s">
        <v>20221</v>
      </c>
      <c r="D6641" s="701" t="s">
        <v>1129</v>
      </c>
      <c r="E6641" s="178">
        <v>2009</v>
      </c>
      <c r="F6641" s="178" t="s">
        <v>4520</v>
      </c>
      <c r="G6641" s="496"/>
      <c r="H6641" s="994" t="s">
        <v>20221</v>
      </c>
      <c r="I6641" s="11" t="s">
        <v>9105</v>
      </c>
      <c r="J6641" s="1285"/>
      <c r="K6641" s="1285"/>
      <c r="L6641" s="1285"/>
    </row>
    <row r="6642" spans="1:12" ht="11.15" customHeight="1">
      <c r="A6642" s="162" t="s">
        <v>9106</v>
      </c>
      <c r="B6642" s="59" t="s">
        <v>21450</v>
      </c>
      <c r="C6642" s="147" t="s">
        <v>20221</v>
      </c>
      <c r="D6642" s="701" t="s">
        <v>1129</v>
      </c>
      <c r="E6642" s="178">
        <v>2005</v>
      </c>
      <c r="F6642" s="178" t="s">
        <v>4520</v>
      </c>
      <c r="G6642" s="496"/>
      <c r="H6642" s="994" t="s">
        <v>20224</v>
      </c>
      <c r="I6642" s="11" t="s">
        <v>9107</v>
      </c>
      <c r="J6642" s="1285"/>
      <c r="K6642" s="1285"/>
      <c r="L6642" s="1285"/>
    </row>
    <row r="6643" spans="1:12" ht="11.15" customHeight="1">
      <c r="A6643" s="162" t="s">
        <v>9108</v>
      </c>
      <c r="B6643" s="154" t="s">
        <v>9109</v>
      </c>
      <c r="C6643" s="147"/>
      <c r="D6643" s="129"/>
      <c r="E6643" s="185"/>
      <c r="F6643" s="185"/>
      <c r="G6643" s="185"/>
      <c r="H6643" s="185"/>
      <c r="I6643" s="11"/>
    </row>
    <row r="6644" spans="1:12" ht="11.15" customHeight="1">
      <c r="A6644" s="162" t="s">
        <v>9110</v>
      </c>
      <c r="B6644" s="59" t="s">
        <v>21451</v>
      </c>
      <c r="C6644" s="147" t="s">
        <v>20221</v>
      </c>
      <c r="D6644" s="739" t="s">
        <v>1410</v>
      </c>
      <c r="E6644" s="178">
        <v>2020</v>
      </c>
      <c r="F6644" s="178" t="s">
        <v>4520</v>
      </c>
      <c r="G6644" s="496"/>
      <c r="H6644" s="994" t="s">
        <v>20221</v>
      </c>
      <c r="I6644" s="11" t="s">
        <v>9111</v>
      </c>
      <c r="J6644" s="1285"/>
      <c r="K6644" s="1285"/>
      <c r="L6644" s="1285"/>
    </row>
    <row r="6645" spans="1:12" ht="11.15" customHeight="1">
      <c r="A6645" s="162" t="s">
        <v>9112</v>
      </c>
      <c r="B6645" s="59" t="s">
        <v>21452</v>
      </c>
      <c r="C6645" s="147" t="s">
        <v>20221</v>
      </c>
      <c r="D6645" s="739" t="s">
        <v>1410</v>
      </c>
      <c r="E6645" s="178">
        <v>2009</v>
      </c>
      <c r="F6645" s="178" t="s">
        <v>4520</v>
      </c>
      <c r="G6645" s="496"/>
      <c r="H6645" s="994" t="s">
        <v>20221</v>
      </c>
      <c r="I6645" s="11" t="s">
        <v>9113</v>
      </c>
      <c r="J6645" s="1285"/>
      <c r="K6645" s="1285"/>
      <c r="L6645" s="1285"/>
    </row>
    <row r="6646" spans="1:12" ht="11.15" customHeight="1">
      <c r="A6646" s="162" t="s">
        <v>9114</v>
      </c>
      <c r="B6646" s="59" t="s">
        <v>21452</v>
      </c>
      <c r="C6646" s="147" t="s">
        <v>20221</v>
      </c>
      <c r="D6646" s="739" t="s">
        <v>1410</v>
      </c>
      <c r="E6646" s="178">
        <v>1995</v>
      </c>
      <c r="F6646" s="178" t="s">
        <v>4520</v>
      </c>
      <c r="G6646" s="496"/>
      <c r="H6646" s="994" t="s">
        <v>20277</v>
      </c>
      <c r="I6646" s="11" t="s">
        <v>9115</v>
      </c>
      <c r="J6646" s="1285"/>
      <c r="K6646" s="1285"/>
      <c r="L6646" s="1285"/>
    </row>
    <row r="6647" spans="1:12" ht="11.15" customHeight="1">
      <c r="A6647" s="162" t="s">
        <v>9116</v>
      </c>
      <c r="B6647" s="59" t="s">
        <v>21453</v>
      </c>
      <c r="C6647" s="147" t="s">
        <v>20221</v>
      </c>
      <c r="D6647" s="739" t="s">
        <v>1410</v>
      </c>
      <c r="E6647" s="178">
        <v>2009</v>
      </c>
      <c r="F6647" s="178" t="s">
        <v>4520</v>
      </c>
      <c r="G6647" s="496"/>
      <c r="H6647" s="994" t="s">
        <v>20224</v>
      </c>
      <c r="I6647" s="11" t="s">
        <v>9117</v>
      </c>
      <c r="J6647" s="1285"/>
      <c r="K6647" s="1285"/>
      <c r="L6647" s="1285"/>
    </row>
    <row r="6648" spans="1:12" ht="11.15" customHeight="1">
      <c r="A6648" s="162" t="s">
        <v>9118</v>
      </c>
      <c r="B6648" s="185"/>
      <c r="C6648" s="147"/>
      <c r="D6648" s="122"/>
      <c r="E6648" s="185"/>
      <c r="F6648" s="185"/>
      <c r="G6648" s="416"/>
      <c r="H6648" s="185"/>
      <c r="I6648" s="11"/>
    </row>
    <row r="6649" spans="1:12" ht="11.15" customHeight="1">
      <c r="A6649" s="162" t="s">
        <v>9119</v>
      </c>
      <c r="B6649" s="185"/>
      <c r="C6649" s="147"/>
      <c r="D6649" s="122"/>
      <c r="E6649" s="185"/>
      <c r="F6649" s="185"/>
      <c r="G6649" s="416"/>
      <c r="H6649" s="185"/>
      <c r="I6649" s="11"/>
    </row>
    <row r="6650" spans="1:12" ht="11.15" customHeight="1">
      <c r="A6650" s="162" t="s">
        <v>9120</v>
      </c>
      <c r="B6650" s="185"/>
      <c r="C6650" s="147"/>
      <c r="D6650" s="122"/>
      <c r="E6650" s="185"/>
      <c r="F6650" s="185"/>
      <c r="G6650" s="416"/>
      <c r="H6650" s="185"/>
      <c r="I6650" s="11"/>
    </row>
    <row r="6651" spans="1:12" ht="11.15" customHeight="1">
      <c r="A6651" s="129" t="s">
        <v>3690</v>
      </c>
      <c r="B6651" s="185"/>
      <c r="C6651" s="147"/>
      <c r="D6651" s="122"/>
      <c r="E6651" s="185"/>
      <c r="F6651" s="185"/>
      <c r="G6651" s="416"/>
      <c r="H6651" s="185"/>
      <c r="I6651" s="11"/>
    </row>
    <row r="6652" spans="1:12" ht="11.15" customHeight="1">
      <c r="A6652" s="162" t="s">
        <v>9121</v>
      </c>
      <c r="B6652" s="185"/>
      <c r="C6652" s="147"/>
      <c r="D6652" s="122"/>
      <c r="E6652" s="185"/>
      <c r="F6652" s="185"/>
      <c r="G6652" s="416"/>
      <c r="H6652" s="185"/>
      <c r="I6652" s="11"/>
    </row>
    <row r="6653" spans="1:12" ht="11.15" customHeight="1">
      <c r="A6653" s="162" t="s">
        <v>9122</v>
      </c>
      <c r="B6653" s="185"/>
      <c r="C6653" s="147"/>
      <c r="D6653" s="122"/>
      <c r="E6653" s="185"/>
      <c r="F6653" s="185"/>
      <c r="G6653" s="416"/>
      <c r="H6653" s="185"/>
      <c r="I6653" s="11"/>
    </row>
    <row r="6654" spans="1:12" ht="11.15" customHeight="1">
      <c r="A6654" s="162" t="s">
        <v>9123</v>
      </c>
      <c r="B6654" s="185"/>
      <c r="C6654" s="147"/>
      <c r="D6654" s="122"/>
      <c r="E6654" s="185"/>
      <c r="F6654" s="185"/>
      <c r="G6654" s="416"/>
      <c r="H6654" s="185"/>
      <c r="I6654" s="11"/>
    </row>
    <row r="6655" spans="1:12" ht="11.15" customHeight="1">
      <c r="A6655" s="162" t="s">
        <v>9124</v>
      </c>
      <c r="B6655" s="185"/>
      <c r="C6655" s="147"/>
      <c r="D6655" s="122"/>
      <c r="E6655" s="185"/>
      <c r="F6655" s="185"/>
      <c r="G6655" s="416"/>
      <c r="H6655" s="185"/>
      <c r="I6655" s="11"/>
    </row>
    <row r="6656" spans="1:12" ht="11.15" customHeight="1">
      <c r="A6656" s="162" t="s">
        <v>9125</v>
      </c>
      <c r="B6656" s="185"/>
      <c r="C6656" s="147"/>
      <c r="D6656" s="122"/>
      <c r="E6656" s="185"/>
      <c r="F6656" s="185"/>
      <c r="G6656" s="416"/>
      <c r="H6656" s="185"/>
      <c r="I6656" s="11"/>
    </row>
    <row r="6657" spans="1:9" ht="11.15" customHeight="1">
      <c r="A6657" s="162" t="s">
        <v>9126</v>
      </c>
      <c r="B6657" s="185"/>
      <c r="C6657" s="147"/>
      <c r="D6657" s="122"/>
      <c r="E6657" s="185"/>
      <c r="F6657" s="185"/>
      <c r="G6657" s="416"/>
      <c r="H6657" s="185"/>
      <c r="I6657" s="11"/>
    </row>
    <row r="6658" spans="1:9" ht="11.15" customHeight="1">
      <c r="A6658" s="162" t="s">
        <v>9127</v>
      </c>
      <c r="B6658" s="185"/>
      <c r="C6658" s="147"/>
      <c r="D6658" s="122"/>
      <c r="E6658" s="185"/>
      <c r="F6658" s="185"/>
      <c r="G6658" s="416"/>
      <c r="H6658" s="185"/>
      <c r="I6658" s="11"/>
    </row>
    <row r="6659" spans="1:9" ht="11.15" customHeight="1">
      <c r="A6659" s="162" t="s">
        <v>9128</v>
      </c>
      <c r="B6659" s="185"/>
      <c r="C6659" s="147"/>
      <c r="D6659" s="122"/>
      <c r="E6659" s="185"/>
      <c r="F6659" s="185"/>
      <c r="G6659" s="416"/>
      <c r="H6659" s="185"/>
      <c r="I6659" s="11"/>
    </row>
    <row r="6660" spans="1:9" ht="11.15" customHeight="1">
      <c r="A6660" s="162" t="s">
        <v>9129</v>
      </c>
      <c r="B6660" s="137"/>
      <c r="C6660" s="147"/>
      <c r="D6660" s="122"/>
      <c r="E6660" s="137"/>
      <c r="F6660" s="137"/>
      <c r="G6660" s="498"/>
      <c r="H6660" s="137"/>
      <c r="I6660" s="11"/>
    </row>
    <row r="6661" spans="1:9" ht="11.15" customHeight="1">
      <c r="A6661" s="162" t="s">
        <v>9130</v>
      </c>
      <c r="B6661" s="185"/>
      <c r="C6661" s="147"/>
      <c r="D6661" s="122"/>
      <c r="E6661" s="185"/>
      <c r="F6661" s="185"/>
      <c r="G6661" s="416"/>
      <c r="H6661" s="185"/>
      <c r="I6661" s="11"/>
    </row>
    <row r="6662" spans="1:9" ht="11.15" customHeight="1">
      <c r="A6662" s="162" t="s">
        <v>9131</v>
      </c>
      <c r="B6662" s="185"/>
      <c r="C6662" s="147"/>
      <c r="D6662" s="122"/>
      <c r="E6662" s="185"/>
      <c r="F6662" s="185"/>
      <c r="G6662" s="416"/>
      <c r="H6662" s="185"/>
      <c r="I6662" s="11"/>
    </row>
    <row r="6663" spans="1:9" ht="11.15" customHeight="1">
      <c r="A6663" s="129" t="s">
        <v>3659</v>
      </c>
      <c r="B6663" s="90"/>
      <c r="C6663" s="147"/>
      <c r="D6663" s="122"/>
      <c r="E6663" s="36"/>
      <c r="F6663" s="178"/>
      <c r="G6663" s="1221"/>
      <c r="H6663" s="36"/>
      <c r="I6663" s="11"/>
    </row>
    <row r="6664" spans="1:9" ht="11.15" customHeight="1">
      <c r="A6664" s="162" t="s">
        <v>9132</v>
      </c>
      <c r="B6664" s="90"/>
      <c r="C6664" s="147"/>
      <c r="D6664" s="122"/>
      <c r="E6664" s="36"/>
      <c r="F6664" s="178"/>
      <c r="G6664" s="1221"/>
      <c r="H6664" s="36"/>
      <c r="I6664" s="11"/>
    </row>
    <row r="6665" spans="1:9" ht="11.15" customHeight="1">
      <c r="A6665" s="162" t="s">
        <v>9133</v>
      </c>
      <c r="B6665" s="90"/>
      <c r="C6665" s="147"/>
      <c r="D6665" s="122"/>
      <c r="E6665" s="36"/>
      <c r="F6665" s="178"/>
      <c r="G6665" s="1221"/>
      <c r="H6665" s="36"/>
      <c r="I6665" s="11"/>
    </row>
    <row r="6666" spans="1:9" ht="11.15" customHeight="1">
      <c r="A6666" s="212" t="s">
        <v>9134</v>
      </c>
      <c r="B6666" s="90"/>
      <c r="C6666" s="147"/>
      <c r="D6666" s="122"/>
      <c r="E6666" s="36"/>
      <c r="F6666" s="178"/>
      <c r="G6666" s="1221"/>
      <c r="H6666" s="36"/>
      <c r="I6666" s="11"/>
    </row>
    <row r="6667" spans="1:9" ht="11.15" customHeight="1">
      <c r="A6667" s="481" t="s">
        <v>9135</v>
      </c>
      <c r="B6667" s="90"/>
      <c r="C6667" s="147"/>
      <c r="D6667" s="122"/>
      <c r="E6667" s="36"/>
      <c r="F6667" s="178"/>
      <c r="G6667" s="1221"/>
      <c r="H6667" s="36"/>
      <c r="I6667" s="11"/>
    </row>
    <row r="6668" spans="1:9" ht="11.15" customHeight="1">
      <c r="A6668" s="29" t="s">
        <v>9136</v>
      </c>
      <c r="B6668" s="90"/>
      <c r="C6668" s="147"/>
      <c r="D6668" s="122"/>
      <c r="E6668" s="36"/>
      <c r="F6668" s="178"/>
      <c r="G6668" s="1221"/>
      <c r="H6668" s="36"/>
      <c r="I6668" s="11"/>
    </row>
    <row r="6669" spans="1:9" ht="11.15" customHeight="1">
      <c r="A6669" s="185"/>
      <c r="B6669" s="122" t="s">
        <v>9137</v>
      </c>
      <c r="C6669" s="147"/>
      <c r="D6669" s="159"/>
      <c r="E6669" s="36"/>
      <c r="F6669" s="178"/>
      <c r="G6669" s="453"/>
      <c r="H6669" s="36"/>
      <c r="I6669" s="11"/>
    </row>
    <row r="6670" spans="1:9" ht="11.15" customHeight="1">
      <c r="A6670" s="29"/>
      <c r="B6670" s="413" t="s">
        <v>9138</v>
      </c>
      <c r="C6670" s="147"/>
      <c r="D6670" s="122"/>
      <c r="E6670" s="36"/>
      <c r="F6670" s="178"/>
      <c r="G6670" s="453"/>
      <c r="H6670" s="36"/>
      <c r="I6670" s="11"/>
    </row>
    <row r="6671" spans="1:9" ht="9" customHeight="1">
      <c r="A6671" s="29"/>
      <c r="B6671" s="150" t="s">
        <v>9139</v>
      </c>
      <c r="C6671" s="147"/>
      <c r="D6671" s="129"/>
      <c r="E6671" s="185"/>
      <c r="F6671" s="185"/>
      <c r="G6671" s="185"/>
      <c r="H6671" s="185"/>
      <c r="I6671" s="11"/>
    </row>
    <row r="6672" spans="1:9" ht="9" customHeight="1">
      <c r="A6672" s="29"/>
      <c r="B6672" s="150" t="s">
        <v>9140</v>
      </c>
      <c r="C6672" s="147"/>
      <c r="D6672" s="129"/>
      <c r="E6672" s="185"/>
      <c r="F6672" s="185"/>
      <c r="G6672" s="185"/>
      <c r="H6672" s="185"/>
      <c r="I6672" s="11"/>
    </row>
    <row r="6673" spans="1:12" ht="9" customHeight="1">
      <c r="A6673" s="29"/>
      <c r="B6673" s="150" t="s">
        <v>9141</v>
      </c>
      <c r="C6673" s="147"/>
      <c r="D6673" s="129"/>
      <c r="E6673" s="185"/>
      <c r="F6673" s="185"/>
      <c r="G6673" s="185"/>
      <c r="H6673" s="185"/>
      <c r="I6673" s="11"/>
    </row>
    <row r="6674" spans="1:12" ht="9" customHeight="1" thickBot="1">
      <c r="A6674" s="162"/>
      <c r="B6674" s="216" t="s">
        <v>9142</v>
      </c>
      <c r="C6674" s="147"/>
      <c r="D6674" s="122"/>
      <c r="E6674" s="36"/>
      <c r="F6674" s="178"/>
      <c r="G6674" s="453"/>
      <c r="H6674" s="36"/>
      <c r="I6674" s="11"/>
    </row>
    <row r="6675" spans="1:12" ht="11.15" customHeight="1">
      <c r="A6675" s="153" t="s">
        <v>9143</v>
      </c>
      <c r="B6675" s="154" t="s">
        <v>9144</v>
      </c>
      <c r="C6675" s="147"/>
      <c r="D6675" s="129"/>
      <c r="E6675" s="185"/>
      <c r="F6675" s="185"/>
      <c r="G6675" s="185"/>
      <c r="H6675" s="185"/>
      <c r="I6675" s="11"/>
    </row>
    <row r="6676" spans="1:12" ht="11.15" customHeight="1" thickBot="1">
      <c r="A6676" s="230" t="s">
        <v>9145</v>
      </c>
      <c r="B6676" s="59" t="s">
        <v>21455</v>
      </c>
      <c r="C6676" s="147" t="s">
        <v>20221</v>
      </c>
      <c r="D6676" s="701" t="s">
        <v>1129</v>
      </c>
      <c r="E6676" s="178">
        <v>2015</v>
      </c>
      <c r="F6676" s="178" t="s">
        <v>23395</v>
      </c>
      <c r="G6676" s="496"/>
      <c r="H6676" s="994" t="s">
        <v>20221</v>
      </c>
      <c r="I6676" s="11" t="s">
        <v>9146</v>
      </c>
      <c r="J6676" s="1285"/>
      <c r="K6676" s="1285"/>
      <c r="L6676" s="1285"/>
    </row>
    <row r="6677" spans="1:12" ht="11.15" customHeight="1">
      <c r="A6677" s="29" t="s">
        <v>9147</v>
      </c>
      <c r="B6677" s="154" t="s">
        <v>9148</v>
      </c>
      <c r="C6677" s="147"/>
      <c r="D6677" s="129"/>
      <c r="E6677" s="185"/>
      <c r="F6677" s="185"/>
      <c r="G6677" s="185"/>
      <c r="H6677" s="185"/>
      <c r="I6677" s="11"/>
    </row>
    <row r="6678" spans="1:12" ht="11.15" customHeight="1">
      <c r="A6678" s="181" t="s">
        <v>1110</v>
      </c>
      <c r="B6678" s="59" t="s">
        <v>21456</v>
      </c>
      <c r="C6678" s="147" t="s">
        <v>20221</v>
      </c>
      <c r="D6678" s="284" t="s">
        <v>897</v>
      </c>
      <c r="E6678" s="178">
        <v>2007</v>
      </c>
      <c r="F6678" s="178" t="s">
        <v>23395</v>
      </c>
      <c r="G6678" s="496"/>
      <c r="H6678" s="994" t="s">
        <v>20224</v>
      </c>
      <c r="I6678" s="11" t="s">
        <v>9149</v>
      </c>
      <c r="J6678" s="1285"/>
      <c r="K6678" s="1285"/>
      <c r="L6678" s="1285"/>
    </row>
    <row r="6679" spans="1:12" ht="11.15" customHeight="1">
      <c r="A6679" s="29" t="s">
        <v>9150</v>
      </c>
      <c r="B6679" s="154" t="s">
        <v>9151</v>
      </c>
      <c r="C6679" s="147"/>
      <c r="D6679" s="129"/>
      <c r="E6679" s="61"/>
      <c r="F6679" s="185"/>
      <c r="G6679" s="185"/>
      <c r="H6679" s="185"/>
      <c r="I6679" s="11"/>
    </row>
    <row r="6680" spans="1:12" ht="11.15" customHeight="1">
      <c r="A6680" s="29" t="s">
        <v>9152</v>
      </c>
      <c r="B6680" s="59" t="s">
        <v>21457</v>
      </c>
      <c r="C6680" s="147" t="s">
        <v>20221</v>
      </c>
      <c r="D6680" s="284" t="s">
        <v>897</v>
      </c>
      <c r="E6680" s="178">
        <v>2011</v>
      </c>
      <c r="F6680" s="178" t="s">
        <v>11931</v>
      </c>
      <c r="G6680" s="496"/>
      <c r="H6680" s="994" t="s">
        <v>20221</v>
      </c>
      <c r="I6680" s="11" t="s">
        <v>9153</v>
      </c>
      <c r="J6680" s="1285"/>
      <c r="K6680" s="1285"/>
      <c r="L6680" s="1285"/>
    </row>
    <row r="6681" spans="1:12" ht="11.15" customHeight="1">
      <c r="A6681" s="181" t="s">
        <v>9154</v>
      </c>
      <c r="B6681" s="59" t="s">
        <v>21457</v>
      </c>
      <c r="C6681" s="147" t="s">
        <v>20221</v>
      </c>
      <c r="D6681" s="284" t="s">
        <v>897</v>
      </c>
      <c r="E6681" s="178">
        <v>2005</v>
      </c>
      <c r="F6681" s="178" t="s">
        <v>11931</v>
      </c>
      <c r="G6681" s="496"/>
      <c r="H6681" s="994" t="s">
        <v>20224</v>
      </c>
      <c r="I6681" s="11" t="s">
        <v>9155</v>
      </c>
      <c r="J6681" s="1285"/>
      <c r="K6681" s="1285"/>
      <c r="L6681" s="1285"/>
    </row>
    <row r="6682" spans="1:12" ht="11.15" customHeight="1">
      <c r="A6682" s="129" t="s">
        <v>9156</v>
      </c>
      <c r="B6682" s="59" t="s">
        <v>21458</v>
      </c>
      <c r="C6682" s="147" t="s">
        <v>20221</v>
      </c>
      <c r="D6682" s="284" t="s">
        <v>897</v>
      </c>
      <c r="E6682" s="178">
        <v>2010</v>
      </c>
      <c r="F6682" s="178" t="s">
        <v>11931</v>
      </c>
      <c r="G6682" s="496"/>
      <c r="H6682" s="994" t="s">
        <v>20221</v>
      </c>
      <c r="I6682" s="11" t="s">
        <v>9157</v>
      </c>
      <c r="J6682" s="1285"/>
      <c r="K6682" s="1285"/>
      <c r="L6682" s="1285"/>
    </row>
    <row r="6683" spans="1:12" ht="11.15" customHeight="1">
      <c r="A6683" s="162" t="s">
        <v>9158</v>
      </c>
      <c r="B6683" s="59" t="s">
        <v>21458</v>
      </c>
      <c r="C6683" s="147" t="s">
        <v>20221</v>
      </c>
      <c r="D6683" s="284" t="s">
        <v>897</v>
      </c>
      <c r="E6683" s="178">
        <v>2009</v>
      </c>
      <c r="F6683" s="178" t="s">
        <v>11931</v>
      </c>
      <c r="G6683" s="496"/>
      <c r="H6683" s="994" t="s">
        <v>20221</v>
      </c>
      <c r="I6683" s="11" t="s">
        <v>9159</v>
      </c>
      <c r="J6683" s="1285"/>
      <c r="K6683" s="1285"/>
      <c r="L6683" s="1285"/>
    </row>
    <row r="6684" spans="1:12" ht="11.15" customHeight="1">
      <c r="A6684" s="162" t="s">
        <v>9160</v>
      </c>
      <c r="B6684" s="59" t="s">
        <v>21458</v>
      </c>
      <c r="C6684" s="147" t="s">
        <v>20221</v>
      </c>
      <c r="D6684" s="284" t="s">
        <v>897</v>
      </c>
      <c r="E6684" s="178">
        <v>2005</v>
      </c>
      <c r="F6684" s="178" t="s">
        <v>11931</v>
      </c>
      <c r="G6684" s="496"/>
      <c r="H6684" s="994" t="s">
        <v>20221</v>
      </c>
      <c r="I6684" s="11" t="s">
        <v>9161</v>
      </c>
      <c r="J6684" s="1285"/>
      <c r="K6684" s="1285"/>
      <c r="L6684" s="1285"/>
    </row>
    <row r="6685" spans="1:12" ht="11.15" customHeight="1">
      <c r="A6685" s="162" t="s">
        <v>9162</v>
      </c>
      <c r="B6685" s="185"/>
      <c r="C6685" s="147"/>
      <c r="D6685" s="185"/>
      <c r="E6685" s="185"/>
      <c r="F6685" s="185"/>
      <c r="G6685" s="185"/>
      <c r="H6685" s="185"/>
      <c r="I6685" s="11"/>
    </row>
    <row r="6686" spans="1:12" ht="11.15" customHeight="1">
      <c r="A6686" s="355" t="s">
        <v>9163</v>
      </c>
      <c r="B6686" s="185"/>
      <c r="C6686" s="147"/>
      <c r="D6686" s="185"/>
      <c r="E6686" s="185"/>
      <c r="F6686" s="185"/>
      <c r="G6686" s="185"/>
      <c r="H6686" s="185"/>
      <c r="I6686" s="11"/>
    </row>
    <row r="6687" spans="1:12" ht="11.15" customHeight="1">
      <c r="A6687" s="162" t="s">
        <v>9164</v>
      </c>
      <c r="B6687" s="185"/>
      <c r="C6687" s="147"/>
      <c r="D6687" s="185"/>
      <c r="E6687" s="185"/>
      <c r="F6687" s="185"/>
      <c r="G6687" s="185"/>
      <c r="H6687" s="185"/>
      <c r="I6687" s="11"/>
    </row>
    <row r="6688" spans="1:12" ht="11.15" customHeight="1">
      <c r="A6688" s="162" t="s">
        <v>9165</v>
      </c>
      <c r="B6688" s="185"/>
      <c r="C6688" s="147"/>
      <c r="D6688" s="185"/>
      <c r="E6688" s="185"/>
      <c r="F6688" s="185"/>
      <c r="G6688" s="185"/>
      <c r="H6688" s="185"/>
      <c r="I6688" s="11"/>
    </row>
    <row r="6689" spans="1:12" ht="11.15" customHeight="1">
      <c r="A6689" s="162" t="s">
        <v>9166</v>
      </c>
      <c r="B6689" s="185"/>
      <c r="C6689" s="147"/>
      <c r="D6689" s="129"/>
      <c r="E6689" s="185"/>
      <c r="F6689" s="185"/>
      <c r="G6689" s="185"/>
      <c r="H6689" s="185"/>
      <c r="I6689" s="11"/>
    </row>
    <row r="6690" spans="1:12" ht="11.15" customHeight="1">
      <c r="A6690" s="162" t="s">
        <v>9167</v>
      </c>
      <c r="B6690" s="185"/>
      <c r="C6690" s="147"/>
      <c r="D6690" s="129"/>
      <c r="E6690" s="185"/>
      <c r="F6690" s="185"/>
      <c r="G6690" s="185"/>
      <c r="H6690" s="185"/>
      <c r="I6690" s="11"/>
    </row>
    <row r="6691" spans="1:12" ht="9" customHeight="1">
      <c r="A6691" s="129" t="s">
        <v>903</v>
      </c>
      <c r="B6691" s="162"/>
      <c r="C6691" s="147"/>
      <c r="D6691" s="355"/>
      <c r="E6691" s="162"/>
      <c r="F6691" s="162"/>
      <c r="G6691" s="162"/>
      <c r="H6691" s="162"/>
      <c r="I6691" s="11"/>
    </row>
    <row r="6692" spans="1:12" ht="9" customHeight="1">
      <c r="A6692" s="162" t="s">
        <v>9168</v>
      </c>
      <c r="B6692" s="162"/>
      <c r="C6692" s="147"/>
      <c r="D6692" s="355"/>
      <c r="E6692" s="162"/>
      <c r="F6692" s="162"/>
      <c r="G6692" s="162"/>
      <c r="H6692" s="162"/>
      <c r="I6692" s="11"/>
    </row>
    <row r="6693" spans="1:12" ht="9" customHeight="1">
      <c r="A6693" s="162" t="s">
        <v>9169</v>
      </c>
      <c r="B6693" s="162"/>
      <c r="C6693" s="147"/>
      <c r="D6693" s="355"/>
      <c r="E6693" s="162"/>
      <c r="F6693" s="162"/>
      <c r="G6693" s="162"/>
      <c r="H6693" s="162"/>
      <c r="I6693" s="11"/>
    </row>
    <row r="6694" spans="1:12" ht="9" customHeight="1">
      <c r="A6694" s="162" t="s">
        <v>9170</v>
      </c>
      <c r="B6694" s="162"/>
      <c r="C6694" s="147"/>
      <c r="D6694" s="355"/>
      <c r="E6694" s="162"/>
      <c r="F6694" s="162"/>
      <c r="G6694" s="162"/>
      <c r="H6694" s="162"/>
      <c r="I6694" s="11"/>
    </row>
    <row r="6695" spans="1:12" ht="9" customHeight="1">
      <c r="A6695" s="162" t="s">
        <v>9171</v>
      </c>
      <c r="B6695" s="162"/>
      <c r="C6695" s="147"/>
      <c r="D6695" s="355"/>
      <c r="E6695" s="162"/>
      <c r="F6695" s="162"/>
      <c r="G6695" s="162"/>
      <c r="H6695" s="162"/>
      <c r="I6695" s="11"/>
    </row>
    <row r="6696" spans="1:12" ht="9" customHeight="1">
      <c r="A6696" s="162" t="s">
        <v>9172</v>
      </c>
      <c r="B6696" s="162"/>
      <c r="C6696" s="147"/>
      <c r="D6696" s="355"/>
      <c r="E6696" s="162"/>
      <c r="F6696" s="162"/>
      <c r="G6696" s="162"/>
      <c r="H6696" s="162"/>
      <c r="I6696" s="11"/>
    </row>
    <row r="6697" spans="1:12" ht="11.15" customHeight="1">
      <c r="A6697" s="162" t="s">
        <v>9173</v>
      </c>
      <c r="B6697" s="185"/>
      <c r="C6697" s="147"/>
      <c r="D6697" s="129"/>
      <c r="E6697" s="185"/>
      <c r="F6697" s="185"/>
      <c r="G6697" s="185"/>
      <c r="H6697" s="185"/>
      <c r="I6697" s="11"/>
    </row>
    <row r="6698" spans="1:12" ht="11.15" customHeight="1">
      <c r="A6698" s="166" t="s">
        <v>9174</v>
      </c>
      <c r="B6698" s="185"/>
      <c r="C6698" s="147"/>
      <c r="D6698" s="185"/>
      <c r="E6698" s="185"/>
      <c r="F6698" s="185"/>
      <c r="G6698" s="185"/>
      <c r="H6698" s="185"/>
      <c r="I6698" s="11"/>
    </row>
    <row r="6699" spans="1:12" ht="11.15" customHeight="1">
      <c r="A6699" s="481" t="s">
        <v>9175</v>
      </c>
      <c r="B6699" s="90"/>
      <c r="C6699" s="147"/>
      <c r="D6699" s="161"/>
      <c r="E6699" s="36"/>
      <c r="F6699" s="183"/>
      <c r="G6699" s="496"/>
      <c r="H6699" s="34"/>
      <c r="I6699" s="11"/>
    </row>
    <row r="6700" spans="1:12" ht="11.15" customHeight="1" thickBot="1">
      <c r="A6700" s="185"/>
      <c r="B6700" s="90"/>
      <c r="C6700" s="147"/>
      <c r="D6700" s="161"/>
      <c r="E6700" s="36"/>
      <c r="F6700" s="183"/>
      <c r="G6700" s="496"/>
      <c r="H6700" s="34"/>
      <c r="I6700" s="11"/>
    </row>
    <row r="6701" spans="1:12" ht="24" customHeight="1" thickBot="1">
      <c r="A6701" s="542"/>
      <c r="B6701" s="50" t="s">
        <v>9176</v>
      </c>
      <c r="C6701" s="170"/>
      <c r="D6701" s="382"/>
      <c r="E6701" s="543"/>
      <c r="F6701" s="1082"/>
      <c r="G6701" s="1142"/>
      <c r="H6701" s="1141"/>
      <c r="I6701" s="11"/>
    </row>
    <row r="6702" spans="1:12" ht="11.15" customHeight="1" thickBot="1">
      <c r="A6702" s="185"/>
      <c r="B6702" s="122" t="s">
        <v>9177</v>
      </c>
      <c r="C6702" s="147"/>
      <c r="D6702" s="159"/>
      <c r="E6702" s="36"/>
      <c r="F6702" s="178"/>
      <c r="G6702" s="453"/>
      <c r="H6702" s="36"/>
      <c r="I6702" s="11"/>
    </row>
    <row r="6703" spans="1:12" ht="11.15" customHeight="1" thickBot="1">
      <c r="A6703" s="184" t="s">
        <v>9178</v>
      </c>
      <c r="B6703" s="59" t="s">
        <v>21459</v>
      </c>
      <c r="C6703" s="147" t="s">
        <v>23393</v>
      </c>
      <c r="D6703" s="701" t="s">
        <v>1129</v>
      </c>
      <c r="E6703" s="178">
        <v>2023</v>
      </c>
      <c r="F6703" s="178" t="s">
        <v>23395</v>
      </c>
      <c r="G6703" s="496"/>
      <c r="H6703" s="994" t="s">
        <v>20221</v>
      </c>
      <c r="I6703" s="11" t="s">
        <v>9179</v>
      </c>
      <c r="J6703" s="1285"/>
      <c r="K6703" s="1285"/>
      <c r="L6703" s="1285"/>
    </row>
    <row r="6704" spans="1:12" ht="11.15" customHeight="1">
      <c r="A6704" s="29" t="s">
        <v>9180</v>
      </c>
      <c r="B6704" s="59" t="s">
        <v>21460</v>
      </c>
      <c r="C6704" s="147" t="s">
        <v>23393</v>
      </c>
      <c r="D6704" s="701" t="s">
        <v>1129</v>
      </c>
      <c r="E6704" s="178">
        <v>2022</v>
      </c>
      <c r="F6704" s="178" t="s">
        <v>4520</v>
      </c>
      <c r="G6704" s="496"/>
      <c r="H6704" s="994" t="s">
        <v>20277</v>
      </c>
      <c r="I6704" s="11" t="s">
        <v>9181</v>
      </c>
      <c r="J6704" s="1285"/>
      <c r="K6704" s="1285"/>
      <c r="L6704" s="1285"/>
    </row>
    <row r="6705" spans="1:12" ht="11.15" customHeight="1">
      <c r="A6705" s="29" t="s">
        <v>9182</v>
      </c>
      <c r="B6705" s="59" t="s">
        <v>21461</v>
      </c>
      <c r="C6705" s="147" t="s">
        <v>23393</v>
      </c>
      <c r="D6705" s="701" t="s">
        <v>1129</v>
      </c>
      <c r="E6705" s="178">
        <v>2020</v>
      </c>
      <c r="F6705" s="178" t="s">
        <v>4520</v>
      </c>
      <c r="G6705" s="496"/>
      <c r="H6705" s="994" t="s">
        <v>20221</v>
      </c>
      <c r="I6705" s="11" t="s">
        <v>9183</v>
      </c>
      <c r="J6705" s="1285"/>
      <c r="K6705" s="1285"/>
      <c r="L6705" s="1285"/>
    </row>
    <row r="6706" spans="1:12" ht="11.15" customHeight="1">
      <c r="A6706" s="29" t="s">
        <v>9184</v>
      </c>
      <c r="B6706" s="90"/>
      <c r="C6706" s="147"/>
      <c r="D6706" s="122"/>
      <c r="E6706" s="36"/>
      <c r="F6706" s="178"/>
      <c r="G6706" s="453"/>
      <c r="H6706" s="36"/>
      <c r="I6706" s="11"/>
    </row>
    <row r="6707" spans="1:12" ht="11.15" customHeight="1">
      <c r="A6707" s="181" t="s">
        <v>9185</v>
      </c>
      <c r="B6707" s="90"/>
      <c r="C6707" s="147"/>
      <c r="D6707" s="122"/>
      <c r="E6707" s="36"/>
      <c r="F6707" s="178"/>
      <c r="G6707" s="453"/>
      <c r="H6707" s="36"/>
      <c r="I6707" s="11"/>
    </row>
    <row r="6708" spans="1:12" ht="11.15" customHeight="1">
      <c r="A6708" s="29" t="s">
        <v>9186</v>
      </c>
      <c r="B6708" s="90"/>
      <c r="C6708" s="147"/>
      <c r="D6708" s="122"/>
      <c r="E6708" s="36"/>
      <c r="F6708" s="178"/>
      <c r="G6708" s="453"/>
      <c r="H6708" s="36"/>
      <c r="I6708" s="11"/>
    </row>
    <row r="6709" spans="1:12" ht="11.15" customHeight="1">
      <c r="A6709" s="181" t="s">
        <v>8618</v>
      </c>
      <c r="B6709" s="90"/>
      <c r="C6709" s="147"/>
      <c r="D6709" s="122"/>
      <c r="E6709" s="36"/>
      <c r="F6709" s="178"/>
      <c r="G6709" s="453"/>
      <c r="H6709" s="36"/>
      <c r="I6709" s="11"/>
    </row>
    <row r="6710" spans="1:12" ht="10.5" customHeight="1">
      <c r="A6710" s="129" t="s">
        <v>9187</v>
      </c>
      <c r="B6710" s="90"/>
      <c r="C6710" s="147"/>
      <c r="D6710" s="122"/>
      <c r="E6710" s="36"/>
      <c r="F6710" s="178"/>
      <c r="G6710" s="453"/>
      <c r="H6710" s="36"/>
      <c r="I6710" s="11"/>
    </row>
    <row r="6711" spans="1:12" ht="11.15" customHeight="1">
      <c r="A6711" s="355" t="s">
        <v>9188</v>
      </c>
      <c r="B6711" s="90"/>
      <c r="C6711" s="147"/>
      <c r="D6711" s="122"/>
      <c r="E6711" s="36"/>
      <c r="F6711" s="178"/>
      <c r="G6711" s="453"/>
      <c r="H6711" s="36"/>
      <c r="I6711" s="11"/>
    </row>
    <row r="6712" spans="1:12" ht="11.15" customHeight="1">
      <c r="A6712" s="355" t="s">
        <v>9189</v>
      </c>
      <c r="B6712" s="90"/>
      <c r="C6712" s="147"/>
      <c r="D6712" s="122"/>
      <c r="E6712" s="36"/>
      <c r="F6712" s="178"/>
      <c r="G6712" s="453"/>
      <c r="H6712" s="36"/>
      <c r="I6712" s="11"/>
    </row>
    <row r="6713" spans="1:12" ht="11.15" customHeight="1">
      <c r="A6713" s="355" t="s">
        <v>9190</v>
      </c>
      <c r="B6713" s="90"/>
      <c r="C6713" s="147"/>
      <c r="D6713" s="122"/>
      <c r="E6713" s="36"/>
      <c r="F6713" s="178"/>
      <c r="G6713" s="453"/>
      <c r="H6713" s="36"/>
      <c r="I6713" s="11"/>
    </row>
    <row r="6714" spans="1:12" ht="11.15" customHeight="1">
      <c r="A6714" s="162" t="s">
        <v>9191</v>
      </c>
      <c r="B6714" s="90"/>
      <c r="C6714" s="147"/>
      <c r="D6714" s="122"/>
      <c r="E6714" s="36"/>
      <c r="F6714" s="178"/>
      <c r="G6714" s="453"/>
      <c r="H6714" s="36"/>
      <c r="I6714" s="11"/>
    </row>
    <row r="6715" spans="1:12" ht="11.15" customHeight="1">
      <c r="A6715" s="137" t="s">
        <v>9192</v>
      </c>
      <c r="B6715" s="90"/>
      <c r="C6715" s="147"/>
      <c r="D6715" s="122"/>
      <c r="E6715" s="36"/>
      <c r="F6715" s="178"/>
      <c r="G6715" s="453"/>
      <c r="H6715" s="36"/>
      <c r="I6715" s="11"/>
    </row>
    <row r="6716" spans="1:12" ht="11.15" customHeight="1">
      <c r="A6716" s="29" t="s">
        <v>3873</v>
      </c>
      <c r="B6716" s="90"/>
      <c r="C6716" s="147"/>
      <c r="D6716" s="122"/>
      <c r="E6716" s="36"/>
      <c r="F6716" s="178"/>
      <c r="G6716" s="1217"/>
      <c r="H6716" s="36"/>
      <c r="I6716" s="11"/>
    </row>
    <row r="6717" spans="1:12" ht="11.15" customHeight="1">
      <c r="A6717" s="212" t="s">
        <v>9193</v>
      </c>
      <c r="B6717" s="90"/>
      <c r="C6717" s="147"/>
      <c r="D6717" s="122"/>
      <c r="E6717" s="36"/>
      <c r="F6717" s="178"/>
      <c r="G6717" s="453"/>
      <c r="H6717" s="36"/>
      <c r="I6717" s="11"/>
    </row>
    <row r="6718" spans="1:12" ht="11.15" customHeight="1">
      <c r="A6718" s="481" t="s">
        <v>9194</v>
      </c>
      <c r="B6718" s="90"/>
      <c r="C6718" s="147"/>
      <c r="D6718" s="122"/>
      <c r="E6718" s="36"/>
      <c r="F6718" s="178"/>
      <c r="G6718" s="453"/>
      <c r="H6718" s="36"/>
      <c r="I6718" s="11"/>
    </row>
    <row r="6719" spans="1:12" ht="11.15" customHeight="1" thickBot="1">
      <c r="A6719" s="185"/>
      <c r="B6719" s="185"/>
      <c r="C6719" s="147"/>
      <c r="D6719" s="129"/>
      <c r="E6719" s="185"/>
      <c r="F6719" s="185"/>
      <c r="G6719" s="185"/>
      <c r="H6719" s="185"/>
      <c r="I6719" s="11"/>
    </row>
    <row r="6720" spans="1:12" ht="24" customHeight="1" thickBot="1">
      <c r="A6720" s="549"/>
      <c r="B6720" s="64" t="s">
        <v>9195</v>
      </c>
      <c r="C6720" s="170"/>
      <c r="D6720" s="139"/>
      <c r="E6720" s="383"/>
      <c r="F6720" s="383"/>
      <c r="G6720" s="1142"/>
      <c r="H6720" s="1141"/>
      <c r="I6720" s="11"/>
    </row>
    <row r="6721" spans="1:12" ht="11.15" customHeight="1">
      <c r="A6721" s="271" t="s">
        <v>9196</v>
      </c>
      <c r="B6721" s="59" t="s">
        <v>9197</v>
      </c>
      <c r="C6721" s="147"/>
      <c r="D6721" s="284" t="s">
        <v>897</v>
      </c>
      <c r="E6721" s="36"/>
      <c r="F6721" s="178"/>
      <c r="G6721" s="496"/>
      <c r="H6721" s="996"/>
      <c r="I6721" s="11"/>
    </row>
    <row r="6722" spans="1:12" ht="11.15" customHeight="1">
      <c r="A6722" s="271" t="s">
        <v>9198</v>
      </c>
      <c r="B6722" s="59" t="s">
        <v>9197</v>
      </c>
      <c r="C6722" s="147"/>
      <c r="D6722" s="701" t="s">
        <v>2615</v>
      </c>
      <c r="E6722" s="36"/>
      <c r="F6722" s="178"/>
      <c r="G6722" s="496"/>
      <c r="H6722" s="996"/>
      <c r="I6722" s="11"/>
    </row>
    <row r="6723" spans="1:12" ht="11.15" customHeight="1">
      <c r="A6723" s="271" t="s">
        <v>9199</v>
      </c>
      <c r="B6723" s="59" t="s">
        <v>9197</v>
      </c>
      <c r="C6723" s="147"/>
      <c r="D6723" s="701" t="s">
        <v>2615</v>
      </c>
      <c r="E6723" s="36"/>
      <c r="F6723" s="178"/>
      <c r="G6723" s="496"/>
      <c r="H6723" s="996"/>
      <c r="I6723" s="11"/>
    </row>
    <row r="6724" spans="1:12" ht="11.15" customHeight="1">
      <c r="A6724" s="271" t="s">
        <v>9200</v>
      </c>
      <c r="B6724" s="59" t="s">
        <v>9201</v>
      </c>
      <c r="C6724" s="147"/>
      <c r="D6724" s="284" t="s">
        <v>897</v>
      </c>
      <c r="E6724" s="36"/>
      <c r="F6724" s="178"/>
      <c r="G6724" s="496"/>
      <c r="H6724" s="996"/>
      <c r="I6724" s="11"/>
    </row>
    <row r="6725" spans="1:12" ht="11.15" customHeight="1" thickBot="1">
      <c r="A6725" s="271"/>
      <c r="B6725" s="154"/>
      <c r="C6725" s="147"/>
      <c r="D6725" s="87"/>
      <c r="E6725" s="122"/>
      <c r="F6725" s="122"/>
      <c r="G6725" s="68"/>
      <c r="H6725" s="122"/>
      <c r="I6725" s="11"/>
    </row>
    <row r="6726" spans="1:12" ht="11.15" customHeight="1" thickBot="1">
      <c r="A6726" s="184" t="s">
        <v>9196</v>
      </c>
      <c r="B6726" s="59" t="s">
        <v>21462</v>
      </c>
      <c r="C6726" s="147" t="s">
        <v>20221</v>
      </c>
      <c r="D6726" s="284" t="s">
        <v>897</v>
      </c>
      <c r="E6726" s="178" t="s">
        <v>20221</v>
      </c>
      <c r="F6726" s="178" t="s">
        <v>4520</v>
      </c>
      <c r="G6726" s="496"/>
      <c r="H6726" s="994" t="s">
        <v>20221</v>
      </c>
      <c r="I6726" s="11" t="s">
        <v>9202</v>
      </c>
      <c r="J6726" s="1285"/>
      <c r="K6726" s="1285"/>
      <c r="L6726" s="1285"/>
    </row>
    <row r="6727" spans="1:12" ht="11.15" customHeight="1">
      <c r="A6727" s="29" t="s">
        <v>9203</v>
      </c>
      <c r="B6727" s="59" t="s">
        <v>21463</v>
      </c>
      <c r="C6727" s="147" t="s">
        <v>20221</v>
      </c>
      <c r="D6727" s="284" t="s">
        <v>897</v>
      </c>
      <c r="E6727" s="178" t="s">
        <v>20221</v>
      </c>
      <c r="F6727" s="178" t="s">
        <v>4520</v>
      </c>
      <c r="G6727" s="496"/>
      <c r="H6727" s="994" t="s">
        <v>20221</v>
      </c>
      <c r="I6727" s="11" t="s">
        <v>9204</v>
      </c>
      <c r="J6727" s="1285"/>
      <c r="K6727" s="1285"/>
      <c r="L6727" s="1285"/>
    </row>
    <row r="6728" spans="1:12" ht="11.15" customHeight="1">
      <c r="A6728" s="29" t="s">
        <v>9205</v>
      </c>
      <c r="B6728" s="90"/>
      <c r="C6728" s="147"/>
      <c r="D6728" s="122"/>
      <c r="E6728" s="36"/>
      <c r="F6728" s="178"/>
      <c r="G6728" s="60"/>
      <c r="H6728" s="36"/>
      <c r="I6728" s="11"/>
    </row>
    <row r="6729" spans="1:12" ht="11.15" customHeight="1">
      <c r="A6729" s="29" t="s">
        <v>9206</v>
      </c>
      <c r="B6729" s="90"/>
      <c r="C6729" s="147"/>
      <c r="D6729" s="122"/>
      <c r="E6729" s="36"/>
      <c r="F6729" s="178"/>
      <c r="G6729" s="453"/>
      <c r="H6729" s="36"/>
      <c r="I6729" s="11"/>
    </row>
    <row r="6730" spans="1:12" ht="11.15" customHeight="1">
      <c r="A6730" s="29" t="s">
        <v>9207</v>
      </c>
      <c r="B6730" s="90"/>
      <c r="C6730" s="147"/>
      <c r="D6730" s="122"/>
      <c r="E6730" s="36"/>
      <c r="F6730" s="178"/>
      <c r="G6730" s="453"/>
      <c r="H6730" s="36"/>
      <c r="I6730" s="11"/>
    </row>
    <row r="6731" spans="1:12" ht="11.15" customHeight="1">
      <c r="A6731" s="29" t="s">
        <v>9208</v>
      </c>
      <c r="B6731" s="90"/>
      <c r="C6731" s="147"/>
      <c r="D6731" s="122"/>
      <c r="E6731" s="36"/>
      <c r="F6731" s="178"/>
      <c r="G6731" s="453"/>
      <c r="H6731" s="36"/>
      <c r="I6731" s="11"/>
    </row>
    <row r="6732" spans="1:12" ht="11.15" customHeight="1">
      <c r="A6732" s="29" t="s">
        <v>9209</v>
      </c>
      <c r="B6732" s="90"/>
      <c r="C6732" s="147"/>
      <c r="D6732" s="122"/>
      <c r="E6732" s="36"/>
      <c r="F6732" s="178"/>
      <c r="G6732" s="453"/>
      <c r="H6732" s="36"/>
      <c r="I6732" s="11"/>
    </row>
    <row r="6733" spans="1:12" ht="11.15" customHeight="1">
      <c r="A6733" s="129" t="s">
        <v>8957</v>
      </c>
      <c r="B6733" s="90"/>
      <c r="C6733" s="147"/>
      <c r="D6733" s="122"/>
      <c r="E6733" s="36"/>
      <c r="F6733" s="178"/>
      <c r="G6733" s="453"/>
      <c r="H6733" s="36"/>
      <c r="I6733" s="11"/>
    </row>
    <row r="6734" spans="1:12" ht="11.15" customHeight="1">
      <c r="A6734" s="481" t="s">
        <v>9210</v>
      </c>
      <c r="B6734" s="90"/>
      <c r="C6734" s="147"/>
      <c r="D6734" s="122"/>
      <c r="E6734" s="36"/>
      <c r="F6734" s="178"/>
      <c r="G6734" s="453"/>
      <c r="H6734" s="36"/>
      <c r="I6734" s="11"/>
    </row>
    <row r="6735" spans="1:12" ht="11.15" customHeight="1">
      <c r="A6735" s="29"/>
      <c r="B6735" s="210" t="s">
        <v>9211</v>
      </c>
      <c r="C6735" s="147"/>
      <c r="D6735" s="122"/>
      <c r="E6735" s="36"/>
      <c r="F6735" s="178"/>
      <c r="G6735" s="453"/>
      <c r="H6735" s="36"/>
      <c r="I6735" s="11"/>
    </row>
    <row r="6736" spans="1:12" ht="11.15" customHeight="1">
      <c r="A6736" s="29"/>
      <c r="B6736" s="150" t="s">
        <v>9212</v>
      </c>
      <c r="C6736" s="147"/>
      <c r="D6736" s="122"/>
      <c r="E6736" s="36"/>
      <c r="F6736" s="178"/>
      <c r="G6736" s="453"/>
      <c r="H6736" s="36"/>
      <c r="I6736" s="11"/>
    </row>
    <row r="6737" spans="1:12" ht="11.15" customHeight="1" thickBot="1">
      <c r="A6737" s="185"/>
      <c r="B6737" s="177" t="s">
        <v>9213</v>
      </c>
      <c r="C6737" s="147"/>
      <c r="D6737" s="122"/>
      <c r="E6737" s="36"/>
      <c r="F6737" s="178"/>
      <c r="G6737" s="453"/>
      <c r="H6737" s="36"/>
      <c r="I6737" s="11"/>
    </row>
    <row r="6738" spans="1:12" ht="11.15" customHeight="1" thickBot="1">
      <c r="A6738" s="184" t="s">
        <v>9214</v>
      </c>
      <c r="B6738" s="59" t="s">
        <v>21464</v>
      </c>
      <c r="C6738" s="147" t="s">
        <v>20221</v>
      </c>
      <c r="D6738" s="701" t="s">
        <v>1129</v>
      </c>
      <c r="E6738" s="178">
        <v>2023</v>
      </c>
      <c r="F6738" s="178" t="s">
        <v>23395</v>
      </c>
      <c r="G6738" s="496"/>
      <c r="H6738" s="994" t="s">
        <v>20221</v>
      </c>
      <c r="I6738" s="11" t="s">
        <v>9215</v>
      </c>
      <c r="J6738" s="1285"/>
      <c r="K6738" s="1285"/>
      <c r="L6738" s="1285"/>
    </row>
    <row r="6739" spans="1:12" ht="11.15" customHeight="1">
      <c r="A6739" s="29" t="s">
        <v>9216</v>
      </c>
      <c r="B6739" s="59" t="s">
        <v>21464</v>
      </c>
      <c r="C6739" s="147" t="s">
        <v>20221</v>
      </c>
      <c r="D6739" s="701" t="s">
        <v>1129</v>
      </c>
      <c r="E6739" s="178">
        <v>2022</v>
      </c>
      <c r="F6739" s="178" t="s">
        <v>23395</v>
      </c>
      <c r="G6739" s="496"/>
      <c r="H6739" s="994" t="s">
        <v>20221</v>
      </c>
      <c r="I6739" s="11" t="s">
        <v>9217</v>
      </c>
      <c r="J6739" s="1285"/>
      <c r="K6739" s="1285"/>
      <c r="L6739" s="1285"/>
    </row>
    <row r="6740" spans="1:12" ht="11.15" customHeight="1">
      <c r="A6740" s="29" t="s">
        <v>9218</v>
      </c>
      <c r="B6740" s="59" t="s">
        <v>21464</v>
      </c>
      <c r="C6740" s="147" t="s">
        <v>20221</v>
      </c>
      <c r="D6740" s="701" t="s">
        <v>1129</v>
      </c>
      <c r="E6740" s="178">
        <v>2021</v>
      </c>
      <c r="F6740" s="178" t="s">
        <v>23395</v>
      </c>
      <c r="G6740" s="496"/>
      <c r="H6740" s="994" t="s">
        <v>20221</v>
      </c>
      <c r="I6740" s="11" t="s">
        <v>9219</v>
      </c>
      <c r="J6740" s="1285"/>
      <c r="K6740" s="1285"/>
      <c r="L6740" s="1285"/>
    </row>
    <row r="6741" spans="1:12" ht="11.15" customHeight="1">
      <c r="A6741" s="29" t="s">
        <v>9220</v>
      </c>
      <c r="B6741" s="59" t="s">
        <v>21464</v>
      </c>
      <c r="C6741" s="147" t="s">
        <v>20221</v>
      </c>
      <c r="D6741" s="701" t="s">
        <v>1129</v>
      </c>
      <c r="E6741" s="178">
        <v>2020</v>
      </c>
      <c r="F6741" s="178" t="s">
        <v>23395</v>
      </c>
      <c r="G6741" s="496"/>
      <c r="H6741" s="994" t="s">
        <v>20221</v>
      </c>
      <c r="I6741" s="11" t="s">
        <v>9221</v>
      </c>
      <c r="J6741" s="1285"/>
      <c r="K6741" s="1285"/>
      <c r="L6741" s="1285"/>
    </row>
    <row r="6742" spans="1:12" ht="11.15" customHeight="1">
      <c r="A6742" s="129" t="s">
        <v>9222</v>
      </c>
      <c r="B6742" s="59" t="s">
        <v>21465</v>
      </c>
      <c r="C6742" s="147" t="s">
        <v>20221</v>
      </c>
      <c r="D6742" s="701" t="s">
        <v>1129</v>
      </c>
      <c r="E6742" s="178">
        <v>2023</v>
      </c>
      <c r="F6742" s="178" t="s">
        <v>23395</v>
      </c>
      <c r="G6742" s="496"/>
      <c r="H6742" s="994" t="s">
        <v>20221</v>
      </c>
      <c r="I6742" s="11" t="s">
        <v>9223</v>
      </c>
      <c r="J6742" s="1285"/>
      <c r="K6742" s="1285"/>
      <c r="L6742" s="1285"/>
    </row>
    <row r="6743" spans="1:12" ht="11.15" customHeight="1">
      <c r="A6743" s="162" t="s">
        <v>9224</v>
      </c>
      <c r="B6743" s="59" t="s">
        <v>21465</v>
      </c>
      <c r="C6743" s="147" t="s">
        <v>20221</v>
      </c>
      <c r="D6743" s="701" t="s">
        <v>1129</v>
      </c>
      <c r="E6743" s="178">
        <v>2022</v>
      </c>
      <c r="F6743" s="178" t="s">
        <v>23395</v>
      </c>
      <c r="G6743" s="496"/>
      <c r="H6743" s="994" t="s">
        <v>20221</v>
      </c>
      <c r="I6743" s="11" t="s">
        <v>9225</v>
      </c>
      <c r="J6743" s="1285"/>
      <c r="K6743" s="1285"/>
      <c r="L6743" s="1285"/>
    </row>
    <row r="6744" spans="1:12" ht="11.15" customHeight="1">
      <c r="A6744" s="162" t="s">
        <v>9226</v>
      </c>
      <c r="B6744" s="59" t="s">
        <v>21465</v>
      </c>
      <c r="C6744" s="147" t="s">
        <v>20221</v>
      </c>
      <c r="D6744" s="701" t="s">
        <v>1129</v>
      </c>
      <c r="E6744" s="178">
        <v>2021</v>
      </c>
      <c r="F6744" s="178" t="s">
        <v>23395</v>
      </c>
      <c r="G6744" s="496"/>
      <c r="H6744" s="994" t="s">
        <v>20221</v>
      </c>
      <c r="I6744" s="11" t="s">
        <v>9227</v>
      </c>
      <c r="J6744" s="1285"/>
      <c r="K6744" s="1285"/>
      <c r="L6744" s="1285"/>
    </row>
    <row r="6745" spans="1:12" ht="11.15" customHeight="1">
      <c r="A6745" s="162" t="s">
        <v>9228</v>
      </c>
      <c r="B6745" s="59" t="s">
        <v>21466</v>
      </c>
      <c r="C6745" s="147" t="s">
        <v>20221</v>
      </c>
      <c r="D6745" s="701" t="s">
        <v>1129</v>
      </c>
      <c r="E6745" s="178">
        <v>2021</v>
      </c>
      <c r="F6745" s="178" t="s">
        <v>23395</v>
      </c>
      <c r="G6745" s="496"/>
      <c r="H6745" s="994" t="s">
        <v>20221</v>
      </c>
      <c r="I6745" s="11" t="s">
        <v>9230</v>
      </c>
      <c r="J6745" s="1285"/>
      <c r="K6745" s="1285"/>
      <c r="L6745" s="1285"/>
    </row>
    <row r="6746" spans="1:12" ht="11.15" customHeight="1">
      <c r="A6746" s="162" t="s">
        <v>9229</v>
      </c>
      <c r="B6746" s="59" t="s">
        <v>21466</v>
      </c>
      <c r="C6746" s="147" t="s">
        <v>20221</v>
      </c>
      <c r="D6746" s="701" t="s">
        <v>1129</v>
      </c>
      <c r="E6746" s="178">
        <v>2020</v>
      </c>
      <c r="F6746" s="178" t="s">
        <v>23395</v>
      </c>
      <c r="G6746" s="496"/>
      <c r="H6746" s="994" t="s">
        <v>20221</v>
      </c>
      <c r="I6746" s="11" t="s">
        <v>9232</v>
      </c>
      <c r="J6746" s="1285"/>
      <c r="K6746" s="1285"/>
      <c r="L6746" s="1285"/>
    </row>
    <row r="6747" spans="1:12" ht="11.15" customHeight="1">
      <c r="A6747" s="162" t="s">
        <v>9231</v>
      </c>
      <c r="B6747" s="59" t="s">
        <v>21466</v>
      </c>
      <c r="C6747" s="147" t="s">
        <v>20221</v>
      </c>
      <c r="D6747" s="701" t="s">
        <v>1129</v>
      </c>
      <c r="E6747" s="178">
        <v>2019</v>
      </c>
      <c r="F6747" s="178" t="s">
        <v>23395</v>
      </c>
      <c r="G6747" s="496"/>
      <c r="H6747" s="994" t="s">
        <v>20277</v>
      </c>
      <c r="I6747" s="11" t="s">
        <v>9234</v>
      </c>
      <c r="J6747" s="1285"/>
      <c r="K6747" s="1285"/>
      <c r="L6747" s="1285"/>
    </row>
    <row r="6748" spans="1:12" ht="11.15" customHeight="1">
      <c r="A6748" s="162" t="s">
        <v>9233</v>
      </c>
      <c r="B6748" s="154" t="s">
        <v>9236</v>
      </c>
      <c r="C6748" s="147"/>
      <c r="D6748" s="129"/>
      <c r="E6748" s="185"/>
      <c r="F6748" s="185"/>
      <c r="G6748" s="185"/>
      <c r="H6748" s="185"/>
      <c r="I6748" s="11"/>
    </row>
    <row r="6749" spans="1:12" ht="11.15" customHeight="1">
      <c r="A6749" s="162" t="s">
        <v>9235</v>
      </c>
      <c r="B6749" s="59" t="s">
        <v>21467</v>
      </c>
      <c r="C6749" s="147" t="s">
        <v>20221</v>
      </c>
      <c r="D6749" s="284" t="s">
        <v>897</v>
      </c>
      <c r="E6749" s="178">
        <v>2023</v>
      </c>
      <c r="F6749" s="178" t="s">
        <v>23395</v>
      </c>
      <c r="G6749" s="496"/>
      <c r="H6749" s="994" t="s">
        <v>20221</v>
      </c>
      <c r="I6749" s="11" t="s">
        <v>9238</v>
      </c>
      <c r="J6749" s="1285"/>
      <c r="K6749" s="1285"/>
      <c r="L6749" s="1285"/>
    </row>
    <row r="6750" spans="1:12" ht="11.15" customHeight="1">
      <c r="A6750" s="29" t="s">
        <v>9237</v>
      </c>
      <c r="B6750" s="59" t="s">
        <v>21467</v>
      </c>
      <c r="C6750" s="147" t="s">
        <v>20221</v>
      </c>
      <c r="D6750" s="284" t="s">
        <v>897</v>
      </c>
      <c r="E6750" s="178">
        <v>2022</v>
      </c>
      <c r="F6750" s="178" t="s">
        <v>23395</v>
      </c>
      <c r="G6750" s="496"/>
      <c r="H6750" s="994" t="s">
        <v>20221</v>
      </c>
      <c r="I6750" s="11" t="s">
        <v>9240</v>
      </c>
      <c r="J6750" s="1285"/>
      <c r="K6750" s="1285"/>
      <c r="L6750" s="1285"/>
    </row>
    <row r="6751" spans="1:12" ht="11.15" customHeight="1">
      <c r="A6751" s="169" t="s">
        <v>9239</v>
      </c>
      <c r="B6751" s="59" t="s">
        <v>21467</v>
      </c>
      <c r="C6751" s="147" t="s">
        <v>20221</v>
      </c>
      <c r="D6751" s="284" t="s">
        <v>897</v>
      </c>
      <c r="E6751" s="178">
        <v>2021</v>
      </c>
      <c r="F6751" s="178" t="s">
        <v>23395</v>
      </c>
      <c r="G6751" s="496"/>
      <c r="H6751" s="994" t="s">
        <v>20221</v>
      </c>
      <c r="I6751" s="11" t="s">
        <v>9242</v>
      </c>
      <c r="J6751" s="1285"/>
      <c r="K6751" s="1285"/>
      <c r="L6751" s="1285"/>
    </row>
    <row r="6752" spans="1:12" ht="11.15" customHeight="1">
      <c r="A6752" s="129" t="s">
        <v>9241</v>
      </c>
      <c r="B6752" s="59" t="s">
        <v>21467</v>
      </c>
      <c r="C6752" s="147" t="s">
        <v>20221</v>
      </c>
      <c r="D6752" s="284" t="s">
        <v>897</v>
      </c>
      <c r="E6752" s="178">
        <v>2020</v>
      </c>
      <c r="F6752" s="178" t="s">
        <v>23395</v>
      </c>
      <c r="G6752" s="496"/>
      <c r="H6752" s="994" t="s">
        <v>20221</v>
      </c>
      <c r="I6752" s="11" t="s">
        <v>9244</v>
      </c>
      <c r="J6752" s="1285"/>
      <c r="K6752" s="1285"/>
      <c r="L6752" s="1285"/>
    </row>
    <row r="6753" spans="1:12" ht="11.15" customHeight="1">
      <c r="A6753" s="481" t="s">
        <v>9243</v>
      </c>
      <c r="B6753" s="59" t="s">
        <v>21467</v>
      </c>
      <c r="C6753" s="147" t="s">
        <v>20221</v>
      </c>
      <c r="D6753" s="284" t="s">
        <v>897</v>
      </c>
      <c r="E6753" s="178">
        <v>2019</v>
      </c>
      <c r="F6753" s="178" t="s">
        <v>23395</v>
      </c>
      <c r="G6753" s="496"/>
      <c r="H6753" s="994" t="s">
        <v>20221</v>
      </c>
      <c r="I6753" s="11" t="s">
        <v>9245</v>
      </c>
      <c r="J6753" s="1285"/>
      <c r="K6753" s="1285"/>
      <c r="L6753" s="1285"/>
    </row>
    <row r="6754" spans="1:12" ht="11.15" customHeight="1">
      <c r="A6754" s="29"/>
      <c r="B6754" s="59" t="s">
        <v>21467</v>
      </c>
      <c r="C6754" s="147" t="s">
        <v>20221</v>
      </c>
      <c r="D6754" s="284" t="s">
        <v>897</v>
      </c>
      <c r="E6754" s="178">
        <v>2018</v>
      </c>
      <c r="F6754" s="178" t="s">
        <v>23395</v>
      </c>
      <c r="G6754" s="496"/>
      <c r="H6754" s="994" t="s">
        <v>20277</v>
      </c>
      <c r="I6754" s="11" t="s">
        <v>9246</v>
      </c>
      <c r="J6754" s="1285"/>
      <c r="K6754" s="1285"/>
      <c r="L6754" s="1285"/>
    </row>
    <row r="6755" spans="1:12" ht="11.15" customHeight="1">
      <c r="A6755" s="185"/>
      <c r="B6755" s="59" t="s">
        <v>21468</v>
      </c>
      <c r="C6755" s="147" t="s">
        <v>20221</v>
      </c>
      <c r="D6755" s="284" t="s">
        <v>897</v>
      </c>
      <c r="E6755" s="178">
        <v>2023</v>
      </c>
      <c r="F6755" s="178" t="s">
        <v>11931</v>
      </c>
      <c r="G6755" s="496"/>
      <c r="H6755" s="994" t="s">
        <v>20224</v>
      </c>
      <c r="I6755" s="11" t="s">
        <v>9247</v>
      </c>
      <c r="J6755" s="1285"/>
      <c r="K6755" s="1285"/>
      <c r="L6755" s="1285"/>
    </row>
    <row r="6756" spans="1:12" ht="11.15" customHeight="1">
      <c r="A6756" s="185"/>
      <c r="B6756" s="59" t="s">
        <v>21468</v>
      </c>
      <c r="C6756" s="147" t="s">
        <v>20221</v>
      </c>
      <c r="D6756" s="284" t="s">
        <v>897</v>
      </c>
      <c r="E6756" s="178">
        <v>2022</v>
      </c>
      <c r="F6756" s="178" t="s">
        <v>11931</v>
      </c>
      <c r="G6756" s="496"/>
      <c r="H6756" s="994" t="s">
        <v>20221</v>
      </c>
      <c r="I6756" s="11" t="s">
        <v>9248</v>
      </c>
      <c r="J6756" s="1285"/>
      <c r="K6756" s="1285"/>
      <c r="L6756" s="1285"/>
    </row>
    <row r="6757" spans="1:12" ht="11.15" customHeight="1">
      <c r="A6757" s="185"/>
      <c r="B6757" s="59" t="s">
        <v>21468</v>
      </c>
      <c r="C6757" s="147" t="s">
        <v>20221</v>
      </c>
      <c r="D6757" s="284" t="s">
        <v>897</v>
      </c>
      <c r="E6757" s="178">
        <v>2021</v>
      </c>
      <c r="F6757" s="178" t="s">
        <v>11931</v>
      </c>
      <c r="G6757" s="496"/>
      <c r="H6757" s="994" t="s">
        <v>20221</v>
      </c>
      <c r="I6757" s="11" t="s">
        <v>9249</v>
      </c>
      <c r="J6757" s="1285"/>
      <c r="K6757" s="1285"/>
      <c r="L6757" s="1285"/>
    </row>
    <row r="6758" spans="1:12" ht="11.15" customHeight="1">
      <c r="A6758" s="185"/>
      <c r="B6758" s="59" t="s">
        <v>21468</v>
      </c>
      <c r="C6758" s="147" t="s">
        <v>20221</v>
      </c>
      <c r="D6758" s="284" t="s">
        <v>897</v>
      </c>
      <c r="E6758" s="178">
        <v>2020</v>
      </c>
      <c r="F6758" s="178" t="s">
        <v>11931</v>
      </c>
      <c r="G6758" s="496"/>
      <c r="H6758" s="994" t="s">
        <v>20224</v>
      </c>
      <c r="I6758" s="11" t="s">
        <v>9250</v>
      </c>
      <c r="J6758" s="1285"/>
      <c r="K6758" s="1285"/>
      <c r="L6758" s="1285"/>
    </row>
    <row r="6759" spans="1:12" ht="11.15" customHeight="1">
      <c r="A6759" s="185"/>
      <c r="B6759" s="154" t="s">
        <v>9251</v>
      </c>
      <c r="C6759" s="147"/>
      <c r="D6759" s="129"/>
      <c r="E6759" s="185"/>
      <c r="F6759" s="185"/>
      <c r="G6759" s="185"/>
      <c r="H6759" s="185"/>
      <c r="I6759" s="11"/>
    </row>
    <row r="6760" spans="1:12" ht="11.15" customHeight="1">
      <c r="A6760" s="158"/>
      <c r="B6760" s="59" t="s">
        <v>21469</v>
      </c>
      <c r="C6760" s="147" t="s">
        <v>20221</v>
      </c>
      <c r="D6760" s="284" t="s">
        <v>897</v>
      </c>
      <c r="E6760" s="178">
        <v>2023</v>
      </c>
      <c r="F6760" s="178" t="s">
        <v>23395</v>
      </c>
      <c r="G6760" s="496"/>
      <c r="H6760" s="994" t="s">
        <v>20221</v>
      </c>
      <c r="I6760" s="11" t="s">
        <v>9252</v>
      </c>
      <c r="J6760" s="1285"/>
      <c r="K6760" s="1285"/>
      <c r="L6760" s="1285"/>
    </row>
    <row r="6761" spans="1:12" ht="11.15" customHeight="1">
      <c r="A6761" s="158"/>
      <c r="B6761" s="59" t="s">
        <v>21469</v>
      </c>
      <c r="C6761" s="147" t="s">
        <v>20221</v>
      </c>
      <c r="D6761" s="284" t="s">
        <v>897</v>
      </c>
      <c r="E6761" s="178">
        <v>2022</v>
      </c>
      <c r="F6761" s="178" t="s">
        <v>23395</v>
      </c>
      <c r="G6761" s="496"/>
      <c r="H6761" s="994" t="s">
        <v>20221</v>
      </c>
      <c r="I6761" s="11" t="s">
        <v>9253</v>
      </c>
      <c r="J6761" s="1285"/>
      <c r="K6761" s="1285"/>
      <c r="L6761" s="1285"/>
    </row>
    <row r="6762" spans="1:12" ht="11.15" customHeight="1">
      <c r="A6762" s="137"/>
      <c r="B6762" s="59" t="s">
        <v>21469</v>
      </c>
      <c r="C6762" s="147" t="s">
        <v>20221</v>
      </c>
      <c r="D6762" s="284" t="s">
        <v>897</v>
      </c>
      <c r="E6762" s="178">
        <v>2021</v>
      </c>
      <c r="F6762" s="178" t="s">
        <v>23395</v>
      </c>
      <c r="G6762" s="496"/>
      <c r="H6762" s="994" t="s">
        <v>20221</v>
      </c>
      <c r="I6762" s="11" t="s">
        <v>9254</v>
      </c>
      <c r="J6762" s="1285"/>
      <c r="K6762" s="1285"/>
      <c r="L6762" s="1285"/>
    </row>
    <row r="6763" spans="1:12" ht="11.15" customHeight="1">
      <c r="A6763" s="185"/>
      <c r="B6763" s="59" t="s">
        <v>21469</v>
      </c>
      <c r="C6763" s="147" t="s">
        <v>20221</v>
      </c>
      <c r="D6763" s="284" t="s">
        <v>897</v>
      </c>
      <c r="E6763" s="178">
        <v>2020</v>
      </c>
      <c r="F6763" s="178" t="s">
        <v>23395</v>
      </c>
      <c r="G6763" s="496"/>
      <c r="H6763" s="994" t="s">
        <v>20277</v>
      </c>
      <c r="I6763" s="11" t="s">
        <v>9255</v>
      </c>
      <c r="J6763" s="1285"/>
      <c r="K6763" s="1285"/>
      <c r="L6763" s="1285"/>
    </row>
    <row r="6764" spans="1:12" ht="11.15" customHeight="1">
      <c r="A6764" s="185"/>
      <c r="B6764" s="59" t="s">
        <v>21470</v>
      </c>
      <c r="C6764" s="147" t="s">
        <v>20221</v>
      </c>
      <c r="D6764" s="284" t="s">
        <v>897</v>
      </c>
      <c r="E6764" s="178">
        <v>2023</v>
      </c>
      <c r="F6764" s="178" t="s">
        <v>23395</v>
      </c>
      <c r="G6764" s="496"/>
      <c r="H6764" s="994" t="s">
        <v>20221</v>
      </c>
      <c r="I6764" s="11" t="s">
        <v>9256</v>
      </c>
      <c r="J6764" s="1285"/>
      <c r="K6764" s="1285"/>
      <c r="L6764" s="1285"/>
    </row>
    <row r="6765" spans="1:12" ht="11.15" customHeight="1">
      <c r="A6765" s="185"/>
      <c r="B6765" s="59" t="s">
        <v>21470</v>
      </c>
      <c r="C6765" s="147" t="s">
        <v>20221</v>
      </c>
      <c r="D6765" s="284" t="s">
        <v>897</v>
      </c>
      <c r="E6765" s="178">
        <v>2022</v>
      </c>
      <c r="F6765" s="178" t="s">
        <v>23395</v>
      </c>
      <c r="G6765" s="496"/>
      <c r="H6765" s="994" t="s">
        <v>20221</v>
      </c>
      <c r="I6765" s="11" t="s">
        <v>9257</v>
      </c>
      <c r="J6765" s="1285"/>
      <c r="K6765" s="1285"/>
      <c r="L6765" s="1285"/>
    </row>
    <row r="6766" spans="1:12" ht="11.15" customHeight="1">
      <c r="A6766" s="185"/>
      <c r="B6766" s="59" t="s">
        <v>21470</v>
      </c>
      <c r="C6766" s="147" t="s">
        <v>20221</v>
      </c>
      <c r="D6766" s="284" t="s">
        <v>897</v>
      </c>
      <c r="E6766" s="178">
        <v>2021</v>
      </c>
      <c r="F6766" s="178" t="s">
        <v>23395</v>
      </c>
      <c r="G6766" s="496"/>
      <c r="H6766" s="994" t="s">
        <v>20221</v>
      </c>
      <c r="I6766" s="11" t="s">
        <v>9258</v>
      </c>
      <c r="J6766" s="1285"/>
      <c r="K6766" s="1285"/>
      <c r="L6766" s="1285"/>
    </row>
    <row r="6767" spans="1:12" ht="11.15" customHeight="1">
      <c r="A6767" s="185"/>
      <c r="B6767" s="59" t="s">
        <v>21470</v>
      </c>
      <c r="C6767" s="147" t="s">
        <v>20221</v>
      </c>
      <c r="D6767" s="284" t="s">
        <v>897</v>
      </c>
      <c r="E6767" s="178">
        <v>2020</v>
      </c>
      <c r="F6767" s="178" t="s">
        <v>23395</v>
      </c>
      <c r="G6767" s="496"/>
      <c r="H6767" s="994" t="s">
        <v>20221</v>
      </c>
      <c r="I6767" s="11" t="s">
        <v>9259</v>
      </c>
      <c r="J6767" s="1285"/>
      <c r="K6767" s="1285"/>
      <c r="L6767" s="1285"/>
    </row>
    <row r="6768" spans="1:12" ht="11.15" customHeight="1">
      <c r="A6768" s="185"/>
      <c r="B6768" s="59" t="s">
        <v>21470</v>
      </c>
      <c r="C6768" s="147" t="s">
        <v>20221</v>
      </c>
      <c r="D6768" s="284" t="s">
        <v>897</v>
      </c>
      <c r="E6768" s="178">
        <v>2019</v>
      </c>
      <c r="F6768" s="178" t="s">
        <v>23395</v>
      </c>
      <c r="G6768" s="496"/>
      <c r="H6768" s="994" t="s">
        <v>20221</v>
      </c>
      <c r="I6768" s="11" t="s">
        <v>9260</v>
      </c>
      <c r="J6768" s="1285"/>
      <c r="K6768" s="1285"/>
      <c r="L6768" s="1285"/>
    </row>
    <row r="6769" spans="1:12" ht="11.15" customHeight="1">
      <c r="A6769" s="185"/>
      <c r="B6769" s="59" t="s">
        <v>21470</v>
      </c>
      <c r="C6769" s="147" t="s">
        <v>20221</v>
      </c>
      <c r="D6769" s="284" t="s">
        <v>897</v>
      </c>
      <c r="E6769" s="178">
        <v>2017</v>
      </c>
      <c r="F6769" s="178" t="s">
        <v>23395</v>
      </c>
      <c r="G6769" s="496"/>
      <c r="H6769" s="994" t="s">
        <v>20277</v>
      </c>
      <c r="I6769" s="11" t="s">
        <v>9261</v>
      </c>
      <c r="J6769" s="1285"/>
      <c r="K6769" s="1285"/>
      <c r="L6769" s="1285"/>
    </row>
    <row r="6770" spans="1:12" ht="11.15" customHeight="1">
      <c r="A6770" s="185"/>
      <c r="B6770" s="59" t="s">
        <v>21471</v>
      </c>
      <c r="C6770" s="147" t="s">
        <v>20221</v>
      </c>
      <c r="D6770" s="284" t="s">
        <v>897</v>
      </c>
      <c r="E6770" s="178">
        <v>2021</v>
      </c>
      <c r="F6770" s="178" t="s">
        <v>23395</v>
      </c>
      <c r="G6770" s="496"/>
      <c r="H6770" s="994" t="s">
        <v>20221</v>
      </c>
      <c r="I6770" s="11" t="s">
        <v>9262</v>
      </c>
      <c r="J6770" s="1285"/>
      <c r="K6770" s="1285"/>
      <c r="L6770" s="1285"/>
    </row>
    <row r="6771" spans="1:12" ht="11.15" customHeight="1">
      <c r="A6771" s="185"/>
      <c r="B6771" s="59" t="s">
        <v>21471</v>
      </c>
      <c r="C6771" s="147" t="s">
        <v>20221</v>
      </c>
      <c r="D6771" s="284" t="s">
        <v>897</v>
      </c>
      <c r="E6771" s="178">
        <v>2020</v>
      </c>
      <c r="F6771" s="178" t="s">
        <v>23395</v>
      </c>
      <c r="G6771" s="496"/>
      <c r="H6771" s="994" t="s">
        <v>20221</v>
      </c>
      <c r="I6771" s="11" t="s">
        <v>9263</v>
      </c>
      <c r="J6771" s="1285"/>
      <c r="K6771" s="1285"/>
      <c r="L6771" s="1285"/>
    </row>
    <row r="6772" spans="1:12" ht="11.15" customHeight="1">
      <c r="A6772" s="185"/>
      <c r="B6772" s="59" t="s">
        <v>21471</v>
      </c>
      <c r="C6772" s="147" t="s">
        <v>20221</v>
      </c>
      <c r="D6772" s="284" t="s">
        <v>897</v>
      </c>
      <c r="E6772" s="178">
        <v>2019</v>
      </c>
      <c r="F6772" s="178" t="s">
        <v>23395</v>
      </c>
      <c r="G6772" s="496"/>
      <c r="H6772" s="994" t="s">
        <v>20277</v>
      </c>
      <c r="I6772" s="11" t="s">
        <v>9264</v>
      </c>
      <c r="J6772" s="1285"/>
      <c r="K6772" s="1285"/>
      <c r="L6772" s="1285"/>
    </row>
    <row r="6773" spans="1:12" ht="11.15" customHeight="1" thickBot="1">
      <c r="A6773" s="185"/>
      <c r="B6773" s="185"/>
      <c r="C6773" s="147"/>
      <c r="D6773" s="185"/>
      <c r="E6773" s="185"/>
      <c r="F6773" s="185"/>
      <c r="G6773" s="185"/>
      <c r="H6773" s="185"/>
      <c r="I6773" s="11"/>
    </row>
    <row r="6774" spans="1:12" ht="11.15" customHeight="1" thickBot="1">
      <c r="A6774" s="184" t="s">
        <v>9198</v>
      </c>
      <c r="B6774" s="59" t="s">
        <v>21472</v>
      </c>
      <c r="C6774" s="147" t="s">
        <v>20221</v>
      </c>
      <c r="D6774" s="701" t="s">
        <v>1129</v>
      </c>
      <c r="E6774" s="178" t="s">
        <v>20221</v>
      </c>
      <c r="F6774" s="178" t="s">
        <v>4520</v>
      </c>
      <c r="G6774" s="496"/>
      <c r="H6774" s="994" t="s">
        <v>20221</v>
      </c>
      <c r="I6774" s="11" t="s">
        <v>9265</v>
      </c>
      <c r="J6774" s="1285"/>
      <c r="K6774" s="1285"/>
      <c r="L6774" s="1285"/>
    </row>
    <row r="6775" spans="1:12" ht="11.15" customHeight="1">
      <c r="A6775" s="29" t="s">
        <v>9266</v>
      </c>
      <c r="B6775" s="59" t="s">
        <v>21473</v>
      </c>
      <c r="C6775" s="147" t="s">
        <v>20221</v>
      </c>
      <c r="D6775" s="284" t="s">
        <v>897</v>
      </c>
      <c r="E6775" s="178" t="s">
        <v>20221</v>
      </c>
      <c r="F6775" s="178" t="s">
        <v>4520</v>
      </c>
      <c r="G6775" s="496"/>
      <c r="H6775" s="994" t="s">
        <v>20221</v>
      </c>
      <c r="I6775" s="11" t="s">
        <v>9267</v>
      </c>
      <c r="J6775" s="1285"/>
      <c r="K6775" s="1285"/>
      <c r="L6775" s="1285"/>
    </row>
    <row r="6776" spans="1:12" ht="11.15" customHeight="1">
      <c r="A6776" s="29" t="s">
        <v>9268</v>
      </c>
      <c r="B6776" s="59" t="s">
        <v>21474</v>
      </c>
      <c r="C6776" s="147" t="s">
        <v>20221</v>
      </c>
      <c r="D6776" s="284" t="s">
        <v>897</v>
      </c>
      <c r="E6776" s="178" t="s">
        <v>20221</v>
      </c>
      <c r="F6776" s="178" t="s">
        <v>4520</v>
      </c>
      <c r="G6776" s="496"/>
      <c r="H6776" s="994" t="s">
        <v>20224</v>
      </c>
      <c r="I6776" s="11" t="s">
        <v>9269</v>
      </c>
      <c r="J6776" s="1285"/>
      <c r="K6776" s="1285"/>
      <c r="L6776" s="1285"/>
    </row>
    <row r="6777" spans="1:12" ht="11.15" customHeight="1">
      <c r="A6777" s="29" t="s">
        <v>9270</v>
      </c>
      <c r="B6777" s="59" t="s">
        <v>21475</v>
      </c>
      <c r="C6777" s="147" t="s">
        <v>20221</v>
      </c>
      <c r="D6777" s="284" t="s">
        <v>897</v>
      </c>
      <c r="E6777" s="178" t="s">
        <v>20221</v>
      </c>
      <c r="F6777" s="178" t="s">
        <v>4520</v>
      </c>
      <c r="G6777" s="496"/>
      <c r="H6777" s="994" t="s">
        <v>20221</v>
      </c>
      <c r="I6777" s="11" t="s">
        <v>9271</v>
      </c>
      <c r="J6777" s="1285"/>
      <c r="K6777" s="1285"/>
      <c r="L6777" s="1285"/>
    </row>
    <row r="6778" spans="1:12" ht="11.15" customHeight="1" thickBot="1">
      <c r="A6778" s="29" t="s">
        <v>9272</v>
      </c>
      <c r="B6778" s="185"/>
      <c r="C6778" s="147"/>
      <c r="D6778" s="185"/>
      <c r="E6778" s="185"/>
      <c r="F6778" s="185"/>
      <c r="G6778" s="185"/>
      <c r="H6778" s="185"/>
      <c r="I6778" s="11"/>
    </row>
    <row r="6779" spans="1:12" ht="11.15" customHeight="1">
      <c r="A6779" s="29" t="s">
        <v>9273</v>
      </c>
      <c r="B6779" s="550" t="s">
        <v>9274</v>
      </c>
      <c r="C6779" s="191"/>
      <c r="D6779" s="110"/>
      <c r="E6779" s="192"/>
      <c r="F6779" s="192"/>
      <c r="G6779" s="192"/>
      <c r="H6779" s="193"/>
      <c r="I6779" s="11"/>
    </row>
    <row r="6780" spans="1:12" ht="11.15" customHeight="1">
      <c r="A6780" s="29" t="s">
        <v>9275</v>
      </c>
      <c r="B6780" s="551" t="s">
        <v>9276</v>
      </c>
      <c r="C6780" s="147"/>
      <c r="D6780" s="129"/>
      <c r="E6780" s="185"/>
      <c r="F6780" s="185"/>
      <c r="G6780" s="185"/>
      <c r="H6780" s="552"/>
      <c r="I6780" s="11"/>
    </row>
    <row r="6781" spans="1:12" ht="11.15" customHeight="1">
      <c r="A6781" s="29" t="s">
        <v>9277</v>
      </c>
      <c r="B6781" s="551" t="s">
        <v>9278</v>
      </c>
      <c r="C6781" s="147"/>
      <c r="D6781" s="129"/>
      <c r="E6781" s="185"/>
      <c r="F6781" s="185"/>
      <c r="G6781" s="185"/>
      <c r="H6781" s="552"/>
      <c r="I6781" s="11"/>
    </row>
    <row r="6782" spans="1:12" ht="11.15" customHeight="1">
      <c r="A6782" s="129" t="s">
        <v>9279</v>
      </c>
      <c r="B6782" s="551" t="s">
        <v>9280</v>
      </c>
      <c r="C6782" s="147"/>
      <c r="D6782" s="159"/>
      <c r="E6782" s="36"/>
      <c r="F6782" s="178"/>
      <c r="G6782" s="497"/>
      <c r="H6782" s="628"/>
      <c r="I6782" s="11"/>
    </row>
    <row r="6783" spans="1:12" ht="11.15" customHeight="1">
      <c r="A6783" s="162" t="s">
        <v>9281</v>
      </c>
      <c r="B6783" s="553" t="s">
        <v>9282</v>
      </c>
      <c r="C6783" s="147"/>
      <c r="D6783" s="159"/>
      <c r="E6783" s="36"/>
      <c r="F6783" s="178"/>
      <c r="G6783" s="497"/>
      <c r="H6783" s="628"/>
      <c r="I6783" s="11"/>
    </row>
    <row r="6784" spans="1:12" ht="11.15" customHeight="1">
      <c r="A6784" s="162" t="s">
        <v>9283</v>
      </c>
      <c r="B6784" s="553" t="s">
        <v>9284</v>
      </c>
      <c r="C6784" s="147"/>
      <c r="D6784" s="159"/>
      <c r="E6784" s="36"/>
      <c r="F6784" s="178"/>
      <c r="G6784" s="497"/>
      <c r="H6784" s="628"/>
      <c r="I6784" s="11"/>
    </row>
    <row r="6785" spans="1:9" ht="11.15" customHeight="1">
      <c r="A6785" s="162" t="s">
        <v>9285</v>
      </c>
      <c r="B6785" s="551" t="s">
        <v>9286</v>
      </c>
      <c r="C6785" s="147"/>
      <c r="D6785" s="159"/>
      <c r="E6785" s="36"/>
      <c r="F6785" s="178"/>
      <c r="G6785" s="497"/>
      <c r="H6785" s="628"/>
      <c r="I6785" s="11"/>
    </row>
    <row r="6786" spans="1:9" ht="11.15" customHeight="1">
      <c r="A6786" s="291" t="s">
        <v>9287</v>
      </c>
      <c r="B6786" s="485" t="s">
        <v>9288</v>
      </c>
      <c r="C6786" s="147"/>
      <c r="D6786" s="159"/>
      <c r="E6786" s="36"/>
      <c r="F6786" s="178"/>
      <c r="G6786" s="497"/>
      <c r="H6786" s="628"/>
      <c r="I6786" s="11"/>
    </row>
    <row r="6787" spans="1:9" ht="11.15" customHeight="1">
      <c r="A6787" s="129" t="s">
        <v>9289</v>
      </c>
      <c r="B6787" s="553" t="s">
        <v>9290</v>
      </c>
      <c r="C6787" s="147"/>
      <c r="D6787" s="122"/>
      <c r="E6787" s="178"/>
      <c r="F6787" s="178"/>
      <c r="G6787" s="60"/>
      <c r="H6787" s="566"/>
      <c r="I6787" s="11"/>
    </row>
    <row r="6788" spans="1:9" ht="11.15" customHeight="1">
      <c r="A6788" s="555" t="s">
        <v>9291</v>
      </c>
      <c r="B6788" s="556" t="s">
        <v>9292</v>
      </c>
      <c r="C6788" s="147"/>
      <c r="D6788" s="129"/>
      <c r="E6788" s="185"/>
      <c r="F6788" s="185"/>
      <c r="G6788" s="185"/>
      <c r="H6788" s="552"/>
      <c r="I6788" s="11"/>
    </row>
    <row r="6789" spans="1:9" ht="11.15" customHeight="1">
      <c r="A6789" s="555" t="s">
        <v>9293</v>
      </c>
      <c r="B6789" s="557" t="s">
        <v>9294</v>
      </c>
      <c r="C6789" s="147"/>
      <c r="D6789" s="129"/>
      <c r="E6789" s="185"/>
      <c r="F6789" s="185"/>
      <c r="G6789" s="185"/>
      <c r="H6789" s="552"/>
      <c r="I6789" s="11"/>
    </row>
    <row r="6790" spans="1:9" ht="11.15" customHeight="1">
      <c r="A6790" s="555" t="s">
        <v>9295</v>
      </c>
      <c r="B6790" s="557" t="s">
        <v>9296</v>
      </c>
      <c r="C6790" s="147"/>
      <c r="D6790" s="129"/>
      <c r="E6790" s="185"/>
      <c r="F6790" s="185"/>
      <c r="G6790" s="185"/>
      <c r="H6790" s="552"/>
      <c r="I6790" s="11"/>
    </row>
    <row r="6791" spans="1:9" ht="11.15" customHeight="1">
      <c r="A6791" s="555" t="s">
        <v>9297</v>
      </c>
      <c r="B6791" s="557" t="s">
        <v>9298</v>
      </c>
      <c r="C6791" s="147"/>
      <c r="D6791" s="122"/>
      <c r="E6791" s="178"/>
      <c r="F6791" s="178"/>
      <c r="G6791" s="60"/>
      <c r="H6791" s="566"/>
      <c r="I6791" s="11"/>
    </row>
    <row r="6792" spans="1:9" ht="11.15" customHeight="1">
      <c r="A6792" s="129" t="s">
        <v>9299</v>
      </c>
      <c r="B6792" s="485" t="s">
        <v>9300</v>
      </c>
      <c r="C6792" s="147"/>
      <c r="D6792" s="122"/>
      <c r="E6792" s="178"/>
      <c r="F6792" s="178"/>
      <c r="G6792" s="60"/>
      <c r="H6792" s="566"/>
      <c r="I6792" s="11"/>
    </row>
    <row r="6793" spans="1:9" ht="11.15" customHeight="1">
      <c r="A6793" s="292" t="s">
        <v>9301</v>
      </c>
      <c r="B6793" s="557" t="s">
        <v>9302</v>
      </c>
      <c r="C6793" s="147"/>
      <c r="D6793" s="122"/>
      <c r="E6793" s="36"/>
      <c r="F6793" s="178"/>
      <c r="G6793" s="496"/>
      <c r="H6793" s="628"/>
      <c r="I6793" s="11"/>
    </row>
    <row r="6794" spans="1:9" ht="11.15" customHeight="1">
      <c r="A6794" s="162" t="s">
        <v>9303</v>
      </c>
      <c r="B6794" s="485" t="s">
        <v>9304</v>
      </c>
      <c r="C6794" s="147"/>
      <c r="D6794" s="129"/>
      <c r="E6794" s="185"/>
      <c r="F6794" s="185"/>
      <c r="G6794" s="185"/>
      <c r="H6794" s="552"/>
      <c r="I6794" s="11"/>
    </row>
    <row r="6795" spans="1:9" ht="11.15" customHeight="1">
      <c r="A6795" s="162" t="s">
        <v>9305</v>
      </c>
      <c r="B6795" s="485" t="s">
        <v>9306</v>
      </c>
      <c r="C6795" s="147"/>
      <c r="D6795" s="129"/>
      <c r="E6795" s="185"/>
      <c r="F6795" s="185"/>
      <c r="G6795" s="185"/>
      <c r="H6795" s="552"/>
      <c r="I6795" s="11"/>
    </row>
    <row r="6796" spans="1:9" ht="11.15" customHeight="1">
      <c r="A6796" s="162" t="s">
        <v>9307</v>
      </c>
      <c r="B6796" s="485" t="s">
        <v>9308</v>
      </c>
      <c r="C6796" s="147"/>
      <c r="D6796" s="161"/>
      <c r="E6796" s="36"/>
      <c r="F6796" s="178"/>
      <c r="G6796" s="497"/>
      <c r="H6796" s="628"/>
      <c r="I6796" s="11"/>
    </row>
    <row r="6797" spans="1:9" ht="11.15" customHeight="1">
      <c r="A6797" s="162" t="s">
        <v>9309</v>
      </c>
      <c r="B6797" s="485" t="s">
        <v>9310</v>
      </c>
      <c r="C6797" s="147"/>
      <c r="D6797" s="161"/>
      <c r="E6797" s="36"/>
      <c r="F6797" s="178"/>
      <c r="G6797" s="497"/>
      <c r="H6797" s="628"/>
      <c r="I6797" s="11"/>
    </row>
    <row r="6798" spans="1:9" ht="11.15" customHeight="1">
      <c r="A6798" s="162" t="s">
        <v>9311</v>
      </c>
      <c r="B6798" s="556" t="s">
        <v>9312</v>
      </c>
      <c r="C6798" s="147"/>
      <c r="D6798" s="122"/>
      <c r="E6798" s="36"/>
      <c r="F6798" s="178"/>
      <c r="G6798" s="1217"/>
      <c r="H6798" s="628"/>
      <c r="I6798" s="11"/>
    </row>
    <row r="6799" spans="1:9" ht="11.15" customHeight="1">
      <c r="A6799" s="162" t="s">
        <v>9313</v>
      </c>
      <c r="B6799" s="551" t="s">
        <v>9314</v>
      </c>
      <c r="C6799" s="147"/>
      <c r="D6799" s="122"/>
      <c r="E6799" s="36"/>
      <c r="F6799" s="178"/>
      <c r="G6799" s="1217"/>
      <c r="H6799" s="628"/>
      <c r="I6799" s="11"/>
    </row>
    <row r="6800" spans="1:9" ht="11.15" customHeight="1">
      <c r="A6800" s="162" t="s">
        <v>9315</v>
      </c>
      <c r="B6800" s="553" t="s">
        <v>9316</v>
      </c>
      <c r="C6800" s="147"/>
      <c r="D6800" s="122"/>
      <c r="E6800" s="36"/>
      <c r="F6800" s="178"/>
      <c r="G6800" s="1217"/>
      <c r="H6800" s="628"/>
      <c r="I6800" s="11"/>
    </row>
    <row r="6801" spans="1:9" ht="11.15" customHeight="1">
      <c r="A6801" s="162" t="s">
        <v>9317</v>
      </c>
      <c r="B6801" s="485" t="s">
        <v>9318</v>
      </c>
      <c r="C6801" s="147"/>
      <c r="D6801" s="122"/>
      <c r="E6801" s="36"/>
      <c r="F6801" s="178"/>
      <c r="G6801" s="1217"/>
      <c r="H6801" s="628"/>
      <c r="I6801" s="11"/>
    </row>
    <row r="6802" spans="1:9" ht="11.15" customHeight="1">
      <c r="A6802" s="162" t="s">
        <v>9319</v>
      </c>
      <c r="B6802" s="485" t="s">
        <v>9320</v>
      </c>
      <c r="C6802" s="147"/>
      <c r="D6802" s="122"/>
      <c r="E6802" s="36"/>
      <c r="F6802" s="178"/>
      <c r="G6802" s="1217"/>
      <c r="H6802" s="628"/>
      <c r="I6802" s="11"/>
    </row>
    <row r="6803" spans="1:9" ht="11.15" customHeight="1">
      <c r="A6803" s="162" t="s">
        <v>9321</v>
      </c>
      <c r="B6803" s="485" t="s">
        <v>9322</v>
      </c>
      <c r="C6803" s="147"/>
      <c r="D6803" s="122"/>
      <c r="E6803" s="36"/>
      <c r="F6803" s="178"/>
      <c r="G6803" s="1217"/>
      <c r="H6803" s="628"/>
      <c r="I6803" s="11"/>
    </row>
    <row r="6804" spans="1:9" ht="11.15" customHeight="1">
      <c r="A6804" s="162" t="s">
        <v>9323</v>
      </c>
      <c r="B6804" s="485" t="s">
        <v>9324</v>
      </c>
      <c r="C6804" s="147"/>
      <c r="D6804" s="122"/>
      <c r="E6804" s="36"/>
      <c r="F6804" s="178"/>
      <c r="G6804" s="1217"/>
      <c r="H6804" s="628"/>
      <c r="I6804" s="11"/>
    </row>
    <row r="6805" spans="1:9" ht="11.15" customHeight="1">
      <c r="A6805" s="162" t="s">
        <v>9325</v>
      </c>
      <c r="B6805" s="485" t="s">
        <v>9326</v>
      </c>
      <c r="C6805" s="147"/>
      <c r="D6805" s="122"/>
      <c r="E6805" s="36"/>
      <c r="F6805" s="178"/>
      <c r="G6805" s="1217"/>
      <c r="H6805" s="628"/>
      <c r="I6805" s="11"/>
    </row>
    <row r="6806" spans="1:9" ht="11.15" customHeight="1">
      <c r="A6806" s="162" t="s">
        <v>9327</v>
      </c>
      <c r="B6806" s="485" t="s">
        <v>9328</v>
      </c>
      <c r="C6806" s="147"/>
      <c r="D6806" s="122"/>
      <c r="E6806" s="36"/>
      <c r="F6806" s="178"/>
      <c r="G6806" s="1217"/>
      <c r="H6806" s="628"/>
      <c r="I6806" s="11"/>
    </row>
    <row r="6807" spans="1:9" ht="11.15" customHeight="1">
      <c r="A6807" s="162" t="s">
        <v>9329</v>
      </c>
      <c r="B6807" s="485" t="s">
        <v>9330</v>
      </c>
      <c r="C6807" s="147"/>
      <c r="D6807" s="122"/>
      <c r="E6807" s="36"/>
      <c r="F6807" s="178"/>
      <c r="G6807" s="453"/>
      <c r="H6807" s="628"/>
      <c r="I6807" s="11"/>
    </row>
    <row r="6808" spans="1:9" ht="11.15" customHeight="1">
      <c r="A6808" s="162" t="s">
        <v>9331</v>
      </c>
      <c r="B6808" s="485" t="s">
        <v>9332</v>
      </c>
      <c r="C6808" s="147"/>
      <c r="D6808" s="122"/>
      <c r="E6808" s="36"/>
      <c r="F6808" s="178"/>
      <c r="G6808" s="453"/>
      <c r="H6808" s="628"/>
      <c r="I6808" s="11"/>
    </row>
    <row r="6809" spans="1:9" ht="11.15" customHeight="1">
      <c r="A6809" s="162" t="s">
        <v>9333</v>
      </c>
      <c r="B6809" s="485" t="s">
        <v>9334</v>
      </c>
      <c r="C6809" s="147"/>
      <c r="D6809" s="122"/>
      <c r="E6809" s="36"/>
      <c r="F6809" s="178"/>
      <c r="G6809" s="453"/>
      <c r="H6809" s="628"/>
      <c r="I6809" s="11"/>
    </row>
    <row r="6810" spans="1:9" ht="11.15" customHeight="1">
      <c r="A6810" s="162" t="s">
        <v>9335</v>
      </c>
      <c r="B6810" s="553" t="s">
        <v>9336</v>
      </c>
      <c r="C6810" s="147"/>
      <c r="D6810" s="122"/>
      <c r="E6810" s="36"/>
      <c r="F6810" s="178"/>
      <c r="G6810" s="453"/>
      <c r="H6810" s="628"/>
      <c r="I6810" s="11"/>
    </row>
    <row r="6811" spans="1:9" ht="11.15" customHeight="1">
      <c r="A6811" s="162" t="s">
        <v>9337</v>
      </c>
      <c r="B6811" s="558"/>
      <c r="C6811" s="147"/>
      <c r="D6811" s="122"/>
      <c r="E6811" s="36"/>
      <c r="F6811" s="178"/>
      <c r="G6811" s="453"/>
      <c r="H6811" s="628"/>
      <c r="I6811" s="11"/>
    </row>
    <row r="6812" spans="1:9" ht="11.15" customHeight="1" thickBot="1">
      <c r="A6812" s="129" t="s">
        <v>3659</v>
      </c>
      <c r="B6812" s="559" t="s">
        <v>8463</v>
      </c>
      <c r="C6812" s="203"/>
      <c r="D6812" s="118"/>
      <c r="E6812" s="374"/>
      <c r="F6812" s="568"/>
      <c r="G6812" s="1236"/>
      <c r="H6812" s="630"/>
      <c r="I6812" s="11"/>
    </row>
    <row r="6813" spans="1:9" ht="11.15" customHeight="1">
      <c r="A6813" s="162" t="s">
        <v>9338</v>
      </c>
      <c r="B6813" s="185"/>
      <c r="C6813" s="147"/>
      <c r="D6813" s="122"/>
      <c r="E6813" s="36"/>
      <c r="F6813" s="178"/>
      <c r="G6813" s="453"/>
      <c r="H6813" s="36"/>
      <c r="I6813" s="11"/>
    </row>
    <row r="6814" spans="1:9" ht="11.15" customHeight="1">
      <c r="A6814" s="162" t="s">
        <v>9339</v>
      </c>
      <c r="B6814" s="185"/>
      <c r="C6814" s="147"/>
      <c r="D6814" s="122"/>
      <c r="E6814" s="36"/>
      <c r="F6814" s="178"/>
      <c r="G6814" s="453"/>
      <c r="H6814" s="36"/>
      <c r="I6814" s="11"/>
    </row>
    <row r="6815" spans="1:9" ht="11.15" customHeight="1">
      <c r="A6815" s="162" t="s">
        <v>9340</v>
      </c>
      <c r="B6815" s="90"/>
      <c r="C6815" s="147"/>
      <c r="D6815" s="122"/>
      <c r="E6815" s="36"/>
      <c r="F6815" s="178"/>
      <c r="G6815" s="453"/>
      <c r="H6815" s="36"/>
      <c r="I6815" s="11"/>
    </row>
    <row r="6816" spans="1:9" ht="11.15" customHeight="1">
      <c r="A6816" s="162" t="s">
        <v>9341</v>
      </c>
      <c r="B6816" s="90"/>
      <c r="C6816" s="147"/>
      <c r="D6816" s="122"/>
      <c r="E6816" s="36"/>
      <c r="F6816" s="178"/>
      <c r="G6816" s="453"/>
      <c r="H6816" s="36"/>
      <c r="I6816" s="11"/>
    </row>
    <row r="6817" spans="1:12" ht="11.15" customHeight="1">
      <c r="A6817" s="162" t="s">
        <v>9342</v>
      </c>
      <c r="B6817" s="90"/>
      <c r="C6817" s="147"/>
      <c r="D6817" s="122"/>
      <c r="E6817" s="36"/>
      <c r="F6817" s="178"/>
      <c r="G6817" s="453"/>
      <c r="H6817" s="36"/>
      <c r="I6817" s="11"/>
    </row>
    <row r="6818" spans="1:12" ht="11.15" customHeight="1">
      <c r="A6818" s="29" t="s">
        <v>3475</v>
      </c>
      <c r="B6818" s="90"/>
      <c r="C6818" s="147"/>
      <c r="D6818" s="122"/>
      <c r="E6818" s="36"/>
      <c r="F6818" s="178"/>
      <c r="G6818" s="453"/>
      <c r="H6818" s="36"/>
      <c r="I6818" s="11"/>
    </row>
    <row r="6819" spans="1:12" ht="11.15" customHeight="1">
      <c r="A6819" s="169" t="s">
        <v>9239</v>
      </c>
      <c r="B6819" s="90"/>
      <c r="C6819" s="147"/>
      <c r="D6819" s="122"/>
      <c r="E6819" s="36"/>
      <c r="F6819" s="178"/>
      <c r="G6819" s="453"/>
      <c r="H6819" s="36"/>
      <c r="I6819" s="11"/>
    </row>
    <row r="6820" spans="1:12" ht="11.15" customHeight="1">
      <c r="A6820" s="129" t="s">
        <v>9241</v>
      </c>
      <c r="B6820" s="90"/>
      <c r="C6820" s="147"/>
      <c r="D6820" s="122"/>
      <c r="E6820" s="36"/>
      <c r="F6820" s="178"/>
      <c r="G6820" s="453"/>
      <c r="H6820" s="36"/>
      <c r="I6820" s="11"/>
    </row>
    <row r="6821" spans="1:12" ht="11.15" customHeight="1">
      <c r="A6821" s="129" t="s">
        <v>8957</v>
      </c>
      <c r="B6821" s="90"/>
      <c r="C6821" s="147"/>
      <c r="D6821" s="122"/>
      <c r="E6821" s="36"/>
      <c r="F6821" s="178"/>
      <c r="G6821" s="453"/>
      <c r="H6821" s="36"/>
      <c r="I6821" s="11"/>
    </row>
    <row r="6822" spans="1:12" ht="11.15" customHeight="1">
      <c r="A6822" s="481" t="s">
        <v>9343</v>
      </c>
      <c r="B6822" s="90"/>
      <c r="C6822" s="147"/>
      <c r="D6822" s="122"/>
      <c r="E6822" s="36"/>
      <c r="F6822" s="178"/>
      <c r="G6822" s="453"/>
      <c r="H6822" s="36"/>
      <c r="I6822" s="11"/>
    </row>
    <row r="6823" spans="1:12" ht="11.15" customHeight="1" thickBot="1">
      <c r="A6823" s="129"/>
      <c r="B6823" s="90"/>
      <c r="C6823" s="147"/>
      <c r="D6823" s="122"/>
      <c r="E6823" s="36"/>
      <c r="F6823" s="178"/>
      <c r="G6823" s="453"/>
      <c r="H6823" s="36"/>
      <c r="I6823" s="11"/>
    </row>
    <row r="6824" spans="1:12" ht="11.15" customHeight="1" thickBot="1">
      <c r="A6824" s="184" t="s">
        <v>9344</v>
      </c>
      <c r="B6824" s="59" t="s">
        <v>18779</v>
      </c>
      <c r="C6824" s="147" t="s">
        <v>20221</v>
      </c>
      <c r="D6824" s="284" t="s">
        <v>897</v>
      </c>
      <c r="E6824" s="178">
        <v>2018</v>
      </c>
      <c r="F6824" s="178" t="s">
        <v>4520</v>
      </c>
      <c r="G6824" s="496"/>
      <c r="H6824" s="994" t="s">
        <v>20221</v>
      </c>
      <c r="I6824" s="11" t="s">
        <v>9345</v>
      </c>
      <c r="J6824" s="1285"/>
      <c r="K6824" s="1285"/>
      <c r="L6824" s="1285"/>
    </row>
    <row r="6825" spans="1:12" ht="11.15" customHeight="1">
      <c r="A6825" s="29" t="s">
        <v>9346</v>
      </c>
      <c r="B6825" s="59" t="s">
        <v>18779</v>
      </c>
      <c r="C6825" s="147" t="s">
        <v>20221</v>
      </c>
      <c r="D6825" s="284" t="s">
        <v>897</v>
      </c>
      <c r="E6825" s="178">
        <v>2017</v>
      </c>
      <c r="F6825" s="178" t="s">
        <v>4520</v>
      </c>
      <c r="G6825" s="496"/>
      <c r="H6825" s="994" t="s">
        <v>20277</v>
      </c>
      <c r="I6825" s="11" t="s">
        <v>9347</v>
      </c>
      <c r="J6825" s="1285"/>
      <c r="K6825" s="1285"/>
      <c r="L6825" s="1285"/>
    </row>
    <row r="6826" spans="1:12" ht="11.15" customHeight="1">
      <c r="A6826" s="29" t="s">
        <v>9348</v>
      </c>
      <c r="B6826" s="59" t="s">
        <v>18779</v>
      </c>
      <c r="C6826" s="147" t="s">
        <v>20221</v>
      </c>
      <c r="D6826" s="284" t="s">
        <v>897</v>
      </c>
      <c r="E6826" s="178">
        <v>2016</v>
      </c>
      <c r="F6826" s="178" t="s">
        <v>9658</v>
      </c>
      <c r="G6826" s="496"/>
      <c r="H6826" s="994" t="s">
        <v>20221</v>
      </c>
      <c r="I6826" s="11" t="s">
        <v>9349</v>
      </c>
      <c r="J6826" s="1285"/>
      <c r="K6826" s="1285"/>
      <c r="L6826" s="1285"/>
    </row>
    <row r="6827" spans="1:12" ht="11.15" customHeight="1">
      <c r="A6827" s="29" t="s">
        <v>9350</v>
      </c>
      <c r="B6827" s="90"/>
      <c r="C6827" s="147"/>
      <c r="D6827" s="161"/>
      <c r="E6827" s="36"/>
      <c r="F6827" s="178"/>
      <c r="G6827" s="497"/>
      <c r="H6827" s="36"/>
      <c r="I6827" s="11"/>
    </row>
    <row r="6828" spans="1:12" ht="11.15" customHeight="1">
      <c r="A6828" s="335" t="s">
        <v>1022</v>
      </c>
      <c r="B6828" s="90"/>
      <c r="C6828" s="147"/>
      <c r="D6828" s="161"/>
      <c r="E6828" s="36"/>
      <c r="F6828" s="178"/>
      <c r="G6828" s="497"/>
      <c r="H6828" s="36"/>
      <c r="I6828" s="11"/>
    </row>
    <row r="6829" spans="1:12" ht="11.15" customHeight="1">
      <c r="A6829" s="481" t="s">
        <v>9351</v>
      </c>
      <c r="B6829" s="90"/>
      <c r="C6829" s="147"/>
      <c r="D6829" s="161"/>
      <c r="E6829" s="36"/>
      <c r="F6829" s="183"/>
      <c r="G6829" s="496"/>
      <c r="H6829" s="34"/>
      <c r="I6829" s="11"/>
    </row>
    <row r="6830" spans="1:12" ht="11.15" customHeight="1">
      <c r="A6830" s="185"/>
      <c r="B6830" s="413" t="s">
        <v>9352</v>
      </c>
      <c r="C6830" s="147"/>
      <c r="D6830" s="122"/>
      <c r="E6830" s="36"/>
      <c r="F6830" s="178"/>
      <c r="G6830" s="453"/>
      <c r="H6830" s="36"/>
      <c r="I6830" s="11"/>
    </row>
    <row r="6831" spans="1:12" ht="9" customHeight="1">
      <c r="A6831" s="185"/>
      <c r="B6831" s="150" t="s">
        <v>9353</v>
      </c>
      <c r="C6831" s="147"/>
      <c r="D6831" s="122"/>
      <c r="E6831" s="36"/>
      <c r="F6831" s="178"/>
      <c r="G6831" s="453"/>
      <c r="H6831" s="36"/>
      <c r="I6831" s="11"/>
    </row>
    <row r="6832" spans="1:12" ht="9" customHeight="1">
      <c r="A6832" s="185"/>
      <c r="B6832" s="150" t="s">
        <v>9354</v>
      </c>
      <c r="C6832" s="147"/>
      <c r="D6832" s="122"/>
      <c r="E6832" s="36"/>
      <c r="F6832" s="178"/>
      <c r="G6832" s="453"/>
      <c r="H6832" s="36"/>
      <c r="I6832" s="11"/>
    </row>
    <row r="6833" spans="1:12" ht="9" customHeight="1">
      <c r="A6833" s="185"/>
      <c r="B6833" s="150" t="s">
        <v>9355</v>
      </c>
      <c r="C6833" s="147"/>
      <c r="D6833" s="122"/>
      <c r="E6833" s="36"/>
      <c r="F6833" s="178"/>
      <c r="G6833" s="453"/>
      <c r="H6833" s="36"/>
      <c r="I6833" s="11"/>
    </row>
    <row r="6834" spans="1:12" ht="9" customHeight="1">
      <c r="A6834" s="185"/>
      <c r="B6834" s="150" t="s">
        <v>9356</v>
      </c>
      <c r="C6834" s="147"/>
      <c r="D6834" s="122"/>
      <c r="E6834" s="36"/>
      <c r="F6834" s="178"/>
      <c r="G6834" s="453"/>
      <c r="H6834" s="36"/>
      <c r="I6834" s="11"/>
    </row>
    <row r="6835" spans="1:12" ht="9" customHeight="1">
      <c r="A6835" s="185"/>
      <c r="B6835" s="150" t="s">
        <v>9357</v>
      </c>
      <c r="C6835" s="147"/>
      <c r="D6835" s="122"/>
      <c r="E6835" s="36"/>
      <c r="F6835" s="178"/>
      <c r="G6835" s="453"/>
      <c r="H6835" s="36"/>
      <c r="I6835" s="11"/>
    </row>
    <row r="6836" spans="1:12" ht="9" customHeight="1">
      <c r="A6836" s="29"/>
      <c r="B6836" s="150" t="s">
        <v>9358</v>
      </c>
      <c r="C6836" s="147"/>
      <c r="D6836" s="122"/>
      <c r="E6836" s="36"/>
      <c r="F6836" s="178"/>
      <c r="G6836" s="453"/>
      <c r="H6836" s="36"/>
      <c r="I6836" s="11"/>
    </row>
    <row r="6837" spans="1:12" ht="9" customHeight="1">
      <c r="A6837" s="29"/>
      <c r="B6837" s="150" t="s">
        <v>9359</v>
      </c>
      <c r="C6837" s="147"/>
      <c r="D6837" s="122"/>
      <c r="E6837" s="36"/>
      <c r="F6837" s="178"/>
      <c r="G6837" s="453"/>
      <c r="H6837" s="36"/>
      <c r="I6837" s="11"/>
    </row>
    <row r="6838" spans="1:12" ht="9" customHeight="1">
      <c r="A6838" s="29"/>
      <c r="B6838" s="150" t="s">
        <v>9360</v>
      </c>
      <c r="C6838" s="147"/>
      <c r="D6838" s="122"/>
      <c r="E6838" s="36"/>
      <c r="F6838" s="178"/>
      <c r="G6838" s="453"/>
      <c r="H6838" s="36"/>
      <c r="I6838" s="11"/>
    </row>
    <row r="6839" spans="1:12" ht="9" customHeight="1">
      <c r="A6839" s="29"/>
      <c r="B6839" s="150" t="s">
        <v>9361</v>
      </c>
      <c r="C6839" s="147"/>
      <c r="D6839" s="122"/>
      <c r="E6839" s="36"/>
      <c r="F6839" s="178"/>
      <c r="G6839" s="453"/>
      <c r="H6839" s="36"/>
      <c r="I6839" s="11"/>
    </row>
    <row r="6840" spans="1:12" ht="9" customHeight="1">
      <c r="A6840" s="29"/>
      <c r="B6840" s="150" t="s">
        <v>9362</v>
      </c>
      <c r="C6840" s="147"/>
      <c r="D6840" s="122"/>
      <c r="E6840" s="36"/>
      <c r="F6840" s="178"/>
      <c r="G6840" s="453"/>
      <c r="H6840" s="36"/>
      <c r="I6840" s="11"/>
    </row>
    <row r="6841" spans="1:12" ht="9" customHeight="1">
      <c r="A6841" s="29"/>
      <c r="B6841" s="150" t="s">
        <v>9363</v>
      </c>
      <c r="C6841" s="147"/>
      <c r="D6841" s="122"/>
      <c r="E6841" s="36"/>
      <c r="F6841" s="178"/>
      <c r="G6841" s="453"/>
      <c r="H6841" s="36"/>
      <c r="I6841" s="11"/>
    </row>
    <row r="6842" spans="1:12" ht="9" customHeight="1">
      <c r="A6842" s="29"/>
      <c r="B6842" s="150" t="s">
        <v>9364</v>
      </c>
      <c r="C6842" s="147"/>
      <c r="D6842" s="122"/>
      <c r="E6842" s="36"/>
      <c r="F6842" s="178"/>
      <c r="G6842" s="453"/>
      <c r="H6842" s="36"/>
      <c r="I6842" s="11"/>
    </row>
    <row r="6843" spans="1:12" ht="9" customHeight="1">
      <c r="A6843" s="29"/>
      <c r="B6843" s="150" t="s">
        <v>9365</v>
      </c>
      <c r="C6843" s="147"/>
      <c r="D6843" s="122"/>
      <c r="E6843" s="36"/>
      <c r="F6843" s="178"/>
      <c r="G6843" s="453"/>
      <c r="H6843" s="36"/>
      <c r="I6843" s="11"/>
    </row>
    <row r="6844" spans="1:12" ht="9" customHeight="1">
      <c r="A6844" s="29"/>
      <c r="B6844" s="150" t="s">
        <v>9366</v>
      </c>
      <c r="C6844" s="147"/>
      <c r="D6844" s="122"/>
      <c r="E6844" s="36"/>
      <c r="F6844" s="178"/>
      <c r="G6844" s="453"/>
      <c r="H6844" s="36"/>
      <c r="I6844" s="11"/>
    </row>
    <row r="6845" spans="1:12" ht="9" customHeight="1">
      <c r="A6845" s="29"/>
      <c r="B6845" s="150" t="s">
        <v>9367</v>
      </c>
      <c r="C6845" s="147"/>
      <c r="D6845" s="122"/>
      <c r="E6845" s="36"/>
      <c r="F6845" s="178"/>
      <c r="G6845" s="453"/>
      <c r="H6845" s="36"/>
      <c r="I6845" s="11"/>
    </row>
    <row r="6846" spans="1:12" ht="11.15" customHeight="1" thickBot="1">
      <c r="A6846" s="185"/>
      <c r="B6846" s="226" t="s">
        <v>9368</v>
      </c>
      <c r="C6846" s="147"/>
      <c r="D6846" s="122"/>
      <c r="E6846" s="36"/>
      <c r="F6846" s="183"/>
      <c r="G6846" s="60"/>
      <c r="H6846" s="34"/>
      <c r="I6846" s="11"/>
    </row>
    <row r="6847" spans="1:12" ht="11.15" customHeight="1">
      <c r="A6847" s="153" t="s">
        <v>9369</v>
      </c>
      <c r="B6847" s="154" t="s">
        <v>9370</v>
      </c>
      <c r="C6847" s="147"/>
      <c r="D6847" s="122"/>
      <c r="E6847" s="185"/>
      <c r="F6847" s="185"/>
      <c r="G6847" s="416"/>
      <c r="H6847" s="185"/>
      <c r="I6847" s="11"/>
    </row>
    <row r="6848" spans="1:12" ht="11.15" customHeight="1">
      <c r="A6848" s="493" t="s">
        <v>9371</v>
      </c>
      <c r="B6848" s="59" t="s">
        <v>21477</v>
      </c>
      <c r="C6848" s="147" t="s">
        <v>20221</v>
      </c>
      <c r="D6848" s="701" t="s">
        <v>1129</v>
      </c>
      <c r="E6848" s="178">
        <v>2022</v>
      </c>
      <c r="F6848" s="178" t="s">
        <v>4520</v>
      </c>
      <c r="G6848" s="496"/>
      <c r="H6848" s="994" t="s">
        <v>20221</v>
      </c>
      <c r="I6848" s="11" t="s">
        <v>9372</v>
      </c>
      <c r="J6848" s="1285"/>
      <c r="K6848" s="1285"/>
      <c r="L6848" s="1285"/>
    </row>
    <row r="6849" spans="1:12" ht="11.15" customHeight="1" thickBot="1">
      <c r="A6849" s="155" t="s">
        <v>9373</v>
      </c>
      <c r="B6849" s="59" t="s">
        <v>21477</v>
      </c>
      <c r="C6849" s="147" t="s">
        <v>20221</v>
      </c>
      <c r="D6849" s="701" t="s">
        <v>1129</v>
      </c>
      <c r="E6849" s="178">
        <v>2021</v>
      </c>
      <c r="F6849" s="178" t="s">
        <v>4520</v>
      </c>
      <c r="G6849" s="496"/>
      <c r="H6849" s="994" t="s">
        <v>20221</v>
      </c>
      <c r="I6849" s="11" t="s">
        <v>9374</v>
      </c>
      <c r="J6849" s="1285"/>
      <c r="K6849" s="1285"/>
      <c r="L6849" s="1285"/>
    </row>
    <row r="6850" spans="1:12" ht="11.15" customHeight="1">
      <c r="A6850" s="29" t="s">
        <v>9375</v>
      </c>
      <c r="B6850" s="59" t="s">
        <v>21477</v>
      </c>
      <c r="C6850" s="147" t="s">
        <v>20221</v>
      </c>
      <c r="D6850" s="701" t="s">
        <v>1129</v>
      </c>
      <c r="E6850" s="178">
        <v>2020</v>
      </c>
      <c r="F6850" s="178" t="s">
        <v>4520</v>
      </c>
      <c r="G6850" s="496"/>
      <c r="H6850" s="994" t="s">
        <v>20221</v>
      </c>
      <c r="I6850" s="11" t="s">
        <v>9376</v>
      </c>
      <c r="J6850" s="1285"/>
      <c r="K6850" s="1285"/>
      <c r="L6850" s="1285"/>
    </row>
    <row r="6851" spans="1:12" ht="11.15" customHeight="1">
      <c r="A6851" s="129" t="s">
        <v>2047</v>
      </c>
      <c r="B6851" s="59" t="s">
        <v>21477</v>
      </c>
      <c r="C6851" s="147" t="s">
        <v>20221</v>
      </c>
      <c r="D6851" s="701" t="s">
        <v>1129</v>
      </c>
      <c r="E6851" s="178">
        <v>2019</v>
      </c>
      <c r="F6851" s="178" t="s">
        <v>23395</v>
      </c>
      <c r="G6851" s="496"/>
      <c r="H6851" s="994" t="s">
        <v>20221</v>
      </c>
      <c r="I6851" s="11" t="s">
        <v>9377</v>
      </c>
      <c r="J6851" s="1285"/>
      <c r="K6851" s="1285"/>
      <c r="L6851" s="1285"/>
    </row>
    <row r="6852" spans="1:12" ht="11.15" customHeight="1">
      <c r="A6852" s="162" t="s">
        <v>9378</v>
      </c>
      <c r="B6852" s="59" t="s">
        <v>21477</v>
      </c>
      <c r="C6852" s="147" t="s">
        <v>20221</v>
      </c>
      <c r="D6852" s="701" t="s">
        <v>1129</v>
      </c>
      <c r="E6852" s="178">
        <v>2018</v>
      </c>
      <c r="F6852" s="178" t="s">
        <v>4520</v>
      </c>
      <c r="G6852" s="496"/>
      <c r="H6852" s="994" t="s">
        <v>20221</v>
      </c>
      <c r="I6852" s="11" t="s">
        <v>9379</v>
      </c>
      <c r="J6852" s="1285"/>
      <c r="K6852" s="1285"/>
      <c r="L6852" s="1285"/>
    </row>
    <row r="6853" spans="1:12" ht="11.15" customHeight="1">
      <c r="A6853" s="162" t="s">
        <v>9380</v>
      </c>
      <c r="B6853" s="154" t="s">
        <v>9381</v>
      </c>
      <c r="C6853" s="147"/>
      <c r="D6853" s="159"/>
      <c r="E6853" s="36"/>
      <c r="F6853" s="178"/>
      <c r="G6853" s="496"/>
      <c r="H6853" s="36"/>
      <c r="I6853" s="11"/>
    </row>
    <row r="6854" spans="1:12" ht="11.15" customHeight="1">
      <c r="A6854" s="162" t="s">
        <v>9382</v>
      </c>
      <c r="B6854" s="59" t="s">
        <v>21478</v>
      </c>
      <c r="C6854" s="147" t="s">
        <v>20221</v>
      </c>
      <c r="D6854" s="701" t="s">
        <v>1129</v>
      </c>
      <c r="E6854" s="178">
        <v>2023</v>
      </c>
      <c r="F6854" s="178" t="s">
        <v>4520</v>
      </c>
      <c r="G6854" s="496"/>
      <c r="H6854" s="994" t="s">
        <v>20221</v>
      </c>
      <c r="I6854" s="11" t="s">
        <v>9383</v>
      </c>
      <c r="J6854" s="1285"/>
      <c r="K6854" s="1285"/>
      <c r="L6854" s="1285"/>
    </row>
    <row r="6855" spans="1:12" ht="11.15" customHeight="1">
      <c r="A6855" s="162" t="s">
        <v>9384</v>
      </c>
      <c r="B6855" s="59" t="s">
        <v>21478</v>
      </c>
      <c r="C6855" s="147" t="s">
        <v>20221</v>
      </c>
      <c r="D6855" s="701" t="s">
        <v>1129</v>
      </c>
      <c r="E6855" s="178">
        <v>2022</v>
      </c>
      <c r="F6855" s="178" t="s">
        <v>4520</v>
      </c>
      <c r="G6855" s="496"/>
      <c r="H6855" s="994" t="s">
        <v>20221</v>
      </c>
      <c r="I6855" s="11" t="s">
        <v>9385</v>
      </c>
      <c r="J6855" s="1285"/>
      <c r="K6855" s="1285"/>
      <c r="L6855" s="1285"/>
    </row>
    <row r="6856" spans="1:12" ht="11.15" customHeight="1">
      <c r="A6856" s="29" t="s">
        <v>9386</v>
      </c>
      <c r="B6856" s="59" t="s">
        <v>21478</v>
      </c>
      <c r="C6856" s="147" t="s">
        <v>20221</v>
      </c>
      <c r="D6856" s="701" t="s">
        <v>1129</v>
      </c>
      <c r="E6856" s="178">
        <v>2021</v>
      </c>
      <c r="F6856" s="178" t="s">
        <v>4520</v>
      </c>
      <c r="G6856" s="496"/>
      <c r="H6856" s="994" t="s">
        <v>20221</v>
      </c>
      <c r="I6856" s="11" t="s">
        <v>9387</v>
      </c>
      <c r="J6856" s="1285"/>
      <c r="K6856" s="1285"/>
      <c r="L6856" s="1285"/>
    </row>
    <row r="6857" spans="1:12" ht="11.15" customHeight="1">
      <c r="A6857" s="181" t="s">
        <v>2316</v>
      </c>
      <c r="B6857" s="59" t="s">
        <v>21478</v>
      </c>
      <c r="C6857" s="147" t="s">
        <v>20221</v>
      </c>
      <c r="D6857" s="701" t="s">
        <v>1129</v>
      </c>
      <c r="E6857" s="178">
        <v>2020</v>
      </c>
      <c r="F6857" s="178" t="s">
        <v>4520</v>
      </c>
      <c r="G6857" s="496"/>
      <c r="H6857" s="994" t="s">
        <v>20221</v>
      </c>
      <c r="I6857" s="11" t="s">
        <v>9388</v>
      </c>
      <c r="J6857" s="1285"/>
      <c r="K6857" s="1285"/>
      <c r="L6857" s="1285"/>
    </row>
    <row r="6858" spans="1:12" ht="11.15" customHeight="1">
      <c r="A6858" s="181" t="s">
        <v>9389</v>
      </c>
      <c r="B6858" s="59" t="s">
        <v>21478</v>
      </c>
      <c r="C6858" s="147" t="s">
        <v>20221</v>
      </c>
      <c r="D6858" s="701" t="s">
        <v>1129</v>
      </c>
      <c r="E6858" s="178">
        <v>2018</v>
      </c>
      <c r="F6858" s="178" t="s">
        <v>4520</v>
      </c>
      <c r="G6858" s="496"/>
      <c r="H6858" s="994" t="s">
        <v>20221</v>
      </c>
      <c r="I6858" s="11" t="s">
        <v>9390</v>
      </c>
      <c r="J6858" s="1285"/>
      <c r="K6858" s="1285"/>
      <c r="L6858" s="1285"/>
    </row>
    <row r="6859" spans="1:12" ht="11.15" customHeight="1">
      <c r="A6859" s="29" t="s">
        <v>9391</v>
      </c>
      <c r="B6859" s="59" t="s">
        <v>21478</v>
      </c>
      <c r="C6859" s="147" t="s">
        <v>20221</v>
      </c>
      <c r="D6859" s="701" t="s">
        <v>1129</v>
      </c>
      <c r="E6859" s="178">
        <v>2016</v>
      </c>
      <c r="F6859" s="178" t="s">
        <v>4520</v>
      </c>
      <c r="G6859" s="496"/>
      <c r="H6859" s="994" t="s">
        <v>20221</v>
      </c>
      <c r="I6859" s="11" t="s">
        <v>9392</v>
      </c>
      <c r="J6859" s="1285"/>
      <c r="K6859" s="1285"/>
      <c r="L6859" s="1285"/>
    </row>
    <row r="6860" spans="1:12" ht="11.15" customHeight="1">
      <c r="A6860" s="29" t="s">
        <v>9393</v>
      </c>
      <c r="B6860" s="59" t="s">
        <v>21478</v>
      </c>
      <c r="C6860" s="147" t="s">
        <v>20221</v>
      </c>
      <c r="D6860" s="701" t="s">
        <v>1129</v>
      </c>
      <c r="E6860" s="178">
        <v>2015</v>
      </c>
      <c r="F6860" s="178" t="s">
        <v>23395</v>
      </c>
      <c r="G6860" s="496"/>
      <c r="H6860" s="994" t="s">
        <v>20221</v>
      </c>
      <c r="I6860" s="11" t="s">
        <v>9394</v>
      </c>
      <c r="J6860" s="1285"/>
      <c r="K6860" s="1285"/>
      <c r="L6860" s="1285"/>
    </row>
    <row r="6861" spans="1:12" ht="11.15" customHeight="1" thickBot="1">
      <c r="A6861" s="181" t="s">
        <v>9395</v>
      </c>
      <c r="B6861" s="154" t="s">
        <v>9396</v>
      </c>
      <c r="C6861" s="147"/>
      <c r="D6861" s="159"/>
      <c r="E6861" s="36"/>
      <c r="F6861" s="178"/>
      <c r="G6861" s="496"/>
      <c r="H6861" s="36"/>
      <c r="I6861" s="11"/>
    </row>
    <row r="6862" spans="1:12" ht="11.15" customHeight="1">
      <c r="A6862" s="503" t="s">
        <v>9397</v>
      </c>
      <c r="B6862" s="59" t="s">
        <v>21479</v>
      </c>
      <c r="C6862" s="147" t="s">
        <v>20221</v>
      </c>
      <c r="D6862" s="701" t="s">
        <v>1129</v>
      </c>
      <c r="E6862" s="178">
        <v>2023</v>
      </c>
      <c r="F6862" s="178" t="s">
        <v>4520</v>
      </c>
      <c r="G6862" s="496"/>
      <c r="H6862" s="994" t="s">
        <v>20221</v>
      </c>
      <c r="I6862" s="11" t="s">
        <v>9398</v>
      </c>
      <c r="J6862" s="1285"/>
      <c r="K6862" s="1285"/>
      <c r="L6862" s="1285"/>
    </row>
    <row r="6863" spans="1:12" ht="11.15" customHeight="1" thickBot="1">
      <c r="A6863" s="560" t="s">
        <v>9399</v>
      </c>
      <c r="B6863" s="59" t="s">
        <v>21479</v>
      </c>
      <c r="C6863" s="147" t="s">
        <v>20221</v>
      </c>
      <c r="D6863" s="701" t="s">
        <v>1129</v>
      </c>
      <c r="E6863" s="178">
        <v>2022</v>
      </c>
      <c r="F6863" s="178" t="s">
        <v>4520</v>
      </c>
      <c r="G6863" s="496"/>
      <c r="H6863" s="994" t="s">
        <v>20221</v>
      </c>
      <c r="I6863" s="11" t="s">
        <v>9400</v>
      </c>
      <c r="J6863" s="1285"/>
      <c r="K6863" s="1285"/>
      <c r="L6863" s="1285"/>
    </row>
    <row r="6864" spans="1:12" ht="11.15" customHeight="1">
      <c r="A6864" s="129" t="s">
        <v>9401</v>
      </c>
      <c r="B6864" s="59" t="s">
        <v>21479</v>
      </c>
      <c r="C6864" s="147" t="s">
        <v>20221</v>
      </c>
      <c r="D6864" s="701" t="s">
        <v>1129</v>
      </c>
      <c r="E6864" s="178">
        <v>2021</v>
      </c>
      <c r="F6864" s="178" t="s">
        <v>4520</v>
      </c>
      <c r="G6864" s="496"/>
      <c r="H6864" s="994" t="s">
        <v>20221</v>
      </c>
      <c r="I6864" s="11" t="s">
        <v>9402</v>
      </c>
      <c r="J6864" s="1285"/>
      <c r="K6864" s="1285"/>
      <c r="L6864" s="1285"/>
    </row>
    <row r="6865" spans="1:12" ht="11.15" customHeight="1">
      <c r="A6865" s="162" t="s">
        <v>9403</v>
      </c>
      <c r="B6865" s="59" t="s">
        <v>21480</v>
      </c>
      <c r="C6865" s="147" t="s">
        <v>20221</v>
      </c>
      <c r="D6865" s="701" t="s">
        <v>1129</v>
      </c>
      <c r="E6865" s="178">
        <v>2020</v>
      </c>
      <c r="F6865" s="178" t="s">
        <v>4520</v>
      </c>
      <c r="G6865" s="496"/>
      <c r="H6865" s="994" t="s">
        <v>20221</v>
      </c>
      <c r="I6865" s="11" t="s">
        <v>9404</v>
      </c>
      <c r="J6865" s="1285"/>
      <c r="K6865" s="1285"/>
      <c r="L6865" s="1285"/>
    </row>
    <row r="6866" spans="1:12" ht="11.15" customHeight="1">
      <c r="A6866" s="162" t="s">
        <v>9405</v>
      </c>
      <c r="B6866" s="59" t="s">
        <v>21479</v>
      </c>
      <c r="C6866" s="147" t="s">
        <v>20221</v>
      </c>
      <c r="D6866" s="701" t="s">
        <v>1129</v>
      </c>
      <c r="E6866" s="178">
        <v>2019</v>
      </c>
      <c r="F6866" s="178" t="s">
        <v>23395</v>
      </c>
      <c r="G6866" s="496"/>
      <c r="H6866" s="994" t="s">
        <v>20221</v>
      </c>
      <c r="I6866" s="11" t="s">
        <v>9406</v>
      </c>
      <c r="J6866" s="1285"/>
      <c r="K6866" s="1285"/>
      <c r="L6866" s="1285"/>
    </row>
    <row r="6867" spans="1:12" ht="11.15" customHeight="1">
      <c r="A6867" s="162" t="s">
        <v>9407</v>
      </c>
      <c r="B6867" s="154" t="s">
        <v>9408</v>
      </c>
      <c r="C6867" s="147"/>
      <c r="D6867" s="122"/>
      <c r="E6867" s="185"/>
      <c r="F6867" s="185"/>
      <c r="G6867" s="416"/>
      <c r="H6867" s="185"/>
      <c r="I6867" s="11"/>
    </row>
    <row r="6868" spans="1:12" ht="11.15" customHeight="1">
      <c r="A6868" s="162" t="s">
        <v>9409</v>
      </c>
      <c r="B6868" s="59" t="s">
        <v>21481</v>
      </c>
      <c r="C6868" s="147" t="s">
        <v>20221</v>
      </c>
      <c r="D6868" s="701" t="s">
        <v>1129</v>
      </c>
      <c r="E6868" s="178">
        <v>2023</v>
      </c>
      <c r="F6868" s="178" t="s">
        <v>4520</v>
      </c>
      <c r="G6868" s="496"/>
      <c r="H6868" s="994" t="s">
        <v>20221</v>
      </c>
      <c r="I6868" s="11" t="s">
        <v>9410</v>
      </c>
      <c r="J6868" s="1285"/>
      <c r="K6868" s="1285"/>
      <c r="L6868" s="1285"/>
    </row>
    <row r="6869" spans="1:12" ht="11.15" customHeight="1">
      <c r="A6869" s="162" t="s">
        <v>9411</v>
      </c>
      <c r="B6869" s="154" t="s">
        <v>9279</v>
      </c>
      <c r="C6869" s="147"/>
      <c r="D6869" s="122"/>
      <c r="E6869" s="185"/>
      <c r="F6869" s="185"/>
      <c r="G6869" s="416"/>
      <c r="H6869" s="185"/>
      <c r="I6869" s="11"/>
    </row>
    <row r="6870" spans="1:12" ht="11.15" customHeight="1">
      <c r="A6870" s="162" t="s">
        <v>9412</v>
      </c>
      <c r="B6870" s="59" t="s">
        <v>21472</v>
      </c>
      <c r="C6870" s="147" t="s">
        <v>20221</v>
      </c>
      <c r="D6870" s="701" t="s">
        <v>1129</v>
      </c>
      <c r="E6870" s="178">
        <v>2023</v>
      </c>
      <c r="F6870" s="178" t="s">
        <v>4520</v>
      </c>
      <c r="G6870" s="496"/>
      <c r="H6870" s="994" t="s">
        <v>20343</v>
      </c>
      <c r="I6870" s="11" t="s">
        <v>9413</v>
      </c>
      <c r="J6870" s="1285"/>
      <c r="K6870" s="1285"/>
      <c r="L6870" s="1285"/>
    </row>
    <row r="6871" spans="1:12" ht="11.15" customHeight="1">
      <c r="A6871" s="162" t="s">
        <v>9414</v>
      </c>
      <c r="B6871" s="59" t="s">
        <v>21472</v>
      </c>
      <c r="C6871" s="147" t="s">
        <v>20221</v>
      </c>
      <c r="D6871" s="701" t="s">
        <v>1129</v>
      </c>
      <c r="E6871" s="178">
        <v>2022</v>
      </c>
      <c r="F6871" s="178" t="s">
        <v>4520</v>
      </c>
      <c r="G6871" s="496"/>
      <c r="H6871" s="994" t="s">
        <v>20221</v>
      </c>
      <c r="I6871" s="11" t="s">
        <v>9415</v>
      </c>
      <c r="J6871" s="1285"/>
      <c r="K6871" s="1285"/>
      <c r="L6871" s="1285"/>
    </row>
    <row r="6872" spans="1:12" ht="11.15" customHeight="1">
      <c r="A6872" s="162" t="s">
        <v>9416</v>
      </c>
      <c r="B6872" s="59" t="s">
        <v>21472</v>
      </c>
      <c r="C6872" s="147" t="s">
        <v>20221</v>
      </c>
      <c r="D6872" s="701" t="s">
        <v>1129</v>
      </c>
      <c r="E6872" s="178">
        <v>2021</v>
      </c>
      <c r="F6872" s="178" t="s">
        <v>4520</v>
      </c>
      <c r="G6872" s="496"/>
      <c r="H6872" s="994" t="s">
        <v>20221</v>
      </c>
      <c r="I6872" s="11" t="s">
        <v>9417</v>
      </c>
      <c r="J6872" s="1285"/>
      <c r="K6872" s="1285"/>
      <c r="L6872" s="1285"/>
    </row>
    <row r="6873" spans="1:12" ht="11.15" customHeight="1">
      <c r="A6873" s="162" t="s">
        <v>9418</v>
      </c>
      <c r="B6873" s="154" t="s">
        <v>9419</v>
      </c>
      <c r="C6873" s="147"/>
      <c r="D6873" s="122"/>
      <c r="E6873" s="185"/>
      <c r="F6873" s="185"/>
      <c r="G6873" s="416"/>
      <c r="H6873" s="185"/>
      <c r="I6873" s="11"/>
    </row>
    <row r="6874" spans="1:12" ht="11.15" customHeight="1">
      <c r="A6874" s="291" t="s">
        <v>9420</v>
      </c>
      <c r="B6874" s="59" t="s">
        <v>21482</v>
      </c>
      <c r="C6874" s="147" t="s">
        <v>20221</v>
      </c>
      <c r="D6874" s="701" t="s">
        <v>1129</v>
      </c>
      <c r="E6874" s="178">
        <v>2020</v>
      </c>
      <c r="F6874" s="178" t="s">
        <v>5257</v>
      </c>
      <c r="G6874" s="496"/>
      <c r="H6874" s="994" t="s">
        <v>20221</v>
      </c>
      <c r="I6874" s="11" t="s">
        <v>9421</v>
      </c>
      <c r="J6874" s="1285"/>
      <c r="K6874" s="1285"/>
      <c r="L6874" s="1285"/>
    </row>
    <row r="6875" spans="1:12" ht="11.15" customHeight="1">
      <c r="A6875" s="291" t="s">
        <v>9422</v>
      </c>
      <c r="B6875" s="59" t="s">
        <v>21483</v>
      </c>
      <c r="C6875" s="147" t="s">
        <v>23393</v>
      </c>
      <c r="D6875" s="701" t="s">
        <v>1129</v>
      </c>
      <c r="E6875" s="178">
        <v>2018</v>
      </c>
      <c r="F6875" s="178" t="s">
        <v>5257</v>
      </c>
      <c r="G6875" s="496"/>
      <c r="H6875" s="994" t="s">
        <v>20277</v>
      </c>
      <c r="I6875" s="11" t="s">
        <v>9423</v>
      </c>
      <c r="J6875" s="1285"/>
      <c r="K6875" s="1285"/>
      <c r="L6875" s="1285"/>
    </row>
    <row r="6876" spans="1:12" ht="11.15" customHeight="1">
      <c r="A6876" s="291" t="s">
        <v>9424</v>
      </c>
      <c r="B6876" s="59" t="s">
        <v>21484</v>
      </c>
      <c r="C6876" s="147" t="s">
        <v>20221</v>
      </c>
      <c r="D6876" s="701" t="s">
        <v>1129</v>
      </c>
      <c r="E6876" s="178">
        <v>2019</v>
      </c>
      <c r="F6876" s="178" t="s">
        <v>5257</v>
      </c>
      <c r="G6876" s="496"/>
      <c r="H6876" s="994" t="s">
        <v>20277</v>
      </c>
      <c r="I6876" s="11" t="s">
        <v>9425</v>
      </c>
      <c r="J6876" s="1285"/>
      <c r="K6876" s="1285"/>
      <c r="L6876" s="1285"/>
    </row>
    <row r="6877" spans="1:12" ht="11.15" customHeight="1" thickBot="1">
      <c r="A6877" s="291" t="s">
        <v>9426</v>
      </c>
      <c r="B6877" s="185"/>
      <c r="C6877" s="203"/>
      <c r="D6877" s="185"/>
      <c r="E6877" s="185"/>
      <c r="F6877" s="185"/>
      <c r="G6877" s="185"/>
      <c r="H6877" s="185"/>
      <c r="I6877" s="11"/>
    </row>
    <row r="6878" spans="1:12" ht="11.15" customHeight="1" thickBot="1">
      <c r="A6878" s="162" t="s">
        <v>9427</v>
      </c>
      <c r="B6878" s="570" t="s">
        <v>21485</v>
      </c>
      <c r="C6878" s="147" t="s">
        <v>20221</v>
      </c>
      <c r="D6878" s="561"/>
      <c r="E6878" s="1047" t="s">
        <v>21486</v>
      </c>
      <c r="F6878" s="1047" t="s">
        <v>23394</v>
      </c>
      <c r="G6878" s="1237"/>
      <c r="H6878" s="1315" t="s">
        <v>20224</v>
      </c>
      <c r="I6878" s="11" t="s">
        <v>9428</v>
      </c>
      <c r="J6878" s="1285"/>
      <c r="K6878" s="1285"/>
      <c r="L6878" s="1285"/>
    </row>
    <row r="6879" spans="1:12" ht="11.15" customHeight="1">
      <c r="A6879" s="129" t="s">
        <v>9429</v>
      </c>
      <c r="B6879" s="562" t="s">
        <v>9430</v>
      </c>
      <c r="C6879" s="191"/>
      <c r="D6879" s="1316" t="s">
        <v>1129</v>
      </c>
      <c r="E6879" s="563"/>
      <c r="F6879" s="563" t="s">
        <v>9431</v>
      </c>
      <c r="G6879" s="563"/>
      <c r="H6879" s="564"/>
      <c r="I6879" s="11"/>
    </row>
    <row r="6880" spans="1:12" ht="11.15" customHeight="1">
      <c r="A6880" s="162" t="s">
        <v>9432</v>
      </c>
      <c r="B6880" s="795" t="s">
        <v>9433</v>
      </c>
      <c r="C6880" s="147"/>
      <c r="D6880" s="284" t="s">
        <v>897</v>
      </c>
      <c r="E6880" s="178"/>
      <c r="F6880" s="178" t="s">
        <v>9434</v>
      </c>
      <c r="G6880" s="178"/>
      <c r="H6880" s="566"/>
      <c r="I6880" s="11"/>
    </row>
    <row r="6881" spans="1:12" ht="11.15" customHeight="1" thickBot="1">
      <c r="A6881" s="162" t="s">
        <v>9435</v>
      </c>
      <c r="B6881" s="567" t="s">
        <v>9436</v>
      </c>
      <c r="C6881" s="203"/>
      <c r="D6881" s="1313" t="s">
        <v>897</v>
      </c>
      <c r="E6881" s="568"/>
      <c r="F6881" s="568" t="s">
        <v>9437</v>
      </c>
      <c r="G6881" s="568"/>
      <c r="H6881" s="569"/>
      <c r="I6881" s="11"/>
    </row>
    <row r="6882" spans="1:12" ht="11.15" customHeight="1" thickBot="1">
      <c r="A6882" s="162" t="s">
        <v>1762</v>
      </c>
      <c r="B6882" s="29"/>
      <c r="C6882" s="147"/>
      <c r="D6882" s="185"/>
      <c r="E6882" s="185"/>
      <c r="F6882" s="185"/>
      <c r="G6882" s="185"/>
      <c r="H6882" s="185" t="s">
        <v>20221</v>
      </c>
      <c r="I6882" s="11"/>
    </row>
    <row r="6883" spans="1:12" ht="11.15" customHeight="1">
      <c r="A6883" s="162" t="s">
        <v>3845</v>
      </c>
      <c r="B6883" s="365" t="s">
        <v>9438</v>
      </c>
      <c r="C6883" s="191"/>
      <c r="D6883" s="500"/>
      <c r="E6883" s="31"/>
      <c r="F6883" s="563"/>
      <c r="G6883" s="1201"/>
      <c r="H6883" s="1121" t="s">
        <v>20221</v>
      </c>
      <c r="I6883" s="11"/>
    </row>
    <row r="6884" spans="1:12" ht="11.15" customHeight="1">
      <c r="A6884" s="486" t="s">
        <v>9439</v>
      </c>
      <c r="B6884" s="59" t="s">
        <v>21507</v>
      </c>
      <c r="C6884" s="147" t="s">
        <v>20221</v>
      </c>
      <c r="D6884" s="284" t="s">
        <v>897</v>
      </c>
      <c r="E6884" s="178">
        <v>2014</v>
      </c>
      <c r="F6884" s="178" t="s">
        <v>11931</v>
      </c>
      <c r="G6884" s="496"/>
      <c r="H6884" s="628" t="s">
        <v>20221</v>
      </c>
      <c r="I6884" s="11" t="s">
        <v>9440</v>
      </c>
      <c r="J6884" s="1285"/>
      <c r="K6884" s="1285"/>
      <c r="L6884" s="1285"/>
    </row>
    <row r="6885" spans="1:12" ht="11.15" customHeight="1">
      <c r="A6885" s="486" t="s">
        <v>9441</v>
      </c>
      <c r="B6885" s="59" t="s">
        <v>21494</v>
      </c>
      <c r="C6885" s="147" t="s">
        <v>20221</v>
      </c>
      <c r="D6885" s="284" t="s">
        <v>897</v>
      </c>
      <c r="E6885" s="178">
        <v>2013</v>
      </c>
      <c r="F6885" s="178" t="s">
        <v>23395</v>
      </c>
      <c r="G6885" s="496"/>
      <c r="H6885" s="628" t="s">
        <v>20224</v>
      </c>
      <c r="I6885" s="11" t="s">
        <v>9442</v>
      </c>
      <c r="J6885" s="1285"/>
      <c r="K6885" s="1285"/>
      <c r="L6885" s="1285"/>
    </row>
    <row r="6886" spans="1:12" ht="11.15" customHeight="1">
      <c r="A6886" s="1165" t="s">
        <v>9443</v>
      </c>
      <c r="B6886" s="59" t="s">
        <v>21497</v>
      </c>
      <c r="C6886" s="147" t="s">
        <v>20221</v>
      </c>
      <c r="D6886" s="284" t="s">
        <v>897</v>
      </c>
      <c r="E6886" s="178">
        <v>2015</v>
      </c>
      <c r="F6886" s="178" t="s">
        <v>4520</v>
      </c>
      <c r="G6886" s="496"/>
      <c r="H6886" s="628" t="s">
        <v>20221</v>
      </c>
      <c r="I6886" s="11" t="s">
        <v>9444</v>
      </c>
      <c r="J6886" s="1285"/>
      <c r="K6886" s="1285"/>
      <c r="L6886" s="1285"/>
    </row>
    <row r="6887" spans="1:12" ht="11.15" customHeight="1">
      <c r="A6887" s="486" t="s">
        <v>9445</v>
      </c>
      <c r="B6887" s="59" t="s">
        <v>21499</v>
      </c>
      <c r="C6887" s="147" t="s">
        <v>20221</v>
      </c>
      <c r="D6887" s="284" t="s">
        <v>897</v>
      </c>
      <c r="E6887" s="178">
        <v>2015</v>
      </c>
      <c r="F6887" s="178" t="s">
        <v>4520</v>
      </c>
      <c r="G6887" s="496"/>
      <c r="H6887" s="628" t="s">
        <v>20221</v>
      </c>
      <c r="I6887" s="11" t="s">
        <v>9446</v>
      </c>
      <c r="J6887" s="1285"/>
      <c r="K6887" s="1285"/>
      <c r="L6887" s="1285"/>
    </row>
    <row r="6888" spans="1:12" ht="11.15" customHeight="1" thickBot="1">
      <c r="A6888" s="486" t="s">
        <v>9447</v>
      </c>
      <c r="B6888" s="567" t="s">
        <v>21504</v>
      </c>
      <c r="C6888" s="203" t="s">
        <v>20221</v>
      </c>
      <c r="D6888" s="1313" t="s">
        <v>897</v>
      </c>
      <c r="E6888" s="568">
        <v>2008</v>
      </c>
      <c r="F6888" s="568" t="s">
        <v>23395</v>
      </c>
      <c r="G6888" s="1229"/>
      <c r="H6888" s="630" t="s">
        <v>20224</v>
      </c>
      <c r="I6888" s="11" t="s">
        <v>9448</v>
      </c>
      <c r="J6888" s="1285"/>
      <c r="K6888" s="1285"/>
      <c r="L6888" s="1285"/>
    </row>
    <row r="6889" spans="1:12" ht="11.15" customHeight="1">
      <c r="A6889" s="162" t="s">
        <v>9449</v>
      </c>
      <c r="B6889" s="185"/>
      <c r="C6889" s="147"/>
      <c r="D6889" s="185"/>
      <c r="E6889" s="185"/>
      <c r="F6889" s="185"/>
      <c r="G6889" s="185"/>
      <c r="H6889" s="185"/>
      <c r="I6889" s="11"/>
    </row>
    <row r="6890" spans="1:12" ht="11.15" customHeight="1">
      <c r="A6890" s="162" t="s">
        <v>9450</v>
      </c>
      <c r="B6890" s="154" t="s">
        <v>9451</v>
      </c>
      <c r="C6890" s="147"/>
      <c r="D6890" s="122"/>
      <c r="E6890" s="178"/>
      <c r="F6890" s="178"/>
      <c r="G6890" s="60"/>
      <c r="H6890" s="178"/>
      <c r="I6890" s="11"/>
    </row>
    <row r="6891" spans="1:12" ht="11.15" customHeight="1">
      <c r="A6891" s="162" t="s">
        <v>9452</v>
      </c>
      <c r="B6891" s="59" t="s">
        <v>21487</v>
      </c>
      <c r="C6891" s="147" t="s">
        <v>23393</v>
      </c>
      <c r="D6891" s="284" t="s">
        <v>897</v>
      </c>
      <c r="E6891" s="178">
        <v>2023</v>
      </c>
      <c r="F6891" s="178" t="s">
        <v>4520</v>
      </c>
      <c r="G6891" s="496"/>
      <c r="H6891" s="994" t="s">
        <v>20343</v>
      </c>
      <c r="I6891" s="11" t="s">
        <v>9453</v>
      </c>
      <c r="J6891" s="1285"/>
      <c r="K6891" s="1285"/>
      <c r="L6891" s="1285"/>
    </row>
    <row r="6892" spans="1:12" ht="11.15" customHeight="1">
      <c r="A6892" s="162" t="s">
        <v>9454</v>
      </c>
      <c r="B6892" s="59" t="s">
        <v>21488</v>
      </c>
      <c r="C6892" s="147" t="s">
        <v>23393</v>
      </c>
      <c r="D6892" s="284" t="s">
        <v>897</v>
      </c>
      <c r="E6892" s="178">
        <v>2022</v>
      </c>
      <c r="F6892" s="178" t="s">
        <v>4520</v>
      </c>
      <c r="G6892" s="496"/>
      <c r="H6892" s="994" t="s">
        <v>20221</v>
      </c>
      <c r="I6892" s="11" t="s">
        <v>9455</v>
      </c>
      <c r="J6892" s="1285"/>
      <c r="K6892" s="1285"/>
      <c r="L6892" s="1285"/>
    </row>
    <row r="6893" spans="1:12" ht="11.15" customHeight="1">
      <c r="A6893" s="355" t="s">
        <v>9456</v>
      </c>
      <c r="B6893" s="59" t="s">
        <v>21487</v>
      </c>
      <c r="C6893" s="147" t="s">
        <v>20221</v>
      </c>
      <c r="D6893" s="284" t="s">
        <v>897</v>
      </c>
      <c r="E6893" s="178">
        <v>2021</v>
      </c>
      <c r="F6893" s="178" t="s">
        <v>4520</v>
      </c>
      <c r="G6893" s="496"/>
      <c r="H6893" s="994" t="s">
        <v>20221</v>
      </c>
      <c r="I6893" s="11" t="s">
        <v>9457</v>
      </c>
      <c r="J6893" s="1285"/>
      <c r="K6893" s="1285"/>
      <c r="L6893" s="1285"/>
    </row>
    <row r="6894" spans="1:12" ht="11.15" customHeight="1">
      <c r="A6894" s="162" t="s">
        <v>9458</v>
      </c>
      <c r="B6894" s="59" t="s">
        <v>21489</v>
      </c>
      <c r="C6894" s="147" t="s">
        <v>20221</v>
      </c>
      <c r="D6894" s="284" t="s">
        <v>897</v>
      </c>
      <c r="E6894" s="178">
        <v>2020</v>
      </c>
      <c r="F6894" s="178" t="s">
        <v>4520</v>
      </c>
      <c r="G6894" s="496"/>
      <c r="H6894" s="994" t="s">
        <v>20221</v>
      </c>
      <c r="I6894" s="11" t="s">
        <v>9459</v>
      </c>
      <c r="J6894" s="1285"/>
      <c r="K6894" s="1285"/>
      <c r="L6894" s="1285"/>
    </row>
    <row r="6895" spans="1:12" ht="11.15" customHeight="1">
      <c r="A6895" s="162" t="s">
        <v>9460</v>
      </c>
      <c r="B6895" s="59" t="s">
        <v>21487</v>
      </c>
      <c r="C6895" s="147" t="s">
        <v>20221</v>
      </c>
      <c r="D6895" s="284" t="s">
        <v>897</v>
      </c>
      <c r="E6895" s="178">
        <v>2019</v>
      </c>
      <c r="F6895" s="178" t="s">
        <v>4520</v>
      </c>
      <c r="G6895" s="496"/>
      <c r="H6895" s="994" t="s">
        <v>20221</v>
      </c>
      <c r="I6895" s="11" t="s">
        <v>9461</v>
      </c>
      <c r="J6895" s="1285"/>
      <c r="K6895" s="1285"/>
      <c r="L6895" s="1285"/>
    </row>
    <row r="6896" spans="1:12" ht="11.15" customHeight="1">
      <c r="A6896" s="162" t="s">
        <v>9462</v>
      </c>
      <c r="B6896" s="59" t="s">
        <v>21490</v>
      </c>
      <c r="C6896" s="147" t="s">
        <v>20221</v>
      </c>
      <c r="D6896" s="284" t="s">
        <v>897</v>
      </c>
      <c r="E6896" s="178">
        <v>2018</v>
      </c>
      <c r="F6896" s="178" t="s">
        <v>4520</v>
      </c>
      <c r="G6896" s="496"/>
      <c r="H6896" s="994" t="s">
        <v>20221</v>
      </c>
      <c r="I6896" s="11" t="s">
        <v>9463</v>
      </c>
      <c r="J6896" s="1285"/>
      <c r="K6896" s="1285"/>
      <c r="L6896" s="1285"/>
    </row>
    <row r="6897" spans="1:12" ht="11.15" customHeight="1">
      <c r="A6897" s="162" t="s">
        <v>9464</v>
      </c>
      <c r="B6897" s="59" t="s">
        <v>21490</v>
      </c>
      <c r="C6897" s="147" t="s">
        <v>20221</v>
      </c>
      <c r="D6897" s="284" t="s">
        <v>897</v>
      </c>
      <c r="E6897" s="178">
        <v>2017</v>
      </c>
      <c r="F6897" s="178" t="s">
        <v>4520</v>
      </c>
      <c r="G6897" s="496"/>
      <c r="H6897" s="994" t="s">
        <v>20221</v>
      </c>
      <c r="I6897" s="11" t="s">
        <v>9465</v>
      </c>
      <c r="J6897" s="1285"/>
      <c r="K6897" s="1285"/>
      <c r="L6897" s="1285"/>
    </row>
    <row r="6898" spans="1:12" ht="11.15" customHeight="1">
      <c r="A6898" s="162" t="s">
        <v>9466</v>
      </c>
      <c r="B6898" s="59" t="s">
        <v>21490</v>
      </c>
      <c r="C6898" s="147" t="s">
        <v>20221</v>
      </c>
      <c r="D6898" s="284" t="s">
        <v>897</v>
      </c>
      <c r="E6898" s="178">
        <v>2016</v>
      </c>
      <c r="F6898" s="178" t="s">
        <v>4520</v>
      </c>
      <c r="G6898" s="496"/>
      <c r="H6898" s="994" t="s">
        <v>20221</v>
      </c>
      <c r="I6898" s="11" t="s">
        <v>9467</v>
      </c>
      <c r="J6898" s="1285"/>
      <c r="K6898" s="1285"/>
      <c r="L6898" s="1285"/>
    </row>
    <row r="6899" spans="1:12" ht="11.15" customHeight="1">
      <c r="A6899" s="162" t="s">
        <v>9468</v>
      </c>
      <c r="B6899" s="154" t="s">
        <v>9469</v>
      </c>
      <c r="C6899" s="147"/>
      <c r="D6899" s="122"/>
      <c r="E6899" s="178"/>
      <c r="F6899" s="178"/>
      <c r="G6899" s="60"/>
      <c r="H6899" s="178"/>
      <c r="I6899" s="11"/>
    </row>
    <row r="6900" spans="1:12" ht="11.15" customHeight="1">
      <c r="A6900" s="129" t="s">
        <v>9470</v>
      </c>
      <c r="B6900" s="59" t="s">
        <v>21491</v>
      </c>
      <c r="C6900" s="147" t="s">
        <v>23393</v>
      </c>
      <c r="D6900" s="284" t="s">
        <v>897</v>
      </c>
      <c r="E6900" s="178">
        <v>2023</v>
      </c>
      <c r="F6900" s="178" t="s">
        <v>4520</v>
      </c>
      <c r="G6900" s="496"/>
      <c r="H6900" s="994" t="s">
        <v>20343</v>
      </c>
      <c r="I6900" s="11" t="s">
        <v>9471</v>
      </c>
      <c r="J6900" s="1285"/>
      <c r="K6900" s="1285"/>
      <c r="L6900" s="1285"/>
    </row>
    <row r="6901" spans="1:12" ht="11.15" customHeight="1">
      <c r="A6901" s="162" t="s">
        <v>9472</v>
      </c>
      <c r="B6901" s="59" t="s">
        <v>21491</v>
      </c>
      <c r="C6901" s="147" t="s">
        <v>23393</v>
      </c>
      <c r="D6901" s="284" t="s">
        <v>897</v>
      </c>
      <c r="E6901" s="178">
        <v>2022</v>
      </c>
      <c r="F6901" s="178" t="s">
        <v>4520</v>
      </c>
      <c r="G6901" s="496"/>
      <c r="H6901" s="994" t="s">
        <v>20221</v>
      </c>
      <c r="I6901" s="11" t="s">
        <v>9473</v>
      </c>
      <c r="J6901" s="1285"/>
      <c r="K6901" s="1285"/>
      <c r="L6901" s="1285"/>
    </row>
    <row r="6902" spans="1:12" ht="11.15" customHeight="1">
      <c r="A6902" s="162" t="s">
        <v>9474</v>
      </c>
      <c r="B6902" s="59" t="s">
        <v>21491</v>
      </c>
      <c r="C6902" s="147" t="s">
        <v>20221</v>
      </c>
      <c r="D6902" s="284" t="s">
        <v>897</v>
      </c>
      <c r="E6902" s="178">
        <v>2021</v>
      </c>
      <c r="F6902" s="178" t="s">
        <v>4520</v>
      </c>
      <c r="G6902" s="496"/>
      <c r="H6902" s="994" t="s">
        <v>20221</v>
      </c>
      <c r="I6902" s="11" t="s">
        <v>9475</v>
      </c>
      <c r="J6902" s="1285"/>
      <c r="K6902" s="1285"/>
      <c r="L6902" s="1285"/>
    </row>
    <row r="6903" spans="1:12" ht="11.15" customHeight="1">
      <c r="A6903" s="162" t="s">
        <v>9476</v>
      </c>
      <c r="B6903" s="59" t="s">
        <v>21492</v>
      </c>
      <c r="C6903" s="147" t="s">
        <v>23393</v>
      </c>
      <c r="D6903" s="284" t="s">
        <v>897</v>
      </c>
      <c r="E6903" s="178">
        <v>2020</v>
      </c>
      <c r="F6903" s="178" t="s">
        <v>4520</v>
      </c>
      <c r="G6903" s="496"/>
      <c r="H6903" s="994" t="s">
        <v>20221</v>
      </c>
      <c r="I6903" s="11" t="s">
        <v>9477</v>
      </c>
      <c r="J6903" s="1285"/>
      <c r="K6903" s="1285"/>
      <c r="L6903" s="1285"/>
    </row>
    <row r="6904" spans="1:12" ht="11.15" customHeight="1">
      <c r="A6904" s="162" t="s">
        <v>9478</v>
      </c>
      <c r="B6904" s="59" t="s">
        <v>21491</v>
      </c>
      <c r="C6904" s="147" t="s">
        <v>20221</v>
      </c>
      <c r="D6904" s="284" t="s">
        <v>897</v>
      </c>
      <c r="E6904" s="178">
        <v>2019</v>
      </c>
      <c r="F6904" s="178" t="s">
        <v>4520</v>
      </c>
      <c r="G6904" s="496"/>
      <c r="H6904" s="994" t="s">
        <v>20221</v>
      </c>
      <c r="I6904" s="11" t="s">
        <v>9479</v>
      </c>
      <c r="J6904" s="1285"/>
      <c r="K6904" s="1285"/>
      <c r="L6904" s="1285"/>
    </row>
    <row r="6905" spans="1:12" ht="11.15" customHeight="1">
      <c r="A6905" s="162" t="s">
        <v>9480</v>
      </c>
      <c r="B6905" s="59" t="s">
        <v>21492</v>
      </c>
      <c r="C6905" s="147" t="s">
        <v>20221</v>
      </c>
      <c r="D6905" s="284" t="s">
        <v>897</v>
      </c>
      <c r="E6905" s="178">
        <v>2018</v>
      </c>
      <c r="F6905" s="178" t="s">
        <v>4520</v>
      </c>
      <c r="G6905" s="496"/>
      <c r="H6905" s="994" t="s">
        <v>20221</v>
      </c>
      <c r="I6905" s="11" t="s">
        <v>9481</v>
      </c>
      <c r="J6905" s="1285"/>
      <c r="K6905" s="1285"/>
      <c r="L6905" s="1285"/>
    </row>
    <row r="6906" spans="1:12" ht="11.15" customHeight="1">
      <c r="A6906" s="162" t="s">
        <v>9482</v>
      </c>
      <c r="B6906" s="59" t="s">
        <v>21491</v>
      </c>
      <c r="C6906" s="147" t="s">
        <v>20221</v>
      </c>
      <c r="D6906" s="284" t="s">
        <v>897</v>
      </c>
      <c r="E6906" s="178">
        <v>2017</v>
      </c>
      <c r="F6906" s="178" t="s">
        <v>4520</v>
      </c>
      <c r="G6906" s="496"/>
      <c r="H6906" s="994" t="s">
        <v>20221</v>
      </c>
      <c r="I6906" s="11" t="s">
        <v>9483</v>
      </c>
      <c r="J6906" s="1285"/>
      <c r="K6906" s="1285"/>
      <c r="L6906" s="1285"/>
    </row>
    <row r="6907" spans="1:12" ht="11.15" customHeight="1">
      <c r="A6907" s="162" t="s">
        <v>9484</v>
      </c>
      <c r="B6907" s="59" t="s">
        <v>21493</v>
      </c>
      <c r="C6907" s="147" t="s">
        <v>20221</v>
      </c>
      <c r="D6907" s="284" t="s">
        <v>897</v>
      </c>
      <c r="E6907" s="178">
        <v>2016</v>
      </c>
      <c r="F6907" s="178" t="s">
        <v>4520</v>
      </c>
      <c r="G6907" s="496"/>
      <c r="H6907" s="994" t="s">
        <v>20277</v>
      </c>
      <c r="I6907" s="11" t="s">
        <v>9485</v>
      </c>
      <c r="J6907" s="1285"/>
      <c r="K6907" s="1285"/>
      <c r="L6907" s="1285"/>
    </row>
    <row r="6908" spans="1:12" ht="11.15" customHeight="1">
      <c r="A6908" s="162" t="s">
        <v>9486</v>
      </c>
      <c r="B6908" s="154" t="s">
        <v>9487</v>
      </c>
      <c r="C6908" s="147"/>
      <c r="D6908" s="122"/>
      <c r="E6908" s="178"/>
      <c r="F6908" s="178"/>
      <c r="G6908" s="60"/>
      <c r="H6908" s="178"/>
      <c r="I6908" s="11"/>
    </row>
    <row r="6909" spans="1:12" ht="11.15" customHeight="1">
      <c r="A6909" s="162" t="s">
        <v>9488</v>
      </c>
      <c r="B6909" s="59" t="s">
        <v>21494</v>
      </c>
      <c r="C6909" s="147" t="s">
        <v>20221</v>
      </c>
      <c r="D6909" s="284" t="s">
        <v>897</v>
      </c>
      <c r="E6909" s="178">
        <v>2021</v>
      </c>
      <c r="F6909" s="178" t="s">
        <v>4520</v>
      </c>
      <c r="G6909" s="496"/>
      <c r="H6909" s="994" t="s">
        <v>20221</v>
      </c>
      <c r="I6909" s="11" t="s">
        <v>9489</v>
      </c>
      <c r="J6909" s="1285"/>
      <c r="K6909" s="1285"/>
      <c r="L6909" s="1285"/>
    </row>
    <row r="6910" spans="1:12" ht="11.15" customHeight="1">
      <c r="A6910" s="162" t="s">
        <v>9490</v>
      </c>
      <c r="B6910" s="59" t="s">
        <v>21494</v>
      </c>
      <c r="C6910" s="147" t="s">
        <v>20221</v>
      </c>
      <c r="D6910" s="284" t="s">
        <v>897</v>
      </c>
      <c r="E6910" s="178">
        <v>2018</v>
      </c>
      <c r="F6910" s="178" t="s">
        <v>4520</v>
      </c>
      <c r="G6910" s="496"/>
      <c r="H6910" s="994" t="s">
        <v>20221</v>
      </c>
      <c r="I6910" s="11" t="s">
        <v>9491</v>
      </c>
      <c r="J6910" s="1285"/>
      <c r="K6910" s="1285"/>
      <c r="L6910" s="1285"/>
    </row>
    <row r="6911" spans="1:12" ht="11.15" customHeight="1">
      <c r="A6911" s="162" t="s">
        <v>9492</v>
      </c>
      <c r="B6911" s="59" t="s">
        <v>21494</v>
      </c>
      <c r="C6911" s="147" t="s">
        <v>20221</v>
      </c>
      <c r="D6911" s="284" t="s">
        <v>897</v>
      </c>
      <c r="E6911" s="178">
        <v>2017</v>
      </c>
      <c r="F6911" s="178" t="s">
        <v>4520</v>
      </c>
      <c r="G6911" s="496"/>
      <c r="H6911" s="994" t="s">
        <v>20221</v>
      </c>
      <c r="I6911" s="11" t="s">
        <v>9493</v>
      </c>
      <c r="J6911" s="1285"/>
      <c r="K6911" s="1285"/>
      <c r="L6911" s="1285"/>
    </row>
    <row r="6912" spans="1:12" ht="11.15" customHeight="1">
      <c r="A6912" s="129" t="s">
        <v>9494</v>
      </c>
      <c r="B6912" s="59" t="s">
        <v>21494</v>
      </c>
      <c r="C6912" s="147" t="s">
        <v>20221</v>
      </c>
      <c r="D6912" s="284" t="s">
        <v>897</v>
      </c>
      <c r="E6912" s="178">
        <v>2016</v>
      </c>
      <c r="F6912" s="178" t="s">
        <v>4520</v>
      </c>
      <c r="G6912" s="496"/>
      <c r="H6912" s="994" t="s">
        <v>20221</v>
      </c>
      <c r="I6912" s="11" t="s">
        <v>9495</v>
      </c>
      <c r="J6912" s="1285"/>
      <c r="K6912" s="1285"/>
      <c r="L6912" s="1285"/>
    </row>
    <row r="6913" spans="1:12" ht="11.15" customHeight="1">
      <c r="A6913" s="162" t="s">
        <v>9496</v>
      </c>
      <c r="B6913" s="59" t="s">
        <v>21494</v>
      </c>
      <c r="C6913" s="147" t="s">
        <v>20221</v>
      </c>
      <c r="D6913" s="284" t="s">
        <v>897</v>
      </c>
      <c r="E6913" s="178">
        <v>2013</v>
      </c>
      <c r="F6913" s="178" t="s">
        <v>23395</v>
      </c>
      <c r="G6913" s="496"/>
      <c r="H6913" s="994" t="s">
        <v>20224</v>
      </c>
      <c r="I6913" s="11" t="s">
        <v>9442</v>
      </c>
      <c r="J6913" s="1285"/>
      <c r="K6913" s="1285"/>
      <c r="L6913" s="1285"/>
    </row>
    <row r="6914" spans="1:12" ht="11.15" customHeight="1">
      <c r="A6914" s="162" t="s">
        <v>9497</v>
      </c>
      <c r="B6914" s="154" t="s">
        <v>9498</v>
      </c>
      <c r="C6914" s="147"/>
      <c r="D6914" s="122"/>
      <c r="E6914" s="178"/>
      <c r="F6914" s="178"/>
      <c r="G6914" s="60"/>
      <c r="H6914" s="178"/>
      <c r="I6914" s="11"/>
    </row>
    <row r="6915" spans="1:12" ht="11.15" customHeight="1">
      <c r="A6915" s="162" t="s">
        <v>9499</v>
      </c>
      <c r="B6915" s="59" t="s">
        <v>21495</v>
      </c>
      <c r="C6915" s="147" t="s">
        <v>20221</v>
      </c>
      <c r="D6915" s="284" t="s">
        <v>897</v>
      </c>
      <c r="E6915" s="178">
        <v>2023</v>
      </c>
      <c r="F6915" s="178" t="s">
        <v>4520</v>
      </c>
      <c r="G6915" s="496"/>
      <c r="H6915" s="994" t="s">
        <v>20343</v>
      </c>
      <c r="I6915" s="11" t="s">
        <v>9500</v>
      </c>
      <c r="J6915" s="1285"/>
      <c r="K6915" s="1285"/>
      <c r="L6915" s="1285"/>
    </row>
    <row r="6916" spans="1:12" ht="11.15" customHeight="1">
      <c r="A6916" s="162" t="s">
        <v>9501</v>
      </c>
      <c r="B6916" s="59" t="s">
        <v>21495</v>
      </c>
      <c r="C6916" s="147" t="s">
        <v>20221</v>
      </c>
      <c r="D6916" s="284" t="s">
        <v>897</v>
      </c>
      <c r="E6916" s="178">
        <v>2022</v>
      </c>
      <c r="F6916" s="178" t="s">
        <v>4520</v>
      </c>
      <c r="G6916" s="496"/>
      <c r="H6916" s="994" t="s">
        <v>20221</v>
      </c>
      <c r="I6916" s="11" t="s">
        <v>9502</v>
      </c>
      <c r="J6916" s="1285"/>
      <c r="K6916" s="1285"/>
      <c r="L6916" s="1285"/>
    </row>
    <row r="6917" spans="1:12" ht="11.15" customHeight="1">
      <c r="A6917" s="162" t="s">
        <v>9503</v>
      </c>
      <c r="B6917" s="59" t="s">
        <v>21495</v>
      </c>
      <c r="C6917" s="147" t="s">
        <v>20221</v>
      </c>
      <c r="D6917" s="284" t="s">
        <v>897</v>
      </c>
      <c r="E6917" s="178">
        <v>2020</v>
      </c>
      <c r="F6917" s="178" t="s">
        <v>4520</v>
      </c>
      <c r="G6917" s="496"/>
      <c r="H6917" s="994" t="s">
        <v>20221</v>
      </c>
      <c r="I6917" s="11" t="s">
        <v>9504</v>
      </c>
      <c r="J6917" s="1285"/>
      <c r="K6917" s="1285"/>
      <c r="L6917" s="1285"/>
    </row>
    <row r="6918" spans="1:12" ht="11.15" customHeight="1">
      <c r="A6918" s="162" t="s">
        <v>9505</v>
      </c>
      <c r="B6918" s="59" t="s">
        <v>21495</v>
      </c>
      <c r="C6918" s="147" t="s">
        <v>20221</v>
      </c>
      <c r="D6918" s="284" t="s">
        <v>897</v>
      </c>
      <c r="E6918" s="178">
        <v>2019</v>
      </c>
      <c r="F6918" s="178" t="s">
        <v>4520</v>
      </c>
      <c r="G6918" s="496"/>
      <c r="H6918" s="994" t="s">
        <v>20221</v>
      </c>
      <c r="I6918" s="11" t="s">
        <v>9506</v>
      </c>
      <c r="J6918" s="1285"/>
      <c r="K6918" s="1285"/>
      <c r="L6918" s="1285"/>
    </row>
    <row r="6919" spans="1:12" ht="11.15" customHeight="1" thickBot="1">
      <c r="A6919" s="166" t="s">
        <v>9507</v>
      </c>
      <c r="B6919" s="59" t="s">
        <v>21495</v>
      </c>
      <c r="C6919" s="147" t="s">
        <v>20221</v>
      </c>
      <c r="D6919" s="284" t="s">
        <v>897</v>
      </c>
      <c r="E6919" s="178">
        <v>2018</v>
      </c>
      <c r="F6919" s="178" t="s">
        <v>4520</v>
      </c>
      <c r="G6919" s="496"/>
      <c r="H6919" s="994" t="s">
        <v>20221</v>
      </c>
      <c r="I6919" s="11" t="s">
        <v>9508</v>
      </c>
      <c r="J6919" s="1285"/>
      <c r="K6919" s="1285"/>
      <c r="L6919" s="1285"/>
    </row>
    <row r="6920" spans="1:12" ht="11.15" customHeight="1">
      <c r="A6920" s="418" t="s">
        <v>9509</v>
      </c>
      <c r="B6920" s="59" t="s">
        <v>21495</v>
      </c>
      <c r="C6920" s="147" t="s">
        <v>20221</v>
      </c>
      <c r="D6920" s="284" t="s">
        <v>897</v>
      </c>
      <c r="E6920" s="178">
        <v>2017</v>
      </c>
      <c r="F6920" s="178" t="s">
        <v>4520</v>
      </c>
      <c r="G6920" s="496"/>
      <c r="H6920" s="994" t="s">
        <v>20221</v>
      </c>
      <c r="I6920" s="11" t="s">
        <v>9510</v>
      </c>
      <c r="J6920" s="1285"/>
      <c r="K6920" s="1285"/>
      <c r="L6920" s="1285"/>
    </row>
    <row r="6921" spans="1:12" ht="11.15" customHeight="1">
      <c r="A6921" s="506" t="s">
        <v>9511</v>
      </c>
      <c r="B6921" s="59" t="s">
        <v>21496</v>
      </c>
      <c r="C6921" s="147" t="s">
        <v>20221</v>
      </c>
      <c r="D6921" s="284" t="s">
        <v>897</v>
      </c>
      <c r="E6921" s="178">
        <v>2016</v>
      </c>
      <c r="F6921" s="178" t="s">
        <v>4520</v>
      </c>
      <c r="G6921" s="496"/>
      <c r="H6921" s="994" t="s">
        <v>20221</v>
      </c>
      <c r="I6921" s="11" t="s">
        <v>9512</v>
      </c>
      <c r="J6921" s="1285"/>
      <c r="K6921" s="1285"/>
      <c r="L6921" s="1285"/>
    </row>
    <row r="6922" spans="1:12" ht="11.15" customHeight="1" thickBot="1">
      <c r="A6922" s="573" t="s">
        <v>9513</v>
      </c>
      <c r="B6922" s="59" t="s">
        <v>21497</v>
      </c>
      <c r="C6922" s="147" t="s">
        <v>20221</v>
      </c>
      <c r="D6922" s="284" t="s">
        <v>897</v>
      </c>
      <c r="E6922" s="178">
        <v>2015</v>
      </c>
      <c r="F6922" s="178" t="s">
        <v>4520</v>
      </c>
      <c r="G6922" s="496"/>
      <c r="H6922" s="994" t="s">
        <v>20221</v>
      </c>
      <c r="I6922" s="11" t="s">
        <v>9444</v>
      </c>
      <c r="J6922" s="1285"/>
      <c r="K6922" s="1285"/>
      <c r="L6922" s="1285"/>
    </row>
    <row r="6923" spans="1:12" ht="11.15" customHeight="1">
      <c r="A6923" s="29"/>
      <c r="B6923" s="59" t="s">
        <v>21495</v>
      </c>
      <c r="C6923" s="147" t="s">
        <v>20221</v>
      </c>
      <c r="D6923" s="284" t="s">
        <v>897</v>
      </c>
      <c r="E6923" s="178">
        <v>2011</v>
      </c>
      <c r="F6923" s="178" t="s">
        <v>23395</v>
      </c>
      <c r="G6923" s="496"/>
      <c r="H6923" s="994" t="s">
        <v>20224</v>
      </c>
      <c r="I6923" s="11" t="s">
        <v>9514</v>
      </c>
      <c r="J6923" s="1285"/>
      <c r="K6923" s="1285"/>
      <c r="L6923" s="1285"/>
    </row>
    <row r="6924" spans="1:12" ht="11.15" customHeight="1">
      <c r="A6924" s="185"/>
      <c r="B6924" s="154" t="s">
        <v>9515</v>
      </c>
      <c r="C6924" s="147"/>
      <c r="D6924" s="161"/>
      <c r="E6924" s="34"/>
      <c r="F6924" s="178"/>
      <c r="G6924" s="496"/>
      <c r="H6924" s="36"/>
      <c r="I6924" s="11"/>
    </row>
    <row r="6925" spans="1:12" ht="11.15" customHeight="1">
      <c r="A6925" s="185"/>
      <c r="B6925" s="59" t="s">
        <v>21498</v>
      </c>
      <c r="C6925" s="147" t="s">
        <v>20221</v>
      </c>
      <c r="D6925" s="284" t="s">
        <v>897</v>
      </c>
      <c r="E6925" s="178">
        <v>2020</v>
      </c>
      <c r="F6925" s="178" t="s">
        <v>4520</v>
      </c>
      <c r="G6925" s="496"/>
      <c r="H6925" s="994" t="s">
        <v>20221</v>
      </c>
      <c r="I6925" s="11" t="s">
        <v>9516</v>
      </c>
      <c r="J6925" s="1285"/>
      <c r="K6925" s="1285"/>
      <c r="L6925" s="1285"/>
    </row>
    <row r="6926" spans="1:12" ht="11.15" customHeight="1">
      <c r="A6926" s="185"/>
      <c r="B6926" s="59" t="s">
        <v>21498</v>
      </c>
      <c r="C6926" s="147" t="s">
        <v>20221</v>
      </c>
      <c r="D6926" s="284" t="s">
        <v>897</v>
      </c>
      <c r="E6926" s="178">
        <v>2018</v>
      </c>
      <c r="F6926" s="178" t="s">
        <v>4520</v>
      </c>
      <c r="G6926" s="496"/>
      <c r="H6926" s="994" t="s">
        <v>20221</v>
      </c>
      <c r="I6926" s="11" t="s">
        <v>9517</v>
      </c>
      <c r="J6926" s="1285"/>
      <c r="K6926" s="1285"/>
      <c r="L6926" s="1285"/>
    </row>
    <row r="6927" spans="1:12" ht="11.15" customHeight="1">
      <c r="A6927" s="185"/>
      <c r="B6927" s="59" t="s">
        <v>21498</v>
      </c>
      <c r="C6927" s="147" t="s">
        <v>20221</v>
      </c>
      <c r="D6927" s="284" t="s">
        <v>897</v>
      </c>
      <c r="E6927" s="178">
        <v>2017</v>
      </c>
      <c r="F6927" s="178" t="s">
        <v>4520</v>
      </c>
      <c r="G6927" s="496"/>
      <c r="H6927" s="994" t="s">
        <v>20221</v>
      </c>
      <c r="I6927" s="11" t="s">
        <v>9518</v>
      </c>
      <c r="J6927" s="1285"/>
      <c r="K6927" s="1285"/>
      <c r="L6927" s="1285"/>
    </row>
    <row r="6928" spans="1:12" ht="11.15" customHeight="1">
      <c r="A6928" s="185"/>
      <c r="B6928" s="59" t="s">
        <v>21498</v>
      </c>
      <c r="C6928" s="147" t="s">
        <v>20221</v>
      </c>
      <c r="D6928" s="284" t="s">
        <v>897</v>
      </c>
      <c r="E6928" s="178">
        <v>2016</v>
      </c>
      <c r="F6928" s="178" t="s">
        <v>4520</v>
      </c>
      <c r="G6928" s="496"/>
      <c r="H6928" s="994" t="s">
        <v>20221</v>
      </c>
      <c r="I6928" s="11" t="s">
        <v>9519</v>
      </c>
      <c r="J6928" s="1285"/>
      <c r="K6928" s="1285"/>
      <c r="L6928" s="1285"/>
    </row>
    <row r="6929" spans="1:12" ht="11.15" customHeight="1">
      <c r="A6929" s="185"/>
      <c r="B6929" s="59" t="s">
        <v>21499</v>
      </c>
      <c r="C6929" s="147" t="s">
        <v>20221</v>
      </c>
      <c r="D6929" s="284" t="s">
        <v>897</v>
      </c>
      <c r="E6929" s="178">
        <v>2015</v>
      </c>
      <c r="F6929" s="178" t="s">
        <v>4520</v>
      </c>
      <c r="G6929" s="496"/>
      <c r="H6929" s="994" t="s">
        <v>20221</v>
      </c>
      <c r="I6929" s="11" t="s">
        <v>9446</v>
      </c>
      <c r="J6929" s="1285"/>
      <c r="K6929" s="1285"/>
      <c r="L6929" s="1285"/>
    </row>
    <row r="6930" spans="1:12" ht="11.15" customHeight="1">
      <c r="A6930" s="185"/>
      <c r="B6930" s="59" t="s">
        <v>21500</v>
      </c>
      <c r="C6930" s="147" t="s">
        <v>20221</v>
      </c>
      <c r="D6930" s="284" t="s">
        <v>897</v>
      </c>
      <c r="E6930" s="178">
        <v>2011</v>
      </c>
      <c r="F6930" s="178" t="s">
        <v>23395</v>
      </c>
      <c r="G6930" s="496"/>
      <c r="H6930" s="994" t="s">
        <v>20277</v>
      </c>
      <c r="I6930" s="11" t="s">
        <v>9520</v>
      </c>
      <c r="J6930" s="1285"/>
      <c r="K6930" s="1285"/>
      <c r="L6930" s="1285"/>
    </row>
    <row r="6931" spans="1:12" ht="11.15" customHeight="1">
      <c r="A6931" s="162"/>
      <c r="B6931" s="154" t="s">
        <v>9521</v>
      </c>
      <c r="C6931" s="147"/>
      <c r="D6931" s="161"/>
      <c r="E6931" s="34"/>
      <c r="F6931" s="178"/>
      <c r="G6931" s="496"/>
      <c r="H6931" s="36"/>
      <c r="I6931" s="11"/>
    </row>
    <row r="6932" spans="1:12" ht="11.15" customHeight="1">
      <c r="A6932" s="185"/>
      <c r="B6932" s="59" t="s">
        <v>21501</v>
      </c>
      <c r="C6932" s="147" t="s">
        <v>20221</v>
      </c>
      <c r="D6932" s="284" t="s">
        <v>897</v>
      </c>
      <c r="E6932" s="178">
        <v>2023</v>
      </c>
      <c r="F6932" s="178" t="s">
        <v>4520</v>
      </c>
      <c r="G6932" s="496"/>
      <c r="H6932" s="994" t="s">
        <v>20343</v>
      </c>
      <c r="I6932" s="11" t="s">
        <v>9522</v>
      </c>
      <c r="J6932" s="1285"/>
      <c r="K6932" s="1285"/>
      <c r="L6932" s="1285"/>
    </row>
    <row r="6933" spans="1:12" ht="11.15" customHeight="1">
      <c r="A6933" s="185"/>
      <c r="B6933" s="59" t="s">
        <v>21501</v>
      </c>
      <c r="C6933" s="147" t="s">
        <v>20221</v>
      </c>
      <c r="D6933" s="284" t="s">
        <v>897</v>
      </c>
      <c r="E6933" s="178">
        <v>2022</v>
      </c>
      <c r="F6933" s="178" t="s">
        <v>4520</v>
      </c>
      <c r="G6933" s="496"/>
      <c r="H6933" s="994" t="s">
        <v>20221</v>
      </c>
      <c r="I6933" s="11" t="s">
        <v>9523</v>
      </c>
      <c r="J6933" s="1285"/>
      <c r="K6933" s="1285"/>
      <c r="L6933" s="1285"/>
    </row>
    <row r="6934" spans="1:12" ht="11.15" customHeight="1">
      <c r="A6934" s="185"/>
      <c r="B6934" s="59" t="s">
        <v>21501</v>
      </c>
      <c r="C6934" s="147" t="s">
        <v>20221</v>
      </c>
      <c r="D6934" s="284" t="s">
        <v>897</v>
      </c>
      <c r="E6934" s="178">
        <v>2021</v>
      </c>
      <c r="F6934" s="178" t="s">
        <v>4520</v>
      </c>
      <c r="G6934" s="496"/>
      <c r="H6934" s="994" t="s">
        <v>20221</v>
      </c>
      <c r="I6934" s="11" t="s">
        <v>9524</v>
      </c>
      <c r="J6934" s="1285"/>
      <c r="K6934" s="1285"/>
      <c r="L6934" s="1285"/>
    </row>
    <row r="6935" spans="1:12" ht="11.15" customHeight="1">
      <c r="A6935" s="185"/>
      <c r="B6935" s="59" t="s">
        <v>21501</v>
      </c>
      <c r="C6935" s="147" t="s">
        <v>20221</v>
      </c>
      <c r="D6935" s="284" t="s">
        <v>897</v>
      </c>
      <c r="E6935" s="178">
        <v>2020</v>
      </c>
      <c r="F6935" s="178" t="s">
        <v>4520</v>
      </c>
      <c r="G6935" s="496"/>
      <c r="H6935" s="994" t="s">
        <v>20221</v>
      </c>
      <c r="I6935" s="11" t="s">
        <v>9525</v>
      </c>
      <c r="J6935" s="1285"/>
      <c r="K6935" s="1285"/>
      <c r="L6935" s="1285"/>
    </row>
    <row r="6936" spans="1:12" ht="11.15" customHeight="1">
      <c r="A6936" s="185"/>
      <c r="B6936" s="59" t="s">
        <v>21501</v>
      </c>
      <c r="C6936" s="147" t="s">
        <v>20221</v>
      </c>
      <c r="D6936" s="284" t="s">
        <v>897</v>
      </c>
      <c r="E6936" s="178">
        <v>2019</v>
      </c>
      <c r="F6936" s="178" t="s">
        <v>4520</v>
      </c>
      <c r="G6936" s="496"/>
      <c r="H6936" s="994" t="s">
        <v>20221</v>
      </c>
      <c r="I6936" s="11" t="s">
        <v>9526</v>
      </c>
      <c r="J6936" s="1285"/>
      <c r="K6936" s="1285"/>
      <c r="L6936" s="1285"/>
    </row>
    <row r="6937" spans="1:12" ht="11.15" customHeight="1">
      <c r="A6937" s="185"/>
      <c r="B6937" s="59" t="s">
        <v>21501</v>
      </c>
      <c r="C6937" s="147" t="s">
        <v>20221</v>
      </c>
      <c r="D6937" s="284" t="s">
        <v>897</v>
      </c>
      <c r="E6937" s="178">
        <v>2018</v>
      </c>
      <c r="F6937" s="178" t="s">
        <v>4520</v>
      </c>
      <c r="G6937" s="496"/>
      <c r="H6937" s="994" t="s">
        <v>20221</v>
      </c>
      <c r="I6937" s="11" t="s">
        <v>9527</v>
      </c>
      <c r="J6937" s="1285"/>
      <c r="K6937" s="1285"/>
      <c r="L6937" s="1285"/>
    </row>
    <row r="6938" spans="1:12" ht="11.15" customHeight="1">
      <c r="A6938" s="185"/>
      <c r="B6938" s="59" t="s">
        <v>21501</v>
      </c>
      <c r="C6938" s="147" t="s">
        <v>20221</v>
      </c>
      <c r="D6938" s="284" t="s">
        <v>897</v>
      </c>
      <c r="E6938" s="178">
        <v>2017</v>
      </c>
      <c r="F6938" s="178" t="s">
        <v>4520</v>
      </c>
      <c r="G6938" s="496"/>
      <c r="H6938" s="994" t="s">
        <v>20221</v>
      </c>
      <c r="I6938" s="11" t="s">
        <v>9528</v>
      </c>
      <c r="J6938" s="1285"/>
      <c r="K6938" s="1285"/>
      <c r="L6938" s="1285"/>
    </row>
    <row r="6939" spans="1:12" ht="11.15" customHeight="1">
      <c r="A6939" s="185"/>
      <c r="B6939" s="154" t="s">
        <v>9289</v>
      </c>
      <c r="C6939" s="147"/>
      <c r="D6939" s="122"/>
      <c r="E6939" s="178"/>
      <c r="F6939" s="178"/>
      <c r="G6939" s="60"/>
      <c r="H6939" s="178"/>
      <c r="I6939" s="11"/>
    </row>
    <row r="6940" spans="1:12" ht="11.15" customHeight="1">
      <c r="A6940" s="185"/>
      <c r="B6940" s="59" t="s">
        <v>21502</v>
      </c>
      <c r="C6940" s="147" t="s">
        <v>20221</v>
      </c>
      <c r="D6940" s="284" t="s">
        <v>897</v>
      </c>
      <c r="E6940" s="178">
        <v>2023</v>
      </c>
      <c r="F6940" s="178" t="s">
        <v>4520</v>
      </c>
      <c r="G6940" s="496"/>
      <c r="H6940" s="994" t="s">
        <v>20343</v>
      </c>
      <c r="I6940" s="11" t="s">
        <v>9529</v>
      </c>
      <c r="J6940" s="1285"/>
      <c r="K6940" s="1285"/>
      <c r="L6940" s="1285"/>
    </row>
    <row r="6941" spans="1:12" ht="11.15" customHeight="1">
      <c r="A6941" s="185"/>
      <c r="B6941" s="59" t="s">
        <v>21502</v>
      </c>
      <c r="C6941" s="147" t="s">
        <v>20221</v>
      </c>
      <c r="D6941" s="284" t="s">
        <v>897</v>
      </c>
      <c r="E6941" s="178">
        <v>2022</v>
      </c>
      <c r="F6941" s="178" t="s">
        <v>4520</v>
      </c>
      <c r="G6941" s="496"/>
      <c r="H6941" s="994" t="s">
        <v>20221</v>
      </c>
      <c r="I6941" s="11" t="s">
        <v>9530</v>
      </c>
      <c r="J6941" s="1285"/>
      <c r="K6941" s="1285"/>
      <c r="L6941" s="1285"/>
    </row>
    <row r="6942" spans="1:12" ht="11.15" customHeight="1">
      <c r="A6942" s="185"/>
      <c r="B6942" s="59" t="s">
        <v>21502</v>
      </c>
      <c r="C6942" s="147" t="s">
        <v>20221</v>
      </c>
      <c r="D6942" s="284" t="s">
        <v>897</v>
      </c>
      <c r="E6942" s="178">
        <v>2021</v>
      </c>
      <c r="F6942" s="178" t="s">
        <v>4520</v>
      </c>
      <c r="G6942" s="496"/>
      <c r="H6942" s="994" t="s">
        <v>20221</v>
      </c>
      <c r="I6942" s="11" t="s">
        <v>9531</v>
      </c>
      <c r="J6942" s="1285"/>
      <c r="K6942" s="1285"/>
      <c r="L6942" s="1285"/>
    </row>
    <row r="6943" spans="1:12" ht="11.15" customHeight="1">
      <c r="A6943" s="185"/>
      <c r="B6943" s="59" t="s">
        <v>21502</v>
      </c>
      <c r="C6943" s="147" t="s">
        <v>20221</v>
      </c>
      <c r="D6943" s="284" t="s">
        <v>897</v>
      </c>
      <c r="E6943" s="178">
        <v>2020</v>
      </c>
      <c r="F6943" s="178" t="s">
        <v>4520</v>
      </c>
      <c r="G6943" s="496"/>
      <c r="H6943" s="994" t="s">
        <v>20221</v>
      </c>
      <c r="I6943" s="11" t="s">
        <v>9532</v>
      </c>
      <c r="J6943" s="1285"/>
      <c r="K6943" s="1285"/>
      <c r="L6943" s="1285"/>
    </row>
    <row r="6944" spans="1:12" ht="11.15" customHeight="1">
      <c r="A6944" s="185"/>
      <c r="B6944" s="59" t="s">
        <v>21502</v>
      </c>
      <c r="C6944" s="147" t="s">
        <v>20221</v>
      </c>
      <c r="D6944" s="284" t="s">
        <v>897</v>
      </c>
      <c r="E6944" s="178">
        <v>2019</v>
      </c>
      <c r="F6944" s="178" t="s">
        <v>4520</v>
      </c>
      <c r="G6944" s="496"/>
      <c r="H6944" s="994" t="s">
        <v>20221</v>
      </c>
      <c r="I6944" s="11" t="s">
        <v>9533</v>
      </c>
      <c r="J6944" s="1285"/>
      <c r="K6944" s="1285"/>
      <c r="L6944" s="1285"/>
    </row>
    <row r="6945" spans="1:12" ht="11.15" customHeight="1">
      <c r="A6945" s="185"/>
      <c r="B6945" s="59" t="s">
        <v>21502</v>
      </c>
      <c r="C6945" s="147" t="s">
        <v>20221</v>
      </c>
      <c r="D6945" s="284" t="s">
        <v>897</v>
      </c>
      <c r="E6945" s="178">
        <v>2018</v>
      </c>
      <c r="F6945" s="178" t="s">
        <v>4520</v>
      </c>
      <c r="G6945" s="496"/>
      <c r="H6945" s="994" t="s">
        <v>20221</v>
      </c>
      <c r="I6945" s="11" t="s">
        <v>9534</v>
      </c>
      <c r="J6945" s="1285"/>
      <c r="K6945" s="1285"/>
      <c r="L6945" s="1285"/>
    </row>
    <row r="6946" spans="1:12" ht="11.15" customHeight="1">
      <c r="A6946" s="185"/>
      <c r="B6946" s="59" t="s">
        <v>21502</v>
      </c>
      <c r="C6946" s="147" t="s">
        <v>20221</v>
      </c>
      <c r="D6946" s="284" t="s">
        <v>897</v>
      </c>
      <c r="E6946" s="178">
        <v>2017</v>
      </c>
      <c r="F6946" s="178" t="s">
        <v>4520</v>
      </c>
      <c r="G6946" s="496"/>
      <c r="H6946" s="994" t="s">
        <v>20221</v>
      </c>
      <c r="I6946" s="11" t="s">
        <v>9535</v>
      </c>
      <c r="J6946" s="1285"/>
      <c r="K6946" s="1285"/>
      <c r="L6946" s="1285"/>
    </row>
    <row r="6947" spans="1:12" ht="11.15" customHeight="1">
      <c r="A6947" s="185"/>
      <c r="B6947" s="59" t="s">
        <v>21502</v>
      </c>
      <c r="C6947" s="147" t="s">
        <v>20221</v>
      </c>
      <c r="D6947" s="284" t="s">
        <v>897</v>
      </c>
      <c r="E6947" s="178">
        <v>2016</v>
      </c>
      <c r="F6947" s="178" t="s">
        <v>4520</v>
      </c>
      <c r="G6947" s="496"/>
      <c r="H6947" s="994" t="s">
        <v>20221</v>
      </c>
      <c r="I6947" s="11" t="s">
        <v>9536</v>
      </c>
      <c r="J6947" s="1285"/>
      <c r="K6947" s="1285"/>
      <c r="L6947" s="1285"/>
    </row>
    <row r="6948" spans="1:12" ht="11.15" customHeight="1">
      <c r="A6948" s="185"/>
      <c r="B6948" s="59" t="s">
        <v>21503</v>
      </c>
      <c r="C6948" s="147" t="s">
        <v>20221</v>
      </c>
      <c r="D6948" s="284" t="s">
        <v>897</v>
      </c>
      <c r="E6948" s="178">
        <v>2015</v>
      </c>
      <c r="F6948" s="178" t="s">
        <v>4520</v>
      </c>
      <c r="G6948" s="496"/>
      <c r="H6948" s="994" t="s">
        <v>20224</v>
      </c>
      <c r="I6948" s="11" t="s">
        <v>9537</v>
      </c>
      <c r="J6948" s="1285"/>
      <c r="K6948" s="1285"/>
      <c r="L6948" s="1285"/>
    </row>
    <row r="6949" spans="1:12" ht="11.15" customHeight="1">
      <c r="A6949" s="185"/>
      <c r="B6949" s="59" t="s">
        <v>21504</v>
      </c>
      <c r="C6949" s="147" t="s">
        <v>20221</v>
      </c>
      <c r="D6949" s="284" t="s">
        <v>897</v>
      </c>
      <c r="E6949" s="178">
        <v>2013</v>
      </c>
      <c r="F6949" s="178" t="s">
        <v>23395</v>
      </c>
      <c r="G6949" s="496"/>
      <c r="H6949" s="994" t="s">
        <v>20221</v>
      </c>
      <c r="I6949" s="11" t="s">
        <v>9538</v>
      </c>
      <c r="J6949" s="1285"/>
      <c r="K6949" s="1285"/>
      <c r="L6949" s="1285"/>
    </row>
    <row r="6950" spans="1:12" ht="11.15" customHeight="1">
      <c r="A6950" s="185"/>
      <c r="B6950" s="59" t="s">
        <v>21504</v>
      </c>
      <c r="C6950" s="147" t="s">
        <v>20221</v>
      </c>
      <c r="D6950" s="284" t="s">
        <v>897</v>
      </c>
      <c r="E6950" s="178">
        <v>2012</v>
      </c>
      <c r="F6950" s="178" t="s">
        <v>23395</v>
      </c>
      <c r="G6950" s="496"/>
      <c r="H6950" s="994" t="s">
        <v>20221</v>
      </c>
      <c r="I6950" s="11" t="s">
        <v>9539</v>
      </c>
      <c r="J6950" s="1285"/>
      <c r="K6950" s="1285"/>
      <c r="L6950" s="1285"/>
    </row>
    <row r="6951" spans="1:12" ht="11.15" customHeight="1">
      <c r="A6951" s="185"/>
      <c r="B6951" s="59" t="s">
        <v>21504</v>
      </c>
      <c r="C6951" s="147" t="s">
        <v>20221</v>
      </c>
      <c r="D6951" s="284" t="s">
        <v>897</v>
      </c>
      <c r="E6951" s="178">
        <v>2011</v>
      </c>
      <c r="F6951" s="178" t="s">
        <v>23395</v>
      </c>
      <c r="G6951" s="496"/>
      <c r="H6951" s="994" t="s">
        <v>20224</v>
      </c>
      <c r="I6951" s="11" t="s">
        <v>9540</v>
      </c>
      <c r="J6951" s="1285"/>
      <c r="K6951" s="1285"/>
      <c r="L6951" s="1285"/>
    </row>
    <row r="6952" spans="1:12" ht="11.15" customHeight="1">
      <c r="A6952" s="185"/>
      <c r="B6952" s="59" t="s">
        <v>21504</v>
      </c>
      <c r="C6952" s="147" t="s">
        <v>20221</v>
      </c>
      <c r="D6952" s="284" t="s">
        <v>897</v>
      </c>
      <c r="E6952" s="178">
        <v>2008</v>
      </c>
      <c r="F6952" s="178" t="s">
        <v>23395</v>
      </c>
      <c r="G6952" s="496"/>
      <c r="H6952" s="994" t="s">
        <v>20224</v>
      </c>
      <c r="I6952" s="11" t="s">
        <v>9448</v>
      </c>
      <c r="J6952" s="1285"/>
      <c r="K6952" s="1285"/>
      <c r="L6952" s="1285"/>
    </row>
    <row r="6953" spans="1:12" ht="11.15" customHeight="1">
      <c r="A6953" s="185"/>
      <c r="B6953" s="154" t="s">
        <v>9541</v>
      </c>
      <c r="C6953" s="147"/>
      <c r="D6953" s="122"/>
      <c r="E6953" s="185"/>
      <c r="F6953" s="185"/>
      <c r="G6953" s="416"/>
      <c r="H6953" s="185"/>
      <c r="I6953" s="11"/>
    </row>
    <row r="6954" spans="1:12" ht="11.15" customHeight="1">
      <c r="A6954" s="185"/>
      <c r="B6954" s="59" t="s">
        <v>21505</v>
      </c>
      <c r="C6954" s="147" t="s">
        <v>20221</v>
      </c>
      <c r="D6954" s="284" t="s">
        <v>897</v>
      </c>
      <c r="E6954" s="178">
        <v>2020</v>
      </c>
      <c r="F6954" s="178" t="s">
        <v>5257</v>
      </c>
      <c r="G6954" s="496"/>
      <c r="H6954" s="994" t="s">
        <v>20221</v>
      </c>
      <c r="I6954" s="11" t="s">
        <v>9542</v>
      </c>
      <c r="J6954" s="1285"/>
      <c r="K6954" s="1285"/>
      <c r="L6954" s="1285"/>
    </row>
    <row r="6955" spans="1:12" ht="11.15" customHeight="1">
      <c r="A6955" s="185"/>
      <c r="B6955" s="59" t="s">
        <v>21506</v>
      </c>
      <c r="C6955" s="147" t="s">
        <v>20221</v>
      </c>
      <c r="D6955" s="284" t="s">
        <v>897</v>
      </c>
      <c r="E6955" s="178">
        <v>2018</v>
      </c>
      <c r="F6955" s="178" t="s">
        <v>5257</v>
      </c>
      <c r="G6955" s="496"/>
      <c r="H6955" s="994" t="s">
        <v>20221</v>
      </c>
      <c r="I6955" s="11" t="s">
        <v>9543</v>
      </c>
      <c r="J6955" s="1285"/>
      <c r="K6955" s="1285"/>
      <c r="L6955" s="1285"/>
    </row>
    <row r="6956" spans="1:12" ht="11.15" customHeight="1">
      <c r="A6956" s="185"/>
      <c r="B6956" s="59" t="s">
        <v>21506</v>
      </c>
      <c r="C6956" s="147" t="s">
        <v>20221</v>
      </c>
      <c r="D6956" s="284" t="s">
        <v>897</v>
      </c>
      <c r="E6956" s="178">
        <v>2017</v>
      </c>
      <c r="F6956" s="178" t="s">
        <v>5257</v>
      </c>
      <c r="G6956" s="496"/>
      <c r="H6956" s="994" t="s">
        <v>20221</v>
      </c>
      <c r="I6956" s="11" t="s">
        <v>9544</v>
      </c>
      <c r="J6956" s="1285"/>
      <c r="K6956" s="1285"/>
      <c r="L6956" s="1285"/>
    </row>
    <row r="6957" spans="1:12" ht="11.15" customHeight="1">
      <c r="A6957" s="185"/>
      <c r="B6957" s="59" t="s">
        <v>21506</v>
      </c>
      <c r="C6957" s="147" t="s">
        <v>20221</v>
      </c>
      <c r="D6957" s="284" t="s">
        <v>897</v>
      </c>
      <c r="E6957" s="178">
        <v>2016</v>
      </c>
      <c r="F6957" s="178" t="s">
        <v>11931</v>
      </c>
      <c r="G6957" s="496"/>
      <c r="H6957" s="994" t="s">
        <v>20221</v>
      </c>
      <c r="I6957" s="11" t="s">
        <v>9545</v>
      </c>
      <c r="J6957" s="1285"/>
      <c r="K6957" s="1285"/>
      <c r="L6957" s="1285"/>
    </row>
    <row r="6958" spans="1:12" ht="11.15" customHeight="1">
      <c r="A6958" s="185"/>
      <c r="B6958" s="59" t="s">
        <v>21506</v>
      </c>
      <c r="C6958" s="147" t="s">
        <v>20221</v>
      </c>
      <c r="D6958" s="284" t="s">
        <v>897</v>
      </c>
      <c r="E6958" s="178">
        <v>2015</v>
      </c>
      <c r="F6958" s="178" t="s">
        <v>11931</v>
      </c>
      <c r="G6958" s="496"/>
      <c r="H6958" s="994" t="s">
        <v>20221</v>
      </c>
      <c r="I6958" s="11" t="s">
        <v>9546</v>
      </c>
      <c r="J6958" s="1285"/>
      <c r="K6958" s="1285"/>
      <c r="L6958" s="1285"/>
    </row>
    <row r="6959" spans="1:12" ht="11.15" customHeight="1">
      <c r="A6959" s="185"/>
      <c r="B6959" s="59" t="s">
        <v>21507</v>
      </c>
      <c r="C6959" s="147" t="s">
        <v>20221</v>
      </c>
      <c r="D6959" s="284" t="s">
        <v>897</v>
      </c>
      <c r="E6959" s="178">
        <v>2014</v>
      </c>
      <c r="F6959" s="178" t="s">
        <v>11931</v>
      </c>
      <c r="G6959" s="496"/>
      <c r="H6959" s="994" t="s">
        <v>20221</v>
      </c>
      <c r="I6959" s="11" t="s">
        <v>9440</v>
      </c>
      <c r="J6959" s="1285"/>
      <c r="K6959" s="1285"/>
      <c r="L6959" s="1285"/>
    </row>
    <row r="6960" spans="1:12" ht="11.15" customHeight="1">
      <c r="A6960" s="185"/>
      <c r="B6960" s="59" t="s">
        <v>21508</v>
      </c>
      <c r="C6960" s="147" t="s">
        <v>20221</v>
      </c>
      <c r="D6960" s="284" t="s">
        <v>897</v>
      </c>
      <c r="E6960" s="178">
        <v>2018</v>
      </c>
      <c r="F6960" s="178" t="s">
        <v>5257</v>
      </c>
      <c r="G6960" s="496"/>
      <c r="H6960" s="994" t="s">
        <v>20221</v>
      </c>
      <c r="I6960" s="11" t="s">
        <v>9547</v>
      </c>
      <c r="J6960" s="1285"/>
      <c r="K6960" s="1285"/>
      <c r="L6960" s="1285"/>
    </row>
    <row r="6961" spans="1:12" ht="11.15" customHeight="1">
      <c r="A6961" s="185"/>
      <c r="B6961" s="59" t="s">
        <v>21509</v>
      </c>
      <c r="C6961" s="147" t="s">
        <v>20221</v>
      </c>
      <c r="D6961" s="284" t="s">
        <v>897</v>
      </c>
      <c r="E6961" s="178">
        <v>2016</v>
      </c>
      <c r="F6961" s="178" t="s">
        <v>11931</v>
      </c>
      <c r="G6961" s="496"/>
      <c r="H6961" s="994" t="s">
        <v>20224</v>
      </c>
      <c r="I6961" s="11" t="s">
        <v>9548</v>
      </c>
      <c r="J6961" s="1285"/>
      <c r="K6961" s="1285"/>
      <c r="L6961" s="1285"/>
    </row>
    <row r="6962" spans="1:12" ht="11.15" customHeight="1">
      <c r="A6962" s="185"/>
      <c r="B6962" s="59" t="s">
        <v>21510</v>
      </c>
      <c r="C6962" s="147" t="s">
        <v>20221</v>
      </c>
      <c r="D6962" s="284" t="s">
        <v>897</v>
      </c>
      <c r="E6962" s="178">
        <v>2014</v>
      </c>
      <c r="F6962" s="178" t="s">
        <v>11931</v>
      </c>
      <c r="G6962" s="496"/>
      <c r="H6962" s="994" t="s">
        <v>20224</v>
      </c>
      <c r="I6962" s="11" t="s">
        <v>9549</v>
      </c>
      <c r="J6962" s="1285"/>
      <c r="K6962" s="1285"/>
      <c r="L6962" s="1285"/>
    </row>
    <row r="6963" spans="1:12" ht="11.15" customHeight="1">
      <c r="A6963" s="185"/>
      <c r="B6963" s="59" t="s">
        <v>21511</v>
      </c>
      <c r="C6963" s="147" t="s">
        <v>20221</v>
      </c>
      <c r="D6963" s="284" t="s">
        <v>897</v>
      </c>
      <c r="E6963" s="178">
        <v>2014</v>
      </c>
      <c r="F6963" s="178" t="s">
        <v>11931</v>
      </c>
      <c r="G6963" s="496"/>
      <c r="H6963" s="994" t="s">
        <v>20221</v>
      </c>
      <c r="I6963" s="11" t="s">
        <v>9550</v>
      </c>
      <c r="J6963" s="1285"/>
      <c r="K6963" s="1285"/>
      <c r="L6963" s="1285"/>
    </row>
    <row r="6964" spans="1:12" ht="11.15" customHeight="1">
      <c r="A6964" s="185"/>
      <c r="B6964" s="59" t="s">
        <v>21512</v>
      </c>
      <c r="C6964" s="147" t="s">
        <v>20221</v>
      </c>
      <c r="D6964" s="284" t="s">
        <v>897</v>
      </c>
      <c r="E6964" s="178">
        <v>2016</v>
      </c>
      <c r="F6964" s="178" t="s">
        <v>11931</v>
      </c>
      <c r="G6964" s="496"/>
      <c r="H6964" s="994" t="s">
        <v>20221</v>
      </c>
      <c r="I6964" s="11" t="s">
        <v>9551</v>
      </c>
      <c r="J6964" s="1285"/>
      <c r="K6964" s="1285"/>
      <c r="L6964" s="1285"/>
    </row>
    <row r="6965" spans="1:12" ht="11.15" customHeight="1">
      <c r="A6965" s="185"/>
      <c r="B6965" s="59" t="s">
        <v>21513</v>
      </c>
      <c r="C6965" s="147" t="s">
        <v>20221</v>
      </c>
      <c r="D6965" s="284" t="s">
        <v>897</v>
      </c>
      <c r="E6965" s="178">
        <v>2015</v>
      </c>
      <c r="F6965" s="178" t="s">
        <v>11931</v>
      </c>
      <c r="G6965" s="496"/>
      <c r="H6965" s="994" t="s">
        <v>20221</v>
      </c>
      <c r="I6965" s="11" t="s">
        <v>9552</v>
      </c>
      <c r="J6965" s="1285"/>
      <c r="K6965" s="1285"/>
      <c r="L6965" s="1285"/>
    </row>
    <row r="6966" spans="1:12" ht="11.15" customHeight="1">
      <c r="A6966" s="185"/>
      <c r="B6966" s="59" t="s">
        <v>21514</v>
      </c>
      <c r="C6966" s="147" t="s">
        <v>20221</v>
      </c>
      <c r="D6966" s="284" t="s">
        <v>897</v>
      </c>
      <c r="E6966" s="178">
        <v>2014</v>
      </c>
      <c r="F6966" s="178" t="s">
        <v>11931</v>
      </c>
      <c r="G6966" s="496"/>
      <c r="H6966" s="994" t="s">
        <v>20221</v>
      </c>
      <c r="I6966" s="11" t="s">
        <v>9553</v>
      </c>
      <c r="J6966" s="1285"/>
      <c r="K6966" s="1285"/>
      <c r="L6966" s="1285"/>
    </row>
    <row r="6967" spans="1:12" ht="11.15" customHeight="1">
      <c r="A6967" s="185"/>
      <c r="B6967" s="59" t="s">
        <v>21515</v>
      </c>
      <c r="C6967" s="147" t="s">
        <v>20221</v>
      </c>
      <c r="D6967" s="284" t="s">
        <v>897</v>
      </c>
      <c r="E6967" s="178">
        <v>2018</v>
      </c>
      <c r="F6967" s="178" t="s">
        <v>5257</v>
      </c>
      <c r="G6967" s="496"/>
      <c r="H6967" s="994" t="s">
        <v>20221</v>
      </c>
      <c r="I6967" s="11" t="s">
        <v>9554</v>
      </c>
      <c r="J6967" s="1285"/>
      <c r="K6967" s="1285"/>
      <c r="L6967" s="1285"/>
    </row>
    <row r="6968" spans="1:12" ht="11.15" customHeight="1">
      <c r="A6968" s="185"/>
      <c r="B6968" s="59" t="s">
        <v>21515</v>
      </c>
      <c r="C6968" s="147" t="s">
        <v>20221</v>
      </c>
      <c r="D6968" s="284" t="s">
        <v>897</v>
      </c>
      <c r="E6968" s="178">
        <v>2016</v>
      </c>
      <c r="F6968" s="178" t="s">
        <v>11931</v>
      </c>
      <c r="G6968" s="496"/>
      <c r="H6968" s="994" t="s">
        <v>20221</v>
      </c>
      <c r="I6968" s="11" t="s">
        <v>9555</v>
      </c>
      <c r="J6968" s="1285"/>
      <c r="K6968" s="1285"/>
      <c r="L6968" s="1285"/>
    </row>
    <row r="6969" spans="1:12" ht="11.15" customHeight="1">
      <c r="A6969" s="185"/>
      <c r="B6969" s="59" t="s">
        <v>21516</v>
      </c>
      <c r="C6969" s="147" t="s">
        <v>20221</v>
      </c>
      <c r="D6969" s="284" t="s">
        <v>897</v>
      </c>
      <c r="E6969" s="178">
        <v>2015</v>
      </c>
      <c r="F6969" s="178" t="s">
        <v>11931</v>
      </c>
      <c r="G6969" s="496"/>
      <c r="H6969" s="994" t="s">
        <v>20224</v>
      </c>
      <c r="I6969" s="11" t="s">
        <v>9556</v>
      </c>
      <c r="J6969" s="1285"/>
      <c r="K6969" s="1285"/>
      <c r="L6969" s="1285"/>
    </row>
    <row r="6970" spans="1:12" ht="11.15" customHeight="1">
      <c r="A6970" s="185"/>
      <c r="B6970" s="59" t="s">
        <v>21517</v>
      </c>
      <c r="C6970" s="147" t="s">
        <v>20221</v>
      </c>
      <c r="D6970" s="284" t="s">
        <v>897</v>
      </c>
      <c r="E6970" s="178">
        <v>2014</v>
      </c>
      <c r="F6970" s="178" t="s">
        <v>11931</v>
      </c>
      <c r="G6970" s="496"/>
      <c r="H6970" s="994" t="s">
        <v>20221</v>
      </c>
      <c r="I6970" s="11" t="s">
        <v>9557</v>
      </c>
      <c r="J6970" s="1285"/>
      <c r="K6970" s="1285"/>
      <c r="L6970" s="1285"/>
    </row>
    <row r="6971" spans="1:12" ht="11.15" customHeight="1">
      <c r="A6971" s="185"/>
      <c r="B6971" s="59" t="s">
        <v>21517</v>
      </c>
      <c r="C6971" s="147" t="s">
        <v>20221</v>
      </c>
      <c r="D6971" s="284" t="s">
        <v>897</v>
      </c>
      <c r="E6971" s="178">
        <v>2012</v>
      </c>
      <c r="F6971" s="178" t="s">
        <v>11931</v>
      </c>
      <c r="G6971" s="496"/>
      <c r="H6971" s="994" t="s">
        <v>20224</v>
      </c>
      <c r="I6971" s="11" t="s">
        <v>9558</v>
      </c>
      <c r="J6971" s="1285"/>
      <c r="K6971" s="1285"/>
      <c r="L6971" s="1285"/>
    </row>
    <row r="6972" spans="1:12" ht="11.15" customHeight="1">
      <c r="A6972" s="185"/>
      <c r="B6972" s="59" t="s">
        <v>21518</v>
      </c>
      <c r="C6972" s="147" t="s">
        <v>20221</v>
      </c>
      <c r="D6972" s="284" t="s">
        <v>897</v>
      </c>
      <c r="E6972" s="178">
        <v>2015</v>
      </c>
      <c r="F6972" s="178" t="s">
        <v>11931</v>
      </c>
      <c r="G6972" s="496"/>
      <c r="H6972" s="994" t="s">
        <v>20224</v>
      </c>
      <c r="I6972" s="11" t="s">
        <v>9559</v>
      </c>
      <c r="J6972" s="1285"/>
      <c r="K6972" s="1285"/>
      <c r="L6972" s="1285"/>
    </row>
    <row r="6973" spans="1:12" ht="11.15" customHeight="1">
      <c r="A6973" s="185"/>
      <c r="B6973" s="59" t="s">
        <v>21519</v>
      </c>
      <c r="C6973" s="147" t="s">
        <v>20221</v>
      </c>
      <c r="D6973" s="284" t="s">
        <v>897</v>
      </c>
      <c r="E6973" s="178">
        <v>2014</v>
      </c>
      <c r="F6973" s="178" t="s">
        <v>11931</v>
      </c>
      <c r="G6973" s="496"/>
      <c r="H6973" s="994" t="s">
        <v>20221</v>
      </c>
      <c r="I6973" s="11" t="s">
        <v>9560</v>
      </c>
      <c r="J6973" s="1285"/>
      <c r="K6973" s="1285"/>
      <c r="L6973" s="1285"/>
    </row>
    <row r="6974" spans="1:12" ht="11.15" customHeight="1">
      <c r="A6974" s="185"/>
      <c r="B6974" s="59" t="s">
        <v>21519</v>
      </c>
      <c r="C6974" s="147" t="s">
        <v>20221</v>
      </c>
      <c r="D6974" s="284" t="s">
        <v>897</v>
      </c>
      <c r="E6974" s="178">
        <v>2012</v>
      </c>
      <c r="F6974" s="178" t="s">
        <v>11931</v>
      </c>
      <c r="G6974" s="496"/>
      <c r="H6974" s="994" t="s">
        <v>20224</v>
      </c>
      <c r="I6974" s="11" t="s">
        <v>9561</v>
      </c>
      <c r="J6974" s="1285"/>
      <c r="K6974" s="1285"/>
      <c r="L6974" s="1285"/>
    </row>
    <row r="6975" spans="1:12" ht="11.15" customHeight="1" thickBot="1">
      <c r="A6975" s="185"/>
      <c r="B6975" s="90"/>
      <c r="C6975" s="147"/>
      <c r="D6975" s="161"/>
      <c r="E6975" s="36"/>
      <c r="F6975" s="183"/>
      <c r="G6975" s="496"/>
      <c r="H6975" s="34"/>
      <c r="I6975" s="11"/>
    </row>
    <row r="6976" spans="1:12" ht="11.15" customHeight="1" thickBot="1">
      <c r="A6976" s="184" t="s">
        <v>9199</v>
      </c>
      <c r="B6976" s="59" t="s">
        <v>21520</v>
      </c>
      <c r="C6976" s="147" t="s">
        <v>20221</v>
      </c>
      <c r="D6976" s="701" t="s">
        <v>1129</v>
      </c>
      <c r="E6976" s="178" t="s">
        <v>20221</v>
      </c>
      <c r="F6976" s="178" t="s">
        <v>23395</v>
      </c>
      <c r="G6976" s="496"/>
      <c r="H6976" s="994" t="s">
        <v>20224</v>
      </c>
      <c r="I6976" s="11" t="s">
        <v>9562</v>
      </c>
      <c r="J6976" s="1285"/>
      <c r="K6976" s="1285"/>
      <c r="L6976" s="1285"/>
    </row>
    <row r="6977" spans="1:12" ht="11.15" customHeight="1">
      <c r="A6977" s="29" t="s">
        <v>9563</v>
      </c>
      <c r="B6977" s="59" t="s">
        <v>21481</v>
      </c>
      <c r="C6977" s="147" t="s">
        <v>20221</v>
      </c>
      <c r="D6977" s="701" t="s">
        <v>1129</v>
      </c>
      <c r="E6977" s="178" t="s">
        <v>20221</v>
      </c>
      <c r="F6977" s="178" t="s">
        <v>23395</v>
      </c>
      <c r="G6977" s="496"/>
      <c r="H6977" s="994" t="s">
        <v>20221</v>
      </c>
      <c r="I6977" s="11" t="s">
        <v>9564</v>
      </c>
      <c r="J6977" s="1285"/>
      <c r="K6977" s="1285"/>
      <c r="L6977" s="1285"/>
    </row>
    <row r="6978" spans="1:12" ht="11.15" customHeight="1">
      <c r="A6978" s="29" t="s">
        <v>9565</v>
      </c>
      <c r="B6978" s="59" t="s">
        <v>21521</v>
      </c>
      <c r="C6978" s="147" t="s">
        <v>20221</v>
      </c>
      <c r="D6978" s="284" t="s">
        <v>897</v>
      </c>
      <c r="E6978" s="178" t="s">
        <v>20221</v>
      </c>
      <c r="F6978" s="178" t="s">
        <v>23395</v>
      </c>
      <c r="G6978" s="496"/>
      <c r="H6978" s="994" t="s">
        <v>20221</v>
      </c>
      <c r="I6978" s="11" t="s">
        <v>9566</v>
      </c>
      <c r="J6978" s="1285"/>
      <c r="K6978" s="1285"/>
      <c r="L6978" s="1285"/>
    </row>
    <row r="6979" spans="1:12" ht="11.15" customHeight="1">
      <c r="A6979" s="29" t="s">
        <v>9567</v>
      </c>
      <c r="B6979" s="59" t="s">
        <v>21522</v>
      </c>
      <c r="C6979" s="147" t="s">
        <v>20221</v>
      </c>
      <c r="D6979" s="284" t="s">
        <v>897</v>
      </c>
      <c r="E6979" s="178" t="s">
        <v>20221</v>
      </c>
      <c r="F6979" s="178" t="s">
        <v>23395</v>
      </c>
      <c r="G6979" s="496"/>
      <c r="H6979" s="994" t="s">
        <v>20221</v>
      </c>
      <c r="I6979" s="11" t="s">
        <v>9568</v>
      </c>
      <c r="J6979" s="1285"/>
      <c r="K6979" s="1285"/>
      <c r="L6979" s="1285"/>
    </row>
    <row r="6980" spans="1:12" ht="11.15" customHeight="1">
      <c r="A6980" s="29" t="s">
        <v>9569</v>
      </c>
      <c r="B6980" s="59" t="s">
        <v>21523</v>
      </c>
      <c r="C6980" s="147" t="s">
        <v>20221</v>
      </c>
      <c r="D6980" s="284" t="s">
        <v>897</v>
      </c>
      <c r="E6980" s="178" t="s">
        <v>20221</v>
      </c>
      <c r="F6980" s="178" t="s">
        <v>23395</v>
      </c>
      <c r="G6980" s="496" t="s">
        <v>20221</v>
      </c>
      <c r="H6980" s="994" t="s">
        <v>3907</v>
      </c>
      <c r="I6980" s="11" t="s">
        <v>9570</v>
      </c>
      <c r="J6980" s="1285"/>
      <c r="K6980" s="1285"/>
      <c r="L6980" s="1285"/>
    </row>
    <row r="6981" spans="1:12" ht="11.15" customHeight="1">
      <c r="A6981" s="229" t="s">
        <v>9571</v>
      </c>
      <c r="B6981" s="185"/>
      <c r="C6981" s="147"/>
      <c r="D6981" s="129"/>
      <c r="E6981" s="185"/>
      <c r="F6981" s="185"/>
      <c r="G6981" s="185"/>
      <c r="H6981" s="185"/>
      <c r="I6981" s="11"/>
    </row>
    <row r="6982" spans="1:12" ht="11.15" customHeight="1">
      <c r="A6982" s="29" t="s">
        <v>9572</v>
      </c>
      <c r="B6982" s="185"/>
      <c r="C6982" s="147"/>
      <c r="D6982" s="129"/>
      <c r="E6982" s="185"/>
      <c r="F6982" s="185"/>
      <c r="G6982" s="185"/>
      <c r="H6982" s="185"/>
      <c r="I6982" s="11"/>
    </row>
    <row r="6983" spans="1:12" ht="11.15" customHeight="1">
      <c r="A6983" s="129" t="s">
        <v>9573</v>
      </c>
      <c r="B6983" s="185"/>
      <c r="C6983" s="147"/>
      <c r="D6983" s="129"/>
      <c r="E6983" s="185"/>
      <c r="F6983" s="185"/>
      <c r="G6983" s="185"/>
      <c r="H6983" s="185"/>
      <c r="I6983" s="11"/>
    </row>
    <row r="6984" spans="1:12" ht="11.15" customHeight="1">
      <c r="A6984" s="481" t="s">
        <v>9574</v>
      </c>
      <c r="B6984" s="185"/>
      <c r="C6984" s="147"/>
      <c r="D6984" s="129"/>
      <c r="E6984" s="185"/>
      <c r="F6984" s="185"/>
      <c r="G6984" s="185"/>
      <c r="H6984" s="185"/>
      <c r="I6984" s="11"/>
    </row>
    <row r="6985" spans="1:12" ht="11.15" customHeight="1">
      <c r="A6985" s="29"/>
      <c r="B6985" s="146" t="s">
        <v>9575</v>
      </c>
      <c r="C6985" s="147"/>
      <c r="D6985" s="129"/>
      <c r="E6985" s="185"/>
      <c r="F6985" s="185"/>
      <c r="G6985" s="185"/>
      <c r="H6985" s="185"/>
      <c r="I6985" s="11"/>
    </row>
    <row r="6986" spans="1:12" ht="9" customHeight="1">
      <c r="A6986" s="185"/>
      <c r="B6986" s="150" t="s">
        <v>9576</v>
      </c>
      <c r="C6986" s="147"/>
      <c r="D6986" s="122"/>
      <c r="E6986" s="36"/>
      <c r="F6986" s="178"/>
      <c r="G6986" s="60"/>
      <c r="H6986" s="36"/>
      <c r="I6986" s="11"/>
    </row>
    <row r="6987" spans="1:12" ht="9" customHeight="1" thickBot="1">
      <c r="A6987" s="185"/>
      <c r="B6987" s="210" t="s">
        <v>9577</v>
      </c>
      <c r="C6987" s="147"/>
      <c r="D6987" s="122"/>
      <c r="E6987" s="36"/>
      <c r="F6987" s="178"/>
      <c r="G6987" s="60"/>
      <c r="H6987" s="36"/>
      <c r="I6987" s="11"/>
    </row>
    <row r="6988" spans="1:12" ht="11.15" customHeight="1" thickBot="1">
      <c r="A6988" s="184" t="s">
        <v>9578</v>
      </c>
      <c r="B6988" s="177" t="s">
        <v>2242</v>
      </c>
      <c r="C6988" s="147"/>
      <c r="D6988" s="159"/>
      <c r="E6988" s="36"/>
      <c r="F6988" s="178"/>
      <c r="G6988" s="496"/>
      <c r="H6988" s="36"/>
      <c r="I6988" s="11"/>
    </row>
    <row r="6989" spans="1:12" ht="11.15" customHeight="1">
      <c r="A6989" s="29" t="s">
        <v>9579</v>
      </c>
      <c r="B6989" s="59" t="s">
        <v>21524</v>
      </c>
      <c r="C6989" s="147" t="s">
        <v>20221</v>
      </c>
      <c r="D6989" s="701" t="s">
        <v>1129</v>
      </c>
      <c r="E6989" s="178">
        <v>2022</v>
      </c>
      <c r="F6989" s="178" t="s">
        <v>7168</v>
      </c>
      <c r="G6989" s="496"/>
      <c r="H6989" s="994" t="s">
        <v>20221</v>
      </c>
      <c r="I6989" s="11" t="s">
        <v>9580</v>
      </c>
      <c r="J6989" s="1285"/>
      <c r="K6989" s="1285"/>
      <c r="L6989" s="1285"/>
    </row>
    <row r="6990" spans="1:12" ht="11.15" customHeight="1">
      <c r="A6990" s="29" t="s">
        <v>9581</v>
      </c>
      <c r="B6990" s="59" t="s">
        <v>21524</v>
      </c>
      <c r="C6990" s="147" t="s">
        <v>20221</v>
      </c>
      <c r="D6990" s="701" t="s">
        <v>1129</v>
      </c>
      <c r="E6990" s="178">
        <v>2019</v>
      </c>
      <c r="F6990" s="178" t="s">
        <v>7168</v>
      </c>
      <c r="G6990" s="496"/>
      <c r="H6990" s="994" t="s">
        <v>20224</v>
      </c>
      <c r="I6990" s="11" t="s">
        <v>9582</v>
      </c>
      <c r="J6990" s="1285"/>
      <c r="K6990" s="1285"/>
      <c r="L6990" s="1285"/>
    </row>
    <row r="6991" spans="1:12" ht="11.15" customHeight="1">
      <c r="A6991" s="181" t="s">
        <v>9583</v>
      </c>
      <c r="B6991" s="59" t="s">
        <v>21525</v>
      </c>
      <c r="C6991" s="147" t="s">
        <v>20221</v>
      </c>
      <c r="D6991" s="701" t="s">
        <v>1129</v>
      </c>
      <c r="E6991" s="178">
        <v>2020</v>
      </c>
      <c r="F6991" s="178" t="s">
        <v>4520</v>
      </c>
      <c r="G6991" s="496"/>
      <c r="H6991" s="994" t="s">
        <v>20221</v>
      </c>
      <c r="I6991" s="11" t="s">
        <v>9584</v>
      </c>
      <c r="J6991" s="1285"/>
      <c r="K6991" s="1285"/>
      <c r="L6991" s="1285"/>
    </row>
    <row r="6992" spans="1:12" ht="11.15" customHeight="1">
      <c r="A6992" s="29" t="s">
        <v>9585</v>
      </c>
      <c r="B6992" s="59" t="s">
        <v>21520</v>
      </c>
      <c r="C6992" s="147" t="s">
        <v>20221</v>
      </c>
      <c r="D6992" s="701" t="s">
        <v>1129</v>
      </c>
      <c r="E6992" s="178">
        <v>2022</v>
      </c>
      <c r="F6992" s="178" t="s">
        <v>4520</v>
      </c>
      <c r="G6992" s="496"/>
      <c r="H6992" s="994" t="s">
        <v>20221</v>
      </c>
      <c r="I6992" s="11" t="s">
        <v>9586</v>
      </c>
      <c r="J6992" s="1285"/>
      <c r="K6992" s="1285"/>
      <c r="L6992" s="1285"/>
    </row>
    <row r="6993" spans="1:12" ht="11.15" customHeight="1">
      <c r="A6993" s="129" t="s">
        <v>951</v>
      </c>
      <c r="B6993" s="59" t="s">
        <v>21520</v>
      </c>
      <c r="C6993" s="147" t="s">
        <v>20221</v>
      </c>
      <c r="D6993" s="701" t="s">
        <v>1129</v>
      </c>
      <c r="E6993" s="178">
        <v>2019</v>
      </c>
      <c r="F6993" s="178" t="s">
        <v>4520</v>
      </c>
      <c r="G6993" s="496"/>
      <c r="H6993" s="994" t="s">
        <v>20221</v>
      </c>
      <c r="I6993" s="11" t="s">
        <v>9587</v>
      </c>
      <c r="J6993" s="1285"/>
      <c r="K6993" s="1285"/>
      <c r="L6993" s="1285"/>
    </row>
    <row r="6994" spans="1:12" ht="11.15" customHeight="1">
      <c r="A6994" s="162" t="s">
        <v>9588</v>
      </c>
      <c r="B6994" s="59" t="s">
        <v>21526</v>
      </c>
      <c r="C6994" s="147" t="s">
        <v>20221</v>
      </c>
      <c r="D6994" s="701" t="s">
        <v>1129</v>
      </c>
      <c r="E6994" s="178">
        <v>2020</v>
      </c>
      <c r="F6994" s="178" t="s">
        <v>11931</v>
      </c>
      <c r="G6994" s="496"/>
      <c r="H6994" s="994" t="s">
        <v>20224</v>
      </c>
      <c r="I6994" s="11" t="s">
        <v>9589</v>
      </c>
      <c r="J6994" s="1285"/>
      <c r="K6994" s="1285"/>
      <c r="L6994" s="1285"/>
    </row>
    <row r="6995" spans="1:12" ht="11.15" customHeight="1">
      <c r="A6995" s="162" t="s">
        <v>9590</v>
      </c>
      <c r="B6995" s="177" t="s">
        <v>9591</v>
      </c>
      <c r="C6995" s="147"/>
      <c r="D6995" s="161"/>
      <c r="E6995" s="36"/>
      <c r="F6995" s="178"/>
      <c r="G6995" s="496"/>
      <c r="H6995" s="178"/>
      <c r="I6995" s="11"/>
    </row>
    <row r="6996" spans="1:12" ht="11.15" customHeight="1">
      <c r="A6996" s="162" t="s">
        <v>9592</v>
      </c>
      <c r="B6996" s="59" t="s">
        <v>21527</v>
      </c>
      <c r="C6996" s="147" t="s">
        <v>20221</v>
      </c>
      <c r="D6996" s="284" t="s">
        <v>897</v>
      </c>
      <c r="E6996" s="178">
        <v>2018</v>
      </c>
      <c r="F6996" s="178" t="s">
        <v>7168</v>
      </c>
      <c r="G6996" s="496"/>
      <c r="H6996" s="994" t="s">
        <v>20221</v>
      </c>
      <c r="I6996" s="11" t="s">
        <v>9593</v>
      </c>
      <c r="J6996" s="1285"/>
      <c r="K6996" s="1285"/>
      <c r="L6996" s="1285"/>
    </row>
    <row r="6997" spans="1:12" ht="11.15" customHeight="1">
      <c r="A6997" s="355" t="s">
        <v>9594</v>
      </c>
      <c r="B6997" s="177" t="s">
        <v>1398</v>
      </c>
      <c r="C6997" s="147"/>
      <c r="D6997" s="161"/>
      <c r="E6997" s="36"/>
      <c r="F6997" s="178"/>
      <c r="G6997" s="496"/>
      <c r="H6997" s="36"/>
      <c r="I6997" s="11"/>
    </row>
    <row r="6998" spans="1:12" ht="11.15" customHeight="1">
      <c r="A6998" s="162" t="s">
        <v>9595</v>
      </c>
      <c r="B6998" s="59" t="s">
        <v>21473</v>
      </c>
      <c r="C6998" s="147" t="s">
        <v>20221</v>
      </c>
      <c r="D6998" s="284" t="s">
        <v>897</v>
      </c>
      <c r="E6998" s="178">
        <v>2021</v>
      </c>
      <c r="F6998" s="178" t="s">
        <v>4520</v>
      </c>
      <c r="G6998" s="496"/>
      <c r="H6998" s="994" t="s">
        <v>20221</v>
      </c>
      <c r="I6998" s="11" t="s">
        <v>9597</v>
      </c>
      <c r="J6998" s="1285"/>
      <c r="K6998" s="1285"/>
      <c r="L6998" s="1285"/>
    </row>
    <row r="6999" spans="1:12" ht="11.15" customHeight="1">
      <c r="A6999" s="166" t="s">
        <v>9596</v>
      </c>
      <c r="B6999" s="59" t="s">
        <v>21473</v>
      </c>
      <c r="C6999" s="147" t="s">
        <v>20221</v>
      </c>
      <c r="D6999" s="284" t="s">
        <v>897</v>
      </c>
      <c r="E6999" s="178">
        <v>2020</v>
      </c>
      <c r="F6999" s="178" t="s">
        <v>4520</v>
      </c>
      <c r="G6999" s="496"/>
      <c r="H6999" s="994" t="s">
        <v>20221</v>
      </c>
      <c r="I6999" s="11" t="s">
        <v>9598</v>
      </c>
      <c r="J6999" s="1285"/>
      <c r="K6999" s="1285"/>
      <c r="L6999" s="1285"/>
    </row>
    <row r="7000" spans="1:12" ht="11.15" customHeight="1">
      <c r="A7000" s="492" t="s">
        <v>6714</v>
      </c>
      <c r="B7000" s="59" t="s">
        <v>21473</v>
      </c>
      <c r="C7000" s="147" t="s">
        <v>20221</v>
      </c>
      <c r="D7000" s="284" t="s">
        <v>897</v>
      </c>
      <c r="E7000" s="178">
        <v>2019</v>
      </c>
      <c r="F7000" s="178" t="s">
        <v>4520</v>
      </c>
      <c r="G7000" s="496"/>
      <c r="H7000" s="994" t="s">
        <v>20221</v>
      </c>
      <c r="I7000" s="11" t="s">
        <v>9600</v>
      </c>
      <c r="J7000" s="1285"/>
      <c r="K7000" s="1285"/>
      <c r="L7000" s="1285"/>
    </row>
    <row r="7001" spans="1:12" ht="11.15" customHeight="1">
      <c r="A7001" s="481" t="s">
        <v>9599</v>
      </c>
      <c r="B7001" s="59" t="s">
        <v>21473</v>
      </c>
      <c r="C7001" s="147" t="s">
        <v>20221</v>
      </c>
      <c r="D7001" s="284" t="s">
        <v>897</v>
      </c>
      <c r="E7001" s="178">
        <v>2018</v>
      </c>
      <c r="F7001" s="178" t="s">
        <v>4520</v>
      </c>
      <c r="G7001" s="496"/>
      <c r="H7001" s="994" t="s">
        <v>20221</v>
      </c>
      <c r="I7001" s="11" t="s">
        <v>9601</v>
      </c>
      <c r="J7001" s="1285"/>
      <c r="K7001" s="1285"/>
      <c r="L7001" s="1285"/>
    </row>
    <row r="7002" spans="1:12" ht="11.15" customHeight="1">
      <c r="A7002" s="29"/>
      <c r="B7002" s="59" t="s">
        <v>21473</v>
      </c>
      <c r="C7002" s="147" t="s">
        <v>20221</v>
      </c>
      <c r="D7002" s="284" t="s">
        <v>897</v>
      </c>
      <c r="E7002" s="178">
        <v>2017</v>
      </c>
      <c r="F7002" s="178" t="s">
        <v>4520</v>
      </c>
      <c r="G7002" s="496"/>
      <c r="H7002" s="994" t="s">
        <v>20221</v>
      </c>
      <c r="I7002" s="11" t="s">
        <v>9602</v>
      </c>
      <c r="J7002" s="1285"/>
      <c r="K7002" s="1285"/>
      <c r="L7002" s="1285"/>
    </row>
    <row r="7003" spans="1:12" ht="11.15" customHeight="1">
      <c r="A7003" s="185"/>
      <c r="B7003" s="177" t="s">
        <v>2582</v>
      </c>
      <c r="C7003" s="147"/>
      <c r="D7003" s="161"/>
      <c r="E7003" s="36"/>
      <c r="F7003" s="178"/>
      <c r="G7003" s="496"/>
      <c r="H7003" s="36"/>
      <c r="I7003" s="11"/>
    </row>
    <row r="7004" spans="1:12" ht="11.15" customHeight="1">
      <c r="A7004" s="185"/>
      <c r="B7004" s="59" t="s">
        <v>21528</v>
      </c>
      <c r="C7004" s="147" t="s">
        <v>20221</v>
      </c>
      <c r="D7004" s="284" t="s">
        <v>897</v>
      </c>
      <c r="E7004" s="178">
        <v>2021</v>
      </c>
      <c r="F7004" s="178" t="s">
        <v>11931</v>
      </c>
      <c r="G7004" s="496"/>
      <c r="H7004" s="994" t="s">
        <v>20224</v>
      </c>
      <c r="I7004" s="11" t="s">
        <v>9603</v>
      </c>
      <c r="J7004" s="1285"/>
      <c r="K7004" s="1285"/>
      <c r="L7004" s="1285"/>
    </row>
    <row r="7005" spans="1:12" ht="11.15" customHeight="1">
      <c r="A7005" s="185"/>
      <c r="B7005" s="59" t="s">
        <v>21528</v>
      </c>
      <c r="C7005" s="147" t="s">
        <v>20221</v>
      </c>
      <c r="D7005" s="284" t="s">
        <v>897</v>
      </c>
      <c r="E7005" s="178">
        <v>2019</v>
      </c>
      <c r="F7005" s="178" t="s">
        <v>11931</v>
      </c>
      <c r="G7005" s="496"/>
      <c r="H7005" s="994" t="s">
        <v>20221</v>
      </c>
      <c r="I7005" s="11" t="s">
        <v>9604</v>
      </c>
      <c r="J7005" s="1285"/>
      <c r="K7005" s="1285"/>
      <c r="L7005" s="1285"/>
    </row>
    <row r="7006" spans="1:12" ht="11.15" customHeight="1">
      <c r="A7006" s="185"/>
      <c r="B7006" s="59" t="s">
        <v>21529</v>
      </c>
      <c r="C7006" s="147" t="s">
        <v>20221</v>
      </c>
      <c r="D7006" s="284" t="s">
        <v>897</v>
      </c>
      <c r="E7006" s="178">
        <v>2019</v>
      </c>
      <c r="F7006" s="178" t="s">
        <v>11938</v>
      </c>
      <c r="G7006" s="496"/>
      <c r="H7006" s="994" t="s">
        <v>20224</v>
      </c>
      <c r="I7006" s="11" t="s">
        <v>9605</v>
      </c>
      <c r="J7006" s="1285"/>
      <c r="K7006" s="1285"/>
      <c r="L7006" s="1285"/>
    </row>
    <row r="7007" spans="1:12" ht="11.15" customHeight="1">
      <c r="A7007" s="185"/>
      <c r="B7007" s="226"/>
      <c r="C7007" s="147"/>
      <c r="D7007" s="161"/>
      <c r="E7007" s="34"/>
      <c r="F7007" s="183"/>
      <c r="G7007" s="497"/>
      <c r="H7007" s="34"/>
      <c r="I7007" s="11"/>
    </row>
    <row r="7008" spans="1:12" ht="9" customHeight="1">
      <c r="A7008" s="162"/>
      <c r="B7008" s="209" t="s">
        <v>9606</v>
      </c>
      <c r="C7008" s="147"/>
      <c r="D7008" s="122"/>
      <c r="E7008" s="36"/>
      <c r="F7008" s="178"/>
      <c r="G7008" s="60"/>
      <c r="H7008" s="36"/>
      <c r="I7008" s="11"/>
    </row>
    <row r="7009" spans="1:12" ht="9" customHeight="1">
      <c r="A7009" s="185"/>
      <c r="B7009" s="150" t="s">
        <v>9607</v>
      </c>
      <c r="C7009" s="147"/>
      <c r="D7009" s="161"/>
      <c r="E7009" s="34"/>
      <c r="F7009" s="178"/>
      <c r="G7009" s="496"/>
      <c r="H7009" s="36"/>
      <c r="I7009" s="11"/>
    </row>
    <row r="7010" spans="1:12" ht="9" customHeight="1">
      <c r="A7010" s="162"/>
      <c r="B7010" s="209" t="s">
        <v>9608</v>
      </c>
      <c r="C7010" s="147"/>
      <c r="D7010" s="122"/>
      <c r="E7010" s="36"/>
      <c r="F7010" s="178"/>
      <c r="G7010" s="60"/>
      <c r="H7010" s="36"/>
      <c r="I7010" s="11"/>
    </row>
    <row r="7011" spans="1:12" ht="9" customHeight="1">
      <c r="A7011" s="162"/>
      <c r="B7011" s="209" t="s">
        <v>9609</v>
      </c>
      <c r="C7011" s="147"/>
      <c r="D7011" s="122"/>
      <c r="E7011" s="36"/>
      <c r="F7011" s="178"/>
      <c r="G7011" s="60"/>
      <c r="H7011" s="36"/>
      <c r="I7011" s="11"/>
    </row>
    <row r="7012" spans="1:12" ht="9" customHeight="1" thickBot="1">
      <c r="A7012" s="162"/>
      <c r="B7012" s="209" t="s">
        <v>9610</v>
      </c>
      <c r="C7012" s="147"/>
      <c r="D7012" s="122"/>
      <c r="E7012" s="36"/>
      <c r="F7012" s="178"/>
      <c r="G7012" s="60"/>
      <c r="H7012" s="36"/>
      <c r="I7012" s="11"/>
    </row>
    <row r="7013" spans="1:12" ht="12" customHeight="1">
      <c r="A7013" s="153" t="s">
        <v>9611</v>
      </c>
      <c r="B7013" s="177" t="s">
        <v>9612</v>
      </c>
      <c r="C7013" s="147"/>
      <c r="D7013" s="122"/>
      <c r="E7013" s="36"/>
      <c r="F7013" s="178"/>
      <c r="G7013" s="60"/>
      <c r="H7013" s="178"/>
      <c r="I7013" s="11"/>
    </row>
    <row r="7014" spans="1:12" ht="12" customHeight="1" thickBot="1">
      <c r="A7014" s="230" t="s">
        <v>9613</v>
      </c>
      <c r="B7014" s="59" t="s">
        <v>21530</v>
      </c>
      <c r="C7014" s="147" t="s">
        <v>20221</v>
      </c>
      <c r="D7014" s="701" t="s">
        <v>1129</v>
      </c>
      <c r="E7014" s="178">
        <v>2023</v>
      </c>
      <c r="F7014" s="178" t="s">
        <v>4520</v>
      </c>
      <c r="G7014" s="496"/>
      <c r="H7014" s="994" t="s">
        <v>20221</v>
      </c>
      <c r="I7014" s="11" t="s">
        <v>9614</v>
      </c>
      <c r="J7014" s="1285"/>
      <c r="K7014" s="1285"/>
      <c r="L7014" s="1285"/>
    </row>
    <row r="7015" spans="1:12" ht="11.15" customHeight="1">
      <c r="A7015" s="29" t="s">
        <v>9615</v>
      </c>
      <c r="B7015" s="59" t="s">
        <v>21531</v>
      </c>
      <c r="C7015" s="147" t="s">
        <v>20221</v>
      </c>
      <c r="D7015" s="701" t="s">
        <v>1129</v>
      </c>
      <c r="E7015" s="178">
        <v>2016</v>
      </c>
      <c r="F7015" s="178" t="s">
        <v>4520</v>
      </c>
      <c r="G7015" s="496"/>
      <c r="H7015" s="994" t="s">
        <v>20221</v>
      </c>
      <c r="I7015" s="11" t="s">
        <v>9616</v>
      </c>
      <c r="J7015" s="1285"/>
      <c r="K7015" s="1285"/>
      <c r="L7015" s="1285"/>
    </row>
    <row r="7016" spans="1:12" ht="11.15" customHeight="1">
      <c r="A7016" s="29" t="s">
        <v>9617</v>
      </c>
      <c r="B7016" s="59" t="s">
        <v>21532</v>
      </c>
      <c r="C7016" s="147" t="s">
        <v>20221</v>
      </c>
      <c r="D7016" s="701" t="s">
        <v>1129</v>
      </c>
      <c r="E7016" s="178">
        <v>2022</v>
      </c>
      <c r="F7016" s="178" t="s">
        <v>4520</v>
      </c>
      <c r="G7016" s="496"/>
      <c r="H7016" s="994" t="s">
        <v>20221</v>
      </c>
      <c r="I7016" s="11" t="s">
        <v>9618</v>
      </c>
      <c r="J7016" s="1285"/>
      <c r="K7016" s="1285"/>
      <c r="L7016" s="1285"/>
    </row>
    <row r="7017" spans="1:12" ht="11.15" customHeight="1">
      <c r="A7017" s="29" t="s">
        <v>9619</v>
      </c>
      <c r="B7017" s="59" t="s">
        <v>21533</v>
      </c>
      <c r="C7017" s="147" t="s">
        <v>20221</v>
      </c>
      <c r="D7017" s="701" t="s">
        <v>1129</v>
      </c>
      <c r="E7017" s="178">
        <v>2020</v>
      </c>
      <c r="F7017" s="178" t="s">
        <v>4520</v>
      </c>
      <c r="G7017" s="496"/>
      <c r="H7017" s="994" t="s">
        <v>20277</v>
      </c>
      <c r="I7017" s="11" t="s">
        <v>9620</v>
      </c>
      <c r="J7017" s="1285"/>
      <c r="K7017" s="1285"/>
      <c r="L7017" s="1285"/>
    </row>
    <row r="7018" spans="1:12" ht="11.15" customHeight="1">
      <c r="A7018" s="129" t="s">
        <v>9621</v>
      </c>
      <c r="B7018" s="59" t="s">
        <v>21534</v>
      </c>
      <c r="C7018" s="147" t="s">
        <v>20221</v>
      </c>
      <c r="D7018" s="701" t="s">
        <v>1129</v>
      </c>
      <c r="E7018" s="178">
        <v>2020</v>
      </c>
      <c r="F7018" s="178" t="s">
        <v>4520</v>
      </c>
      <c r="G7018" s="496"/>
      <c r="H7018" s="994" t="s">
        <v>20221</v>
      </c>
      <c r="I7018" s="11" t="s">
        <v>9622</v>
      </c>
      <c r="J7018" s="1285"/>
      <c r="K7018" s="1285"/>
      <c r="L7018" s="1285"/>
    </row>
    <row r="7019" spans="1:12" ht="11.15" customHeight="1">
      <c r="A7019" s="355" t="s">
        <v>9623</v>
      </c>
      <c r="B7019" s="177" t="s">
        <v>9624</v>
      </c>
      <c r="C7019" s="147"/>
      <c r="D7019" s="122"/>
      <c r="E7019" s="36"/>
      <c r="F7019" s="178"/>
      <c r="G7019" s="60"/>
      <c r="H7019" s="36"/>
      <c r="I7019" s="11"/>
    </row>
    <row r="7020" spans="1:12" ht="11.15" customHeight="1">
      <c r="A7020" s="162" t="s">
        <v>9625</v>
      </c>
      <c r="B7020" s="59" t="s">
        <v>21535</v>
      </c>
      <c r="C7020" s="147" t="s">
        <v>20221</v>
      </c>
      <c r="D7020" s="284" t="s">
        <v>897</v>
      </c>
      <c r="E7020" s="178">
        <v>2016</v>
      </c>
      <c r="F7020" s="178" t="s">
        <v>7168</v>
      </c>
      <c r="G7020" s="496"/>
      <c r="H7020" s="994" t="s">
        <v>20221</v>
      </c>
      <c r="I7020" s="11" t="s">
        <v>9626</v>
      </c>
      <c r="J7020" s="1285"/>
      <c r="K7020" s="1285"/>
      <c r="L7020" s="1285"/>
    </row>
    <row r="7021" spans="1:12" ht="11.15" customHeight="1">
      <c r="A7021" s="162" t="s">
        <v>9627</v>
      </c>
      <c r="B7021" s="59" t="s">
        <v>21536</v>
      </c>
      <c r="C7021" s="147" t="s">
        <v>20221</v>
      </c>
      <c r="D7021" s="284" t="s">
        <v>897</v>
      </c>
      <c r="E7021" s="178">
        <v>2015</v>
      </c>
      <c r="F7021" s="178" t="s">
        <v>7168</v>
      </c>
      <c r="G7021" s="496"/>
      <c r="H7021" s="994" t="s">
        <v>20221</v>
      </c>
      <c r="I7021" s="11" t="s">
        <v>9628</v>
      </c>
      <c r="J7021" s="1285"/>
      <c r="K7021" s="1285"/>
      <c r="L7021" s="1285"/>
    </row>
    <row r="7022" spans="1:12" ht="11.15" customHeight="1">
      <c r="A7022" s="162" t="s">
        <v>9629</v>
      </c>
      <c r="B7022" s="59" t="s">
        <v>21536</v>
      </c>
      <c r="C7022" s="147" t="s">
        <v>20221</v>
      </c>
      <c r="D7022" s="284" t="s">
        <v>897</v>
      </c>
      <c r="E7022" s="178">
        <v>2013</v>
      </c>
      <c r="F7022" s="178" t="s">
        <v>7168</v>
      </c>
      <c r="G7022" s="496"/>
      <c r="H7022" s="994" t="s">
        <v>20277</v>
      </c>
      <c r="I7022" s="11" t="s">
        <v>9630</v>
      </c>
      <c r="J7022" s="1285"/>
      <c r="K7022" s="1285"/>
      <c r="L7022" s="1285"/>
    </row>
    <row r="7023" spans="1:12" ht="11.15" customHeight="1">
      <c r="A7023" s="162" t="s">
        <v>9631</v>
      </c>
      <c r="B7023" s="59" t="s">
        <v>21537</v>
      </c>
      <c r="C7023" s="147" t="s">
        <v>20221</v>
      </c>
      <c r="D7023" s="284" t="s">
        <v>897</v>
      </c>
      <c r="E7023" s="178">
        <v>2015</v>
      </c>
      <c r="F7023" s="178" t="s">
        <v>7168</v>
      </c>
      <c r="G7023" s="496"/>
      <c r="H7023" s="994" t="s">
        <v>20221</v>
      </c>
      <c r="I7023" s="11" t="s">
        <v>9632</v>
      </c>
      <c r="J7023" s="1285"/>
      <c r="K7023" s="1285"/>
      <c r="L7023" s="1285"/>
    </row>
    <row r="7024" spans="1:12" ht="11.15" customHeight="1">
      <c r="A7024" s="162" t="s">
        <v>9633</v>
      </c>
      <c r="B7024" s="177" t="s">
        <v>9634</v>
      </c>
      <c r="C7024" s="147"/>
      <c r="D7024" s="129"/>
      <c r="E7024" s="185"/>
      <c r="F7024" s="185"/>
      <c r="G7024" s="185"/>
      <c r="H7024" s="185"/>
      <c r="I7024" s="11"/>
    </row>
    <row r="7025" spans="1:12" ht="11.15" customHeight="1">
      <c r="A7025" s="162" t="s">
        <v>9635</v>
      </c>
      <c r="B7025" s="59" t="s">
        <v>21538</v>
      </c>
      <c r="C7025" s="147" t="s">
        <v>20221</v>
      </c>
      <c r="D7025" s="284" t="s">
        <v>897</v>
      </c>
      <c r="E7025" s="178">
        <v>2016</v>
      </c>
      <c r="F7025" s="178" t="s">
        <v>4520</v>
      </c>
      <c r="G7025" s="496"/>
      <c r="H7025" s="994" t="s">
        <v>20221</v>
      </c>
      <c r="I7025" s="11" t="s">
        <v>9636</v>
      </c>
      <c r="J7025" s="1285"/>
      <c r="K7025" s="1285"/>
      <c r="L7025" s="1285"/>
    </row>
    <row r="7026" spans="1:12" ht="11.15" customHeight="1">
      <c r="A7026" s="129" t="s">
        <v>9637</v>
      </c>
      <c r="B7026" s="59" t="s">
        <v>21539</v>
      </c>
      <c r="C7026" s="147" t="s">
        <v>20221</v>
      </c>
      <c r="D7026" s="284" t="s">
        <v>897</v>
      </c>
      <c r="E7026" s="178">
        <v>2020</v>
      </c>
      <c r="F7026" s="178" t="s">
        <v>4520</v>
      </c>
      <c r="G7026" s="496"/>
      <c r="H7026" s="994" t="s">
        <v>20221</v>
      </c>
      <c r="I7026" s="11" t="s">
        <v>9638</v>
      </c>
      <c r="J7026" s="1285"/>
      <c r="K7026" s="1285"/>
      <c r="L7026" s="1285"/>
    </row>
    <row r="7027" spans="1:12" ht="11.15" customHeight="1">
      <c r="A7027" s="162" t="s">
        <v>9639</v>
      </c>
      <c r="B7027" s="59" t="s">
        <v>21539</v>
      </c>
      <c r="C7027" s="147" t="s">
        <v>20221</v>
      </c>
      <c r="D7027" s="284" t="s">
        <v>897</v>
      </c>
      <c r="E7027" s="178">
        <v>2018</v>
      </c>
      <c r="F7027" s="178" t="s">
        <v>4520</v>
      </c>
      <c r="G7027" s="496"/>
      <c r="H7027" s="994" t="s">
        <v>20221</v>
      </c>
      <c r="I7027" s="11" t="s">
        <v>9640</v>
      </c>
      <c r="J7027" s="1285"/>
      <c r="K7027" s="1285"/>
      <c r="L7027" s="1285"/>
    </row>
    <row r="7028" spans="1:12" ht="11.15" customHeight="1">
      <c r="A7028" s="162" t="s">
        <v>9641</v>
      </c>
      <c r="B7028" s="59" t="s">
        <v>21539</v>
      </c>
      <c r="C7028" s="147" t="s">
        <v>20221</v>
      </c>
      <c r="D7028" s="284" t="s">
        <v>897</v>
      </c>
      <c r="E7028" s="178">
        <v>2016</v>
      </c>
      <c r="F7028" s="178" t="s">
        <v>4520</v>
      </c>
      <c r="G7028" s="496"/>
      <c r="H7028" s="994" t="s">
        <v>20221</v>
      </c>
      <c r="I7028" s="11" t="s">
        <v>9642</v>
      </c>
      <c r="J7028" s="1285"/>
      <c r="K7028" s="1285"/>
      <c r="L7028" s="1285"/>
    </row>
    <row r="7029" spans="1:12" ht="11.15" customHeight="1">
      <c r="A7029" s="162" t="s">
        <v>9643</v>
      </c>
      <c r="B7029" s="59" t="s">
        <v>21539</v>
      </c>
      <c r="C7029" s="147" t="s">
        <v>20221</v>
      </c>
      <c r="D7029" s="284" t="s">
        <v>897</v>
      </c>
      <c r="E7029" s="178">
        <v>2014</v>
      </c>
      <c r="F7029" s="178" t="s">
        <v>4520</v>
      </c>
      <c r="G7029" s="496"/>
      <c r="H7029" s="994" t="s">
        <v>20221</v>
      </c>
      <c r="I7029" s="11" t="s">
        <v>9644</v>
      </c>
      <c r="J7029" s="1285"/>
      <c r="K7029" s="1285"/>
      <c r="L7029" s="1285"/>
    </row>
    <row r="7030" spans="1:12" ht="11.15" customHeight="1">
      <c r="A7030" s="162" t="s">
        <v>9645</v>
      </c>
      <c r="B7030" s="177" t="s">
        <v>9646</v>
      </c>
      <c r="C7030" s="147"/>
      <c r="D7030" s="129"/>
      <c r="E7030" s="185"/>
      <c r="F7030" s="185"/>
      <c r="G7030" s="185"/>
      <c r="H7030" s="185"/>
      <c r="I7030" s="11"/>
    </row>
    <row r="7031" spans="1:12" ht="11.15" customHeight="1">
      <c r="A7031" s="129" t="s">
        <v>903</v>
      </c>
      <c r="B7031" s="59" t="s">
        <v>21540</v>
      </c>
      <c r="C7031" s="147" t="s">
        <v>20221</v>
      </c>
      <c r="D7031" s="284" t="s">
        <v>897</v>
      </c>
      <c r="E7031" s="178">
        <v>2010</v>
      </c>
      <c r="F7031" s="178" t="s">
        <v>23395</v>
      </c>
      <c r="G7031" s="496"/>
      <c r="H7031" s="994" t="s">
        <v>20224</v>
      </c>
      <c r="I7031" s="11" t="s">
        <v>9647</v>
      </c>
      <c r="J7031" s="1285"/>
      <c r="K7031" s="1285"/>
      <c r="L7031" s="1285"/>
    </row>
    <row r="7032" spans="1:12" ht="11.15" customHeight="1">
      <c r="A7032" s="162" t="s">
        <v>9648</v>
      </c>
      <c r="B7032" s="59" t="s">
        <v>21541</v>
      </c>
      <c r="C7032" s="147" t="s">
        <v>20221</v>
      </c>
      <c r="D7032" s="284" t="s">
        <v>897</v>
      </c>
      <c r="E7032" s="178">
        <v>2021</v>
      </c>
      <c r="F7032" s="178" t="s">
        <v>4520</v>
      </c>
      <c r="G7032" s="496"/>
      <c r="H7032" s="994" t="s">
        <v>20221</v>
      </c>
      <c r="I7032" s="11" t="s">
        <v>9649</v>
      </c>
      <c r="J7032" s="1285"/>
      <c r="K7032" s="1285"/>
      <c r="L7032" s="1285"/>
    </row>
    <row r="7033" spans="1:12" ht="11.15" customHeight="1">
      <c r="A7033" s="162" t="s">
        <v>4848</v>
      </c>
      <c r="B7033" s="59" t="s">
        <v>21541</v>
      </c>
      <c r="C7033" s="147" t="s">
        <v>20221</v>
      </c>
      <c r="D7033" s="284" t="s">
        <v>897</v>
      </c>
      <c r="E7033" s="178">
        <v>2020</v>
      </c>
      <c r="F7033" s="178" t="s">
        <v>4520</v>
      </c>
      <c r="G7033" s="496"/>
      <c r="H7033" s="994" t="s">
        <v>20221</v>
      </c>
      <c r="I7033" s="11" t="s">
        <v>9650</v>
      </c>
      <c r="J7033" s="1285"/>
      <c r="K7033" s="1285"/>
      <c r="L7033" s="1285"/>
    </row>
    <row r="7034" spans="1:12" ht="11.15" customHeight="1">
      <c r="A7034" s="162" t="s">
        <v>9651</v>
      </c>
      <c r="B7034" s="59" t="s">
        <v>21541</v>
      </c>
      <c r="C7034" s="147" t="s">
        <v>20221</v>
      </c>
      <c r="D7034" s="284" t="s">
        <v>897</v>
      </c>
      <c r="E7034" s="178">
        <v>2019</v>
      </c>
      <c r="F7034" s="178" t="s">
        <v>4520</v>
      </c>
      <c r="G7034" s="496"/>
      <c r="H7034" s="994" t="s">
        <v>20277</v>
      </c>
      <c r="I7034" s="11" t="s">
        <v>9652</v>
      </c>
      <c r="J7034" s="1285"/>
      <c r="K7034" s="1285"/>
      <c r="L7034" s="1285"/>
    </row>
    <row r="7035" spans="1:12" ht="11.15" customHeight="1">
      <c r="A7035" s="162" t="s">
        <v>9653</v>
      </c>
      <c r="B7035" s="59" t="s">
        <v>21542</v>
      </c>
      <c r="C7035" s="147" t="s">
        <v>20221</v>
      </c>
      <c r="D7035" s="284" t="s">
        <v>897</v>
      </c>
      <c r="E7035" s="178">
        <v>2015</v>
      </c>
      <c r="F7035" s="178" t="s">
        <v>4520</v>
      </c>
      <c r="G7035" s="496"/>
      <c r="H7035" s="994" t="s">
        <v>20221</v>
      </c>
      <c r="I7035" s="11" t="s">
        <v>9654</v>
      </c>
      <c r="J7035" s="1285"/>
      <c r="K7035" s="1285"/>
      <c r="L7035" s="1285"/>
    </row>
    <row r="7036" spans="1:12" ht="11.15" customHeight="1">
      <c r="A7036" s="162" t="s">
        <v>9655</v>
      </c>
      <c r="B7036" s="59" t="s">
        <v>21543</v>
      </c>
      <c r="C7036" s="147" t="s">
        <v>20221</v>
      </c>
      <c r="D7036" s="284" t="s">
        <v>897</v>
      </c>
      <c r="E7036" s="178">
        <v>2010</v>
      </c>
      <c r="F7036" s="178" t="s">
        <v>23394</v>
      </c>
      <c r="G7036" s="496"/>
      <c r="H7036" s="994" t="s">
        <v>20221</v>
      </c>
      <c r="I7036" s="11" t="s">
        <v>9656</v>
      </c>
      <c r="J7036" s="1285"/>
      <c r="K7036" s="1285"/>
      <c r="L7036" s="1285"/>
    </row>
    <row r="7037" spans="1:12" ht="11.15" customHeight="1">
      <c r="A7037" s="162" t="s">
        <v>9657</v>
      </c>
      <c r="B7037" s="59" t="s">
        <v>9660</v>
      </c>
      <c r="C7037" s="147" t="s">
        <v>20221</v>
      </c>
      <c r="D7037" s="284" t="s">
        <v>897</v>
      </c>
      <c r="E7037" s="178">
        <v>2016</v>
      </c>
      <c r="F7037" s="178" t="s">
        <v>9658</v>
      </c>
      <c r="G7037" s="496"/>
      <c r="H7037" s="994" t="s">
        <v>20224</v>
      </c>
      <c r="I7037" s="11" t="s">
        <v>23274</v>
      </c>
      <c r="J7037" s="1285"/>
      <c r="K7037" s="1285"/>
      <c r="L7037" s="1285"/>
    </row>
    <row r="7038" spans="1:12" ht="11.15" customHeight="1">
      <c r="A7038" s="162" t="s">
        <v>9659</v>
      </c>
      <c r="B7038" s="59" t="s">
        <v>9660</v>
      </c>
      <c r="C7038" s="147" t="s">
        <v>20221</v>
      </c>
      <c r="D7038" s="284" t="s">
        <v>897</v>
      </c>
      <c r="E7038" s="178">
        <v>2015</v>
      </c>
      <c r="F7038" s="178" t="s">
        <v>9658</v>
      </c>
      <c r="G7038" s="496"/>
      <c r="H7038" s="994" t="s">
        <v>20224</v>
      </c>
      <c r="I7038" s="11" t="s">
        <v>23275</v>
      </c>
      <c r="J7038" s="1285"/>
      <c r="K7038" s="1285"/>
      <c r="L7038" s="1285"/>
    </row>
    <row r="7039" spans="1:12" ht="11.15" customHeight="1">
      <c r="A7039" s="162" t="s">
        <v>9661</v>
      </c>
      <c r="B7039" s="59" t="s">
        <v>9662</v>
      </c>
      <c r="C7039" s="147" t="s">
        <v>20221</v>
      </c>
      <c r="D7039" s="284" t="s">
        <v>897</v>
      </c>
      <c r="E7039" s="178">
        <v>2016</v>
      </c>
      <c r="F7039" s="178" t="s">
        <v>9658</v>
      </c>
      <c r="G7039" s="496"/>
      <c r="H7039" s="994" t="s">
        <v>20224</v>
      </c>
      <c r="I7039" s="11" t="s">
        <v>23276</v>
      </c>
      <c r="J7039" s="1285"/>
      <c r="K7039" s="1285"/>
      <c r="L7039" s="1285"/>
    </row>
    <row r="7040" spans="1:12" ht="11.15" customHeight="1">
      <c r="A7040" s="162" t="s">
        <v>9663</v>
      </c>
      <c r="B7040" s="59" t="s">
        <v>9662</v>
      </c>
      <c r="C7040" s="147" t="s">
        <v>20221</v>
      </c>
      <c r="D7040" s="284" t="s">
        <v>897</v>
      </c>
      <c r="E7040" s="178">
        <v>2015</v>
      </c>
      <c r="F7040" s="178" t="s">
        <v>9658</v>
      </c>
      <c r="G7040" s="496"/>
      <c r="H7040" s="994" t="s">
        <v>20224</v>
      </c>
      <c r="I7040" s="11" t="s">
        <v>23277</v>
      </c>
      <c r="J7040" s="1285"/>
      <c r="K7040" s="1285"/>
      <c r="L7040" s="1285"/>
    </row>
    <row r="7041" spans="1:12" ht="11.15" customHeight="1">
      <c r="A7041" s="162" t="s">
        <v>9664</v>
      </c>
      <c r="B7041" s="59" t="s">
        <v>21544</v>
      </c>
      <c r="C7041" s="147" t="s">
        <v>20221</v>
      </c>
      <c r="D7041" s="284" t="s">
        <v>897</v>
      </c>
      <c r="E7041" s="178">
        <v>2019</v>
      </c>
      <c r="F7041" s="178" t="s">
        <v>9658</v>
      </c>
      <c r="G7041" s="496"/>
      <c r="H7041" s="994" t="s">
        <v>20221</v>
      </c>
      <c r="I7041" s="11" t="s">
        <v>23278</v>
      </c>
      <c r="J7041" s="1285"/>
      <c r="K7041" s="1285"/>
      <c r="L7041" s="1285"/>
    </row>
    <row r="7042" spans="1:12" ht="11.15" customHeight="1">
      <c r="A7042" s="162" t="s">
        <v>9665</v>
      </c>
      <c r="B7042" s="59" t="s">
        <v>21544</v>
      </c>
      <c r="C7042" s="147" t="s">
        <v>20221</v>
      </c>
      <c r="D7042" s="284" t="s">
        <v>897</v>
      </c>
      <c r="E7042" s="178">
        <v>2016</v>
      </c>
      <c r="F7042" s="178" t="s">
        <v>9658</v>
      </c>
      <c r="G7042" s="496"/>
      <c r="H7042" s="994" t="s">
        <v>20224</v>
      </c>
      <c r="I7042" s="11" t="s">
        <v>23279</v>
      </c>
      <c r="J7042" s="1285"/>
      <c r="K7042" s="1285"/>
      <c r="L7042" s="1285"/>
    </row>
    <row r="7043" spans="1:12" ht="11.15" customHeight="1">
      <c r="A7043" s="162" t="s">
        <v>9667</v>
      </c>
      <c r="B7043" s="177" t="s">
        <v>2601</v>
      </c>
      <c r="C7043" s="147"/>
      <c r="D7043" s="161"/>
      <c r="E7043" s="36"/>
      <c r="F7043" s="178"/>
      <c r="G7043" s="497"/>
      <c r="H7043" s="36"/>
      <c r="I7043" s="11"/>
    </row>
    <row r="7044" spans="1:12" ht="11.15" customHeight="1">
      <c r="A7044" s="162" t="s">
        <v>9669</v>
      </c>
      <c r="B7044" s="59" t="s">
        <v>21548</v>
      </c>
      <c r="C7044" s="147" t="s">
        <v>20221</v>
      </c>
      <c r="D7044" s="284" t="s">
        <v>897</v>
      </c>
      <c r="E7044" s="178">
        <v>2014</v>
      </c>
      <c r="F7044" s="178" t="s">
        <v>5257</v>
      </c>
      <c r="G7044" s="496"/>
      <c r="H7044" s="994" t="s">
        <v>20224</v>
      </c>
      <c r="I7044" s="11" t="s">
        <v>9666</v>
      </c>
      <c r="J7044" s="1285"/>
      <c r="K7044" s="1285"/>
      <c r="L7044" s="1285"/>
    </row>
    <row r="7045" spans="1:12" ht="11.15" customHeight="1">
      <c r="A7045" s="162" t="s">
        <v>9671</v>
      </c>
      <c r="B7045" s="59" t="s">
        <v>21549</v>
      </c>
      <c r="C7045" s="147" t="s">
        <v>20221</v>
      </c>
      <c r="D7045" s="284" t="s">
        <v>897</v>
      </c>
      <c r="E7045" s="178">
        <v>2014</v>
      </c>
      <c r="F7045" s="178" t="s">
        <v>5257</v>
      </c>
      <c r="G7045" s="496"/>
      <c r="H7045" s="994" t="s">
        <v>20224</v>
      </c>
      <c r="I7045" s="11" t="s">
        <v>9668</v>
      </c>
      <c r="J7045" s="1285"/>
      <c r="K7045" s="1285"/>
      <c r="L7045" s="1285"/>
    </row>
    <row r="7046" spans="1:12" ht="11.15" customHeight="1">
      <c r="A7046" s="162" t="s">
        <v>9673</v>
      </c>
      <c r="B7046" s="59" t="s">
        <v>21549</v>
      </c>
      <c r="C7046" s="147" t="s">
        <v>20221</v>
      </c>
      <c r="D7046" s="284" t="s">
        <v>897</v>
      </c>
      <c r="E7046" s="178">
        <v>2011</v>
      </c>
      <c r="F7046" s="178" t="s">
        <v>5257</v>
      </c>
      <c r="G7046" s="496"/>
      <c r="H7046" s="994" t="s">
        <v>20224</v>
      </c>
      <c r="I7046" s="11" t="s">
        <v>9670</v>
      </c>
      <c r="J7046" s="1285"/>
      <c r="K7046" s="1285"/>
      <c r="L7046" s="1285"/>
    </row>
    <row r="7047" spans="1:12" ht="11.15" customHeight="1">
      <c r="A7047" s="162" t="s">
        <v>9675</v>
      </c>
      <c r="B7047" s="59" t="s">
        <v>21550</v>
      </c>
      <c r="C7047" s="147" t="s">
        <v>20221</v>
      </c>
      <c r="D7047" s="284" t="s">
        <v>897</v>
      </c>
      <c r="E7047" s="178">
        <v>2014</v>
      </c>
      <c r="F7047" s="178" t="s">
        <v>5257</v>
      </c>
      <c r="G7047" s="496"/>
      <c r="H7047" s="994" t="s">
        <v>20221</v>
      </c>
      <c r="I7047" s="11" t="s">
        <v>9672</v>
      </c>
      <c r="J7047" s="1285"/>
      <c r="K7047" s="1285"/>
      <c r="L7047" s="1285"/>
    </row>
    <row r="7048" spans="1:12" ht="11.15" customHeight="1">
      <c r="A7048" s="29" t="s">
        <v>9677</v>
      </c>
      <c r="B7048" s="59" t="s">
        <v>21551</v>
      </c>
      <c r="C7048" s="147" t="s">
        <v>20221</v>
      </c>
      <c r="D7048" s="284" t="s">
        <v>897</v>
      </c>
      <c r="E7048" s="178">
        <v>2015</v>
      </c>
      <c r="F7048" s="178" t="s">
        <v>9678</v>
      </c>
      <c r="G7048" s="496"/>
      <c r="H7048" s="994" t="s">
        <v>20224</v>
      </c>
      <c r="I7048" s="11" t="s">
        <v>9674</v>
      </c>
      <c r="J7048" s="1285"/>
      <c r="K7048" s="1285"/>
      <c r="L7048" s="1285"/>
    </row>
    <row r="7049" spans="1:12" ht="11.15" customHeight="1">
      <c r="A7049" s="29" t="s">
        <v>3175</v>
      </c>
      <c r="B7049" s="59" t="s">
        <v>21551</v>
      </c>
      <c r="C7049" s="147" t="s">
        <v>20221</v>
      </c>
      <c r="D7049" s="284" t="s">
        <v>897</v>
      </c>
      <c r="E7049" s="178">
        <v>2013</v>
      </c>
      <c r="F7049" s="178" t="s">
        <v>5257</v>
      </c>
      <c r="G7049" s="496"/>
      <c r="H7049" s="994" t="s">
        <v>20224</v>
      </c>
      <c r="I7049" s="11" t="s">
        <v>9676</v>
      </c>
      <c r="J7049" s="1285"/>
      <c r="K7049" s="1285"/>
      <c r="L7049" s="1285"/>
    </row>
    <row r="7050" spans="1:12" ht="9" customHeight="1">
      <c r="A7050" s="169" t="s">
        <v>9680</v>
      </c>
      <c r="B7050" s="59" t="s">
        <v>23310</v>
      </c>
      <c r="C7050" s="147" t="s">
        <v>20221</v>
      </c>
      <c r="D7050" s="284" t="s">
        <v>897</v>
      </c>
      <c r="E7050" s="178">
        <v>2015</v>
      </c>
      <c r="F7050" s="178" t="s">
        <v>9678</v>
      </c>
      <c r="G7050" s="496"/>
      <c r="H7050" s="994" t="s">
        <v>20224</v>
      </c>
      <c r="I7050" s="11" t="s">
        <v>23311</v>
      </c>
      <c r="J7050" s="1285"/>
      <c r="K7050" s="1285"/>
      <c r="L7050" s="1285"/>
    </row>
    <row r="7051" spans="1:12" ht="11.15" customHeight="1">
      <c r="A7051" s="169" t="s">
        <v>9682</v>
      </c>
      <c r="B7051" s="59" t="s">
        <v>23312</v>
      </c>
      <c r="C7051" s="147" t="s">
        <v>20221</v>
      </c>
      <c r="D7051" s="284" t="s">
        <v>897</v>
      </c>
      <c r="E7051" s="178">
        <v>2013</v>
      </c>
      <c r="F7051" s="178" t="s">
        <v>9678</v>
      </c>
      <c r="G7051" s="496"/>
      <c r="H7051" s="994" t="s">
        <v>20224</v>
      </c>
      <c r="I7051" s="11" t="s">
        <v>23313</v>
      </c>
      <c r="J7051" s="1285"/>
      <c r="K7051" s="1285"/>
      <c r="L7051" s="1285"/>
    </row>
    <row r="7052" spans="1:12" ht="9" customHeight="1">
      <c r="A7052" s="481" t="s">
        <v>9684</v>
      </c>
      <c r="B7052" s="59" t="s">
        <v>23314</v>
      </c>
      <c r="C7052" s="147" t="s">
        <v>20221</v>
      </c>
      <c r="D7052" s="284" t="s">
        <v>897</v>
      </c>
      <c r="E7052" s="178">
        <v>2015</v>
      </c>
      <c r="F7052" s="178" t="s">
        <v>9678</v>
      </c>
      <c r="G7052" s="496"/>
      <c r="H7052" s="994" t="s">
        <v>20224</v>
      </c>
      <c r="I7052" s="11" t="s">
        <v>23315</v>
      </c>
      <c r="J7052" s="1285"/>
      <c r="K7052" s="1285"/>
      <c r="L7052" s="1285"/>
    </row>
    <row r="7053" spans="1:12" ht="9" customHeight="1">
      <c r="A7053" s="481"/>
      <c r="B7053" s="574" t="s">
        <v>9679</v>
      </c>
      <c r="C7053" s="147"/>
      <c r="D7053" s="129"/>
      <c r="E7053" s="185"/>
      <c r="F7053" s="185"/>
      <c r="G7053" s="185"/>
      <c r="H7053" s="994" t="s">
        <v>20221</v>
      </c>
      <c r="I7053" s="11"/>
    </row>
    <row r="7054" spans="1:12" ht="9" customHeight="1">
      <c r="A7054" s="481"/>
      <c r="B7054" s="59" t="s">
        <v>21545</v>
      </c>
      <c r="C7054" s="147" t="s">
        <v>20221</v>
      </c>
      <c r="D7054" s="284" t="s">
        <v>897</v>
      </c>
      <c r="E7054" s="178">
        <v>2019</v>
      </c>
      <c r="F7054" s="178" t="s">
        <v>23408</v>
      </c>
      <c r="G7054" s="496"/>
      <c r="H7054" s="994" t="s">
        <v>20224</v>
      </c>
      <c r="I7054" s="11" t="s">
        <v>9681</v>
      </c>
      <c r="J7054" s="1285"/>
      <c r="K7054" s="1285"/>
      <c r="L7054" s="1285"/>
    </row>
    <row r="7055" spans="1:12" ht="9" customHeight="1">
      <c r="A7055" s="481"/>
      <c r="B7055" s="291" t="s">
        <v>9683</v>
      </c>
      <c r="C7055" s="147"/>
      <c r="D7055" s="209"/>
      <c r="E7055" s="210"/>
      <c r="F7055" s="150"/>
      <c r="G7055" s="886"/>
      <c r="H7055" s="210"/>
      <c r="I7055" s="11"/>
    </row>
    <row r="7056" spans="1:12" ht="9" customHeight="1">
      <c r="A7056" s="481"/>
      <c r="B7056" s="59" t="s">
        <v>21545</v>
      </c>
      <c r="C7056" s="147" t="s">
        <v>20221</v>
      </c>
      <c r="D7056" s="284" t="s">
        <v>897</v>
      </c>
      <c r="E7056" s="178">
        <v>2018</v>
      </c>
      <c r="F7056" s="178" t="s">
        <v>23408</v>
      </c>
      <c r="G7056" s="496"/>
      <c r="H7056" s="994" t="s">
        <v>20224</v>
      </c>
      <c r="I7056" s="11" t="s">
        <v>9685</v>
      </c>
      <c r="J7056" s="1285"/>
      <c r="K7056" s="1285"/>
      <c r="L7056" s="1285"/>
    </row>
    <row r="7057" spans="1:12" ht="9" customHeight="1">
      <c r="A7057" s="481"/>
      <c r="B7057" s="291" t="s">
        <v>9686</v>
      </c>
      <c r="C7057" s="147"/>
      <c r="D7057" s="209"/>
      <c r="E7057" s="210"/>
      <c r="F7057" s="150"/>
      <c r="G7057" s="886"/>
      <c r="H7057" s="210"/>
      <c r="I7057" s="11"/>
    </row>
    <row r="7058" spans="1:12" ht="9" customHeight="1">
      <c r="A7058" s="481"/>
      <c r="B7058" s="59" t="s">
        <v>21546</v>
      </c>
      <c r="C7058" s="147" t="s">
        <v>20221</v>
      </c>
      <c r="D7058" s="284" t="s">
        <v>897</v>
      </c>
      <c r="E7058" s="178">
        <v>2016</v>
      </c>
      <c r="F7058" s="178" t="s">
        <v>4520</v>
      </c>
      <c r="G7058" s="496"/>
      <c r="H7058" s="994" t="s">
        <v>20224</v>
      </c>
      <c r="I7058" s="11" t="s">
        <v>9687</v>
      </c>
      <c r="J7058" s="1285"/>
      <c r="K7058" s="1285"/>
      <c r="L7058" s="1285"/>
    </row>
    <row r="7059" spans="1:12" ht="9" customHeight="1">
      <c r="A7059" s="481"/>
      <c r="B7059" s="150" t="s">
        <v>9688</v>
      </c>
      <c r="C7059" s="147"/>
      <c r="D7059" s="209"/>
      <c r="E7059" s="210"/>
      <c r="F7059" s="150"/>
      <c r="G7059" s="886"/>
      <c r="H7059" s="210"/>
      <c r="I7059" s="11"/>
    </row>
    <row r="7060" spans="1:12" ht="9" customHeight="1">
      <c r="A7060" s="481"/>
      <c r="B7060" s="59" t="s">
        <v>21547</v>
      </c>
      <c r="C7060" s="147" t="s">
        <v>20221</v>
      </c>
      <c r="D7060" s="284" t="s">
        <v>897</v>
      </c>
      <c r="E7060" s="178">
        <v>2015</v>
      </c>
      <c r="F7060" s="178" t="s">
        <v>23409</v>
      </c>
      <c r="G7060" s="496"/>
      <c r="H7060" s="994" t="s">
        <v>20224</v>
      </c>
      <c r="I7060" s="11" t="s">
        <v>9689</v>
      </c>
      <c r="J7060" s="1285"/>
      <c r="K7060" s="1285"/>
      <c r="L7060" s="1285"/>
    </row>
    <row r="7061" spans="1:12" ht="9" customHeight="1">
      <c r="A7061" s="481"/>
      <c r="B7061" s="291" t="s">
        <v>9690</v>
      </c>
      <c r="C7061" s="147"/>
      <c r="D7061" s="209"/>
      <c r="E7061" s="210"/>
      <c r="F7061" s="150"/>
      <c r="G7061" s="886"/>
      <c r="H7061" s="210"/>
      <c r="I7061" s="11"/>
    </row>
    <row r="7062" spans="1:12" ht="9" customHeight="1">
      <c r="A7062" s="481"/>
      <c r="B7062" s="59" t="s">
        <v>21546</v>
      </c>
      <c r="C7062" s="147" t="s">
        <v>20221</v>
      </c>
      <c r="D7062" s="284" t="s">
        <v>897</v>
      </c>
      <c r="E7062" s="178">
        <v>2013</v>
      </c>
      <c r="F7062" s="178" t="s">
        <v>4520</v>
      </c>
      <c r="G7062" s="496"/>
      <c r="H7062" s="994" t="s">
        <v>20224</v>
      </c>
      <c r="I7062" s="11" t="s">
        <v>9691</v>
      </c>
      <c r="J7062" s="1285"/>
      <c r="K7062" s="1285"/>
      <c r="L7062" s="1285"/>
    </row>
    <row r="7063" spans="1:12" ht="9" customHeight="1">
      <c r="A7063" s="481"/>
      <c r="B7063" s="150" t="s">
        <v>9692</v>
      </c>
      <c r="C7063" s="147"/>
      <c r="D7063" s="209"/>
      <c r="E7063" s="210"/>
      <c r="F7063" s="150"/>
      <c r="G7063" s="886"/>
      <c r="H7063" s="210"/>
      <c r="I7063" s="11"/>
    </row>
    <row r="7064" spans="1:12" ht="9" customHeight="1" thickBot="1">
      <c r="A7064" s="481"/>
      <c r="B7064" s="150"/>
      <c r="C7064" s="147"/>
      <c r="D7064" s="209"/>
      <c r="E7064" s="210"/>
      <c r="F7064" s="150"/>
      <c r="G7064" s="886"/>
      <c r="H7064" s="210"/>
      <c r="I7064" s="11"/>
    </row>
    <row r="7065" spans="1:12" ht="11.15" customHeight="1" thickBot="1">
      <c r="A7065" s="184" t="s">
        <v>9693</v>
      </c>
      <c r="B7065" s="177" t="s">
        <v>9694</v>
      </c>
      <c r="C7065" s="147"/>
      <c r="D7065" s="161"/>
      <c r="E7065" s="36"/>
      <c r="F7065" s="183"/>
      <c r="G7065" s="497"/>
      <c r="H7065" s="34"/>
      <c r="I7065" s="11"/>
    </row>
    <row r="7066" spans="1:12" ht="11.15" customHeight="1">
      <c r="A7066" s="29" t="s">
        <v>9695</v>
      </c>
      <c r="B7066" s="59" t="s">
        <v>21553</v>
      </c>
      <c r="C7066" s="147" t="s">
        <v>20221</v>
      </c>
      <c r="D7066" s="701" t="s">
        <v>1129</v>
      </c>
      <c r="E7066" s="178">
        <v>2006</v>
      </c>
      <c r="F7066" s="178" t="s">
        <v>23395</v>
      </c>
      <c r="G7066" s="496"/>
      <c r="H7066" s="994" t="s">
        <v>20221</v>
      </c>
      <c r="I7066" s="11" t="s">
        <v>9696</v>
      </c>
      <c r="J7066" s="1285"/>
      <c r="K7066" s="1285"/>
      <c r="L7066" s="1285"/>
    </row>
    <row r="7067" spans="1:12" ht="11.15" customHeight="1">
      <c r="A7067" s="181" t="s">
        <v>1219</v>
      </c>
      <c r="B7067" s="177" t="s">
        <v>9697</v>
      </c>
      <c r="C7067" s="147"/>
      <c r="D7067" s="185"/>
      <c r="E7067" s="185"/>
      <c r="F7067" s="185"/>
      <c r="G7067" s="185"/>
      <c r="H7067" s="185"/>
      <c r="I7067" s="11"/>
    </row>
    <row r="7068" spans="1:12" ht="11.15" customHeight="1">
      <c r="A7068" s="166" t="s">
        <v>9698</v>
      </c>
      <c r="B7068" s="59" t="s">
        <v>21554</v>
      </c>
      <c r="C7068" s="147" t="s">
        <v>20221</v>
      </c>
      <c r="D7068" s="284" t="s">
        <v>897</v>
      </c>
      <c r="E7068" s="178">
        <v>2006</v>
      </c>
      <c r="F7068" s="178" t="s">
        <v>23395</v>
      </c>
      <c r="G7068" s="496"/>
      <c r="H7068" s="994" t="s">
        <v>20277</v>
      </c>
      <c r="I7068" s="11" t="s">
        <v>9699</v>
      </c>
      <c r="J7068" s="1285"/>
      <c r="K7068" s="1285"/>
      <c r="L7068" s="1285"/>
    </row>
    <row r="7069" spans="1:12" ht="11.15" customHeight="1">
      <c r="A7069" s="481" t="s">
        <v>9700</v>
      </c>
      <c r="B7069" s="59" t="s">
        <v>21555</v>
      </c>
      <c r="C7069" s="147" t="s">
        <v>20221</v>
      </c>
      <c r="D7069" s="284" t="s">
        <v>897</v>
      </c>
      <c r="E7069" s="178">
        <v>2006</v>
      </c>
      <c r="F7069" s="178" t="s">
        <v>23395</v>
      </c>
      <c r="G7069" s="496"/>
      <c r="H7069" s="994" t="s">
        <v>20224</v>
      </c>
      <c r="I7069" s="11" t="s">
        <v>9701</v>
      </c>
      <c r="J7069" s="1285"/>
      <c r="K7069" s="1285"/>
      <c r="L7069" s="1285"/>
    </row>
    <row r="7070" spans="1:12" ht="11.15" customHeight="1">
      <c r="A7070" s="29"/>
      <c r="B7070" s="59" t="s">
        <v>21555</v>
      </c>
      <c r="C7070" s="147" t="s">
        <v>20221</v>
      </c>
      <c r="D7070" s="284" t="s">
        <v>897</v>
      </c>
      <c r="E7070" s="178">
        <v>2005</v>
      </c>
      <c r="F7070" s="178" t="s">
        <v>23395</v>
      </c>
      <c r="G7070" s="496"/>
      <c r="H7070" s="994" t="s">
        <v>20221</v>
      </c>
      <c r="I7070" s="11" t="s">
        <v>9702</v>
      </c>
      <c r="J7070" s="1285"/>
      <c r="K7070" s="1285"/>
      <c r="L7070" s="1285"/>
    </row>
    <row r="7071" spans="1:12" ht="11.15" customHeight="1">
      <c r="A7071" s="185"/>
      <c r="B7071" s="59" t="s">
        <v>21556</v>
      </c>
      <c r="C7071" s="147" t="s">
        <v>20221</v>
      </c>
      <c r="D7071" s="284" t="s">
        <v>897</v>
      </c>
      <c r="E7071" s="178">
        <v>2005</v>
      </c>
      <c r="F7071" s="178" t="s">
        <v>23395</v>
      </c>
      <c r="G7071" s="496"/>
      <c r="H7071" s="994" t="s">
        <v>20221</v>
      </c>
      <c r="I7071" s="11" t="s">
        <v>9703</v>
      </c>
      <c r="J7071" s="1285"/>
      <c r="K7071" s="1285"/>
      <c r="L7071" s="1285"/>
    </row>
    <row r="7072" spans="1:12" ht="11.15" customHeight="1">
      <c r="A7072" s="166"/>
      <c r="B7072" s="59" t="s">
        <v>21556</v>
      </c>
      <c r="C7072" s="147" t="s">
        <v>20221</v>
      </c>
      <c r="D7072" s="284" t="s">
        <v>897</v>
      </c>
      <c r="E7072" s="178">
        <v>2002</v>
      </c>
      <c r="F7072" s="178" t="s">
        <v>20220</v>
      </c>
      <c r="G7072" s="496"/>
      <c r="H7072" s="994" t="s">
        <v>20465</v>
      </c>
      <c r="I7072" s="11" t="s">
        <v>9704</v>
      </c>
      <c r="J7072" s="1285"/>
      <c r="K7072" s="1285"/>
      <c r="L7072" s="1285"/>
    </row>
    <row r="7073" spans="1:12" ht="11.15" customHeight="1">
      <c r="A7073" s="166"/>
      <c r="B7073" s="59" t="s">
        <v>21556</v>
      </c>
      <c r="C7073" s="147" t="s">
        <v>20221</v>
      </c>
      <c r="D7073" s="284" t="s">
        <v>897</v>
      </c>
      <c r="E7073" s="178">
        <v>2001</v>
      </c>
      <c r="F7073" s="178" t="s">
        <v>23395</v>
      </c>
      <c r="G7073" s="496"/>
      <c r="H7073" s="994" t="s">
        <v>20221</v>
      </c>
      <c r="I7073" s="11" t="s">
        <v>9705</v>
      </c>
      <c r="J7073" s="1285"/>
      <c r="K7073" s="1285"/>
      <c r="L7073" s="1285"/>
    </row>
    <row r="7074" spans="1:12" ht="11.15" customHeight="1" thickBot="1">
      <c r="A7074" s="185"/>
      <c r="B7074" s="575"/>
      <c r="C7074" s="147"/>
      <c r="D7074" s="122"/>
      <c r="E7074" s="36"/>
      <c r="F7074" s="178"/>
      <c r="G7074" s="1181"/>
      <c r="H7074" s="36"/>
      <c r="I7074" s="11"/>
    </row>
    <row r="7075" spans="1:12" ht="24" customHeight="1" thickBot="1">
      <c r="A7075" s="549"/>
      <c r="B7075" s="64" t="s">
        <v>9706</v>
      </c>
      <c r="C7075" s="170"/>
      <c r="D7075" s="139"/>
      <c r="E7075" s="235"/>
      <c r="F7075" s="383"/>
      <c r="G7075" s="1142"/>
      <c r="H7075" s="516"/>
      <c r="I7075" s="11"/>
    </row>
    <row r="7076" spans="1:12" ht="11.15" customHeight="1" thickBot="1">
      <c r="A7076" s="184" t="s">
        <v>9707</v>
      </c>
      <c r="B7076" s="59" t="s">
        <v>21558</v>
      </c>
      <c r="C7076" s="147" t="s">
        <v>20221</v>
      </c>
      <c r="D7076" s="284" t="s">
        <v>897</v>
      </c>
      <c r="E7076" s="178">
        <v>2010</v>
      </c>
      <c r="F7076" s="178" t="s">
        <v>11931</v>
      </c>
      <c r="G7076" s="496"/>
      <c r="H7076" s="994" t="s">
        <v>20224</v>
      </c>
      <c r="I7076" s="11" t="s">
        <v>9708</v>
      </c>
      <c r="J7076" s="1285"/>
      <c r="K7076" s="1285"/>
      <c r="L7076" s="1285"/>
    </row>
    <row r="7077" spans="1:12" ht="11.15" customHeight="1">
      <c r="A7077" s="29" t="s">
        <v>9709</v>
      </c>
      <c r="B7077" s="185"/>
      <c r="C7077" s="147"/>
      <c r="D7077" s="129"/>
      <c r="E7077" s="185"/>
      <c r="F7077" s="185"/>
      <c r="G7077" s="185"/>
      <c r="H7077" s="185"/>
      <c r="I7077" s="11"/>
    </row>
    <row r="7078" spans="1:12" ht="11.15" customHeight="1">
      <c r="A7078" s="29" t="s">
        <v>9710</v>
      </c>
      <c r="B7078" s="185"/>
      <c r="C7078" s="147"/>
      <c r="D7078" s="129"/>
      <c r="E7078" s="185"/>
      <c r="F7078" s="185"/>
      <c r="G7078" s="185"/>
      <c r="H7078" s="185"/>
      <c r="I7078" s="11"/>
    </row>
    <row r="7079" spans="1:12" ht="11.15" customHeight="1">
      <c r="A7079" s="29" t="s">
        <v>9711</v>
      </c>
      <c r="B7079" s="90"/>
      <c r="C7079" s="147"/>
      <c r="D7079" s="122"/>
      <c r="E7079" s="36"/>
      <c r="F7079" s="178"/>
      <c r="G7079" s="496"/>
      <c r="H7079" s="36"/>
      <c r="I7079" s="11"/>
    </row>
    <row r="7080" spans="1:12" ht="11.15" customHeight="1">
      <c r="A7080" s="29" t="s">
        <v>9712</v>
      </c>
      <c r="B7080" s="90"/>
      <c r="C7080" s="147"/>
      <c r="D7080" s="122"/>
      <c r="E7080" s="36"/>
      <c r="F7080" s="178"/>
      <c r="G7080" s="496"/>
      <c r="H7080" s="36"/>
      <c r="I7080" s="11"/>
    </row>
    <row r="7081" spans="1:12" ht="11.15" customHeight="1">
      <c r="A7081" s="218" t="s">
        <v>1595</v>
      </c>
      <c r="B7081" s="377"/>
      <c r="C7081" s="147"/>
      <c r="D7081" s="122"/>
      <c r="E7081" s="178"/>
      <c r="F7081" s="178"/>
      <c r="G7081" s="60"/>
      <c r="H7081" s="178"/>
      <c r="I7081" s="11"/>
    </row>
    <row r="7082" spans="1:12" ht="11.15" customHeight="1">
      <c r="A7082" s="576" t="s">
        <v>9713</v>
      </c>
      <c r="B7082" s="377"/>
      <c r="C7082" s="147"/>
      <c r="D7082" s="122"/>
      <c r="E7082" s="178"/>
      <c r="F7082" s="178"/>
      <c r="G7082" s="60"/>
      <c r="H7082" s="178"/>
      <c r="I7082" s="11"/>
    </row>
    <row r="7083" spans="1:12" ht="11.15" customHeight="1">
      <c r="A7083" s="481" t="s">
        <v>9714</v>
      </c>
      <c r="B7083" s="90"/>
      <c r="C7083" s="147"/>
      <c r="D7083" s="122"/>
      <c r="E7083" s="36"/>
      <c r="F7083" s="178"/>
      <c r="G7083" s="60"/>
      <c r="H7083" s="36"/>
      <c r="I7083" s="11"/>
    </row>
    <row r="7084" spans="1:12" ht="11.15" customHeight="1" thickBot="1">
      <c r="A7084" s="29"/>
      <c r="B7084" s="185"/>
      <c r="C7084" s="147"/>
      <c r="D7084" s="185"/>
      <c r="E7084" s="185"/>
      <c r="F7084" s="185"/>
      <c r="G7084" s="185"/>
      <c r="H7084" s="185"/>
      <c r="I7084" s="11"/>
    </row>
    <row r="7085" spans="1:12" ht="11.15" customHeight="1" thickBot="1">
      <c r="A7085" s="184" t="s">
        <v>9715</v>
      </c>
      <c r="B7085" s="59" t="s">
        <v>21559</v>
      </c>
      <c r="C7085" s="147" t="s">
        <v>20221</v>
      </c>
      <c r="D7085" s="284" t="s">
        <v>897</v>
      </c>
      <c r="E7085" s="178" t="s">
        <v>20221</v>
      </c>
      <c r="F7085" s="178" t="s">
        <v>23395</v>
      </c>
      <c r="G7085" s="496"/>
      <c r="H7085" s="994" t="s">
        <v>20221</v>
      </c>
      <c r="I7085" s="11" t="s">
        <v>9716</v>
      </c>
      <c r="J7085" s="1285"/>
      <c r="K7085" s="1285"/>
      <c r="L7085" s="1285"/>
    </row>
    <row r="7086" spans="1:12" ht="11.15" customHeight="1">
      <c r="A7086" s="29" t="s">
        <v>9717</v>
      </c>
      <c r="B7086" s="59" t="s">
        <v>21560</v>
      </c>
      <c r="C7086" s="147" t="s">
        <v>20221</v>
      </c>
      <c r="D7086" s="284" t="s">
        <v>897</v>
      </c>
      <c r="E7086" s="178" t="s">
        <v>20221</v>
      </c>
      <c r="F7086" s="178" t="s">
        <v>23395</v>
      </c>
      <c r="G7086" s="496" t="s">
        <v>20221</v>
      </c>
      <c r="H7086" s="994" t="s">
        <v>3907</v>
      </c>
      <c r="I7086" s="11" t="s">
        <v>9718</v>
      </c>
      <c r="J7086" s="1285"/>
      <c r="K7086" s="1285"/>
      <c r="L7086" s="1285"/>
    </row>
    <row r="7087" spans="1:12" ht="11.15" customHeight="1">
      <c r="A7087" s="29" t="s">
        <v>9719</v>
      </c>
      <c r="B7087" s="59" t="s">
        <v>21561</v>
      </c>
      <c r="C7087" s="147" t="s">
        <v>20221</v>
      </c>
      <c r="D7087" s="284" t="s">
        <v>897</v>
      </c>
      <c r="E7087" s="178" t="s">
        <v>20221</v>
      </c>
      <c r="F7087" s="178" t="s">
        <v>23395</v>
      </c>
      <c r="G7087" s="496"/>
      <c r="H7087" s="994" t="s">
        <v>20224</v>
      </c>
      <c r="I7087" s="11" t="s">
        <v>9720</v>
      </c>
      <c r="J7087" s="1285"/>
      <c r="K7087" s="1285"/>
      <c r="L7087" s="1285"/>
    </row>
    <row r="7088" spans="1:12" ht="11.15" customHeight="1">
      <c r="A7088" s="29" t="s">
        <v>9721</v>
      </c>
      <c r="B7088" s="59" t="s">
        <v>21562</v>
      </c>
      <c r="C7088" s="147" t="s">
        <v>20221</v>
      </c>
      <c r="D7088" s="284" t="s">
        <v>897</v>
      </c>
      <c r="E7088" s="178" t="s">
        <v>20221</v>
      </c>
      <c r="F7088" s="178" t="s">
        <v>23395</v>
      </c>
      <c r="G7088" s="496" t="s">
        <v>20221</v>
      </c>
      <c r="H7088" s="994" t="s">
        <v>3907</v>
      </c>
      <c r="I7088" s="11" t="s">
        <v>9722</v>
      </c>
      <c r="J7088" s="1285"/>
      <c r="K7088" s="1285"/>
      <c r="L7088" s="1285"/>
    </row>
    <row r="7089" spans="1:12" ht="11.15" customHeight="1">
      <c r="A7089" s="29" t="s">
        <v>9723</v>
      </c>
      <c r="B7089" s="59" t="s">
        <v>21563</v>
      </c>
      <c r="C7089" s="147" t="s">
        <v>20221</v>
      </c>
      <c r="D7089" s="284" t="s">
        <v>897</v>
      </c>
      <c r="E7089" s="178" t="s">
        <v>20221</v>
      </c>
      <c r="F7089" s="178" t="s">
        <v>5257</v>
      </c>
      <c r="G7089" s="496"/>
      <c r="H7089" s="994" t="s">
        <v>20224</v>
      </c>
      <c r="I7089" s="11" t="s">
        <v>9724</v>
      </c>
      <c r="J7089" s="1285"/>
      <c r="K7089" s="1285"/>
      <c r="L7089" s="1285"/>
    </row>
    <row r="7090" spans="1:12" ht="11.15" customHeight="1">
      <c r="A7090" s="29" t="s">
        <v>9725</v>
      </c>
      <c r="B7090" s="59" t="s">
        <v>21564</v>
      </c>
      <c r="C7090" s="147" t="s">
        <v>20221</v>
      </c>
      <c r="D7090" s="284" t="s">
        <v>897</v>
      </c>
      <c r="E7090" s="178" t="s">
        <v>20221</v>
      </c>
      <c r="F7090" s="178" t="s">
        <v>5257</v>
      </c>
      <c r="G7090" s="496"/>
      <c r="H7090" s="994" t="s">
        <v>20224</v>
      </c>
      <c r="I7090" s="11" t="s">
        <v>9726</v>
      </c>
      <c r="J7090" s="1285"/>
      <c r="K7090" s="1285"/>
      <c r="L7090" s="1285"/>
    </row>
    <row r="7091" spans="1:12" ht="11.15" customHeight="1">
      <c r="A7091" s="129" t="s">
        <v>1077</v>
      </c>
      <c r="B7091" s="377"/>
      <c r="C7091" s="147"/>
      <c r="D7091" s="122"/>
      <c r="E7091" s="178"/>
      <c r="F7091" s="178"/>
      <c r="G7091" s="453"/>
      <c r="H7091" s="178"/>
      <c r="I7091" s="11"/>
    </row>
    <row r="7092" spans="1:12" ht="11.15" customHeight="1">
      <c r="A7092" s="162" t="s">
        <v>9727</v>
      </c>
      <c r="B7092" s="377"/>
      <c r="C7092" s="147"/>
      <c r="D7092" s="122"/>
      <c r="E7092" s="178"/>
      <c r="F7092" s="178"/>
      <c r="G7092" s="453"/>
      <c r="H7092" s="178"/>
      <c r="I7092" s="11"/>
    </row>
    <row r="7093" spans="1:12" ht="11.15" customHeight="1">
      <c r="A7093" s="162" t="s">
        <v>9728</v>
      </c>
      <c r="B7093" s="90"/>
      <c r="C7093" s="147"/>
      <c r="D7093" s="122"/>
      <c r="E7093" s="36"/>
      <c r="F7093" s="178"/>
      <c r="G7093" s="1221"/>
      <c r="H7093" s="36"/>
      <c r="I7093" s="11"/>
    </row>
    <row r="7094" spans="1:12" ht="11.15" customHeight="1">
      <c r="A7094" s="162" t="s">
        <v>9729</v>
      </c>
      <c r="B7094" s="90"/>
      <c r="C7094" s="147"/>
      <c r="D7094" s="122"/>
      <c r="E7094" s="36"/>
      <c r="F7094" s="178"/>
      <c r="G7094" s="1221"/>
      <c r="H7094" s="36"/>
      <c r="I7094" s="11"/>
    </row>
    <row r="7095" spans="1:12" ht="11.15" customHeight="1">
      <c r="A7095" s="162" t="s">
        <v>9730</v>
      </c>
      <c r="B7095" s="90"/>
      <c r="C7095" s="147"/>
      <c r="D7095" s="122"/>
      <c r="E7095" s="36"/>
      <c r="F7095" s="178"/>
      <c r="G7095" s="1221"/>
      <c r="H7095" s="36"/>
      <c r="I7095" s="11"/>
    </row>
    <row r="7096" spans="1:12" ht="11.15" customHeight="1">
      <c r="A7096" s="162" t="s">
        <v>9731</v>
      </c>
      <c r="B7096" s="90"/>
      <c r="C7096" s="147"/>
      <c r="D7096" s="122"/>
      <c r="E7096" s="36"/>
      <c r="F7096" s="178"/>
      <c r="G7096" s="1221"/>
      <c r="H7096" s="36"/>
      <c r="I7096" s="11"/>
    </row>
    <row r="7097" spans="1:12" ht="11.15" customHeight="1">
      <c r="A7097" s="162" t="s">
        <v>9732</v>
      </c>
      <c r="B7097" s="90"/>
      <c r="C7097" s="147"/>
      <c r="D7097" s="122"/>
      <c r="E7097" s="36"/>
      <c r="F7097" s="178"/>
      <c r="G7097" s="1221"/>
      <c r="H7097" s="36"/>
      <c r="I7097" s="11"/>
    </row>
    <row r="7098" spans="1:12" ht="11.15" customHeight="1">
      <c r="A7098" s="162" t="s">
        <v>9733</v>
      </c>
      <c r="B7098" s="90"/>
      <c r="C7098" s="147"/>
      <c r="D7098" s="122"/>
      <c r="E7098" s="36"/>
      <c r="F7098" s="178"/>
      <c r="G7098" s="1221"/>
      <c r="H7098" s="36"/>
      <c r="I7098" s="11"/>
    </row>
    <row r="7099" spans="1:12" ht="11.15" customHeight="1">
      <c r="A7099" s="162" t="s">
        <v>9734</v>
      </c>
      <c r="B7099" s="90"/>
      <c r="C7099" s="147"/>
      <c r="D7099" s="122"/>
      <c r="E7099" s="36"/>
      <c r="F7099" s="178"/>
      <c r="G7099" s="1221"/>
      <c r="H7099" s="36"/>
      <c r="I7099" s="11"/>
    </row>
    <row r="7100" spans="1:12" ht="11.15" customHeight="1">
      <c r="A7100" s="29" t="s">
        <v>8956</v>
      </c>
      <c r="B7100" s="185"/>
      <c r="C7100" s="147"/>
      <c r="D7100" s="129"/>
      <c r="E7100" s="185"/>
      <c r="F7100" s="185"/>
      <c r="G7100" s="185"/>
      <c r="H7100" s="185"/>
      <c r="I7100" s="11"/>
    </row>
    <row r="7101" spans="1:12" ht="11.15" customHeight="1">
      <c r="A7101" s="29" t="s">
        <v>1527</v>
      </c>
      <c r="B7101" s="185"/>
      <c r="C7101" s="147"/>
      <c r="D7101" s="129"/>
      <c r="E7101" s="185"/>
      <c r="F7101" s="185"/>
      <c r="G7101" s="185"/>
      <c r="H7101" s="185"/>
      <c r="I7101" s="11"/>
    </row>
    <row r="7102" spans="1:12" ht="11.15" customHeight="1">
      <c r="A7102" s="129" t="s">
        <v>1245</v>
      </c>
      <c r="B7102" s="185"/>
      <c r="C7102" s="147"/>
      <c r="D7102" s="129"/>
      <c r="E7102" s="185"/>
      <c r="F7102" s="185"/>
      <c r="G7102" s="496"/>
      <c r="H7102" s="185"/>
      <c r="I7102" s="11"/>
    </row>
    <row r="7103" spans="1:12" ht="11.15" customHeight="1">
      <c r="A7103" s="481" t="s">
        <v>9735</v>
      </c>
      <c r="B7103" s="185"/>
      <c r="C7103" s="147"/>
      <c r="D7103" s="129"/>
      <c r="E7103" s="185"/>
      <c r="F7103" s="185"/>
      <c r="G7103" s="496"/>
      <c r="H7103" s="185"/>
      <c r="I7103" s="11"/>
    </row>
    <row r="7104" spans="1:12" ht="11.15" customHeight="1">
      <c r="A7104" s="185"/>
      <c r="B7104" s="146" t="s">
        <v>9736</v>
      </c>
      <c r="C7104" s="147"/>
      <c r="D7104" s="129"/>
      <c r="E7104" s="185"/>
      <c r="F7104" s="185"/>
      <c r="G7104" s="496"/>
      <c r="H7104" s="185"/>
      <c r="I7104" s="11"/>
    </row>
    <row r="7105" spans="1:12" ht="9" customHeight="1">
      <c r="A7105" s="129"/>
      <c r="B7105" s="150" t="s">
        <v>9737</v>
      </c>
      <c r="C7105" s="147"/>
      <c r="D7105" s="122"/>
      <c r="E7105" s="36"/>
      <c r="F7105" s="178"/>
      <c r="G7105" s="1221"/>
      <c r="H7105" s="36"/>
      <c r="I7105" s="11"/>
    </row>
    <row r="7106" spans="1:12" ht="9" customHeight="1">
      <c r="A7106" s="129"/>
      <c r="B7106" s="150" t="s">
        <v>9738</v>
      </c>
      <c r="C7106" s="147"/>
      <c r="D7106" s="122"/>
      <c r="E7106" s="36"/>
      <c r="F7106" s="178"/>
      <c r="G7106" s="1221"/>
      <c r="H7106" s="36"/>
      <c r="I7106" s="11"/>
    </row>
    <row r="7107" spans="1:12" ht="9" customHeight="1">
      <c r="A7107" s="185"/>
      <c r="B7107" s="150" t="s">
        <v>9739</v>
      </c>
      <c r="C7107" s="147"/>
      <c r="D7107" s="129"/>
      <c r="E7107" s="185"/>
      <c r="F7107" s="185"/>
      <c r="G7107" s="496"/>
      <c r="H7107" s="185"/>
      <c r="I7107" s="11"/>
    </row>
    <row r="7108" spans="1:12" ht="9" customHeight="1">
      <c r="A7108" s="185"/>
      <c r="B7108" s="150" t="s">
        <v>9740</v>
      </c>
      <c r="C7108" s="147"/>
      <c r="D7108" s="129"/>
      <c r="E7108" s="185"/>
      <c r="F7108" s="185"/>
      <c r="G7108" s="496"/>
      <c r="H7108" s="185"/>
      <c r="I7108" s="11"/>
    </row>
    <row r="7109" spans="1:12" ht="9" customHeight="1">
      <c r="A7109" s="185"/>
      <c r="B7109" s="150" t="s">
        <v>9741</v>
      </c>
      <c r="C7109" s="147"/>
      <c r="D7109" s="129"/>
      <c r="E7109" s="185"/>
      <c r="F7109" s="185"/>
      <c r="G7109" s="496"/>
      <c r="H7109" s="185"/>
      <c r="I7109" s="11"/>
    </row>
    <row r="7110" spans="1:12" ht="9" customHeight="1">
      <c r="A7110" s="185"/>
      <c r="B7110" s="150" t="s">
        <v>9742</v>
      </c>
      <c r="C7110" s="147"/>
      <c r="D7110" s="129"/>
      <c r="E7110" s="185"/>
      <c r="F7110" s="185"/>
      <c r="G7110" s="496"/>
      <c r="H7110" s="185"/>
      <c r="I7110" s="11"/>
    </row>
    <row r="7111" spans="1:12" ht="9" customHeight="1">
      <c r="A7111" s="185"/>
      <c r="B7111" s="150" t="s">
        <v>9743</v>
      </c>
      <c r="C7111" s="147"/>
      <c r="D7111" s="129"/>
      <c r="E7111" s="185"/>
      <c r="F7111" s="185"/>
      <c r="G7111" s="496"/>
      <c r="H7111" s="185"/>
      <c r="I7111" s="11"/>
    </row>
    <row r="7112" spans="1:12" ht="9" customHeight="1">
      <c r="A7112" s="185"/>
      <c r="B7112" s="150" t="s">
        <v>9744</v>
      </c>
      <c r="C7112" s="147"/>
      <c r="D7112" s="129"/>
      <c r="E7112" s="185"/>
      <c r="F7112" s="185"/>
      <c r="G7112" s="496"/>
      <c r="H7112" s="185"/>
      <c r="I7112" s="11"/>
    </row>
    <row r="7113" spans="1:12" ht="9" customHeight="1" thickBot="1">
      <c r="A7113" s="185"/>
      <c r="B7113" s="150" t="s">
        <v>9745</v>
      </c>
      <c r="C7113" s="147"/>
      <c r="D7113" s="129"/>
      <c r="E7113" s="185"/>
      <c r="F7113" s="185"/>
      <c r="G7113" s="496"/>
      <c r="H7113" s="185"/>
      <c r="I7113" s="11"/>
    </row>
    <row r="7114" spans="1:12" ht="11.5" customHeight="1">
      <c r="A7114" s="153" t="s">
        <v>9746</v>
      </c>
      <c r="B7114" s="154" t="s">
        <v>9747</v>
      </c>
      <c r="C7114" s="147"/>
      <c r="D7114" s="129"/>
      <c r="E7114" s="185"/>
      <c r="F7114" s="185"/>
      <c r="G7114" s="185"/>
      <c r="H7114" s="185"/>
      <c r="I7114" s="11"/>
    </row>
    <row r="7115" spans="1:12" ht="11.5" customHeight="1" thickBot="1">
      <c r="A7115" s="230" t="s">
        <v>9748</v>
      </c>
      <c r="B7115" s="59" t="s">
        <v>21566</v>
      </c>
      <c r="C7115" s="147" t="s">
        <v>23393</v>
      </c>
      <c r="D7115" s="701" t="s">
        <v>1129</v>
      </c>
      <c r="E7115" s="178">
        <v>2023</v>
      </c>
      <c r="F7115" s="178" t="s">
        <v>4520</v>
      </c>
      <c r="G7115" s="496"/>
      <c r="H7115" s="994" t="s">
        <v>20221</v>
      </c>
      <c r="I7115" s="11" t="s">
        <v>9749</v>
      </c>
      <c r="J7115" s="1285"/>
      <c r="K7115" s="1285"/>
      <c r="L7115" s="1285"/>
    </row>
    <row r="7116" spans="1:12" ht="11.15" customHeight="1">
      <c r="A7116" s="29" t="s">
        <v>9750</v>
      </c>
      <c r="B7116" s="154" t="s">
        <v>9751</v>
      </c>
      <c r="C7116" s="147"/>
      <c r="D7116" s="122"/>
      <c r="E7116" s="36"/>
      <c r="F7116" s="178"/>
      <c r="G7116" s="496"/>
      <c r="H7116" s="36"/>
      <c r="I7116" s="11"/>
    </row>
    <row r="7117" spans="1:12" ht="11.15" customHeight="1">
      <c r="A7117" s="29" t="s">
        <v>9752</v>
      </c>
      <c r="B7117" s="59" t="s">
        <v>21567</v>
      </c>
      <c r="C7117" s="147" t="s">
        <v>23393</v>
      </c>
      <c r="D7117" s="284" t="s">
        <v>897</v>
      </c>
      <c r="E7117" s="178">
        <v>2023</v>
      </c>
      <c r="F7117" s="178" t="s">
        <v>4520</v>
      </c>
      <c r="G7117" s="496"/>
      <c r="H7117" s="994" t="s">
        <v>20221</v>
      </c>
      <c r="I7117" s="11" t="s">
        <v>9753</v>
      </c>
      <c r="J7117" s="1285"/>
      <c r="K7117" s="1285"/>
      <c r="L7117" s="1285"/>
    </row>
    <row r="7118" spans="1:12" ht="11.15" customHeight="1">
      <c r="A7118" s="181" t="s">
        <v>1110</v>
      </c>
      <c r="B7118" s="59" t="s">
        <v>21567</v>
      </c>
      <c r="C7118" s="147" t="s">
        <v>23393</v>
      </c>
      <c r="D7118" s="284" t="s">
        <v>897</v>
      </c>
      <c r="E7118" s="178">
        <v>2021</v>
      </c>
      <c r="F7118" s="178" t="s">
        <v>4520</v>
      </c>
      <c r="G7118" s="496"/>
      <c r="H7118" s="994" t="s">
        <v>20221</v>
      </c>
      <c r="I7118" s="11" t="s">
        <v>9754</v>
      </c>
      <c r="J7118" s="1285"/>
      <c r="K7118" s="1285"/>
      <c r="L7118" s="1285"/>
    </row>
    <row r="7119" spans="1:12" ht="11.15" customHeight="1">
      <c r="A7119" s="129" t="s">
        <v>951</v>
      </c>
      <c r="B7119" s="59" t="s">
        <v>21567</v>
      </c>
      <c r="C7119" s="147" t="s">
        <v>23393</v>
      </c>
      <c r="D7119" s="284" t="s">
        <v>897</v>
      </c>
      <c r="E7119" s="178">
        <v>2020</v>
      </c>
      <c r="F7119" s="178" t="s">
        <v>4520</v>
      </c>
      <c r="G7119" s="496"/>
      <c r="H7119" s="994" t="s">
        <v>20277</v>
      </c>
      <c r="I7119" s="11" t="s">
        <v>9755</v>
      </c>
      <c r="J7119" s="1285"/>
      <c r="K7119" s="1285"/>
      <c r="L7119" s="1285"/>
    </row>
    <row r="7120" spans="1:12" ht="11.15" customHeight="1">
      <c r="A7120" s="162" t="s">
        <v>9756</v>
      </c>
      <c r="B7120" s="154" t="s">
        <v>9757</v>
      </c>
      <c r="C7120" s="147"/>
      <c r="D7120" s="129"/>
      <c r="E7120" s="185"/>
      <c r="F7120" s="185"/>
      <c r="G7120" s="185"/>
      <c r="H7120" s="185"/>
      <c r="I7120" s="11"/>
    </row>
    <row r="7121" spans="1:12" ht="11.15" customHeight="1">
      <c r="A7121" s="162" t="s">
        <v>9758</v>
      </c>
      <c r="B7121" s="59" t="s">
        <v>21568</v>
      </c>
      <c r="C7121" s="147" t="s">
        <v>23393</v>
      </c>
      <c r="D7121" s="284" t="s">
        <v>897</v>
      </c>
      <c r="E7121" s="178">
        <v>2018</v>
      </c>
      <c r="F7121" s="178" t="s">
        <v>7168</v>
      </c>
      <c r="G7121" s="496"/>
      <c r="H7121" s="994" t="s">
        <v>20277</v>
      </c>
      <c r="I7121" s="11" t="s">
        <v>9759</v>
      </c>
      <c r="J7121" s="1285"/>
      <c r="K7121" s="1285"/>
      <c r="L7121" s="1285"/>
    </row>
    <row r="7122" spans="1:12" ht="11.15" customHeight="1">
      <c r="A7122" s="162" t="s">
        <v>6548</v>
      </c>
      <c r="B7122" s="154" t="s">
        <v>9760</v>
      </c>
      <c r="C7122" s="147"/>
      <c r="D7122" s="129"/>
      <c r="E7122" s="185"/>
      <c r="F7122" s="185"/>
      <c r="G7122" s="185"/>
      <c r="H7122" s="185"/>
      <c r="I7122" s="11"/>
    </row>
    <row r="7123" spans="1:12" ht="11.15" customHeight="1">
      <c r="A7123" s="162" t="s">
        <v>9761</v>
      </c>
      <c r="B7123" s="59" t="s">
        <v>21569</v>
      </c>
      <c r="C7123" s="147" t="s">
        <v>23393</v>
      </c>
      <c r="D7123" s="284" t="s">
        <v>897</v>
      </c>
      <c r="E7123" s="178">
        <v>2021</v>
      </c>
      <c r="F7123" s="178" t="s">
        <v>4520</v>
      </c>
      <c r="G7123" s="496"/>
      <c r="H7123" s="994" t="s">
        <v>20221</v>
      </c>
      <c r="I7123" s="11" t="s">
        <v>9762</v>
      </c>
      <c r="J7123" s="1285"/>
      <c r="K7123" s="1285"/>
      <c r="L7123" s="1285"/>
    </row>
    <row r="7124" spans="1:12" ht="11.15" customHeight="1">
      <c r="A7124" s="162" t="s">
        <v>9763</v>
      </c>
      <c r="B7124" s="59" t="s">
        <v>21569</v>
      </c>
      <c r="C7124" s="147" t="s">
        <v>23393</v>
      </c>
      <c r="D7124" s="284" t="s">
        <v>897</v>
      </c>
      <c r="E7124" s="178">
        <v>2020</v>
      </c>
      <c r="F7124" s="178" t="s">
        <v>4520</v>
      </c>
      <c r="G7124" s="496"/>
      <c r="H7124" s="994" t="s">
        <v>20221</v>
      </c>
      <c r="I7124" s="11" t="s">
        <v>9764</v>
      </c>
      <c r="J7124" s="1285"/>
      <c r="K7124" s="1285"/>
      <c r="L7124" s="1285"/>
    </row>
    <row r="7125" spans="1:12" ht="11.15" customHeight="1">
      <c r="A7125" s="162" t="s">
        <v>9765</v>
      </c>
      <c r="B7125" s="59" t="s">
        <v>21569</v>
      </c>
      <c r="C7125" s="147" t="s">
        <v>23393</v>
      </c>
      <c r="D7125" s="284" t="s">
        <v>897</v>
      </c>
      <c r="E7125" s="178">
        <v>2019</v>
      </c>
      <c r="F7125" s="178" t="s">
        <v>4520</v>
      </c>
      <c r="G7125" s="496"/>
      <c r="H7125" s="994" t="s">
        <v>20221</v>
      </c>
      <c r="I7125" s="11" t="s">
        <v>9766</v>
      </c>
      <c r="J7125" s="1285"/>
      <c r="K7125" s="1285"/>
      <c r="L7125" s="1285"/>
    </row>
    <row r="7126" spans="1:12" ht="11.15" customHeight="1">
      <c r="A7126" s="162" t="s">
        <v>9767</v>
      </c>
      <c r="B7126" s="59" t="s">
        <v>21569</v>
      </c>
      <c r="C7126" s="147" t="s">
        <v>23393</v>
      </c>
      <c r="D7126" s="284" t="s">
        <v>897</v>
      </c>
      <c r="E7126" s="178">
        <v>2018</v>
      </c>
      <c r="F7126" s="178" t="s">
        <v>4520</v>
      </c>
      <c r="G7126" s="496"/>
      <c r="H7126" s="994" t="s">
        <v>20221</v>
      </c>
      <c r="I7126" s="11" t="s">
        <v>9768</v>
      </c>
      <c r="J7126" s="1285"/>
      <c r="K7126" s="1285"/>
      <c r="L7126" s="1285"/>
    </row>
    <row r="7127" spans="1:12" ht="11.15" customHeight="1">
      <c r="A7127" s="162" t="s">
        <v>9769</v>
      </c>
      <c r="B7127" s="59" t="s">
        <v>21569</v>
      </c>
      <c r="C7127" s="147" t="s">
        <v>23393</v>
      </c>
      <c r="D7127" s="284" t="s">
        <v>897</v>
      </c>
      <c r="E7127" s="178">
        <v>2017</v>
      </c>
      <c r="F7127" s="178" t="s">
        <v>4520</v>
      </c>
      <c r="G7127" s="496"/>
      <c r="H7127" s="994" t="s">
        <v>20221</v>
      </c>
      <c r="I7127" s="11" t="s">
        <v>9770</v>
      </c>
      <c r="J7127" s="1285"/>
      <c r="K7127" s="1285"/>
      <c r="L7127" s="1285"/>
    </row>
    <row r="7128" spans="1:12" ht="11.15" customHeight="1">
      <c r="A7128" s="162" t="s">
        <v>9771</v>
      </c>
      <c r="B7128" s="59" t="s">
        <v>21569</v>
      </c>
      <c r="C7128" s="147" t="s">
        <v>23393</v>
      </c>
      <c r="D7128" s="284" t="s">
        <v>897</v>
      </c>
      <c r="E7128" s="178">
        <v>2015</v>
      </c>
      <c r="F7128" s="178" t="s">
        <v>23395</v>
      </c>
      <c r="G7128" s="496"/>
      <c r="H7128" s="994" t="s">
        <v>20221</v>
      </c>
      <c r="I7128" s="11" t="s">
        <v>9772</v>
      </c>
      <c r="J7128" s="1285"/>
      <c r="K7128" s="1285"/>
      <c r="L7128" s="1285"/>
    </row>
    <row r="7129" spans="1:12" ht="11.15" customHeight="1">
      <c r="A7129" s="162" t="s">
        <v>9773</v>
      </c>
      <c r="B7129" s="59" t="s">
        <v>21569</v>
      </c>
      <c r="C7129" s="147" t="s">
        <v>23393</v>
      </c>
      <c r="D7129" s="284" t="s">
        <v>897</v>
      </c>
      <c r="E7129" s="178">
        <v>2014</v>
      </c>
      <c r="F7129" s="178" t="s">
        <v>23395</v>
      </c>
      <c r="G7129" s="496"/>
      <c r="H7129" s="994" t="s">
        <v>20221</v>
      </c>
      <c r="I7129" s="11" t="s">
        <v>9774</v>
      </c>
      <c r="J7129" s="1285"/>
      <c r="K7129" s="1285"/>
      <c r="L7129" s="1285"/>
    </row>
    <row r="7130" spans="1:12" ht="11.15" customHeight="1">
      <c r="A7130" s="129" t="s">
        <v>3690</v>
      </c>
      <c r="B7130" s="59" t="s">
        <v>21569</v>
      </c>
      <c r="C7130" s="147" t="s">
        <v>20221</v>
      </c>
      <c r="D7130" s="284" t="s">
        <v>897</v>
      </c>
      <c r="E7130" s="178">
        <v>2013</v>
      </c>
      <c r="F7130" s="178" t="s">
        <v>23395</v>
      </c>
      <c r="G7130" s="496"/>
      <c r="H7130" s="994" t="s">
        <v>20221</v>
      </c>
      <c r="I7130" s="11" t="s">
        <v>9775</v>
      </c>
      <c r="J7130" s="1285"/>
      <c r="K7130" s="1285"/>
      <c r="L7130" s="1285"/>
    </row>
    <row r="7131" spans="1:12" ht="11.15" customHeight="1">
      <c r="A7131" s="162" t="s">
        <v>9776</v>
      </c>
      <c r="B7131" s="59" t="s">
        <v>21569</v>
      </c>
      <c r="C7131" s="147" t="s">
        <v>20221</v>
      </c>
      <c r="D7131" s="284" t="s">
        <v>897</v>
      </c>
      <c r="E7131" s="178">
        <v>2011</v>
      </c>
      <c r="F7131" s="178" t="s">
        <v>23395</v>
      </c>
      <c r="G7131" s="496"/>
      <c r="H7131" s="994" t="s">
        <v>20277</v>
      </c>
      <c r="I7131" s="11" t="s">
        <v>9777</v>
      </c>
      <c r="J7131" s="1285"/>
      <c r="K7131" s="1285"/>
      <c r="L7131" s="1285"/>
    </row>
    <row r="7132" spans="1:12" ht="11.15" customHeight="1">
      <c r="A7132" s="162" t="s">
        <v>9778</v>
      </c>
      <c r="B7132" s="154" t="s">
        <v>9779</v>
      </c>
      <c r="C7132" s="147"/>
      <c r="D7132" s="129"/>
      <c r="E7132" s="185"/>
      <c r="F7132" s="185"/>
      <c r="G7132" s="185"/>
      <c r="H7132" s="185"/>
      <c r="I7132" s="11"/>
    </row>
    <row r="7133" spans="1:12" ht="11.15" customHeight="1">
      <c r="A7133" s="162" t="s">
        <v>9780</v>
      </c>
      <c r="B7133" s="59" t="s">
        <v>21570</v>
      </c>
      <c r="C7133" s="147" t="s">
        <v>23393</v>
      </c>
      <c r="D7133" s="284" t="s">
        <v>897</v>
      </c>
      <c r="E7133" s="178">
        <v>2020</v>
      </c>
      <c r="F7133" s="178" t="s">
        <v>5257</v>
      </c>
      <c r="G7133" s="496"/>
      <c r="H7133" s="994" t="s">
        <v>20221</v>
      </c>
      <c r="I7133" s="11" t="s">
        <v>9781</v>
      </c>
      <c r="J7133" s="1285"/>
      <c r="K7133" s="1285"/>
      <c r="L7133" s="1285"/>
    </row>
    <row r="7134" spans="1:12" ht="11.15" customHeight="1">
      <c r="A7134" s="162" t="s">
        <v>9782</v>
      </c>
      <c r="B7134" s="59" t="s">
        <v>21570</v>
      </c>
      <c r="C7134" s="147" t="s">
        <v>23393</v>
      </c>
      <c r="D7134" s="284" t="s">
        <v>897</v>
      </c>
      <c r="E7134" s="178">
        <v>2019</v>
      </c>
      <c r="F7134" s="178" t="s">
        <v>5257</v>
      </c>
      <c r="G7134" s="496"/>
      <c r="H7134" s="994" t="s">
        <v>20221</v>
      </c>
      <c r="I7134" s="11" t="s">
        <v>9783</v>
      </c>
      <c r="J7134" s="1285"/>
      <c r="K7134" s="1285"/>
      <c r="L7134" s="1285"/>
    </row>
    <row r="7135" spans="1:12" ht="11.15" customHeight="1">
      <c r="A7135" s="162" t="s">
        <v>9784</v>
      </c>
      <c r="B7135" s="59" t="s">
        <v>21570</v>
      </c>
      <c r="C7135" s="147" t="s">
        <v>23393</v>
      </c>
      <c r="D7135" s="284" t="s">
        <v>897</v>
      </c>
      <c r="E7135" s="178">
        <v>2018</v>
      </c>
      <c r="F7135" s="178" t="s">
        <v>5257</v>
      </c>
      <c r="G7135" s="496"/>
      <c r="H7135" s="994" t="s">
        <v>20221</v>
      </c>
      <c r="I7135" s="11" t="s">
        <v>9785</v>
      </c>
      <c r="J7135" s="1285"/>
      <c r="K7135" s="1285"/>
      <c r="L7135" s="1285"/>
    </row>
    <row r="7136" spans="1:12" ht="11.15" customHeight="1">
      <c r="A7136" s="162" t="s">
        <v>9786</v>
      </c>
      <c r="B7136" s="59" t="s">
        <v>21570</v>
      </c>
      <c r="C7136" s="147" t="s">
        <v>23393</v>
      </c>
      <c r="D7136" s="284" t="s">
        <v>897</v>
      </c>
      <c r="E7136" s="178">
        <v>2014</v>
      </c>
      <c r="F7136" s="178" t="s">
        <v>11931</v>
      </c>
      <c r="G7136" s="496"/>
      <c r="H7136" s="994" t="s">
        <v>20224</v>
      </c>
      <c r="I7136" s="11" t="s">
        <v>9787</v>
      </c>
      <c r="J7136" s="1285"/>
      <c r="K7136" s="1285"/>
      <c r="L7136" s="1285"/>
    </row>
    <row r="7137" spans="1:12" ht="11.15" customHeight="1">
      <c r="A7137" s="162" t="s">
        <v>9788</v>
      </c>
      <c r="B7137" s="59" t="s">
        <v>21570</v>
      </c>
      <c r="C7137" s="147" t="s">
        <v>20221</v>
      </c>
      <c r="D7137" s="284" t="s">
        <v>897</v>
      </c>
      <c r="E7137" s="178">
        <v>2013</v>
      </c>
      <c r="F7137" s="178" t="s">
        <v>11931</v>
      </c>
      <c r="G7137" s="496"/>
      <c r="H7137" s="994" t="s">
        <v>20224</v>
      </c>
      <c r="I7137" s="11" t="s">
        <v>9789</v>
      </c>
      <c r="J7137" s="1285"/>
      <c r="K7137" s="1285"/>
      <c r="L7137" s="1285"/>
    </row>
    <row r="7138" spans="1:12" ht="11.15" customHeight="1">
      <c r="A7138" s="129" t="s">
        <v>3659</v>
      </c>
      <c r="B7138" s="154" t="s">
        <v>9790</v>
      </c>
      <c r="C7138" s="147"/>
      <c r="D7138" s="185"/>
      <c r="E7138" s="185"/>
      <c r="F7138" s="185"/>
      <c r="G7138" s="185"/>
      <c r="H7138" s="185"/>
      <c r="I7138" s="11"/>
    </row>
    <row r="7139" spans="1:12" ht="11.15" customHeight="1">
      <c r="A7139" s="162" t="s">
        <v>9791</v>
      </c>
      <c r="B7139" s="59" t="s">
        <v>21571</v>
      </c>
      <c r="C7139" s="147" t="s">
        <v>23393</v>
      </c>
      <c r="D7139" s="284" t="s">
        <v>897</v>
      </c>
      <c r="E7139" s="178" t="s">
        <v>20221</v>
      </c>
      <c r="F7139" s="178" t="s">
        <v>11938</v>
      </c>
      <c r="G7139" s="496" t="s">
        <v>20221</v>
      </c>
      <c r="H7139" s="994" t="s">
        <v>3907</v>
      </c>
      <c r="I7139" s="11" t="s">
        <v>9792</v>
      </c>
      <c r="J7139" s="1285"/>
      <c r="K7139" s="1285"/>
      <c r="L7139" s="1285"/>
    </row>
    <row r="7140" spans="1:12" ht="11.15" customHeight="1">
      <c r="A7140" s="162" t="s">
        <v>9793</v>
      </c>
      <c r="B7140" s="185"/>
      <c r="C7140" s="147"/>
      <c r="D7140" s="185"/>
      <c r="E7140" s="185"/>
      <c r="F7140" s="185"/>
      <c r="G7140" s="185"/>
      <c r="H7140" s="185"/>
      <c r="I7140" s="11"/>
    </row>
    <row r="7141" spans="1:12" ht="11.15" customHeight="1">
      <c r="A7141" s="162" t="s">
        <v>9794</v>
      </c>
      <c r="B7141" s="185"/>
      <c r="C7141" s="147"/>
      <c r="D7141" s="185"/>
      <c r="E7141" s="185"/>
      <c r="F7141" s="185"/>
      <c r="G7141" s="185"/>
      <c r="H7141" s="185"/>
      <c r="I7141" s="11"/>
    </row>
    <row r="7142" spans="1:12" ht="11.15" customHeight="1">
      <c r="A7142" s="162" t="s">
        <v>3175</v>
      </c>
      <c r="B7142" s="185"/>
      <c r="C7142" s="147"/>
      <c r="D7142" s="185"/>
      <c r="E7142" s="185"/>
      <c r="F7142" s="185"/>
      <c r="G7142" s="185"/>
      <c r="H7142" s="185"/>
      <c r="I7142" s="11"/>
    </row>
    <row r="7143" spans="1:12" ht="11.15" customHeight="1">
      <c r="A7143" s="166" t="s">
        <v>9795</v>
      </c>
      <c r="B7143" s="185"/>
      <c r="C7143" s="147"/>
      <c r="D7143" s="185"/>
      <c r="E7143" s="185"/>
      <c r="F7143" s="185"/>
      <c r="G7143" s="185"/>
      <c r="H7143" s="185"/>
      <c r="I7143" s="11"/>
    </row>
    <row r="7144" spans="1:12" ht="11.15" customHeight="1">
      <c r="A7144" s="481" t="s">
        <v>9796</v>
      </c>
      <c r="B7144" s="185"/>
      <c r="C7144" s="147"/>
      <c r="D7144" s="185"/>
      <c r="E7144" s="185"/>
      <c r="F7144" s="185"/>
      <c r="G7144" s="185"/>
      <c r="H7144" s="185"/>
      <c r="I7144" s="11"/>
    </row>
    <row r="7145" spans="1:12" ht="11.15" customHeight="1" thickBot="1">
      <c r="A7145" s="185"/>
      <c r="B7145" s="122"/>
      <c r="C7145" s="147"/>
      <c r="D7145" s="129"/>
      <c r="E7145" s="185"/>
      <c r="F7145" s="185"/>
      <c r="G7145" s="185"/>
      <c r="H7145" s="185"/>
      <c r="I7145" s="11"/>
    </row>
    <row r="7146" spans="1:12" ht="11.15" customHeight="1">
      <c r="A7146" s="153" t="s">
        <v>9797</v>
      </c>
      <c r="B7146" s="154" t="s">
        <v>2242</v>
      </c>
      <c r="C7146" s="147"/>
      <c r="D7146" s="129"/>
      <c r="E7146" s="185"/>
      <c r="F7146" s="185"/>
      <c r="G7146" s="185"/>
      <c r="H7146" s="185"/>
      <c r="I7146" s="11"/>
    </row>
    <row r="7147" spans="1:12" ht="11.15" customHeight="1" thickBot="1">
      <c r="A7147" s="230" t="s">
        <v>9798</v>
      </c>
      <c r="B7147" s="59" t="s">
        <v>21573</v>
      </c>
      <c r="C7147" s="147" t="s">
        <v>23393</v>
      </c>
      <c r="D7147" s="701" t="s">
        <v>1129</v>
      </c>
      <c r="E7147" s="178">
        <v>2022</v>
      </c>
      <c r="F7147" s="178" t="s">
        <v>4520</v>
      </c>
      <c r="G7147" s="496"/>
      <c r="H7147" s="994" t="s">
        <v>20221</v>
      </c>
      <c r="I7147" s="11" t="s">
        <v>9799</v>
      </c>
      <c r="J7147" s="1285"/>
      <c r="K7147" s="1285"/>
      <c r="L7147" s="1285"/>
    </row>
    <row r="7148" spans="1:12" ht="11.15" customHeight="1">
      <c r="A7148" s="29" t="s">
        <v>9800</v>
      </c>
      <c r="B7148" s="59" t="s">
        <v>21573</v>
      </c>
      <c r="C7148" s="147" t="s">
        <v>23393</v>
      </c>
      <c r="D7148" s="701" t="s">
        <v>1129</v>
      </c>
      <c r="E7148" s="178">
        <v>2021</v>
      </c>
      <c r="F7148" s="178" t="s">
        <v>4520</v>
      </c>
      <c r="G7148" s="496"/>
      <c r="H7148" s="994" t="s">
        <v>20221</v>
      </c>
      <c r="I7148" s="11" t="s">
        <v>9801</v>
      </c>
      <c r="J7148" s="1285"/>
      <c r="K7148" s="1285"/>
      <c r="L7148" s="1285"/>
    </row>
    <row r="7149" spans="1:12" ht="11.15" customHeight="1">
      <c r="A7149" s="181" t="s">
        <v>9031</v>
      </c>
      <c r="B7149" s="59" t="s">
        <v>21573</v>
      </c>
      <c r="C7149" s="147" t="s">
        <v>23393</v>
      </c>
      <c r="D7149" s="701" t="s">
        <v>1129</v>
      </c>
      <c r="E7149" s="178">
        <v>2020</v>
      </c>
      <c r="F7149" s="178" t="s">
        <v>4520</v>
      </c>
      <c r="G7149" s="496"/>
      <c r="H7149" s="994" t="s">
        <v>20221</v>
      </c>
      <c r="I7149" s="11" t="s">
        <v>9802</v>
      </c>
      <c r="J7149" s="1285"/>
      <c r="K7149" s="1285"/>
      <c r="L7149" s="1285"/>
    </row>
    <row r="7150" spans="1:12" ht="11.15" customHeight="1">
      <c r="A7150" s="181" t="s">
        <v>2791</v>
      </c>
      <c r="B7150" s="59" t="s">
        <v>21573</v>
      </c>
      <c r="C7150" s="147" t="s">
        <v>23393</v>
      </c>
      <c r="D7150" s="701" t="s">
        <v>1129</v>
      </c>
      <c r="E7150" s="178">
        <v>2019</v>
      </c>
      <c r="F7150" s="178" t="s">
        <v>4520</v>
      </c>
      <c r="G7150" s="496"/>
      <c r="H7150" s="994" t="s">
        <v>20221</v>
      </c>
      <c r="I7150" s="11" t="s">
        <v>9803</v>
      </c>
      <c r="J7150" s="1285"/>
      <c r="K7150" s="1285"/>
      <c r="L7150" s="1285"/>
    </row>
    <row r="7151" spans="1:12" ht="11.15" customHeight="1">
      <c r="A7151" s="29" t="s">
        <v>9804</v>
      </c>
      <c r="B7151" s="177" t="s">
        <v>1398</v>
      </c>
      <c r="C7151" s="147"/>
      <c r="D7151" s="122"/>
      <c r="E7151" s="36"/>
      <c r="F7151" s="178"/>
      <c r="G7151" s="496"/>
      <c r="H7151" s="36"/>
      <c r="I7151" s="11"/>
    </row>
    <row r="7152" spans="1:12" ht="11.15" customHeight="1">
      <c r="A7152" s="29" t="s">
        <v>9805</v>
      </c>
      <c r="B7152" s="59" t="s">
        <v>21574</v>
      </c>
      <c r="C7152" s="147" t="s">
        <v>23393</v>
      </c>
      <c r="D7152" s="284" t="s">
        <v>897</v>
      </c>
      <c r="E7152" s="178">
        <v>2022</v>
      </c>
      <c r="F7152" s="178" t="s">
        <v>4520</v>
      </c>
      <c r="G7152" s="496"/>
      <c r="H7152" s="994" t="s">
        <v>20221</v>
      </c>
      <c r="I7152" s="11" t="s">
        <v>9806</v>
      </c>
      <c r="J7152" s="1285"/>
      <c r="K7152" s="1285"/>
      <c r="L7152" s="1285"/>
    </row>
    <row r="7153" spans="1:12" ht="11.15" customHeight="1">
      <c r="A7153" s="29" t="s">
        <v>9807</v>
      </c>
      <c r="B7153" s="59" t="s">
        <v>21574</v>
      </c>
      <c r="C7153" s="147" t="s">
        <v>23393</v>
      </c>
      <c r="D7153" s="284" t="s">
        <v>897</v>
      </c>
      <c r="E7153" s="178">
        <v>2021</v>
      </c>
      <c r="F7153" s="178" t="s">
        <v>4520</v>
      </c>
      <c r="G7153" s="496"/>
      <c r="H7153" s="994" t="s">
        <v>20221</v>
      </c>
      <c r="I7153" s="11" t="s">
        <v>9808</v>
      </c>
      <c r="J7153" s="1285"/>
      <c r="K7153" s="1285"/>
      <c r="L7153" s="1285"/>
    </row>
    <row r="7154" spans="1:12" ht="11.15" customHeight="1">
      <c r="A7154" s="29" t="s">
        <v>9809</v>
      </c>
      <c r="B7154" s="59" t="s">
        <v>21574</v>
      </c>
      <c r="C7154" s="147" t="s">
        <v>23393</v>
      </c>
      <c r="D7154" s="284" t="s">
        <v>897</v>
      </c>
      <c r="E7154" s="178">
        <v>2020</v>
      </c>
      <c r="F7154" s="178" t="s">
        <v>4520</v>
      </c>
      <c r="G7154" s="496"/>
      <c r="H7154" s="994" t="s">
        <v>20221</v>
      </c>
      <c r="I7154" s="11" t="s">
        <v>9810</v>
      </c>
      <c r="J7154" s="1285"/>
      <c r="K7154" s="1285"/>
      <c r="L7154" s="1285"/>
    </row>
    <row r="7155" spans="1:12" ht="11.15" customHeight="1">
      <c r="A7155" s="129" t="s">
        <v>3690</v>
      </c>
      <c r="B7155" s="59" t="s">
        <v>21574</v>
      </c>
      <c r="C7155" s="147" t="s">
        <v>23393</v>
      </c>
      <c r="D7155" s="284" t="s">
        <v>897</v>
      </c>
      <c r="E7155" s="178">
        <v>2019</v>
      </c>
      <c r="F7155" s="178" t="s">
        <v>4520</v>
      </c>
      <c r="G7155" s="496"/>
      <c r="H7155" s="994" t="s">
        <v>20221</v>
      </c>
      <c r="I7155" s="11" t="s">
        <v>9811</v>
      </c>
      <c r="J7155" s="1285"/>
      <c r="K7155" s="1285"/>
      <c r="L7155" s="1285"/>
    </row>
    <row r="7156" spans="1:12" ht="11.15" customHeight="1">
      <c r="A7156" s="162" t="s">
        <v>9812</v>
      </c>
      <c r="B7156" s="59" t="s">
        <v>21574</v>
      </c>
      <c r="C7156" s="147" t="s">
        <v>23393</v>
      </c>
      <c r="D7156" s="284" t="s">
        <v>897</v>
      </c>
      <c r="E7156" s="178">
        <v>2018</v>
      </c>
      <c r="F7156" s="178" t="s">
        <v>4520</v>
      </c>
      <c r="G7156" s="496"/>
      <c r="H7156" s="994" t="s">
        <v>20221</v>
      </c>
      <c r="I7156" s="11" t="s">
        <v>9813</v>
      </c>
      <c r="J7156" s="1285"/>
      <c r="K7156" s="1285"/>
      <c r="L7156" s="1285"/>
    </row>
    <row r="7157" spans="1:12" ht="11.15" customHeight="1">
      <c r="A7157" s="162" t="s">
        <v>9814</v>
      </c>
      <c r="B7157" s="59" t="s">
        <v>21574</v>
      </c>
      <c r="C7157" s="147" t="s">
        <v>23393</v>
      </c>
      <c r="D7157" s="284" t="s">
        <v>897</v>
      </c>
      <c r="E7157" s="178">
        <v>2014</v>
      </c>
      <c r="F7157" s="178" t="s">
        <v>23395</v>
      </c>
      <c r="G7157" s="496"/>
      <c r="H7157" s="994" t="s">
        <v>20221</v>
      </c>
      <c r="I7157" s="11" t="s">
        <v>9815</v>
      </c>
      <c r="J7157" s="1285"/>
      <c r="K7157" s="1285"/>
      <c r="L7157" s="1285"/>
    </row>
    <row r="7158" spans="1:12" ht="11.15" customHeight="1">
      <c r="A7158" s="162" t="s">
        <v>9816</v>
      </c>
      <c r="B7158" s="59" t="s">
        <v>21574</v>
      </c>
      <c r="C7158" s="147" t="s">
        <v>23393</v>
      </c>
      <c r="D7158" s="284" t="s">
        <v>897</v>
      </c>
      <c r="E7158" s="178">
        <v>2013</v>
      </c>
      <c r="F7158" s="178" t="s">
        <v>23395</v>
      </c>
      <c r="G7158" s="496"/>
      <c r="H7158" s="994" t="s">
        <v>20221</v>
      </c>
      <c r="I7158" s="11" t="s">
        <v>9817</v>
      </c>
      <c r="J7158" s="1285"/>
      <c r="K7158" s="1285"/>
      <c r="L7158" s="1285"/>
    </row>
    <row r="7159" spans="1:12" ht="11.15" customHeight="1">
      <c r="A7159" s="162" t="s">
        <v>9818</v>
      </c>
      <c r="B7159" s="59" t="s">
        <v>21574</v>
      </c>
      <c r="C7159" s="147" t="s">
        <v>23393</v>
      </c>
      <c r="D7159" s="284" t="s">
        <v>897</v>
      </c>
      <c r="E7159" s="178">
        <v>2010</v>
      </c>
      <c r="F7159" s="178" t="s">
        <v>23395</v>
      </c>
      <c r="G7159" s="496"/>
      <c r="H7159" s="994" t="s">
        <v>20224</v>
      </c>
      <c r="I7159" s="11" t="s">
        <v>9819</v>
      </c>
      <c r="J7159" s="1285"/>
      <c r="K7159" s="1285"/>
      <c r="L7159" s="1285"/>
    </row>
    <row r="7160" spans="1:12" ht="11.15" customHeight="1">
      <c r="A7160" s="162" t="s">
        <v>9820</v>
      </c>
      <c r="B7160" s="185"/>
      <c r="C7160" s="147"/>
      <c r="D7160" s="185"/>
      <c r="E7160" s="185"/>
      <c r="F7160" s="185"/>
      <c r="G7160" s="185"/>
      <c r="H7160" s="185"/>
      <c r="I7160" s="11"/>
    </row>
    <row r="7161" spans="1:12" ht="11.15" customHeight="1">
      <c r="A7161" s="162" t="s">
        <v>9821</v>
      </c>
      <c r="B7161" s="185"/>
      <c r="C7161" s="147"/>
      <c r="D7161" s="129"/>
      <c r="E7161" s="185"/>
      <c r="F7161" s="185"/>
      <c r="G7161" s="185"/>
      <c r="H7161" s="185"/>
      <c r="I7161" s="11"/>
    </row>
    <row r="7162" spans="1:12" ht="11.15" customHeight="1">
      <c r="A7162" s="129" t="s">
        <v>9822</v>
      </c>
      <c r="B7162" s="185"/>
      <c r="C7162" s="147"/>
      <c r="D7162" s="129"/>
      <c r="E7162" s="185"/>
      <c r="F7162" s="185"/>
      <c r="G7162" s="185"/>
      <c r="H7162" s="185"/>
      <c r="I7162" s="11"/>
    </row>
    <row r="7163" spans="1:12" ht="11.15" customHeight="1">
      <c r="A7163" s="162" t="s">
        <v>9823</v>
      </c>
      <c r="B7163" s="185"/>
      <c r="C7163" s="147"/>
      <c r="D7163" s="129"/>
      <c r="E7163" s="185"/>
      <c r="F7163" s="185"/>
      <c r="G7163" s="185"/>
      <c r="H7163" s="185"/>
      <c r="I7163" s="11"/>
    </row>
    <row r="7164" spans="1:12" ht="11.15" customHeight="1">
      <c r="A7164" s="162" t="s">
        <v>9824</v>
      </c>
      <c r="B7164" s="185"/>
      <c r="C7164" s="147"/>
      <c r="D7164" s="129"/>
      <c r="E7164" s="185"/>
      <c r="F7164" s="185"/>
      <c r="G7164" s="185"/>
      <c r="H7164" s="185"/>
      <c r="I7164" s="11"/>
    </row>
    <row r="7165" spans="1:12" ht="11.15" customHeight="1">
      <c r="A7165" s="162" t="s">
        <v>9825</v>
      </c>
      <c r="B7165" s="90"/>
      <c r="C7165" s="147"/>
      <c r="D7165" s="161"/>
      <c r="E7165" s="36"/>
      <c r="F7165" s="178"/>
      <c r="G7165" s="497"/>
      <c r="H7165" s="36"/>
      <c r="I7165" s="11"/>
    </row>
    <row r="7166" spans="1:12" ht="11.15" customHeight="1">
      <c r="A7166" s="162" t="s">
        <v>9826</v>
      </c>
      <c r="B7166" s="90"/>
      <c r="C7166" s="147"/>
      <c r="D7166" s="161"/>
      <c r="E7166" s="36"/>
      <c r="F7166" s="178"/>
      <c r="G7166" s="497"/>
      <c r="H7166" s="36"/>
      <c r="I7166" s="11"/>
    </row>
    <row r="7167" spans="1:12" ht="11.15" customHeight="1">
      <c r="A7167" s="129" t="s">
        <v>3659</v>
      </c>
      <c r="B7167" s="90"/>
      <c r="C7167" s="147"/>
      <c r="D7167" s="161"/>
      <c r="E7167" s="36"/>
      <c r="F7167" s="178"/>
      <c r="G7167" s="497"/>
      <c r="H7167" s="36"/>
      <c r="I7167" s="11"/>
    </row>
    <row r="7168" spans="1:12" ht="11.15" customHeight="1">
      <c r="A7168" s="162" t="s">
        <v>9827</v>
      </c>
      <c r="B7168" s="90"/>
      <c r="C7168" s="147"/>
      <c r="D7168" s="161"/>
      <c r="E7168" s="36"/>
      <c r="F7168" s="178"/>
      <c r="G7168" s="497"/>
      <c r="H7168" s="36"/>
      <c r="I7168" s="11"/>
    </row>
    <row r="7169" spans="1:12" ht="11.15" customHeight="1">
      <c r="A7169" s="162" t="s">
        <v>9828</v>
      </c>
      <c r="B7169" s="185"/>
      <c r="C7169" s="147"/>
      <c r="D7169" s="129"/>
      <c r="E7169" s="185"/>
      <c r="F7169" s="185"/>
      <c r="G7169" s="185"/>
      <c r="H7169" s="185"/>
      <c r="I7169" s="11"/>
    </row>
    <row r="7170" spans="1:12" ht="11.15" customHeight="1">
      <c r="A7170" s="162" t="s">
        <v>9829</v>
      </c>
      <c r="B7170" s="185"/>
      <c r="C7170" s="147"/>
      <c r="D7170" s="129"/>
      <c r="E7170" s="185"/>
      <c r="F7170" s="185"/>
      <c r="G7170" s="185"/>
      <c r="H7170" s="185"/>
      <c r="I7170" s="11"/>
    </row>
    <row r="7171" spans="1:12" ht="11.15" customHeight="1">
      <c r="A7171" s="162" t="s">
        <v>3739</v>
      </c>
      <c r="B7171" s="185"/>
      <c r="C7171" s="147"/>
      <c r="D7171" s="129"/>
      <c r="E7171" s="185"/>
      <c r="F7171" s="185"/>
      <c r="G7171" s="185"/>
      <c r="H7171" s="185"/>
      <c r="I7171" s="11"/>
    </row>
    <row r="7172" spans="1:12" ht="11.15" customHeight="1">
      <c r="A7172" s="166" t="s">
        <v>9830</v>
      </c>
      <c r="B7172" s="185"/>
      <c r="C7172" s="147"/>
      <c r="D7172" s="129"/>
      <c r="E7172" s="185"/>
      <c r="F7172" s="185"/>
      <c r="G7172" s="185"/>
      <c r="H7172" s="185"/>
      <c r="I7172" s="11"/>
    </row>
    <row r="7173" spans="1:12" ht="11.15" customHeight="1">
      <c r="A7173" s="481" t="s">
        <v>9831</v>
      </c>
      <c r="B7173" s="185"/>
      <c r="C7173" s="147"/>
      <c r="D7173" s="129"/>
      <c r="E7173" s="185"/>
      <c r="F7173" s="185"/>
      <c r="G7173" s="185"/>
      <c r="H7173" s="185"/>
      <c r="I7173" s="11"/>
    </row>
    <row r="7174" spans="1:12" ht="11.15" customHeight="1" thickBot="1">
      <c r="A7174" s="29"/>
      <c r="B7174" s="150" t="s">
        <v>9832</v>
      </c>
      <c r="C7174" s="147"/>
      <c r="D7174" s="129"/>
      <c r="E7174" s="185"/>
      <c r="F7174" s="185"/>
      <c r="G7174" s="185"/>
      <c r="H7174" s="185"/>
      <c r="I7174" s="11"/>
    </row>
    <row r="7175" spans="1:12" ht="11.15" customHeight="1">
      <c r="A7175" s="153" t="s">
        <v>9833</v>
      </c>
      <c r="B7175" s="59" t="s">
        <v>21575</v>
      </c>
      <c r="C7175" s="147" t="s">
        <v>20221</v>
      </c>
      <c r="D7175" s="284" t="s">
        <v>897</v>
      </c>
      <c r="E7175" s="178">
        <v>2021</v>
      </c>
      <c r="F7175" s="178" t="s">
        <v>4520</v>
      </c>
      <c r="G7175" s="496"/>
      <c r="H7175" s="994" t="s">
        <v>20221</v>
      </c>
      <c r="I7175" s="11" t="s">
        <v>9834</v>
      </c>
      <c r="J7175" s="1285"/>
      <c r="K7175" s="1285"/>
      <c r="L7175" s="1285"/>
    </row>
    <row r="7176" spans="1:12" ht="12" customHeight="1" thickBot="1">
      <c r="A7176" s="230" t="s">
        <v>9835</v>
      </c>
      <c r="B7176" s="59" t="s">
        <v>21575</v>
      </c>
      <c r="C7176" s="147" t="s">
        <v>20221</v>
      </c>
      <c r="D7176" s="284" t="s">
        <v>897</v>
      </c>
      <c r="E7176" s="178">
        <v>2020</v>
      </c>
      <c r="F7176" s="178" t="s">
        <v>4520</v>
      </c>
      <c r="G7176" s="496"/>
      <c r="H7176" s="994" t="s">
        <v>20221</v>
      </c>
      <c r="I7176" s="11" t="s">
        <v>9836</v>
      </c>
      <c r="J7176" s="1285"/>
      <c r="K7176" s="1285"/>
      <c r="L7176" s="1285"/>
    </row>
    <row r="7177" spans="1:12" ht="11.15" customHeight="1">
      <c r="A7177" s="29" t="s">
        <v>9837</v>
      </c>
      <c r="B7177" s="59" t="s">
        <v>21575</v>
      </c>
      <c r="C7177" s="147" t="s">
        <v>20221</v>
      </c>
      <c r="D7177" s="284" t="s">
        <v>897</v>
      </c>
      <c r="E7177" s="178">
        <v>2019</v>
      </c>
      <c r="F7177" s="178" t="s">
        <v>4520</v>
      </c>
      <c r="G7177" s="496"/>
      <c r="H7177" s="994" t="s">
        <v>20221</v>
      </c>
      <c r="I7177" s="11" t="s">
        <v>9838</v>
      </c>
      <c r="J7177" s="1285"/>
      <c r="K7177" s="1285"/>
      <c r="L7177" s="1285"/>
    </row>
    <row r="7178" spans="1:12" ht="11.15" customHeight="1">
      <c r="A7178" s="29" t="s">
        <v>9839</v>
      </c>
      <c r="B7178" s="59" t="s">
        <v>21575</v>
      </c>
      <c r="C7178" s="147" t="s">
        <v>20221</v>
      </c>
      <c r="D7178" s="284" t="s">
        <v>897</v>
      </c>
      <c r="E7178" s="178">
        <v>2018</v>
      </c>
      <c r="F7178" s="178" t="s">
        <v>4520</v>
      </c>
      <c r="G7178" s="496"/>
      <c r="H7178" s="994" t="s">
        <v>20221</v>
      </c>
      <c r="I7178" s="11" t="s">
        <v>9840</v>
      </c>
      <c r="J7178" s="1285"/>
      <c r="K7178" s="1285"/>
      <c r="L7178" s="1285"/>
    </row>
    <row r="7179" spans="1:12" ht="11.15" customHeight="1">
      <c r="A7179" s="29" t="s">
        <v>9841</v>
      </c>
    </row>
    <row r="7180" spans="1:12" ht="11.15" customHeight="1">
      <c r="A7180" s="29" t="s">
        <v>9842</v>
      </c>
      <c r="B7180" s="185"/>
      <c r="C7180" s="147"/>
      <c r="D7180" s="185"/>
      <c r="E7180" s="185"/>
      <c r="F7180" s="185"/>
      <c r="G7180" s="185"/>
      <c r="H7180" s="185"/>
      <c r="I7180" s="11"/>
    </row>
    <row r="7181" spans="1:12" ht="11.15" customHeight="1">
      <c r="A7181" s="29" t="s">
        <v>9843</v>
      </c>
      <c r="B7181" s="150"/>
      <c r="C7181" s="147"/>
      <c r="D7181" s="185"/>
      <c r="E7181" s="185"/>
      <c r="F7181" s="185"/>
      <c r="G7181" s="185"/>
      <c r="H7181" s="185"/>
      <c r="I7181" s="11"/>
    </row>
    <row r="7182" spans="1:12" ht="11.15" customHeight="1">
      <c r="A7182" s="29" t="s">
        <v>9844</v>
      </c>
      <c r="B7182" s="185"/>
      <c r="C7182" s="147"/>
      <c r="D7182" s="185"/>
      <c r="E7182" s="185"/>
      <c r="F7182" s="185"/>
      <c r="G7182" s="185"/>
      <c r="H7182" s="185"/>
      <c r="I7182" s="11"/>
    </row>
    <row r="7183" spans="1:12" ht="11.15" customHeight="1">
      <c r="A7183" s="129" t="s">
        <v>1077</v>
      </c>
      <c r="B7183" s="90"/>
      <c r="C7183" s="147"/>
      <c r="D7183" s="161"/>
      <c r="E7183" s="36"/>
      <c r="F7183" s="178"/>
      <c r="G7183" s="671"/>
      <c r="H7183" s="36"/>
      <c r="I7183" s="11"/>
    </row>
    <row r="7184" spans="1:12" ht="11.15" customHeight="1">
      <c r="A7184" s="162" t="s">
        <v>2152</v>
      </c>
      <c r="B7184" s="90"/>
      <c r="C7184" s="147"/>
      <c r="D7184" s="159"/>
      <c r="E7184" s="36"/>
      <c r="F7184" s="178"/>
      <c r="G7184" s="497"/>
      <c r="H7184" s="36"/>
      <c r="I7184" s="11"/>
    </row>
    <row r="7185" spans="1:12" ht="11.15" customHeight="1">
      <c r="A7185" s="162" t="s">
        <v>9845</v>
      </c>
      <c r="B7185" s="185"/>
      <c r="C7185" s="147"/>
      <c r="D7185" s="185"/>
      <c r="E7185" s="185"/>
      <c r="F7185" s="185"/>
      <c r="G7185" s="185"/>
      <c r="H7185" s="185"/>
      <c r="I7185" s="11"/>
    </row>
    <row r="7186" spans="1:12" ht="11.15" customHeight="1">
      <c r="A7186" s="162" t="s">
        <v>9846</v>
      </c>
      <c r="B7186" s="185"/>
      <c r="C7186" s="147"/>
      <c r="D7186" s="185"/>
      <c r="E7186" s="185"/>
      <c r="F7186" s="185"/>
      <c r="G7186" s="185"/>
      <c r="H7186" s="185"/>
      <c r="I7186" s="11"/>
    </row>
    <row r="7187" spans="1:12" ht="11.15" customHeight="1">
      <c r="A7187" s="29" t="s">
        <v>9847</v>
      </c>
      <c r="B7187" s="185"/>
      <c r="C7187" s="147"/>
      <c r="D7187" s="185"/>
      <c r="E7187" s="185"/>
      <c r="F7187" s="185"/>
      <c r="G7187" s="185"/>
      <c r="H7187" s="185"/>
      <c r="I7187" s="11"/>
    </row>
    <row r="7188" spans="1:12" ht="11.15" customHeight="1">
      <c r="A7188" s="29" t="s">
        <v>9848</v>
      </c>
      <c r="B7188" s="185"/>
      <c r="C7188" s="147"/>
      <c r="D7188" s="185"/>
      <c r="E7188" s="185"/>
      <c r="F7188" s="185"/>
      <c r="G7188" s="185"/>
      <c r="H7188" s="185"/>
      <c r="I7188" s="11"/>
    </row>
    <row r="7189" spans="1:12" ht="11.15" customHeight="1">
      <c r="A7189" s="29" t="s">
        <v>9849</v>
      </c>
      <c r="B7189" s="185"/>
      <c r="C7189" s="147"/>
      <c r="D7189" s="185"/>
      <c r="E7189" s="185"/>
      <c r="F7189" s="185"/>
      <c r="G7189" s="185"/>
      <c r="H7189" s="185"/>
      <c r="I7189" s="11"/>
    </row>
    <row r="7190" spans="1:12" ht="11.15" customHeight="1">
      <c r="A7190" s="166" t="s">
        <v>9850</v>
      </c>
      <c r="B7190" s="90"/>
      <c r="C7190" s="147"/>
      <c r="D7190" s="182"/>
      <c r="E7190" s="36"/>
      <c r="F7190" s="178"/>
      <c r="G7190" s="671"/>
      <c r="H7190" s="36"/>
      <c r="I7190" s="11"/>
    </row>
    <row r="7191" spans="1:12" ht="11.15" customHeight="1">
      <c r="A7191" s="481" t="s">
        <v>9851</v>
      </c>
      <c r="B7191" s="90"/>
      <c r="C7191" s="147"/>
      <c r="D7191" s="182"/>
      <c r="E7191" s="36"/>
      <c r="F7191" s="178"/>
      <c r="G7191" s="671"/>
      <c r="H7191" s="36"/>
      <c r="I7191" s="11"/>
    </row>
    <row r="7192" spans="1:12" ht="11.15" customHeight="1" thickBot="1">
      <c r="A7192" s="162"/>
      <c r="B7192" s="90"/>
      <c r="C7192" s="147"/>
      <c r="D7192" s="161"/>
      <c r="E7192" s="36"/>
      <c r="F7192" s="178"/>
      <c r="G7192" s="671"/>
      <c r="H7192" s="36"/>
      <c r="I7192" s="11"/>
    </row>
    <row r="7193" spans="1:12" ht="11.15" customHeight="1">
      <c r="A7193" s="153" t="s">
        <v>9852</v>
      </c>
      <c r="B7193" s="177" t="s">
        <v>9747</v>
      </c>
      <c r="C7193" s="147"/>
      <c r="D7193" s="122"/>
      <c r="E7193" s="36"/>
      <c r="F7193" s="178"/>
      <c r="G7193" s="60"/>
      <c r="H7193" s="36"/>
      <c r="I7193" s="11"/>
    </row>
    <row r="7194" spans="1:12" ht="11.15" customHeight="1" thickBot="1">
      <c r="A7194" s="230" t="s">
        <v>9835</v>
      </c>
      <c r="B7194" s="59" t="s">
        <v>21577</v>
      </c>
      <c r="C7194" s="147" t="s">
        <v>20221</v>
      </c>
      <c r="D7194" s="701" t="s">
        <v>1129</v>
      </c>
      <c r="E7194" s="178">
        <v>2022</v>
      </c>
      <c r="F7194" s="178" t="s">
        <v>4520</v>
      </c>
      <c r="G7194" s="496"/>
      <c r="H7194" s="994" t="s">
        <v>20224</v>
      </c>
      <c r="I7194" s="11" t="s">
        <v>9853</v>
      </c>
      <c r="J7194" s="1285"/>
      <c r="K7194" s="1285"/>
      <c r="L7194" s="1285"/>
    </row>
    <row r="7195" spans="1:12" ht="11.15" customHeight="1">
      <c r="A7195" s="229" t="s">
        <v>9854</v>
      </c>
      <c r="B7195" s="177" t="s">
        <v>9856</v>
      </c>
      <c r="C7195" s="147"/>
      <c r="D7195" s="185"/>
      <c r="E7195" s="185"/>
      <c r="F7195" s="185"/>
      <c r="G7195" s="185"/>
      <c r="H7195" s="185"/>
      <c r="I7195" s="11"/>
    </row>
    <row r="7196" spans="1:12" ht="11.15" customHeight="1">
      <c r="A7196" s="29" t="s">
        <v>9855</v>
      </c>
      <c r="B7196" s="59" t="s">
        <v>21578</v>
      </c>
      <c r="C7196" s="147" t="s">
        <v>20221</v>
      </c>
      <c r="D7196" s="701" t="s">
        <v>1129</v>
      </c>
      <c r="E7196" s="178">
        <v>2022</v>
      </c>
      <c r="F7196" s="178" t="s">
        <v>23394</v>
      </c>
      <c r="G7196" s="496"/>
      <c r="H7196" s="994" t="s">
        <v>20221</v>
      </c>
      <c r="I7196" s="11" t="s">
        <v>9858</v>
      </c>
      <c r="J7196" s="1285"/>
      <c r="K7196" s="1285"/>
      <c r="L7196" s="1285"/>
    </row>
    <row r="7197" spans="1:12" ht="11.15" customHeight="1">
      <c r="A7197" s="29" t="s">
        <v>9857</v>
      </c>
      <c r="B7197" s="59" t="s">
        <v>21578</v>
      </c>
      <c r="C7197" s="147" t="s">
        <v>20221</v>
      </c>
      <c r="D7197" s="701" t="s">
        <v>1129</v>
      </c>
      <c r="E7197" s="178">
        <v>2021</v>
      </c>
      <c r="F7197" s="178" t="s">
        <v>23394</v>
      </c>
      <c r="G7197" s="496"/>
      <c r="H7197" s="994" t="s">
        <v>20221</v>
      </c>
      <c r="I7197" s="11" t="s">
        <v>9859</v>
      </c>
      <c r="J7197" s="1285"/>
      <c r="K7197" s="1285"/>
      <c r="L7197" s="1285"/>
    </row>
    <row r="7198" spans="1:12" ht="11.15" customHeight="1">
      <c r="A7198" s="181" t="s">
        <v>1595</v>
      </c>
      <c r="B7198" s="59" t="s">
        <v>21578</v>
      </c>
      <c r="C7198" s="147" t="s">
        <v>20221</v>
      </c>
      <c r="D7198" s="701" t="s">
        <v>1129</v>
      </c>
      <c r="E7198" s="178">
        <v>2020</v>
      </c>
      <c r="F7198" s="178" t="s">
        <v>23394</v>
      </c>
      <c r="G7198" s="496"/>
      <c r="H7198" s="994" t="s">
        <v>20224</v>
      </c>
      <c r="I7198" s="11" t="s">
        <v>9860</v>
      </c>
      <c r="J7198" s="1285"/>
      <c r="K7198" s="1285"/>
      <c r="L7198" s="1285"/>
    </row>
    <row r="7199" spans="1:12" ht="11.15" customHeight="1">
      <c r="A7199" s="181" t="s">
        <v>950</v>
      </c>
      <c r="B7199" s="177" t="s">
        <v>9862</v>
      </c>
      <c r="C7199" s="147"/>
      <c r="D7199" s="159"/>
      <c r="E7199" s="36"/>
      <c r="F7199" s="178"/>
      <c r="G7199" s="1238"/>
      <c r="H7199" s="36"/>
      <c r="I7199" s="11"/>
    </row>
    <row r="7200" spans="1:12" ht="11.15" customHeight="1">
      <c r="A7200" s="129" t="s">
        <v>9861</v>
      </c>
      <c r="B7200" s="59" t="s">
        <v>21579</v>
      </c>
      <c r="C7200" s="147" t="s">
        <v>20221</v>
      </c>
      <c r="D7200" s="284" t="s">
        <v>897</v>
      </c>
      <c r="E7200" s="178">
        <v>2021</v>
      </c>
      <c r="F7200" s="178" t="s">
        <v>23395</v>
      </c>
      <c r="G7200" s="496"/>
      <c r="H7200" s="994" t="s">
        <v>20221</v>
      </c>
      <c r="I7200" s="11" t="s">
        <v>9864</v>
      </c>
      <c r="J7200" s="1285"/>
      <c r="K7200" s="1285"/>
      <c r="L7200" s="1285"/>
    </row>
    <row r="7201" spans="1:12" ht="11.15" customHeight="1">
      <c r="A7201" s="162" t="s">
        <v>9863</v>
      </c>
      <c r="B7201" s="59" t="s">
        <v>21579</v>
      </c>
      <c r="C7201" s="147" t="s">
        <v>20221</v>
      </c>
      <c r="D7201" s="284" t="s">
        <v>897</v>
      </c>
      <c r="E7201" s="178">
        <v>2020</v>
      </c>
      <c r="F7201" s="178" t="s">
        <v>23395</v>
      </c>
      <c r="G7201" s="496"/>
      <c r="H7201" s="994" t="s">
        <v>20221</v>
      </c>
      <c r="I7201" s="11" t="s">
        <v>9866</v>
      </c>
      <c r="J7201" s="1285"/>
      <c r="K7201" s="1285"/>
      <c r="L7201" s="1285"/>
    </row>
    <row r="7202" spans="1:12" ht="11.15" customHeight="1">
      <c r="A7202" s="162" t="s">
        <v>9865</v>
      </c>
      <c r="B7202" s="177" t="s">
        <v>9868</v>
      </c>
      <c r="C7202" s="147"/>
      <c r="D7202" s="129"/>
      <c r="E7202" s="185"/>
      <c r="F7202" s="185"/>
      <c r="G7202" s="185"/>
      <c r="H7202" s="185"/>
      <c r="I7202" s="11"/>
    </row>
    <row r="7203" spans="1:12" ht="11.15" customHeight="1">
      <c r="A7203" s="162" t="s">
        <v>9867</v>
      </c>
      <c r="B7203" s="59" t="s">
        <v>21580</v>
      </c>
      <c r="C7203" s="147" t="s">
        <v>20221</v>
      </c>
      <c r="D7203" s="284" t="s">
        <v>897</v>
      </c>
      <c r="E7203" s="178">
        <v>2021</v>
      </c>
      <c r="F7203" s="178" t="s">
        <v>4520</v>
      </c>
      <c r="G7203" s="496"/>
      <c r="H7203" s="994" t="s">
        <v>20221</v>
      </c>
      <c r="I7203" s="11" t="s">
        <v>9870</v>
      </c>
      <c r="J7203" s="1285"/>
      <c r="K7203" s="1285"/>
      <c r="L7203" s="1285"/>
    </row>
    <row r="7204" spans="1:12" ht="11.15" customHeight="1">
      <c r="A7204" s="162" t="s">
        <v>9869</v>
      </c>
      <c r="B7204" s="59" t="s">
        <v>21580</v>
      </c>
      <c r="C7204" s="147" t="s">
        <v>20221</v>
      </c>
      <c r="D7204" s="284" t="s">
        <v>897</v>
      </c>
      <c r="E7204" s="178">
        <v>2020</v>
      </c>
      <c r="F7204" s="178" t="s">
        <v>4520</v>
      </c>
      <c r="G7204" s="496"/>
      <c r="H7204" s="994" t="s">
        <v>20221</v>
      </c>
      <c r="I7204" s="11" t="s">
        <v>9872</v>
      </c>
      <c r="J7204" s="1285"/>
      <c r="K7204" s="1285"/>
      <c r="L7204" s="1285"/>
    </row>
    <row r="7205" spans="1:12" ht="11.15" customHeight="1">
      <c r="A7205" s="162" t="s">
        <v>9871</v>
      </c>
      <c r="B7205" s="59" t="s">
        <v>21580</v>
      </c>
      <c r="C7205" s="147" t="s">
        <v>20221</v>
      </c>
      <c r="D7205" s="284" t="s">
        <v>897</v>
      </c>
      <c r="E7205" s="178">
        <v>2019</v>
      </c>
      <c r="F7205" s="178" t="s">
        <v>4520</v>
      </c>
      <c r="G7205" s="496"/>
      <c r="H7205" s="994" t="s">
        <v>20221</v>
      </c>
      <c r="I7205" s="11" t="s">
        <v>9874</v>
      </c>
      <c r="J7205" s="1285"/>
      <c r="K7205" s="1285"/>
      <c r="L7205" s="1285"/>
    </row>
    <row r="7206" spans="1:12" ht="11.15" customHeight="1">
      <c r="A7206" s="162" t="s">
        <v>9873</v>
      </c>
      <c r="B7206" s="59" t="s">
        <v>21580</v>
      </c>
      <c r="C7206" s="147" t="s">
        <v>20221</v>
      </c>
      <c r="D7206" s="284" t="s">
        <v>897</v>
      </c>
      <c r="E7206" s="178">
        <v>2018</v>
      </c>
      <c r="F7206" s="178" t="s">
        <v>4520</v>
      </c>
      <c r="G7206" s="496"/>
      <c r="H7206" s="994" t="s">
        <v>20221</v>
      </c>
      <c r="I7206" s="11" t="s">
        <v>9876</v>
      </c>
      <c r="J7206" s="1285"/>
      <c r="K7206" s="1285"/>
      <c r="L7206" s="1285"/>
    </row>
    <row r="7207" spans="1:12" ht="11.15" customHeight="1">
      <c r="A7207" s="162" t="s">
        <v>9875</v>
      </c>
      <c r="B7207" s="177" t="s">
        <v>9878</v>
      </c>
      <c r="C7207" s="147"/>
      <c r="D7207" s="185"/>
      <c r="E7207" s="185"/>
      <c r="F7207" s="185"/>
      <c r="G7207" s="185"/>
      <c r="H7207" s="185"/>
      <c r="I7207" s="11"/>
    </row>
    <row r="7208" spans="1:12" ht="11.15" customHeight="1">
      <c r="A7208" s="162" t="s">
        <v>9877</v>
      </c>
      <c r="B7208" s="59" t="s">
        <v>21581</v>
      </c>
      <c r="C7208" s="147" t="s">
        <v>20221</v>
      </c>
      <c r="D7208" s="284" t="s">
        <v>897</v>
      </c>
      <c r="E7208" s="178">
        <v>2018</v>
      </c>
      <c r="F7208" s="178" t="s">
        <v>23394</v>
      </c>
      <c r="G7208" s="496"/>
      <c r="H7208" s="994" t="s">
        <v>20224</v>
      </c>
      <c r="I7208" s="11" t="s">
        <v>9879</v>
      </c>
      <c r="J7208" s="1285"/>
      <c r="K7208" s="1285"/>
      <c r="L7208" s="1285"/>
    </row>
    <row r="7209" spans="1:12" ht="11.15" customHeight="1">
      <c r="A7209" s="129" t="s">
        <v>3690</v>
      </c>
      <c r="B7209" s="59" t="s">
        <v>21581</v>
      </c>
      <c r="C7209" s="147" t="s">
        <v>20221</v>
      </c>
      <c r="D7209" s="284" t="s">
        <v>897</v>
      </c>
      <c r="E7209" s="178">
        <v>2014</v>
      </c>
      <c r="F7209" s="178" t="s">
        <v>23394</v>
      </c>
      <c r="G7209" s="496"/>
      <c r="H7209" s="994" t="s">
        <v>20224</v>
      </c>
      <c r="I7209" s="11" t="s">
        <v>9881</v>
      </c>
      <c r="J7209" s="1285"/>
      <c r="K7209" s="1285"/>
      <c r="L7209" s="1285"/>
    </row>
    <row r="7210" spans="1:12" ht="11.15" customHeight="1">
      <c r="A7210" s="162" t="s">
        <v>9880</v>
      </c>
      <c r="B7210" s="185"/>
      <c r="C7210" s="147"/>
      <c r="D7210" s="185"/>
      <c r="E7210" s="185"/>
      <c r="F7210" s="185"/>
      <c r="G7210" s="185"/>
      <c r="H7210" s="185"/>
      <c r="I7210" s="11"/>
    </row>
    <row r="7211" spans="1:12" ht="11.15" customHeight="1">
      <c r="A7211" s="162" t="s">
        <v>9882</v>
      </c>
      <c r="B7211" s="177"/>
      <c r="C7211" s="147"/>
      <c r="D7211" s="185"/>
      <c r="E7211" s="185"/>
      <c r="F7211" s="185"/>
      <c r="G7211" s="185"/>
      <c r="H7211" s="185"/>
      <c r="I7211" s="11"/>
    </row>
    <row r="7212" spans="1:12" ht="11.15" customHeight="1">
      <c r="A7212" s="162" t="s">
        <v>9883</v>
      </c>
      <c r="B7212" s="177"/>
      <c r="C7212" s="147"/>
      <c r="D7212" s="185"/>
      <c r="E7212" s="185"/>
      <c r="F7212" s="185"/>
      <c r="G7212" s="185"/>
      <c r="H7212" s="185"/>
      <c r="I7212" s="11"/>
    </row>
    <row r="7213" spans="1:12" ht="11.15" customHeight="1">
      <c r="A7213" s="162" t="s">
        <v>9884</v>
      </c>
      <c r="B7213" s="59"/>
      <c r="C7213" s="147"/>
      <c r="D7213" s="739"/>
      <c r="E7213" s="178"/>
      <c r="F7213" s="178"/>
      <c r="G7213" s="496"/>
      <c r="H7213" s="994"/>
      <c r="I7213" s="11"/>
      <c r="J7213" s="1285"/>
      <c r="K7213" s="1285"/>
      <c r="L7213" s="1285"/>
    </row>
    <row r="7214" spans="1:12" ht="11.15" customHeight="1">
      <c r="A7214" s="162" t="s">
        <v>9885</v>
      </c>
      <c r="B7214" s="185"/>
      <c r="C7214" s="147"/>
      <c r="D7214" s="185"/>
      <c r="E7214" s="185"/>
      <c r="F7214" s="185"/>
      <c r="G7214" s="185"/>
      <c r="H7214" s="185"/>
      <c r="I7214" s="11"/>
    </row>
    <row r="7215" spans="1:12" ht="11.15" customHeight="1">
      <c r="A7215" s="162" t="s">
        <v>9886</v>
      </c>
      <c r="B7215" s="185"/>
      <c r="C7215" s="147"/>
      <c r="D7215" s="185"/>
      <c r="E7215" s="185"/>
      <c r="F7215" s="185"/>
      <c r="G7215" s="185"/>
      <c r="H7215" s="185"/>
      <c r="I7215" s="11"/>
    </row>
    <row r="7216" spans="1:12" ht="11.15" customHeight="1">
      <c r="A7216" s="162" t="s">
        <v>9887</v>
      </c>
      <c r="B7216" s="185"/>
      <c r="C7216" s="147"/>
      <c r="D7216" s="185"/>
      <c r="E7216" s="185"/>
      <c r="F7216" s="185"/>
      <c r="G7216" s="185"/>
      <c r="H7216" s="185"/>
      <c r="I7216" s="11"/>
    </row>
    <row r="7217" spans="1:9" ht="11.25" customHeight="1">
      <c r="A7217" s="129" t="s">
        <v>3659</v>
      </c>
      <c r="B7217" s="185"/>
      <c r="C7217" s="147"/>
      <c r="D7217" s="185"/>
      <c r="E7217" s="185"/>
      <c r="F7217" s="185"/>
      <c r="G7217" s="185"/>
      <c r="H7217" s="185"/>
      <c r="I7217" s="11"/>
    </row>
    <row r="7218" spans="1:9" ht="11.15" customHeight="1">
      <c r="A7218" s="162" t="s">
        <v>2152</v>
      </c>
      <c r="B7218" s="185"/>
      <c r="C7218" s="147"/>
      <c r="D7218" s="185"/>
      <c r="E7218" s="185"/>
      <c r="F7218" s="185"/>
      <c r="G7218" s="185"/>
      <c r="H7218" s="185"/>
      <c r="I7218" s="11"/>
    </row>
    <row r="7219" spans="1:9" ht="11.25" customHeight="1">
      <c r="A7219" s="162" t="s">
        <v>9888</v>
      </c>
      <c r="B7219" s="185"/>
      <c r="C7219" s="147"/>
      <c r="D7219" s="185"/>
      <c r="E7219" s="185"/>
      <c r="F7219" s="185"/>
      <c r="G7219" s="185"/>
      <c r="H7219" s="185"/>
      <c r="I7219" s="11"/>
    </row>
    <row r="7220" spans="1:9" ht="11.15" customHeight="1">
      <c r="A7220" s="162" t="s">
        <v>9845</v>
      </c>
      <c r="B7220" s="185"/>
      <c r="C7220" s="147"/>
      <c r="D7220" s="185"/>
      <c r="E7220" s="185"/>
      <c r="F7220" s="185"/>
      <c r="G7220" s="185"/>
      <c r="H7220" s="185"/>
      <c r="I7220" s="11"/>
    </row>
    <row r="7221" spans="1:9" ht="11.15" customHeight="1">
      <c r="A7221" s="162" t="s">
        <v>9889</v>
      </c>
      <c r="B7221" s="90"/>
      <c r="C7221" s="147"/>
      <c r="D7221" s="159"/>
      <c r="E7221" s="36"/>
      <c r="F7221" s="178"/>
      <c r="G7221" s="497"/>
      <c r="H7221" s="36"/>
      <c r="I7221" s="11"/>
    </row>
    <row r="7222" spans="1:9" ht="11.15" customHeight="1">
      <c r="A7222" s="162" t="s">
        <v>9890</v>
      </c>
      <c r="B7222" s="185"/>
      <c r="C7222" s="147"/>
      <c r="D7222" s="185"/>
      <c r="E7222" s="185"/>
      <c r="F7222" s="185"/>
      <c r="G7222" s="185"/>
      <c r="H7222" s="185"/>
      <c r="I7222" s="11"/>
    </row>
    <row r="7223" spans="1:9" ht="11.15" customHeight="1">
      <c r="A7223" s="162" t="s">
        <v>9891</v>
      </c>
      <c r="B7223" s="185"/>
      <c r="C7223" s="147"/>
      <c r="D7223" s="185"/>
      <c r="E7223" s="185"/>
      <c r="F7223" s="185"/>
      <c r="G7223" s="185"/>
      <c r="H7223" s="185"/>
      <c r="I7223" s="11"/>
    </row>
    <row r="7224" spans="1:9" ht="11.15" customHeight="1">
      <c r="A7224" s="162" t="s">
        <v>9892</v>
      </c>
      <c r="B7224" s="185"/>
      <c r="C7224" s="147"/>
      <c r="D7224" s="185"/>
      <c r="E7224" s="185"/>
      <c r="F7224" s="185"/>
      <c r="G7224" s="185"/>
      <c r="H7224" s="185"/>
      <c r="I7224" s="11"/>
    </row>
    <row r="7225" spans="1:9" ht="11.15" customHeight="1">
      <c r="A7225" s="162" t="s">
        <v>9828</v>
      </c>
      <c r="B7225" s="185"/>
      <c r="C7225" s="147"/>
      <c r="D7225" s="185"/>
      <c r="E7225" s="185"/>
      <c r="F7225" s="185"/>
      <c r="G7225" s="185"/>
      <c r="H7225" s="185"/>
      <c r="I7225" s="11"/>
    </row>
    <row r="7226" spans="1:9" ht="11.15" customHeight="1">
      <c r="A7226" s="162" t="s">
        <v>9893</v>
      </c>
      <c r="B7226" s="185"/>
      <c r="C7226" s="147"/>
      <c r="D7226" s="185"/>
      <c r="E7226" s="185"/>
      <c r="F7226" s="185"/>
      <c r="G7226" s="185"/>
      <c r="H7226" s="185"/>
      <c r="I7226" s="11"/>
    </row>
    <row r="7227" spans="1:9" ht="11.15" customHeight="1">
      <c r="A7227" s="162" t="s">
        <v>9894</v>
      </c>
      <c r="B7227" s="185"/>
      <c r="C7227" s="147"/>
      <c r="D7227" s="185"/>
      <c r="E7227" s="185"/>
      <c r="F7227" s="185"/>
      <c r="G7227" s="185"/>
      <c r="H7227" s="185"/>
      <c r="I7227" s="11"/>
    </row>
    <row r="7228" spans="1:9" ht="11.15" customHeight="1">
      <c r="A7228" s="162" t="s">
        <v>3177</v>
      </c>
      <c r="B7228" s="185"/>
      <c r="C7228" s="147"/>
      <c r="D7228" s="129"/>
      <c r="E7228" s="185"/>
      <c r="F7228" s="185"/>
      <c r="G7228" s="185"/>
      <c r="H7228" s="185"/>
      <c r="I7228" s="11"/>
    </row>
    <row r="7229" spans="1:9" ht="11.15" customHeight="1">
      <c r="A7229" s="162" t="s">
        <v>9895</v>
      </c>
      <c r="B7229" s="90"/>
      <c r="C7229" s="147"/>
      <c r="D7229" s="182"/>
      <c r="E7229" s="36"/>
      <c r="F7229" s="178"/>
      <c r="G7229" s="671"/>
      <c r="H7229" s="36"/>
      <c r="I7229" s="11"/>
    </row>
    <row r="7230" spans="1:9" ht="11.15" customHeight="1">
      <c r="A7230" s="162" t="s">
        <v>9896</v>
      </c>
      <c r="B7230" s="90"/>
      <c r="C7230" s="147"/>
      <c r="D7230" s="182"/>
      <c r="E7230" s="36"/>
      <c r="F7230" s="178"/>
      <c r="G7230" s="671"/>
      <c r="H7230" s="36"/>
      <c r="I7230" s="11"/>
    </row>
    <row r="7231" spans="1:9" ht="11.15" customHeight="1">
      <c r="A7231" s="166" t="s">
        <v>9897</v>
      </c>
      <c r="B7231" s="90"/>
      <c r="C7231" s="147"/>
      <c r="D7231" s="182"/>
      <c r="E7231" s="36"/>
      <c r="F7231" s="178"/>
      <c r="G7231" s="671"/>
      <c r="H7231" s="36"/>
      <c r="I7231" s="11"/>
    </row>
    <row r="7232" spans="1:9" ht="11.15" customHeight="1">
      <c r="A7232" s="166" t="s">
        <v>9850</v>
      </c>
      <c r="B7232" s="90"/>
      <c r="C7232" s="147"/>
      <c r="D7232" s="182"/>
      <c r="E7232" s="36"/>
      <c r="F7232" s="178"/>
      <c r="G7232" s="671"/>
      <c r="H7232" s="36"/>
      <c r="I7232" s="11"/>
    </row>
    <row r="7233" spans="1:9" ht="11.15" customHeight="1">
      <c r="A7233" s="129" t="s">
        <v>9898</v>
      </c>
      <c r="B7233" s="90"/>
      <c r="C7233" s="147"/>
      <c r="D7233" s="182"/>
      <c r="E7233" s="36"/>
      <c r="F7233" s="178"/>
      <c r="G7233" s="671"/>
      <c r="H7233" s="36"/>
      <c r="I7233" s="11"/>
    </row>
    <row r="7234" spans="1:9" ht="11.15" customHeight="1">
      <c r="A7234" s="129" t="s">
        <v>9899</v>
      </c>
      <c r="B7234" s="90"/>
      <c r="C7234" s="147"/>
      <c r="D7234" s="182"/>
      <c r="E7234" s="36"/>
      <c r="F7234" s="178"/>
      <c r="G7234" s="671"/>
      <c r="H7234" s="36"/>
      <c r="I7234" s="11"/>
    </row>
    <row r="7235" spans="1:9" ht="11.15" customHeight="1">
      <c r="A7235" s="481" t="s">
        <v>9851</v>
      </c>
      <c r="B7235" s="90"/>
      <c r="C7235" s="147"/>
      <c r="D7235" s="182"/>
      <c r="E7235" s="36"/>
      <c r="F7235" s="178"/>
      <c r="G7235" s="671"/>
      <c r="H7235" s="36"/>
      <c r="I7235" s="11"/>
    </row>
    <row r="7236" spans="1:9" ht="11.15" customHeight="1">
      <c r="A7236" s="185"/>
      <c r="B7236" s="146" t="s">
        <v>9352</v>
      </c>
      <c r="C7236" s="147"/>
      <c r="D7236" s="129"/>
      <c r="E7236" s="185"/>
      <c r="F7236" s="185"/>
      <c r="G7236" s="185"/>
      <c r="H7236" s="185"/>
      <c r="I7236" s="11"/>
    </row>
    <row r="7237" spans="1:9" ht="9" customHeight="1">
      <c r="A7237" s="29"/>
      <c r="B7237" s="150" t="s">
        <v>9353</v>
      </c>
      <c r="C7237" s="147"/>
      <c r="D7237" s="122"/>
      <c r="E7237" s="36"/>
      <c r="F7237" s="178"/>
      <c r="G7237" s="453"/>
      <c r="H7237" s="36"/>
      <c r="I7237" s="11"/>
    </row>
    <row r="7238" spans="1:9" ht="9" customHeight="1">
      <c r="A7238" s="29"/>
      <c r="B7238" s="150" t="s">
        <v>9354</v>
      </c>
      <c r="C7238" s="147"/>
      <c r="D7238" s="122"/>
      <c r="E7238" s="36"/>
      <c r="F7238" s="178"/>
      <c r="G7238" s="453"/>
      <c r="H7238" s="36"/>
      <c r="I7238" s="11"/>
    </row>
    <row r="7239" spans="1:9" ht="9" customHeight="1">
      <c r="A7239" s="29"/>
      <c r="B7239" s="150" t="s">
        <v>9355</v>
      </c>
      <c r="C7239" s="147"/>
      <c r="D7239" s="122"/>
      <c r="E7239" s="36"/>
      <c r="F7239" s="178"/>
      <c r="G7239" s="453"/>
      <c r="H7239" s="36"/>
      <c r="I7239" s="11"/>
    </row>
    <row r="7240" spans="1:9" ht="9" customHeight="1">
      <c r="A7240" s="29"/>
      <c r="B7240" s="150" t="s">
        <v>9356</v>
      </c>
      <c r="C7240" s="147"/>
      <c r="D7240" s="122"/>
      <c r="E7240" s="36"/>
      <c r="F7240" s="178"/>
      <c r="G7240" s="453"/>
      <c r="H7240" s="36"/>
      <c r="I7240" s="11"/>
    </row>
    <row r="7241" spans="1:9" ht="9" customHeight="1">
      <c r="A7241" s="29"/>
      <c r="B7241" s="150" t="s">
        <v>9900</v>
      </c>
      <c r="C7241" s="147"/>
      <c r="D7241" s="122"/>
      <c r="E7241" s="36"/>
      <c r="F7241" s="178"/>
      <c r="G7241" s="453"/>
      <c r="H7241" s="36"/>
      <c r="I7241" s="11"/>
    </row>
    <row r="7242" spans="1:9" ht="9" customHeight="1">
      <c r="A7242" s="29"/>
      <c r="B7242" s="150" t="s">
        <v>9357</v>
      </c>
      <c r="C7242" s="147"/>
      <c r="D7242" s="122"/>
      <c r="E7242" s="36"/>
      <c r="F7242" s="178"/>
      <c r="G7242" s="453"/>
      <c r="H7242" s="36"/>
      <c r="I7242" s="11"/>
    </row>
    <row r="7243" spans="1:9" ht="9" customHeight="1">
      <c r="A7243" s="29"/>
      <c r="B7243" s="150" t="s">
        <v>9901</v>
      </c>
      <c r="C7243" s="147"/>
      <c r="D7243" s="122"/>
      <c r="E7243" s="36"/>
      <c r="F7243" s="178"/>
      <c r="G7243" s="453"/>
      <c r="H7243" s="36"/>
      <c r="I7243" s="11"/>
    </row>
    <row r="7244" spans="1:9" ht="9" customHeight="1">
      <c r="A7244" s="29"/>
      <c r="B7244" s="150" t="s">
        <v>9902</v>
      </c>
      <c r="C7244" s="147"/>
      <c r="D7244" s="122"/>
      <c r="E7244" s="36"/>
      <c r="F7244" s="178"/>
      <c r="G7244" s="453"/>
      <c r="H7244" s="36"/>
      <c r="I7244" s="11"/>
    </row>
    <row r="7245" spans="1:9" ht="9" customHeight="1">
      <c r="A7245" s="29"/>
      <c r="B7245" s="150" t="s">
        <v>9360</v>
      </c>
      <c r="C7245" s="147"/>
      <c r="D7245" s="122"/>
      <c r="E7245" s="36"/>
      <c r="F7245" s="178"/>
      <c r="G7245" s="453"/>
      <c r="H7245" s="36"/>
      <c r="I7245" s="11"/>
    </row>
    <row r="7246" spans="1:9" ht="9" customHeight="1">
      <c r="A7246" s="185"/>
      <c r="B7246" s="150" t="s">
        <v>9903</v>
      </c>
      <c r="C7246" s="147"/>
      <c r="D7246" s="122"/>
      <c r="E7246" s="36"/>
      <c r="F7246" s="178"/>
      <c r="G7246" s="453"/>
      <c r="H7246" s="36"/>
      <c r="I7246" s="11"/>
    </row>
    <row r="7247" spans="1:9" ht="9" customHeight="1">
      <c r="A7247" s="185"/>
      <c r="B7247" s="150" t="s">
        <v>9362</v>
      </c>
      <c r="C7247" s="147"/>
      <c r="D7247" s="122"/>
      <c r="E7247" s="36"/>
      <c r="F7247" s="178"/>
      <c r="G7247" s="453"/>
      <c r="H7247" s="36"/>
      <c r="I7247" s="11"/>
    </row>
    <row r="7248" spans="1:9" ht="9" customHeight="1">
      <c r="A7248" s="185"/>
      <c r="B7248" s="150" t="s">
        <v>9904</v>
      </c>
      <c r="C7248" s="147"/>
      <c r="D7248" s="122"/>
      <c r="E7248" s="36"/>
      <c r="F7248" s="178"/>
      <c r="G7248" s="453"/>
      <c r="H7248" s="36"/>
      <c r="I7248" s="11"/>
    </row>
    <row r="7249" spans="1:12" ht="9" customHeight="1">
      <c r="A7249" s="29"/>
      <c r="B7249" s="150" t="s">
        <v>9905</v>
      </c>
      <c r="C7249" s="147"/>
      <c r="D7249" s="122"/>
      <c r="E7249" s="36"/>
      <c r="F7249" s="178"/>
      <c r="G7249" s="453"/>
      <c r="H7249" s="36"/>
      <c r="I7249" s="11"/>
    </row>
    <row r="7250" spans="1:12" ht="9" customHeight="1">
      <c r="A7250" s="185"/>
      <c r="B7250" s="150" t="s">
        <v>9906</v>
      </c>
      <c r="C7250" s="147"/>
      <c r="D7250" s="122"/>
      <c r="E7250" s="36"/>
      <c r="F7250" s="178"/>
      <c r="G7250" s="453"/>
      <c r="H7250" s="36"/>
      <c r="I7250" s="11"/>
    </row>
    <row r="7251" spans="1:12" ht="9" customHeight="1">
      <c r="A7251" s="185"/>
      <c r="B7251" s="150" t="s">
        <v>9907</v>
      </c>
      <c r="C7251" s="147"/>
      <c r="D7251" s="122"/>
      <c r="E7251" s="36"/>
      <c r="F7251" s="178"/>
      <c r="G7251" s="453"/>
      <c r="H7251" s="36"/>
      <c r="I7251" s="11"/>
    </row>
    <row r="7252" spans="1:12" ht="9" customHeight="1">
      <c r="A7252" s="185"/>
      <c r="B7252" s="150" t="s">
        <v>9908</v>
      </c>
      <c r="C7252" s="147"/>
      <c r="D7252" s="122"/>
      <c r="E7252" s="36"/>
      <c r="F7252" s="178"/>
      <c r="G7252" s="453"/>
      <c r="H7252" s="36"/>
      <c r="I7252" s="11"/>
    </row>
    <row r="7253" spans="1:12" ht="9" customHeight="1">
      <c r="A7253" s="185"/>
      <c r="B7253" s="150" t="s">
        <v>9367</v>
      </c>
      <c r="C7253" s="147"/>
      <c r="D7253" s="122"/>
      <c r="E7253" s="36"/>
      <c r="F7253" s="178"/>
      <c r="G7253" s="453"/>
      <c r="H7253" s="36"/>
      <c r="I7253" s="11"/>
    </row>
    <row r="7254" spans="1:12" ht="11.15" customHeight="1" thickBot="1">
      <c r="A7254" s="185"/>
      <c r="B7254" s="226" t="s">
        <v>9368</v>
      </c>
      <c r="C7254" s="147"/>
      <c r="D7254" s="122"/>
      <c r="E7254" s="36"/>
      <c r="F7254" s="183"/>
      <c r="G7254" s="60"/>
      <c r="H7254" s="34"/>
      <c r="I7254" s="11"/>
    </row>
    <row r="7255" spans="1:12" ht="11.15" customHeight="1">
      <c r="A7255" s="153" t="s">
        <v>9369</v>
      </c>
      <c r="B7255" s="177" t="s">
        <v>9909</v>
      </c>
      <c r="C7255" s="147"/>
      <c r="D7255" s="122"/>
      <c r="E7255" s="185"/>
      <c r="F7255" s="185"/>
      <c r="G7255" s="416"/>
      <c r="H7255" s="185"/>
      <c r="I7255" s="11"/>
    </row>
    <row r="7256" spans="1:12" ht="11.15" customHeight="1">
      <c r="A7256" s="493" t="s">
        <v>9371</v>
      </c>
      <c r="B7256" s="59" t="s">
        <v>21582</v>
      </c>
      <c r="C7256" s="147" t="s">
        <v>23393</v>
      </c>
      <c r="D7256" s="701" t="s">
        <v>1129</v>
      </c>
      <c r="E7256" s="178">
        <v>2021</v>
      </c>
      <c r="F7256" s="178" t="s">
        <v>4520</v>
      </c>
      <c r="G7256" s="496"/>
      <c r="H7256" s="994" t="s">
        <v>20221</v>
      </c>
      <c r="I7256" s="11" t="s">
        <v>9910</v>
      </c>
      <c r="J7256" s="1285"/>
      <c r="K7256" s="1285"/>
      <c r="L7256" s="1285"/>
    </row>
    <row r="7257" spans="1:12" ht="11.15" customHeight="1" thickBot="1">
      <c r="A7257" s="155" t="s">
        <v>9911</v>
      </c>
      <c r="B7257" s="59" t="s">
        <v>21583</v>
      </c>
      <c r="C7257" s="147" t="s">
        <v>20221</v>
      </c>
      <c r="D7257" s="701" t="s">
        <v>1129</v>
      </c>
      <c r="E7257" s="178">
        <v>2019</v>
      </c>
      <c r="F7257" s="178" t="s">
        <v>23395</v>
      </c>
      <c r="G7257" s="496"/>
      <c r="H7257" s="994" t="s">
        <v>20221</v>
      </c>
      <c r="I7257" s="11" t="s">
        <v>9912</v>
      </c>
      <c r="J7257" s="1285"/>
      <c r="K7257" s="1285"/>
      <c r="L7257" s="1285"/>
    </row>
    <row r="7258" spans="1:12" ht="11.15" customHeight="1">
      <c r="A7258" s="29" t="s">
        <v>9913</v>
      </c>
      <c r="B7258" s="59" t="s">
        <v>21583</v>
      </c>
      <c r="C7258" s="147" t="s">
        <v>23393</v>
      </c>
      <c r="D7258" s="701" t="s">
        <v>1129</v>
      </c>
      <c r="E7258" s="178">
        <v>2018</v>
      </c>
      <c r="F7258" s="178" t="s">
        <v>4520</v>
      </c>
      <c r="G7258" s="496"/>
      <c r="H7258" s="994" t="s">
        <v>20221</v>
      </c>
      <c r="I7258" s="11" t="s">
        <v>9914</v>
      </c>
      <c r="J7258" s="1285"/>
      <c r="K7258" s="1285"/>
      <c r="L7258" s="1285"/>
    </row>
    <row r="7259" spans="1:12" ht="11.15" customHeight="1">
      <c r="A7259" s="129" t="s">
        <v>2047</v>
      </c>
      <c r="B7259" s="59" t="s">
        <v>21583</v>
      </c>
      <c r="C7259" s="147" t="s">
        <v>23393</v>
      </c>
      <c r="D7259" s="701" t="s">
        <v>1129</v>
      </c>
      <c r="E7259" s="178">
        <v>2017</v>
      </c>
      <c r="F7259" s="178" t="s">
        <v>4520</v>
      </c>
      <c r="G7259" s="496"/>
      <c r="H7259" s="994" t="s">
        <v>20221</v>
      </c>
      <c r="I7259" s="11" t="s">
        <v>9915</v>
      </c>
      <c r="J7259" s="1285"/>
      <c r="K7259" s="1285"/>
      <c r="L7259" s="1285"/>
    </row>
    <row r="7260" spans="1:12" ht="11.15" customHeight="1">
      <c r="A7260" s="162" t="s">
        <v>9378</v>
      </c>
      <c r="B7260" s="177" t="s">
        <v>9916</v>
      </c>
      <c r="C7260" s="147"/>
      <c r="D7260" s="122"/>
      <c r="E7260" s="185"/>
      <c r="F7260" s="185"/>
      <c r="G7260" s="416"/>
      <c r="H7260" s="185"/>
      <c r="I7260" s="11"/>
    </row>
    <row r="7261" spans="1:12" ht="11.15" customHeight="1">
      <c r="A7261" s="162" t="s">
        <v>9380</v>
      </c>
      <c r="B7261" s="59" t="s">
        <v>21584</v>
      </c>
      <c r="C7261" s="147" t="s">
        <v>23393</v>
      </c>
      <c r="D7261" s="701" t="s">
        <v>1129</v>
      </c>
      <c r="E7261" s="178">
        <v>2023</v>
      </c>
      <c r="F7261" s="178" t="s">
        <v>4520</v>
      </c>
      <c r="G7261" s="496"/>
      <c r="H7261" s="994" t="s">
        <v>20221</v>
      </c>
      <c r="I7261" s="11" t="s">
        <v>9917</v>
      </c>
      <c r="J7261" s="1285"/>
      <c r="K7261" s="1285"/>
      <c r="L7261" s="1285"/>
    </row>
    <row r="7262" spans="1:12" ht="11.15" customHeight="1">
      <c r="A7262" s="162" t="s">
        <v>9382</v>
      </c>
      <c r="B7262" s="59" t="s">
        <v>21584</v>
      </c>
      <c r="C7262" s="147" t="s">
        <v>23393</v>
      </c>
      <c r="D7262" s="701" t="s">
        <v>1129</v>
      </c>
      <c r="E7262" s="178">
        <v>2022</v>
      </c>
      <c r="F7262" s="178" t="s">
        <v>4520</v>
      </c>
      <c r="G7262" s="496"/>
      <c r="H7262" s="994" t="s">
        <v>20221</v>
      </c>
      <c r="I7262" s="11" t="s">
        <v>9918</v>
      </c>
      <c r="J7262" s="1285"/>
      <c r="K7262" s="1285"/>
      <c r="L7262" s="1285"/>
    </row>
    <row r="7263" spans="1:12" ht="11.15" customHeight="1">
      <c r="A7263" s="162" t="s">
        <v>9919</v>
      </c>
      <c r="B7263" s="59" t="s">
        <v>21584</v>
      </c>
      <c r="C7263" s="147" t="s">
        <v>23393</v>
      </c>
      <c r="D7263" s="701" t="s">
        <v>1129</v>
      </c>
      <c r="E7263" s="178">
        <v>2021</v>
      </c>
      <c r="F7263" s="178" t="s">
        <v>4520</v>
      </c>
      <c r="G7263" s="496"/>
      <c r="H7263" s="994" t="s">
        <v>20221</v>
      </c>
      <c r="I7263" s="11" t="s">
        <v>9920</v>
      </c>
      <c r="J7263" s="1285"/>
      <c r="K7263" s="1285"/>
      <c r="L7263" s="1285"/>
    </row>
    <row r="7264" spans="1:12" ht="11.15" customHeight="1">
      <c r="A7264" s="29" t="s">
        <v>9386</v>
      </c>
      <c r="B7264" s="59" t="s">
        <v>21584</v>
      </c>
      <c r="C7264" s="147" t="s">
        <v>20221</v>
      </c>
      <c r="D7264" s="701" t="s">
        <v>1129</v>
      </c>
      <c r="E7264" s="178">
        <v>2018</v>
      </c>
      <c r="F7264" s="178" t="s">
        <v>4520</v>
      </c>
      <c r="G7264" s="496"/>
      <c r="H7264" s="994" t="s">
        <v>20221</v>
      </c>
      <c r="I7264" s="11" t="s">
        <v>9921</v>
      </c>
      <c r="J7264" s="1285"/>
      <c r="K7264" s="1285"/>
      <c r="L7264" s="1285"/>
    </row>
    <row r="7265" spans="1:12" ht="11.15" customHeight="1">
      <c r="A7265" s="29" t="s">
        <v>9922</v>
      </c>
      <c r="B7265" s="177" t="s">
        <v>9923</v>
      </c>
      <c r="C7265" s="147"/>
      <c r="D7265" s="122"/>
      <c r="E7265" s="185"/>
      <c r="F7265" s="185"/>
      <c r="G7265" s="416"/>
      <c r="H7265" s="185"/>
      <c r="I7265" s="11"/>
    </row>
    <row r="7266" spans="1:12" ht="11.15" customHeight="1">
      <c r="A7266" s="181" t="s">
        <v>9389</v>
      </c>
      <c r="B7266" s="59" t="s">
        <v>21585</v>
      </c>
      <c r="C7266" s="147" t="s">
        <v>20221</v>
      </c>
      <c r="D7266" s="701" t="s">
        <v>1129</v>
      </c>
      <c r="E7266" s="178">
        <v>2023</v>
      </c>
      <c r="F7266" s="178" t="s">
        <v>4520</v>
      </c>
      <c r="G7266" s="496"/>
      <c r="H7266" s="994" t="s">
        <v>20221</v>
      </c>
      <c r="I7266" s="11" t="s">
        <v>9924</v>
      </c>
      <c r="J7266" s="1285"/>
      <c r="K7266" s="1285"/>
      <c r="L7266" s="1285"/>
    </row>
    <row r="7267" spans="1:12" ht="11.15" customHeight="1">
      <c r="A7267" s="29" t="s">
        <v>9391</v>
      </c>
      <c r="B7267" s="59" t="s">
        <v>21585</v>
      </c>
      <c r="C7267" s="147" t="s">
        <v>20221</v>
      </c>
      <c r="D7267" s="701" t="s">
        <v>1129</v>
      </c>
      <c r="E7267" s="178">
        <v>2022</v>
      </c>
      <c r="F7267" s="178" t="s">
        <v>4520</v>
      </c>
      <c r="G7267" s="496"/>
      <c r="H7267" s="994" t="s">
        <v>20221</v>
      </c>
      <c r="I7267" s="11" t="s">
        <v>9925</v>
      </c>
      <c r="J7267" s="1285"/>
      <c r="K7267" s="1285"/>
      <c r="L7267" s="1285"/>
    </row>
    <row r="7268" spans="1:12" ht="11.15" customHeight="1">
      <c r="A7268" s="29" t="s">
        <v>9393</v>
      </c>
      <c r="B7268" s="59" t="s">
        <v>21585</v>
      </c>
      <c r="C7268" s="147" t="s">
        <v>20221</v>
      </c>
      <c r="D7268" s="701" t="s">
        <v>1129</v>
      </c>
      <c r="E7268" s="178">
        <v>2021</v>
      </c>
      <c r="F7268" s="178" t="s">
        <v>4520</v>
      </c>
      <c r="G7268" s="496"/>
      <c r="H7268" s="994" t="s">
        <v>20224</v>
      </c>
      <c r="I7268" s="11" t="s">
        <v>9926</v>
      </c>
      <c r="J7268" s="1285"/>
      <c r="K7268" s="1285"/>
      <c r="L7268" s="1285"/>
    </row>
    <row r="7269" spans="1:12" ht="11.15" customHeight="1" thickBot="1">
      <c r="A7269" s="181" t="s">
        <v>950</v>
      </c>
      <c r="B7269" s="59" t="s">
        <v>21585</v>
      </c>
      <c r="C7269" s="147" t="s">
        <v>20221</v>
      </c>
      <c r="D7269" s="701" t="s">
        <v>1129</v>
      </c>
      <c r="E7269" s="178">
        <v>2020</v>
      </c>
      <c r="F7269" s="178" t="s">
        <v>4520</v>
      </c>
      <c r="G7269" s="496"/>
      <c r="H7269" s="994" t="s">
        <v>20221</v>
      </c>
      <c r="I7269" s="11" t="s">
        <v>9927</v>
      </c>
      <c r="J7269" s="1285"/>
      <c r="K7269" s="1285"/>
      <c r="L7269" s="1285"/>
    </row>
    <row r="7270" spans="1:12" ht="11.15" customHeight="1">
      <c r="A7270" s="503" t="s">
        <v>9397</v>
      </c>
      <c r="B7270" s="59" t="s">
        <v>21585</v>
      </c>
      <c r="C7270" s="147" t="s">
        <v>20221</v>
      </c>
      <c r="D7270" s="701" t="s">
        <v>1129</v>
      </c>
      <c r="E7270" s="178">
        <v>2019</v>
      </c>
      <c r="F7270" s="178" t="s">
        <v>4520</v>
      </c>
      <c r="G7270" s="496"/>
      <c r="H7270" s="994" t="s">
        <v>20221</v>
      </c>
      <c r="I7270" s="11" t="s">
        <v>9928</v>
      </c>
      <c r="J7270" s="1285"/>
      <c r="K7270" s="1285"/>
      <c r="L7270" s="1285"/>
    </row>
    <row r="7271" spans="1:12" ht="11.15" customHeight="1" thickBot="1">
      <c r="A7271" s="560" t="s">
        <v>9399</v>
      </c>
      <c r="B7271" s="185"/>
      <c r="C7271" s="203"/>
      <c r="D7271" s="205"/>
      <c r="E7271" s="205"/>
      <c r="F7271" s="205"/>
      <c r="G7271" s="185"/>
      <c r="H7271" s="205"/>
      <c r="I7271" s="11"/>
    </row>
    <row r="7272" spans="1:12" ht="11.15" customHeight="1">
      <c r="A7272" s="129" t="s">
        <v>9401</v>
      </c>
      <c r="B7272" s="365" t="s">
        <v>9929</v>
      </c>
      <c r="C7272" s="147"/>
      <c r="D7272" s="159"/>
      <c r="E7272" s="36"/>
      <c r="F7272" s="178"/>
      <c r="G7272" s="1201"/>
      <c r="H7272" s="1121"/>
      <c r="I7272" s="11"/>
    </row>
    <row r="7273" spans="1:12" ht="11.15" customHeight="1">
      <c r="A7273" s="486" t="s">
        <v>9407</v>
      </c>
      <c r="B7273" s="59" t="s">
        <v>21587</v>
      </c>
      <c r="C7273" s="147" t="s">
        <v>20221</v>
      </c>
      <c r="D7273" s="284" t="s">
        <v>897</v>
      </c>
      <c r="E7273" s="178">
        <v>2009</v>
      </c>
      <c r="F7273" s="178" t="s">
        <v>23395</v>
      </c>
      <c r="G7273" s="496"/>
      <c r="H7273" s="1317" t="s">
        <v>20277</v>
      </c>
      <c r="I7273" s="11" t="s">
        <v>9931</v>
      </c>
      <c r="J7273" s="1285"/>
      <c r="K7273" s="1285"/>
      <c r="L7273" s="1285"/>
    </row>
    <row r="7274" spans="1:12" ht="11.15" customHeight="1">
      <c r="A7274" s="486" t="s">
        <v>9930</v>
      </c>
      <c r="B7274" s="59" t="s">
        <v>21597</v>
      </c>
      <c r="C7274" s="147" t="s">
        <v>20221</v>
      </c>
      <c r="D7274" s="284" t="s">
        <v>897</v>
      </c>
      <c r="E7274" s="178">
        <v>2012</v>
      </c>
      <c r="F7274" s="178" t="s">
        <v>23395</v>
      </c>
      <c r="G7274" s="496"/>
      <c r="H7274" s="628" t="s">
        <v>20221</v>
      </c>
      <c r="I7274" s="11" t="s">
        <v>9932</v>
      </c>
      <c r="J7274" s="1285"/>
      <c r="K7274" s="1285"/>
      <c r="L7274" s="1285"/>
    </row>
    <row r="7275" spans="1:12" ht="11.15" customHeight="1">
      <c r="A7275" s="486" t="s">
        <v>9409</v>
      </c>
      <c r="B7275" s="59" t="s">
        <v>21599</v>
      </c>
      <c r="C7275" s="147" t="s">
        <v>20221</v>
      </c>
      <c r="D7275" s="284" t="s">
        <v>897</v>
      </c>
      <c r="E7275" s="178">
        <v>2009</v>
      </c>
      <c r="F7275" s="178" t="s">
        <v>23395</v>
      </c>
      <c r="G7275" s="496"/>
      <c r="H7275" s="628" t="s">
        <v>20221</v>
      </c>
      <c r="I7275" s="11" t="s">
        <v>9933</v>
      </c>
      <c r="J7275" s="1285"/>
      <c r="K7275" s="1285"/>
      <c r="L7275" s="1285"/>
    </row>
    <row r="7276" spans="1:12" ht="11.15" customHeight="1" thickBot="1">
      <c r="A7276" s="486" t="s">
        <v>9411</v>
      </c>
      <c r="B7276" s="567" t="s">
        <v>21601</v>
      </c>
      <c r="C7276" s="203" t="s">
        <v>20221</v>
      </c>
      <c r="D7276" s="1313" t="s">
        <v>897</v>
      </c>
      <c r="E7276" s="568">
        <v>2012</v>
      </c>
      <c r="F7276" s="568" t="s">
        <v>23395</v>
      </c>
      <c r="G7276" s="1229"/>
      <c r="H7276" s="630" t="s">
        <v>20221</v>
      </c>
      <c r="I7276" s="11" t="s">
        <v>9935</v>
      </c>
      <c r="J7276" s="1285"/>
      <c r="K7276" s="1285"/>
      <c r="L7276" s="1285"/>
    </row>
    <row r="7277" spans="1:12" ht="11.15" customHeight="1">
      <c r="A7277" s="162" t="s">
        <v>9934</v>
      </c>
      <c r="B7277" s="185"/>
      <c r="C7277" s="147"/>
      <c r="D7277" s="185"/>
      <c r="E7277" s="185"/>
      <c r="F7277" s="185"/>
      <c r="G7277" s="185"/>
      <c r="H7277" s="185"/>
      <c r="I7277" s="11"/>
    </row>
    <row r="7278" spans="1:12" ht="11.15" customHeight="1">
      <c r="A7278" s="162" t="s">
        <v>9414</v>
      </c>
      <c r="B7278" s="177" t="s">
        <v>9936</v>
      </c>
      <c r="C7278" s="147"/>
      <c r="D7278" s="122"/>
      <c r="E7278" s="185"/>
      <c r="F7278" s="185"/>
      <c r="G7278" s="416"/>
      <c r="H7278" s="185"/>
      <c r="I7278" s="11"/>
    </row>
    <row r="7279" spans="1:12" ht="11.15" customHeight="1">
      <c r="A7279" s="162" t="s">
        <v>9416</v>
      </c>
      <c r="B7279" s="59" t="s">
        <v>21586</v>
      </c>
      <c r="C7279" s="147" t="s">
        <v>23393</v>
      </c>
      <c r="D7279" s="284" t="s">
        <v>897</v>
      </c>
      <c r="E7279" s="178">
        <v>2021</v>
      </c>
      <c r="F7279" s="178" t="s">
        <v>4520</v>
      </c>
      <c r="G7279" s="496"/>
      <c r="H7279" s="994" t="s">
        <v>20221</v>
      </c>
      <c r="I7279" s="11" t="s">
        <v>9937</v>
      </c>
      <c r="J7279" s="1285"/>
      <c r="K7279" s="1285"/>
      <c r="L7279" s="1285"/>
    </row>
    <row r="7280" spans="1:12" ht="11.15" customHeight="1">
      <c r="A7280" s="162" t="s">
        <v>9418</v>
      </c>
      <c r="B7280" s="59" t="s">
        <v>21587</v>
      </c>
      <c r="C7280" s="147" t="s">
        <v>20221</v>
      </c>
      <c r="D7280" s="284" t="s">
        <v>897</v>
      </c>
      <c r="E7280" s="178">
        <v>2018</v>
      </c>
      <c r="F7280" s="178" t="s">
        <v>4520</v>
      </c>
      <c r="G7280" s="496"/>
      <c r="H7280" s="994" t="s">
        <v>20221</v>
      </c>
      <c r="I7280" s="11" t="s">
        <v>9938</v>
      </c>
      <c r="J7280" s="1285"/>
      <c r="K7280" s="1285"/>
      <c r="L7280" s="1285"/>
    </row>
    <row r="7281" spans="1:12" ht="11.15" customHeight="1">
      <c r="A7281" s="291" t="s">
        <v>9420</v>
      </c>
      <c r="B7281" s="59" t="s">
        <v>21587</v>
      </c>
      <c r="C7281" s="147" t="s">
        <v>23393</v>
      </c>
      <c r="D7281" s="284" t="s">
        <v>897</v>
      </c>
      <c r="E7281" s="178">
        <v>2017</v>
      </c>
      <c r="F7281" s="178" t="s">
        <v>4520</v>
      </c>
      <c r="G7281" s="496"/>
      <c r="H7281" s="994" t="s">
        <v>20221</v>
      </c>
      <c r="I7281" s="11" t="s">
        <v>9939</v>
      </c>
      <c r="J7281" s="1285"/>
      <c r="K7281" s="1285"/>
      <c r="L7281" s="1285"/>
    </row>
    <row r="7282" spans="1:12" ht="11.15" customHeight="1">
      <c r="A7282" s="291" t="s">
        <v>9422</v>
      </c>
      <c r="B7282" s="59" t="s">
        <v>21587</v>
      </c>
      <c r="C7282" s="147" t="s">
        <v>23393</v>
      </c>
      <c r="D7282" s="284" t="s">
        <v>897</v>
      </c>
      <c r="E7282" s="178">
        <v>2016</v>
      </c>
      <c r="F7282" s="178" t="s">
        <v>4520</v>
      </c>
      <c r="G7282" s="496"/>
      <c r="H7282" s="994" t="s">
        <v>20221</v>
      </c>
      <c r="I7282" s="11" t="s">
        <v>9940</v>
      </c>
      <c r="J7282" s="1285"/>
      <c r="K7282" s="1285"/>
      <c r="L7282" s="1285"/>
    </row>
    <row r="7283" spans="1:12" ht="11.15" customHeight="1">
      <c r="A7283" s="291" t="s">
        <v>9424</v>
      </c>
      <c r="B7283" s="59" t="s">
        <v>21587</v>
      </c>
      <c r="C7283" s="147" t="s">
        <v>23393</v>
      </c>
      <c r="D7283" s="284" t="s">
        <v>897</v>
      </c>
      <c r="E7283" s="178">
        <v>2015</v>
      </c>
      <c r="F7283" s="178" t="s">
        <v>4520</v>
      </c>
      <c r="G7283" s="496"/>
      <c r="H7283" s="994" t="s">
        <v>20221</v>
      </c>
      <c r="I7283" s="11" t="s">
        <v>9941</v>
      </c>
      <c r="J7283" s="1285"/>
      <c r="K7283" s="1285"/>
      <c r="L7283" s="1285"/>
    </row>
    <row r="7284" spans="1:12" ht="11.15" customHeight="1">
      <c r="A7284" s="291" t="s">
        <v>9426</v>
      </c>
      <c r="B7284" s="59" t="s">
        <v>21587</v>
      </c>
      <c r="C7284" s="147" t="s">
        <v>23393</v>
      </c>
      <c r="D7284" s="284" t="s">
        <v>897</v>
      </c>
      <c r="E7284" s="178">
        <v>2013</v>
      </c>
      <c r="F7284" s="178" t="s">
        <v>23395</v>
      </c>
      <c r="G7284" s="496"/>
      <c r="H7284" s="994" t="s">
        <v>20221</v>
      </c>
      <c r="I7284" s="11" t="s">
        <v>9942</v>
      </c>
      <c r="J7284" s="1285"/>
      <c r="K7284" s="1285"/>
      <c r="L7284" s="1285"/>
    </row>
    <row r="7285" spans="1:12" ht="11.15" customHeight="1">
      <c r="A7285" s="162" t="s">
        <v>9427</v>
      </c>
      <c r="B7285" s="59" t="s">
        <v>21587</v>
      </c>
      <c r="C7285" s="147" t="s">
        <v>20221</v>
      </c>
      <c r="D7285" s="284" t="s">
        <v>897</v>
      </c>
      <c r="E7285" s="178">
        <v>2012</v>
      </c>
      <c r="F7285" s="178" t="s">
        <v>23395</v>
      </c>
      <c r="G7285" s="496"/>
      <c r="H7285" s="994" t="s">
        <v>20221</v>
      </c>
      <c r="I7285" s="11" t="s">
        <v>9943</v>
      </c>
      <c r="J7285" s="1285"/>
      <c r="K7285" s="1285"/>
      <c r="L7285" s="1285"/>
    </row>
    <row r="7286" spans="1:12" ht="11.15" customHeight="1">
      <c r="A7286" s="129" t="s">
        <v>3842</v>
      </c>
      <c r="B7286" s="59" t="s">
        <v>21587</v>
      </c>
      <c r="C7286" s="147" t="s">
        <v>20221</v>
      </c>
      <c r="D7286" s="284" t="s">
        <v>897</v>
      </c>
      <c r="E7286" s="178">
        <v>2011</v>
      </c>
      <c r="F7286" s="178" t="s">
        <v>23395</v>
      </c>
      <c r="G7286" s="496"/>
      <c r="H7286" s="994" t="s">
        <v>20221</v>
      </c>
      <c r="I7286" s="11" t="s">
        <v>9944</v>
      </c>
      <c r="J7286" s="1285"/>
      <c r="K7286" s="1285"/>
      <c r="L7286" s="1285"/>
    </row>
    <row r="7287" spans="1:12" ht="11.15" customHeight="1">
      <c r="A7287" s="162" t="s">
        <v>9432</v>
      </c>
      <c r="B7287" s="59" t="s">
        <v>21587</v>
      </c>
      <c r="C7287" s="147" t="s">
        <v>20221</v>
      </c>
      <c r="D7287" s="284" t="s">
        <v>897</v>
      </c>
      <c r="E7287" s="178">
        <v>2009</v>
      </c>
      <c r="F7287" s="178" t="s">
        <v>23395</v>
      </c>
      <c r="G7287" s="496"/>
      <c r="H7287" s="994" t="s">
        <v>20277</v>
      </c>
      <c r="I7287" s="11" t="s">
        <v>9931</v>
      </c>
      <c r="J7287" s="1285"/>
      <c r="K7287" s="1285"/>
      <c r="L7287" s="1285"/>
    </row>
    <row r="7288" spans="1:12" ht="11.15" customHeight="1">
      <c r="A7288" s="162" t="s">
        <v>9945</v>
      </c>
      <c r="B7288" s="177" t="s">
        <v>9946</v>
      </c>
      <c r="C7288" s="147"/>
      <c r="D7288" s="122"/>
      <c r="E7288" s="185"/>
      <c r="F7288" s="185"/>
      <c r="G7288" s="416"/>
      <c r="H7288" s="185"/>
      <c r="I7288" s="11"/>
    </row>
    <row r="7289" spans="1:12" ht="11.15" customHeight="1">
      <c r="A7289" s="162" t="s">
        <v>1762</v>
      </c>
      <c r="B7289" s="59" t="s">
        <v>21588</v>
      </c>
      <c r="C7289" s="147" t="s">
        <v>23393</v>
      </c>
      <c r="D7289" s="284" t="s">
        <v>897</v>
      </c>
      <c r="E7289" s="178">
        <v>2023</v>
      </c>
      <c r="F7289" s="178" t="s">
        <v>4520</v>
      </c>
      <c r="G7289" s="496"/>
      <c r="H7289" s="994" t="s">
        <v>20343</v>
      </c>
      <c r="I7289" s="11" t="s">
        <v>9947</v>
      </c>
      <c r="J7289" s="1285"/>
      <c r="K7289" s="1285"/>
      <c r="L7289" s="1285"/>
    </row>
    <row r="7290" spans="1:12" ht="11.15" customHeight="1">
      <c r="A7290" s="162" t="s">
        <v>3845</v>
      </c>
      <c r="B7290" s="59" t="s">
        <v>21588</v>
      </c>
      <c r="C7290" s="147" t="s">
        <v>23393</v>
      </c>
      <c r="D7290" s="284" t="s">
        <v>897</v>
      </c>
      <c r="E7290" s="178">
        <v>2022</v>
      </c>
      <c r="F7290" s="178" t="s">
        <v>4520</v>
      </c>
      <c r="G7290" s="496"/>
      <c r="H7290" s="994" t="s">
        <v>20221</v>
      </c>
      <c r="I7290" s="11" t="s">
        <v>9948</v>
      </c>
      <c r="J7290" s="1285"/>
      <c r="K7290" s="1285"/>
      <c r="L7290" s="1285"/>
    </row>
    <row r="7291" spans="1:12" ht="11.15" customHeight="1">
      <c r="A7291" s="162" t="s">
        <v>9439</v>
      </c>
      <c r="B7291" s="59" t="s">
        <v>21588</v>
      </c>
      <c r="C7291" s="147" t="s">
        <v>23393</v>
      </c>
      <c r="D7291" s="284" t="s">
        <v>897</v>
      </c>
      <c r="E7291" s="178">
        <v>2021</v>
      </c>
      <c r="F7291" s="178" t="s">
        <v>4520</v>
      </c>
      <c r="G7291" s="496"/>
      <c r="H7291" s="994" t="s">
        <v>20221</v>
      </c>
      <c r="I7291" s="11" t="s">
        <v>9950</v>
      </c>
      <c r="J7291" s="1285"/>
      <c r="K7291" s="1285"/>
      <c r="L7291" s="1285"/>
    </row>
    <row r="7292" spans="1:12" ht="11.15" customHeight="1">
      <c r="A7292" s="162" t="s">
        <v>9949</v>
      </c>
      <c r="B7292" s="59" t="s">
        <v>21588</v>
      </c>
      <c r="C7292" s="147" t="s">
        <v>23393</v>
      </c>
      <c r="D7292" s="284" t="s">
        <v>897</v>
      </c>
      <c r="E7292" s="178">
        <v>2020</v>
      </c>
      <c r="F7292" s="178" t="s">
        <v>4520</v>
      </c>
      <c r="G7292" s="496"/>
      <c r="H7292" s="994" t="s">
        <v>20221</v>
      </c>
      <c r="I7292" s="11" t="s">
        <v>9952</v>
      </c>
      <c r="J7292" s="1285"/>
      <c r="K7292" s="1285"/>
      <c r="L7292" s="1285"/>
    </row>
    <row r="7293" spans="1:12" ht="11.15" customHeight="1">
      <c r="A7293" s="129" t="s">
        <v>9951</v>
      </c>
      <c r="B7293" s="59" t="s">
        <v>21588</v>
      </c>
      <c r="C7293" s="147" t="s">
        <v>23393</v>
      </c>
      <c r="D7293" s="284" t="s">
        <v>897</v>
      </c>
      <c r="E7293" s="178">
        <v>2019</v>
      </c>
      <c r="F7293" s="178" t="s">
        <v>4520</v>
      </c>
      <c r="G7293" s="496"/>
      <c r="H7293" s="994" t="s">
        <v>20221</v>
      </c>
      <c r="I7293" s="11" t="s">
        <v>9954</v>
      </c>
      <c r="J7293" s="1285"/>
      <c r="K7293" s="1285"/>
      <c r="L7293" s="1285"/>
    </row>
    <row r="7294" spans="1:12" ht="11.15" customHeight="1">
      <c r="A7294" s="355" t="s">
        <v>9953</v>
      </c>
      <c r="B7294" s="59" t="s">
        <v>21588</v>
      </c>
      <c r="C7294" s="147" t="s">
        <v>20221</v>
      </c>
      <c r="D7294" s="284" t="s">
        <v>897</v>
      </c>
      <c r="E7294" s="178">
        <v>2018</v>
      </c>
      <c r="F7294" s="178" t="s">
        <v>4520</v>
      </c>
      <c r="G7294" s="496"/>
      <c r="H7294" s="994" t="s">
        <v>20221</v>
      </c>
      <c r="I7294" s="11" t="s">
        <v>9956</v>
      </c>
      <c r="J7294" s="1285"/>
      <c r="K7294" s="1285"/>
      <c r="L7294" s="1285"/>
    </row>
    <row r="7295" spans="1:12" ht="11.15" customHeight="1">
      <c r="A7295" s="162" t="s">
        <v>9955</v>
      </c>
      <c r="B7295" s="59" t="s">
        <v>21588</v>
      </c>
      <c r="C7295" s="147" t="s">
        <v>23393</v>
      </c>
      <c r="D7295" s="284" t="s">
        <v>897</v>
      </c>
      <c r="E7295" s="178">
        <v>2017</v>
      </c>
      <c r="F7295" s="178" t="s">
        <v>4520</v>
      </c>
      <c r="G7295" s="496"/>
      <c r="H7295" s="994" t="s">
        <v>20221</v>
      </c>
      <c r="I7295" s="11" t="s">
        <v>9958</v>
      </c>
      <c r="J7295" s="1285"/>
      <c r="K7295" s="1285"/>
      <c r="L7295" s="1285"/>
    </row>
    <row r="7296" spans="1:12" ht="11.15" customHeight="1">
      <c r="A7296" s="162" t="s">
        <v>9957</v>
      </c>
      <c r="B7296" s="59" t="s">
        <v>21588</v>
      </c>
      <c r="C7296" s="147" t="s">
        <v>23393</v>
      </c>
      <c r="D7296" s="284" t="s">
        <v>897</v>
      </c>
      <c r="E7296" s="178">
        <v>2016</v>
      </c>
      <c r="F7296" s="178" t="s">
        <v>4520</v>
      </c>
      <c r="G7296" s="496"/>
      <c r="H7296" s="994" t="s">
        <v>20221</v>
      </c>
      <c r="I7296" s="11" t="s">
        <v>9960</v>
      </c>
      <c r="J7296" s="1285"/>
      <c r="K7296" s="1285"/>
      <c r="L7296" s="1285"/>
    </row>
    <row r="7297" spans="1:12" ht="11.15" customHeight="1">
      <c r="A7297" s="162" t="s">
        <v>9959</v>
      </c>
      <c r="B7297" s="177" t="s">
        <v>9962</v>
      </c>
      <c r="C7297" s="147"/>
      <c r="D7297" s="122"/>
      <c r="E7297" s="185"/>
      <c r="F7297" s="185"/>
      <c r="G7297" s="416"/>
      <c r="H7297" s="185"/>
      <c r="I7297" s="11"/>
    </row>
    <row r="7298" spans="1:12" ht="11.15" customHeight="1">
      <c r="A7298" s="162" t="s">
        <v>9961</v>
      </c>
      <c r="B7298" s="59" t="s">
        <v>21589</v>
      </c>
      <c r="C7298" s="147" t="s">
        <v>20221</v>
      </c>
      <c r="D7298" s="284" t="s">
        <v>897</v>
      </c>
      <c r="E7298" s="178">
        <v>2019</v>
      </c>
      <c r="F7298" s="178" t="s">
        <v>4520</v>
      </c>
      <c r="G7298" s="496"/>
      <c r="H7298" s="994" t="s">
        <v>20221</v>
      </c>
      <c r="I7298" s="11" t="s">
        <v>9964</v>
      </c>
      <c r="J7298" s="1285"/>
      <c r="K7298" s="1285"/>
      <c r="L7298" s="1285"/>
    </row>
    <row r="7299" spans="1:12" ht="11.15" customHeight="1">
      <c r="A7299" s="162" t="s">
        <v>9963</v>
      </c>
      <c r="B7299" s="59" t="s">
        <v>21589</v>
      </c>
      <c r="C7299" s="147" t="s">
        <v>23393</v>
      </c>
      <c r="D7299" s="284" t="s">
        <v>897</v>
      </c>
      <c r="E7299" s="178">
        <v>2018</v>
      </c>
      <c r="F7299" s="178" t="s">
        <v>4520</v>
      </c>
      <c r="G7299" s="496"/>
      <c r="H7299" s="994" t="s">
        <v>20221</v>
      </c>
      <c r="I7299" s="11" t="s">
        <v>9966</v>
      </c>
      <c r="J7299" s="1285"/>
      <c r="K7299" s="1285"/>
      <c r="L7299" s="1285"/>
    </row>
    <row r="7300" spans="1:12" ht="11.15" customHeight="1">
      <c r="A7300" s="162" t="s">
        <v>9965</v>
      </c>
      <c r="B7300" s="59" t="s">
        <v>21589</v>
      </c>
      <c r="C7300" s="147" t="s">
        <v>23393</v>
      </c>
      <c r="D7300" s="284" t="s">
        <v>897</v>
      </c>
      <c r="E7300" s="178">
        <v>2017</v>
      </c>
      <c r="F7300" s="178" t="s">
        <v>4520</v>
      </c>
      <c r="G7300" s="496"/>
      <c r="H7300" s="994" t="s">
        <v>20221</v>
      </c>
      <c r="I7300" s="11" t="s">
        <v>9968</v>
      </c>
      <c r="J7300" s="1285"/>
      <c r="K7300" s="1285"/>
      <c r="L7300" s="1285"/>
    </row>
    <row r="7301" spans="1:12" ht="11.15" customHeight="1">
      <c r="A7301" s="162" t="s">
        <v>9967</v>
      </c>
      <c r="B7301" s="177" t="s">
        <v>9970</v>
      </c>
      <c r="C7301" s="147"/>
      <c r="D7301" s="122"/>
      <c r="E7301" s="185"/>
      <c r="F7301" s="185"/>
      <c r="G7301" s="416"/>
      <c r="H7301" s="185"/>
      <c r="I7301" s="11"/>
    </row>
    <row r="7302" spans="1:12" ht="11.15" customHeight="1">
      <c r="A7302" s="129" t="s">
        <v>9969</v>
      </c>
      <c r="B7302" s="59" t="s">
        <v>21590</v>
      </c>
      <c r="C7302" s="147" t="s">
        <v>23393</v>
      </c>
      <c r="D7302" s="284" t="s">
        <v>897</v>
      </c>
      <c r="E7302" s="178">
        <v>2023</v>
      </c>
      <c r="F7302" s="178" t="s">
        <v>4520</v>
      </c>
      <c r="G7302" s="496"/>
      <c r="H7302" s="994" t="s">
        <v>20343</v>
      </c>
      <c r="I7302" s="11" t="s">
        <v>9972</v>
      </c>
      <c r="J7302" s="1285"/>
      <c r="K7302" s="1285"/>
      <c r="L7302" s="1285"/>
    </row>
    <row r="7303" spans="1:12" ht="11.15" customHeight="1">
      <c r="A7303" s="162" t="s">
        <v>9971</v>
      </c>
      <c r="B7303" s="59" t="s">
        <v>21591</v>
      </c>
      <c r="C7303" s="147" t="s">
        <v>20221</v>
      </c>
      <c r="D7303" s="284" t="s">
        <v>897</v>
      </c>
      <c r="E7303" s="178">
        <v>2018</v>
      </c>
      <c r="F7303" s="178" t="s">
        <v>4520</v>
      </c>
      <c r="G7303" s="496"/>
      <c r="H7303" s="994" t="s">
        <v>20221</v>
      </c>
      <c r="I7303" s="11" t="s">
        <v>9974</v>
      </c>
      <c r="J7303" s="1285"/>
      <c r="K7303" s="1285"/>
      <c r="L7303" s="1285"/>
    </row>
    <row r="7304" spans="1:12" ht="11.15" customHeight="1">
      <c r="A7304" s="162" t="s">
        <v>9973</v>
      </c>
      <c r="B7304" s="177" t="s">
        <v>9976</v>
      </c>
      <c r="C7304" s="147"/>
      <c r="D7304" s="122"/>
      <c r="E7304" s="185"/>
      <c r="F7304" s="185"/>
      <c r="G7304" s="416"/>
      <c r="H7304" s="185"/>
      <c r="I7304" s="11"/>
    </row>
    <row r="7305" spans="1:12" ht="11.15" customHeight="1">
      <c r="A7305" s="162" t="s">
        <v>9975</v>
      </c>
      <c r="B7305" s="59" t="s">
        <v>21592</v>
      </c>
      <c r="C7305" s="147" t="s">
        <v>23393</v>
      </c>
      <c r="D7305" s="284" t="s">
        <v>897</v>
      </c>
      <c r="E7305" s="178">
        <v>2023</v>
      </c>
      <c r="F7305" s="178" t="s">
        <v>4520</v>
      </c>
      <c r="G7305" s="496"/>
      <c r="H7305" s="994" t="s">
        <v>20343</v>
      </c>
      <c r="I7305" s="11" t="s">
        <v>9978</v>
      </c>
      <c r="J7305" s="1285"/>
      <c r="K7305" s="1285"/>
      <c r="L7305" s="1285"/>
    </row>
    <row r="7306" spans="1:12" ht="11.15" customHeight="1">
      <c r="A7306" s="162" t="s">
        <v>9977</v>
      </c>
      <c r="B7306" s="59" t="s">
        <v>21593</v>
      </c>
      <c r="C7306" s="147" t="s">
        <v>23393</v>
      </c>
      <c r="D7306" s="284" t="s">
        <v>897</v>
      </c>
      <c r="E7306" s="178">
        <v>2022</v>
      </c>
      <c r="F7306" s="178" t="s">
        <v>4520</v>
      </c>
      <c r="G7306" s="496"/>
      <c r="H7306" s="994" t="s">
        <v>20221</v>
      </c>
      <c r="I7306" s="11" t="s">
        <v>9980</v>
      </c>
      <c r="J7306" s="1285"/>
      <c r="K7306" s="1285"/>
      <c r="L7306" s="1285"/>
    </row>
    <row r="7307" spans="1:12" ht="11.15" customHeight="1">
      <c r="A7307" s="162" t="s">
        <v>9979</v>
      </c>
      <c r="B7307" s="59" t="s">
        <v>21592</v>
      </c>
      <c r="C7307" s="147" t="s">
        <v>23393</v>
      </c>
      <c r="D7307" s="284" t="s">
        <v>897</v>
      </c>
      <c r="E7307" s="178">
        <v>2021</v>
      </c>
      <c r="F7307" s="178" t="s">
        <v>4520</v>
      </c>
      <c r="G7307" s="496"/>
      <c r="H7307" s="994" t="s">
        <v>20221</v>
      </c>
      <c r="I7307" s="11" t="s">
        <v>9982</v>
      </c>
      <c r="J7307" s="1285"/>
      <c r="K7307" s="1285"/>
      <c r="L7307" s="1285"/>
    </row>
    <row r="7308" spans="1:12" ht="11.15" customHeight="1">
      <c r="A7308" s="162" t="s">
        <v>9981</v>
      </c>
      <c r="B7308" s="59" t="s">
        <v>21592</v>
      </c>
      <c r="C7308" s="147" t="s">
        <v>23393</v>
      </c>
      <c r="D7308" s="284" t="s">
        <v>897</v>
      </c>
      <c r="E7308" s="178">
        <v>2020</v>
      </c>
      <c r="F7308" s="178" t="s">
        <v>4520</v>
      </c>
      <c r="G7308" s="496"/>
      <c r="H7308" s="994" t="s">
        <v>20221</v>
      </c>
      <c r="I7308" s="11" t="s">
        <v>9984</v>
      </c>
      <c r="J7308" s="1285"/>
      <c r="K7308" s="1285"/>
      <c r="L7308" s="1285"/>
    </row>
    <row r="7309" spans="1:12" ht="11.15" customHeight="1">
      <c r="A7309" s="162" t="s">
        <v>9983</v>
      </c>
      <c r="B7309" s="59" t="s">
        <v>21592</v>
      </c>
      <c r="C7309" s="147" t="s">
        <v>23393</v>
      </c>
      <c r="D7309" s="284" t="s">
        <v>897</v>
      </c>
      <c r="E7309" s="178">
        <v>2019</v>
      </c>
      <c r="F7309" s="178" t="s">
        <v>4520</v>
      </c>
      <c r="G7309" s="496"/>
      <c r="H7309" s="994" t="s">
        <v>20221</v>
      </c>
      <c r="I7309" s="11" t="s">
        <v>9986</v>
      </c>
      <c r="J7309" s="1285"/>
      <c r="K7309" s="1285"/>
      <c r="L7309" s="1285"/>
    </row>
    <row r="7310" spans="1:12" ht="11.15" customHeight="1">
      <c r="A7310" s="162" t="s">
        <v>9985</v>
      </c>
      <c r="B7310" s="59" t="s">
        <v>21592</v>
      </c>
      <c r="C7310" s="147" t="s">
        <v>20221</v>
      </c>
      <c r="D7310" s="284" t="s">
        <v>897</v>
      </c>
      <c r="E7310" s="178">
        <v>2018</v>
      </c>
      <c r="F7310" s="178" t="s">
        <v>4520</v>
      </c>
      <c r="G7310" s="496"/>
      <c r="H7310" s="994" t="s">
        <v>20221</v>
      </c>
      <c r="I7310" s="11" t="s">
        <v>9988</v>
      </c>
      <c r="J7310" s="1285"/>
      <c r="K7310" s="1285"/>
      <c r="L7310" s="1285"/>
    </row>
    <row r="7311" spans="1:12" ht="11.15" customHeight="1">
      <c r="A7311" s="162" t="s">
        <v>9987</v>
      </c>
      <c r="B7311" s="59" t="s">
        <v>21594</v>
      </c>
      <c r="C7311" s="147" t="s">
        <v>23393</v>
      </c>
      <c r="D7311" s="284" t="s">
        <v>897</v>
      </c>
      <c r="E7311" s="178">
        <v>2017</v>
      </c>
      <c r="F7311" s="178" t="s">
        <v>4520</v>
      </c>
      <c r="G7311" s="496"/>
      <c r="H7311" s="994" t="s">
        <v>20221</v>
      </c>
      <c r="I7311" s="11" t="s">
        <v>9990</v>
      </c>
      <c r="J7311" s="1285"/>
      <c r="K7311" s="1285"/>
      <c r="L7311" s="1285"/>
    </row>
    <row r="7312" spans="1:12" ht="11.15" customHeight="1">
      <c r="A7312" s="162" t="s">
        <v>9989</v>
      </c>
      <c r="B7312" s="59" t="s">
        <v>21592</v>
      </c>
      <c r="C7312" s="147" t="s">
        <v>23393</v>
      </c>
      <c r="D7312" s="284" t="s">
        <v>897</v>
      </c>
      <c r="E7312" s="178">
        <v>2016</v>
      </c>
      <c r="F7312" s="178" t="s">
        <v>4520</v>
      </c>
      <c r="G7312" s="496"/>
      <c r="H7312" s="994" t="s">
        <v>20221</v>
      </c>
      <c r="I7312" s="11" t="s">
        <v>9992</v>
      </c>
      <c r="J7312" s="1285"/>
      <c r="K7312" s="1285"/>
      <c r="L7312" s="1285"/>
    </row>
    <row r="7313" spans="1:12" ht="11.15" customHeight="1">
      <c r="A7313" s="162" t="s">
        <v>9991</v>
      </c>
      <c r="B7313" s="177" t="s">
        <v>9994</v>
      </c>
      <c r="C7313" s="147"/>
      <c r="D7313" s="122"/>
      <c r="E7313" s="185"/>
      <c r="F7313" s="185"/>
      <c r="G7313" s="416"/>
      <c r="H7313" s="185"/>
      <c r="I7313" s="11"/>
    </row>
    <row r="7314" spans="1:12" ht="11.15" customHeight="1">
      <c r="A7314" s="162" t="s">
        <v>9993</v>
      </c>
      <c r="B7314" s="59" t="s">
        <v>21595</v>
      </c>
      <c r="C7314" s="147" t="s">
        <v>23393</v>
      </c>
      <c r="D7314" s="284" t="s">
        <v>897</v>
      </c>
      <c r="E7314" s="178">
        <v>2023</v>
      </c>
      <c r="F7314" s="178" t="s">
        <v>4520</v>
      </c>
      <c r="G7314" s="496"/>
      <c r="H7314" s="994" t="s">
        <v>20343</v>
      </c>
      <c r="I7314" s="11" t="s">
        <v>9996</v>
      </c>
      <c r="J7314" s="1285"/>
      <c r="K7314" s="1285"/>
      <c r="L7314" s="1285"/>
    </row>
    <row r="7315" spans="1:12" ht="11.15" customHeight="1">
      <c r="A7315" s="162" t="s">
        <v>9995</v>
      </c>
      <c r="B7315" s="59" t="s">
        <v>21596</v>
      </c>
      <c r="C7315" s="147" t="s">
        <v>23393</v>
      </c>
      <c r="D7315" s="284" t="s">
        <v>897</v>
      </c>
      <c r="E7315" s="178">
        <v>2022</v>
      </c>
      <c r="F7315" s="178" t="s">
        <v>4520</v>
      </c>
      <c r="G7315" s="496"/>
      <c r="H7315" s="994" t="s">
        <v>20221</v>
      </c>
      <c r="I7315" s="11" t="s">
        <v>9998</v>
      </c>
      <c r="J7315" s="1285"/>
      <c r="K7315" s="1285"/>
      <c r="L7315" s="1285"/>
    </row>
    <row r="7316" spans="1:12" ht="11.15" customHeight="1">
      <c r="A7316" s="162" t="s">
        <v>9997</v>
      </c>
      <c r="B7316" s="59" t="s">
        <v>21597</v>
      </c>
      <c r="C7316" s="147" t="s">
        <v>23393</v>
      </c>
      <c r="D7316" s="284" t="s">
        <v>897</v>
      </c>
      <c r="E7316" s="178">
        <v>2021</v>
      </c>
      <c r="F7316" s="178" t="s">
        <v>4520</v>
      </c>
      <c r="G7316" s="496"/>
      <c r="H7316" s="994" t="s">
        <v>20221</v>
      </c>
      <c r="I7316" s="11" t="s">
        <v>10000</v>
      </c>
      <c r="J7316" s="1285"/>
      <c r="K7316" s="1285"/>
      <c r="L7316" s="1285"/>
    </row>
    <row r="7317" spans="1:12" ht="11.15" customHeight="1">
      <c r="A7317" s="162" t="s">
        <v>9999</v>
      </c>
      <c r="B7317" s="59" t="s">
        <v>21598</v>
      </c>
      <c r="C7317" s="147" t="s">
        <v>23393</v>
      </c>
      <c r="D7317" s="284" t="s">
        <v>897</v>
      </c>
      <c r="E7317" s="178">
        <v>2020</v>
      </c>
      <c r="F7317" s="178" t="s">
        <v>4520</v>
      </c>
      <c r="G7317" s="496"/>
      <c r="H7317" s="994" t="s">
        <v>20221</v>
      </c>
      <c r="I7317" s="11" t="s">
        <v>10002</v>
      </c>
      <c r="J7317" s="1285"/>
      <c r="K7317" s="1285"/>
      <c r="L7317" s="1285"/>
    </row>
    <row r="7318" spans="1:12" ht="11.15" customHeight="1">
      <c r="A7318" s="162" t="s">
        <v>10001</v>
      </c>
      <c r="B7318" s="59" t="s">
        <v>21597</v>
      </c>
      <c r="C7318" s="147" t="s">
        <v>20221</v>
      </c>
      <c r="D7318" s="284" t="s">
        <v>897</v>
      </c>
      <c r="E7318" s="178">
        <v>2019</v>
      </c>
      <c r="F7318" s="178" t="s">
        <v>4520</v>
      </c>
      <c r="G7318" s="496"/>
      <c r="H7318" s="994" t="s">
        <v>20221</v>
      </c>
      <c r="I7318" s="11" t="s">
        <v>10004</v>
      </c>
      <c r="J7318" s="1285"/>
      <c r="K7318" s="1285"/>
      <c r="L7318" s="1285"/>
    </row>
    <row r="7319" spans="1:12" ht="11.15" customHeight="1">
      <c r="A7319" s="162" t="s">
        <v>10003</v>
      </c>
      <c r="B7319" s="59" t="s">
        <v>21597</v>
      </c>
      <c r="C7319" s="147" t="s">
        <v>20221</v>
      </c>
      <c r="D7319" s="284" t="s">
        <v>897</v>
      </c>
      <c r="E7319" s="178">
        <v>2018</v>
      </c>
      <c r="F7319" s="178" t="s">
        <v>4520</v>
      </c>
      <c r="G7319" s="496"/>
      <c r="H7319" s="994" t="s">
        <v>20221</v>
      </c>
      <c r="I7319" s="11" t="s">
        <v>10006</v>
      </c>
      <c r="J7319" s="1285"/>
      <c r="K7319" s="1285"/>
      <c r="L7319" s="1285"/>
    </row>
    <row r="7320" spans="1:12" ht="11.15" customHeight="1">
      <c r="A7320" s="129" t="s">
        <v>10005</v>
      </c>
      <c r="B7320" s="59" t="s">
        <v>21597</v>
      </c>
      <c r="C7320" s="147" t="s">
        <v>23393</v>
      </c>
      <c r="D7320" s="284" t="s">
        <v>897</v>
      </c>
      <c r="E7320" s="178">
        <v>2017</v>
      </c>
      <c r="F7320" s="178" t="s">
        <v>4520</v>
      </c>
      <c r="G7320" s="496"/>
      <c r="H7320" s="994" t="s">
        <v>20221</v>
      </c>
      <c r="I7320" s="11" t="s">
        <v>10007</v>
      </c>
      <c r="J7320" s="1285"/>
      <c r="K7320" s="1285"/>
      <c r="L7320" s="1285"/>
    </row>
    <row r="7321" spans="1:12" ht="11.15" customHeight="1">
      <c r="A7321" s="162" t="s">
        <v>9496</v>
      </c>
      <c r="B7321" s="59" t="s">
        <v>21597</v>
      </c>
      <c r="C7321" s="147" t="s">
        <v>23393</v>
      </c>
      <c r="D7321" s="284" t="s">
        <v>897</v>
      </c>
      <c r="E7321" s="178">
        <v>2016</v>
      </c>
      <c r="F7321" s="178" t="s">
        <v>4520</v>
      </c>
      <c r="G7321" s="496"/>
      <c r="H7321" s="994" t="s">
        <v>20221</v>
      </c>
      <c r="I7321" s="11" t="s">
        <v>10008</v>
      </c>
      <c r="J7321" s="1285"/>
      <c r="K7321" s="1285"/>
      <c r="L7321" s="1285"/>
    </row>
    <row r="7322" spans="1:12" ht="11.15" customHeight="1">
      <c r="A7322" s="162" t="s">
        <v>9497</v>
      </c>
      <c r="B7322" s="59" t="s">
        <v>21597</v>
      </c>
      <c r="C7322" s="147" t="s">
        <v>23393</v>
      </c>
      <c r="D7322" s="284" t="s">
        <v>897</v>
      </c>
      <c r="E7322" s="178">
        <v>2015</v>
      </c>
      <c r="F7322" s="178" t="s">
        <v>4520</v>
      </c>
      <c r="G7322" s="496"/>
      <c r="H7322" s="994" t="s">
        <v>20221</v>
      </c>
      <c r="I7322" s="11" t="s">
        <v>10009</v>
      </c>
      <c r="J7322" s="1285"/>
      <c r="K7322" s="1285"/>
      <c r="L7322" s="1285"/>
    </row>
    <row r="7323" spans="1:12" ht="11.15" customHeight="1">
      <c r="A7323" s="162" t="s">
        <v>9499</v>
      </c>
      <c r="B7323" s="59" t="s">
        <v>21597</v>
      </c>
      <c r="C7323" s="147" t="s">
        <v>20221</v>
      </c>
      <c r="D7323" s="284" t="s">
        <v>897</v>
      </c>
      <c r="E7323" s="178">
        <v>2013</v>
      </c>
      <c r="F7323" s="178" t="s">
        <v>23395</v>
      </c>
      <c r="G7323" s="496"/>
      <c r="H7323" s="994" t="s">
        <v>20221</v>
      </c>
      <c r="I7323" s="11" t="s">
        <v>10010</v>
      </c>
      <c r="J7323" s="1285"/>
      <c r="K7323" s="1285"/>
      <c r="L7323" s="1285"/>
    </row>
    <row r="7324" spans="1:12" ht="11.15" customHeight="1">
      <c r="A7324" s="162" t="s">
        <v>9501</v>
      </c>
      <c r="B7324" s="59" t="s">
        <v>21597</v>
      </c>
      <c r="C7324" s="147" t="s">
        <v>20221</v>
      </c>
      <c r="D7324" s="284" t="s">
        <v>897</v>
      </c>
      <c r="E7324" s="178">
        <v>2012</v>
      </c>
      <c r="F7324" s="178" t="s">
        <v>23395</v>
      </c>
      <c r="G7324" s="496"/>
      <c r="H7324" s="994" t="s">
        <v>20221</v>
      </c>
      <c r="I7324" s="11" t="s">
        <v>9932</v>
      </c>
      <c r="J7324" s="1285"/>
      <c r="K7324" s="1285"/>
      <c r="L7324" s="1285"/>
    </row>
    <row r="7325" spans="1:12" ht="11.15" customHeight="1">
      <c r="A7325" s="162" t="s">
        <v>10011</v>
      </c>
      <c r="B7325" s="177" t="s">
        <v>10012</v>
      </c>
      <c r="C7325" s="147"/>
      <c r="D7325" s="122"/>
      <c r="E7325" s="185"/>
      <c r="F7325" s="185"/>
      <c r="G7325" s="416"/>
      <c r="H7325" s="185"/>
      <c r="I7325" s="11"/>
    </row>
    <row r="7326" spans="1:12" ht="11.15" customHeight="1">
      <c r="A7326" s="162" t="s">
        <v>9505</v>
      </c>
      <c r="B7326" s="59" t="s">
        <v>21599</v>
      </c>
      <c r="C7326" s="147" t="s">
        <v>20221</v>
      </c>
      <c r="D7326" s="284" t="s">
        <v>897</v>
      </c>
      <c r="E7326" s="178">
        <v>2023</v>
      </c>
      <c r="F7326" s="178" t="s">
        <v>4520</v>
      </c>
      <c r="G7326" s="496"/>
      <c r="H7326" s="994" t="s">
        <v>20343</v>
      </c>
      <c r="I7326" s="11" t="s">
        <v>10014</v>
      </c>
      <c r="J7326" s="1285"/>
      <c r="K7326" s="1285"/>
      <c r="L7326" s="1285"/>
    </row>
    <row r="7327" spans="1:12" ht="11.15" customHeight="1">
      <c r="A7327" s="29" t="s">
        <v>10013</v>
      </c>
      <c r="B7327" s="59" t="s">
        <v>21599</v>
      </c>
      <c r="C7327" s="147" t="s">
        <v>20221</v>
      </c>
      <c r="D7327" s="284" t="s">
        <v>897</v>
      </c>
      <c r="E7327" s="178">
        <v>2021</v>
      </c>
      <c r="F7327" s="178" t="s">
        <v>4520</v>
      </c>
      <c r="G7327" s="496"/>
      <c r="H7327" s="994" t="s">
        <v>20221</v>
      </c>
      <c r="I7327" s="11" t="s">
        <v>10015</v>
      </c>
      <c r="J7327" s="1285"/>
      <c r="K7327" s="1285"/>
      <c r="L7327" s="1285"/>
    </row>
    <row r="7328" spans="1:12" ht="11.15" customHeight="1" thickBot="1">
      <c r="A7328" s="166" t="s">
        <v>9507</v>
      </c>
      <c r="B7328" s="59" t="s">
        <v>21599</v>
      </c>
      <c r="C7328" s="147" t="s">
        <v>20221</v>
      </c>
      <c r="D7328" s="284" t="s">
        <v>897</v>
      </c>
      <c r="E7328" s="178">
        <v>2020</v>
      </c>
      <c r="F7328" s="178" t="s">
        <v>4520</v>
      </c>
      <c r="G7328" s="496"/>
      <c r="H7328" s="994" t="s">
        <v>20221</v>
      </c>
      <c r="I7328" s="11" t="s">
        <v>10017</v>
      </c>
      <c r="J7328" s="1285"/>
      <c r="K7328" s="1285"/>
      <c r="L7328" s="1285"/>
    </row>
    <row r="7329" spans="1:12" ht="11.15" customHeight="1">
      <c r="A7329" s="418" t="s">
        <v>10016</v>
      </c>
      <c r="B7329" s="59" t="s">
        <v>21599</v>
      </c>
      <c r="C7329" s="147" t="s">
        <v>20221</v>
      </c>
      <c r="D7329" s="284" t="s">
        <v>897</v>
      </c>
      <c r="E7329" s="178">
        <v>2019</v>
      </c>
      <c r="F7329" s="178" t="s">
        <v>4520</v>
      </c>
      <c r="G7329" s="496"/>
      <c r="H7329" s="994" t="s">
        <v>20221</v>
      </c>
      <c r="I7329" s="11" t="s">
        <v>10018</v>
      </c>
      <c r="J7329" s="1285"/>
      <c r="K7329" s="1285"/>
      <c r="L7329" s="1285"/>
    </row>
    <row r="7330" spans="1:12" ht="11.15" customHeight="1">
      <c r="A7330" s="506" t="s">
        <v>9511</v>
      </c>
      <c r="B7330" s="59" t="s">
        <v>21599</v>
      </c>
      <c r="C7330" s="147" t="s">
        <v>20221</v>
      </c>
      <c r="D7330" s="284" t="s">
        <v>897</v>
      </c>
      <c r="E7330" s="178">
        <v>2018</v>
      </c>
      <c r="F7330" s="178" t="s">
        <v>4520</v>
      </c>
      <c r="G7330" s="496"/>
      <c r="H7330" s="994" t="s">
        <v>20221</v>
      </c>
      <c r="I7330" s="11" t="s">
        <v>10019</v>
      </c>
      <c r="J7330" s="1285"/>
      <c r="K7330" s="1285"/>
      <c r="L7330" s="1285"/>
    </row>
    <row r="7331" spans="1:12" ht="11.15" customHeight="1" thickBot="1">
      <c r="A7331" s="573" t="s">
        <v>9513</v>
      </c>
      <c r="B7331" s="59" t="s">
        <v>21600</v>
      </c>
      <c r="C7331" s="147" t="s">
        <v>20221</v>
      </c>
      <c r="D7331" s="284" t="s">
        <v>897</v>
      </c>
      <c r="E7331" s="178">
        <v>2017</v>
      </c>
      <c r="F7331" s="178" t="s">
        <v>4520</v>
      </c>
      <c r="G7331" s="496"/>
      <c r="H7331" s="994" t="s">
        <v>20221</v>
      </c>
      <c r="I7331" s="11" t="s">
        <v>10020</v>
      </c>
      <c r="J7331" s="1285"/>
      <c r="K7331" s="1285"/>
      <c r="L7331" s="1285"/>
    </row>
    <row r="7332" spans="1:12" ht="11.15" customHeight="1">
      <c r="A7332" s="484"/>
      <c r="B7332" s="59" t="s">
        <v>21599</v>
      </c>
      <c r="C7332" s="147" t="s">
        <v>20221</v>
      </c>
      <c r="D7332" s="284" t="s">
        <v>897</v>
      </c>
      <c r="E7332" s="178">
        <v>2016</v>
      </c>
      <c r="F7332" s="178" t="s">
        <v>4520</v>
      </c>
      <c r="G7332" s="496"/>
      <c r="H7332" s="994" t="s">
        <v>20221</v>
      </c>
      <c r="I7332" s="11" t="s">
        <v>10021</v>
      </c>
      <c r="J7332" s="1285"/>
      <c r="K7332" s="1285"/>
      <c r="L7332" s="1285"/>
    </row>
    <row r="7333" spans="1:12" ht="11.15" customHeight="1">
      <c r="A7333" s="185"/>
      <c r="B7333" s="59" t="s">
        <v>21599</v>
      </c>
      <c r="C7333" s="147" t="s">
        <v>20221</v>
      </c>
      <c r="D7333" s="284" t="s">
        <v>897</v>
      </c>
      <c r="E7333" s="178">
        <v>2013</v>
      </c>
      <c r="F7333" s="178" t="s">
        <v>23395</v>
      </c>
      <c r="G7333" s="496"/>
      <c r="H7333" s="994" t="s">
        <v>20221</v>
      </c>
      <c r="I7333" s="11" t="s">
        <v>10022</v>
      </c>
      <c r="J7333" s="1285"/>
      <c r="K7333" s="1285"/>
      <c r="L7333" s="1285"/>
    </row>
    <row r="7334" spans="1:12" ht="11.15" customHeight="1">
      <c r="A7334" s="185"/>
      <c r="B7334" s="59" t="s">
        <v>21599</v>
      </c>
      <c r="C7334" s="147" t="s">
        <v>20221</v>
      </c>
      <c r="D7334" s="284" t="s">
        <v>897</v>
      </c>
      <c r="E7334" s="178">
        <v>2012</v>
      </c>
      <c r="F7334" s="178" t="s">
        <v>23395</v>
      </c>
      <c r="G7334" s="496"/>
      <c r="H7334" s="994" t="s">
        <v>20221</v>
      </c>
      <c r="I7334" s="11" t="s">
        <v>10023</v>
      </c>
      <c r="J7334" s="1285"/>
      <c r="K7334" s="1285"/>
      <c r="L7334" s="1285"/>
    </row>
    <row r="7335" spans="1:12" ht="11.15" customHeight="1">
      <c r="A7335" s="185"/>
      <c r="B7335" s="59" t="s">
        <v>21599</v>
      </c>
      <c r="C7335" s="147" t="s">
        <v>20221</v>
      </c>
      <c r="D7335" s="284" t="s">
        <v>897</v>
      </c>
      <c r="E7335" s="178">
        <v>2011</v>
      </c>
      <c r="F7335" s="178" t="s">
        <v>23395</v>
      </c>
      <c r="G7335" s="496"/>
      <c r="H7335" s="994" t="s">
        <v>20221</v>
      </c>
      <c r="I7335" s="11" t="s">
        <v>10024</v>
      </c>
      <c r="J7335" s="1285"/>
      <c r="K7335" s="1285"/>
      <c r="L7335" s="1285"/>
    </row>
    <row r="7336" spans="1:12" ht="11.15" customHeight="1">
      <c r="A7336" s="185"/>
      <c r="B7336" s="59" t="s">
        <v>21599</v>
      </c>
      <c r="C7336" s="147" t="s">
        <v>20221</v>
      </c>
      <c r="D7336" s="284" t="s">
        <v>897</v>
      </c>
      <c r="E7336" s="178">
        <v>2010</v>
      </c>
      <c r="F7336" s="178" t="s">
        <v>23395</v>
      </c>
      <c r="G7336" s="496"/>
      <c r="H7336" s="994" t="s">
        <v>20277</v>
      </c>
      <c r="I7336" s="11" t="s">
        <v>10025</v>
      </c>
      <c r="J7336" s="1285"/>
      <c r="K7336" s="1285"/>
      <c r="L7336" s="1285"/>
    </row>
    <row r="7337" spans="1:12" ht="11.15" customHeight="1">
      <c r="A7337" s="185"/>
      <c r="B7337" s="59" t="s">
        <v>21599</v>
      </c>
      <c r="C7337" s="147" t="s">
        <v>20221</v>
      </c>
      <c r="D7337" s="284" t="s">
        <v>897</v>
      </c>
      <c r="E7337" s="178">
        <v>2009</v>
      </c>
      <c r="F7337" s="178" t="s">
        <v>23395</v>
      </c>
      <c r="G7337" s="496"/>
      <c r="H7337" s="994" t="s">
        <v>20221</v>
      </c>
      <c r="I7337" s="11" t="s">
        <v>9933</v>
      </c>
      <c r="J7337" s="1285"/>
      <c r="K7337" s="1285"/>
      <c r="L7337" s="1285"/>
    </row>
    <row r="7338" spans="1:12" ht="11.15" customHeight="1">
      <c r="A7338" s="185"/>
      <c r="B7338" s="177" t="s">
        <v>10026</v>
      </c>
      <c r="C7338" s="147"/>
      <c r="D7338" s="122"/>
      <c r="E7338" s="185"/>
      <c r="F7338" s="185"/>
      <c r="G7338" s="416"/>
      <c r="H7338" s="185"/>
      <c r="I7338" s="11"/>
    </row>
    <row r="7339" spans="1:12" ht="11.15" customHeight="1">
      <c r="A7339" s="185"/>
      <c r="B7339" s="59" t="s">
        <v>21601</v>
      </c>
      <c r="C7339" s="147" t="s">
        <v>20221</v>
      </c>
      <c r="D7339" s="284" t="s">
        <v>897</v>
      </c>
      <c r="E7339" s="178">
        <v>2023</v>
      </c>
      <c r="F7339" s="178" t="s">
        <v>4520</v>
      </c>
      <c r="G7339" s="496"/>
      <c r="H7339" s="994" t="s">
        <v>20343</v>
      </c>
      <c r="I7339" s="11" t="s">
        <v>10027</v>
      </c>
      <c r="J7339" s="1285"/>
      <c r="K7339" s="1285"/>
      <c r="L7339" s="1285"/>
    </row>
    <row r="7340" spans="1:12" ht="11.15" customHeight="1">
      <c r="A7340" s="185"/>
      <c r="B7340" s="59" t="s">
        <v>21601</v>
      </c>
      <c r="C7340" s="147" t="s">
        <v>20221</v>
      </c>
      <c r="D7340" s="284" t="s">
        <v>897</v>
      </c>
      <c r="E7340" s="178">
        <v>2022</v>
      </c>
      <c r="F7340" s="178" t="s">
        <v>4520</v>
      </c>
      <c r="G7340" s="496"/>
      <c r="H7340" s="994" t="s">
        <v>20221</v>
      </c>
      <c r="I7340" s="11" t="s">
        <v>10028</v>
      </c>
      <c r="J7340" s="1285"/>
      <c r="K7340" s="1285"/>
      <c r="L7340" s="1285"/>
    </row>
    <row r="7341" spans="1:12" ht="11.15" customHeight="1">
      <c r="A7341" s="185"/>
      <c r="B7341" s="59" t="s">
        <v>21601</v>
      </c>
      <c r="C7341" s="147" t="s">
        <v>20221</v>
      </c>
      <c r="D7341" s="284" t="s">
        <v>897</v>
      </c>
      <c r="E7341" s="178">
        <v>2021</v>
      </c>
      <c r="F7341" s="178" t="s">
        <v>4520</v>
      </c>
      <c r="G7341" s="496"/>
      <c r="H7341" s="994" t="s">
        <v>20221</v>
      </c>
      <c r="I7341" s="11" t="s">
        <v>10029</v>
      </c>
      <c r="J7341" s="1285"/>
      <c r="K7341" s="1285"/>
      <c r="L7341" s="1285"/>
    </row>
    <row r="7342" spans="1:12" ht="11.15" customHeight="1">
      <c r="A7342" s="185"/>
      <c r="B7342" s="59" t="s">
        <v>21601</v>
      </c>
      <c r="C7342" s="147" t="s">
        <v>20221</v>
      </c>
      <c r="D7342" s="284" t="s">
        <v>897</v>
      </c>
      <c r="E7342" s="178">
        <v>2020</v>
      </c>
      <c r="F7342" s="178" t="s">
        <v>4520</v>
      </c>
      <c r="G7342" s="496"/>
      <c r="H7342" s="994" t="s">
        <v>20221</v>
      </c>
      <c r="I7342" s="11" t="s">
        <v>10030</v>
      </c>
      <c r="J7342" s="1285"/>
      <c r="K7342" s="1285"/>
      <c r="L7342" s="1285"/>
    </row>
    <row r="7343" spans="1:12" ht="11.15" customHeight="1">
      <c r="A7343" s="185"/>
      <c r="B7343" s="59" t="s">
        <v>21601</v>
      </c>
      <c r="C7343" s="147" t="s">
        <v>20221</v>
      </c>
      <c r="D7343" s="284" t="s">
        <v>897</v>
      </c>
      <c r="E7343" s="178">
        <v>2019</v>
      </c>
      <c r="F7343" s="178" t="s">
        <v>4520</v>
      </c>
      <c r="G7343" s="496"/>
      <c r="H7343" s="994" t="s">
        <v>20221</v>
      </c>
      <c r="I7343" s="11" t="s">
        <v>10031</v>
      </c>
      <c r="J7343" s="1285"/>
      <c r="K7343" s="1285"/>
      <c r="L7343" s="1285"/>
    </row>
    <row r="7344" spans="1:12" ht="11.15" customHeight="1">
      <c r="A7344" s="185"/>
      <c r="B7344" s="59" t="s">
        <v>21601</v>
      </c>
      <c r="C7344" s="147" t="s">
        <v>20221</v>
      </c>
      <c r="D7344" s="284" t="s">
        <v>897</v>
      </c>
      <c r="E7344" s="178">
        <v>2018</v>
      </c>
      <c r="F7344" s="178" t="s">
        <v>4520</v>
      </c>
      <c r="G7344" s="496"/>
      <c r="H7344" s="994" t="s">
        <v>20221</v>
      </c>
      <c r="I7344" s="11" t="s">
        <v>10032</v>
      </c>
      <c r="J7344" s="1285"/>
      <c r="K7344" s="1285"/>
      <c r="L7344" s="1285"/>
    </row>
    <row r="7345" spans="1:12" ht="11.15" customHeight="1">
      <c r="A7345" s="185"/>
      <c r="B7345" s="59" t="s">
        <v>21601</v>
      </c>
      <c r="C7345" s="147" t="s">
        <v>20221</v>
      </c>
      <c r="D7345" s="284" t="s">
        <v>897</v>
      </c>
      <c r="E7345" s="178">
        <v>2017</v>
      </c>
      <c r="F7345" s="178" t="s">
        <v>4520</v>
      </c>
      <c r="G7345" s="496"/>
      <c r="H7345" s="994" t="s">
        <v>20221</v>
      </c>
      <c r="I7345" s="11" t="s">
        <v>10033</v>
      </c>
      <c r="J7345" s="1285"/>
      <c r="K7345" s="1285"/>
      <c r="L7345" s="1285"/>
    </row>
    <row r="7346" spans="1:12" ht="11.15" customHeight="1">
      <c r="A7346" s="185"/>
      <c r="B7346" s="59" t="s">
        <v>21601</v>
      </c>
      <c r="C7346" s="147" t="s">
        <v>20221</v>
      </c>
      <c r="D7346" s="284" t="s">
        <v>897</v>
      </c>
      <c r="E7346" s="178">
        <v>2016</v>
      </c>
      <c r="F7346" s="178" t="s">
        <v>4520</v>
      </c>
      <c r="G7346" s="496"/>
      <c r="H7346" s="994" t="s">
        <v>20221</v>
      </c>
      <c r="I7346" s="11" t="s">
        <v>10034</v>
      </c>
      <c r="J7346" s="1285"/>
      <c r="K7346" s="1285"/>
      <c r="L7346" s="1285"/>
    </row>
    <row r="7347" spans="1:12" ht="11.15" customHeight="1">
      <c r="A7347" s="185"/>
      <c r="B7347" s="59" t="s">
        <v>21601</v>
      </c>
      <c r="C7347" s="147" t="s">
        <v>20221</v>
      </c>
      <c r="D7347" s="284" t="s">
        <v>897</v>
      </c>
      <c r="E7347" s="178">
        <v>2015</v>
      </c>
      <c r="F7347" s="178" t="s">
        <v>4520</v>
      </c>
      <c r="G7347" s="496"/>
      <c r="H7347" s="994" t="s">
        <v>20221</v>
      </c>
      <c r="I7347" s="11" t="s">
        <v>10035</v>
      </c>
      <c r="J7347" s="1285"/>
      <c r="K7347" s="1285"/>
      <c r="L7347" s="1285"/>
    </row>
    <row r="7348" spans="1:12" ht="11.15" customHeight="1">
      <c r="A7348" s="185"/>
      <c r="B7348" s="59" t="s">
        <v>21601</v>
      </c>
      <c r="C7348" s="147" t="s">
        <v>20221</v>
      </c>
      <c r="D7348" s="284" t="s">
        <v>897</v>
      </c>
      <c r="E7348" s="178">
        <v>2014</v>
      </c>
      <c r="F7348" s="178" t="s">
        <v>23395</v>
      </c>
      <c r="G7348" s="496"/>
      <c r="H7348" s="994" t="s">
        <v>20221</v>
      </c>
      <c r="I7348" s="11" t="s">
        <v>10036</v>
      </c>
      <c r="J7348" s="1285"/>
      <c r="K7348" s="1285"/>
      <c r="L7348" s="1285"/>
    </row>
    <row r="7349" spans="1:12" ht="11.15" customHeight="1">
      <c r="A7349" s="185"/>
      <c r="B7349" s="59" t="s">
        <v>21601</v>
      </c>
      <c r="C7349" s="147" t="s">
        <v>20221</v>
      </c>
      <c r="D7349" s="284" t="s">
        <v>897</v>
      </c>
      <c r="E7349" s="178">
        <v>2012</v>
      </c>
      <c r="F7349" s="178" t="s">
        <v>23395</v>
      </c>
      <c r="G7349" s="496"/>
      <c r="H7349" s="994" t="s">
        <v>20221</v>
      </c>
      <c r="I7349" s="11" t="s">
        <v>9935</v>
      </c>
      <c r="J7349" s="1285"/>
      <c r="K7349" s="1285"/>
      <c r="L7349" s="1285"/>
    </row>
    <row r="7350" spans="1:12" ht="11.15" customHeight="1">
      <c r="A7350" s="185"/>
      <c r="B7350" s="59" t="s">
        <v>21601</v>
      </c>
      <c r="C7350" s="147" t="s">
        <v>20221</v>
      </c>
      <c r="D7350" s="284" t="s">
        <v>897</v>
      </c>
      <c r="E7350" s="178">
        <v>2011</v>
      </c>
      <c r="F7350" s="178" t="s">
        <v>23395</v>
      </c>
      <c r="G7350" s="496"/>
      <c r="H7350" s="994" t="s">
        <v>20224</v>
      </c>
      <c r="I7350" s="11" t="s">
        <v>10037</v>
      </c>
      <c r="J7350" s="1285"/>
      <c r="K7350" s="1285"/>
      <c r="L7350" s="1285"/>
    </row>
    <row r="7351" spans="1:12" ht="11.15" customHeight="1">
      <c r="A7351" s="185"/>
      <c r="B7351" s="59" t="s">
        <v>21601</v>
      </c>
      <c r="C7351" s="147" t="s">
        <v>20221</v>
      </c>
      <c r="D7351" s="284" t="s">
        <v>897</v>
      </c>
      <c r="E7351" s="178">
        <v>2009</v>
      </c>
      <c r="F7351" s="178" t="s">
        <v>23395</v>
      </c>
      <c r="G7351" s="496"/>
      <c r="H7351" s="994" t="s">
        <v>20224</v>
      </c>
      <c r="I7351" s="11" t="s">
        <v>10038</v>
      </c>
      <c r="J7351" s="1285"/>
      <c r="K7351" s="1285"/>
      <c r="L7351" s="1285"/>
    </row>
    <row r="7352" spans="1:12" ht="11.15" customHeight="1">
      <c r="A7352" s="185"/>
      <c r="B7352" s="177" t="s">
        <v>10039</v>
      </c>
      <c r="C7352" s="147"/>
      <c r="D7352" s="161"/>
      <c r="E7352" s="36"/>
      <c r="F7352" s="178"/>
      <c r="G7352" s="496"/>
      <c r="H7352" s="36"/>
      <c r="I7352" s="11"/>
    </row>
    <row r="7353" spans="1:12" ht="11.15" customHeight="1">
      <c r="A7353" s="185"/>
      <c r="B7353" s="59" t="s">
        <v>21602</v>
      </c>
      <c r="C7353" s="147" t="s">
        <v>23393</v>
      </c>
      <c r="D7353" s="284" t="s">
        <v>897</v>
      </c>
      <c r="E7353" s="178">
        <v>2016</v>
      </c>
      <c r="F7353" s="178" t="s">
        <v>11931</v>
      </c>
      <c r="G7353" s="496"/>
      <c r="H7353" s="994" t="s">
        <v>20221</v>
      </c>
      <c r="I7353" s="11" t="s">
        <v>10040</v>
      </c>
      <c r="J7353" s="1285"/>
      <c r="K7353" s="1285"/>
      <c r="L7353" s="1285"/>
    </row>
    <row r="7354" spans="1:12" ht="11.15" customHeight="1">
      <c r="A7354" s="185"/>
      <c r="B7354" s="59" t="s">
        <v>21602</v>
      </c>
      <c r="C7354" s="147" t="s">
        <v>23393</v>
      </c>
      <c r="D7354" s="284" t="s">
        <v>897</v>
      </c>
      <c r="E7354" s="178">
        <v>2014</v>
      </c>
      <c r="F7354" s="178" t="s">
        <v>11931</v>
      </c>
      <c r="G7354" s="496"/>
      <c r="H7354" s="994" t="s">
        <v>20224</v>
      </c>
      <c r="I7354" s="11" t="s">
        <v>10041</v>
      </c>
      <c r="J7354" s="1285"/>
      <c r="K7354" s="1285"/>
      <c r="L7354" s="1285"/>
    </row>
    <row r="7355" spans="1:12" ht="11.15" customHeight="1">
      <c r="A7355" s="185"/>
      <c r="B7355" s="59" t="s">
        <v>21603</v>
      </c>
      <c r="C7355" s="147" t="s">
        <v>20221</v>
      </c>
      <c r="D7355" s="284" t="s">
        <v>897</v>
      </c>
      <c r="E7355" s="178">
        <v>2019</v>
      </c>
      <c r="F7355" s="178" t="s">
        <v>5257</v>
      </c>
      <c r="G7355" s="496"/>
      <c r="H7355" s="994" t="s">
        <v>20221</v>
      </c>
      <c r="I7355" s="11" t="s">
        <v>10042</v>
      </c>
      <c r="J7355" s="1285"/>
      <c r="K7355" s="1285"/>
      <c r="L7355" s="1285"/>
    </row>
    <row r="7356" spans="1:12" ht="11.15" customHeight="1">
      <c r="A7356" s="185"/>
      <c r="B7356" s="59" t="s">
        <v>21603</v>
      </c>
      <c r="C7356" s="147" t="s">
        <v>23393</v>
      </c>
      <c r="D7356" s="284" t="s">
        <v>897</v>
      </c>
      <c r="E7356" s="178">
        <v>2018</v>
      </c>
      <c r="F7356" s="178" t="s">
        <v>5257</v>
      </c>
      <c r="G7356" s="496"/>
      <c r="H7356" s="994" t="s">
        <v>20221</v>
      </c>
      <c r="I7356" s="11" t="s">
        <v>10043</v>
      </c>
      <c r="J7356" s="1285"/>
      <c r="K7356" s="1285"/>
      <c r="L7356" s="1285"/>
    </row>
    <row r="7357" spans="1:12" ht="11.15" customHeight="1">
      <c r="A7357" s="185"/>
      <c r="B7357" s="59" t="s">
        <v>21603</v>
      </c>
      <c r="C7357" s="147" t="s">
        <v>23393</v>
      </c>
      <c r="D7357" s="284" t="s">
        <v>897</v>
      </c>
      <c r="E7357" s="178">
        <v>2017</v>
      </c>
      <c r="F7357" s="178" t="s">
        <v>5257</v>
      </c>
      <c r="G7357" s="496"/>
      <c r="H7357" s="994" t="s">
        <v>20221</v>
      </c>
      <c r="I7357" s="11" t="s">
        <v>10044</v>
      </c>
      <c r="J7357" s="1285"/>
      <c r="K7357" s="1285"/>
      <c r="L7357" s="1285"/>
    </row>
    <row r="7358" spans="1:12" ht="11.15" customHeight="1">
      <c r="A7358" s="185"/>
      <c r="B7358" s="59" t="s">
        <v>21604</v>
      </c>
      <c r="C7358" s="147" t="s">
        <v>20221</v>
      </c>
      <c r="D7358" s="284" t="s">
        <v>897</v>
      </c>
      <c r="E7358" s="178">
        <v>2018</v>
      </c>
      <c r="F7358" s="178" t="s">
        <v>5257</v>
      </c>
      <c r="G7358" s="496"/>
      <c r="H7358" s="994" t="s">
        <v>20221</v>
      </c>
      <c r="I7358" s="11" t="s">
        <v>10045</v>
      </c>
      <c r="J7358" s="1285"/>
      <c r="K7358" s="1285"/>
      <c r="L7358" s="1285"/>
    </row>
    <row r="7359" spans="1:12" ht="11.15" customHeight="1">
      <c r="A7359" s="185"/>
      <c r="B7359" s="59" t="s">
        <v>21605</v>
      </c>
      <c r="C7359" s="147" t="s">
        <v>23393</v>
      </c>
      <c r="D7359" s="284" t="s">
        <v>897</v>
      </c>
      <c r="E7359" s="178">
        <v>2016</v>
      </c>
      <c r="F7359" s="178" t="s">
        <v>11931</v>
      </c>
      <c r="G7359" s="496"/>
      <c r="H7359" s="994" t="s">
        <v>20277</v>
      </c>
      <c r="I7359" s="11" t="s">
        <v>10046</v>
      </c>
      <c r="J7359" s="1285"/>
      <c r="K7359" s="1285"/>
      <c r="L7359" s="1285"/>
    </row>
    <row r="7360" spans="1:12" ht="11.15" customHeight="1">
      <c r="A7360" s="185"/>
      <c r="B7360" s="59" t="s">
        <v>21606</v>
      </c>
      <c r="C7360" s="147" t="s">
        <v>23393</v>
      </c>
      <c r="D7360" s="284" t="s">
        <v>897</v>
      </c>
      <c r="E7360" s="178">
        <v>2017</v>
      </c>
      <c r="F7360" s="178" t="s">
        <v>5257</v>
      </c>
      <c r="G7360" s="496"/>
      <c r="H7360" s="994" t="s">
        <v>20224</v>
      </c>
      <c r="I7360" s="11" t="s">
        <v>10047</v>
      </c>
      <c r="J7360" s="1285"/>
      <c r="K7360" s="1285"/>
      <c r="L7360" s="1285"/>
    </row>
    <row r="7361" spans="1:12" ht="11.15" customHeight="1">
      <c r="A7361" s="185"/>
      <c r="B7361" s="59" t="s">
        <v>21607</v>
      </c>
      <c r="C7361" s="147" t="s">
        <v>23393</v>
      </c>
      <c r="D7361" s="284" t="s">
        <v>897</v>
      </c>
      <c r="E7361" s="178">
        <v>2014</v>
      </c>
      <c r="F7361" s="178" t="s">
        <v>11931</v>
      </c>
      <c r="G7361" s="496"/>
      <c r="H7361" s="994" t="s">
        <v>20221</v>
      </c>
      <c r="I7361" s="11" t="s">
        <v>10048</v>
      </c>
      <c r="J7361" s="1285"/>
      <c r="K7361" s="1285"/>
      <c r="L7361" s="1285"/>
    </row>
    <row r="7362" spans="1:12" ht="11.15" customHeight="1">
      <c r="A7362" s="185"/>
      <c r="B7362" s="59" t="s">
        <v>21608</v>
      </c>
      <c r="C7362" s="147" t="s">
        <v>20221</v>
      </c>
      <c r="D7362" s="284" t="s">
        <v>897</v>
      </c>
      <c r="E7362" s="178">
        <v>2019</v>
      </c>
      <c r="F7362" s="178" t="s">
        <v>5257</v>
      </c>
      <c r="G7362" s="496"/>
      <c r="H7362" s="994" t="s">
        <v>20221</v>
      </c>
      <c r="I7362" s="11" t="s">
        <v>10049</v>
      </c>
      <c r="J7362" s="1285"/>
      <c r="K7362" s="1285"/>
      <c r="L7362" s="1285"/>
    </row>
    <row r="7363" spans="1:12" ht="11.15" customHeight="1">
      <c r="A7363" s="185"/>
      <c r="B7363" s="59" t="s">
        <v>21608</v>
      </c>
      <c r="C7363" s="147" t="s">
        <v>20221</v>
      </c>
      <c r="D7363" s="284" t="s">
        <v>897</v>
      </c>
      <c r="E7363" s="178">
        <v>2018</v>
      </c>
      <c r="F7363" s="178" t="s">
        <v>5257</v>
      </c>
      <c r="G7363" s="496"/>
      <c r="H7363" s="994" t="s">
        <v>20221</v>
      </c>
      <c r="I7363" s="11" t="s">
        <v>10050</v>
      </c>
      <c r="J7363" s="1285"/>
      <c r="K7363" s="1285"/>
      <c r="L7363" s="1285"/>
    </row>
    <row r="7364" spans="1:12" ht="11.15" customHeight="1">
      <c r="A7364" s="185"/>
      <c r="B7364" s="59" t="s">
        <v>21608</v>
      </c>
      <c r="C7364" s="147" t="s">
        <v>23393</v>
      </c>
      <c r="D7364" s="284" t="s">
        <v>897</v>
      </c>
      <c r="E7364" s="178">
        <v>2017</v>
      </c>
      <c r="F7364" s="178" t="s">
        <v>5257</v>
      </c>
      <c r="G7364" s="496"/>
      <c r="H7364" s="994" t="s">
        <v>20221</v>
      </c>
      <c r="I7364" s="11" t="s">
        <v>10051</v>
      </c>
      <c r="J7364" s="1285"/>
      <c r="K7364" s="1285"/>
      <c r="L7364" s="1285"/>
    </row>
    <row r="7365" spans="1:12" ht="11.15" customHeight="1">
      <c r="A7365" s="185"/>
      <c r="B7365" s="59" t="s">
        <v>21609</v>
      </c>
      <c r="C7365" s="147" t="s">
        <v>23393</v>
      </c>
      <c r="D7365" s="284" t="s">
        <v>897</v>
      </c>
      <c r="E7365" s="178">
        <v>2017</v>
      </c>
      <c r="F7365" s="178" t="s">
        <v>5257</v>
      </c>
      <c r="G7365" s="496"/>
      <c r="H7365" s="994" t="s">
        <v>20221</v>
      </c>
      <c r="I7365" s="11" t="s">
        <v>10052</v>
      </c>
      <c r="J7365" s="1285"/>
      <c r="K7365" s="1285"/>
      <c r="L7365" s="1285"/>
    </row>
    <row r="7366" spans="1:12" ht="11.15" customHeight="1">
      <c r="A7366" s="185"/>
      <c r="B7366" s="59" t="s">
        <v>21610</v>
      </c>
      <c r="C7366" s="147" t="s">
        <v>20221</v>
      </c>
      <c r="D7366" s="284" t="s">
        <v>897</v>
      </c>
      <c r="E7366" s="178">
        <v>2012</v>
      </c>
      <c r="F7366" s="178" t="s">
        <v>11931</v>
      </c>
      <c r="G7366" s="496"/>
      <c r="H7366" s="994" t="s">
        <v>20224</v>
      </c>
      <c r="I7366" s="11" t="s">
        <v>10053</v>
      </c>
      <c r="J7366" s="1285"/>
      <c r="K7366" s="1285"/>
      <c r="L7366" s="1285"/>
    </row>
    <row r="7367" spans="1:12" ht="11.15" customHeight="1">
      <c r="A7367" s="185"/>
      <c r="B7367" s="59" t="s">
        <v>21611</v>
      </c>
      <c r="C7367" s="147" t="s">
        <v>20221</v>
      </c>
      <c r="D7367" s="284" t="s">
        <v>897</v>
      </c>
      <c r="E7367" s="178">
        <v>2014</v>
      </c>
      <c r="F7367" s="178" t="s">
        <v>11931</v>
      </c>
      <c r="G7367" s="496"/>
      <c r="H7367" s="994" t="s">
        <v>20224</v>
      </c>
      <c r="I7367" s="11" t="s">
        <v>10054</v>
      </c>
      <c r="J7367" s="1285"/>
      <c r="K7367" s="1285"/>
      <c r="L7367" s="1285"/>
    </row>
    <row r="7368" spans="1:12" ht="11.15" customHeight="1">
      <c r="A7368" s="185"/>
      <c r="B7368" s="90"/>
      <c r="C7368" s="147"/>
      <c r="D7368" s="161"/>
      <c r="E7368" s="34"/>
      <c r="F7368" s="183"/>
      <c r="G7368" s="496"/>
      <c r="H7368" s="34"/>
      <c r="I7368" s="11"/>
    </row>
    <row r="7369" spans="1:12" ht="11.15" customHeight="1" thickBot="1">
      <c r="A7369" s="577"/>
      <c r="B7369" s="1358" t="s">
        <v>10055</v>
      </c>
      <c r="C7369" s="321"/>
      <c r="D7369" s="320"/>
      <c r="E7369" s="322"/>
      <c r="F7369" s="347"/>
      <c r="G7369" s="1204"/>
      <c r="H7369" s="326"/>
      <c r="I7369" s="11"/>
    </row>
    <row r="7370" spans="1:12" ht="11.15" customHeight="1">
      <c r="A7370" s="323" t="s">
        <v>10056</v>
      </c>
      <c r="B7370" s="324" t="s">
        <v>21613</v>
      </c>
      <c r="C7370" s="321" t="s">
        <v>20221</v>
      </c>
      <c r="D7370" s="1295" t="s">
        <v>897</v>
      </c>
      <c r="E7370" s="578">
        <v>2002</v>
      </c>
      <c r="F7370" s="578" t="s">
        <v>23395</v>
      </c>
      <c r="G7370" s="1204"/>
      <c r="H7370" s="1296" t="s">
        <v>20277</v>
      </c>
      <c r="I7370" s="11" t="s">
        <v>10057</v>
      </c>
      <c r="J7370" s="1285"/>
      <c r="K7370" s="1285"/>
      <c r="L7370" s="1285"/>
    </row>
    <row r="7371" spans="1:12" ht="11.15" customHeight="1" thickBot="1">
      <c r="A7371" s="327" t="s">
        <v>10058</v>
      </c>
      <c r="B7371" s="324"/>
      <c r="C7371" s="321"/>
      <c r="D7371" s="325"/>
      <c r="E7371" s="326"/>
      <c r="F7371" s="578"/>
      <c r="G7371" s="1204"/>
      <c r="H7371" s="322"/>
      <c r="I7371" s="11"/>
    </row>
    <row r="7372" spans="1:12" ht="11.15" customHeight="1">
      <c r="A7372" s="319" t="s">
        <v>10059</v>
      </c>
      <c r="B7372" s="324"/>
      <c r="C7372" s="321"/>
      <c r="D7372" s="325"/>
      <c r="E7372" s="326"/>
      <c r="F7372" s="578"/>
      <c r="G7372" s="1204"/>
      <c r="H7372" s="322"/>
      <c r="I7372" s="11"/>
    </row>
    <row r="7373" spans="1:12" ht="11.15" customHeight="1">
      <c r="A7373" s="319" t="s">
        <v>10060</v>
      </c>
      <c r="B7373" s="324"/>
      <c r="C7373" s="321"/>
      <c r="D7373" s="325"/>
      <c r="E7373" s="326"/>
      <c r="F7373" s="578"/>
      <c r="G7373" s="1204"/>
      <c r="H7373" s="322"/>
      <c r="I7373" s="11"/>
    </row>
    <row r="7374" spans="1:12" ht="11.15" customHeight="1">
      <c r="A7374" s="319" t="s">
        <v>10061</v>
      </c>
      <c r="B7374" s="329"/>
      <c r="C7374" s="321"/>
      <c r="D7374" s="329"/>
      <c r="E7374" s="329"/>
      <c r="F7374" s="329"/>
      <c r="G7374" s="329"/>
      <c r="H7374" s="329"/>
      <c r="I7374" s="11"/>
    </row>
    <row r="7375" spans="1:12" ht="11.15" customHeight="1">
      <c r="A7375" s="319" t="s">
        <v>1527</v>
      </c>
      <c r="B7375" s="324"/>
      <c r="C7375" s="321"/>
      <c r="D7375" s="325"/>
      <c r="E7375" s="326"/>
      <c r="F7375" s="578"/>
      <c r="G7375" s="1204"/>
      <c r="H7375" s="322"/>
      <c r="I7375" s="11"/>
    </row>
    <row r="7376" spans="1:12" ht="11.15" customHeight="1">
      <c r="A7376" s="332" t="s">
        <v>10062</v>
      </c>
      <c r="B7376" s="329"/>
      <c r="C7376" s="321"/>
      <c r="D7376" s="329"/>
      <c r="E7376" s="329"/>
      <c r="F7376" s="329"/>
      <c r="G7376" s="329"/>
      <c r="H7376" s="329"/>
      <c r="I7376" s="11"/>
    </row>
    <row r="7377" spans="1:12" ht="11.15" customHeight="1">
      <c r="A7377" s="548" t="s">
        <v>10063</v>
      </c>
      <c r="B7377" s="329"/>
      <c r="C7377" s="321"/>
      <c r="D7377" s="330"/>
      <c r="E7377" s="329"/>
      <c r="F7377" s="329"/>
      <c r="G7377" s="329"/>
      <c r="H7377" s="329"/>
      <c r="I7377" s="11"/>
    </row>
    <row r="7378" spans="1:12" ht="9" customHeight="1">
      <c r="A7378" s="29"/>
      <c r="B7378" s="150" t="s">
        <v>10064</v>
      </c>
      <c r="C7378" s="147"/>
      <c r="D7378" s="122"/>
      <c r="E7378" s="36"/>
      <c r="F7378" s="183"/>
      <c r="G7378" s="1217"/>
      <c r="H7378" s="34"/>
      <c r="I7378" s="11"/>
    </row>
    <row r="7379" spans="1:12" ht="9" customHeight="1">
      <c r="A7379" s="29"/>
      <c r="B7379" s="150" t="s">
        <v>10065</v>
      </c>
      <c r="C7379" s="147"/>
      <c r="D7379" s="122"/>
      <c r="E7379" s="36"/>
      <c r="F7379" s="183"/>
      <c r="G7379" s="1217"/>
      <c r="H7379" s="34"/>
      <c r="I7379" s="11"/>
    </row>
    <row r="7380" spans="1:12" ht="9" customHeight="1" thickBot="1">
      <c r="A7380" s="29"/>
      <c r="B7380" s="150" t="s">
        <v>10066</v>
      </c>
      <c r="C7380" s="147"/>
      <c r="D7380" s="122"/>
      <c r="E7380" s="36"/>
      <c r="F7380" s="183"/>
      <c r="G7380" s="1217"/>
      <c r="H7380" s="34"/>
      <c r="I7380" s="11"/>
    </row>
    <row r="7381" spans="1:12" ht="11.15" customHeight="1">
      <c r="A7381" s="581" t="s">
        <v>10067</v>
      </c>
      <c r="B7381" s="59" t="s">
        <v>21614</v>
      </c>
      <c r="C7381" s="147" t="s">
        <v>20221</v>
      </c>
      <c r="D7381" s="701" t="s">
        <v>1129</v>
      </c>
      <c r="E7381" s="178">
        <v>2020</v>
      </c>
      <c r="F7381" s="178" t="s">
        <v>4520</v>
      </c>
      <c r="G7381" s="496"/>
      <c r="H7381" s="994" t="s">
        <v>20221</v>
      </c>
      <c r="I7381" s="11" t="s">
        <v>10068</v>
      </c>
      <c r="J7381" s="1285"/>
      <c r="K7381" s="1285"/>
      <c r="L7381" s="1285"/>
    </row>
    <row r="7382" spans="1:12" ht="11.15" customHeight="1" thickBot="1">
      <c r="A7382" s="187" t="s">
        <v>10069</v>
      </c>
      <c r="B7382" s="59" t="s">
        <v>21615</v>
      </c>
      <c r="C7382" s="147" t="s">
        <v>20221</v>
      </c>
      <c r="D7382" s="1035" t="s">
        <v>1370</v>
      </c>
      <c r="E7382" s="178">
        <v>2022</v>
      </c>
      <c r="F7382" s="178" t="s">
        <v>23395</v>
      </c>
      <c r="G7382" s="496"/>
      <c r="H7382" s="994" t="s">
        <v>20221</v>
      </c>
      <c r="I7382" s="11" t="s">
        <v>10070</v>
      </c>
      <c r="J7382" s="1285"/>
      <c r="K7382" s="1285"/>
      <c r="L7382" s="1285"/>
    </row>
    <row r="7383" spans="1:12" ht="11.15" customHeight="1">
      <c r="A7383" s="29" t="s">
        <v>10071</v>
      </c>
      <c r="B7383" s="59" t="s">
        <v>21616</v>
      </c>
      <c r="C7383" s="147" t="s">
        <v>20221</v>
      </c>
      <c r="D7383" s="1034" t="s">
        <v>2573</v>
      </c>
      <c r="E7383" s="178">
        <v>2021</v>
      </c>
      <c r="F7383" s="178" t="s">
        <v>4520</v>
      </c>
      <c r="G7383" s="496"/>
      <c r="H7383" s="994" t="s">
        <v>20221</v>
      </c>
      <c r="I7383" s="11" t="s">
        <v>10072</v>
      </c>
      <c r="J7383" s="1285"/>
      <c r="K7383" s="1285"/>
      <c r="L7383" s="1285"/>
    </row>
    <row r="7384" spans="1:12" ht="11.15" customHeight="1">
      <c r="A7384" s="29" t="s">
        <v>10073</v>
      </c>
      <c r="B7384" s="59" t="s">
        <v>21617</v>
      </c>
      <c r="C7384" s="147" t="s">
        <v>20221</v>
      </c>
      <c r="D7384" s="284" t="s">
        <v>897</v>
      </c>
      <c r="E7384" s="178">
        <v>2020</v>
      </c>
      <c r="F7384" s="178" t="s">
        <v>23395</v>
      </c>
      <c r="G7384" s="496"/>
      <c r="H7384" s="994" t="s">
        <v>20221</v>
      </c>
      <c r="I7384" s="11" t="s">
        <v>10074</v>
      </c>
      <c r="J7384" s="1285"/>
      <c r="K7384" s="1285"/>
      <c r="L7384" s="1285"/>
    </row>
    <row r="7385" spans="1:12" ht="11.15" customHeight="1">
      <c r="A7385" s="29" t="s">
        <v>10075</v>
      </c>
      <c r="B7385" s="90"/>
      <c r="C7385" s="147"/>
      <c r="D7385" s="161"/>
      <c r="E7385" s="36"/>
      <c r="F7385" s="178"/>
      <c r="G7385" s="496"/>
      <c r="H7385" s="36"/>
      <c r="I7385" s="11"/>
    </row>
    <row r="7386" spans="1:12" ht="11.15" customHeight="1">
      <c r="A7386" s="181" t="s">
        <v>1595</v>
      </c>
      <c r="B7386" s="90"/>
      <c r="C7386" s="147"/>
      <c r="D7386" s="161"/>
      <c r="E7386" s="36"/>
      <c r="F7386" s="178"/>
      <c r="G7386" s="496"/>
      <c r="H7386" s="36"/>
      <c r="I7386" s="11"/>
    </row>
    <row r="7387" spans="1:12" ht="11.15" customHeight="1">
      <c r="A7387" s="29" t="s">
        <v>10076</v>
      </c>
      <c r="B7387" s="90"/>
      <c r="C7387" s="147"/>
      <c r="D7387" s="161"/>
      <c r="E7387" s="36"/>
      <c r="F7387" s="178"/>
      <c r="G7387" s="496"/>
      <c r="H7387" s="36"/>
      <c r="I7387" s="11"/>
    </row>
    <row r="7388" spans="1:12" ht="11.15" customHeight="1">
      <c r="A7388" s="29" t="s">
        <v>10077</v>
      </c>
      <c r="B7388" s="185"/>
      <c r="C7388" s="147"/>
      <c r="D7388" s="129"/>
      <c r="E7388" s="185"/>
      <c r="F7388" s="185"/>
      <c r="G7388" s="185"/>
      <c r="H7388" s="185"/>
      <c r="I7388" s="11"/>
    </row>
    <row r="7389" spans="1:12" ht="9" customHeight="1">
      <c r="A7389" s="285" t="s">
        <v>10078</v>
      </c>
      <c r="B7389" s="90"/>
      <c r="C7389" s="147"/>
      <c r="D7389" s="161"/>
      <c r="E7389" s="36"/>
      <c r="F7389" s="178"/>
      <c r="G7389" s="496"/>
      <c r="H7389" s="36"/>
      <c r="I7389" s="11"/>
    </row>
    <row r="7390" spans="1:12" ht="9" customHeight="1">
      <c r="A7390" s="355" t="s">
        <v>10079</v>
      </c>
      <c r="B7390" s="90"/>
      <c r="C7390" s="147"/>
      <c r="D7390" s="161"/>
      <c r="E7390" s="36"/>
      <c r="F7390" s="178"/>
      <c r="G7390" s="496"/>
      <c r="H7390" s="36"/>
      <c r="I7390" s="11"/>
    </row>
    <row r="7391" spans="1:12" ht="9" customHeight="1">
      <c r="A7391" s="162" t="s">
        <v>10080</v>
      </c>
      <c r="B7391" s="90"/>
      <c r="C7391" s="147"/>
      <c r="D7391" s="161"/>
      <c r="E7391" s="36"/>
      <c r="F7391" s="178"/>
      <c r="G7391" s="496"/>
      <c r="H7391" s="36"/>
      <c r="I7391" s="11"/>
    </row>
    <row r="7392" spans="1:12" ht="9" customHeight="1">
      <c r="A7392" s="162" t="s">
        <v>10081</v>
      </c>
      <c r="B7392" s="90"/>
      <c r="C7392" s="147"/>
      <c r="D7392" s="161"/>
      <c r="E7392" s="36"/>
      <c r="F7392" s="178"/>
      <c r="G7392" s="496"/>
      <c r="H7392" s="36"/>
      <c r="I7392" s="11"/>
    </row>
    <row r="7393" spans="1:12" ht="9" customHeight="1">
      <c r="A7393" s="355" t="s">
        <v>10082</v>
      </c>
      <c r="B7393" s="90"/>
      <c r="C7393" s="147"/>
      <c r="D7393" s="161"/>
      <c r="E7393" s="36"/>
      <c r="F7393" s="178"/>
      <c r="G7393" s="496"/>
      <c r="H7393" s="36"/>
      <c r="I7393" s="11"/>
    </row>
    <row r="7394" spans="1:12" ht="9" customHeight="1">
      <c r="A7394" s="162" t="s">
        <v>10083</v>
      </c>
      <c r="B7394" s="90"/>
      <c r="C7394" s="147"/>
      <c r="D7394" s="161"/>
      <c r="E7394" s="36"/>
      <c r="F7394" s="178"/>
      <c r="G7394" s="496"/>
      <c r="H7394" s="36"/>
      <c r="I7394" s="11"/>
    </row>
    <row r="7395" spans="1:12" ht="9" customHeight="1">
      <c r="A7395" s="162" t="s">
        <v>10084</v>
      </c>
      <c r="B7395" s="90"/>
      <c r="C7395" s="147"/>
      <c r="D7395" s="161"/>
      <c r="E7395" s="36"/>
      <c r="F7395" s="178"/>
      <c r="G7395" s="496"/>
      <c r="H7395" s="36"/>
      <c r="I7395" s="11"/>
    </row>
    <row r="7396" spans="1:12" ht="9" customHeight="1">
      <c r="A7396" s="162" t="s">
        <v>10085</v>
      </c>
      <c r="B7396" s="185"/>
      <c r="C7396" s="147"/>
      <c r="D7396" s="129"/>
      <c r="E7396" s="185"/>
      <c r="F7396" s="185"/>
      <c r="G7396" s="185"/>
      <c r="H7396" s="185"/>
      <c r="I7396" s="11"/>
    </row>
    <row r="7397" spans="1:12" ht="9" customHeight="1">
      <c r="A7397" s="162" t="s">
        <v>10086</v>
      </c>
      <c r="B7397" s="90"/>
      <c r="C7397" s="147"/>
      <c r="D7397" s="161"/>
      <c r="E7397" s="36"/>
      <c r="F7397" s="178"/>
      <c r="G7397" s="496"/>
      <c r="H7397" s="36"/>
      <c r="I7397" s="11"/>
    </row>
    <row r="7398" spans="1:12" ht="9" customHeight="1">
      <c r="A7398" s="162" t="s">
        <v>10087</v>
      </c>
      <c r="B7398" s="90"/>
      <c r="C7398" s="147"/>
      <c r="D7398" s="161"/>
      <c r="E7398" s="36"/>
      <c r="F7398" s="178"/>
      <c r="G7398" s="496"/>
      <c r="H7398" s="36"/>
      <c r="I7398" s="11"/>
    </row>
    <row r="7399" spans="1:12" ht="9" customHeight="1">
      <c r="A7399" s="162" t="s">
        <v>10088</v>
      </c>
      <c r="B7399" s="90"/>
      <c r="C7399" s="147"/>
      <c r="D7399" s="161"/>
      <c r="E7399" s="36"/>
      <c r="F7399" s="178"/>
      <c r="G7399" s="496"/>
      <c r="H7399" s="36"/>
      <c r="I7399" s="11"/>
    </row>
    <row r="7400" spans="1:12" ht="9" customHeight="1">
      <c r="A7400" s="162" t="s">
        <v>10089</v>
      </c>
      <c r="B7400" s="185"/>
      <c r="C7400" s="147"/>
      <c r="D7400" s="129"/>
      <c r="E7400" s="185"/>
      <c r="F7400" s="185"/>
      <c r="G7400" s="185"/>
      <c r="H7400" s="185"/>
      <c r="I7400" s="11"/>
    </row>
    <row r="7401" spans="1:12" ht="9" customHeight="1">
      <c r="A7401" s="162" t="s">
        <v>10090</v>
      </c>
      <c r="B7401" s="185"/>
      <c r="C7401" s="147"/>
      <c r="D7401" s="129"/>
      <c r="E7401" s="185"/>
      <c r="F7401" s="185"/>
      <c r="G7401" s="185"/>
      <c r="H7401" s="185"/>
      <c r="I7401" s="11"/>
    </row>
    <row r="7402" spans="1:12" ht="11.15" customHeight="1">
      <c r="A7402" s="162" t="s">
        <v>10091</v>
      </c>
      <c r="B7402" s="185"/>
      <c r="C7402" s="147"/>
      <c r="D7402" s="129"/>
      <c r="E7402" s="185"/>
      <c r="F7402" s="185"/>
      <c r="G7402" s="185"/>
      <c r="H7402" s="185"/>
      <c r="I7402" s="11"/>
    </row>
    <row r="7403" spans="1:12" ht="11.15" customHeight="1">
      <c r="A7403" s="169" t="s">
        <v>10092</v>
      </c>
      <c r="B7403" s="185"/>
      <c r="C7403" s="147"/>
      <c r="D7403" s="129"/>
      <c r="E7403" s="185"/>
      <c r="F7403" s="185"/>
      <c r="G7403" s="185"/>
      <c r="H7403" s="185"/>
      <c r="I7403" s="11"/>
    </row>
    <row r="7404" spans="1:12" ht="11.15" customHeight="1">
      <c r="A7404" s="98" t="s">
        <v>10093</v>
      </c>
      <c r="B7404" s="90"/>
      <c r="C7404" s="147"/>
      <c r="D7404" s="122"/>
      <c r="E7404" s="36"/>
      <c r="F7404" s="183"/>
      <c r="G7404" s="1217"/>
      <c r="H7404" s="34"/>
      <c r="I7404" s="11"/>
    </row>
    <row r="7405" spans="1:12" ht="11.15" customHeight="1">
      <c r="A7405" s="481" t="s">
        <v>10094</v>
      </c>
      <c r="B7405" s="90"/>
      <c r="C7405" s="147"/>
      <c r="D7405" s="122"/>
      <c r="E7405" s="36"/>
      <c r="F7405" s="183"/>
      <c r="G7405" s="1217"/>
      <c r="H7405" s="34"/>
      <c r="I7405" s="11"/>
    </row>
    <row r="7406" spans="1:12" ht="11.15" customHeight="1" thickBot="1">
      <c r="A7406" s="484"/>
      <c r="B7406" s="90"/>
      <c r="C7406" s="147"/>
      <c r="D7406" s="122"/>
      <c r="E7406" s="36"/>
      <c r="F7406" s="183"/>
      <c r="G7406" s="1217"/>
      <c r="H7406" s="34"/>
      <c r="I7406" s="11"/>
    </row>
    <row r="7407" spans="1:12" ht="11.15" customHeight="1">
      <c r="A7407" s="281" t="s">
        <v>10095</v>
      </c>
      <c r="B7407" s="59" t="s">
        <v>21619</v>
      </c>
      <c r="C7407" s="147" t="s">
        <v>20221</v>
      </c>
      <c r="D7407" s="284" t="s">
        <v>897</v>
      </c>
      <c r="E7407" s="178">
        <v>2019</v>
      </c>
      <c r="F7407" s="178" t="s">
        <v>4520</v>
      </c>
      <c r="G7407" s="496"/>
      <c r="H7407" s="994" t="s">
        <v>20224</v>
      </c>
      <c r="I7407" s="11" t="s">
        <v>10096</v>
      </c>
      <c r="J7407" s="1285"/>
      <c r="K7407" s="1285"/>
      <c r="L7407" s="1285"/>
    </row>
    <row r="7408" spans="1:12" ht="11.15" customHeight="1" thickBot="1">
      <c r="A7408" s="230" t="s">
        <v>10097</v>
      </c>
      <c r="B7408" s="59" t="s">
        <v>21620</v>
      </c>
      <c r="C7408" s="147" t="s">
        <v>20221</v>
      </c>
      <c r="D7408" s="284" t="s">
        <v>897</v>
      </c>
      <c r="E7408" s="178">
        <v>2018</v>
      </c>
      <c r="F7408" s="178" t="s">
        <v>11931</v>
      </c>
      <c r="G7408" s="496"/>
      <c r="H7408" s="994" t="s">
        <v>20221</v>
      </c>
      <c r="I7408" s="11" t="s">
        <v>10098</v>
      </c>
      <c r="J7408" s="1285"/>
      <c r="K7408" s="1285"/>
      <c r="L7408" s="1285"/>
    </row>
    <row r="7409" spans="1:12" ht="11.15" customHeight="1">
      <c r="A7409" s="29" t="s">
        <v>10099</v>
      </c>
      <c r="B7409" s="185"/>
      <c r="C7409" s="147"/>
      <c r="D7409" s="185"/>
      <c r="E7409" s="185"/>
      <c r="F7409" s="185"/>
      <c r="G7409" s="185"/>
      <c r="H7409" s="185"/>
      <c r="I7409" s="11"/>
    </row>
    <row r="7410" spans="1:12" ht="11.15" customHeight="1">
      <c r="A7410" s="29" t="s">
        <v>10100</v>
      </c>
      <c r="B7410" s="185"/>
      <c r="C7410" s="147"/>
      <c r="D7410" s="129"/>
      <c r="E7410" s="185"/>
      <c r="F7410" s="185"/>
      <c r="G7410" s="185"/>
      <c r="H7410" s="185"/>
      <c r="I7410" s="11"/>
    </row>
    <row r="7411" spans="1:12" ht="11.15" customHeight="1">
      <c r="A7411" s="29" t="s">
        <v>10101</v>
      </c>
      <c r="B7411" s="185"/>
      <c r="C7411" s="147"/>
      <c r="D7411" s="129"/>
      <c r="E7411" s="185"/>
      <c r="F7411" s="185"/>
      <c r="G7411" s="185"/>
      <c r="H7411" s="185"/>
      <c r="I7411" s="11"/>
    </row>
    <row r="7412" spans="1:12" ht="11.15" customHeight="1">
      <c r="A7412" s="29" t="s">
        <v>10102</v>
      </c>
      <c r="B7412" s="185"/>
      <c r="C7412" s="147"/>
      <c r="D7412" s="129"/>
      <c r="E7412" s="185"/>
      <c r="F7412" s="185"/>
      <c r="G7412" s="185"/>
      <c r="H7412" s="185"/>
      <c r="I7412" s="11"/>
    </row>
    <row r="7413" spans="1:12" ht="11.15" customHeight="1">
      <c r="A7413" s="181" t="s">
        <v>1595</v>
      </c>
      <c r="B7413" s="90"/>
      <c r="C7413" s="147"/>
      <c r="D7413" s="161"/>
      <c r="E7413" s="36"/>
      <c r="F7413" s="178"/>
      <c r="G7413" s="496"/>
      <c r="H7413" s="36"/>
      <c r="I7413" s="11"/>
    </row>
    <row r="7414" spans="1:12" ht="11.15" customHeight="1">
      <c r="A7414" s="166" t="s">
        <v>10103</v>
      </c>
      <c r="B7414" s="226"/>
      <c r="C7414" s="147"/>
      <c r="D7414" s="161"/>
      <c r="E7414" s="36"/>
      <c r="F7414" s="185"/>
      <c r="G7414" s="496"/>
      <c r="H7414" s="185"/>
      <c r="I7414" s="11"/>
    </row>
    <row r="7415" spans="1:12" ht="11.15" customHeight="1">
      <c r="A7415" s="166" t="s">
        <v>10104</v>
      </c>
      <c r="B7415" s="582"/>
      <c r="C7415" s="147"/>
      <c r="D7415" s="161"/>
      <c r="E7415" s="36"/>
      <c r="F7415" s="178"/>
      <c r="G7415" s="496"/>
      <c r="H7415" s="36"/>
      <c r="I7415" s="11"/>
    </row>
    <row r="7416" spans="1:12" ht="11.15" customHeight="1">
      <c r="A7416" s="357" t="s">
        <v>5463</v>
      </c>
      <c r="B7416" s="29"/>
      <c r="C7416" s="147"/>
      <c r="D7416" s="129"/>
      <c r="E7416" s="29"/>
      <c r="F7416" s="29"/>
      <c r="G7416" s="29"/>
      <c r="H7416" s="29"/>
      <c r="I7416" s="11"/>
    </row>
    <row r="7417" spans="1:12" ht="11.15" customHeight="1">
      <c r="A7417" s="481" t="s">
        <v>10105</v>
      </c>
      <c r="B7417" s="29"/>
      <c r="C7417" s="147"/>
      <c r="D7417" s="129"/>
      <c r="E7417" s="29"/>
      <c r="F7417" s="29"/>
      <c r="G7417" s="29"/>
      <c r="H7417" s="29"/>
      <c r="I7417" s="11"/>
    </row>
    <row r="7418" spans="1:12" ht="11.15" customHeight="1" thickBot="1">
      <c r="A7418" s="185"/>
      <c r="B7418" s="582"/>
      <c r="C7418" s="147"/>
      <c r="D7418" s="161"/>
      <c r="E7418" s="36"/>
      <c r="F7418" s="178"/>
      <c r="G7418" s="496"/>
      <c r="H7418" s="36"/>
      <c r="I7418" s="11"/>
    </row>
    <row r="7419" spans="1:12" ht="11.15" customHeight="1">
      <c r="A7419" s="153" t="s">
        <v>10106</v>
      </c>
      <c r="B7419" s="59" t="s">
        <v>21621</v>
      </c>
      <c r="C7419" s="147" t="s">
        <v>20221</v>
      </c>
      <c r="D7419" s="284" t="s">
        <v>897</v>
      </c>
      <c r="E7419" s="178">
        <v>2016</v>
      </c>
      <c r="F7419" s="178" t="s">
        <v>4520</v>
      </c>
      <c r="G7419" s="496"/>
      <c r="H7419" s="994" t="s">
        <v>20277</v>
      </c>
      <c r="I7419" s="11" t="s">
        <v>10107</v>
      </c>
      <c r="J7419" s="1285"/>
      <c r="K7419" s="1285"/>
      <c r="L7419" s="1285"/>
    </row>
    <row r="7420" spans="1:12" ht="11.15" customHeight="1" thickBot="1">
      <c r="A7420" s="230" t="s">
        <v>10108</v>
      </c>
      <c r="B7420" s="90"/>
      <c r="C7420" s="147"/>
      <c r="D7420" s="161"/>
      <c r="E7420" s="36"/>
      <c r="F7420" s="178"/>
      <c r="G7420" s="496"/>
      <c r="H7420" s="36"/>
      <c r="I7420" s="11"/>
    </row>
    <row r="7421" spans="1:12" ht="11.15" customHeight="1">
      <c r="A7421" s="29" t="s">
        <v>10109</v>
      </c>
      <c r="B7421" s="90"/>
      <c r="C7421" s="147"/>
      <c r="D7421" s="161"/>
      <c r="E7421" s="36"/>
      <c r="F7421" s="178"/>
      <c r="G7421" s="496"/>
      <c r="H7421" s="36"/>
      <c r="I7421" s="11"/>
    </row>
    <row r="7422" spans="1:12" ht="11.15" customHeight="1">
      <c r="A7422" s="29" t="s">
        <v>10110</v>
      </c>
      <c r="B7422" s="90"/>
      <c r="C7422" s="147"/>
      <c r="D7422" s="161"/>
      <c r="E7422" s="36"/>
      <c r="F7422" s="178"/>
      <c r="G7422" s="496"/>
      <c r="H7422" s="36"/>
      <c r="I7422" s="11"/>
    </row>
    <row r="7423" spans="1:12" ht="11.15" customHeight="1">
      <c r="A7423" s="29" t="s">
        <v>10111</v>
      </c>
      <c r="B7423" s="90"/>
      <c r="C7423" s="147"/>
      <c r="D7423" s="161"/>
      <c r="E7423" s="36"/>
      <c r="F7423" s="178"/>
      <c r="G7423" s="496"/>
      <c r="H7423" s="36"/>
      <c r="I7423" s="11"/>
    </row>
    <row r="7424" spans="1:12" ht="11.15" customHeight="1">
      <c r="A7424" s="166" t="s">
        <v>10103</v>
      </c>
      <c r="B7424" s="90"/>
      <c r="C7424" s="147"/>
      <c r="D7424" s="161"/>
      <c r="E7424" s="36"/>
      <c r="F7424" s="178"/>
      <c r="G7424" s="496"/>
      <c r="H7424" s="36"/>
      <c r="I7424" s="11"/>
    </row>
    <row r="7425" spans="1:12" ht="11.15" customHeight="1">
      <c r="A7425" s="357" t="s">
        <v>5463</v>
      </c>
      <c r="B7425" s="582"/>
      <c r="C7425" s="147"/>
      <c r="D7425" s="161"/>
      <c r="E7425" s="36"/>
      <c r="F7425" s="178"/>
      <c r="G7425" s="496"/>
      <c r="H7425" s="36"/>
      <c r="I7425" s="11"/>
    </row>
    <row r="7426" spans="1:12" ht="11.15" customHeight="1">
      <c r="A7426" s="481" t="s">
        <v>10112</v>
      </c>
      <c r="B7426" s="29"/>
      <c r="C7426" s="147"/>
      <c r="D7426" s="129"/>
      <c r="E7426" s="29"/>
      <c r="F7426" s="29"/>
      <c r="G7426" s="29"/>
      <c r="H7426" s="29"/>
      <c r="I7426" s="11"/>
    </row>
    <row r="7427" spans="1:12" ht="11.15" customHeight="1" thickBot="1">
      <c r="A7427" s="271"/>
      <c r="B7427" s="90"/>
      <c r="C7427" s="147"/>
      <c r="D7427" s="161"/>
      <c r="E7427" s="36"/>
      <c r="F7427" s="178"/>
      <c r="G7427" s="496"/>
      <c r="H7427" s="36"/>
      <c r="I7427" s="11"/>
    </row>
    <row r="7428" spans="1:12" ht="11.15" customHeight="1">
      <c r="A7428" s="153" t="s">
        <v>10113</v>
      </c>
      <c r="B7428" s="59" t="s">
        <v>21560</v>
      </c>
      <c r="C7428" s="147" t="s">
        <v>20221</v>
      </c>
      <c r="D7428" s="284" t="s">
        <v>897</v>
      </c>
      <c r="E7428" s="178">
        <v>2019</v>
      </c>
      <c r="F7428" s="178" t="s">
        <v>4520</v>
      </c>
      <c r="G7428" s="496"/>
      <c r="H7428" s="994" t="s">
        <v>20221</v>
      </c>
      <c r="I7428" s="11" t="s">
        <v>10114</v>
      </c>
      <c r="J7428" s="1285"/>
      <c r="K7428" s="1285"/>
      <c r="L7428" s="1285"/>
    </row>
    <row r="7429" spans="1:12" ht="11.15" customHeight="1" thickBot="1">
      <c r="A7429" s="230" t="s">
        <v>10108</v>
      </c>
      <c r="B7429" s="59" t="s">
        <v>21560</v>
      </c>
      <c r="C7429" s="147" t="s">
        <v>20221</v>
      </c>
      <c r="D7429" s="284" t="s">
        <v>897</v>
      </c>
      <c r="E7429" s="178">
        <v>2017</v>
      </c>
      <c r="F7429" s="178" t="s">
        <v>4520</v>
      </c>
      <c r="G7429" s="496"/>
      <c r="H7429" s="994" t="s">
        <v>20221</v>
      </c>
      <c r="I7429" s="11" t="s">
        <v>10115</v>
      </c>
      <c r="J7429" s="1285"/>
      <c r="K7429" s="1285"/>
      <c r="L7429" s="1285"/>
    </row>
    <row r="7430" spans="1:12" ht="11.15" customHeight="1">
      <c r="A7430" s="29" t="s">
        <v>10116</v>
      </c>
      <c r="B7430" s="59" t="s">
        <v>21560</v>
      </c>
      <c r="C7430" s="147" t="s">
        <v>20221</v>
      </c>
      <c r="D7430" s="284" t="s">
        <v>897</v>
      </c>
      <c r="E7430" s="178">
        <v>2016</v>
      </c>
      <c r="F7430" s="178" t="s">
        <v>4520</v>
      </c>
      <c r="G7430" s="496"/>
      <c r="H7430" s="994" t="s">
        <v>20224</v>
      </c>
      <c r="I7430" s="11" t="s">
        <v>10117</v>
      </c>
      <c r="J7430" s="1285"/>
      <c r="K7430" s="1285"/>
      <c r="L7430" s="1285"/>
    </row>
    <row r="7431" spans="1:12" ht="11.15" customHeight="1">
      <c r="A7431" s="29" t="s">
        <v>10118</v>
      </c>
      <c r="B7431" s="59" t="s">
        <v>21560</v>
      </c>
      <c r="C7431" s="147" t="s">
        <v>20221</v>
      </c>
      <c r="D7431" s="284" t="s">
        <v>897</v>
      </c>
      <c r="E7431" s="178">
        <v>2015</v>
      </c>
      <c r="F7431" s="178" t="s">
        <v>4520</v>
      </c>
      <c r="G7431" s="496"/>
      <c r="H7431" s="994" t="s">
        <v>20277</v>
      </c>
      <c r="I7431" s="11" t="s">
        <v>10119</v>
      </c>
      <c r="J7431" s="1285"/>
      <c r="K7431" s="1285"/>
      <c r="L7431" s="1285"/>
    </row>
    <row r="7432" spans="1:12" ht="11.15" customHeight="1">
      <c r="A7432" s="29" t="s">
        <v>10120</v>
      </c>
      <c r="B7432" s="59" t="s">
        <v>21622</v>
      </c>
      <c r="C7432" s="147" t="s">
        <v>20221</v>
      </c>
      <c r="D7432" s="284" t="s">
        <v>897</v>
      </c>
      <c r="E7432" s="178">
        <v>2018</v>
      </c>
      <c r="F7432" s="178" t="s">
        <v>5257</v>
      </c>
      <c r="G7432" s="496"/>
      <c r="H7432" s="994" t="s">
        <v>20221</v>
      </c>
      <c r="I7432" s="11" t="s">
        <v>10121</v>
      </c>
      <c r="J7432" s="1285"/>
      <c r="K7432" s="1285"/>
      <c r="L7432" s="1285"/>
    </row>
    <row r="7433" spans="1:12" ht="11.15" customHeight="1">
      <c r="A7433" s="29" t="s">
        <v>10122</v>
      </c>
      <c r="B7433" s="185"/>
      <c r="C7433" s="147"/>
      <c r="D7433" s="185"/>
      <c r="E7433" s="185"/>
      <c r="F7433" s="185"/>
      <c r="G7433" s="185"/>
      <c r="H7433" s="185"/>
      <c r="I7433" s="11"/>
    </row>
    <row r="7434" spans="1:12" ht="11.15" customHeight="1">
      <c r="A7434" s="166" t="s">
        <v>10103</v>
      </c>
      <c r="B7434" s="185"/>
      <c r="C7434" s="147"/>
      <c r="D7434" s="185"/>
      <c r="E7434" s="185"/>
      <c r="F7434" s="185"/>
      <c r="G7434" s="185"/>
      <c r="H7434" s="185"/>
      <c r="I7434" s="11"/>
    </row>
    <row r="7435" spans="1:12" ht="11.15" customHeight="1">
      <c r="A7435" s="357" t="s">
        <v>5463</v>
      </c>
      <c r="B7435" s="185"/>
      <c r="C7435" s="147"/>
      <c r="D7435" s="185"/>
      <c r="E7435" s="185"/>
      <c r="F7435" s="185"/>
      <c r="G7435" s="185"/>
      <c r="H7435" s="185"/>
      <c r="I7435" s="11"/>
    </row>
    <row r="7436" spans="1:12" ht="11.15" customHeight="1">
      <c r="A7436" s="481" t="s">
        <v>10123</v>
      </c>
      <c r="B7436" s="29"/>
      <c r="C7436" s="147"/>
      <c r="D7436" s="129"/>
      <c r="E7436" s="29"/>
      <c r="F7436" s="29"/>
      <c r="G7436" s="29"/>
      <c r="H7436" s="29"/>
      <c r="I7436" s="11"/>
    </row>
    <row r="7437" spans="1:12" ht="11.15" customHeight="1" thickBot="1">
      <c r="A7437" s="185"/>
      <c r="B7437" s="582"/>
      <c r="C7437" s="147"/>
      <c r="D7437" s="161"/>
      <c r="E7437" s="36"/>
      <c r="F7437" s="178"/>
      <c r="G7437" s="496"/>
      <c r="H7437" s="36"/>
      <c r="I7437" s="11"/>
    </row>
    <row r="7438" spans="1:12" ht="11.15" customHeight="1" thickBot="1">
      <c r="A7438" s="184" t="s">
        <v>10124</v>
      </c>
      <c r="B7438" s="154" t="s">
        <v>9936</v>
      </c>
      <c r="C7438" s="147"/>
      <c r="D7438" s="185"/>
      <c r="E7438" s="185"/>
      <c r="F7438" s="185"/>
      <c r="G7438" s="185"/>
      <c r="H7438" s="185"/>
      <c r="I7438" s="11"/>
    </row>
    <row r="7439" spans="1:12" ht="11.15" customHeight="1">
      <c r="A7439" s="29" t="s">
        <v>10125</v>
      </c>
      <c r="B7439" s="59" t="s">
        <v>21624</v>
      </c>
      <c r="C7439" s="147" t="s">
        <v>23393</v>
      </c>
      <c r="D7439" s="284" t="s">
        <v>897</v>
      </c>
      <c r="E7439" s="178">
        <v>2022</v>
      </c>
      <c r="F7439" s="178" t="s">
        <v>23395</v>
      </c>
      <c r="G7439" s="496"/>
      <c r="H7439" s="994" t="s">
        <v>20221</v>
      </c>
      <c r="I7439" s="11" t="s">
        <v>10126</v>
      </c>
      <c r="J7439" s="1285"/>
      <c r="K7439" s="1285"/>
      <c r="L7439" s="1285"/>
    </row>
    <row r="7440" spans="1:12" ht="11.15" customHeight="1">
      <c r="A7440" s="29" t="s">
        <v>10127</v>
      </c>
      <c r="B7440" s="59" t="s">
        <v>21624</v>
      </c>
      <c r="C7440" s="147" t="s">
        <v>23393</v>
      </c>
      <c r="D7440" s="284" t="s">
        <v>897</v>
      </c>
      <c r="E7440" s="178">
        <v>2021</v>
      </c>
      <c r="F7440" s="178" t="s">
        <v>23395</v>
      </c>
      <c r="G7440" s="496"/>
      <c r="H7440" s="994" t="s">
        <v>20221</v>
      </c>
      <c r="I7440" s="11" t="s">
        <v>10128</v>
      </c>
      <c r="J7440" s="1285"/>
      <c r="K7440" s="1285"/>
      <c r="L7440" s="1285"/>
    </row>
    <row r="7441" spans="1:12" ht="11.15" customHeight="1">
      <c r="A7441" s="181" t="s">
        <v>10129</v>
      </c>
      <c r="B7441" s="154" t="s">
        <v>9868</v>
      </c>
      <c r="C7441" s="147"/>
      <c r="D7441" s="185"/>
      <c r="E7441" s="185"/>
      <c r="F7441" s="185"/>
      <c r="G7441" s="185"/>
      <c r="H7441" s="185"/>
      <c r="I7441" s="11"/>
    </row>
    <row r="7442" spans="1:12" ht="11.15" customHeight="1">
      <c r="A7442" s="181" t="s">
        <v>2723</v>
      </c>
      <c r="B7442" s="59" t="s">
        <v>21625</v>
      </c>
      <c r="C7442" s="147" t="s">
        <v>23393</v>
      </c>
      <c r="D7442" s="284" t="s">
        <v>897</v>
      </c>
      <c r="E7442" s="178">
        <v>2020</v>
      </c>
      <c r="F7442" s="178" t="s">
        <v>23395</v>
      </c>
      <c r="G7442" s="496"/>
      <c r="H7442" s="994" t="s">
        <v>20221</v>
      </c>
      <c r="I7442" s="11" t="s">
        <v>10130</v>
      </c>
      <c r="J7442" s="1285"/>
      <c r="K7442" s="1285"/>
      <c r="L7442" s="1285"/>
    </row>
    <row r="7443" spans="1:12" ht="11.15" customHeight="1">
      <c r="A7443" s="29" t="s">
        <v>10131</v>
      </c>
      <c r="B7443" s="59" t="s">
        <v>21626</v>
      </c>
      <c r="C7443" s="147" t="s">
        <v>23393</v>
      </c>
      <c r="D7443" s="284" t="s">
        <v>897</v>
      </c>
      <c r="E7443" s="178">
        <v>2019</v>
      </c>
      <c r="F7443" s="178" t="s">
        <v>4520</v>
      </c>
      <c r="G7443" s="496"/>
      <c r="H7443" s="994" t="s">
        <v>20221</v>
      </c>
      <c r="I7443" s="11" t="s">
        <v>10132</v>
      </c>
      <c r="J7443" s="1285"/>
      <c r="K7443" s="1285"/>
      <c r="L7443" s="1285"/>
    </row>
    <row r="7444" spans="1:12" ht="11.15" customHeight="1">
      <c r="A7444" s="29" t="s">
        <v>10133</v>
      </c>
      <c r="B7444" s="59" t="s">
        <v>21625</v>
      </c>
      <c r="C7444" s="147" t="s">
        <v>23393</v>
      </c>
      <c r="D7444" s="284" t="s">
        <v>897</v>
      </c>
      <c r="E7444" s="178">
        <v>2012</v>
      </c>
      <c r="F7444" s="178" t="s">
        <v>23395</v>
      </c>
      <c r="G7444" s="496"/>
      <c r="H7444" s="994" t="s">
        <v>20221</v>
      </c>
      <c r="I7444" s="11" t="s">
        <v>10134</v>
      </c>
      <c r="J7444" s="1285"/>
      <c r="K7444" s="1285"/>
      <c r="L7444" s="1285"/>
    </row>
    <row r="7445" spans="1:12" ht="11.15" customHeight="1">
      <c r="A7445" s="229" t="s">
        <v>10135</v>
      </c>
      <c r="B7445" s="154" t="s">
        <v>9779</v>
      </c>
      <c r="C7445" s="147"/>
      <c r="D7445" s="185"/>
      <c r="E7445" s="185"/>
      <c r="F7445" s="185"/>
      <c r="G7445" s="185"/>
      <c r="H7445" s="185"/>
      <c r="I7445" s="11"/>
    </row>
    <row r="7446" spans="1:12" ht="11.15" customHeight="1">
      <c r="A7446" s="29" t="s">
        <v>10136</v>
      </c>
      <c r="B7446" s="59" t="s">
        <v>21627</v>
      </c>
      <c r="C7446" s="147" t="s">
        <v>23393</v>
      </c>
      <c r="D7446" s="284" t="s">
        <v>897</v>
      </c>
      <c r="E7446" s="178">
        <v>2019</v>
      </c>
      <c r="F7446" s="178" t="s">
        <v>5257</v>
      </c>
      <c r="G7446" s="496"/>
      <c r="H7446" s="994" t="s">
        <v>20221</v>
      </c>
      <c r="I7446" s="11" t="s">
        <v>10137</v>
      </c>
      <c r="J7446" s="1285"/>
      <c r="K7446" s="1285"/>
      <c r="L7446" s="1285"/>
    </row>
    <row r="7447" spans="1:12" ht="11.15" customHeight="1">
      <c r="A7447" s="583" t="s">
        <v>10138</v>
      </c>
      <c r="B7447" s="59" t="s">
        <v>21627</v>
      </c>
      <c r="C7447" s="147" t="s">
        <v>23393</v>
      </c>
      <c r="D7447" s="284" t="s">
        <v>897</v>
      </c>
      <c r="E7447" s="178">
        <v>2012</v>
      </c>
      <c r="F7447" s="178" t="s">
        <v>11931</v>
      </c>
      <c r="G7447" s="496"/>
      <c r="H7447" s="994" t="s">
        <v>20224</v>
      </c>
      <c r="I7447" s="11" t="s">
        <v>10139</v>
      </c>
      <c r="J7447" s="1285"/>
      <c r="K7447" s="1285"/>
      <c r="L7447" s="1285"/>
    </row>
    <row r="7448" spans="1:12" ht="11.15" customHeight="1">
      <c r="A7448" s="181" t="s">
        <v>950</v>
      </c>
      <c r="B7448" s="59" t="s">
        <v>21628</v>
      </c>
      <c r="C7448" s="147" t="s">
        <v>23393</v>
      </c>
      <c r="D7448" s="284" t="s">
        <v>897</v>
      </c>
      <c r="E7448" s="178">
        <v>2019</v>
      </c>
      <c r="F7448" s="178" t="s">
        <v>5257</v>
      </c>
      <c r="G7448" s="496"/>
      <c r="H7448" s="994" t="s">
        <v>20221</v>
      </c>
      <c r="I7448" s="11" t="s">
        <v>10140</v>
      </c>
      <c r="J7448" s="1285"/>
      <c r="K7448" s="1285"/>
      <c r="L7448" s="1285"/>
    </row>
    <row r="7449" spans="1:12" ht="11.15" customHeight="1">
      <c r="A7449" s="129" t="s">
        <v>1077</v>
      </c>
      <c r="B7449" s="185"/>
      <c r="C7449" s="147"/>
      <c r="D7449" s="185"/>
      <c r="E7449" s="185"/>
      <c r="F7449" s="185"/>
      <c r="G7449" s="185"/>
      <c r="H7449" s="185"/>
      <c r="I7449" s="11"/>
    </row>
    <row r="7450" spans="1:12" ht="11.15" customHeight="1">
      <c r="A7450" s="162" t="s">
        <v>10141</v>
      </c>
      <c r="B7450" s="185"/>
      <c r="C7450" s="147"/>
      <c r="D7450" s="185"/>
      <c r="E7450" s="185"/>
      <c r="F7450" s="185"/>
      <c r="G7450" s="185"/>
      <c r="H7450" s="185"/>
      <c r="I7450" s="11"/>
    </row>
    <row r="7451" spans="1:12" ht="11.15" customHeight="1">
      <c r="A7451" s="162" t="s">
        <v>10142</v>
      </c>
      <c r="B7451" s="185"/>
      <c r="C7451" s="147"/>
      <c r="D7451" s="185"/>
      <c r="E7451" s="185"/>
      <c r="F7451" s="185"/>
      <c r="G7451" s="185"/>
      <c r="H7451" s="185"/>
      <c r="I7451" s="11"/>
    </row>
    <row r="7452" spans="1:12" ht="11.15" customHeight="1">
      <c r="A7452" s="162" t="s">
        <v>10143</v>
      </c>
      <c r="B7452" s="185"/>
      <c r="C7452" s="147"/>
      <c r="D7452" s="185"/>
      <c r="E7452" s="185"/>
      <c r="F7452" s="185"/>
      <c r="G7452" s="185"/>
      <c r="H7452" s="185"/>
      <c r="I7452" s="11"/>
    </row>
    <row r="7453" spans="1:12" ht="11.15" customHeight="1">
      <c r="A7453" s="162" t="s">
        <v>10144</v>
      </c>
      <c r="B7453" s="185"/>
      <c r="C7453" s="147"/>
      <c r="D7453" s="185"/>
      <c r="E7453" s="185"/>
      <c r="F7453" s="185"/>
      <c r="G7453" s="185"/>
      <c r="H7453" s="185"/>
      <c r="I7453" s="11"/>
    </row>
    <row r="7454" spans="1:12" ht="11.15" customHeight="1">
      <c r="A7454" s="162" t="s">
        <v>10145</v>
      </c>
      <c r="B7454" s="185"/>
      <c r="C7454" s="147"/>
      <c r="D7454" s="185"/>
      <c r="E7454" s="185"/>
      <c r="F7454" s="185"/>
      <c r="G7454" s="185"/>
      <c r="H7454" s="185"/>
      <c r="I7454" s="11"/>
    </row>
    <row r="7455" spans="1:12" ht="11.15" customHeight="1">
      <c r="A7455" s="162" t="s">
        <v>10146</v>
      </c>
      <c r="B7455" s="90"/>
      <c r="C7455" s="147"/>
      <c r="D7455" s="122"/>
      <c r="E7455" s="36"/>
      <c r="F7455" s="178"/>
      <c r="G7455" s="453"/>
      <c r="H7455" s="36"/>
      <c r="I7455" s="11"/>
    </row>
    <row r="7456" spans="1:12" ht="11.15" customHeight="1">
      <c r="A7456" s="162" t="s">
        <v>10147</v>
      </c>
      <c r="B7456" s="90"/>
      <c r="C7456" s="147"/>
      <c r="D7456" s="122"/>
      <c r="E7456" s="36"/>
      <c r="F7456" s="178"/>
      <c r="G7456" s="453"/>
      <c r="H7456" s="36"/>
      <c r="I7456" s="11"/>
    </row>
    <row r="7457" spans="1:12" ht="11.15" customHeight="1">
      <c r="A7457" s="162" t="s">
        <v>10148</v>
      </c>
      <c r="B7457" s="90"/>
      <c r="C7457" s="147"/>
      <c r="D7457" s="122"/>
      <c r="E7457" s="36"/>
      <c r="F7457" s="178"/>
      <c r="G7457" s="453"/>
      <c r="H7457" s="36"/>
      <c r="I7457" s="11"/>
    </row>
    <row r="7458" spans="1:12" ht="11.15" customHeight="1">
      <c r="A7458" s="162" t="s">
        <v>10149</v>
      </c>
      <c r="B7458" s="29"/>
      <c r="C7458" s="147"/>
      <c r="D7458" s="129"/>
      <c r="E7458" s="29"/>
      <c r="F7458" s="29"/>
      <c r="G7458" s="29"/>
      <c r="H7458" s="29"/>
      <c r="I7458" s="11"/>
    </row>
    <row r="7459" spans="1:12" ht="11.15" customHeight="1">
      <c r="A7459" s="29" t="s">
        <v>10150</v>
      </c>
      <c r="B7459" s="90"/>
      <c r="C7459" s="147"/>
      <c r="D7459" s="122"/>
      <c r="E7459" s="36"/>
      <c r="F7459" s="178"/>
      <c r="G7459" s="453"/>
      <c r="H7459" s="36"/>
      <c r="I7459" s="11"/>
    </row>
    <row r="7460" spans="1:12" ht="11.15" customHeight="1">
      <c r="A7460" s="166" t="s">
        <v>1244</v>
      </c>
      <c r="B7460" s="90"/>
      <c r="C7460" s="147"/>
      <c r="D7460" s="161"/>
      <c r="E7460" s="36"/>
      <c r="F7460" s="178"/>
      <c r="G7460" s="496"/>
      <c r="H7460" s="36"/>
      <c r="I7460" s="11"/>
    </row>
    <row r="7461" spans="1:12" ht="11.15" customHeight="1">
      <c r="A7461" s="166" t="s">
        <v>10151</v>
      </c>
      <c r="B7461" s="90"/>
      <c r="C7461" s="147"/>
      <c r="D7461" s="122"/>
      <c r="E7461" s="36"/>
      <c r="F7461" s="178"/>
      <c r="G7461" s="453"/>
      <c r="H7461" s="36"/>
      <c r="I7461" s="11"/>
    </row>
    <row r="7462" spans="1:12" ht="11.15" customHeight="1">
      <c r="A7462" s="166" t="s">
        <v>2028</v>
      </c>
      <c r="B7462" s="90"/>
      <c r="C7462" s="147"/>
      <c r="D7462" s="122"/>
      <c r="E7462" s="36"/>
      <c r="F7462" s="178"/>
      <c r="G7462" s="453"/>
      <c r="H7462" s="36"/>
      <c r="I7462" s="11"/>
    </row>
    <row r="7463" spans="1:12" ht="11.15" customHeight="1" thickBot="1">
      <c r="A7463" s="481" t="s">
        <v>10152</v>
      </c>
      <c r="B7463" s="90"/>
      <c r="C7463" s="147"/>
      <c r="D7463" s="122"/>
      <c r="E7463" s="36"/>
      <c r="F7463" s="178"/>
      <c r="G7463" s="453"/>
      <c r="H7463" s="36"/>
      <c r="I7463" s="11"/>
    </row>
    <row r="7464" spans="1:12" ht="24" customHeight="1" thickBot="1">
      <c r="A7464" s="584"/>
      <c r="B7464" s="64" t="s">
        <v>10153</v>
      </c>
      <c r="C7464" s="170"/>
      <c r="D7464" s="382"/>
      <c r="E7464" s="235"/>
      <c r="F7464" s="383"/>
      <c r="G7464" s="1142"/>
      <c r="H7464" s="516"/>
      <c r="I7464" s="11"/>
    </row>
    <row r="7465" spans="1:12" ht="11.5" customHeight="1" thickBot="1">
      <c r="A7465" s="184" t="s">
        <v>10154</v>
      </c>
      <c r="B7465" s="59" t="s">
        <v>18746</v>
      </c>
      <c r="C7465" s="147" t="s">
        <v>20221</v>
      </c>
      <c r="D7465" s="284" t="s">
        <v>10155</v>
      </c>
      <c r="E7465" s="178">
        <v>1974</v>
      </c>
      <c r="F7465" s="178" t="s">
        <v>4520</v>
      </c>
      <c r="G7465" s="496"/>
      <c r="H7465" s="994" t="s">
        <v>20224</v>
      </c>
      <c r="I7465" s="11" t="s">
        <v>10156</v>
      </c>
      <c r="J7465" s="1285"/>
      <c r="K7465" s="1285"/>
      <c r="L7465" s="1285"/>
    </row>
    <row r="7466" spans="1:12" ht="11.15" customHeight="1">
      <c r="A7466" s="29" t="s">
        <v>332</v>
      </c>
      <c r="B7466" s="90"/>
      <c r="C7466" s="147"/>
      <c r="D7466" s="159"/>
      <c r="E7466" s="34"/>
      <c r="F7466" s="178"/>
      <c r="G7466" s="496"/>
      <c r="H7466" s="36"/>
      <c r="I7466" s="11"/>
    </row>
    <row r="7467" spans="1:12" ht="11.25" customHeight="1">
      <c r="A7467" s="363" t="s">
        <v>1327</v>
      </c>
      <c r="B7467" s="177"/>
      <c r="C7467" s="147"/>
      <c r="D7467" s="585"/>
      <c r="E7467" s="36"/>
      <c r="F7467" s="183"/>
      <c r="G7467" s="1239"/>
      <c r="H7467" s="34"/>
      <c r="I7467" s="11"/>
    </row>
    <row r="7468" spans="1:12" ht="11.15" customHeight="1">
      <c r="A7468" s="129" t="s">
        <v>10157</v>
      </c>
      <c r="B7468" s="226"/>
      <c r="C7468" s="147"/>
      <c r="D7468" s="585"/>
      <c r="E7468" s="36"/>
      <c r="F7468" s="183"/>
      <c r="G7468" s="1230"/>
      <c r="H7468" s="34"/>
      <c r="I7468" s="11"/>
    </row>
    <row r="7469" spans="1:12" ht="11.15" customHeight="1" thickBot="1">
      <c r="A7469" s="29"/>
      <c r="B7469" s="90"/>
      <c r="C7469" s="147"/>
      <c r="D7469" s="159"/>
      <c r="E7469" s="34"/>
      <c r="F7469" s="178"/>
      <c r="G7469" s="496"/>
      <c r="H7469" s="36"/>
      <c r="I7469" s="11"/>
    </row>
    <row r="7470" spans="1:12" ht="11.5" customHeight="1">
      <c r="A7470" s="153" t="s">
        <v>10158</v>
      </c>
      <c r="B7470" s="154" t="s">
        <v>2242</v>
      </c>
      <c r="C7470" s="147"/>
      <c r="D7470" s="129"/>
      <c r="E7470" s="185"/>
      <c r="F7470" s="185"/>
      <c r="G7470" s="185"/>
      <c r="H7470" s="185"/>
      <c r="I7470" s="11"/>
    </row>
    <row r="7471" spans="1:12" ht="11.5" customHeight="1" thickBot="1">
      <c r="A7471" s="155" t="s">
        <v>10159</v>
      </c>
      <c r="B7471" s="59" t="s">
        <v>21629</v>
      </c>
      <c r="C7471" s="147" t="s">
        <v>23393</v>
      </c>
      <c r="D7471" s="701" t="s">
        <v>1129</v>
      </c>
      <c r="E7471" s="178">
        <v>2021</v>
      </c>
      <c r="F7471" s="178" t="s">
        <v>4520</v>
      </c>
      <c r="G7471" s="496"/>
      <c r="H7471" s="994" t="s">
        <v>20221</v>
      </c>
      <c r="I7471" s="11" t="s">
        <v>10160</v>
      </c>
      <c r="J7471" s="1285"/>
      <c r="K7471" s="1285"/>
      <c r="L7471" s="1285"/>
    </row>
    <row r="7472" spans="1:12" ht="11.15" customHeight="1">
      <c r="A7472" s="29" t="s">
        <v>10161</v>
      </c>
      <c r="B7472" s="59" t="s">
        <v>21629</v>
      </c>
      <c r="C7472" s="147" t="s">
        <v>23393</v>
      </c>
      <c r="D7472" s="701" t="s">
        <v>1129</v>
      </c>
      <c r="E7472" s="178">
        <v>2017</v>
      </c>
      <c r="F7472" s="178" t="s">
        <v>23395</v>
      </c>
      <c r="G7472" s="496"/>
      <c r="H7472" s="994" t="s">
        <v>20465</v>
      </c>
      <c r="I7472" s="11" t="s">
        <v>10162</v>
      </c>
      <c r="J7472" s="1285"/>
      <c r="K7472" s="1285"/>
      <c r="L7472" s="1285"/>
    </row>
    <row r="7473" spans="1:12" ht="11.15" customHeight="1">
      <c r="A7473" s="29" t="s">
        <v>10163</v>
      </c>
      <c r="B7473" s="59" t="s">
        <v>21630</v>
      </c>
      <c r="C7473" s="147" t="s">
        <v>23393</v>
      </c>
      <c r="D7473" s="701" t="s">
        <v>1129</v>
      </c>
      <c r="E7473" s="178">
        <v>2021</v>
      </c>
      <c r="F7473" s="178" t="s">
        <v>4520</v>
      </c>
      <c r="G7473" s="496"/>
      <c r="H7473" s="994" t="s">
        <v>20221</v>
      </c>
      <c r="I7473" s="11" t="s">
        <v>10164</v>
      </c>
      <c r="J7473" s="1285"/>
      <c r="K7473" s="1285"/>
      <c r="L7473" s="1285"/>
    </row>
    <row r="7474" spans="1:12" ht="11.15" customHeight="1">
      <c r="A7474" s="181" t="s">
        <v>9031</v>
      </c>
      <c r="B7474" s="59" t="s">
        <v>21631</v>
      </c>
      <c r="C7474" s="147" t="s">
        <v>20221</v>
      </c>
      <c r="D7474" s="701" t="s">
        <v>1129</v>
      </c>
      <c r="E7474" s="178">
        <v>2010</v>
      </c>
      <c r="F7474" s="178" t="s">
        <v>23395</v>
      </c>
      <c r="G7474" s="496"/>
      <c r="H7474" s="994" t="s">
        <v>20221</v>
      </c>
      <c r="I7474" s="11" t="s">
        <v>10165</v>
      </c>
      <c r="J7474" s="1285"/>
      <c r="K7474" s="1285"/>
      <c r="L7474" s="1285"/>
    </row>
    <row r="7475" spans="1:12" ht="11.15" customHeight="1">
      <c r="A7475" s="181" t="s">
        <v>10166</v>
      </c>
      <c r="B7475" s="59" t="s">
        <v>21630</v>
      </c>
      <c r="C7475" s="147" t="s">
        <v>20221</v>
      </c>
      <c r="D7475" s="701" t="s">
        <v>1129</v>
      </c>
      <c r="E7475" s="178">
        <v>2009</v>
      </c>
      <c r="F7475" s="178" t="s">
        <v>23395</v>
      </c>
      <c r="G7475" s="496"/>
      <c r="H7475" s="994" t="s">
        <v>20277</v>
      </c>
      <c r="I7475" s="11" t="s">
        <v>10167</v>
      </c>
      <c r="J7475" s="1285"/>
      <c r="K7475" s="1285"/>
      <c r="L7475" s="1285"/>
    </row>
    <row r="7476" spans="1:12" ht="11.15" customHeight="1">
      <c r="A7476" s="181" t="s">
        <v>10168</v>
      </c>
      <c r="B7476" s="59" t="s">
        <v>21630</v>
      </c>
      <c r="C7476" s="147" t="s">
        <v>20221</v>
      </c>
      <c r="D7476" s="701" t="s">
        <v>1129</v>
      </c>
      <c r="E7476" s="178">
        <v>2008</v>
      </c>
      <c r="F7476" s="178" t="s">
        <v>23395</v>
      </c>
      <c r="G7476" s="496"/>
      <c r="H7476" s="994" t="s">
        <v>20465</v>
      </c>
      <c r="I7476" s="11" t="s">
        <v>10169</v>
      </c>
      <c r="J7476" s="1285"/>
      <c r="K7476" s="1285"/>
      <c r="L7476" s="1285"/>
    </row>
    <row r="7477" spans="1:12" ht="11.15" customHeight="1">
      <c r="A7477" s="129" t="s">
        <v>903</v>
      </c>
      <c r="B7477" s="154" t="s">
        <v>1398</v>
      </c>
      <c r="C7477" s="147"/>
      <c r="D7477" s="129"/>
      <c r="E7477" s="185"/>
      <c r="F7477" s="185"/>
      <c r="G7477" s="185"/>
      <c r="H7477" s="185"/>
      <c r="I7477" s="11"/>
    </row>
    <row r="7478" spans="1:12" ht="11.15" customHeight="1">
      <c r="A7478" s="162" t="s">
        <v>10170</v>
      </c>
      <c r="B7478" s="59" t="s">
        <v>21632</v>
      </c>
      <c r="C7478" s="147" t="s">
        <v>23393</v>
      </c>
      <c r="D7478" s="284" t="s">
        <v>897</v>
      </c>
      <c r="E7478" s="178">
        <v>2020</v>
      </c>
      <c r="F7478" s="178" t="s">
        <v>4520</v>
      </c>
      <c r="G7478" s="496"/>
      <c r="H7478" s="994" t="s">
        <v>20221</v>
      </c>
      <c r="I7478" s="11" t="s">
        <v>10171</v>
      </c>
      <c r="J7478" s="1285"/>
      <c r="K7478" s="1285"/>
      <c r="L7478" s="1285"/>
    </row>
    <row r="7479" spans="1:12" ht="11.15" customHeight="1">
      <c r="A7479" s="162" t="s">
        <v>10172</v>
      </c>
      <c r="B7479" s="59" t="s">
        <v>21633</v>
      </c>
      <c r="C7479" s="147" t="s">
        <v>23393</v>
      </c>
      <c r="D7479" s="284" t="s">
        <v>897</v>
      </c>
      <c r="E7479" s="178">
        <v>2016</v>
      </c>
      <c r="F7479" s="178" t="s">
        <v>23395</v>
      </c>
      <c r="G7479" s="496"/>
      <c r="H7479" s="994" t="s">
        <v>20221</v>
      </c>
      <c r="I7479" s="11" t="s">
        <v>10173</v>
      </c>
      <c r="J7479" s="1285"/>
      <c r="K7479" s="1285"/>
      <c r="L7479" s="1285"/>
    </row>
    <row r="7480" spans="1:12" ht="11.15" customHeight="1">
      <c r="A7480" s="129" t="s">
        <v>896</v>
      </c>
      <c r="B7480" s="59" t="s">
        <v>21634</v>
      </c>
      <c r="C7480" s="147" t="s">
        <v>23393</v>
      </c>
      <c r="D7480" s="284" t="s">
        <v>897</v>
      </c>
      <c r="E7480" s="178">
        <v>2020</v>
      </c>
      <c r="F7480" s="178" t="s">
        <v>4520</v>
      </c>
      <c r="G7480" s="496"/>
      <c r="H7480" s="994" t="s">
        <v>20221</v>
      </c>
      <c r="I7480" s="11" t="s">
        <v>10174</v>
      </c>
      <c r="J7480" s="1285"/>
      <c r="K7480" s="1285"/>
      <c r="L7480" s="1285"/>
    </row>
    <row r="7481" spans="1:12" ht="11.15" customHeight="1">
      <c r="A7481" s="162" t="s">
        <v>10175</v>
      </c>
      <c r="B7481" s="59" t="s">
        <v>21634</v>
      </c>
      <c r="C7481" s="147" t="s">
        <v>20221</v>
      </c>
      <c r="D7481" s="284" t="s">
        <v>897</v>
      </c>
      <c r="E7481" s="178">
        <v>2010</v>
      </c>
      <c r="F7481" s="178" t="s">
        <v>23395</v>
      </c>
      <c r="G7481" s="496"/>
      <c r="H7481" s="994" t="s">
        <v>20224</v>
      </c>
      <c r="I7481" s="11" t="s">
        <v>10176</v>
      </c>
      <c r="J7481" s="1285"/>
      <c r="K7481" s="1285"/>
      <c r="L7481" s="1285"/>
    </row>
    <row r="7482" spans="1:12" ht="11.15" customHeight="1">
      <c r="A7482" s="162" t="s">
        <v>10177</v>
      </c>
      <c r="B7482" s="59" t="s">
        <v>21634</v>
      </c>
      <c r="C7482" s="147" t="s">
        <v>20221</v>
      </c>
      <c r="D7482" s="284" t="s">
        <v>897</v>
      </c>
      <c r="E7482" s="178">
        <v>2008</v>
      </c>
      <c r="F7482" s="178" t="s">
        <v>23395</v>
      </c>
      <c r="G7482" s="496"/>
      <c r="H7482" s="994" t="s">
        <v>20465</v>
      </c>
      <c r="I7482" s="11" t="s">
        <v>10178</v>
      </c>
      <c r="J7482" s="1285"/>
      <c r="K7482" s="1285"/>
      <c r="L7482" s="1285"/>
    </row>
    <row r="7483" spans="1:12" ht="11.15" customHeight="1">
      <c r="A7483" s="162" t="s">
        <v>10179</v>
      </c>
      <c r="B7483" s="154" t="s">
        <v>10180</v>
      </c>
      <c r="C7483" s="147"/>
      <c r="D7483" s="129"/>
      <c r="E7483" s="185"/>
      <c r="F7483" s="185"/>
      <c r="G7483" s="185"/>
      <c r="H7483" s="185"/>
      <c r="I7483" s="11"/>
    </row>
    <row r="7484" spans="1:12" ht="11.15" customHeight="1">
      <c r="A7484" s="162" t="s">
        <v>10181</v>
      </c>
      <c r="B7484" s="59" t="s">
        <v>21635</v>
      </c>
      <c r="C7484" s="147" t="s">
        <v>23393</v>
      </c>
      <c r="D7484" s="284" t="s">
        <v>10182</v>
      </c>
      <c r="E7484" s="178" t="s">
        <v>20221</v>
      </c>
      <c r="F7484" s="178" t="s">
        <v>23404</v>
      </c>
      <c r="G7484" s="496" t="s">
        <v>20221</v>
      </c>
      <c r="H7484" s="994" t="s">
        <v>3907</v>
      </c>
      <c r="I7484" s="11" t="s">
        <v>10183</v>
      </c>
      <c r="J7484" s="1285"/>
      <c r="K7484" s="1285"/>
      <c r="L7484" s="1285"/>
    </row>
    <row r="7485" spans="1:12" ht="11.15" customHeight="1">
      <c r="A7485" s="162" t="s">
        <v>10184</v>
      </c>
      <c r="B7485" s="185"/>
      <c r="C7485" s="147"/>
      <c r="D7485" s="185"/>
      <c r="E7485" s="185"/>
      <c r="F7485" s="185"/>
      <c r="G7485" s="185"/>
      <c r="H7485" s="185"/>
      <c r="I7485" s="11"/>
    </row>
    <row r="7486" spans="1:12" ht="11.15" customHeight="1">
      <c r="A7486" s="162" t="s">
        <v>10185</v>
      </c>
      <c r="B7486" s="185"/>
      <c r="C7486" s="147"/>
      <c r="D7486" s="185"/>
      <c r="E7486" s="185"/>
      <c r="F7486" s="185"/>
      <c r="G7486" s="185"/>
      <c r="H7486" s="185"/>
      <c r="I7486" s="11"/>
    </row>
    <row r="7487" spans="1:12" ht="11.15" customHeight="1">
      <c r="A7487" s="212" t="s">
        <v>10186</v>
      </c>
      <c r="B7487" s="90"/>
      <c r="C7487" s="147"/>
      <c r="D7487" s="161"/>
      <c r="E7487" s="36"/>
      <c r="F7487" s="183"/>
      <c r="G7487" s="496"/>
      <c r="H7487" s="34"/>
      <c r="I7487" s="11"/>
    </row>
    <row r="7488" spans="1:12" ht="11.15" customHeight="1">
      <c r="A7488" s="481" t="s">
        <v>10187</v>
      </c>
      <c r="B7488" s="90"/>
      <c r="C7488" s="147"/>
      <c r="D7488" s="161"/>
      <c r="E7488" s="36"/>
      <c r="F7488" s="183"/>
      <c r="G7488" s="496"/>
      <c r="H7488" s="34"/>
      <c r="I7488" s="11"/>
    </row>
    <row r="7489" spans="1:12" ht="11.15" customHeight="1" thickBot="1">
      <c r="A7489" s="185"/>
      <c r="B7489" s="185"/>
      <c r="C7489" s="147"/>
      <c r="D7489" s="129"/>
      <c r="E7489" s="185"/>
      <c r="F7489" s="185"/>
      <c r="G7489" s="185"/>
      <c r="H7489" s="185"/>
      <c r="I7489" s="11"/>
    </row>
    <row r="7490" spans="1:12" ht="11.15" customHeight="1" thickBot="1">
      <c r="A7490" s="184" t="s">
        <v>10188</v>
      </c>
      <c r="B7490" s="177" t="s">
        <v>2242</v>
      </c>
      <c r="C7490" s="147"/>
      <c r="D7490" s="161"/>
      <c r="E7490" s="36"/>
      <c r="F7490" s="183"/>
      <c r="G7490" s="496"/>
      <c r="H7490" s="34"/>
      <c r="I7490" s="11"/>
    </row>
    <row r="7491" spans="1:12" ht="11.15" customHeight="1">
      <c r="A7491" s="29" t="s">
        <v>10189</v>
      </c>
      <c r="B7491" s="59" t="s">
        <v>21636</v>
      </c>
      <c r="C7491" s="147" t="s">
        <v>23393</v>
      </c>
      <c r="D7491" s="701" t="s">
        <v>1129</v>
      </c>
      <c r="E7491" s="178" t="s">
        <v>21637</v>
      </c>
      <c r="F7491" s="178" t="s">
        <v>23395</v>
      </c>
      <c r="G7491" s="496"/>
      <c r="H7491" s="994" t="s">
        <v>20221</v>
      </c>
      <c r="I7491" s="11" t="s">
        <v>10190</v>
      </c>
      <c r="J7491" s="1285"/>
      <c r="K7491" s="1285"/>
      <c r="L7491" s="1285"/>
    </row>
    <row r="7492" spans="1:12" ht="11.15" customHeight="1">
      <c r="A7492" s="29" t="s">
        <v>10191</v>
      </c>
      <c r="B7492" s="59" t="s">
        <v>21638</v>
      </c>
      <c r="C7492" s="147" t="s">
        <v>23393</v>
      </c>
      <c r="D7492" s="701" t="s">
        <v>1129</v>
      </c>
      <c r="E7492" s="178">
        <v>2018</v>
      </c>
      <c r="F7492" s="178" t="s">
        <v>4520</v>
      </c>
      <c r="G7492" s="496"/>
      <c r="H7492" s="994" t="s">
        <v>20221</v>
      </c>
      <c r="I7492" s="11" t="s">
        <v>10192</v>
      </c>
      <c r="J7492" s="1285"/>
      <c r="K7492" s="1285"/>
      <c r="L7492" s="1285"/>
    </row>
    <row r="7493" spans="1:12" ht="11.15" customHeight="1">
      <c r="A7493" s="29" t="s">
        <v>10193</v>
      </c>
      <c r="B7493" s="59" t="s">
        <v>21638</v>
      </c>
      <c r="C7493" s="147" t="s">
        <v>23393</v>
      </c>
      <c r="D7493" s="701" t="s">
        <v>1129</v>
      </c>
      <c r="E7493" s="178">
        <v>2017</v>
      </c>
      <c r="F7493" s="178" t="s">
        <v>4520</v>
      </c>
      <c r="G7493" s="496"/>
      <c r="H7493" s="994" t="s">
        <v>20221</v>
      </c>
      <c r="I7493" s="11" t="s">
        <v>10194</v>
      </c>
      <c r="J7493" s="1285"/>
      <c r="K7493" s="1285"/>
      <c r="L7493" s="1285"/>
    </row>
    <row r="7494" spans="1:12" ht="11.15" customHeight="1">
      <c r="A7494" s="29" t="s">
        <v>10195</v>
      </c>
      <c r="B7494" s="59" t="s">
        <v>21639</v>
      </c>
      <c r="C7494" s="147" t="s">
        <v>23393</v>
      </c>
      <c r="D7494" s="701" t="s">
        <v>1129</v>
      </c>
      <c r="E7494" s="178" t="s">
        <v>20221</v>
      </c>
      <c r="F7494" s="178" t="s">
        <v>5257</v>
      </c>
      <c r="G7494" s="496" t="s">
        <v>20221</v>
      </c>
      <c r="H7494" s="994" t="s">
        <v>3907</v>
      </c>
      <c r="I7494" s="11" t="s">
        <v>10196</v>
      </c>
      <c r="J7494" s="1285"/>
      <c r="K7494" s="1285"/>
      <c r="L7494" s="1285"/>
    </row>
    <row r="7495" spans="1:12" ht="11.15" customHeight="1">
      <c r="A7495" s="181" t="s">
        <v>950</v>
      </c>
      <c r="B7495" s="177" t="s">
        <v>1368</v>
      </c>
      <c r="C7495" s="147"/>
      <c r="D7495" s="161"/>
      <c r="E7495" s="36"/>
      <c r="F7495" s="178"/>
      <c r="G7495" s="496"/>
      <c r="H7495" s="36"/>
      <c r="I7495" s="11"/>
    </row>
    <row r="7496" spans="1:12" ht="11.15" customHeight="1">
      <c r="A7496" s="181" t="s">
        <v>949</v>
      </c>
      <c r="B7496" s="59" t="s">
        <v>21640</v>
      </c>
      <c r="C7496" s="147" t="s">
        <v>23393</v>
      </c>
      <c r="D7496" s="1035" t="s">
        <v>1370</v>
      </c>
      <c r="E7496" s="178" t="s">
        <v>21637</v>
      </c>
      <c r="F7496" s="178" t="s">
        <v>4520</v>
      </c>
      <c r="G7496" s="496"/>
      <c r="H7496" s="994" t="s">
        <v>20221</v>
      </c>
      <c r="I7496" s="11" t="s">
        <v>10198</v>
      </c>
      <c r="J7496" s="1285"/>
      <c r="K7496" s="1285"/>
      <c r="L7496" s="1285"/>
    </row>
    <row r="7497" spans="1:12" ht="11.15" customHeight="1">
      <c r="A7497" s="181" t="s">
        <v>10197</v>
      </c>
      <c r="B7497" s="59" t="s">
        <v>21641</v>
      </c>
      <c r="C7497" s="147" t="s">
        <v>23393</v>
      </c>
      <c r="D7497" s="1035" t="s">
        <v>1370</v>
      </c>
      <c r="E7497" s="178" t="s">
        <v>21637</v>
      </c>
      <c r="F7497" s="178" t="s">
        <v>5257</v>
      </c>
      <c r="G7497" s="496"/>
      <c r="H7497" s="994" t="s">
        <v>20221</v>
      </c>
      <c r="I7497" s="11" t="s">
        <v>10199</v>
      </c>
      <c r="J7497" s="1285"/>
      <c r="K7497" s="1285"/>
      <c r="L7497" s="1285"/>
    </row>
    <row r="7498" spans="1:12" ht="11.15" customHeight="1">
      <c r="A7498" s="129" t="s">
        <v>903</v>
      </c>
      <c r="B7498" s="177" t="s">
        <v>1398</v>
      </c>
      <c r="C7498" s="147"/>
      <c r="D7498" s="129"/>
      <c r="E7498" s="185"/>
      <c r="F7498" s="185"/>
      <c r="G7498" s="185"/>
      <c r="H7498" s="185"/>
      <c r="I7498" s="11"/>
    </row>
    <row r="7499" spans="1:12" ht="11.15" customHeight="1">
      <c r="A7499" s="162" t="s">
        <v>4848</v>
      </c>
      <c r="B7499" s="59" t="s">
        <v>21642</v>
      </c>
      <c r="C7499" s="147" t="s">
        <v>23393</v>
      </c>
      <c r="D7499" s="284" t="s">
        <v>897</v>
      </c>
      <c r="E7499" s="178">
        <v>2018</v>
      </c>
      <c r="F7499" s="178" t="s">
        <v>4520</v>
      </c>
      <c r="G7499" s="496"/>
      <c r="H7499" s="994" t="s">
        <v>20221</v>
      </c>
      <c r="I7499" s="11" t="s">
        <v>10201</v>
      </c>
      <c r="J7499" s="1285"/>
      <c r="K7499" s="1285"/>
      <c r="L7499" s="1285"/>
    </row>
    <row r="7500" spans="1:12" ht="11.15" customHeight="1">
      <c r="A7500" s="162" t="s">
        <v>10200</v>
      </c>
      <c r="B7500" s="90"/>
      <c r="C7500" s="147"/>
      <c r="D7500" s="161"/>
      <c r="E7500" s="34"/>
      <c r="F7500" s="178"/>
      <c r="G7500" s="496"/>
      <c r="H7500" s="36"/>
      <c r="I7500" s="11"/>
    </row>
    <row r="7501" spans="1:12" ht="11.15" customHeight="1">
      <c r="A7501" s="162" t="s">
        <v>10202</v>
      </c>
      <c r="B7501" s="185"/>
      <c r="C7501" s="147"/>
      <c r="D7501" s="185"/>
      <c r="E7501" s="185"/>
      <c r="F7501" s="185"/>
      <c r="G7501" s="185"/>
      <c r="H7501" s="185"/>
      <c r="I7501" s="11"/>
    </row>
    <row r="7502" spans="1:12" ht="11.15" customHeight="1">
      <c r="A7502" s="162" t="s">
        <v>10203</v>
      </c>
      <c r="B7502" s="185"/>
      <c r="C7502" s="147"/>
      <c r="D7502" s="185"/>
      <c r="E7502" s="185"/>
      <c r="F7502" s="185"/>
      <c r="G7502" s="185"/>
      <c r="H7502" s="185"/>
      <c r="I7502" s="11"/>
    </row>
    <row r="7503" spans="1:12" ht="11.15" customHeight="1">
      <c r="A7503" s="162" t="s">
        <v>10204</v>
      </c>
      <c r="B7503" s="185"/>
      <c r="C7503" s="147"/>
      <c r="D7503" s="185"/>
      <c r="E7503" s="185"/>
      <c r="F7503" s="185"/>
      <c r="G7503" s="185"/>
      <c r="H7503" s="185"/>
      <c r="I7503" s="11"/>
    </row>
    <row r="7504" spans="1:12" ht="11.15" customHeight="1">
      <c r="A7504" s="162" t="s">
        <v>10205</v>
      </c>
      <c r="B7504" s="185"/>
      <c r="C7504" s="147"/>
      <c r="D7504" s="129"/>
      <c r="E7504" s="185"/>
      <c r="F7504" s="185"/>
      <c r="G7504" s="185"/>
      <c r="H7504" s="185"/>
      <c r="I7504" s="11"/>
    </row>
    <row r="7505" spans="1:12" ht="11.15" customHeight="1">
      <c r="A7505" s="162" t="s">
        <v>10206</v>
      </c>
      <c r="B7505" s="185"/>
      <c r="C7505" s="147"/>
      <c r="D7505" s="129"/>
      <c r="E7505" s="185"/>
      <c r="F7505" s="185"/>
      <c r="G7505" s="185"/>
      <c r="H7505" s="185"/>
      <c r="I7505" s="11"/>
    </row>
    <row r="7506" spans="1:12" ht="11.15" customHeight="1">
      <c r="A7506" s="162" t="s">
        <v>10207</v>
      </c>
      <c r="B7506" s="226"/>
      <c r="C7506" s="147"/>
      <c r="D7506" s="122"/>
      <c r="E7506" s="36"/>
      <c r="F7506" s="183"/>
      <c r="G7506" s="60"/>
      <c r="H7506" s="34"/>
      <c r="I7506" s="11"/>
    </row>
    <row r="7507" spans="1:12" ht="11.15" customHeight="1">
      <c r="A7507" s="29" t="s">
        <v>10208</v>
      </c>
      <c r="B7507" s="90"/>
      <c r="C7507" s="147"/>
      <c r="D7507" s="122"/>
      <c r="E7507" s="36"/>
      <c r="F7507" s="178"/>
      <c r="G7507" s="60"/>
      <c r="H7507" s="36"/>
      <c r="I7507" s="11"/>
    </row>
    <row r="7508" spans="1:12" ht="11.15" customHeight="1">
      <c r="A7508" s="212" t="s">
        <v>10209</v>
      </c>
      <c r="B7508" s="214"/>
      <c r="C7508" s="147"/>
      <c r="D7508" s="161"/>
      <c r="E7508" s="36"/>
      <c r="F7508" s="178"/>
      <c r="G7508" s="496"/>
      <c r="H7508" s="36"/>
      <c r="I7508" s="11"/>
    </row>
    <row r="7509" spans="1:12" ht="11.15" customHeight="1">
      <c r="A7509" s="129" t="s">
        <v>10210</v>
      </c>
      <c r="B7509" s="90"/>
      <c r="C7509" s="147"/>
      <c r="D7509" s="122"/>
      <c r="E7509" s="36"/>
      <c r="F7509" s="178"/>
      <c r="G7509" s="60"/>
      <c r="H7509" s="36"/>
      <c r="I7509" s="11"/>
    </row>
    <row r="7510" spans="1:12" ht="11.15" customHeight="1" thickBot="1">
      <c r="A7510" s="185"/>
      <c r="B7510" s="90"/>
      <c r="C7510" s="147"/>
      <c r="D7510" s="122"/>
      <c r="E7510" s="36"/>
      <c r="F7510" s="178"/>
      <c r="G7510" s="60"/>
      <c r="H7510" s="36"/>
      <c r="I7510" s="11"/>
    </row>
    <row r="7511" spans="1:12" ht="24" customHeight="1" thickBot="1">
      <c r="A7511" s="381"/>
      <c r="B7511" s="64" t="s">
        <v>10211</v>
      </c>
      <c r="C7511" s="170"/>
      <c r="D7511" s="382"/>
      <c r="E7511" s="235"/>
      <c r="F7511" s="383"/>
      <c r="G7511" s="1142"/>
      <c r="H7511" s="516"/>
      <c r="I7511" s="11"/>
    </row>
    <row r="7512" spans="1:12" ht="11.15" customHeight="1" thickBot="1">
      <c r="A7512" s="185"/>
      <c r="B7512" s="87" t="s">
        <v>10212</v>
      </c>
      <c r="C7512" s="147"/>
      <c r="D7512" s="122"/>
      <c r="E7512" s="36"/>
      <c r="F7512" s="183"/>
      <c r="G7512" s="496"/>
      <c r="H7512" s="34"/>
      <c r="I7512" s="11"/>
    </row>
    <row r="7513" spans="1:12" ht="11.15" customHeight="1" thickBot="1">
      <c r="A7513" s="184" t="s">
        <v>10213</v>
      </c>
      <c r="B7513" s="177" t="s">
        <v>10214</v>
      </c>
      <c r="C7513" s="147"/>
      <c r="D7513" s="159"/>
      <c r="E7513" s="36"/>
      <c r="F7513" s="178"/>
      <c r="G7513" s="496"/>
      <c r="H7513" s="36"/>
      <c r="I7513" s="11"/>
    </row>
    <row r="7514" spans="1:12" ht="11.15" customHeight="1">
      <c r="A7514" s="29" t="s">
        <v>10215</v>
      </c>
      <c r="B7514" s="59" t="s">
        <v>21644</v>
      </c>
      <c r="C7514" s="147" t="s">
        <v>23393</v>
      </c>
      <c r="D7514" s="701" t="s">
        <v>1129</v>
      </c>
      <c r="E7514" s="178">
        <v>2023</v>
      </c>
      <c r="F7514" s="178" t="s">
        <v>23395</v>
      </c>
      <c r="G7514" s="496"/>
      <c r="H7514" s="994" t="s">
        <v>20221</v>
      </c>
      <c r="I7514" s="11" t="s">
        <v>10216</v>
      </c>
      <c r="J7514" s="1285"/>
      <c r="K7514" s="1285"/>
      <c r="L7514" s="1285"/>
    </row>
    <row r="7515" spans="1:12" ht="11.15" customHeight="1">
      <c r="A7515" s="129" t="s">
        <v>10217</v>
      </c>
      <c r="B7515" s="177" t="s">
        <v>1153</v>
      </c>
      <c r="C7515" s="147"/>
      <c r="D7515" s="156"/>
      <c r="E7515" s="36"/>
      <c r="F7515" s="178"/>
      <c r="G7515" s="496"/>
      <c r="H7515" s="36"/>
      <c r="I7515" s="11"/>
    </row>
    <row r="7516" spans="1:12" ht="11.15" customHeight="1">
      <c r="A7516" s="162" t="s">
        <v>10218</v>
      </c>
      <c r="B7516" s="59" t="s">
        <v>21645</v>
      </c>
      <c r="C7516" s="147" t="s">
        <v>23393</v>
      </c>
      <c r="D7516" s="1034" t="s">
        <v>2573</v>
      </c>
      <c r="E7516" s="178">
        <v>2024</v>
      </c>
      <c r="F7516" s="178" t="s">
        <v>23395</v>
      </c>
      <c r="G7516" s="496"/>
      <c r="H7516" s="994" t="s">
        <v>20221</v>
      </c>
      <c r="I7516" s="11" t="s">
        <v>10219</v>
      </c>
      <c r="J7516" s="1285"/>
      <c r="K7516" s="1285"/>
      <c r="L7516" s="1285"/>
    </row>
    <row r="7517" spans="1:12" ht="11.15" customHeight="1">
      <c r="A7517" s="355" t="s">
        <v>10220</v>
      </c>
      <c r="B7517" s="59"/>
      <c r="C7517" s="147"/>
      <c r="D7517" s="1034"/>
      <c r="E7517" s="178"/>
      <c r="F7517" s="178"/>
      <c r="G7517" s="496"/>
      <c r="H7517" s="994"/>
      <c r="I7517" s="11"/>
      <c r="J7517" s="1285"/>
      <c r="K7517" s="1285"/>
      <c r="L7517" s="1285"/>
    </row>
    <row r="7518" spans="1:12" ht="11.15" customHeight="1">
      <c r="A7518" s="181" t="s">
        <v>10221</v>
      </c>
      <c r="B7518" s="185"/>
      <c r="C7518" s="147"/>
      <c r="D7518" s="185"/>
      <c r="E7518" s="185"/>
      <c r="F7518" s="185"/>
      <c r="G7518" s="185"/>
      <c r="H7518" s="185"/>
      <c r="I7518" s="11"/>
    </row>
    <row r="7519" spans="1:12" ht="11.15" customHeight="1">
      <c r="A7519" s="29" t="s">
        <v>10222</v>
      </c>
      <c r="B7519" s="185"/>
      <c r="C7519" s="147"/>
      <c r="D7519" s="185"/>
      <c r="E7519" s="185"/>
      <c r="F7519" s="185"/>
      <c r="G7519" s="185"/>
      <c r="H7519" s="185"/>
      <c r="I7519" s="11"/>
    </row>
    <row r="7520" spans="1:12" ht="11.15" customHeight="1">
      <c r="A7520" s="129" t="s">
        <v>10223</v>
      </c>
      <c r="B7520" s="185"/>
      <c r="C7520" s="147"/>
      <c r="D7520" s="185"/>
      <c r="E7520" s="185"/>
      <c r="F7520" s="185"/>
      <c r="G7520" s="185"/>
      <c r="H7520" s="185"/>
      <c r="I7520" s="11"/>
    </row>
    <row r="7521" spans="1:12" ht="11.15" customHeight="1">
      <c r="A7521" s="129" t="s">
        <v>10224</v>
      </c>
      <c r="B7521" s="185"/>
      <c r="C7521" s="147"/>
      <c r="D7521" s="185"/>
      <c r="E7521" s="185"/>
      <c r="F7521" s="185"/>
      <c r="G7521" s="185"/>
      <c r="H7521" s="185"/>
      <c r="I7521" s="11"/>
    </row>
    <row r="7522" spans="1:12" ht="11.15" customHeight="1" thickBot="1">
      <c r="A7522" s="586"/>
      <c r="B7522" s="337" t="s">
        <v>10225</v>
      </c>
      <c r="C7522" s="321"/>
      <c r="D7522" s="320"/>
      <c r="E7522" s="322"/>
      <c r="F7522" s="347"/>
      <c r="G7522" s="1204"/>
      <c r="H7522" s="326"/>
      <c r="I7522" s="11"/>
    </row>
    <row r="7523" spans="1:12" ht="11.15" customHeight="1" thickBot="1">
      <c r="A7523" s="343" t="s">
        <v>10213</v>
      </c>
      <c r="B7523" s="339" t="s">
        <v>10214</v>
      </c>
      <c r="C7523" s="321"/>
      <c r="D7523" s="341"/>
      <c r="E7523" s="322"/>
      <c r="F7523" s="578"/>
      <c r="G7523" s="1204"/>
      <c r="H7523" s="322"/>
      <c r="I7523" s="11"/>
    </row>
    <row r="7524" spans="1:12" ht="11.15" customHeight="1">
      <c r="A7524" s="319" t="s">
        <v>10215</v>
      </c>
      <c r="B7524" s="324" t="s">
        <v>21644</v>
      </c>
      <c r="C7524" s="321" t="s">
        <v>23393</v>
      </c>
      <c r="D7524" s="1297" t="s">
        <v>1129</v>
      </c>
      <c r="E7524" s="578">
        <v>2023</v>
      </c>
      <c r="F7524" s="578" t="s">
        <v>23395</v>
      </c>
      <c r="G7524" s="1204"/>
      <c r="H7524" s="322" t="s">
        <v>20221</v>
      </c>
      <c r="I7524" s="11" t="s">
        <v>10216</v>
      </c>
      <c r="J7524" s="1285"/>
      <c r="K7524" s="1285"/>
      <c r="L7524" s="1285"/>
    </row>
    <row r="7525" spans="1:12" ht="11.15" customHeight="1">
      <c r="A7525" s="319" t="s">
        <v>10226</v>
      </c>
      <c r="B7525" s="324" t="s">
        <v>21646</v>
      </c>
      <c r="C7525" s="321" t="s">
        <v>23393</v>
      </c>
      <c r="D7525" s="1297" t="s">
        <v>1129</v>
      </c>
      <c r="E7525" s="578">
        <v>2024</v>
      </c>
      <c r="F7525" s="578" t="s">
        <v>23395</v>
      </c>
      <c r="G7525" s="1204"/>
      <c r="H7525" s="1296" t="s">
        <v>20221</v>
      </c>
      <c r="I7525" s="21" t="s">
        <v>10227</v>
      </c>
      <c r="J7525" s="1285"/>
      <c r="K7525" s="1285"/>
      <c r="L7525" s="1285"/>
    </row>
    <row r="7526" spans="1:12" ht="11.15" customHeight="1">
      <c r="A7526" s="319" t="s">
        <v>10228</v>
      </c>
      <c r="B7526" s="324" t="s">
        <v>21647</v>
      </c>
      <c r="C7526" s="321" t="s">
        <v>20221</v>
      </c>
      <c r="D7526" s="1297" t="s">
        <v>1129</v>
      </c>
      <c r="E7526" s="578">
        <v>2020</v>
      </c>
      <c r="F7526" s="578" t="s">
        <v>23395</v>
      </c>
      <c r="G7526" s="1204"/>
      <c r="H7526" s="1296" t="s">
        <v>20465</v>
      </c>
      <c r="I7526" s="11" t="s">
        <v>10229</v>
      </c>
      <c r="J7526" s="1285"/>
      <c r="K7526" s="1285"/>
      <c r="L7526" s="1285"/>
    </row>
    <row r="7527" spans="1:12" ht="11.15" customHeight="1">
      <c r="A7527" s="319" t="s">
        <v>10230</v>
      </c>
      <c r="B7527" s="339" t="s">
        <v>1153</v>
      </c>
      <c r="C7527" s="321"/>
      <c r="D7527" s="345"/>
      <c r="E7527" s="322"/>
      <c r="F7527" s="578"/>
      <c r="G7527" s="1204"/>
      <c r="H7527" s="322"/>
      <c r="I7527" s="11"/>
    </row>
    <row r="7528" spans="1:12" ht="11.15" customHeight="1">
      <c r="A7528" s="319" t="s">
        <v>10231</v>
      </c>
      <c r="B7528" s="324" t="s">
        <v>21645</v>
      </c>
      <c r="C7528" s="321" t="s">
        <v>23393</v>
      </c>
      <c r="D7528" s="1036" t="s">
        <v>2573</v>
      </c>
      <c r="E7528" s="578">
        <v>2024</v>
      </c>
      <c r="F7528" s="578" t="s">
        <v>23395</v>
      </c>
      <c r="G7528" s="1204"/>
      <c r="H7528" s="322" t="s">
        <v>20221</v>
      </c>
      <c r="I7528" s="11" t="s">
        <v>10219</v>
      </c>
      <c r="J7528" s="1285"/>
      <c r="K7528" s="1285"/>
      <c r="L7528" s="1285"/>
    </row>
    <row r="7529" spans="1:12" ht="11.15" customHeight="1">
      <c r="A7529" s="319" t="s">
        <v>10232</v>
      </c>
      <c r="B7529" s="339" t="s">
        <v>10233</v>
      </c>
      <c r="C7529" s="321"/>
      <c r="D7529" s="330"/>
      <c r="E7529" s="329"/>
      <c r="F7529" s="329"/>
      <c r="G7529" s="329"/>
      <c r="H7529" s="329"/>
      <c r="I7529" s="11"/>
    </row>
    <row r="7530" spans="1:12" ht="11.15" customHeight="1">
      <c r="A7530" s="319" t="s">
        <v>10234</v>
      </c>
      <c r="B7530" s="324" t="s">
        <v>21648</v>
      </c>
      <c r="C7530" s="321" t="s">
        <v>23393</v>
      </c>
      <c r="D7530" s="1295" t="s">
        <v>897</v>
      </c>
      <c r="E7530" s="578">
        <v>2023</v>
      </c>
      <c r="F7530" s="578" t="s">
        <v>23395</v>
      </c>
      <c r="G7530" s="1204"/>
      <c r="H7530" s="1296" t="s">
        <v>20221</v>
      </c>
      <c r="I7530" s="11" t="s">
        <v>10235</v>
      </c>
      <c r="J7530" s="1285"/>
      <c r="K7530" s="1285"/>
      <c r="L7530" s="1285"/>
    </row>
    <row r="7531" spans="1:12" ht="11.15" customHeight="1">
      <c r="A7531" s="330" t="s">
        <v>10217</v>
      </c>
      <c r="B7531" s="324" t="s">
        <v>21648</v>
      </c>
      <c r="C7531" s="321" t="s">
        <v>23393</v>
      </c>
      <c r="D7531" s="1295" t="s">
        <v>897</v>
      </c>
      <c r="E7531" s="578">
        <v>2022</v>
      </c>
      <c r="F7531" s="578" t="s">
        <v>23395</v>
      </c>
      <c r="G7531" s="1204"/>
      <c r="H7531" s="1296" t="s">
        <v>20465</v>
      </c>
      <c r="I7531" s="11" t="s">
        <v>10236</v>
      </c>
      <c r="J7531" s="1285"/>
      <c r="K7531" s="1285"/>
      <c r="L7531" s="1285"/>
    </row>
    <row r="7532" spans="1:12" ht="11.15" customHeight="1">
      <c r="A7532" s="331" t="s">
        <v>10218</v>
      </c>
      <c r="B7532" s="329"/>
      <c r="C7532" s="321"/>
      <c r="D7532" s="329"/>
      <c r="E7532" s="329"/>
      <c r="F7532" s="329"/>
      <c r="G7532" s="329"/>
      <c r="H7532" s="329"/>
      <c r="I7532" s="11"/>
    </row>
    <row r="7533" spans="1:12" ht="11.15" customHeight="1">
      <c r="A7533" s="587" t="s">
        <v>10220</v>
      </c>
      <c r="B7533" s="329"/>
      <c r="C7533" s="321"/>
      <c r="D7533" s="329"/>
      <c r="E7533" s="329"/>
      <c r="F7533" s="329"/>
      <c r="G7533" s="329"/>
      <c r="H7533" s="329"/>
      <c r="I7533" s="11"/>
    </row>
    <row r="7534" spans="1:12" ht="11.15" customHeight="1">
      <c r="A7534" s="331" t="s">
        <v>10237</v>
      </c>
      <c r="B7534" s="324"/>
      <c r="C7534" s="321"/>
      <c r="D7534" s="345"/>
      <c r="E7534" s="322"/>
      <c r="F7534" s="578"/>
      <c r="G7534" s="1204"/>
      <c r="H7534" s="322"/>
      <c r="I7534" s="11"/>
    </row>
    <row r="7535" spans="1:12" ht="11.15" customHeight="1">
      <c r="A7535" s="342" t="s">
        <v>10221</v>
      </c>
      <c r="B7535" s="324"/>
      <c r="C7535" s="321"/>
      <c r="D7535" s="345"/>
      <c r="E7535" s="322"/>
      <c r="F7535" s="578"/>
      <c r="G7535" s="1204"/>
      <c r="H7535" s="322"/>
      <c r="I7535" s="11"/>
    </row>
    <row r="7536" spans="1:12" ht="11.15" customHeight="1">
      <c r="A7536" s="330" t="s">
        <v>10238</v>
      </c>
      <c r="B7536" s="337"/>
      <c r="C7536" s="321"/>
      <c r="D7536" s="320"/>
      <c r="E7536" s="322"/>
      <c r="F7536" s="347"/>
      <c r="G7536" s="1204"/>
      <c r="H7536" s="326"/>
      <c r="I7536" s="11"/>
    </row>
    <row r="7537" spans="1:12" ht="11.15" customHeight="1">
      <c r="A7537" s="330" t="s">
        <v>10224</v>
      </c>
      <c r="B7537" s="339"/>
      <c r="C7537" s="321"/>
      <c r="D7537" s="341"/>
      <c r="E7537" s="322"/>
      <c r="F7537" s="578"/>
      <c r="G7537" s="1204"/>
      <c r="H7537" s="322"/>
      <c r="I7537" s="11"/>
    </row>
    <row r="7538" spans="1:12" ht="11.15" customHeight="1" thickBot="1">
      <c r="A7538" s="271"/>
      <c r="B7538" s="185"/>
      <c r="C7538" s="147"/>
      <c r="D7538" s="185"/>
      <c r="E7538" s="185"/>
      <c r="F7538" s="185"/>
      <c r="G7538" s="185"/>
      <c r="H7538" s="185"/>
      <c r="I7538" s="11"/>
    </row>
    <row r="7539" spans="1:12" ht="11.15" customHeight="1">
      <c r="A7539" s="153" t="s">
        <v>10239</v>
      </c>
      <c r="B7539" s="59" t="s">
        <v>21649</v>
      </c>
      <c r="C7539" s="147" t="s">
        <v>20221</v>
      </c>
      <c r="D7539" s="1037" t="s">
        <v>2573</v>
      </c>
      <c r="E7539" s="178">
        <v>2023</v>
      </c>
      <c r="F7539" s="178" t="s">
        <v>4520</v>
      </c>
      <c r="G7539" s="496"/>
      <c r="H7539" s="994" t="s">
        <v>20221</v>
      </c>
      <c r="I7539" s="11" t="s">
        <v>10240</v>
      </c>
      <c r="J7539" s="1285"/>
      <c r="K7539" s="1285"/>
      <c r="L7539" s="1285"/>
    </row>
    <row r="7540" spans="1:12" ht="11.15" customHeight="1" thickBot="1">
      <c r="A7540" s="230" t="s">
        <v>10241</v>
      </c>
      <c r="B7540" s="59" t="s">
        <v>21650</v>
      </c>
      <c r="C7540" s="147" t="s">
        <v>20221</v>
      </c>
      <c r="D7540" s="284" t="s">
        <v>897</v>
      </c>
      <c r="E7540" s="178">
        <v>2022</v>
      </c>
      <c r="F7540" s="178" t="s">
        <v>4520</v>
      </c>
      <c r="G7540" s="496"/>
      <c r="H7540" s="994" t="s">
        <v>20221</v>
      </c>
      <c r="I7540" s="11" t="s">
        <v>10242</v>
      </c>
      <c r="J7540" s="1285"/>
      <c r="K7540" s="1285"/>
      <c r="L7540" s="1285"/>
    </row>
    <row r="7541" spans="1:12" ht="11.15" customHeight="1">
      <c r="A7541" s="29" t="s">
        <v>10243</v>
      </c>
      <c r="B7541" s="90"/>
      <c r="C7541" s="147"/>
      <c r="D7541" s="161"/>
      <c r="E7541" s="34"/>
      <c r="F7541" s="178"/>
      <c r="G7541" s="496"/>
      <c r="H7541" s="36"/>
      <c r="I7541" s="11"/>
    </row>
    <row r="7542" spans="1:12" ht="11.15" customHeight="1">
      <c r="A7542" s="29" t="s">
        <v>10244</v>
      </c>
      <c r="B7542" s="90"/>
      <c r="C7542" s="147"/>
      <c r="D7542" s="161"/>
      <c r="E7542" s="34"/>
      <c r="F7542" s="178"/>
      <c r="G7542" s="496"/>
      <c r="H7542" s="36"/>
      <c r="I7542" s="11"/>
    </row>
    <row r="7543" spans="1:12" ht="11.15" customHeight="1">
      <c r="A7543" s="29" t="s">
        <v>10245</v>
      </c>
      <c r="B7543" s="90"/>
      <c r="C7543" s="147"/>
      <c r="D7543" s="122"/>
      <c r="E7543" s="36"/>
      <c r="F7543" s="178"/>
      <c r="G7543" s="60"/>
      <c r="H7543" s="36"/>
      <c r="I7543" s="11"/>
    </row>
    <row r="7544" spans="1:12" ht="11.15" customHeight="1">
      <c r="A7544" s="29" t="s">
        <v>10246</v>
      </c>
      <c r="B7544" s="90"/>
      <c r="C7544" s="147"/>
      <c r="D7544" s="122"/>
      <c r="E7544" s="36"/>
      <c r="F7544" s="178"/>
      <c r="G7544" s="60"/>
      <c r="H7544" s="36"/>
      <c r="I7544" s="11"/>
    </row>
    <row r="7545" spans="1:12" ht="11.15" customHeight="1">
      <c r="A7545" s="29" t="s">
        <v>10247</v>
      </c>
      <c r="B7545" s="90"/>
      <c r="C7545" s="147"/>
      <c r="D7545" s="122"/>
      <c r="E7545" s="36"/>
      <c r="F7545" s="178"/>
      <c r="G7545" s="60"/>
      <c r="H7545" s="36"/>
      <c r="I7545" s="11"/>
    </row>
    <row r="7546" spans="1:12" ht="11.15" customHeight="1">
      <c r="A7546" s="181" t="s">
        <v>10248</v>
      </c>
      <c r="B7546" s="185"/>
      <c r="C7546" s="147"/>
      <c r="D7546" s="129"/>
      <c r="E7546" s="185"/>
      <c r="F7546" s="185"/>
      <c r="G7546" s="185"/>
      <c r="H7546" s="185"/>
      <c r="I7546" s="11"/>
    </row>
    <row r="7547" spans="1:12" ht="11.15" customHeight="1">
      <c r="A7547" s="29" t="s">
        <v>10249</v>
      </c>
      <c r="B7547" s="90"/>
      <c r="C7547" s="147"/>
      <c r="D7547" s="122"/>
      <c r="E7547" s="36"/>
      <c r="F7547" s="178"/>
      <c r="G7547" s="60"/>
      <c r="H7547" s="36"/>
      <c r="I7547" s="11"/>
    </row>
    <row r="7548" spans="1:12" ht="11.15" customHeight="1">
      <c r="A7548" s="29" t="s">
        <v>10250</v>
      </c>
      <c r="B7548" s="90"/>
      <c r="C7548" s="147"/>
      <c r="D7548" s="122"/>
      <c r="E7548" s="36"/>
      <c r="F7548" s="178"/>
      <c r="G7548" s="60"/>
      <c r="H7548" s="36"/>
      <c r="I7548" s="11"/>
    </row>
    <row r="7549" spans="1:12" ht="11.15" customHeight="1">
      <c r="A7549" s="29" t="s">
        <v>10251</v>
      </c>
      <c r="B7549" s="185"/>
      <c r="C7549" s="147"/>
      <c r="D7549" s="129"/>
      <c r="E7549" s="185"/>
      <c r="F7549" s="185"/>
      <c r="G7549" s="185"/>
      <c r="H7549" s="185"/>
      <c r="I7549" s="11"/>
    </row>
    <row r="7550" spans="1:12" ht="11.15" customHeight="1">
      <c r="A7550" s="29" t="s">
        <v>10252</v>
      </c>
      <c r="B7550" s="90"/>
      <c r="C7550" s="147"/>
      <c r="D7550" s="122"/>
      <c r="E7550" s="36"/>
      <c r="F7550" s="178"/>
      <c r="G7550" s="60"/>
      <c r="H7550" s="36"/>
      <c r="I7550" s="11"/>
    </row>
    <row r="7551" spans="1:12" ht="11.15" customHeight="1">
      <c r="A7551" s="169" t="s">
        <v>10253</v>
      </c>
      <c r="B7551" s="90"/>
      <c r="C7551" s="147"/>
      <c r="D7551" s="122"/>
      <c r="E7551" s="36"/>
      <c r="F7551" s="178"/>
      <c r="G7551" s="60"/>
      <c r="H7551" s="36"/>
      <c r="I7551" s="11"/>
    </row>
    <row r="7552" spans="1:12" ht="10.5" customHeight="1">
      <c r="A7552" s="588" t="s">
        <v>4132</v>
      </c>
      <c r="B7552" s="589"/>
      <c r="C7552" s="147"/>
      <c r="D7552" s="161"/>
      <c r="E7552" s="36"/>
      <c r="F7552" s="183"/>
      <c r="G7552" s="60"/>
      <c r="H7552" s="34"/>
      <c r="I7552" s="11"/>
    </row>
    <row r="7553" spans="1:12" ht="11.15" customHeight="1">
      <c r="A7553" s="129" t="s">
        <v>10254</v>
      </c>
      <c r="B7553" s="90"/>
      <c r="C7553" s="147"/>
      <c r="D7553" s="122"/>
      <c r="E7553" s="36"/>
      <c r="F7553" s="178"/>
      <c r="G7553" s="60"/>
      <c r="H7553" s="36"/>
      <c r="I7553" s="11"/>
    </row>
    <row r="7554" spans="1:12" ht="11.15" customHeight="1" thickBot="1">
      <c r="A7554" s="29"/>
      <c r="B7554" s="90"/>
      <c r="C7554" s="147"/>
      <c r="D7554" s="122"/>
      <c r="E7554" s="36"/>
      <c r="F7554" s="178"/>
      <c r="G7554" s="60"/>
      <c r="H7554" s="36"/>
      <c r="I7554" s="11"/>
    </row>
    <row r="7555" spans="1:12" ht="11.15" customHeight="1" thickBot="1">
      <c r="A7555" s="184" t="s">
        <v>10255</v>
      </c>
      <c r="B7555" s="59" t="s">
        <v>21652</v>
      </c>
      <c r="C7555" s="147" t="s">
        <v>20221</v>
      </c>
      <c r="D7555" s="284" t="s">
        <v>897</v>
      </c>
      <c r="E7555" s="178">
        <v>2015</v>
      </c>
      <c r="F7555" s="178" t="s">
        <v>4520</v>
      </c>
      <c r="G7555" s="496"/>
      <c r="H7555" s="994" t="s">
        <v>20277</v>
      </c>
      <c r="I7555" s="11" t="s">
        <v>10256</v>
      </c>
      <c r="J7555" s="1285"/>
      <c r="K7555" s="1285"/>
      <c r="L7555" s="1285"/>
    </row>
    <row r="7556" spans="1:12" ht="11.15" customHeight="1">
      <c r="A7556" s="29" t="s">
        <v>10257</v>
      </c>
      <c r="B7556" s="59" t="s">
        <v>21653</v>
      </c>
      <c r="C7556" s="147" t="s">
        <v>20221</v>
      </c>
      <c r="D7556" s="284" t="s">
        <v>897</v>
      </c>
      <c r="E7556" s="178">
        <v>2015</v>
      </c>
      <c r="F7556" s="178" t="s">
        <v>4520</v>
      </c>
      <c r="G7556" s="496"/>
      <c r="H7556" s="994" t="s">
        <v>20221</v>
      </c>
      <c r="I7556" s="11" t="s">
        <v>10258</v>
      </c>
      <c r="J7556" s="1285"/>
      <c r="K7556" s="1285"/>
      <c r="L7556" s="1285"/>
    </row>
    <row r="7557" spans="1:12" ht="11.15" customHeight="1">
      <c r="A7557" s="29" t="s">
        <v>10259</v>
      </c>
      <c r="B7557" s="59" t="s">
        <v>21653</v>
      </c>
      <c r="C7557" s="147" t="s">
        <v>20221</v>
      </c>
      <c r="D7557" s="284" t="s">
        <v>897</v>
      </c>
      <c r="E7557" s="178">
        <v>2013</v>
      </c>
      <c r="F7557" s="178" t="s">
        <v>4520</v>
      </c>
      <c r="G7557" s="496"/>
      <c r="H7557" s="994" t="s">
        <v>20221</v>
      </c>
      <c r="I7557" s="11" t="s">
        <v>10260</v>
      </c>
      <c r="J7557" s="1285"/>
      <c r="K7557" s="1285"/>
      <c r="L7557" s="1285"/>
    </row>
    <row r="7558" spans="1:12" ht="11.15" customHeight="1">
      <c r="A7558" s="29" t="s">
        <v>10261</v>
      </c>
      <c r="B7558" s="185"/>
      <c r="C7558" s="147"/>
      <c r="D7558" s="129"/>
      <c r="E7558" s="185"/>
      <c r="F7558" s="185"/>
      <c r="G7558" s="185"/>
      <c r="H7558" s="185"/>
      <c r="I7558" s="11"/>
    </row>
    <row r="7559" spans="1:12" ht="11.15" customHeight="1">
      <c r="A7559" s="29" t="s">
        <v>10262</v>
      </c>
      <c r="B7559" s="185"/>
      <c r="C7559" s="147"/>
      <c r="D7559" s="129"/>
      <c r="E7559" s="185"/>
      <c r="F7559" s="185"/>
      <c r="G7559" s="185"/>
      <c r="H7559" s="185"/>
      <c r="I7559" s="11"/>
    </row>
    <row r="7560" spans="1:12" ht="11.15" customHeight="1">
      <c r="A7560" s="181" t="s">
        <v>10263</v>
      </c>
      <c r="B7560" s="90"/>
      <c r="C7560" s="147"/>
      <c r="D7560" s="122"/>
      <c r="E7560" s="36"/>
      <c r="F7560" s="178"/>
      <c r="G7560" s="60"/>
      <c r="H7560" s="36"/>
      <c r="I7560" s="11"/>
    </row>
    <row r="7561" spans="1:12" ht="11.15" customHeight="1">
      <c r="A7561" s="129" t="s">
        <v>903</v>
      </c>
      <c r="B7561" s="90"/>
      <c r="C7561" s="147"/>
      <c r="D7561" s="122"/>
      <c r="E7561" s="36"/>
      <c r="F7561" s="178"/>
      <c r="G7561" s="60"/>
      <c r="H7561" s="36"/>
      <c r="I7561" s="11"/>
    </row>
    <row r="7562" spans="1:12" ht="11.15" customHeight="1">
      <c r="A7562" s="162" t="s">
        <v>10264</v>
      </c>
      <c r="B7562" s="90"/>
      <c r="C7562" s="147"/>
      <c r="D7562" s="122"/>
      <c r="E7562" s="36"/>
      <c r="F7562" s="178"/>
      <c r="G7562" s="60"/>
      <c r="H7562" s="36"/>
      <c r="I7562" s="11"/>
    </row>
    <row r="7563" spans="1:12" ht="11.15" customHeight="1">
      <c r="A7563" s="162" t="s">
        <v>10265</v>
      </c>
      <c r="B7563" s="90"/>
      <c r="C7563" s="147"/>
      <c r="D7563" s="122"/>
      <c r="E7563" s="36"/>
      <c r="F7563" s="178"/>
      <c r="G7563" s="60"/>
      <c r="H7563" s="36"/>
      <c r="I7563" s="11"/>
    </row>
    <row r="7564" spans="1:12" ht="11.15" customHeight="1">
      <c r="A7564" s="162" t="s">
        <v>10266</v>
      </c>
      <c r="B7564" s="90"/>
      <c r="C7564" s="147"/>
      <c r="D7564" s="122"/>
      <c r="E7564" s="36"/>
      <c r="F7564" s="178"/>
      <c r="G7564" s="60"/>
      <c r="H7564" s="36"/>
      <c r="I7564" s="11"/>
    </row>
    <row r="7565" spans="1:12" ht="11.15" customHeight="1">
      <c r="A7565" s="162" t="s">
        <v>10267</v>
      </c>
      <c r="B7565" s="90"/>
      <c r="C7565" s="147"/>
      <c r="D7565" s="122"/>
      <c r="E7565" s="36"/>
      <c r="F7565" s="178"/>
      <c r="G7565" s="60"/>
      <c r="H7565" s="36"/>
      <c r="I7565" s="11"/>
    </row>
    <row r="7566" spans="1:12" ht="11.15" customHeight="1">
      <c r="A7566" s="129" t="s">
        <v>2398</v>
      </c>
      <c r="B7566" s="90"/>
      <c r="C7566" s="147"/>
      <c r="D7566" s="122"/>
      <c r="E7566" s="36"/>
      <c r="F7566" s="178"/>
      <c r="G7566" s="60"/>
      <c r="H7566" s="36"/>
      <c r="I7566" s="11"/>
    </row>
    <row r="7567" spans="1:12" ht="11.15" customHeight="1">
      <c r="A7567" s="166" t="s">
        <v>10268</v>
      </c>
      <c r="B7567" s="90"/>
      <c r="C7567" s="147"/>
      <c r="D7567" s="122"/>
      <c r="E7567" s="36"/>
      <c r="F7567" s="178"/>
      <c r="G7567" s="60"/>
      <c r="H7567" s="36"/>
      <c r="I7567" s="11"/>
    </row>
    <row r="7568" spans="1:12" ht="11.15" customHeight="1">
      <c r="A7568" s="129" t="s">
        <v>10269</v>
      </c>
      <c r="B7568" s="214"/>
      <c r="C7568" s="147"/>
      <c r="D7568" s="161"/>
      <c r="E7568" s="36"/>
      <c r="F7568" s="178"/>
      <c r="G7568" s="496"/>
      <c r="H7568" s="36"/>
      <c r="I7568" s="11"/>
    </row>
    <row r="7569" spans="1:12" ht="11.15" customHeight="1">
      <c r="A7569" s="29"/>
      <c r="B7569" s="413" t="s">
        <v>10270</v>
      </c>
      <c r="C7569" s="147"/>
      <c r="D7569" s="122"/>
      <c r="E7569" s="36"/>
      <c r="F7569" s="178"/>
      <c r="G7569" s="60"/>
      <c r="H7569" s="36"/>
      <c r="I7569" s="11"/>
    </row>
    <row r="7570" spans="1:12" ht="9" customHeight="1">
      <c r="A7570" s="185"/>
      <c r="B7570" s="216" t="s">
        <v>10271</v>
      </c>
      <c r="C7570" s="147"/>
      <c r="D7570" s="122"/>
      <c r="E7570" s="36"/>
      <c r="F7570" s="178"/>
      <c r="G7570" s="60"/>
      <c r="H7570" s="36"/>
      <c r="I7570" s="11"/>
    </row>
    <row r="7571" spans="1:12" ht="9" customHeight="1">
      <c r="A7571" s="285"/>
      <c r="B7571" s="209" t="s">
        <v>10272</v>
      </c>
      <c r="C7571" s="147"/>
      <c r="D7571" s="122"/>
      <c r="E7571" s="36"/>
      <c r="F7571" s="178"/>
      <c r="G7571" s="60"/>
      <c r="H7571" s="36"/>
      <c r="I7571" s="11"/>
    </row>
    <row r="7572" spans="1:12" ht="9" customHeight="1">
      <c r="A7572" s="158"/>
      <c r="B7572" s="150" t="s">
        <v>10273</v>
      </c>
      <c r="C7572" s="147"/>
      <c r="D7572" s="122"/>
      <c r="E7572" s="36"/>
      <c r="F7572" s="178"/>
      <c r="G7572" s="60"/>
      <c r="H7572" s="36"/>
      <c r="I7572" s="11"/>
    </row>
    <row r="7573" spans="1:12" ht="9" customHeight="1">
      <c r="A7573" s="158"/>
      <c r="B7573" s="150" t="s">
        <v>10274</v>
      </c>
      <c r="C7573" s="147"/>
      <c r="D7573" s="122"/>
      <c r="E7573" s="36"/>
      <c r="F7573" s="178"/>
      <c r="G7573" s="60"/>
      <c r="H7573" s="36"/>
      <c r="I7573" s="11"/>
    </row>
    <row r="7574" spans="1:12" ht="9" customHeight="1" thickBot="1">
      <c r="A7574" s="158"/>
      <c r="B7574" s="150" t="s">
        <v>10275</v>
      </c>
      <c r="C7574" s="147"/>
      <c r="D7574" s="122"/>
      <c r="E7574" s="36"/>
      <c r="F7574" s="178"/>
      <c r="G7574" s="60"/>
      <c r="H7574" s="36"/>
      <c r="I7574" s="11"/>
    </row>
    <row r="7575" spans="1:12" ht="11.15" customHeight="1">
      <c r="A7575" s="153" t="s">
        <v>10276</v>
      </c>
      <c r="B7575" s="240" t="s">
        <v>1153</v>
      </c>
      <c r="C7575" s="147"/>
      <c r="D7575" s="122"/>
      <c r="E7575" s="36"/>
      <c r="F7575" s="178"/>
      <c r="G7575" s="60"/>
      <c r="H7575" s="36"/>
      <c r="I7575" s="11"/>
    </row>
    <row r="7576" spans="1:12" ht="11.15" customHeight="1" thickBot="1">
      <c r="A7576" s="230" t="s">
        <v>10277</v>
      </c>
      <c r="B7576" s="59" t="s">
        <v>21654</v>
      </c>
      <c r="C7576" s="147" t="s">
        <v>20221</v>
      </c>
      <c r="D7576" s="1034" t="s">
        <v>2573</v>
      </c>
      <c r="E7576" s="178">
        <v>2014</v>
      </c>
      <c r="F7576" s="178" t="s">
        <v>23395</v>
      </c>
      <c r="G7576" s="496"/>
      <c r="H7576" s="994" t="s">
        <v>3907</v>
      </c>
      <c r="I7576" s="11" t="s">
        <v>10278</v>
      </c>
      <c r="J7576" s="1285"/>
      <c r="K7576" s="1285"/>
      <c r="L7576" s="1285"/>
    </row>
    <row r="7577" spans="1:12" ht="11.15" customHeight="1">
      <c r="A7577" s="29" t="s">
        <v>10279</v>
      </c>
      <c r="B7577" s="240" t="s">
        <v>2242</v>
      </c>
      <c r="C7577" s="147"/>
      <c r="D7577" s="156"/>
      <c r="E7577" s="36"/>
      <c r="F7577" s="178"/>
      <c r="G7577" s="496"/>
      <c r="H7577" s="36"/>
      <c r="I7577" s="11"/>
    </row>
    <row r="7578" spans="1:12" ht="11.15" customHeight="1">
      <c r="A7578" s="181" t="s">
        <v>10280</v>
      </c>
      <c r="B7578" s="59" t="s">
        <v>21655</v>
      </c>
      <c r="C7578" s="147" t="s">
        <v>23393</v>
      </c>
      <c r="D7578" s="701" t="s">
        <v>1129</v>
      </c>
      <c r="E7578" s="178">
        <v>2023</v>
      </c>
      <c r="F7578" s="178" t="s">
        <v>4520</v>
      </c>
      <c r="G7578" s="496"/>
      <c r="H7578" s="994" t="s">
        <v>20221</v>
      </c>
      <c r="I7578" s="11" t="s">
        <v>10281</v>
      </c>
      <c r="J7578" s="1285"/>
      <c r="K7578" s="1285"/>
      <c r="L7578" s="1285"/>
    </row>
    <row r="7579" spans="1:12" ht="11.15" customHeight="1">
      <c r="A7579" s="29" t="s">
        <v>10282</v>
      </c>
      <c r="B7579" s="59" t="s">
        <v>21655</v>
      </c>
      <c r="C7579" s="147" t="s">
        <v>23393</v>
      </c>
      <c r="D7579" s="701" t="s">
        <v>1129</v>
      </c>
      <c r="E7579" s="178">
        <v>2022</v>
      </c>
      <c r="F7579" s="178" t="s">
        <v>4520</v>
      </c>
      <c r="G7579" s="496"/>
      <c r="H7579" s="994" t="s">
        <v>20221</v>
      </c>
      <c r="I7579" s="11" t="s">
        <v>10283</v>
      </c>
      <c r="J7579" s="1285"/>
      <c r="K7579" s="1285"/>
      <c r="L7579" s="1285"/>
    </row>
    <row r="7580" spans="1:12" ht="11.15" customHeight="1">
      <c r="A7580" s="29" t="s">
        <v>10284</v>
      </c>
      <c r="B7580" s="59" t="s">
        <v>21655</v>
      </c>
      <c r="C7580" s="147" t="s">
        <v>23393</v>
      </c>
      <c r="D7580" s="701" t="s">
        <v>1129</v>
      </c>
      <c r="E7580" s="178">
        <v>2020</v>
      </c>
      <c r="F7580" s="178" t="s">
        <v>4520</v>
      </c>
      <c r="G7580" s="496"/>
      <c r="H7580" s="994" t="s">
        <v>20221</v>
      </c>
      <c r="I7580" s="11" t="s">
        <v>10285</v>
      </c>
      <c r="J7580" s="1285"/>
      <c r="K7580" s="1285"/>
      <c r="L7580" s="1285"/>
    </row>
    <row r="7581" spans="1:12" ht="11.15" customHeight="1">
      <c r="A7581" s="29" t="s">
        <v>10286</v>
      </c>
      <c r="B7581" s="59" t="s">
        <v>21655</v>
      </c>
      <c r="C7581" s="147" t="s">
        <v>20221</v>
      </c>
      <c r="D7581" s="701" t="s">
        <v>1129</v>
      </c>
      <c r="E7581" s="178">
        <v>2019</v>
      </c>
      <c r="F7581" s="178" t="s">
        <v>4520</v>
      </c>
      <c r="G7581" s="496"/>
      <c r="H7581" s="994" t="s">
        <v>20221</v>
      </c>
      <c r="I7581" s="11" t="s">
        <v>10287</v>
      </c>
      <c r="J7581" s="1285"/>
      <c r="K7581" s="1285"/>
      <c r="L7581" s="1285"/>
    </row>
    <row r="7582" spans="1:12" ht="11.15" customHeight="1">
      <c r="A7582" s="181" t="s">
        <v>10288</v>
      </c>
      <c r="B7582" s="59" t="s">
        <v>21656</v>
      </c>
      <c r="C7582" s="147" t="s">
        <v>23393</v>
      </c>
      <c r="D7582" s="701" t="s">
        <v>1129</v>
      </c>
      <c r="E7582" s="178">
        <v>2020</v>
      </c>
      <c r="F7582" s="178" t="s">
        <v>11931</v>
      </c>
      <c r="G7582" s="496"/>
      <c r="H7582" s="994" t="s">
        <v>20224</v>
      </c>
      <c r="I7582" s="11" t="s">
        <v>10289</v>
      </c>
      <c r="J7582" s="1285"/>
      <c r="K7582" s="1285"/>
      <c r="L7582" s="1285"/>
    </row>
    <row r="7583" spans="1:12" ht="11.15" customHeight="1">
      <c r="A7583" s="129" t="s">
        <v>10290</v>
      </c>
      <c r="B7583" s="240" t="s">
        <v>10291</v>
      </c>
      <c r="C7583" s="147"/>
      <c r="D7583" s="156"/>
      <c r="E7583" s="36"/>
      <c r="F7583" s="178"/>
      <c r="G7583" s="496"/>
      <c r="H7583" s="36"/>
      <c r="I7583" s="11"/>
    </row>
    <row r="7584" spans="1:12" ht="11.15" customHeight="1">
      <c r="A7584" s="129" t="s">
        <v>896</v>
      </c>
      <c r="B7584" s="59" t="s">
        <v>21657</v>
      </c>
      <c r="C7584" s="147" t="s">
        <v>20221</v>
      </c>
      <c r="D7584" s="701" t="s">
        <v>1129</v>
      </c>
      <c r="E7584" s="178">
        <v>2023</v>
      </c>
      <c r="F7584" s="178" t="s">
        <v>4520</v>
      </c>
      <c r="G7584" s="496"/>
      <c r="H7584" s="994" t="s">
        <v>20221</v>
      </c>
      <c r="I7584" s="11" t="s">
        <v>10292</v>
      </c>
      <c r="J7584" s="1285"/>
      <c r="K7584" s="1285"/>
      <c r="L7584" s="1285"/>
    </row>
    <row r="7585" spans="1:12" ht="11.15" customHeight="1">
      <c r="A7585" s="162" t="s">
        <v>10293</v>
      </c>
      <c r="B7585" s="59" t="s">
        <v>21657</v>
      </c>
      <c r="C7585" s="147" t="s">
        <v>20221</v>
      </c>
      <c r="D7585" s="701" t="s">
        <v>1129</v>
      </c>
      <c r="E7585" s="178">
        <v>2022</v>
      </c>
      <c r="F7585" s="178" t="s">
        <v>4520</v>
      </c>
      <c r="G7585" s="496"/>
      <c r="H7585" s="994" t="s">
        <v>20221</v>
      </c>
      <c r="I7585" s="11" t="s">
        <v>10294</v>
      </c>
      <c r="J7585" s="1285"/>
      <c r="K7585" s="1285"/>
      <c r="L7585" s="1285"/>
    </row>
    <row r="7586" spans="1:12" ht="11.15" customHeight="1">
      <c r="A7586" s="164" t="s">
        <v>10295</v>
      </c>
      <c r="B7586" s="59" t="s">
        <v>21657</v>
      </c>
      <c r="C7586" s="147" t="s">
        <v>20221</v>
      </c>
      <c r="D7586" s="701" t="s">
        <v>1129</v>
      </c>
      <c r="E7586" s="178">
        <v>2021</v>
      </c>
      <c r="F7586" s="178" t="s">
        <v>4520</v>
      </c>
      <c r="G7586" s="496"/>
      <c r="H7586" s="994" t="s">
        <v>20221</v>
      </c>
      <c r="I7586" s="11" t="s">
        <v>10296</v>
      </c>
      <c r="J7586" s="1285"/>
      <c r="K7586" s="1285"/>
      <c r="L7586" s="1285"/>
    </row>
    <row r="7587" spans="1:12" ht="11.15" customHeight="1">
      <c r="A7587" s="162" t="s">
        <v>10297</v>
      </c>
      <c r="B7587" s="59" t="s">
        <v>21658</v>
      </c>
      <c r="C7587" s="147" t="s">
        <v>20221</v>
      </c>
      <c r="D7587" s="701" t="s">
        <v>1129</v>
      </c>
      <c r="E7587" s="178">
        <v>2021</v>
      </c>
      <c r="F7587" s="178" t="s">
        <v>11931</v>
      </c>
      <c r="G7587" s="496"/>
      <c r="H7587" s="994" t="s">
        <v>20224</v>
      </c>
      <c r="I7587" s="11" t="s">
        <v>10298</v>
      </c>
      <c r="J7587" s="1285"/>
      <c r="K7587" s="1285"/>
      <c r="L7587" s="1285"/>
    </row>
    <row r="7588" spans="1:12" ht="11.15" customHeight="1">
      <c r="A7588" s="164" t="s">
        <v>10299</v>
      </c>
      <c r="B7588" s="177" t="s">
        <v>1398</v>
      </c>
      <c r="C7588" s="147"/>
      <c r="D7588" s="159"/>
      <c r="E7588" s="36"/>
      <c r="F7588" s="183"/>
      <c r="G7588" s="496"/>
      <c r="H7588" s="34"/>
      <c r="I7588" s="11"/>
    </row>
    <row r="7589" spans="1:12" ht="11.15" customHeight="1">
      <c r="A7589" s="162" t="s">
        <v>10300</v>
      </c>
      <c r="B7589" s="59" t="s">
        <v>21659</v>
      </c>
      <c r="C7589" s="147" t="s">
        <v>23393</v>
      </c>
      <c r="D7589" s="284" t="s">
        <v>897</v>
      </c>
      <c r="E7589" s="178">
        <v>2020</v>
      </c>
      <c r="F7589" s="178" t="s">
        <v>7168</v>
      </c>
      <c r="G7589" s="496"/>
      <c r="H7589" s="994" t="s">
        <v>20221</v>
      </c>
      <c r="I7589" s="11" t="s">
        <v>10301</v>
      </c>
      <c r="J7589" s="1285"/>
      <c r="K7589" s="1285"/>
      <c r="L7589" s="1285"/>
    </row>
    <row r="7590" spans="1:12" ht="11.15" customHeight="1">
      <c r="A7590" s="162" t="s">
        <v>10302</v>
      </c>
      <c r="B7590" s="59" t="s">
        <v>21659</v>
      </c>
      <c r="C7590" s="147" t="s">
        <v>23393</v>
      </c>
      <c r="D7590" s="284" t="s">
        <v>897</v>
      </c>
      <c r="E7590" s="178">
        <v>2018</v>
      </c>
      <c r="F7590" s="178" t="s">
        <v>7168</v>
      </c>
      <c r="G7590" s="496"/>
      <c r="H7590" s="994" t="s">
        <v>20221</v>
      </c>
      <c r="I7590" s="11" t="s">
        <v>10303</v>
      </c>
      <c r="J7590" s="1285"/>
      <c r="K7590" s="1285"/>
      <c r="L7590" s="1285"/>
    </row>
    <row r="7591" spans="1:12" ht="11.15" customHeight="1">
      <c r="A7591" s="162" t="s">
        <v>10304</v>
      </c>
      <c r="B7591" s="59" t="s">
        <v>21660</v>
      </c>
      <c r="C7591" s="147" t="s">
        <v>23393</v>
      </c>
      <c r="D7591" s="284" t="s">
        <v>897</v>
      </c>
      <c r="E7591" s="178">
        <v>2023</v>
      </c>
      <c r="F7591" s="178" t="s">
        <v>4520</v>
      </c>
      <c r="G7591" s="496"/>
      <c r="H7591" s="994" t="s">
        <v>20221</v>
      </c>
      <c r="I7591" s="11" t="s">
        <v>10305</v>
      </c>
      <c r="J7591" s="1285"/>
      <c r="K7591" s="1285"/>
      <c r="L7591" s="1285"/>
    </row>
    <row r="7592" spans="1:12" ht="11.15" customHeight="1">
      <c r="A7592" s="164" t="s">
        <v>10306</v>
      </c>
      <c r="B7592" s="59" t="s">
        <v>21660</v>
      </c>
      <c r="C7592" s="147" t="s">
        <v>23393</v>
      </c>
      <c r="D7592" s="284" t="s">
        <v>897</v>
      </c>
      <c r="E7592" s="178">
        <v>2022</v>
      </c>
      <c r="F7592" s="178" t="s">
        <v>4520</v>
      </c>
      <c r="G7592" s="496"/>
      <c r="H7592" s="994" t="s">
        <v>20221</v>
      </c>
      <c r="I7592" s="11" t="s">
        <v>10307</v>
      </c>
      <c r="J7592" s="1285"/>
      <c r="K7592" s="1285"/>
      <c r="L7592" s="1285"/>
    </row>
    <row r="7593" spans="1:12" ht="11.15" customHeight="1">
      <c r="A7593" s="162" t="s">
        <v>10308</v>
      </c>
      <c r="B7593" s="59" t="s">
        <v>21660</v>
      </c>
      <c r="C7593" s="147" t="s">
        <v>23393</v>
      </c>
      <c r="D7593" s="284" t="s">
        <v>897</v>
      </c>
      <c r="E7593" s="178">
        <v>2021</v>
      </c>
      <c r="F7593" s="178" t="s">
        <v>4520</v>
      </c>
      <c r="G7593" s="496"/>
      <c r="H7593" s="994" t="s">
        <v>20221</v>
      </c>
      <c r="I7593" s="11" t="s">
        <v>10309</v>
      </c>
      <c r="J7593" s="1285"/>
      <c r="K7593" s="1285"/>
      <c r="L7593" s="1285"/>
    </row>
    <row r="7594" spans="1:12" ht="11.15" customHeight="1">
      <c r="A7594" s="162" t="s">
        <v>10310</v>
      </c>
      <c r="B7594" s="59" t="s">
        <v>21660</v>
      </c>
      <c r="C7594" s="147" t="s">
        <v>23393</v>
      </c>
      <c r="D7594" s="284" t="s">
        <v>897</v>
      </c>
      <c r="E7594" s="178">
        <v>2020</v>
      </c>
      <c r="F7594" s="178" t="s">
        <v>4520</v>
      </c>
      <c r="G7594" s="496"/>
      <c r="H7594" s="994" t="s">
        <v>20221</v>
      </c>
      <c r="I7594" s="11" t="s">
        <v>10311</v>
      </c>
      <c r="J7594" s="1285"/>
      <c r="K7594" s="1285"/>
      <c r="L7594" s="1285"/>
    </row>
    <row r="7595" spans="1:12" ht="11.15" customHeight="1">
      <c r="A7595" s="162" t="s">
        <v>10312</v>
      </c>
      <c r="B7595" s="59" t="s">
        <v>21660</v>
      </c>
      <c r="C7595" s="147" t="s">
        <v>23393</v>
      </c>
      <c r="D7595" s="284" t="s">
        <v>897</v>
      </c>
      <c r="E7595" s="178">
        <v>2019</v>
      </c>
      <c r="F7595" s="178" t="s">
        <v>4520</v>
      </c>
      <c r="G7595" s="496"/>
      <c r="H7595" s="994" t="s">
        <v>20221</v>
      </c>
      <c r="I7595" s="11" t="s">
        <v>10313</v>
      </c>
      <c r="J7595" s="1285"/>
      <c r="K7595" s="1285"/>
      <c r="L7595" s="1285"/>
    </row>
    <row r="7596" spans="1:12" ht="11.15" customHeight="1">
      <c r="A7596" s="129" t="s">
        <v>903</v>
      </c>
      <c r="B7596" s="59" t="s">
        <v>21660</v>
      </c>
      <c r="C7596" s="147" t="s">
        <v>23393</v>
      </c>
      <c r="D7596" s="284" t="s">
        <v>897</v>
      </c>
      <c r="E7596" s="178">
        <v>2018</v>
      </c>
      <c r="F7596" s="178" t="s">
        <v>4520</v>
      </c>
      <c r="G7596" s="496"/>
      <c r="H7596" s="994" t="s">
        <v>20221</v>
      </c>
      <c r="I7596" s="11" t="s">
        <v>10314</v>
      </c>
      <c r="J7596" s="1285"/>
      <c r="K7596" s="1285"/>
      <c r="L7596" s="1285"/>
    </row>
    <row r="7597" spans="1:12" ht="11.15" customHeight="1">
      <c r="A7597" s="162" t="s">
        <v>10315</v>
      </c>
      <c r="B7597" s="59" t="s">
        <v>21660</v>
      </c>
      <c r="C7597" s="147" t="s">
        <v>23393</v>
      </c>
      <c r="D7597" s="284" t="s">
        <v>897</v>
      </c>
      <c r="E7597" s="178">
        <v>2017</v>
      </c>
      <c r="F7597" s="178" t="s">
        <v>4520</v>
      </c>
      <c r="G7597" s="496"/>
      <c r="H7597" s="994" t="s">
        <v>20221</v>
      </c>
      <c r="I7597" s="11" t="s">
        <v>10316</v>
      </c>
      <c r="J7597" s="1285"/>
      <c r="K7597" s="1285"/>
      <c r="L7597" s="1285"/>
    </row>
    <row r="7598" spans="1:12" ht="11.15" customHeight="1">
      <c r="A7598" s="162" t="s">
        <v>10317</v>
      </c>
      <c r="B7598" s="59" t="s">
        <v>21660</v>
      </c>
      <c r="C7598" s="147" t="s">
        <v>23393</v>
      </c>
      <c r="D7598" s="284" t="s">
        <v>897</v>
      </c>
      <c r="E7598" s="178">
        <v>2016</v>
      </c>
      <c r="F7598" s="178" t="s">
        <v>4520</v>
      </c>
      <c r="G7598" s="496"/>
      <c r="H7598" s="994" t="s">
        <v>20221</v>
      </c>
      <c r="I7598" s="11" t="s">
        <v>10318</v>
      </c>
      <c r="J7598" s="1285"/>
      <c r="K7598" s="1285"/>
      <c r="L7598" s="1285"/>
    </row>
    <row r="7599" spans="1:12" ht="11.15" customHeight="1">
      <c r="A7599" s="162" t="s">
        <v>10319</v>
      </c>
      <c r="B7599" s="177" t="s">
        <v>10320</v>
      </c>
      <c r="C7599" s="147"/>
      <c r="D7599" s="159"/>
      <c r="E7599" s="36"/>
      <c r="F7599" s="183"/>
      <c r="G7599" s="496"/>
      <c r="H7599" s="34"/>
      <c r="I7599" s="11"/>
    </row>
    <row r="7600" spans="1:12" ht="11.15" customHeight="1">
      <c r="A7600" s="162" t="s">
        <v>10321</v>
      </c>
      <c r="B7600" s="59" t="s">
        <v>21661</v>
      </c>
      <c r="C7600" s="147" t="s">
        <v>23393</v>
      </c>
      <c r="D7600" s="284" t="s">
        <v>897</v>
      </c>
      <c r="E7600" s="178">
        <v>2023</v>
      </c>
      <c r="F7600" s="178" t="s">
        <v>4520</v>
      </c>
      <c r="G7600" s="496"/>
      <c r="H7600" s="994" t="s">
        <v>20221</v>
      </c>
      <c r="I7600" s="11" t="s">
        <v>10322</v>
      </c>
      <c r="J7600" s="1285"/>
      <c r="K7600" s="1285"/>
      <c r="L7600" s="1285"/>
    </row>
    <row r="7601" spans="1:12" ht="11.15" customHeight="1">
      <c r="A7601" s="162" t="s">
        <v>10323</v>
      </c>
      <c r="B7601" s="59" t="s">
        <v>21661</v>
      </c>
      <c r="C7601" s="147" t="s">
        <v>23393</v>
      </c>
      <c r="D7601" s="284" t="s">
        <v>897</v>
      </c>
      <c r="E7601" s="178">
        <v>2022</v>
      </c>
      <c r="F7601" s="178" t="s">
        <v>4520</v>
      </c>
      <c r="G7601" s="496"/>
      <c r="H7601" s="994" t="s">
        <v>20221</v>
      </c>
      <c r="I7601" s="11" t="s">
        <v>10324</v>
      </c>
      <c r="J7601" s="1285"/>
      <c r="K7601" s="1285"/>
      <c r="L7601" s="1285"/>
    </row>
    <row r="7602" spans="1:12" ht="11.15" customHeight="1">
      <c r="A7602" s="162" t="s">
        <v>10325</v>
      </c>
      <c r="B7602" s="59" t="s">
        <v>21661</v>
      </c>
      <c r="C7602" s="147" t="s">
        <v>23393</v>
      </c>
      <c r="D7602" s="284" t="s">
        <v>897</v>
      </c>
      <c r="E7602" s="178">
        <v>2018</v>
      </c>
      <c r="F7602" s="178" t="s">
        <v>4520</v>
      </c>
      <c r="G7602" s="496"/>
      <c r="H7602" s="994" t="s">
        <v>20221</v>
      </c>
      <c r="I7602" s="11" t="s">
        <v>10326</v>
      </c>
      <c r="J7602" s="1285"/>
      <c r="K7602" s="1285"/>
      <c r="L7602" s="1285"/>
    </row>
    <row r="7603" spans="1:12" ht="11.15" customHeight="1">
      <c r="A7603" s="162" t="s">
        <v>10327</v>
      </c>
      <c r="B7603" s="177" t="s">
        <v>2582</v>
      </c>
      <c r="C7603" s="147"/>
      <c r="D7603" s="159"/>
      <c r="E7603" s="36"/>
      <c r="F7603" s="183"/>
      <c r="G7603" s="496"/>
      <c r="H7603" s="34"/>
      <c r="I7603" s="11"/>
    </row>
    <row r="7604" spans="1:12" ht="11.15" customHeight="1">
      <c r="A7604" s="162" t="s">
        <v>10328</v>
      </c>
      <c r="B7604" s="59" t="s">
        <v>21662</v>
      </c>
      <c r="C7604" s="147" t="s">
        <v>23393</v>
      </c>
      <c r="D7604" s="284" t="s">
        <v>897</v>
      </c>
      <c r="E7604" s="178">
        <v>2022</v>
      </c>
      <c r="F7604" s="178" t="s">
        <v>11931</v>
      </c>
      <c r="G7604" s="496"/>
      <c r="H7604" s="994" t="s">
        <v>20221</v>
      </c>
      <c r="I7604" s="11" t="s">
        <v>10329</v>
      </c>
      <c r="J7604" s="1285"/>
      <c r="K7604" s="1285"/>
      <c r="L7604" s="1285"/>
    </row>
    <row r="7605" spans="1:12" ht="11.15" customHeight="1">
      <c r="A7605" s="291" t="s">
        <v>10330</v>
      </c>
      <c r="B7605" s="59" t="s">
        <v>21662</v>
      </c>
      <c r="C7605" s="147" t="s">
        <v>23393</v>
      </c>
      <c r="D7605" s="284" t="s">
        <v>897</v>
      </c>
      <c r="E7605" s="178">
        <v>2021</v>
      </c>
      <c r="F7605" s="178" t="s">
        <v>11931</v>
      </c>
      <c r="G7605" s="496"/>
      <c r="H7605" s="994" t="s">
        <v>20224</v>
      </c>
      <c r="I7605" s="11" t="s">
        <v>10331</v>
      </c>
      <c r="J7605" s="1285"/>
      <c r="K7605" s="1285"/>
      <c r="L7605" s="1285"/>
    </row>
    <row r="7606" spans="1:12" ht="11.15" customHeight="1">
      <c r="A7606" s="162" t="s">
        <v>10332</v>
      </c>
      <c r="B7606" s="59" t="s">
        <v>21662</v>
      </c>
      <c r="C7606" s="147" t="s">
        <v>23393</v>
      </c>
      <c r="D7606" s="284" t="s">
        <v>897</v>
      </c>
      <c r="E7606" s="178">
        <v>2020</v>
      </c>
      <c r="F7606" s="178" t="s">
        <v>11931</v>
      </c>
      <c r="G7606" s="496"/>
      <c r="H7606" s="994" t="s">
        <v>20221</v>
      </c>
      <c r="I7606" s="11" t="s">
        <v>10333</v>
      </c>
      <c r="J7606" s="1285"/>
      <c r="K7606" s="1285"/>
      <c r="L7606" s="1285"/>
    </row>
    <row r="7607" spans="1:12" ht="11.15" customHeight="1">
      <c r="A7607" s="29" t="s">
        <v>10334</v>
      </c>
      <c r="B7607" s="59" t="s">
        <v>21662</v>
      </c>
      <c r="C7607" s="147" t="s">
        <v>23393</v>
      </c>
      <c r="D7607" s="284" t="s">
        <v>897</v>
      </c>
      <c r="E7607" s="178">
        <v>2019</v>
      </c>
      <c r="F7607" s="178" t="s">
        <v>11931</v>
      </c>
      <c r="G7607" s="496"/>
      <c r="H7607" s="994" t="s">
        <v>20224</v>
      </c>
      <c r="I7607" s="11" t="s">
        <v>10335</v>
      </c>
      <c r="J7607" s="1285"/>
      <c r="K7607" s="1285"/>
      <c r="L7607" s="1285"/>
    </row>
    <row r="7608" spans="1:12" ht="11.15" customHeight="1">
      <c r="A7608" s="29" t="s">
        <v>10336</v>
      </c>
      <c r="B7608" s="59" t="s">
        <v>21662</v>
      </c>
      <c r="C7608" s="147" t="s">
        <v>23393</v>
      </c>
      <c r="D7608" s="284" t="s">
        <v>897</v>
      </c>
      <c r="E7608" s="178">
        <v>2018</v>
      </c>
      <c r="F7608" s="178" t="s">
        <v>11931</v>
      </c>
      <c r="G7608" s="496"/>
      <c r="H7608" s="994" t="s">
        <v>20221</v>
      </c>
      <c r="I7608" s="11" t="s">
        <v>10337</v>
      </c>
      <c r="J7608" s="1285"/>
      <c r="K7608" s="1285"/>
      <c r="L7608" s="1285"/>
    </row>
    <row r="7609" spans="1:12" ht="11.15" customHeight="1">
      <c r="A7609" s="166" t="s">
        <v>10338</v>
      </c>
      <c r="B7609" s="59" t="s">
        <v>21662</v>
      </c>
      <c r="C7609" s="147" t="s">
        <v>23393</v>
      </c>
      <c r="D7609" s="284" t="s">
        <v>897</v>
      </c>
      <c r="E7609" s="178">
        <v>2017</v>
      </c>
      <c r="F7609" s="178" t="s">
        <v>11931</v>
      </c>
      <c r="G7609" s="496"/>
      <c r="H7609" s="994" t="s">
        <v>20221</v>
      </c>
      <c r="I7609" s="11" t="s">
        <v>10339</v>
      </c>
      <c r="J7609" s="1285"/>
      <c r="K7609" s="1285"/>
      <c r="L7609" s="1285"/>
    </row>
    <row r="7610" spans="1:12" ht="11.15" customHeight="1">
      <c r="A7610" s="771" t="s">
        <v>10340</v>
      </c>
      <c r="B7610" s="59" t="s">
        <v>21662</v>
      </c>
      <c r="C7610" s="147" t="s">
        <v>23393</v>
      </c>
      <c r="D7610" s="284" t="s">
        <v>897</v>
      </c>
      <c r="E7610" s="178">
        <v>2016</v>
      </c>
      <c r="F7610" s="178" t="s">
        <v>11931</v>
      </c>
      <c r="G7610" s="496"/>
      <c r="H7610" s="994" t="s">
        <v>20224</v>
      </c>
      <c r="I7610" s="11" t="s">
        <v>10341</v>
      </c>
      <c r="J7610" s="1285"/>
      <c r="K7610" s="1285"/>
      <c r="L7610" s="1285"/>
    </row>
    <row r="7611" spans="1:12" ht="11.15" customHeight="1">
      <c r="A7611" s="129" t="s">
        <v>10342</v>
      </c>
      <c r="B7611" s="59" t="s">
        <v>21663</v>
      </c>
      <c r="C7611" s="147" t="s">
        <v>23393</v>
      </c>
      <c r="D7611" s="284" t="s">
        <v>897</v>
      </c>
      <c r="E7611" s="178">
        <v>2021</v>
      </c>
      <c r="F7611" s="178" t="s">
        <v>11938</v>
      </c>
      <c r="G7611" s="496"/>
      <c r="H7611" s="994" t="s">
        <v>20224</v>
      </c>
      <c r="I7611" s="11" t="s">
        <v>10343</v>
      </c>
      <c r="J7611" s="1285"/>
      <c r="K7611" s="1285"/>
      <c r="L7611" s="1285"/>
    </row>
    <row r="7612" spans="1:12" ht="11.15" customHeight="1">
      <c r="A7612" s="185"/>
      <c r="B7612" s="59" t="s">
        <v>21663</v>
      </c>
      <c r="C7612" s="147" t="s">
        <v>23393</v>
      </c>
      <c r="D7612" s="284" t="s">
        <v>897</v>
      </c>
      <c r="E7612" s="178">
        <v>2020</v>
      </c>
      <c r="F7612" s="178" t="s">
        <v>23410</v>
      </c>
      <c r="G7612" s="496"/>
      <c r="H7612" s="994" t="s">
        <v>20224</v>
      </c>
      <c r="I7612" s="11" t="s">
        <v>10344</v>
      </c>
      <c r="J7612" s="1285"/>
      <c r="K7612" s="1285"/>
      <c r="L7612" s="1285"/>
    </row>
    <row r="7613" spans="1:12" ht="11.15" customHeight="1">
      <c r="A7613" s="185"/>
      <c r="B7613" s="59" t="s">
        <v>21663</v>
      </c>
      <c r="C7613" s="147" t="s">
        <v>23393</v>
      </c>
      <c r="D7613" s="284" t="s">
        <v>897</v>
      </c>
      <c r="E7613" s="178">
        <v>2019</v>
      </c>
      <c r="F7613" s="178" t="s">
        <v>11938</v>
      </c>
      <c r="G7613" s="496"/>
      <c r="H7613" s="994" t="s">
        <v>20224</v>
      </c>
      <c r="I7613" s="11" t="s">
        <v>10345</v>
      </c>
      <c r="J7613" s="1285"/>
      <c r="K7613" s="1285"/>
      <c r="L7613" s="1285"/>
    </row>
    <row r="7614" spans="1:12" ht="11.15" customHeight="1">
      <c r="A7614" s="185"/>
      <c r="B7614" s="59" t="s">
        <v>21663</v>
      </c>
      <c r="C7614" s="147" t="s">
        <v>23393</v>
      </c>
      <c r="D7614" s="284" t="s">
        <v>897</v>
      </c>
      <c r="E7614" s="178">
        <v>2018</v>
      </c>
      <c r="F7614" s="178" t="s">
        <v>11938</v>
      </c>
      <c r="G7614" s="496"/>
      <c r="H7614" s="994" t="s">
        <v>20224</v>
      </c>
      <c r="I7614" s="11" t="s">
        <v>10346</v>
      </c>
      <c r="J7614" s="1285"/>
      <c r="K7614" s="1285"/>
      <c r="L7614" s="1285"/>
    </row>
    <row r="7615" spans="1:12" ht="11.15" customHeight="1">
      <c r="A7615" s="185"/>
      <c r="B7615" s="177" t="s">
        <v>10347</v>
      </c>
      <c r="C7615" s="147"/>
      <c r="D7615" s="129"/>
      <c r="E7615" s="185"/>
      <c r="F7615" s="185"/>
      <c r="G7615" s="185"/>
      <c r="H7615" s="185"/>
      <c r="I7615" s="11"/>
    </row>
    <row r="7616" spans="1:12" ht="11.15" customHeight="1">
      <c r="A7616" s="185"/>
      <c r="B7616" s="59" t="s">
        <v>21664</v>
      </c>
      <c r="C7616" s="147" t="s">
        <v>23393</v>
      </c>
      <c r="D7616" s="284" t="s">
        <v>897</v>
      </c>
      <c r="E7616" s="178" t="s">
        <v>21665</v>
      </c>
      <c r="F7616" s="178" t="s">
        <v>4520</v>
      </c>
      <c r="G7616" s="496"/>
      <c r="H7616" s="994" t="s">
        <v>20221</v>
      </c>
      <c r="I7616" s="11" t="s">
        <v>10348</v>
      </c>
      <c r="J7616" s="1285"/>
      <c r="K7616" s="1285"/>
      <c r="L7616" s="1285"/>
    </row>
    <row r="7617" spans="1:12" ht="11.15" customHeight="1">
      <c r="A7617" s="185"/>
      <c r="B7617" s="59" t="s">
        <v>21666</v>
      </c>
      <c r="C7617" s="147" t="s">
        <v>23393</v>
      </c>
      <c r="D7617" s="284" t="s">
        <v>897</v>
      </c>
      <c r="E7617" s="178" t="s">
        <v>21665</v>
      </c>
      <c r="F7617" s="178" t="s">
        <v>4520</v>
      </c>
      <c r="G7617" s="496"/>
      <c r="H7617" s="994" t="s">
        <v>20221</v>
      </c>
      <c r="I7617" s="11" t="s">
        <v>10349</v>
      </c>
      <c r="J7617" s="1285"/>
      <c r="K7617" s="1285"/>
      <c r="L7617" s="1285"/>
    </row>
    <row r="7618" spans="1:12" ht="11.15" customHeight="1">
      <c r="A7618" s="185"/>
      <c r="B7618" s="59" t="s">
        <v>21667</v>
      </c>
      <c r="C7618" s="147" t="s">
        <v>23393</v>
      </c>
      <c r="D7618" s="284" t="s">
        <v>897</v>
      </c>
      <c r="E7618" s="178" t="s">
        <v>21665</v>
      </c>
      <c r="F7618" s="178" t="s">
        <v>4520</v>
      </c>
      <c r="G7618" s="496"/>
      <c r="H7618" s="994" t="s">
        <v>20221</v>
      </c>
      <c r="I7618" s="11" t="s">
        <v>10350</v>
      </c>
      <c r="J7618" s="1285"/>
      <c r="K7618" s="1285"/>
      <c r="L7618" s="1285"/>
    </row>
    <row r="7619" spans="1:12" ht="11.15" customHeight="1">
      <c r="A7619" s="185"/>
      <c r="B7619" s="59" t="s">
        <v>21668</v>
      </c>
      <c r="C7619" s="147" t="s">
        <v>23393</v>
      </c>
      <c r="D7619" s="284" t="s">
        <v>897</v>
      </c>
      <c r="E7619" s="178" t="s">
        <v>21665</v>
      </c>
      <c r="F7619" s="178" t="s">
        <v>4520</v>
      </c>
      <c r="G7619" s="496"/>
      <c r="H7619" s="994" t="s">
        <v>20221</v>
      </c>
      <c r="I7619" s="11" t="s">
        <v>10351</v>
      </c>
      <c r="J7619" s="1285"/>
      <c r="K7619" s="1285"/>
      <c r="L7619" s="1285"/>
    </row>
    <row r="7620" spans="1:12" ht="11.15" customHeight="1">
      <c r="A7620" s="185"/>
      <c r="B7620" s="59" t="s">
        <v>21669</v>
      </c>
      <c r="C7620" s="147" t="s">
        <v>23393</v>
      </c>
      <c r="D7620" s="284" t="s">
        <v>897</v>
      </c>
      <c r="E7620" s="178" t="s">
        <v>21665</v>
      </c>
      <c r="F7620" s="178" t="s">
        <v>4520</v>
      </c>
      <c r="G7620" s="496"/>
      <c r="H7620" s="994" t="s">
        <v>20221</v>
      </c>
      <c r="I7620" s="11" t="s">
        <v>10352</v>
      </c>
      <c r="J7620" s="1285"/>
      <c r="K7620" s="1285"/>
      <c r="L7620" s="1285"/>
    </row>
    <row r="7621" spans="1:12" ht="11.15" customHeight="1">
      <c r="A7621" s="185"/>
      <c r="B7621" s="59" t="s">
        <v>21670</v>
      </c>
      <c r="C7621" s="147" t="s">
        <v>23393</v>
      </c>
      <c r="D7621" s="284" t="s">
        <v>897</v>
      </c>
      <c r="E7621" s="178" t="s">
        <v>21665</v>
      </c>
      <c r="F7621" s="178" t="s">
        <v>4520</v>
      </c>
      <c r="G7621" s="496"/>
      <c r="H7621" s="994" t="s">
        <v>20221</v>
      </c>
      <c r="I7621" s="11" t="s">
        <v>10353</v>
      </c>
      <c r="J7621" s="1285"/>
      <c r="K7621" s="1285"/>
      <c r="L7621" s="1285"/>
    </row>
    <row r="7622" spans="1:12" ht="11.15" customHeight="1">
      <c r="A7622" s="185"/>
      <c r="B7622" s="59" t="s">
        <v>21671</v>
      </c>
      <c r="C7622" s="147" t="s">
        <v>23393</v>
      </c>
      <c r="D7622" s="284" t="s">
        <v>897</v>
      </c>
      <c r="E7622" s="178" t="s">
        <v>21665</v>
      </c>
      <c r="F7622" s="178" t="s">
        <v>4520</v>
      </c>
      <c r="G7622" s="496"/>
      <c r="H7622" s="994" t="s">
        <v>20221</v>
      </c>
      <c r="I7622" s="11" t="s">
        <v>10354</v>
      </c>
      <c r="J7622" s="1285"/>
      <c r="K7622" s="1285"/>
      <c r="L7622" s="1285"/>
    </row>
    <row r="7623" spans="1:12" ht="11.15" customHeight="1">
      <c r="A7623" s="185"/>
      <c r="B7623" s="59" t="s">
        <v>21672</v>
      </c>
      <c r="C7623" s="147" t="s">
        <v>23393</v>
      </c>
      <c r="D7623" s="284" t="s">
        <v>897</v>
      </c>
      <c r="E7623" s="178" t="s">
        <v>21665</v>
      </c>
      <c r="F7623" s="178" t="s">
        <v>4520</v>
      </c>
      <c r="G7623" s="496"/>
      <c r="H7623" s="994" t="s">
        <v>20221</v>
      </c>
      <c r="I7623" s="11" t="s">
        <v>10355</v>
      </c>
      <c r="J7623" s="1285"/>
      <c r="K7623" s="1285"/>
      <c r="L7623" s="1285"/>
    </row>
    <row r="7624" spans="1:12" ht="11.15" customHeight="1">
      <c r="A7624" s="185"/>
      <c r="B7624" s="59" t="s">
        <v>21673</v>
      </c>
      <c r="C7624" s="147" t="s">
        <v>23393</v>
      </c>
      <c r="D7624" s="284" t="s">
        <v>897</v>
      </c>
      <c r="E7624" s="178" t="s">
        <v>21665</v>
      </c>
      <c r="F7624" s="178" t="s">
        <v>4520</v>
      </c>
      <c r="G7624" s="496"/>
      <c r="H7624" s="994" t="s">
        <v>20221</v>
      </c>
      <c r="I7624" s="11" t="s">
        <v>10356</v>
      </c>
      <c r="J7624" s="1285"/>
      <c r="K7624" s="1285"/>
      <c r="L7624" s="1285"/>
    </row>
    <row r="7625" spans="1:12" ht="11.15" customHeight="1">
      <c r="A7625" s="185"/>
      <c r="B7625" s="59" t="s">
        <v>21674</v>
      </c>
      <c r="C7625" s="147" t="s">
        <v>20221</v>
      </c>
      <c r="D7625" s="284" t="s">
        <v>897</v>
      </c>
      <c r="E7625" s="178" t="s">
        <v>21665</v>
      </c>
      <c r="F7625" s="178" t="s">
        <v>4520</v>
      </c>
      <c r="G7625" s="496"/>
      <c r="H7625" s="994" t="s">
        <v>20221</v>
      </c>
      <c r="I7625" s="11" t="s">
        <v>10357</v>
      </c>
      <c r="J7625" s="1285"/>
      <c r="K7625" s="1285"/>
      <c r="L7625" s="1285"/>
    </row>
    <row r="7626" spans="1:12" ht="11.15" customHeight="1">
      <c r="A7626" s="185"/>
      <c r="B7626" s="59" t="s">
        <v>21675</v>
      </c>
      <c r="C7626" s="147" t="s">
        <v>20221</v>
      </c>
      <c r="D7626" s="284" t="s">
        <v>897</v>
      </c>
      <c r="E7626" s="178" t="s">
        <v>21665</v>
      </c>
      <c r="F7626" s="178" t="s">
        <v>4520</v>
      </c>
      <c r="G7626" s="496"/>
      <c r="H7626" s="994" t="s">
        <v>20221</v>
      </c>
      <c r="I7626" s="11" t="s">
        <v>10358</v>
      </c>
      <c r="J7626" s="1285"/>
      <c r="K7626" s="1285"/>
      <c r="L7626" s="1285"/>
    </row>
    <row r="7627" spans="1:12" ht="11.15" customHeight="1">
      <c r="A7627" s="185"/>
      <c r="B7627" s="59" t="s">
        <v>21676</v>
      </c>
      <c r="C7627" s="147" t="s">
        <v>20221</v>
      </c>
      <c r="D7627" s="284" t="s">
        <v>897</v>
      </c>
      <c r="E7627" s="178" t="s">
        <v>21665</v>
      </c>
      <c r="F7627" s="178" t="s">
        <v>4520</v>
      </c>
      <c r="G7627" s="496"/>
      <c r="H7627" s="994" t="s">
        <v>20221</v>
      </c>
      <c r="I7627" s="11" t="s">
        <v>10359</v>
      </c>
      <c r="J7627" s="1285"/>
      <c r="K7627" s="1285"/>
      <c r="L7627" s="1285"/>
    </row>
    <row r="7628" spans="1:12" ht="11.15" customHeight="1">
      <c r="A7628" s="185"/>
      <c r="B7628" s="177" t="s">
        <v>10360</v>
      </c>
      <c r="C7628" s="147"/>
      <c r="D7628" s="129"/>
      <c r="E7628" s="185"/>
      <c r="F7628" s="185"/>
      <c r="G7628" s="185"/>
      <c r="H7628" s="185"/>
      <c r="I7628" s="11"/>
    </row>
    <row r="7629" spans="1:12" ht="11.15" customHeight="1">
      <c r="A7629" s="233"/>
      <c r="B7629" s="59" t="s">
        <v>21677</v>
      </c>
      <c r="C7629" s="147" t="s">
        <v>23393</v>
      </c>
      <c r="D7629" s="284" t="s">
        <v>897</v>
      </c>
      <c r="E7629" s="178" t="s">
        <v>21665</v>
      </c>
      <c r="F7629" s="178" t="s">
        <v>11931</v>
      </c>
      <c r="G7629" s="496"/>
      <c r="H7629" s="994" t="s">
        <v>20224</v>
      </c>
      <c r="I7629" s="11" t="s">
        <v>10361</v>
      </c>
      <c r="J7629" s="1285"/>
      <c r="K7629" s="1285"/>
      <c r="L7629" s="1285"/>
    </row>
    <row r="7630" spans="1:12" ht="11.15" customHeight="1">
      <c r="A7630" s="233"/>
      <c r="B7630" s="59" t="s">
        <v>21678</v>
      </c>
      <c r="C7630" s="147" t="s">
        <v>23393</v>
      </c>
      <c r="D7630" s="284" t="s">
        <v>897</v>
      </c>
      <c r="E7630" s="178" t="s">
        <v>21665</v>
      </c>
      <c r="F7630" s="178" t="s">
        <v>11931</v>
      </c>
      <c r="G7630" s="496"/>
      <c r="H7630" s="994" t="s">
        <v>20224</v>
      </c>
      <c r="I7630" s="11" t="s">
        <v>10362</v>
      </c>
      <c r="J7630" s="1285"/>
      <c r="K7630" s="1285"/>
      <c r="L7630" s="1285"/>
    </row>
    <row r="7631" spans="1:12" ht="11.15" customHeight="1">
      <c r="A7631" s="185"/>
      <c r="B7631" s="59" t="s">
        <v>21679</v>
      </c>
      <c r="C7631" s="147" t="s">
        <v>23393</v>
      </c>
      <c r="D7631" s="284" t="s">
        <v>897</v>
      </c>
      <c r="E7631" s="178" t="s">
        <v>21665</v>
      </c>
      <c r="F7631" s="178" t="s">
        <v>11931</v>
      </c>
      <c r="G7631" s="496"/>
      <c r="H7631" s="994" t="s">
        <v>20224</v>
      </c>
      <c r="I7631" s="11" t="s">
        <v>10363</v>
      </c>
      <c r="J7631" s="1285"/>
      <c r="K7631" s="1285"/>
      <c r="L7631" s="1285"/>
    </row>
    <row r="7632" spans="1:12" ht="11.15" customHeight="1">
      <c r="A7632" s="185"/>
      <c r="B7632" s="59" t="s">
        <v>21680</v>
      </c>
      <c r="C7632" s="147" t="s">
        <v>23393</v>
      </c>
      <c r="D7632" s="284" t="s">
        <v>897</v>
      </c>
      <c r="E7632" s="178" t="s">
        <v>21665</v>
      </c>
      <c r="F7632" s="178" t="s">
        <v>11931</v>
      </c>
      <c r="G7632" s="496"/>
      <c r="H7632" s="994" t="s">
        <v>20224</v>
      </c>
      <c r="I7632" s="11" t="s">
        <v>10364</v>
      </c>
      <c r="J7632" s="1285"/>
      <c r="K7632" s="1285"/>
      <c r="L7632" s="1285"/>
    </row>
    <row r="7633" spans="1:12" ht="11.15" customHeight="1">
      <c r="A7633" s="185"/>
      <c r="B7633" s="59" t="s">
        <v>21681</v>
      </c>
      <c r="C7633" s="147" t="s">
        <v>23393</v>
      </c>
      <c r="D7633" s="284" t="s">
        <v>897</v>
      </c>
      <c r="E7633" s="178" t="s">
        <v>21665</v>
      </c>
      <c r="F7633" s="178" t="s">
        <v>11931</v>
      </c>
      <c r="G7633" s="496"/>
      <c r="H7633" s="994" t="s">
        <v>20224</v>
      </c>
      <c r="I7633" s="11" t="s">
        <v>10365</v>
      </c>
      <c r="J7633" s="1285"/>
      <c r="K7633" s="1285"/>
      <c r="L7633" s="1285"/>
    </row>
    <row r="7634" spans="1:12" ht="11.15" customHeight="1">
      <c r="A7634" s="185"/>
      <c r="B7634" s="59" t="s">
        <v>21682</v>
      </c>
      <c r="C7634" s="147" t="s">
        <v>23393</v>
      </c>
      <c r="D7634" s="284" t="s">
        <v>897</v>
      </c>
      <c r="E7634" s="178" t="s">
        <v>21665</v>
      </c>
      <c r="F7634" s="178" t="s">
        <v>11931</v>
      </c>
      <c r="G7634" s="496"/>
      <c r="H7634" s="994" t="s">
        <v>20224</v>
      </c>
      <c r="I7634" s="11" t="s">
        <v>10366</v>
      </c>
      <c r="J7634" s="1285"/>
      <c r="K7634" s="1285"/>
      <c r="L7634" s="1285"/>
    </row>
    <row r="7635" spans="1:12" ht="11.15" customHeight="1">
      <c r="A7635" s="185"/>
      <c r="B7635" s="59" t="s">
        <v>21683</v>
      </c>
      <c r="C7635" s="147" t="s">
        <v>20221</v>
      </c>
      <c r="D7635" s="284" t="s">
        <v>897</v>
      </c>
      <c r="E7635" s="178" t="s">
        <v>21665</v>
      </c>
      <c r="F7635" s="178" t="s">
        <v>11931</v>
      </c>
      <c r="G7635" s="496"/>
      <c r="H7635" s="994" t="s">
        <v>20224</v>
      </c>
      <c r="I7635" s="11" t="s">
        <v>10367</v>
      </c>
      <c r="J7635" s="1285"/>
      <c r="K7635" s="1285"/>
      <c r="L7635" s="1285"/>
    </row>
    <row r="7636" spans="1:12" ht="11.15" customHeight="1">
      <c r="A7636" s="185"/>
      <c r="B7636" s="59" t="s">
        <v>21684</v>
      </c>
      <c r="C7636" s="147" t="s">
        <v>20221</v>
      </c>
      <c r="D7636" s="284" t="s">
        <v>897</v>
      </c>
      <c r="E7636" s="178" t="s">
        <v>21665</v>
      </c>
      <c r="F7636" s="178" t="s">
        <v>11931</v>
      </c>
      <c r="G7636" s="496"/>
      <c r="H7636" s="994" t="s">
        <v>20277</v>
      </c>
      <c r="I7636" s="11" t="s">
        <v>10368</v>
      </c>
      <c r="J7636" s="1285"/>
      <c r="K7636" s="1285"/>
      <c r="L7636" s="1285"/>
    </row>
    <row r="7637" spans="1:12" ht="11.15" customHeight="1" thickBot="1">
      <c r="A7637" s="185"/>
      <c r="B7637" s="272"/>
      <c r="C7637" s="147"/>
      <c r="D7637" s="122"/>
      <c r="E7637" s="36"/>
      <c r="F7637" s="178"/>
      <c r="G7637" s="60"/>
      <c r="H7637" s="36"/>
      <c r="I7637" s="11"/>
    </row>
    <row r="7638" spans="1:12" ht="24" customHeight="1" thickBot="1">
      <c r="A7638" s="549"/>
      <c r="B7638" s="64" t="s">
        <v>10369</v>
      </c>
      <c r="C7638" s="170"/>
      <c r="D7638" s="382"/>
      <c r="E7638" s="543"/>
      <c r="F7638" s="1082"/>
      <c r="G7638" s="1142"/>
      <c r="H7638" s="516"/>
      <c r="I7638" s="11"/>
    </row>
    <row r="7639" spans="1:12" ht="11.15" customHeight="1" thickBot="1">
      <c r="A7639" s="29"/>
      <c r="B7639" s="152" t="s">
        <v>10370</v>
      </c>
      <c r="C7639" s="147"/>
      <c r="D7639" s="122"/>
      <c r="E7639" s="226"/>
      <c r="F7639" s="122"/>
      <c r="G7639" s="1240"/>
      <c r="H7639" s="226"/>
      <c r="I7639" s="11"/>
    </row>
    <row r="7640" spans="1:12" ht="11.25" customHeight="1">
      <c r="A7640" s="153" t="s">
        <v>10371</v>
      </c>
      <c r="B7640" s="221" t="s">
        <v>2242</v>
      </c>
      <c r="C7640" s="147"/>
      <c r="D7640" s="122"/>
      <c r="E7640" s="226"/>
      <c r="F7640" s="122"/>
      <c r="G7640" s="1240"/>
      <c r="H7640" s="226"/>
      <c r="I7640" s="11"/>
    </row>
    <row r="7641" spans="1:12" ht="9.75" customHeight="1" thickBot="1">
      <c r="A7641" s="155" t="s">
        <v>10372</v>
      </c>
      <c r="B7641" s="59" t="s">
        <v>21686</v>
      </c>
      <c r="C7641" s="147" t="s">
        <v>23393</v>
      </c>
      <c r="D7641" s="701" t="s">
        <v>1129</v>
      </c>
      <c r="E7641" s="178">
        <v>2022</v>
      </c>
      <c r="F7641" s="178" t="s">
        <v>4520</v>
      </c>
      <c r="G7641" s="496"/>
      <c r="H7641" s="994" t="s">
        <v>20221</v>
      </c>
      <c r="I7641" s="11" t="s">
        <v>10373</v>
      </c>
      <c r="J7641" s="1285"/>
      <c r="K7641" s="1285"/>
      <c r="L7641" s="1285"/>
    </row>
    <row r="7642" spans="1:12" ht="9.75" customHeight="1">
      <c r="A7642" s="29" t="s">
        <v>10374</v>
      </c>
      <c r="B7642" s="59" t="s">
        <v>21687</v>
      </c>
      <c r="C7642" s="147" t="s">
        <v>23393</v>
      </c>
      <c r="D7642" s="701" t="s">
        <v>1129</v>
      </c>
      <c r="E7642" s="178">
        <v>2023</v>
      </c>
      <c r="F7642" s="178" t="s">
        <v>4520</v>
      </c>
      <c r="G7642" s="496"/>
      <c r="H7642" s="994" t="s">
        <v>20221</v>
      </c>
      <c r="I7642" s="11" t="s">
        <v>10375</v>
      </c>
      <c r="J7642" s="1285"/>
      <c r="K7642" s="1285"/>
      <c r="L7642" s="1285"/>
    </row>
    <row r="7643" spans="1:12" ht="11.15" customHeight="1">
      <c r="A7643" s="29" t="s">
        <v>10376</v>
      </c>
      <c r="B7643" s="59" t="s">
        <v>21687</v>
      </c>
      <c r="C7643" s="147" t="s">
        <v>23393</v>
      </c>
      <c r="D7643" s="701" t="s">
        <v>1129</v>
      </c>
      <c r="E7643" s="178">
        <v>2022</v>
      </c>
      <c r="F7643" s="178" t="s">
        <v>4520</v>
      </c>
      <c r="G7643" s="496"/>
      <c r="H7643" s="994" t="s">
        <v>20221</v>
      </c>
      <c r="I7643" s="11" t="s">
        <v>10377</v>
      </c>
      <c r="J7643" s="1285"/>
      <c r="K7643" s="1285"/>
      <c r="L7643" s="1285"/>
    </row>
    <row r="7644" spans="1:12" ht="11.15" customHeight="1">
      <c r="A7644" s="29" t="s">
        <v>10378</v>
      </c>
      <c r="B7644" s="221" t="s">
        <v>1153</v>
      </c>
      <c r="C7644" s="147"/>
      <c r="D7644" s="159"/>
      <c r="E7644" s="36"/>
      <c r="F7644" s="178"/>
      <c r="G7644" s="496"/>
      <c r="H7644" s="36"/>
      <c r="I7644" s="11"/>
    </row>
    <row r="7645" spans="1:12" ht="11.15" customHeight="1">
      <c r="A7645" s="29" t="s">
        <v>10379</v>
      </c>
      <c r="B7645" s="59" t="s">
        <v>21688</v>
      </c>
      <c r="C7645" s="147" t="s">
        <v>23393</v>
      </c>
      <c r="D7645" s="1034" t="s">
        <v>2573</v>
      </c>
      <c r="E7645" s="178">
        <v>2023</v>
      </c>
      <c r="F7645" s="178" t="s">
        <v>4520</v>
      </c>
      <c r="G7645" s="496"/>
      <c r="H7645" s="994" t="s">
        <v>20221</v>
      </c>
      <c r="I7645" s="11" t="s">
        <v>10380</v>
      </c>
      <c r="J7645" s="1285"/>
      <c r="K7645" s="1285"/>
      <c r="L7645" s="1285"/>
    </row>
    <row r="7646" spans="1:12" ht="11.15" customHeight="1">
      <c r="A7646" s="29" t="s">
        <v>10381</v>
      </c>
      <c r="B7646" s="59" t="s">
        <v>21689</v>
      </c>
      <c r="C7646" s="147" t="s">
        <v>20221</v>
      </c>
      <c r="D7646" s="1034" t="s">
        <v>2573</v>
      </c>
      <c r="E7646" s="178">
        <v>2015</v>
      </c>
      <c r="F7646" s="178" t="s">
        <v>11938</v>
      </c>
      <c r="G7646" s="496"/>
      <c r="H7646" s="994" t="s">
        <v>20224</v>
      </c>
      <c r="I7646" s="11" t="s">
        <v>10382</v>
      </c>
      <c r="J7646" s="1285"/>
      <c r="K7646" s="1285"/>
      <c r="L7646" s="1285"/>
    </row>
    <row r="7647" spans="1:12" ht="11.15" customHeight="1">
      <c r="A7647" s="29" t="s">
        <v>10383</v>
      </c>
      <c r="B7647" s="221" t="s">
        <v>1398</v>
      </c>
      <c r="C7647" s="147"/>
      <c r="D7647" s="122"/>
      <c r="E7647" s="36"/>
      <c r="F7647" s="178"/>
      <c r="G7647" s="496"/>
      <c r="H7647" s="36"/>
      <c r="I7647" s="11"/>
    </row>
    <row r="7648" spans="1:12" ht="11.15" customHeight="1">
      <c r="A7648" s="181" t="s">
        <v>6601</v>
      </c>
      <c r="B7648" s="59" t="s">
        <v>21690</v>
      </c>
      <c r="C7648" s="147" t="s">
        <v>23393</v>
      </c>
      <c r="D7648" s="284" t="s">
        <v>897</v>
      </c>
      <c r="E7648" s="178" t="s">
        <v>20221</v>
      </c>
      <c r="F7648" s="178" t="s">
        <v>4520</v>
      </c>
      <c r="G7648" s="496" t="s">
        <v>20221</v>
      </c>
      <c r="H7648" s="994" t="s">
        <v>3907</v>
      </c>
      <c r="I7648" s="11" t="s">
        <v>10384</v>
      </c>
      <c r="J7648" s="1285"/>
      <c r="K7648" s="1285"/>
      <c r="L7648" s="1285"/>
    </row>
    <row r="7649" spans="1:12" ht="11.15" customHeight="1">
      <c r="A7649" s="181" t="s">
        <v>2536</v>
      </c>
      <c r="B7649" s="59" t="s">
        <v>21691</v>
      </c>
      <c r="C7649" s="147" t="s">
        <v>23393</v>
      </c>
      <c r="D7649" s="284" t="s">
        <v>897</v>
      </c>
      <c r="E7649" s="178">
        <v>2019</v>
      </c>
      <c r="F7649" s="178" t="s">
        <v>4520</v>
      </c>
      <c r="G7649" s="496"/>
      <c r="H7649" s="994" t="s">
        <v>20221</v>
      </c>
      <c r="I7649" s="11" t="s">
        <v>10385</v>
      </c>
      <c r="J7649" s="1285"/>
      <c r="K7649" s="1285"/>
      <c r="L7649" s="1285"/>
    </row>
    <row r="7650" spans="1:12" ht="11.15" customHeight="1">
      <c r="A7650" s="86" t="s">
        <v>10386</v>
      </c>
      <c r="B7650" s="59" t="s">
        <v>21691</v>
      </c>
      <c r="C7650" s="147" t="s">
        <v>23393</v>
      </c>
      <c r="D7650" s="284" t="s">
        <v>897</v>
      </c>
      <c r="E7650" s="178">
        <v>2016</v>
      </c>
      <c r="F7650" s="178" t="s">
        <v>4520</v>
      </c>
      <c r="G7650" s="496"/>
      <c r="H7650" s="994" t="s">
        <v>20221</v>
      </c>
      <c r="I7650" s="11" t="s">
        <v>10387</v>
      </c>
      <c r="J7650" s="1285"/>
      <c r="K7650" s="1285"/>
      <c r="L7650" s="1285"/>
    </row>
    <row r="7651" spans="1:12" ht="11.15" customHeight="1">
      <c r="A7651" s="129" t="s">
        <v>10388</v>
      </c>
      <c r="B7651" s="59" t="s">
        <v>21691</v>
      </c>
      <c r="C7651" s="147" t="s">
        <v>23393</v>
      </c>
      <c r="D7651" s="284" t="s">
        <v>897</v>
      </c>
      <c r="E7651" s="178">
        <v>2015</v>
      </c>
      <c r="F7651" s="178" t="s">
        <v>4520</v>
      </c>
      <c r="G7651" s="496"/>
      <c r="H7651" s="994" t="s">
        <v>20221</v>
      </c>
      <c r="I7651" s="11" t="s">
        <v>10389</v>
      </c>
      <c r="J7651" s="1285"/>
      <c r="K7651" s="1285"/>
      <c r="L7651" s="1285"/>
    </row>
    <row r="7652" spans="1:12" ht="11.15" customHeight="1">
      <c r="A7652" s="162" t="s">
        <v>10390</v>
      </c>
      <c r="B7652" s="59" t="s">
        <v>21691</v>
      </c>
      <c r="C7652" s="147" t="s">
        <v>23393</v>
      </c>
      <c r="D7652" s="284" t="s">
        <v>897</v>
      </c>
      <c r="E7652" s="178">
        <v>2013</v>
      </c>
      <c r="F7652" s="178" t="s">
        <v>4520</v>
      </c>
      <c r="G7652" s="496"/>
      <c r="H7652" s="994" t="s">
        <v>20221</v>
      </c>
      <c r="I7652" s="11" t="s">
        <v>10391</v>
      </c>
      <c r="J7652" s="1285"/>
      <c r="K7652" s="1285"/>
      <c r="L7652" s="1285"/>
    </row>
    <row r="7653" spans="1:12" ht="11.15" customHeight="1">
      <c r="A7653" s="162" t="s">
        <v>10392</v>
      </c>
      <c r="B7653" s="59" t="s">
        <v>21692</v>
      </c>
      <c r="C7653" s="147" t="s">
        <v>23393</v>
      </c>
      <c r="D7653" s="284" t="s">
        <v>897</v>
      </c>
      <c r="E7653" s="178">
        <v>2015</v>
      </c>
      <c r="F7653" s="178" t="s">
        <v>4520</v>
      </c>
      <c r="G7653" s="496"/>
      <c r="H7653" s="994" t="s">
        <v>20221</v>
      </c>
      <c r="I7653" s="11" t="s">
        <v>10393</v>
      </c>
      <c r="J7653" s="1285"/>
      <c r="K7653" s="1285"/>
      <c r="L7653" s="1285"/>
    </row>
    <row r="7654" spans="1:12" ht="11.15" customHeight="1">
      <c r="A7654" s="162" t="s">
        <v>10394</v>
      </c>
      <c r="B7654" s="59" t="s">
        <v>21692</v>
      </c>
      <c r="C7654" s="147" t="s">
        <v>23393</v>
      </c>
      <c r="D7654" s="284" t="s">
        <v>897</v>
      </c>
      <c r="E7654" s="178">
        <v>2013</v>
      </c>
      <c r="F7654" s="178" t="s">
        <v>4520</v>
      </c>
      <c r="G7654" s="496"/>
      <c r="H7654" s="994" t="s">
        <v>20277</v>
      </c>
      <c r="I7654" s="11" t="s">
        <v>10395</v>
      </c>
      <c r="J7654" s="1285"/>
      <c r="K7654" s="1285"/>
      <c r="L7654" s="1285"/>
    </row>
    <row r="7655" spans="1:12" ht="11.15" customHeight="1">
      <c r="A7655" s="162" t="s">
        <v>10396</v>
      </c>
      <c r="B7655" s="59" t="s">
        <v>21693</v>
      </c>
      <c r="C7655" s="147" t="s">
        <v>20221</v>
      </c>
      <c r="D7655" s="284" t="s">
        <v>897</v>
      </c>
      <c r="E7655" s="178">
        <v>2001</v>
      </c>
      <c r="F7655" s="178" t="s">
        <v>11931</v>
      </c>
      <c r="G7655" s="496"/>
      <c r="H7655" s="994" t="s">
        <v>20224</v>
      </c>
      <c r="I7655" s="11" t="s">
        <v>10397</v>
      </c>
      <c r="J7655" s="1285"/>
      <c r="K7655" s="1285"/>
      <c r="L7655" s="1285"/>
    </row>
    <row r="7656" spans="1:12" ht="11.15" customHeight="1">
      <c r="A7656" s="162" t="s">
        <v>10398</v>
      </c>
      <c r="B7656" s="286"/>
      <c r="C7656" s="590"/>
      <c r="D7656" s="590"/>
      <c r="E7656" s="178"/>
      <c r="F7656" s="178"/>
      <c r="G7656" s="60"/>
      <c r="H7656" s="178"/>
    </row>
    <row r="7657" spans="1:12" ht="11.15" customHeight="1">
      <c r="A7657" s="162" t="s">
        <v>10399</v>
      </c>
      <c r="B7657" s="185"/>
      <c r="C7657" s="147"/>
      <c r="D7657" s="185"/>
      <c r="E7657" s="185"/>
      <c r="F7657" s="185"/>
      <c r="G7657" s="185"/>
      <c r="H7657" s="185"/>
      <c r="I7657" s="11"/>
    </row>
    <row r="7658" spans="1:12" ht="11.15" customHeight="1">
      <c r="A7658" s="162" t="s">
        <v>10400</v>
      </c>
      <c r="B7658" s="185"/>
      <c r="C7658" s="147"/>
      <c r="D7658" s="185"/>
      <c r="E7658" s="185"/>
      <c r="F7658" s="185"/>
      <c r="G7658" s="185"/>
      <c r="H7658" s="185"/>
      <c r="I7658" s="11"/>
    </row>
    <row r="7659" spans="1:12" ht="11.15" customHeight="1">
      <c r="A7659" s="129" t="s">
        <v>10401</v>
      </c>
      <c r="B7659" s="286"/>
      <c r="C7659" s="590"/>
      <c r="D7659" s="590"/>
      <c r="E7659" s="178"/>
      <c r="F7659" s="178"/>
      <c r="G7659" s="60"/>
      <c r="H7659" s="178"/>
    </row>
    <row r="7660" spans="1:12" ht="11.15" customHeight="1">
      <c r="A7660" s="162" t="s">
        <v>10402</v>
      </c>
      <c r="B7660" s="185"/>
      <c r="C7660" s="147"/>
      <c r="D7660" s="185"/>
      <c r="E7660" s="185"/>
      <c r="F7660" s="185"/>
      <c r="G7660" s="185"/>
      <c r="H7660" s="185"/>
      <c r="I7660" s="11"/>
    </row>
    <row r="7661" spans="1:12" ht="11.15" customHeight="1">
      <c r="A7661" s="162" t="s">
        <v>10403</v>
      </c>
      <c r="B7661" s="185"/>
      <c r="C7661" s="147"/>
      <c r="D7661" s="185"/>
      <c r="E7661" s="185"/>
      <c r="F7661" s="185"/>
      <c r="G7661" s="185"/>
      <c r="H7661" s="185"/>
      <c r="I7661" s="11"/>
    </row>
    <row r="7662" spans="1:12" ht="11.15" customHeight="1">
      <c r="A7662" s="162" t="s">
        <v>10404</v>
      </c>
      <c r="B7662" s="185"/>
      <c r="C7662" s="147"/>
      <c r="D7662" s="185"/>
      <c r="E7662" s="185"/>
      <c r="F7662" s="185"/>
      <c r="G7662" s="185"/>
      <c r="H7662" s="185"/>
      <c r="I7662" s="11"/>
    </row>
    <row r="7663" spans="1:12" ht="11.15" customHeight="1">
      <c r="A7663" s="162" t="s">
        <v>10405</v>
      </c>
      <c r="B7663" s="185"/>
      <c r="C7663" s="147"/>
      <c r="D7663" s="185"/>
      <c r="E7663" s="185"/>
      <c r="F7663" s="185"/>
      <c r="G7663" s="185"/>
      <c r="H7663" s="185"/>
      <c r="I7663" s="11"/>
    </row>
    <row r="7664" spans="1:12" ht="11.15" customHeight="1">
      <c r="A7664" s="162" t="s">
        <v>10406</v>
      </c>
      <c r="B7664" s="185"/>
      <c r="C7664" s="147"/>
      <c r="D7664" s="185"/>
      <c r="E7664" s="185"/>
      <c r="F7664" s="185"/>
      <c r="G7664" s="185"/>
      <c r="H7664" s="185"/>
      <c r="I7664" s="11"/>
    </row>
    <row r="7665" spans="1:12" ht="11.15" customHeight="1">
      <c r="A7665" s="162" t="s">
        <v>10407</v>
      </c>
      <c r="B7665" s="185"/>
      <c r="C7665" s="147"/>
      <c r="D7665" s="185"/>
      <c r="E7665" s="185"/>
      <c r="F7665" s="185"/>
      <c r="G7665" s="185"/>
      <c r="H7665" s="185"/>
      <c r="I7665" s="11"/>
    </row>
    <row r="7666" spans="1:12" ht="11.15" customHeight="1">
      <c r="A7666" s="162" t="s">
        <v>10408</v>
      </c>
      <c r="B7666" s="185"/>
      <c r="C7666" s="147"/>
      <c r="D7666" s="185"/>
      <c r="E7666" s="185"/>
      <c r="F7666" s="185"/>
      <c r="G7666" s="185"/>
      <c r="H7666" s="185"/>
      <c r="I7666" s="11"/>
    </row>
    <row r="7667" spans="1:12" ht="11.15" customHeight="1">
      <c r="A7667" s="162" t="s">
        <v>10409</v>
      </c>
      <c r="B7667" s="185"/>
      <c r="C7667" s="147"/>
      <c r="D7667" s="129"/>
      <c r="E7667" s="185"/>
      <c r="F7667" s="185"/>
      <c r="G7667" s="185"/>
      <c r="H7667" s="185"/>
      <c r="I7667" s="11"/>
    </row>
    <row r="7668" spans="1:12" ht="11.15" customHeight="1">
      <c r="A7668" s="229" t="s">
        <v>8846</v>
      </c>
      <c r="B7668" s="90"/>
      <c r="C7668" s="147"/>
      <c r="D7668" s="161"/>
      <c r="E7668" s="36"/>
      <c r="F7668" s="183"/>
      <c r="G7668" s="496"/>
      <c r="H7668" s="34"/>
      <c r="I7668" s="11"/>
    </row>
    <row r="7669" spans="1:12" ht="11.15" customHeight="1">
      <c r="A7669" s="29" t="s">
        <v>10410</v>
      </c>
      <c r="B7669" s="90"/>
      <c r="C7669" s="147"/>
      <c r="D7669" s="161"/>
      <c r="E7669" s="36"/>
      <c r="F7669" s="183"/>
      <c r="G7669" s="496"/>
      <c r="H7669" s="34"/>
      <c r="I7669" s="11"/>
    </row>
    <row r="7670" spans="1:12" ht="11.15" customHeight="1">
      <c r="A7670" s="212" t="s">
        <v>10411</v>
      </c>
      <c r="B7670" s="90"/>
      <c r="C7670" s="147"/>
      <c r="D7670" s="161"/>
      <c r="E7670" s="36"/>
      <c r="F7670" s="183"/>
      <c r="G7670" s="496"/>
      <c r="H7670" s="34"/>
      <c r="I7670" s="11"/>
    </row>
    <row r="7671" spans="1:12" ht="11.15" customHeight="1">
      <c r="A7671" s="129" t="s">
        <v>10412</v>
      </c>
      <c r="B7671" s="90"/>
      <c r="C7671" s="147"/>
      <c r="D7671" s="161"/>
      <c r="E7671" s="36"/>
      <c r="F7671" s="183"/>
      <c r="G7671" s="496"/>
      <c r="H7671" s="34"/>
      <c r="I7671" s="11"/>
    </row>
    <row r="7672" spans="1:12" ht="11.15" customHeight="1">
      <c r="A7672" s="129" t="s">
        <v>10413</v>
      </c>
      <c r="B7672" s="90"/>
      <c r="C7672" s="147"/>
      <c r="D7672" s="161"/>
      <c r="E7672" s="36"/>
      <c r="F7672" s="183"/>
      <c r="G7672" s="496"/>
      <c r="H7672" s="34"/>
      <c r="I7672" s="11"/>
    </row>
    <row r="7673" spans="1:12" ht="11.15" customHeight="1" thickBot="1">
      <c r="A7673" s="29"/>
      <c r="B7673" s="226" t="s">
        <v>9368</v>
      </c>
      <c r="C7673" s="147"/>
      <c r="D7673" s="122"/>
      <c r="E7673" s="36"/>
      <c r="F7673" s="183"/>
      <c r="G7673" s="60"/>
      <c r="H7673" s="34"/>
      <c r="I7673" s="11"/>
    </row>
    <row r="7674" spans="1:12" ht="11.15" customHeight="1">
      <c r="A7674" s="153" t="s">
        <v>9369</v>
      </c>
      <c r="B7674" s="59" t="s">
        <v>21694</v>
      </c>
      <c r="C7674" s="147" t="s">
        <v>20221</v>
      </c>
      <c r="D7674" s="284" t="s">
        <v>897</v>
      </c>
      <c r="E7674" s="178">
        <v>2023</v>
      </c>
      <c r="F7674" s="178" t="s">
        <v>4520</v>
      </c>
      <c r="G7674" s="496"/>
      <c r="H7674" s="994" t="s">
        <v>20343</v>
      </c>
      <c r="I7674" s="11" t="s">
        <v>10414</v>
      </c>
      <c r="J7674" s="1285"/>
      <c r="K7674" s="1285"/>
      <c r="L7674" s="1285"/>
    </row>
    <row r="7675" spans="1:12" ht="11.15" customHeight="1" thickBot="1">
      <c r="A7675" s="155" t="s">
        <v>9371</v>
      </c>
      <c r="B7675" s="185"/>
      <c r="C7675" s="147"/>
      <c r="D7675" s="185"/>
      <c r="E7675" s="185"/>
      <c r="F7675" s="185"/>
      <c r="G7675" s="185"/>
      <c r="H7675" s="185"/>
      <c r="I7675" s="11"/>
    </row>
    <row r="7676" spans="1:12" ht="11.15" customHeight="1">
      <c r="A7676" s="29" t="s">
        <v>9913</v>
      </c>
      <c r="B7676" s="90"/>
      <c r="C7676" s="147"/>
      <c r="D7676" s="159"/>
      <c r="E7676" s="36"/>
      <c r="F7676" s="178"/>
      <c r="G7676" s="496"/>
      <c r="H7676" s="36"/>
      <c r="I7676" s="11"/>
    </row>
    <row r="7677" spans="1:12" ht="11.15" customHeight="1">
      <c r="A7677" s="29" t="s">
        <v>10415</v>
      </c>
      <c r="B7677" s="90"/>
      <c r="C7677" s="147"/>
      <c r="D7677" s="159"/>
      <c r="E7677" s="36"/>
      <c r="F7677" s="178"/>
      <c r="G7677" s="496"/>
      <c r="H7677" s="36"/>
      <c r="I7677" s="11"/>
    </row>
    <row r="7678" spans="1:12" ht="11.15" customHeight="1">
      <c r="A7678" s="29" t="s">
        <v>10416</v>
      </c>
      <c r="B7678" s="90"/>
      <c r="C7678" s="147"/>
      <c r="D7678" s="159"/>
      <c r="E7678" s="36"/>
      <c r="F7678" s="178"/>
      <c r="G7678" s="496"/>
      <c r="H7678" s="36"/>
      <c r="I7678" s="11"/>
    </row>
    <row r="7679" spans="1:12" ht="11.15" customHeight="1">
      <c r="A7679" s="29" t="s">
        <v>10417</v>
      </c>
      <c r="B7679" s="90"/>
      <c r="C7679" s="147"/>
      <c r="D7679" s="159"/>
      <c r="E7679" s="36"/>
      <c r="F7679" s="178"/>
      <c r="G7679" s="496"/>
      <c r="H7679" s="36"/>
      <c r="I7679" s="11"/>
    </row>
    <row r="7680" spans="1:12" ht="11.15" customHeight="1">
      <c r="A7680" s="29" t="s">
        <v>10418</v>
      </c>
      <c r="B7680" s="90"/>
      <c r="C7680" s="147"/>
      <c r="D7680" s="159"/>
      <c r="E7680" s="36"/>
      <c r="F7680" s="178"/>
      <c r="G7680" s="496"/>
      <c r="H7680" s="36"/>
      <c r="I7680" s="11"/>
    </row>
    <row r="7681" spans="1:12" ht="11.15" customHeight="1">
      <c r="A7681" s="181" t="s">
        <v>950</v>
      </c>
      <c r="B7681" s="90"/>
      <c r="C7681" s="147"/>
      <c r="D7681" s="159"/>
      <c r="E7681" s="36"/>
      <c r="F7681" s="178"/>
      <c r="G7681" s="496"/>
      <c r="H7681" s="36"/>
      <c r="I7681" s="11"/>
    </row>
    <row r="7682" spans="1:12" ht="11.15" customHeight="1">
      <c r="A7682" s="29" t="s">
        <v>10013</v>
      </c>
      <c r="B7682" s="90"/>
      <c r="C7682" s="147"/>
      <c r="D7682" s="161"/>
      <c r="E7682" s="36"/>
      <c r="F7682" s="178"/>
      <c r="G7682" s="497"/>
      <c r="H7682" s="36"/>
      <c r="I7682" s="11"/>
    </row>
    <row r="7683" spans="1:12" ht="11.15" customHeight="1" thickBot="1">
      <c r="A7683" s="166" t="s">
        <v>9507</v>
      </c>
      <c r="B7683" s="90"/>
      <c r="C7683" s="147"/>
      <c r="D7683" s="161"/>
      <c r="E7683" s="36"/>
      <c r="F7683" s="178"/>
      <c r="G7683" s="496"/>
      <c r="H7683" s="36"/>
      <c r="I7683" s="11"/>
    </row>
    <row r="7684" spans="1:12" ht="11.15" customHeight="1">
      <c r="A7684" s="418" t="s">
        <v>10016</v>
      </c>
      <c r="B7684" s="90"/>
      <c r="C7684" s="147"/>
      <c r="D7684" s="161"/>
      <c r="E7684" s="36"/>
      <c r="F7684" s="178"/>
      <c r="G7684" s="496"/>
      <c r="H7684" s="36"/>
      <c r="I7684" s="11"/>
    </row>
    <row r="7685" spans="1:12" ht="11.15" customHeight="1">
      <c r="A7685" s="506" t="s">
        <v>9509</v>
      </c>
      <c r="B7685" s="90"/>
      <c r="C7685" s="147"/>
      <c r="D7685" s="161"/>
      <c r="E7685" s="36"/>
      <c r="F7685" s="178"/>
      <c r="G7685" s="496"/>
      <c r="H7685" s="36"/>
      <c r="I7685" s="11"/>
    </row>
    <row r="7686" spans="1:12" ht="11.15" customHeight="1" thickBot="1">
      <c r="A7686" s="573" t="s">
        <v>9513</v>
      </c>
      <c r="B7686" s="90"/>
      <c r="C7686" s="147"/>
      <c r="D7686" s="161"/>
      <c r="E7686" s="36"/>
      <c r="F7686" s="178"/>
      <c r="G7686" s="496"/>
      <c r="H7686" s="36"/>
      <c r="I7686" s="11"/>
    </row>
    <row r="7687" spans="1:12" ht="11.15" customHeight="1" thickBot="1">
      <c r="A7687" s="591"/>
      <c r="B7687" s="90"/>
      <c r="C7687" s="147"/>
      <c r="D7687" s="159"/>
      <c r="E7687" s="36"/>
      <c r="F7687" s="178"/>
      <c r="G7687" s="496"/>
      <c r="H7687" s="36"/>
      <c r="I7687" s="11"/>
    </row>
    <row r="7688" spans="1:12" ht="11.15" customHeight="1">
      <c r="A7688" s="153" t="s">
        <v>10419</v>
      </c>
      <c r="B7688" s="154" t="s">
        <v>10420</v>
      </c>
      <c r="C7688" s="147"/>
      <c r="D7688" s="129"/>
      <c r="E7688" s="185"/>
      <c r="F7688" s="185"/>
      <c r="G7688" s="185"/>
      <c r="H7688" s="185"/>
      <c r="I7688" s="11"/>
    </row>
    <row r="7689" spans="1:12" ht="11.15" customHeight="1">
      <c r="A7689" s="277" t="s">
        <v>10421</v>
      </c>
      <c r="B7689" s="59" t="s">
        <v>21687</v>
      </c>
      <c r="C7689" s="147" t="s">
        <v>20221</v>
      </c>
      <c r="D7689" s="701" t="s">
        <v>1129</v>
      </c>
      <c r="E7689" s="178">
        <v>2023</v>
      </c>
      <c r="F7689" s="178" t="s">
        <v>23395</v>
      </c>
      <c r="G7689" s="496"/>
      <c r="H7689" s="994" t="s">
        <v>20221</v>
      </c>
      <c r="I7689" s="11" t="s">
        <v>10422</v>
      </c>
      <c r="J7689" s="1285"/>
      <c r="K7689" s="1285"/>
      <c r="L7689" s="1285"/>
    </row>
    <row r="7690" spans="1:12" ht="11.15" customHeight="1" thickBot="1">
      <c r="A7690" s="230" t="s">
        <v>10423</v>
      </c>
      <c r="B7690" s="154" t="s">
        <v>10424</v>
      </c>
      <c r="C7690" s="147"/>
      <c r="D7690" s="159"/>
      <c r="E7690" s="36"/>
      <c r="F7690" s="178"/>
      <c r="G7690" s="496"/>
      <c r="H7690" s="36"/>
      <c r="I7690" s="11"/>
    </row>
    <row r="7691" spans="1:12" ht="11.15" customHeight="1">
      <c r="A7691" s="29" t="s">
        <v>10374</v>
      </c>
      <c r="B7691" s="59" t="s">
        <v>21688</v>
      </c>
      <c r="C7691" s="147" t="s">
        <v>20221</v>
      </c>
      <c r="D7691" s="1034" t="s">
        <v>2573</v>
      </c>
      <c r="E7691" s="178">
        <v>2024</v>
      </c>
      <c r="F7691" s="178" t="s">
        <v>23395</v>
      </c>
      <c r="G7691" s="496"/>
      <c r="H7691" s="994" t="s">
        <v>20277</v>
      </c>
      <c r="I7691" s="11" t="s">
        <v>10425</v>
      </c>
      <c r="J7691" s="1285"/>
      <c r="K7691" s="1285"/>
      <c r="L7691" s="1285"/>
    </row>
    <row r="7692" spans="1:12" ht="11.15" customHeight="1">
      <c r="A7692" s="29" t="s">
        <v>10426</v>
      </c>
      <c r="B7692" s="154" t="s">
        <v>10427</v>
      </c>
      <c r="C7692" s="147"/>
      <c r="D7692" s="122"/>
      <c r="E7692" s="36"/>
      <c r="F7692" s="183"/>
      <c r="G7692" s="60"/>
      <c r="H7692" s="183"/>
      <c r="I7692" s="11"/>
    </row>
    <row r="7693" spans="1:12" ht="11.15" customHeight="1">
      <c r="A7693" s="181" t="s">
        <v>10428</v>
      </c>
      <c r="B7693" s="59" t="s">
        <v>21696</v>
      </c>
      <c r="C7693" s="147" t="s">
        <v>20221</v>
      </c>
      <c r="D7693" s="284" t="s">
        <v>897</v>
      </c>
      <c r="E7693" s="178">
        <v>2016</v>
      </c>
      <c r="F7693" s="178" t="s">
        <v>7168</v>
      </c>
      <c r="G7693" s="496"/>
      <c r="H7693" s="994" t="s">
        <v>20277</v>
      </c>
      <c r="I7693" s="11" t="s">
        <v>10429</v>
      </c>
      <c r="J7693" s="1285"/>
      <c r="K7693" s="1285"/>
      <c r="L7693" s="1285"/>
    </row>
    <row r="7694" spans="1:12" ht="11.15" customHeight="1">
      <c r="A7694" s="218" t="s">
        <v>10430</v>
      </c>
      <c r="B7694" s="154" t="s">
        <v>10431</v>
      </c>
      <c r="C7694" s="147"/>
      <c r="D7694" s="122"/>
      <c r="E7694" s="36"/>
      <c r="F7694" s="183"/>
      <c r="G7694" s="60"/>
      <c r="H7694" s="183"/>
      <c r="I7694" s="11"/>
    </row>
    <row r="7695" spans="1:12" ht="11.15" customHeight="1">
      <c r="A7695" s="29" t="s">
        <v>10432</v>
      </c>
      <c r="B7695" s="59" t="s">
        <v>21697</v>
      </c>
      <c r="C7695" s="147" t="s">
        <v>20221</v>
      </c>
      <c r="D7695" s="284" t="s">
        <v>897</v>
      </c>
      <c r="E7695" s="178">
        <v>2022</v>
      </c>
      <c r="F7695" s="178" t="s">
        <v>23395</v>
      </c>
      <c r="G7695" s="496"/>
      <c r="H7695" s="994" t="s">
        <v>20221</v>
      </c>
      <c r="I7695" s="11" t="s">
        <v>10433</v>
      </c>
      <c r="J7695" s="1285"/>
      <c r="K7695" s="1285"/>
      <c r="L7695" s="1285"/>
    </row>
    <row r="7696" spans="1:12" ht="11.15" customHeight="1">
      <c r="A7696" s="129" t="s">
        <v>10434</v>
      </c>
      <c r="B7696" s="59" t="s">
        <v>21697</v>
      </c>
      <c r="C7696" s="147" t="s">
        <v>20221</v>
      </c>
      <c r="D7696" s="284" t="s">
        <v>897</v>
      </c>
      <c r="E7696" s="178">
        <v>2021</v>
      </c>
      <c r="F7696" s="178" t="s">
        <v>23395</v>
      </c>
      <c r="G7696" s="496"/>
      <c r="H7696" s="994" t="s">
        <v>20221</v>
      </c>
      <c r="I7696" s="11" t="s">
        <v>10435</v>
      </c>
      <c r="J7696" s="1285"/>
      <c r="K7696" s="1285"/>
      <c r="L7696" s="1285"/>
    </row>
    <row r="7697" spans="1:12" ht="11.15" customHeight="1">
      <c r="A7697" s="355" t="s">
        <v>9612</v>
      </c>
      <c r="B7697" s="59" t="s">
        <v>21697</v>
      </c>
      <c r="C7697" s="147" t="s">
        <v>20221</v>
      </c>
      <c r="D7697" s="284" t="s">
        <v>897</v>
      </c>
      <c r="E7697" s="178">
        <v>2020</v>
      </c>
      <c r="F7697" s="178" t="s">
        <v>23395</v>
      </c>
      <c r="G7697" s="496"/>
      <c r="H7697" s="994" t="s">
        <v>20221</v>
      </c>
      <c r="I7697" s="11" t="s">
        <v>10436</v>
      </c>
      <c r="J7697" s="1285"/>
      <c r="K7697" s="1285"/>
      <c r="L7697" s="1285"/>
    </row>
    <row r="7698" spans="1:12" ht="11.15" customHeight="1">
      <c r="A7698" s="162" t="s">
        <v>10437</v>
      </c>
      <c r="B7698" s="59" t="s">
        <v>21698</v>
      </c>
      <c r="C7698" s="147" t="s">
        <v>20221</v>
      </c>
      <c r="D7698" s="284" t="s">
        <v>897</v>
      </c>
      <c r="E7698" s="178">
        <v>2019</v>
      </c>
      <c r="F7698" s="178" t="s">
        <v>23395</v>
      </c>
      <c r="G7698" s="496"/>
      <c r="H7698" s="994" t="s">
        <v>20221</v>
      </c>
      <c r="I7698" s="11" t="s">
        <v>10438</v>
      </c>
      <c r="J7698" s="1285"/>
      <c r="K7698" s="1285"/>
      <c r="L7698" s="1285"/>
    </row>
    <row r="7699" spans="1:12" ht="11.15" customHeight="1">
      <c r="A7699" s="162" t="s">
        <v>10439</v>
      </c>
      <c r="B7699" s="59" t="s">
        <v>21698</v>
      </c>
      <c r="C7699" s="147" t="s">
        <v>20221</v>
      </c>
      <c r="D7699" s="284" t="s">
        <v>897</v>
      </c>
      <c r="E7699" s="178">
        <v>2018</v>
      </c>
      <c r="F7699" s="178" t="s">
        <v>4520</v>
      </c>
      <c r="G7699" s="496"/>
      <c r="H7699" s="994" t="s">
        <v>20221</v>
      </c>
      <c r="I7699" s="11" t="s">
        <v>10440</v>
      </c>
      <c r="J7699" s="1285"/>
      <c r="K7699" s="1285"/>
      <c r="L7699" s="1285"/>
    </row>
    <row r="7700" spans="1:12" ht="11.15" customHeight="1">
      <c r="A7700" s="355" t="s">
        <v>10441</v>
      </c>
      <c r="B7700" s="154" t="s">
        <v>10442</v>
      </c>
      <c r="C7700" s="147"/>
      <c r="D7700" s="129"/>
      <c r="E7700" s="185"/>
      <c r="F7700" s="185"/>
      <c r="G7700" s="185"/>
      <c r="H7700" s="185"/>
      <c r="I7700" s="11"/>
    </row>
    <row r="7701" spans="1:12" ht="11.15" customHeight="1">
      <c r="A7701" s="162" t="s">
        <v>10443</v>
      </c>
      <c r="B7701" s="59" t="s">
        <v>21699</v>
      </c>
      <c r="C7701" s="147" t="s">
        <v>20221</v>
      </c>
      <c r="D7701" s="284" t="s">
        <v>897</v>
      </c>
      <c r="E7701" s="178">
        <v>2022</v>
      </c>
      <c r="F7701" s="178" t="s">
        <v>23395</v>
      </c>
      <c r="G7701" s="496"/>
      <c r="H7701" s="994" t="s">
        <v>20221</v>
      </c>
      <c r="I7701" s="11" t="s">
        <v>10444</v>
      </c>
      <c r="J7701" s="1285"/>
      <c r="K7701" s="1285"/>
      <c r="L7701" s="1285"/>
    </row>
    <row r="7702" spans="1:12" ht="11.15" customHeight="1">
      <c r="A7702" s="162" t="s">
        <v>10445</v>
      </c>
      <c r="B7702" s="59" t="s">
        <v>21699</v>
      </c>
      <c r="C7702" s="147" t="s">
        <v>20221</v>
      </c>
      <c r="D7702" s="284" t="s">
        <v>897</v>
      </c>
      <c r="E7702" s="178">
        <v>2021</v>
      </c>
      <c r="F7702" s="178" t="s">
        <v>23395</v>
      </c>
      <c r="G7702" s="496"/>
      <c r="H7702" s="994" t="s">
        <v>20221</v>
      </c>
      <c r="I7702" s="11" t="s">
        <v>10446</v>
      </c>
      <c r="J7702" s="1285"/>
      <c r="K7702" s="1285"/>
      <c r="L7702" s="1285"/>
    </row>
    <row r="7703" spans="1:12" ht="11.15" customHeight="1">
      <c r="A7703" s="355" t="s">
        <v>10447</v>
      </c>
      <c r="B7703" s="59" t="s">
        <v>21699</v>
      </c>
      <c r="C7703" s="147" t="s">
        <v>20221</v>
      </c>
      <c r="D7703" s="284" t="s">
        <v>897</v>
      </c>
      <c r="E7703" s="178">
        <v>2020</v>
      </c>
      <c r="F7703" s="178" t="s">
        <v>23395</v>
      </c>
      <c r="G7703" s="496"/>
      <c r="H7703" s="994" t="s">
        <v>20221</v>
      </c>
      <c r="I7703" s="11" t="s">
        <v>10448</v>
      </c>
      <c r="J7703" s="1285"/>
      <c r="K7703" s="1285"/>
      <c r="L7703" s="1285"/>
    </row>
    <row r="7704" spans="1:12" ht="11.15" customHeight="1">
      <c r="A7704" s="162" t="s">
        <v>10449</v>
      </c>
      <c r="B7704" s="59" t="s">
        <v>21699</v>
      </c>
      <c r="C7704" s="147" t="s">
        <v>20221</v>
      </c>
      <c r="D7704" s="284" t="s">
        <v>897</v>
      </c>
      <c r="E7704" s="178">
        <v>2019</v>
      </c>
      <c r="F7704" s="178" t="s">
        <v>23395</v>
      </c>
      <c r="G7704" s="496"/>
      <c r="H7704" s="994" t="s">
        <v>20221</v>
      </c>
      <c r="I7704" s="11" t="s">
        <v>10450</v>
      </c>
      <c r="J7704" s="1285"/>
      <c r="K7704" s="1285"/>
      <c r="L7704" s="1285"/>
    </row>
    <row r="7705" spans="1:12" ht="11.15" customHeight="1">
      <c r="A7705" s="162" t="s">
        <v>10451</v>
      </c>
      <c r="B7705" s="59" t="s">
        <v>21700</v>
      </c>
      <c r="C7705" s="147" t="s">
        <v>20221</v>
      </c>
      <c r="D7705" s="284" t="s">
        <v>897</v>
      </c>
      <c r="E7705" s="178">
        <v>2017</v>
      </c>
      <c r="F7705" s="178" t="s">
        <v>23395</v>
      </c>
      <c r="G7705" s="496"/>
      <c r="H7705" s="994" t="s">
        <v>20277</v>
      </c>
      <c r="I7705" s="11" t="s">
        <v>10452</v>
      </c>
      <c r="J7705" s="1285"/>
      <c r="K7705" s="1285"/>
      <c r="L7705" s="1285"/>
    </row>
    <row r="7706" spans="1:12" ht="11.15" customHeight="1">
      <c r="A7706" s="355" t="s">
        <v>10453</v>
      </c>
      <c r="B7706" s="59" t="s">
        <v>21701</v>
      </c>
      <c r="C7706" s="147" t="s">
        <v>20221</v>
      </c>
      <c r="D7706" s="284" t="s">
        <v>897</v>
      </c>
      <c r="E7706" s="178">
        <v>2022</v>
      </c>
      <c r="F7706" s="178" t="s">
        <v>23395</v>
      </c>
      <c r="G7706" s="496"/>
      <c r="H7706" s="994" t="s">
        <v>20221</v>
      </c>
      <c r="I7706" s="11" t="s">
        <v>10454</v>
      </c>
      <c r="J7706" s="1285"/>
      <c r="K7706" s="1285"/>
      <c r="L7706" s="1285"/>
    </row>
    <row r="7707" spans="1:12" ht="11.15" customHeight="1">
      <c r="A7707" s="162" t="s">
        <v>10455</v>
      </c>
      <c r="B7707" s="59" t="s">
        <v>21701</v>
      </c>
      <c r="C7707" s="147" t="s">
        <v>20221</v>
      </c>
      <c r="D7707" s="284" t="s">
        <v>897</v>
      </c>
      <c r="E7707" s="178">
        <v>2021</v>
      </c>
      <c r="F7707" s="178" t="s">
        <v>23395</v>
      </c>
      <c r="G7707" s="496"/>
      <c r="H7707" s="994" t="s">
        <v>20221</v>
      </c>
      <c r="I7707" s="11" t="s">
        <v>10456</v>
      </c>
      <c r="J7707" s="1285"/>
      <c r="K7707" s="1285"/>
      <c r="L7707" s="1285"/>
    </row>
    <row r="7708" spans="1:12" ht="11.15" customHeight="1">
      <c r="A7708" s="387" t="s">
        <v>10457</v>
      </c>
      <c r="B7708" s="59" t="s">
        <v>21701</v>
      </c>
      <c r="C7708" s="147" t="s">
        <v>20221</v>
      </c>
      <c r="D7708" s="284" t="s">
        <v>897</v>
      </c>
      <c r="E7708" s="178">
        <v>2020</v>
      </c>
      <c r="F7708" s="178" t="s">
        <v>23395</v>
      </c>
      <c r="G7708" s="496"/>
      <c r="H7708" s="994" t="s">
        <v>20221</v>
      </c>
      <c r="I7708" s="11" t="s">
        <v>10458</v>
      </c>
      <c r="J7708" s="1285"/>
      <c r="K7708" s="1285"/>
      <c r="L7708" s="1285"/>
    </row>
    <row r="7709" spans="1:12" ht="11.15" customHeight="1">
      <c r="A7709" s="162" t="s">
        <v>10459</v>
      </c>
      <c r="B7709" s="574" t="s">
        <v>10460</v>
      </c>
      <c r="C7709" s="147"/>
      <c r="D7709" s="129"/>
      <c r="E7709" s="185"/>
      <c r="F7709" s="185"/>
      <c r="G7709" s="185"/>
      <c r="H7709" s="185"/>
      <c r="I7709" s="11"/>
    </row>
    <row r="7710" spans="1:12" ht="11.15" customHeight="1">
      <c r="A7710" s="355" t="s">
        <v>10461</v>
      </c>
      <c r="B7710" s="59" t="s">
        <v>21702</v>
      </c>
      <c r="C7710" s="147" t="s">
        <v>20221</v>
      </c>
      <c r="D7710" s="284" t="s">
        <v>897</v>
      </c>
      <c r="E7710" s="178">
        <v>2022</v>
      </c>
      <c r="F7710" s="178" t="s">
        <v>4520</v>
      </c>
      <c r="G7710" s="496"/>
      <c r="H7710" s="994" t="s">
        <v>20224</v>
      </c>
      <c r="I7710" s="11" t="s">
        <v>10462</v>
      </c>
      <c r="J7710" s="1285"/>
      <c r="K7710" s="1285"/>
      <c r="L7710" s="1285"/>
    </row>
    <row r="7711" spans="1:12" ht="11.15" customHeight="1">
      <c r="A7711" s="162" t="s">
        <v>10463</v>
      </c>
      <c r="B7711" s="59" t="s">
        <v>21702</v>
      </c>
      <c r="C7711" s="147" t="s">
        <v>20221</v>
      </c>
      <c r="D7711" s="284" t="s">
        <v>897</v>
      </c>
      <c r="E7711" s="178">
        <v>2021</v>
      </c>
      <c r="F7711" s="178" t="s">
        <v>4520</v>
      </c>
      <c r="G7711" s="496"/>
      <c r="H7711" s="994" t="s">
        <v>20224</v>
      </c>
      <c r="I7711" s="11" t="s">
        <v>10464</v>
      </c>
      <c r="J7711" s="1285"/>
      <c r="K7711" s="1285"/>
      <c r="L7711" s="1285"/>
    </row>
    <row r="7712" spans="1:12" ht="11.15" customHeight="1">
      <c r="A7712" s="162" t="s">
        <v>10465</v>
      </c>
      <c r="B7712" s="59" t="s">
        <v>21702</v>
      </c>
      <c r="C7712" s="147" t="s">
        <v>20221</v>
      </c>
      <c r="D7712" s="284" t="s">
        <v>897</v>
      </c>
      <c r="E7712" s="178">
        <v>2020</v>
      </c>
      <c r="F7712" s="178" t="s">
        <v>4520</v>
      </c>
      <c r="G7712" s="496"/>
      <c r="H7712" s="994" t="s">
        <v>20224</v>
      </c>
      <c r="I7712" s="11" t="s">
        <v>10466</v>
      </c>
      <c r="J7712" s="1285"/>
      <c r="K7712" s="1285"/>
      <c r="L7712" s="1285"/>
    </row>
    <row r="7713" spans="1:12" ht="11.15" customHeight="1">
      <c r="A7713" s="162" t="s">
        <v>10467</v>
      </c>
      <c r="B7713" s="59" t="s">
        <v>21702</v>
      </c>
      <c r="C7713" s="147" t="s">
        <v>20221</v>
      </c>
      <c r="D7713" s="284" t="s">
        <v>897</v>
      </c>
      <c r="E7713" s="178">
        <v>2019</v>
      </c>
      <c r="F7713" s="178" t="s">
        <v>4520</v>
      </c>
      <c r="G7713" s="496"/>
      <c r="H7713" s="994" t="s">
        <v>20224</v>
      </c>
      <c r="I7713" s="11" t="s">
        <v>10468</v>
      </c>
      <c r="J7713" s="1285"/>
      <c r="K7713" s="1285"/>
      <c r="L7713" s="1285"/>
    </row>
    <row r="7714" spans="1:12" ht="11.15" customHeight="1">
      <c r="A7714" s="355" t="s">
        <v>10469</v>
      </c>
      <c r="B7714" s="59" t="s">
        <v>21702</v>
      </c>
      <c r="C7714" s="147" t="s">
        <v>20221</v>
      </c>
      <c r="D7714" s="284" t="s">
        <v>897</v>
      </c>
      <c r="E7714" s="178">
        <v>2018</v>
      </c>
      <c r="F7714" s="178" t="s">
        <v>4520</v>
      </c>
      <c r="G7714" s="496"/>
      <c r="H7714" s="994" t="s">
        <v>20224</v>
      </c>
      <c r="I7714" s="11" t="s">
        <v>10470</v>
      </c>
      <c r="J7714" s="1285"/>
      <c r="K7714" s="1285"/>
      <c r="L7714" s="1285"/>
    </row>
    <row r="7715" spans="1:12" ht="11.15" customHeight="1">
      <c r="A7715" s="162" t="s">
        <v>10471</v>
      </c>
      <c r="B7715" s="154" t="s">
        <v>10472</v>
      </c>
      <c r="C7715" s="147"/>
      <c r="D7715" s="185"/>
      <c r="E7715" s="185"/>
      <c r="F7715" s="185"/>
      <c r="G7715" s="185"/>
      <c r="H7715" s="185"/>
      <c r="I7715" s="11"/>
    </row>
    <row r="7716" spans="1:12" ht="11.15" customHeight="1">
      <c r="A7716" s="162" t="s">
        <v>10473</v>
      </c>
      <c r="B7716" s="59" t="s">
        <v>21703</v>
      </c>
      <c r="C7716" s="147" t="s">
        <v>20221</v>
      </c>
      <c r="D7716" s="284" t="s">
        <v>897</v>
      </c>
      <c r="E7716" s="178">
        <v>2017</v>
      </c>
      <c r="F7716" s="178" t="s">
        <v>11931</v>
      </c>
      <c r="G7716" s="496"/>
      <c r="H7716" s="994" t="s">
        <v>20277</v>
      </c>
      <c r="I7716" s="11" t="s">
        <v>10474</v>
      </c>
      <c r="J7716" s="1285"/>
      <c r="K7716" s="1285"/>
      <c r="L7716" s="1285"/>
    </row>
    <row r="7717" spans="1:12" ht="11.15" customHeight="1">
      <c r="A7717" s="129" t="s">
        <v>3690</v>
      </c>
      <c r="B7717" s="59" t="s">
        <v>21704</v>
      </c>
      <c r="C7717" s="147" t="s">
        <v>20221</v>
      </c>
      <c r="D7717" s="284" t="s">
        <v>897</v>
      </c>
      <c r="E7717" s="178">
        <v>2022</v>
      </c>
      <c r="F7717" s="178" t="s">
        <v>5257</v>
      </c>
      <c r="G7717" s="496"/>
      <c r="H7717" s="994" t="s">
        <v>20224</v>
      </c>
      <c r="I7717" s="11" t="s">
        <v>10475</v>
      </c>
      <c r="J7717" s="1285"/>
      <c r="K7717" s="1285"/>
      <c r="L7717" s="1285"/>
    </row>
    <row r="7718" spans="1:12" ht="11.15" customHeight="1">
      <c r="A7718" s="162" t="s">
        <v>10476</v>
      </c>
      <c r="B7718" s="59" t="s">
        <v>21704</v>
      </c>
      <c r="C7718" s="147" t="s">
        <v>20221</v>
      </c>
      <c r="D7718" s="284" t="s">
        <v>897</v>
      </c>
      <c r="E7718" s="178">
        <v>2021</v>
      </c>
      <c r="F7718" s="178" t="s">
        <v>11931</v>
      </c>
      <c r="G7718" s="496"/>
      <c r="H7718" s="994" t="s">
        <v>20224</v>
      </c>
      <c r="I7718" s="11" t="s">
        <v>10477</v>
      </c>
      <c r="J7718" s="1285"/>
      <c r="K7718" s="1285"/>
      <c r="L7718" s="1285"/>
    </row>
    <row r="7719" spans="1:12" ht="11.15" customHeight="1">
      <c r="A7719" s="162" t="s">
        <v>10478</v>
      </c>
      <c r="B7719" s="59" t="s">
        <v>21704</v>
      </c>
      <c r="C7719" s="147" t="s">
        <v>20221</v>
      </c>
      <c r="D7719" s="284" t="s">
        <v>897</v>
      </c>
      <c r="E7719" s="178">
        <v>2020</v>
      </c>
      <c r="F7719" s="178" t="s">
        <v>11931</v>
      </c>
      <c r="G7719" s="496"/>
      <c r="H7719" s="994" t="s">
        <v>20224</v>
      </c>
      <c r="I7719" s="11" t="s">
        <v>10479</v>
      </c>
      <c r="J7719" s="1285"/>
      <c r="K7719" s="1285"/>
      <c r="L7719" s="1285"/>
    </row>
    <row r="7720" spans="1:12" ht="11.15" customHeight="1">
      <c r="A7720" s="162" t="s">
        <v>10480</v>
      </c>
      <c r="B7720" s="59" t="s">
        <v>21704</v>
      </c>
      <c r="C7720" s="147" t="s">
        <v>20221</v>
      </c>
      <c r="D7720" s="284" t="s">
        <v>897</v>
      </c>
      <c r="E7720" s="178">
        <v>2019</v>
      </c>
      <c r="F7720" s="178" t="s">
        <v>11931</v>
      </c>
      <c r="G7720" s="496"/>
      <c r="H7720" s="994" t="s">
        <v>20224</v>
      </c>
      <c r="I7720" s="11" t="s">
        <v>10481</v>
      </c>
      <c r="J7720" s="1285"/>
      <c r="K7720" s="1285"/>
      <c r="L7720" s="1285"/>
    </row>
    <row r="7721" spans="1:12" ht="11.15" customHeight="1">
      <c r="A7721" s="162" t="s">
        <v>10482</v>
      </c>
      <c r="B7721" s="59" t="s">
        <v>21704</v>
      </c>
      <c r="C7721" s="147" t="s">
        <v>20221</v>
      </c>
      <c r="D7721" s="284" t="s">
        <v>897</v>
      </c>
      <c r="E7721" s="178">
        <v>2018</v>
      </c>
      <c r="F7721" s="178" t="s">
        <v>11931</v>
      </c>
      <c r="G7721" s="496"/>
      <c r="H7721" s="994" t="s">
        <v>20224</v>
      </c>
      <c r="I7721" s="11" t="s">
        <v>10483</v>
      </c>
      <c r="J7721" s="1285"/>
      <c r="K7721" s="1285"/>
      <c r="L7721" s="1285"/>
    </row>
    <row r="7722" spans="1:12" ht="11.15" customHeight="1">
      <c r="A7722" s="162" t="s">
        <v>10484</v>
      </c>
      <c r="B7722" s="59" t="s">
        <v>21704</v>
      </c>
      <c r="C7722" s="147" t="s">
        <v>20221</v>
      </c>
      <c r="D7722" s="284" t="s">
        <v>897</v>
      </c>
      <c r="E7722" s="178">
        <v>2017</v>
      </c>
      <c r="F7722" s="178" t="s">
        <v>11931</v>
      </c>
      <c r="G7722" s="496"/>
      <c r="H7722" s="994" t="s">
        <v>20224</v>
      </c>
      <c r="I7722" s="11" t="s">
        <v>10485</v>
      </c>
      <c r="J7722" s="1285"/>
      <c r="K7722" s="1285"/>
      <c r="L7722" s="1285"/>
    </row>
    <row r="7723" spans="1:12" ht="11.15" customHeight="1">
      <c r="A7723" s="162" t="s">
        <v>10486</v>
      </c>
      <c r="B7723" s="59" t="s">
        <v>21705</v>
      </c>
      <c r="C7723" s="147" t="s">
        <v>20221</v>
      </c>
      <c r="D7723" s="284" t="s">
        <v>897</v>
      </c>
      <c r="E7723" s="178">
        <v>2022</v>
      </c>
      <c r="F7723" s="178" t="s">
        <v>11931</v>
      </c>
      <c r="G7723" s="496"/>
      <c r="H7723" s="994" t="s">
        <v>20224</v>
      </c>
      <c r="I7723" s="11" t="s">
        <v>10487</v>
      </c>
      <c r="J7723" s="1285"/>
      <c r="K7723" s="1285"/>
      <c r="L7723" s="1285"/>
    </row>
    <row r="7724" spans="1:12" ht="11.15" customHeight="1">
      <c r="A7724" s="162" t="s">
        <v>10488</v>
      </c>
      <c r="B7724" s="59" t="s">
        <v>21705</v>
      </c>
      <c r="C7724" s="147" t="s">
        <v>20221</v>
      </c>
      <c r="D7724" s="284" t="s">
        <v>897</v>
      </c>
      <c r="E7724" s="178">
        <v>2021</v>
      </c>
      <c r="F7724" s="178" t="s">
        <v>11931</v>
      </c>
      <c r="G7724" s="496"/>
      <c r="H7724" s="994" t="s">
        <v>20224</v>
      </c>
      <c r="I7724" s="11" t="s">
        <v>10489</v>
      </c>
      <c r="J7724" s="1285"/>
      <c r="K7724" s="1285"/>
      <c r="L7724" s="1285"/>
    </row>
    <row r="7725" spans="1:12" ht="11.15" customHeight="1">
      <c r="A7725" s="162" t="s">
        <v>10490</v>
      </c>
      <c r="B7725" s="59" t="s">
        <v>21705</v>
      </c>
      <c r="C7725" s="147" t="s">
        <v>20221</v>
      </c>
      <c r="D7725" s="284" t="s">
        <v>897</v>
      </c>
      <c r="E7725" s="178">
        <v>2020</v>
      </c>
      <c r="F7725" s="178" t="s">
        <v>11931</v>
      </c>
      <c r="G7725" s="496"/>
      <c r="H7725" s="994" t="s">
        <v>20224</v>
      </c>
      <c r="I7725" s="11" t="s">
        <v>10491</v>
      </c>
      <c r="J7725" s="1285"/>
      <c r="K7725" s="1285"/>
      <c r="L7725" s="1285"/>
    </row>
    <row r="7726" spans="1:12" ht="11.15" customHeight="1">
      <c r="A7726" s="162" t="s">
        <v>10492</v>
      </c>
      <c r="B7726" s="59" t="s">
        <v>21705</v>
      </c>
      <c r="C7726" s="147" t="s">
        <v>20221</v>
      </c>
      <c r="D7726" s="284" t="s">
        <v>897</v>
      </c>
      <c r="E7726" s="178">
        <v>2019</v>
      </c>
      <c r="F7726" s="178" t="s">
        <v>11931</v>
      </c>
      <c r="G7726" s="496"/>
      <c r="H7726" s="994" t="s">
        <v>20224</v>
      </c>
      <c r="I7726" s="11" t="s">
        <v>10493</v>
      </c>
      <c r="J7726" s="1285"/>
      <c r="K7726" s="1285"/>
      <c r="L7726" s="1285"/>
    </row>
    <row r="7727" spans="1:12" ht="11.15" customHeight="1">
      <c r="A7727" s="162" t="s">
        <v>10494</v>
      </c>
      <c r="B7727" s="154" t="s">
        <v>10495</v>
      </c>
      <c r="C7727" s="147"/>
      <c r="D7727" s="161"/>
      <c r="E7727" s="36"/>
      <c r="F7727" s="183"/>
      <c r="G7727" s="496"/>
      <c r="H7727" s="34"/>
      <c r="I7727" s="11"/>
    </row>
    <row r="7728" spans="1:12" ht="11.15" customHeight="1">
      <c r="A7728" s="162" t="s">
        <v>10496</v>
      </c>
      <c r="B7728" s="59" t="s">
        <v>21706</v>
      </c>
      <c r="C7728" s="147" t="s">
        <v>20221</v>
      </c>
      <c r="D7728" s="284" t="s">
        <v>897</v>
      </c>
      <c r="E7728" s="178">
        <v>2021</v>
      </c>
      <c r="F7728" s="178" t="s">
        <v>11938</v>
      </c>
      <c r="G7728" s="496"/>
      <c r="H7728" s="994" t="s">
        <v>20224</v>
      </c>
      <c r="I7728" s="11" t="s">
        <v>10497</v>
      </c>
      <c r="J7728" s="1285"/>
      <c r="K7728" s="1285"/>
      <c r="L7728" s="1285"/>
    </row>
    <row r="7729" spans="1:12" ht="11.15" customHeight="1">
      <c r="A7729" s="162" t="s">
        <v>10498</v>
      </c>
      <c r="B7729" s="59" t="s">
        <v>21706</v>
      </c>
      <c r="C7729" s="147" t="s">
        <v>20221</v>
      </c>
      <c r="D7729" s="284" t="s">
        <v>897</v>
      </c>
      <c r="E7729" s="178">
        <v>2020</v>
      </c>
      <c r="F7729" s="178" t="s">
        <v>11938</v>
      </c>
      <c r="G7729" s="496"/>
      <c r="H7729" s="994" t="s">
        <v>20224</v>
      </c>
      <c r="I7729" s="11" t="s">
        <v>10499</v>
      </c>
      <c r="J7729" s="1285"/>
      <c r="K7729" s="1285"/>
      <c r="L7729" s="1285"/>
    </row>
    <row r="7730" spans="1:12" ht="11.15" customHeight="1">
      <c r="A7730" s="162" t="s">
        <v>10500</v>
      </c>
      <c r="B7730" s="59" t="s">
        <v>21706</v>
      </c>
      <c r="C7730" s="147" t="s">
        <v>20221</v>
      </c>
      <c r="D7730" s="284" t="s">
        <v>897</v>
      </c>
      <c r="E7730" s="178">
        <v>2019</v>
      </c>
      <c r="F7730" s="178" t="s">
        <v>11938</v>
      </c>
      <c r="G7730" s="496"/>
      <c r="H7730" s="994" t="s">
        <v>20224</v>
      </c>
      <c r="I7730" s="11" t="s">
        <v>10501</v>
      </c>
      <c r="J7730" s="1285"/>
      <c r="K7730" s="1285"/>
      <c r="L7730" s="1285"/>
    </row>
    <row r="7731" spans="1:12" ht="11.15" customHeight="1">
      <c r="A7731" s="162" t="s">
        <v>10502</v>
      </c>
      <c r="B7731" s="59" t="s">
        <v>21706</v>
      </c>
      <c r="C7731" s="147" t="s">
        <v>20221</v>
      </c>
      <c r="D7731" s="284" t="s">
        <v>897</v>
      </c>
      <c r="E7731" s="178">
        <v>2018</v>
      </c>
      <c r="F7731" s="178" t="s">
        <v>11938</v>
      </c>
      <c r="G7731" s="496"/>
      <c r="H7731" s="994" t="s">
        <v>20224</v>
      </c>
      <c r="I7731" s="11" t="s">
        <v>10503</v>
      </c>
      <c r="J7731" s="1285"/>
      <c r="K7731" s="1285"/>
      <c r="L7731" s="1285"/>
    </row>
    <row r="7732" spans="1:12" ht="11.15" customHeight="1">
      <c r="A7732" s="162" t="s">
        <v>10504</v>
      </c>
      <c r="B7732" s="59" t="s">
        <v>21706</v>
      </c>
      <c r="C7732" s="147" t="s">
        <v>20221</v>
      </c>
      <c r="D7732" s="284" t="s">
        <v>897</v>
      </c>
      <c r="E7732" s="178">
        <v>2017</v>
      </c>
      <c r="F7732" s="178" t="s">
        <v>11938</v>
      </c>
      <c r="G7732" s="496"/>
      <c r="H7732" s="994" t="s">
        <v>20224</v>
      </c>
      <c r="I7732" s="11" t="s">
        <v>10505</v>
      </c>
      <c r="J7732" s="1285"/>
      <c r="K7732" s="1285"/>
      <c r="L7732" s="1285"/>
    </row>
    <row r="7733" spans="1:12" ht="11.15" customHeight="1">
      <c r="A7733" s="162" t="s">
        <v>10506</v>
      </c>
      <c r="B7733" s="59" t="s">
        <v>21706</v>
      </c>
      <c r="C7733" s="147" t="s">
        <v>20221</v>
      </c>
      <c r="D7733" s="284" t="s">
        <v>897</v>
      </c>
      <c r="E7733" s="178">
        <v>2016</v>
      </c>
      <c r="F7733" s="178" t="s">
        <v>11938</v>
      </c>
      <c r="G7733" s="496"/>
      <c r="H7733" s="994" t="s">
        <v>20224</v>
      </c>
      <c r="I7733" s="11" t="s">
        <v>10507</v>
      </c>
      <c r="J7733" s="1285"/>
      <c r="K7733" s="1285"/>
      <c r="L7733" s="1285"/>
    </row>
    <row r="7734" spans="1:12" ht="11.15" customHeight="1">
      <c r="A7734" s="162" t="s">
        <v>10508</v>
      </c>
      <c r="B7734" s="59" t="s">
        <v>21706</v>
      </c>
      <c r="C7734" s="147" t="s">
        <v>20221</v>
      </c>
      <c r="D7734" s="284" t="s">
        <v>897</v>
      </c>
      <c r="E7734" s="178">
        <v>2015</v>
      </c>
      <c r="F7734" s="178" t="s">
        <v>11938</v>
      </c>
      <c r="G7734" s="496"/>
      <c r="H7734" s="994" t="s">
        <v>20224</v>
      </c>
      <c r="I7734" s="11" t="s">
        <v>10509</v>
      </c>
      <c r="J7734" s="1285"/>
      <c r="K7734" s="1285"/>
      <c r="L7734" s="1285"/>
    </row>
    <row r="7735" spans="1:12" ht="11.15" customHeight="1">
      <c r="A7735" s="162" t="s">
        <v>10510</v>
      </c>
      <c r="B7735" s="59" t="s">
        <v>21706</v>
      </c>
      <c r="C7735" s="147" t="s">
        <v>20221</v>
      </c>
      <c r="D7735" s="284" t="s">
        <v>897</v>
      </c>
      <c r="E7735" s="178">
        <v>2014</v>
      </c>
      <c r="F7735" s="178" t="s">
        <v>11938</v>
      </c>
      <c r="G7735" s="496"/>
      <c r="H7735" s="994" t="s">
        <v>20224</v>
      </c>
      <c r="I7735" s="11" t="s">
        <v>10511</v>
      </c>
      <c r="J7735" s="1285"/>
      <c r="K7735" s="1285"/>
      <c r="L7735" s="1285"/>
    </row>
    <row r="7736" spans="1:12" ht="11.15" customHeight="1">
      <c r="A7736" s="162" t="s">
        <v>10512</v>
      </c>
      <c r="B7736" s="59" t="s">
        <v>21707</v>
      </c>
      <c r="C7736" s="147" t="s">
        <v>20221</v>
      </c>
      <c r="D7736" s="284" t="s">
        <v>897</v>
      </c>
      <c r="E7736" s="178">
        <v>2021</v>
      </c>
      <c r="F7736" s="178" t="s">
        <v>11938</v>
      </c>
      <c r="G7736" s="496"/>
      <c r="H7736" s="994" t="s">
        <v>20224</v>
      </c>
      <c r="I7736" s="11" t="s">
        <v>10513</v>
      </c>
      <c r="J7736" s="1285"/>
      <c r="K7736" s="1285"/>
      <c r="L7736" s="1285"/>
    </row>
    <row r="7737" spans="1:12" ht="11.15" customHeight="1">
      <c r="A7737" s="162" t="s">
        <v>10514</v>
      </c>
      <c r="B7737" s="59" t="s">
        <v>21707</v>
      </c>
      <c r="C7737" s="147" t="s">
        <v>20221</v>
      </c>
      <c r="D7737" s="284" t="s">
        <v>897</v>
      </c>
      <c r="E7737" s="178">
        <v>2020</v>
      </c>
      <c r="F7737" s="178" t="s">
        <v>11938</v>
      </c>
      <c r="G7737" s="496"/>
      <c r="H7737" s="994" t="s">
        <v>20224</v>
      </c>
      <c r="I7737" s="11" t="s">
        <v>10515</v>
      </c>
      <c r="J7737" s="1285"/>
      <c r="K7737" s="1285"/>
      <c r="L7737" s="1285"/>
    </row>
    <row r="7738" spans="1:12" ht="11.15" customHeight="1">
      <c r="A7738" s="162" t="s">
        <v>10516</v>
      </c>
      <c r="B7738" s="59" t="s">
        <v>21707</v>
      </c>
      <c r="C7738" s="147" t="s">
        <v>20221</v>
      </c>
      <c r="D7738" s="284" t="s">
        <v>897</v>
      </c>
      <c r="E7738" s="178">
        <v>2019</v>
      </c>
      <c r="F7738" s="178" t="s">
        <v>11938</v>
      </c>
      <c r="G7738" s="496"/>
      <c r="H7738" s="994" t="s">
        <v>20224</v>
      </c>
      <c r="I7738" s="11" t="s">
        <v>10517</v>
      </c>
      <c r="J7738" s="1285"/>
      <c r="K7738" s="1285"/>
      <c r="L7738" s="1285"/>
    </row>
    <row r="7739" spans="1:12" ht="11.15" customHeight="1">
      <c r="A7739" s="129" t="s">
        <v>3659</v>
      </c>
      <c r="B7739" s="59" t="s">
        <v>21707</v>
      </c>
      <c r="C7739" s="147" t="s">
        <v>20221</v>
      </c>
      <c r="D7739" s="284" t="s">
        <v>897</v>
      </c>
      <c r="E7739" s="178">
        <v>2018</v>
      </c>
      <c r="F7739" s="178" t="s">
        <v>11938</v>
      </c>
      <c r="G7739" s="496"/>
      <c r="H7739" s="994" t="s">
        <v>20224</v>
      </c>
      <c r="I7739" s="11" t="s">
        <v>10518</v>
      </c>
      <c r="J7739" s="1285"/>
      <c r="K7739" s="1285"/>
      <c r="L7739" s="1285"/>
    </row>
    <row r="7740" spans="1:12" ht="11.15" customHeight="1">
      <c r="A7740" s="162" t="s">
        <v>10519</v>
      </c>
      <c r="B7740" s="59" t="s">
        <v>21707</v>
      </c>
      <c r="C7740" s="147" t="s">
        <v>20221</v>
      </c>
      <c r="D7740" s="284" t="s">
        <v>897</v>
      </c>
      <c r="E7740" s="178">
        <v>2017</v>
      </c>
      <c r="F7740" s="178" t="s">
        <v>11938</v>
      </c>
      <c r="G7740" s="496"/>
      <c r="H7740" s="994" t="s">
        <v>20224</v>
      </c>
      <c r="I7740" s="11" t="s">
        <v>10520</v>
      </c>
      <c r="J7740" s="1285"/>
      <c r="K7740" s="1285"/>
      <c r="L7740" s="1285"/>
    </row>
    <row r="7741" spans="1:12" ht="11.15" customHeight="1">
      <c r="A7741" s="162" t="s">
        <v>3845</v>
      </c>
      <c r="B7741" s="59" t="s">
        <v>21707</v>
      </c>
      <c r="C7741" s="147" t="s">
        <v>20221</v>
      </c>
      <c r="D7741" s="284" t="s">
        <v>897</v>
      </c>
      <c r="E7741" s="178">
        <v>2016</v>
      </c>
      <c r="F7741" s="178" t="s">
        <v>11938</v>
      </c>
      <c r="G7741" s="496"/>
      <c r="H7741" s="994" t="s">
        <v>20224</v>
      </c>
      <c r="I7741" s="11" t="s">
        <v>10521</v>
      </c>
      <c r="J7741" s="1285"/>
      <c r="K7741" s="1285"/>
      <c r="L7741" s="1285"/>
    </row>
    <row r="7742" spans="1:12" ht="11.15" customHeight="1">
      <c r="A7742" s="162" t="s">
        <v>8298</v>
      </c>
      <c r="B7742" s="185"/>
      <c r="C7742" s="147"/>
      <c r="D7742" s="185"/>
      <c r="E7742" s="185"/>
      <c r="F7742" s="185"/>
      <c r="G7742" s="185"/>
      <c r="H7742" s="185"/>
      <c r="I7742" s="11"/>
    </row>
    <row r="7743" spans="1:12" ht="11.15" customHeight="1">
      <c r="A7743" s="162" t="s">
        <v>10522</v>
      </c>
      <c r="B7743" s="185"/>
      <c r="C7743" s="147"/>
      <c r="D7743" s="185"/>
      <c r="E7743" s="185"/>
      <c r="F7743" s="185"/>
      <c r="G7743" s="185"/>
      <c r="H7743" s="185"/>
      <c r="I7743" s="11"/>
    </row>
    <row r="7744" spans="1:12" ht="11.15" customHeight="1">
      <c r="A7744" s="162" t="s">
        <v>1525</v>
      </c>
      <c r="B7744" s="185"/>
      <c r="C7744" s="147"/>
      <c r="D7744" s="185"/>
      <c r="E7744" s="185"/>
      <c r="F7744" s="185"/>
      <c r="G7744" s="185"/>
      <c r="H7744" s="185"/>
      <c r="I7744" s="11"/>
    </row>
    <row r="7745" spans="1:12" ht="11.15" customHeight="1">
      <c r="A7745" s="162" t="s">
        <v>10523</v>
      </c>
      <c r="B7745" s="185"/>
      <c r="C7745" s="147"/>
      <c r="D7745" s="185"/>
      <c r="E7745" s="185"/>
      <c r="F7745" s="185"/>
      <c r="G7745" s="185"/>
      <c r="H7745" s="185"/>
      <c r="I7745" s="11"/>
    </row>
    <row r="7746" spans="1:12" ht="11.15" customHeight="1">
      <c r="A7746" s="166" t="s">
        <v>10524</v>
      </c>
      <c r="B7746" s="185"/>
      <c r="C7746" s="147"/>
      <c r="D7746" s="185"/>
      <c r="E7746" s="185"/>
      <c r="F7746" s="185"/>
      <c r="G7746" s="185"/>
      <c r="H7746" s="185"/>
      <c r="I7746" s="11"/>
    </row>
    <row r="7747" spans="1:12" ht="11.15" customHeight="1">
      <c r="A7747" s="129" t="s">
        <v>10525</v>
      </c>
      <c r="B7747" s="185"/>
      <c r="C7747" s="147"/>
      <c r="D7747" s="185"/>
      <c r="E7747" s="185"/>
      <c r="F7747" s="185"/>
      <c r="G7747" s="185"/>
      <c r="H7747" s="185"/>
      <c r="I7747" s="11"/>
    </row>
    <row r="7748" spans="1:12" ht="11.15" customHeight="1">
      <c r="A7748" s="129" t="s">
        <v>10526</v>
      </c>
      <c r="B7748" s="185"/>
      <c r="C7748" s="147"/>
      <c r="D7748" s="185"/>
      <c r="E7748" s="185"/>
      <c r="F7748" s="185"/>
      <c r="G7748" s="185"/>
      <c r="H7748" s="185"/>
      <c r="I7748" s="11"/>
    </row>
    <row r="7749" spans="1:12" ht="11.15" customHeight="1">
      <c r="A7749" s="129" t="s">
        <v>10527</v>
      </c>
      <c r="B7749" s="185"/>
      <c r="C7749" s="147"/>
      <c r="D7749" s="185"/>
      <c r="E7749" s="185"/>
      <c r="F7749" s="185"/>
      <c r="G7749" s="185"/>
      <c r="H7749" s="185"/>
      <c r="I7749" s="11"/>
    </row>
    <row r="7750" spans="1:12" ht="11.15" customHeight="1">
      <c r="A7750" s="129" t="s">
        <v>10528</v>
      </c>
      <c r="B7750" s="185"/>
      <c r="C7750" s="147"/>
      <c r="D7750" s="185"/>
      <c r="E7750" s="185"/>
      <c r="F7750" s="185"/>
      <c r="G7750" s="185"/>
      <c r="H7750" s="185"/>
      <c r="I7750" s="11"/>
    </row>
    <row r="7751" spans="1:12" ht="11.15" customHeight="1" thickBot="1">
      <c r="A7751" s="185"/>
      <c r="B7751" s="185"/>
      <c r="C7751" s="147"/>
      <c r="D7751" s="185"/>
      <c r="E7751" s="185"/>
      <c r="F7751" s="185"/>
      <c r="G7751" s="185"/>
      <c r="H7751" s="185"/>
      <c r="I7751" s="11"/>
    </row>
    <row r="7752" spans="1:12" ht="24" customHeight="1" thickBot="1">
      <c r="A7752" s="592"/>
      <c r="B7752" s="50" t="s">
        <v>10529</v>
      </c>
      <c r="C7752" s="170"/>
      <c r="D7752" s="382"/>
      <c r="E7752" s="235"/>
      <c r="F7752" s="383"/>
      <c r="G7752" s="1142"/>
      <c r="H7752" s="516"/>
      <c r="I7752" s="11"/>
    </row>
    <row r="7753" spans="1:12" ht="10.5" customHeight="1" thickBot="1">
      <c r="A7753" s="184" t="s">
        <v>10530</v>
      </c>
      <c r="B7753" s="59" t="s">
        <v>21708</v>
      </c>
      <c r="C7753" s="147" t="s">
        <v>20221</v>
      </c>
      <c r="D7753" s="701" t="s">
        <v>1129</v>
      </c>
      <c r="E7753" s="178">
        <v>2018</v>
      </c>
      <c r="F7753" s="178" t="s">
        <v>23395</v>
      </c>
      <c r="G7753" s="496"/>
      <c r="H7753" s="994" t="s">
        <v>20465</v>
      </c>
      <c r="I7753" s="11" t="s">
        <v>10531</v>
      </c>
      <c r="J7753" s="1285"/>
      <c r="K7753" s="1285"/>
      <c r="L7753" s="1285"/>
    </row>
    <row r="7754" spans="1:12" ht="10.5" customHeight="1">
      <c r="A7754" s="29" t="s">
        <v>10532</v>
      </c>
      <c r="B7754" s="185"/>
      <c r="C7754" s="185"/>
      <c r="D7754" s="185"/>
      <c r="E7754" s="185"/>
      <c r="F7754" s="185"/>
      <c r="G7754" s="185"/>
      <c r="H7754" s="185"/>
      <c r="I7754" s="11"/>
    </row>
    <row r="7755" spans="1:12" ht="10.5" customHeight="1">
      <c r="A7755" s="29" t="s">
        <v>10533</v>
      </c>
      <c r="B7755" s="90"/>
      <c r="C7755" s="147"/>
      <c r="D7755" s="159"/>
      <c r="E7755" s="36"/>
      <c r="F7755" s="178"/>
      <c r="G7755" s="496"/>
      <c r="H7755" s="36"/>
      <c r="I7755" s="11"/>
    </row>
    <row r="7756" spans="1:12" ht="10.5" customHeight="1">
      <c r="A7756" s="29" t="s">
        <v>10534</v>
      </c>
      <c r="B7756" s="90"/>
      <c r="C7756" s="147"/>
      <c r="D7756" s="159"/>
      <c r="E7756" s="36"/>
      <c r="F7756" s="178"/>
      <c r="G7756" s="496"/>
      <c r="H7756" s="36"/>
      <c r="I7756" s="11"/>
    </row>
    <row r="7757" spans="1:12" ht="11.15" customHeight="1">
      <c r="A7757" s="29" t="s">
        <v>10535</v>
      </c>
      <c r="B7757" s="90"/>
      <c r="C7757" s="147"/>
      <c r="D7757" s="182"/>
      <c r="E7757" s="36"/>
      <c r="F7757" s="183"/>
      <c r="G7757" s="496"/>
      <c r="H7757" s="34"/>
      <c r="I7757" s="11"/>
    </row>
    <row r="7758" spans="1:12" ht="11.15" customHeight="1">
      <c r="A7758" s="218" t="s">
        <v>1595</v>
      </c>
      <c r="B7758" s="90"/>
      <c r="C7758" s="147"/>
      <c r="D7758" s="159"/>
      <c r="E7758" s="36"/>
      <c r="F7758" s="178"/>
      <c r="G7758" s="671"/>
      <c r="H7758" s="36"/>
      <c r="I7758" s="11"/>
    </row>
    <row r="7759" spans="1:12" ht="10.5" customHeight="1">
      <c r="A7759" s="129" t="s">
        <v>1077</v>
      </c>
      <c r="B7759" s="90"/>
      <c r="C7759" s="147"/>
      <c r="D7759" s="159"/>
      <c r="E7759" s="36"/>
      <c r="F7759" s="178"/>
      <c r="G7759" s="496"/>
      <c r="H7759" s="36"/>
      <c r="I7759" s="11"/>
    </row>
    <row r="7760" spans="1:12" ht="10.5" customHeight="1">
      <c r="A7760" s="291" t="s">
        <v>10536</v>
      </c>
      <c r="B7760" s="90"/>
      <c r="C7760" s="147"/>
      <c r="D7760" s="159"/>
      <c r="E7760" s="36"/>
      <c r="F7760" s="178"/>
      <c r="G7760" s="496"/>
      <c r="H7760" s="36"/>
      <c r="I7760" s="11"/>
    </row>
    <row r="7761" spans="1:12" ht="10.5" customHeight="1">
      <c r="A7761" s="291" t="s">
        <v>10537</v>
      </c>
      <c r="B7761" s="90"/>
      <c r="C7761" s="147"/>
      <c r="D7761" s="159"/>
      <c r="E7761" s="36"/>
      <c r="F7761" s="178"/>
      <c r="G7761" s="496"/>
      <c r="H7761" s="36"/>
      <c r="I7761" s="11"/>
    </row>
    <row r="7762" spans="1:12" ht="10.5" customHeight="1">
      <c r="A7762" s="291" t="s">
        <v>10538</v>
      </c>
      <c r="B7762" s="90"/>
      <c r="C7762" s="147"/>
      <c r="D7762" s="159"/>
      <c r="E7762" s="36"/>
      <c r="F7762" s="178"/>
      <c r="G7762" s="496"/>
      <c r="H7762" s="36"/>
      <c r="I7762" s="11"/>
    </row>
    <row r="7763" spans="1:12" ht="11.15" customHeight="1">
      <c r="A7763" s="166" t="s">
        <v>10539</v>
      </c>
      <c r="B7763" s="379"/>
      <c r="C7763" s="147"/>
      <c r="D7763" s="122"/>
      <c r="E7763" s="36"/>
      <c r="F7763" s="183"/>
      <c r="G7763" s="60"/>
      <c r="H7763" s="34"/>
      <c r="I7763" s="11"/>
    </row>
    <row r="7764" spans="1:12" ht="11.15" customHeight="1" thickBot="1">
      <c r="A7764" s="129" t="s">
        <v>10540</v>
      </c>
      <c r="B7764" s="226"/>
      <c r="C7764" s="147"/>
      <c r="D7764" s="161"/>
      <c r="E7764" s="36"/>
      <c r="F7764" s="183"/>
      <c r="G7764" s="496"/>
      <c r="H7764" s="34"/>
      <c r="I7764" s="11"/>
    </row>
    <row r="7765" spans="1:12" ht="24" customHeight="1" thickBot="1">
      <c r="A7765" s="243"/>
      <c r="B7765" s="50" t="s">
        <v>10541</v>
      </c>
      <c r="C7765" s="170"/>
      <c r="D7765" s="593"/>
      <c r="E7765" s="235"/>
      <c r="F7765" s="383"/>
      <c r="G7765" s="1142"/>
      <c r="H7765" s="516"/>
      <c r="I7765" s="11"/>
    </row>
    <row r="7766" spans="1:12" ht="9" customHeight="1" thickBot="1">
      <c r="A7766" s="594"/>
      <c r="B7766" s="216" t="s">
        <v>10542</v>
      </c>
      <c r="C7766" s="147"/>
      <c r="D7766" s="156"/>
      <c r="E7766" s="226"/>
      <c r="F7766" s="122"/>
      <c r="G7766" s="1240"/>
      <c r="H7766" s="226"/>
      <c r="I7766" s="11"/>
    </row>
    <row r="7767" spans="1:12" ht="11.15" customHeight="1" thickBot="1">
      <c r="A7767" s="184" t="s">
        <v>10543</v>
      </c>
      <c r="B7767" s="221" t="s">
        <v>10544</v>
      </c>
      <c r="C7767" s="147"/>
      <c r="D7767" s="129"/>
      <c r="E7767" s="185"/>
      <c r="F7767" s="185"/>
      <c r="G7767" s="185"/>
      <c r="H7767" s="185"/>
      <c r="I7767" s="11"/>
    </row>
    <row r="7768" spans="1:12" ht="11.15" customHeight="1">
      <c r="A7768" s="29" t="s">
        <v>10545</v>
      </c>
      <c r="B7768" s="59" t="s">
        <v>21709</v>
      </c>
      <c r="C7768" s="147" t="s">
        <v>20221</v>
      </c>
      <c r="D7768" s="701" t="s">
        <v>7355</v>
      </c>
      <c r="E7768" s="178">
        <v>2019</v>
      </c>
      <c r="F7768" s="178" t="s">
        <v>4520</v>
      </c>
      <c r="G7768" s="496"/>
      <c r="H7768" s="994" t="s">
        <v>20221</v>
      </c>
      <c r="I7768" s="11" t="s">
        <v>10546</v>
      </c>
      <c r="J7768" s="1285"/>
      <c r="K7768" s="1285"/>
      <c r="L7768" s="1285"/>
    </row>
    <row r="7769" spans="1:12" ht="11.15" customHeight="1">
      <c r="A7769" s="29" t="s">
        <v>10547</v>
      </c>
      <c r="B7769" s="59" t="s">
        <v>21709</v>
      </c>
      <c r="C7769" s="147" t="s">
        <v>20221</v>
      </c>
      <c r="D7769" s="701" t="s">
        <v>7355</v>
      </c>
      <c r="E7769" s="178">
        <v>2015</v>
      </c>
      <c r="F7769" s="178" t="s">
        <v>23395</v>
      </c>
      <c r="G7769" s="496"/>
      <c r="H7769" s="994" t="s">
        <v>20221</v>
      </c>
      <c r="I7769" s="11" t="s">
        <v>10548</v>
      </c>
      <c r="J7769" s="1285"/>
      <c r="K7769" s="1285"/>
      <c r="L7769" s="1285"/>
    </row>
    <row r="7770" spans="1:12" ht="11.15" customHeight="1">
      <c r="A7770" s="29" t="s">
        <v>10549</v>
      </c>
      <c r="B7770" s="59" t="s">
        <v>21710</v>
      </c>
      <c r="C7770" s="147" t="s">
        <v>20221</v>
      </c>
      <c r="D7770" s="1034" t="s">
        <v>2573</v>
      </c>
      <c r="E7770" s="178">
        <v>2015</v>
      </c>
      <c r="F7770" s="178" t="s">
        <v>23395</v>
      </c>
      <c r="G7770" s="496"/>
      <c r="H7770" s="994" t="s">
        <v>20221</v>
      </c>
      <c r="I7770" s="11" t="s">
        <v>10550</v>
      </c>
      <c r="J7770" s="1285"/>
      <c r="K7770" s="1285"/>
      <c r="L7770" s="1285"/>
    </row>
    <row r="7771" spans="1:12" ht="11.15" customHeight="1">
      <c r="A7771" s="129" t="s">
        <v>6076</v>
      </c>
      <c r="B7771" s="154" t="s">
        <v>10551</v>
      </c>
      <c r="C7771" s="147"/>
      <c r="D7771" s="129"/>
      <c r="E7771" s="185"/>
      <c r="F7771" s="185"/>
      <c r="G7771" s="185"/>
      <c r="H7771" s="185"/>
      <c r="I7771" s="11"/>
    </row>
    <row r="7772" spans="1:12" ht="11.15" customHeight="1">
      <c r="A7772" s="162" t="s">
        <v>10552</v>
      </c>
      <c r="B7772" s="59" t="s">
        <v>21711</v>
      </c>
      <c r="C7772" s="147" t="s">
        <v>20221</v>
      </c>
      <c r="D7772" s="284" t="s">
        <v>897</v>
      </c>
      <c r="E7772" s="178">
        <v>2016</v>
      </c>
      <c r="F7772" s="178" t="s">
        <v>4520</v>
      </c>
      <c r="G7772" s="496"/>
      <c r="H7772" s="994" t="s">
        <v>20221</v>
      </c>
      <c r="I7772" s="11" t="s">
        <v>10553</v>
      </c>
      <c r="J7772" s="1285"/>
      <c r="K7772" s="1285"/>
      <c r="L7772" s="1285"/>
    </row>
    <row r="7773" spans="1:12" ht="11.15" customHeight="1">
      <c r="A7773" s="162" t="s">
        <v>10554</v>
      </c>
      <c r="B7773" s="59" t="s">
        <v>21712</v>
      </c>
      <c r="C7773" s="147" t="s">
        <v>20221</v>
      </c>
      <c r="D7773" s="284" t="s">
        <v>897</v>
      </c>
      <c r="E7773" s="178">
        <v>2014</v>
      </c>
      <c r="F7773" s="178" t="s">
        <v>23395</v>
      </c>
      <c r="G7773" s="496"/>
      <c r="H7773" s="994" t="s">
        <v>20221</v>
      </c>
      <c r="I7773" s="11" t="s">
        <v>10555</v>
      </c>
      <c r="J7773" s="1285"/>
      <c r="K7773" s="1285"/>
      <c r="L7773" s="1285"/>
    </row>
    <row r="7774" spans="1:12" ht="11.15" customHeight="1">
      <c r="A7774" s="162" t="s">
        <v>10556</v>
      </c>
      <c r="B7774" s="59" t="s">
        <v>21713</v>
      </c>
      <c r="C7774" s="147" t="s">
        <v>20221</v>
      </c>
      <c r="D7774" s="284" t="s">
        <v>897</v>
      </c>
      <c r="E7774" s="178">
        <v>2018</v>
      </c>
      <c r="F7774" s="178" t="s">
        <v>4520</v>
      </c>
      <c r="G7774" s="496"/>
      <c r="H7774" s="994" t="s">
        <v>20221</v>
      </c>
      <c r="I7774" s="11" t="s">
        <v>10557</v>
      </c>
      <c r="J7774" s="1285"/>
      <c r="K7774" s="1285"/>
      <c r="L7774" s="1285"/>
    </row>
    <row r="7775" spans="1:12" ht="11.15" customHeight="1">
      <c r="A7775" s="162" t="s">
        <v>10558</v>
      </c>
      <c r="B7775" s="59" t="s">
        <v>21714</v>
      </c>
      <c r="C7775" s="147" t="s">
        <v>20221</v>
      </c>
      <c r="D7775" s="284" t="s">
        <v>897</v>
      </c>
      <c r="E7775" s="178">
        <v>2018</v>
      </c>
      <c r="F7775" s="178" t="s">
        <v>4520</v>
      </c>
      <c r="G7775" s="496"/>
      <c r="H7775" s="994" t="s">
        <v>20221</v>
      </c>
      <c r="I7775" s="11" t="s">
        <v>10559</v>
      </c>
      <c r="J7775" s="1285"/>
      <c r="K7775" s="1285"/>
      <c r="L7775" s="1285"/>
    </row>
    <row r="7776" spans="1:12" ht="11.15" customHeight="1">
      <c r="A7776" s="162" t="s">
        <v>10560</v>
      </c>
      <c r="B7776" s="59" t="s">
        <v>21714</v>
      </c>
      <c r="C7776" s="147" t="s">
        <v>20221</v>
      </c>
      <c r="D7776" s="284" t="s">
        <v>897</v>
      </c>
      <c r="E7776" s="178">
        <v>2015</v>
      </c>
      <c r="F7776" s="178" t="s">
        <v>4520</v>
      </c>
      <c r="G7776" s="496"/>
      <c r="H7776" s="994" t="s">
        <v>20221</v>
      </c>
      <c r="I7776" s="11" t="s">
        <v>10561</v>
      </c>
      <c r="J7776" s="1285"/>
      <c r="K7776" s="1285"/>
      <c r="L7776" s="1285"/>
    </row>
    <row r="7777" spans="1:12" ht="11.15" customHeight="1">
      <c r="A7777" s="162" t="s">
        <v>10562</v>
      </c>
      <c r="B7777" s="185"/>
      <c r="C7777" s="147"/>
      <c r="D7777" s="185"/>
      <c r="E7777" s="185"/>
      <c r="F7777" s="185"/>
      <c r="G7777" s="185"/>
      <c r="H7777" s="185"/>
      <c r="I7777" s="11"/>
    </row>
    <row r="7778" spans="1:12" ht="11.15" customHeight="1">
      <c r="A7778" s="166" t="s">
        <v>10563</v>
      </c>
      <c r="B7778" s="90"/>
      <c r="C7778" s="147"/>
      <c r="D7778" s="129"/>
      <c r="E7778" s="185"/>
      <c r="F7778" s="185"/>
      <c r="G7778" s="185"/>
      <c r="H7778" s="185"/>
      <c r="I7778" s="11"/>
    </row>
    <row r="7779" spans="1:12" ht="11.15" customHeight="1">
      <c r="A7779" s="129" t="s">
        <v>10564</v>
      </c>
      <c r="B7779" s="226"/>
      <c r="C7779" s="147"/>
      <c r="D7779" s="161"/>
      <c r="E7779" s="36"/>
      <c r="F7779" s="183"/>
      <c r="G7779" s="496"/>
      <c r="H7779" s="34"/>
      <c r="I7779" s="11"/>
    </row>
    <row r="7780" spans="1:12" ht="11.15" customHeight="1" thickBot="1">
      <c r="A7780" s="492"/>
      <c r="B7780" s="90"/>
      <c r="C7780" s="147"/>
      <c r="D7780" s="161"/>
      <c r="E7780" s="544"/>
      <c r="F7780" s="965"/>
      <c r="G7780" s="1233"/>
      <c r="H7780" s="545"/>
      <c r="I7780" s="11"/>
    </row>
    <row r="7781" spans="1:12" ht="24" customHeight="1" thickBot="1">
      <c r="A7781" s="595"/>
      <c r="B7781" s="64" t="s">
        <v>10565</v>
      </c>
      <c r="C7781" s="170"/>
      <c r="D7781" s="596"/>
      <c r="E7781" s="235"/>
      <c r="F7781" s="383"/>
      <c r="G7781" s="1142"/>
      <c r="H7781" s="516"/>
      <c r="I7781" s="11"/>
    </row>
    <row r="7782" spans="1:12" ht="11.15" customHeight="1">
      <c r="A7782" s="271" t="s">
        <v>10566</v>
      </c>
      <c r="B7782" s="90" t="s">
        <v>1446</v>
      </c>
      <c r="C7782" s="147"/>
      <c r="D7782" s="284" t="s">
        <v>897</v>
      </c>
      <c r="E7782" s="36"/>
      <c r="F7782" s="178"/>
      <c r="G7782" s="496"/>
      <c r="H7782" s="996"/>
      <c r="I7782" s="11"/>
    </row>
    <row r="7783" spans="1:12" ht="11.15" customHeight="1">
      <c r="A7783" s="271" t="s">
        <v>10567</v>
      </c>
      <c r="B7783" s="90" t="s">
        <v>1446</v>
      </c>
      <c r="C7783" s="147"/>
      <c r="D7783" s="284" t="s">
        <v>897</v>
      </c>
      <c r="E7783" s="544"/>
      <c r="F7783" s="965"/>
      <c r="G7783" s="496"/>
      <c r="H7783" s="996"/>
      <c r="I7783" s="11"/>
    </row>
    <row r="7784" spans="1:12" ht="11.15" customHeight="1">
      <c r="A7784" s="271" t="s">
        <v>10568</v>
      </c>
      <c r="B7784" s="90" t="s">
        <v>1446</v>
      </c>
      <c r="C7784" s="147"/>
      <c r="D7784" s="284" t="s">
        <v>897</v>
      </c>
      <c r="E7784" s="544"/>
      <c r="F7784" s="965"/>
      <c r="G7784" s="496"/>
      <c r="H7784" s="996"/>
      <c r="I7784" s="11"/>
    </row>
    <row r="7785" spans="1:12" ht="11.15" customHeight="1">
      <c r="A7785" s="271" t="s">
        <v>10569</v>
      </c>
      <c r="B7785" s="90" t="s">
        <v>1446</v>
      </c>
      <c r="C7785" s="147"/>
      <c r="D7785" s="284" t="s">
        <v>897</v>
      </c>
      <c r="E7785" s="544"/>
      <c r="F7785" s="965"/>
      <c r="G7785" s="496"/>
      <c r="H7785" s="996"/>
      <c r="I7785" s="11"/>
    </row>
    <row r="7786" spans="1:12" ht="11.15" customHeight="1">
      <c r="A7786" s="271" t="s">
        <v>10570</v>
      </c>
      <c r="B7786" s="90" t="s">
        <v>1446</v>
      </c>
      <c r="C7786" s="147"/>
      <c r="D7786" s="284" t="s">
        <v>897</v>
      </c>
      <c r="E7786" s="544"/>
      <c r="F7786" s="965"/>
      <c r="G7786" s="496"/>
      <c r="H7786" s="996"/>
      <c r="I7786" s="11"/>
    </row>
    <row r="7787" spans="1:12" ht="11.15" customHeight="1">
      <c r="A7787" s="271" t="s">
        <v>10571</v>
      </c>
      <c r="B7787" s="90" t="s">
        <v>1446</v>
      </c>
      <c r="C7787" s="147"/>
      <c r="D7787" s="284" t="s">
        <v>897</v>
      </c>
      <c r="E7787" s="544"/>
      <c r="F7787" s="965"/>
      <c r="G7787" s="496"/>
      <c r="H7787" s="996"/>
      <c r="I7787" s="11"/>
    </row>
    <row r="7788" spans="1:12" ht="11.15" customHeight="1" thickBot="1">
      <c r="A7788" s="61"/>
      <c r="B7788" s="90"/>
      <c r="C7788" s="147"/>
      <c r="D7788" s="122"/>
      <c r="E7788" s="544"/>
      <c r="F7788" s="965"/>
      <c r="G7788" s="1233"/>
      <c r="H7788" s="545"/>
      <c r="I7788" s="11"/>
    </row>
    <row r="7789" spans="1:12" ht="11.15" customHeight="1">
      <c r="A7789" s="153" t="s">
        <v>10572</v>
      </c>
      <c r="B7789" s="177" t="s">
        <v>10573</v>
      </c>
      <c r="C7789" s="147"/>
      <c r="D7789" s="122"/>
      <c r="E7789" s="36"/>
      <c r="F7789" s="183"/>
      <c r="G7789" s="60"/>
      <c r="H7789" s="34"/>
      <c r="I7789" s="11"/>
    </row>
    <row r="7790" spans="1:12" ht="11.15" customHeight="1" thickBot="1">
      <c r="A7790" s="230" t="s">
        <v>10574</v>
      </c>
      <c r="B7790" s="59" t="s">
        <v>21716</v>
      </c>
      <c r="C7790" s="147" t="s">
        <v>20221</v>
      </c>
      <c r="D7790" s="284" t="s">
        <v>897</v>
      </c>
      <c r="E7790" s="178">
        <v>2020</v>
      </c>
      <c r="F7790" s="178" t="s">
        <v>4520</v>
      </c>
      <c r="G7790" s="496"/>
      <c r="H7790" s="994" t="s">
        <v>20221</v>
      </c>
      <c r="I7790" s="11" t="s">
        <v>10575</v>
      </c>
      <c r="J7790" s="1285"/>
      <c r="K7790" s="1285"/>
      <c r="L7790" s="1285"/>
    </row>
    <row r="7791" spans="1:12" ht="11.15" customHeight="1">
      <c r="A7791" s="29" t="s">
        <v>10576</v>
      </c>
      <c r="B7791" s="59" t="s">
        <v>21717</v>
      </c>
      <c r="C7791" s="147" t="s">
        <v>20221</v>
      </c>
      <c r="D7791" s="284" t="s">
        <v>897</v>
      </c>
      <c r="E7791" s="178">
        <v>2020</v>
      </c>
      <c r="F7791" s="178" t="s">
        <v>4520</v>
      </c>
      <c r="G7791" s="496"/>
      <c r="H7791" s="994" t="s">
        <v>20221</v>
      </c>
      <c r="I7791" s="11" t="s">
        <v>10577</v>
      </c>
      <c r="J7791" s="1285"/>
      <c r="K7791" s="1285"/>
      <c r="L7791" s="1285"/>
    </row>
    <row r="7792" spans="1:12" ht="11.15" customHeight="1">
      <c r="A7792" s="181" t="s">
        <v>2536</v>
      </c>
      <c r="B7792" s="177" t="s">
        <v>10578</v>
      </c>
      <c r="C7792" s="147"/>
      <c r="D7792" s="122"/>
      <c r="E7792" s="36"/>
      <c r="F7792" s="183"/>
      <c r="G7792" s="496"/>
      <c r="H7792" s="34"/>
      <c r="I7792" s="11"/>
    </row>
    <row r="7793" spans="1:12" ht="11.15" customHeight="1">
      <c r="A7793" s="597" t="s">
        <v>10579</v>
      </c>
      <c r="B7793" s="59" t="s">
        <v>370</v>
      </c>
      <c r="C7793" s="147" t="s">
        <v>20221</v>
      </c>
      <c r="D7793" s="284" t="s">
        <v>897</v>
      </c>
      <c r="E7793" s="178">
        <v>2019</v>
      </c>
      <c r="F7793" s="178" t="s">
        <v>4520</v>
      </c>
      <c r="G7793" s="496"/>
      <c r="H7793" s="994" t="s">
        <v>20221</v>
      </c>
      <c r="I7793" s="11" t="s">
        <v>10580</v>
      </c>
      <c r="J7793" s="1285"/>
      <c r="K7793" s="1285"/>
      <c r="L7793" s="1285"/>
    </row>
    <row r="7794" spans="1:12" ht="11.15" customHeight="1">
      <c r="A7794" s="29" t="s">
        <v>10581</v>
      </c>
      <c r="B7794" s="59"/>
      <c r="C7794" s="147"/>
      <c r="D7794" s="161"/>
      <c r="E7794" s="36"/>
      <c r="F7794" s="178"/>
      <c r="G7794" s="496"/>
      <c r="H7794" s="36"/>
      <c r="I7794" s="11"/>
    </row>
    <row r="7795" spans="1:12" ht="11.15" customHeight="1">
      <c r="A7795" s="29" t="s">
        <v>10582</v>
      </c>
      <c r="B7795" s="90"/>
      <c r="C7795" s="147"/>
      <c r="D7795" s="161"/>
      <c r="E7795" s="36"/>
      <c r="F7795" s="178"/>
      <c r="G7795" s="496"/>
      <c r="H7795" s="36"/>
      <c r="I7795" s="11"/>
    </row>
    <row r="7796" spans="1:12" ht="11.15" customHeight="1">
      <c r="A7796" s="129" t="s">
        <v>2047</v>
      </c>
      <c r="B7796" s="90"/>
      <c r="C7796" s="147"/>
      <c r="D7796" s="161"/>
      <c r="E7796" s="36"/>
      <c r="F7796" s="178"/>
      <c r="G7796" s="496"/>
      <c r="H7796" s="36"/>
      <c r="I7796" s="11"/>
    </row>
    <row r="7797" spans="1:12" ht="11.15" customHeight="1">
      <c r="A7797" s="162" t="s">
        <v>10583</v>
      </c>
      <c r="B7797" s="185"/>
      <c r="C7797" s="147"/>
      <c r="D7797" s="185"/>
      <c r="E7797" s="185"/>
      <c r="F7797" s="185"/>
      <c r="G7797" s="185"/>
      <c r="H7797" s="185"/>
      <c r="I7797" s="11"/>
    </row>
    <row r="7798" spans="1:12" ht="11.15" customHeight="1">
      <c r="A7798" s="162" t="s">
        <v>10584</v>
      </c>
      <c r="B7798" s="90"/>
      <c r="C7798" s="147"/>
      <c r="D7798" s="161"/>
      <c r="E7798" s="36"/>
      <c r="F7798" s="178"/>
      <c r="G7798" s="496"/>
      <c r="H7798" s="36"/>
      <c r="I7798" s="11"/>
    </row>
    <row r="7799" spans="1:12" ht="11.15" customHeight="1">
      <c r="A7799" s="166" t="s">
        <v>10585</v>
      </c>
      <c r="B7799" s="90"/>
      <c r="C7799" s="147"/>
      <c r="D7799" s="161"/>
      <c r="E7799" s="36"/>
      <c r="F7799" s="183"/>
      <c r="G7799" s="496"/>
      <c r="H7799" s="34"/>
      <c r="I7799" s="11"/>
    </row>
    <row r="7800" spans="1:12" ht="11.15" customHeight="1">
      <c r="A7800" s="129" t="s">
        <v>10586</v>
      </c>
      <c r="B7800" s="90"/>
      <c r="C7800" s="147"/>
      <c r="D7800" s="161"/>
      <c r="E7800" s="36"/>
      <c r="F7800" s="183"/>
      <c r="G7800" s="496"/>
      <c r="H7800" s="34"/>
      <c r="I7800" s="11"/>
    </row>
    <row r="7801" spans="1:12" ht="11.15" customHeight="1">
      <c r="A7801" s="129" t="s">
        <v>10587</v>
      </c>
      <c r="B7801" s="90"/>
      <c r="C7801" s="147"/>
      <c r="D7801" s="161"/>
      <c r="E7801" s="36"/>
      <c r="F7801" s="183"/>
      <c r="G7801" s="496"/>
      <c r="H7801" s="34"/>
      <c r="I7801" s="11"/>
    </row>
    <row r="7802" spans="1:12" ht="11.15" customHeight="1" thickBot="1">
      <c r="A7802" s="162"/>
      <c r="B7802" s="185"/>
      <c r="C7802" s="147"/>
      <c r="D7802" s="185"/>
      <c r="E7802" s="185"/>
      <c r="F7802" s="185"/>
      <c r="G7802" s="185"/>
      <c r="H7802" s="185"/>
      <c r="I7802" s="11"/>
    </row>
    <row r="7803" spans="1:12" ht="11.15" customHeight="1">
      <c r="A7803" s="153" t="s">
        <v>10588</v>
      </c>
      <c r="B7803" s="177" t="s">
        <v>10573</v>
      </c>
      <c r="C7803" s="147"/>
      <c r="D7803" s="122"/>
      <c r="E7803" s="36"/>
      <c r="F7803" s="183"/>
      <c r="G7803" s="60"/>
      <c r="H7803" s="34"/>
      <c r="I7803" s="11"/>
    </row>
    <row r="7804" spans="1:12" ht="11.15" customHeight="1" thickBot="1">
      <c r="A7804" s="230" t="s">
        <v>10589</v>
      </c>
      <c r="B7804" s="59" t="s">
        <v>21718</v>
      </c>
      <c r="C7804" s="147" t="s">
        <v>20221</v>
      </c>
      <c r="D7804" s="701" t="s">
        <v>1129</v>
      </c>
      <c r="E7804" s="178">
        <v>2018</v>
      </c>
      <c r="F7804" s="178" t="s">
        <v>4520</v>
      </c>
      <c r="G7804" s="496"/>
      <c r="H7804" s="994" t="s">
        <v>20221</v>
      </c>
      <c r="I7804" s="11" t="s">
        <v>10590</v>
      </c>
      <c r="J7804" s="1285"/>
      <c r="K7804" s="1285"/>
      <c r="L7804" s="1285"/>
    </row>
    <row r="7805" spans="1:12" ht="11.15" customHeight="1">
      <c r="A7805" s="29" t="s">
        <v>10576</v>
      </c>
      <c r="B7805" s="59" t="s">
        <v>21719</v>
      </c>
      <c r="C7805" s="147" t="s">
        <v>20221</v>
      </c>
      <c r="D7805" s="284" t="s">
        <v>897</v>
      </c>
      <c r="E7805" s="178">
        <v>2018</v>
      </c>
      <c r="F7805" s="178" t="s">
        <v>4520</v>
      </c>
      <c r="G7805" s="496"/>
      <c r="H7805" s="994" t="s">
        <v>20221</v>
      </c>
      <c r="I7805" s="11" t="s">
        <v>10591</v>
      </c>
      <c r="J7805" s="1285"/>
      <c r="K7805" s="1285"/>
      <c r="L7805" s="1285"/>
    </row>
    <row r="7806" spans="1:12" ht="11.15" customHeight="1">
      <c r="A7806" s="181" t="s">
        <v>10592</v>
      </c>
      <c r="B7806" s="59" t="s">
        <v>21720</v>
      </c>
      <c r="C7806" s="147" t="s">
        <v>20221</v>
      </c>
      <c r="D7806" s="284" t="s">
        <v>897</v>
      </c>
      <c r="E7806" s="178">
        <v>2018</v>
      </c>
      <c r="F7806" s="178" t="s">
        <v>4520</v>
      </c>
      <c r="G7806" s="496"/>
      <c r="H7806" s="994" t="s">
        <v>20221</v>
      </c>
      <c r="I7806" s="11" t="s">
        <v>10593</v>
      </c>
      <c r="J7806" s="1285"/>
      <c r="K7806" s="1285"/>
      <c r="L7806" s="1285"/>
    </row>
    <row r="7807" spans="1:12" ht="11.15" customHeight="1">
      <c r="A7807" s="29" t="s">
        <v>10594</v>
      </c>
      <c r="B7807" s="59" t="s">
        <v>19039</v>
      </c>
      <c r="C7807" s="147" t="s">
        <v>20221</v>
      </c>
      <c r="D7807" s="284" t="s">
        <v>897</v>
      </c>
      <c r="E7807" s="178">
        <v>2019</v>
      </c>
      <c r="F7807" s="178" t="s">
        <v>4520</v>
      </c>
      <c r="G7807" s="496"/>
      <c r="H7807" s="994" t="s">
        <v>20221</v>
      </c>
      <c r="I7807" s="11" t="s">
        <v>10595</v>
      </c>
      <c r="J7807" s="1285"/>
      <c r="K7807" s="1285"/>
      <c r="L7807" s="1285"/>
    </row>
    <row r="7808" spans="1:12" ht="11.15" customHeight="1">
      <c r="A7808" s="29" t="s">
        <v>10582</v>
      </c>
      <c r="B7808" s="59" t="s">
        <v>21721</v>
      </c>
      <c r="C7808" s="147" t="s">
        <v>20221</v>
      </c>
      <c r="D7808" s="284" t="s">
        <v>897</v>
      </c>
      <c r="E7808" s="178">
        <v>2014</v>
      </c>
      <c r="F7808" s="178" t="s">
        <v>4520</v>
      </c>
      <c r="G7808" s="496"/>
      <c r="H7808" s="994" t="s">
        <v>20221</v>
      </c>
      <c r="I7808" s="11" t="s">
        <v>10596</v>
      </c>
      <c r="J7808" s="1285"/>
      <c r="K7808" s="1285"/>
      <c r="L7808" s="1285"/>
    </row>
    <row r="7809" spans="1:12" ht="11.15" customHeight="1">
      <c r="A7809" s="129" t="s">
        <v>2047</v>
      </c>
      <c r="B7809" s="177" t="s">
        <v>10597</v>
      </c>
      <c r="C7809" s="147"/>
      <c r="D7809" s="122"/>
      <c r="E7809" s="36"/>
      <c r="F7809" s="183"/>
      <c r="G7809" s="60"/>
      <c r="H7809" s="34"/>
      <c r="I7809" s="11"/>
    </row>
    <row r="7810" spans="1:12" ht="11.15" customHeight="1">
      <c r="A7810" s="162" t="s">
        <v>10583</v>
      </c>
      <c r="B7810" s="59" t="s">
        <v>21722</v>
      </c>
      <c r="C7810" s="147" t="s">
        <v>20221</v>
      </c>
      <c r="D7810" s="284" t="s">
        <v>897</v>
      </c>
      <c r="E7810" s="178">
        <v>2019</v>
      </c>
      <c r="F7810" s="178" t="s">
        <v>9678</v>
      </c>
      <c r="G7810" s="496"/>
      <c r="H7810" s="994" t="s">
        <v>20221</v>
      </c>
      <c r="I7810" s="11" t="s">
        <v>10598</v>
      </c>
      <c r="J7810" s="1285"/>
      <c r="K7810" s="1285"/>
      <c r="L7810" s="1285"/>
    </row>
    <row r="7811" spans="1:12" ht="11.15" customHeight="1">
      <c r="A7811" s="162" t="s">
        <v>10584</v>
      </c>
      <c r="B7811" s="59" t="s">
        <v>21722</v>
      </c>
      <c r="C7811" s="147" t="s">
        <v>20221</v>
      </c>
      <c r="D7811" s="284" t="s">
        <v>897</v>
      </c>
      <c r="E7811" s="178">
        <v>2018</v>
      </c>
      <c r="F7811" s="178" t="s">
        <v>11931</v>
      </c>
      <c r="G7811" s="496"/>
      <c r="H7811" s="994" t="s">
        <v>20221</v>
      </c>
      <c r="I7811" s="11" t="s">
        <v>10599</v>
      </c>
      <c r="J7811" s="1285"/>
      <c r="K7811" s="1285"/>
      <c r="L7811" s="1285"/>
    </row>
    <row r="7812" spans="1:12" ht="11.15" customHeight="1">
      <c r="A7812" s="129" t="s">
        <v>951</v>
      </c>
      <c r="B7812" s="177" t="s">
        <v>10578</v>
      </c>
      <c r="C7812" s="147"/>
      <c r="D7812" s="122"/>
      <c r="E7812" s="36"/>
      <c r="F7812" s="183"/>
      <c r="G7812" s="496"/>
      <c r="H7812" s="34"/>
      <c r="I7812" s="11"/>
    </row>
    <row r="7813" spans="1:12" ht="11.15" customHeight="1">
      <c r="A7813" s="162" t="s">
        <v>10600</v>
      </c>
      <c r="B7813" s="59" t="s">
        <v>21723</v>
      </c>
      <c r="C7813" s="147" t="s">
        <v>20221</v>
      </c>
      <c r="D7813" s="284" t="s">
        <v>897</v>
      </c>
      <c r="E7813" s="178">
        <v>2019</v>
      </c>
      <c r="F7813" s="178" t="s">
        <v>4520</v>
      </c>
      <c r="G7813" s="496"/>
      <c r="H7813" s="994" t="s">
        <v>20221</v>
      </c>
      <c r="I7813" s="11" t="s">
        <v>10601</v>
      </c>
      <c r="J7813" s="1285"/>
      <c r="K7813" s="1285"/>
      <c r="L7813" s="1285"/>
    </row>
    <row r="7814" spans="1:12" ht="11.15" customHeight="1">
      <c r="A7814" s="162" t="s">
        <v>10602</v>
      </c>
      <c r="B7814" s="177" t="s">
        <v>10603</v>
      </c>
      <c r="C7814" s="147"/>
      <c r="D7814" s="122"/>
      <c r="E7814" s="36"/>
      <c r="F7814" s="183"/>
      <c r="G7814" s="496"/>
      <c r="H7814" s="34"/>
      <c r="I7814" s="11"/>
    </row>
    <row r="7815" spans="1:12" ht="11.15" customHeight="1">
      <c r="A7815" s="162" t="s">
        <v>10604</v>
      </c>
      <c r="B7815" s="59" t="s">
        <v>21724</v>
      </c>
      <c r="C7815" s="147" t="s">
        <v>20221</v>
      </c>
      <c r="D7815" s="284" t="s">
        <v>897</v>
      </c>
      <c r="E7815" s="178">
        <v>2017</v>
      </c>
      <c r="F7815" s="178" t="s">
        <v>4520</v>
      </c>
      <c r="G7815" s="496"/>
      <c r="H7815" s="994" t="s">
        <v>20221</v>
      </c>
      <c r="I7815" s="11" t="s">
        <v>10605</v>
      </c>
      <c r="J7815" s="1285"/>
      <c r="K7815" s="1285"/>
      <c r="L7815" s="1285"/>
    </row>
    <row r="7816" spans="1:12" ht="11.15" customHeight="1">
      <c r="A7816" s="162" t="s">
        <v>10606</v>
      </c>
      <c r="B7816" s="59" t="s">
        <v>21725</v>
      </c>
      <c r="C7816" s="147" t="s">
        <v>20221</v>
      </c>
      <c r="D7816" s="284" t="s">
        <v>897</v>
      </c>
      <c r="E7816" s="178">
        <v>2018</v>
      </c>
      <c r="F7816" s="178" t="s">
        <v>4520</v>
      </c>
      <c r="G7816" s="496"/>
      <c r="H7816" s="994" t="s">
        <v>20221</v>
      </c>
      <c r="I7816" s="11" t="s">
        <v>10607</v>
      </c>
      <c r="J7816" s="1285"/>
      <c r="K7816" s="1285"/>
      <c r="L7816" s="1285"/>
    </row>
    <row r="7817" spans="1:12" ht="11.15" customHeight="1">
      <c r="A7817" s="162" t="s">
        <v>10608</v>
      </c>
      <c r="B7817" s="59" t="s">
        <v>21726</v>
      </c>
      <c r="C7817" s="147" t="s">
        <v>20221</v>
      </c>
      <c r="D7817" s="284" t="s">
        <v>897</v>
      </c>
      <c r="E7817" s="178">
        <v>2018</v>
      </c>
      <c r="F7817" s="178" t="s">
        <v>4520</v>
      </c>
      <c r="G7817" s="496"/>
      <c r="H7817" s="994" t="s">
        <v>20221</v>
      </c>
      <c r="I7817" s="11" t="s">
        <v>10609</v>
      </c>
      <c r="J7817" s="1285"/>
      <c r="K7817" s="1285"/>
      <c r="L7817" s="1285"/>
    </row>
    <row r="7818" spans="1:12" ht="11.15" customHeight="1">
      <c r="A7818" s="162" t="s">
        <v>10610</v>
      </c>
      <c r="B7818" s="59" t="s">
        <v>21726</v>
      </c>
      <c r="C7818" s="147" t="s">
        <v>20221</v>
      </c>
      <c r="D7818" s="284" t="s">
        <v>897</v>
      </c>
      <c r="E7818" s="178">
        <v>2017</v>
      </c>
      <c r="F7818" s="178" t="s">
        <v>4520</v>
      </c>
      <c r="G7818" s="496"/>
      <c r="H7818" s="994" t="s">
        <v>20221</v>
      </c>
      <c r="I7818" s="11" t="s">
        <v>10611</v>
      </c>
      <c r="J7818" s="1285"/>
      <c r="K7818" s="1285"/>
      <c r="L7818" s="1285"/>
    </row>
    <row r="7819" spans="1:12" ht="11.15" customHeight="1">
      <c r="A7819" s="162" t="s">
        <v>10612</v>
      </c>
      <c r="B7819" s="59" t="s">
        <v>21726</v>
      </c>
      <c r="C7819" s="147" t="s">
        <v>20221</v>
      </c>
      <c r="D7819" s="284" t="s">
        <v>897</v>
      </c>
      <c r="E7819" s="178">
        <v>2015</v>
      </c>
      <c r="F7819" s="178" t="s">
        <v>4520</v>
      </c>
      <c r="G7819" s="496"/>
      <c r="H7819" s="994" t="s">
        <v>20221</v>
      </c>
      <c r="I7819" s="11" t="s">
        <v>10613</v>
      </c>
      <c r="J7819" s="1285"/>
      <c r="K7819" s="1285"/>
      <c r="L7819" s="1285"/>
    </row>
    <row r="7820" spans="1:12" ht="11.15" customHeight="1">
      <c r="A7820" s="162" t="s">
        <v>10614</v>
      </c>
      <c r="B7820" s="59" t="s">
        <v>21727</v>
      </c>
      <c r="C7820" s="147" t="s">
        <v>20221</v>
      </c>
      <c r="D7820" s="284" t="s">
        <v>897</v>
      </c>
      <c r="E7820" s="178">
        <v>2010</v>
      </c>
      <c r="F7820" s="178" t="s">
        <v>4520</v>
      </c>
      <c r="G7820" s="496"/>
      <c r="H7820" s="994" t="s">
        <v>20277</v>
      </c>
      <c r="I7820" s="11" t="s">
        <v>10615</v>
      </c>
      <c r="J7820" s="1285"/>
      <c r="K7820" s="1285"/>
      <c r="L7820" s="1285"/>
    </row>
    <row r="7821" spans="1:12" ht="11.15" customHeight="1">
      <c r="A7821" s="162" t="s">
        <v>10616</v>
      </c>
      <c r="B7821" s="177" t="s">
        <v>10617</v>
      </c>
      <c r="C7821" s="147"/>
      <c r="D7821" s="161"/>
      <c r="E7821" s="36"/>
      <c r="F7821" s="178"/>
      <c r="G7821" s="496"/>
      <c r="H7821" s="36"/>
      <c r="I7821" s="11"/>
    </row>
    <row r="7822" spans="1:12" ht="11.15" customHeight="1">
      <c r="A7822" s="220" t="s">
        <v>1308</v>
      </c>
      <c r="B7822" s="59" t="s">
        <v>21728</v>
      </c>
      <c r="C7822" s="147" t="s">
        <v>20221</v>
      </c>
      <c r="D7822" s="284" t="s">
        <v>897</v>
      </c>
      <c r="E7822" s="178">
        <v>2016</v>
      </c>
      <c r="F7822" s="178" t="s">
        <v>9678</v>
      </c>
      <c r="G7822" s="496"/>
      <c r="H7822" s="994" t="s">
        <v>20224</v>
      </c>
      <c r="I7822" s="11" t="s">
        <v>10618</v>
      </c>
      <c r="J7822" s="1285"/>
      <c r="K7822" s="1285"/>
      <c r="L7822" s="1285"/>
    </row>
    <row r="7823" spans="1:12" ht="11.15" customHeight="1">
      <c r="A7823" s="422" t="s">
        <v>10619</v>
      </c>
      <c r="B7823" s="59" t="s">
        <v>21729</v>
      </c>
      <c r="C7823" s="147" t="s">
        <v>20221</v>
      </c>
      <c r="D7823" s="284" t="s">
        <v>897</v>
      </c>
      <c r="E7823" s="178">
        <v>2016</v>
      </c>
      <c r="F7823" s="178" t="s">
        <v>11931</v>
      </c>
      <c r="G7823" s="496"/>
      <c r="H7823" s="994" t="s">
        <v>20221</v>
      </c>
      <c r="I7823" s="11" t="s">
        <v>10620</v>
      </c>
      <c r="J7823" s="1285"/>
      <c r="K7823" s="1285"/>
      <c r="L7823" s="1285"/>
    </row>
    <row r="7824" spans="1:12" ht="11.15" customHeight="1">
      <c r="A7824" s="422" t="s">
        <v>10621</v>
      </c>
      <c r="B7824" s="59" t="s">
        <v>21729</v>
      </c>
      <c r="C7824" s="147" t="s">
        <v>20221</v>
      </c>
      <c r="D7824" s="284" t="s">
        <v>897</v>
      </c>
      <c r="E7824" s="178">
        <v>2013</v>
      </c>
      <c r="F7824" s="178" t="s">
        <v>9678</v>
      </c>
      <c r="G7824" s="496"/>
      <c r="H7824" s="994" t="s">
        <v>20224</v>
      </c>
      <c r="I7824" s="11" t="s">
        <v>10622</v>
      </c>
      <c r="J7824" s="1285"/>
      <c r="K7824" s="1285"/>
      <c r="L7824" s="1285"/>
    </row>
    <row r="7825" spans="1:12" ht="11.15" customHeight="1">
      <c r="A7825" s="422" t="s">
        <v>10623</v>
      </c>
      <c r="B7825" s="177" t="s">
        <v>10624</v>
      </c>
      <c r="C7825" s="147"/>
      <c r="D7825" s="122"/>
      <c r="E7825" s="185"/>
      <c r="F7825" s="185"/>
      <c r="G7825" s="185"/>
      <c r="H7825" s="185"/>
      <c r="I7825" s="11"/>
    </row>
    <row r="7826" spans="1:12" ht="11.15" customHeight="1">
      <c r="A7826" s="162" t="s">
        <v>10625</v>
      </c>
      <c r="B7826" s="59" t="s">
        <v>21730</v>
      </c>
      <c r="C7826" s="147" t="s">
        <v>20221</v>
      </c>
      <c r="D7826" s="284" t="s">
        <v>897</v>
      </c>
      <c r="E7826" s="178">
        <v>2016</v>
      </c>
      <c r="F7826" s="178" t="s">
        <v>11938</v>
      </c>
      <c r="G7826" s="496"/>
      <c r="H7826" s="994" t="s">
        <v>20224</v>
      </c>
      <c r="I7826" s="11" t="s">
        <v>10626</v>
      </c>
      <c r="J7826" s="1285"/>
      <c r="K7826" s="1285"/>
      <c r="L7826" s="1285"/>
    </row>
    <row r="7827" spans="1:12" ht="11.15" customHeight="1">
      <c r="A7827" s="422" t="s">
        <v>10627</v>
      </c>
      <c r="B7827" s="59" t="s">
        <v>21731</v>
      </c>
      <c r="C7827" s="147" t="s">
        <v>20221</v>
      </c>
      <c r="D7827" s="284" t="s">
        <v>897</v>
      </c>
      <c r="E7827" s="178">
        <v>2016</v>
      </c>
      <c r="F7827" s="178" t="s">
        <v>23401</v>
      </c>
      <c r="G7827" s="496"/>
      <c r="H7827" s="994" t="s">
        <v>20224</v>
      </c>
      <c r="I7827" s="11" t="s">
        <v>10628</v>
      </c>
      <c r="J7827" s="1285"/>
      <c r="K7827" s="1285"/>
      <c r="L7827" s="1285"/>
    </row>
    <row r="7828" spans="1:12" ht="11.15" customHeight="1">
      <c r="A7828" s="162" t="s">
        <v>10629</v>
      </c>
      <c r="B7828" s="59" t="s">
        <v>21731</v>
      </c>
      <c r="C7828" s="147" t="s">
        <v>20221</v>
      </c>
      <c r="D7828" s="284" t="s">
        <v>897</v>
      </c>
      <c r="E7828" s="178">
        <v>2015</v>
      </c>
      <c r="F7828" s="178" t="s">
        <v>23401</v>
      </c>
      <c r="G7828" s="496"/>
      <c r="H7828" s="994" t="s">
        <v>20224</v>
      </c>
      <c r="I7828" s="11" t="s">
        <v>10630</v>
      </c>
      <c r="J7828" s="1285"/>
      <c r="K7828" s="1285"/>
      <c r="L7828" s="1285"/>
    </row>
    <row r="7829" spans="1:12" ht="11.15" customHeight="1">
      <c r="A7829" s="166" t="s">
        <v>10631</v>
      </c>
      <c r="B7829" s="59" t="s">
        <v>21732</v>
      </c>
      <c r="C7829" s="147" t="s">
        <v>20221</v>
      </c>
      <c r="D7829" s="284" t="s">
        <v>897</v>
      </c>
      <c r="E7829" s="178">
        <v>2016</v>
      </c>
      <c r="F7829" s="178" t="s">
        <v>11938</v>
      </c>
      <c r="G7829" s="496"/>
      <c r="H7829" s="994" t="s">
        <v>20224</v>
      </c>
      <c r="I7829" s="11" t="s">
        <v>10632</v>
      </c>
      <c r="J7829" s="1285"/>
      <c r="K7829" s="1285"/>
      <c r="L7829" s="1285"/>
    </row>
    <row r="7830" spans="1:12" ht="11.15" customHeight="1">
      <c r="A7830" s="166" t="s">
        <v>10585</v>
      </c>
      <c r="B7830" s="59" t="s">
        <v>21733</v>
      </c>
      <c r="C7830" s="147" t="s">
        <v>20221</v>
      </c>
      <c r="D7830" s="284" t="s">
        <v>897</v>
      </c>
      <c r="E7830" s="178">
        <v>2016</v>
      </c>
      <c r="F7830" s="178" t="s">
        <v>23401</v>
      </c>
      <c r="G7830" s="496"/>
      <c r="H7830" s="994" t="s">
        <v>20224</v>
      </c>
      <c r="I7830" s="11" t="s">
        <v>10633</v>
      </c>
      <c r="J7830" s="1285"/>
      <c r="K7830" s="1285"/>
      <c r="L7830" s="1285"/>
    </row>
    <row r="7831" spans="1:12" ht="11.15" customHeight="1">
      <c r="A7831" s="129" t="s">
        <v>10586</v>
      </c>
      <c r="B7831" s="59" t="s">
        <v>21733</v>
      </c>
      <c r="C7831" s="147" t="s">
        <v>20221</v>
      </c>
      <c r="D7831" s="284" t="s">
        <v>897</v>
      </c>
      <c r="E7831" s="178">
        <v>2013</v>
      </c>
      <c r="F7831" s="178" t="s">
        <v>23401</v>
      </c>
      <c r="G7831" s="496"/>
      <c r="H7831" s="994" t="s">
        <v>20224</v>
      </c>
      <c r="I7831" s="11" t="s">
        <v>10634</v>
      </c>
      <c r="J7831" s="1285"/>
      <c r="K7831" s="1285"/>
      <c r="L7831" s="1285"/>
    </row>
    <row r="7832" spans="1:12" ht="11.15" customHeight="1">
      <c r="A7832" s="129" t="s">
        <v>10635</v>
      </c>
      <c r="B7832" s="286"/>
      <c r="C7832" s="590"/>
      <c r="D7832" s="590"/>
      <c r="E7832" s="178"/>
      <c r="F7832" s="178"/>
      <c r="G7832" s="60"/>
      <c r="H7832" s="178"/>
    </row>
    <row r="7833" spans="1:12" ht="11.15" customHeight="1" thickBot="1">
      <c r="A7833" s="185"/>
      <c r="B7833" s="185"/>
      <c r="C7833" s="147"/>
      <c r="D7833" s="185"/>
      <c r="E7833" s="185"/>
      <c r="F7833" s="185"/>
      <c r="G7833" s="185"/>
      <c r="H7833" s="185"/>
      <c r="I7833" s="11"/>
    </row>
    <row r="7834" spans="1:12" ht="11.15" customHeight="1" thickBot="1">
      <c r="A7834" s="184" t="s">
        <v>10636</v>
      </c>
      <c r="B7834" s="177" t="s">
        <v>10573</v>
      </c>
      <c r="C7834" s="147"/>
      <c r="D7834" s="161"/>
      <c r="E7834" s="36"/>
      <c r="F7834" s="178"/>
      <c r="G7834" s="496"/>
      <c r="H7834" s="36"/>
      <c r="I7834" s="11"/>
    </row>
    <row r="7835" spans="1:12" ht="11.15" customHeight="1">
      <c r="A7835" s="29" t="s">
        <v>10637</v>
      </c>
      <c r="B7835" s="59" t="s">
        <v>21734</v>
      </c>
      <c r="C7835" s="147" t="s">
        <v>20221</v>
      </c>
      <c r="D7835" s="284" t="s">
        <v>897</v>
      </c>
      <c r="E7835" s="178">
        <v>2023</v>
      </c>
      <c r="F7835" s="178" t="s">
        <v>4520</v>
      </c>
      <c r="G7835" s="496"/>
      <c r="H7835" s="994" t="s">
        <v>20221</v>
      </c>
      <c r="I7835" s="11" t="s">
        <v>10638</v>
      </c>
      <c r="J7835" s="1285"/>
      <c r="K7835" s="1285"/>
      <c r="L7835" s="1285"/>
    </row>
    <row r="7836" spans="1:12" ht="11.15" customHeight="1">
      <c r="A7836" s="29" t="s">
        <v>10639</v>
      </c>
      <c r="B7836" s="59" t="s">
        <v>21734</v>
      </c>
      <c r="C7836" s="147" t="s">
        <v>20221</v>
      </c>
      <c r="D7836" s="284" t="s">
        <v>897</v>
      </c>
      <c r="E7836" s="178">
        <v>2022</v>
      </c>
      <c r="F7836" s="178" t="s">
        <v>4520</v>
      </c>
      <c r="G7836" s="496"/>
      <c r="H7836" s="994" t="s">
        <v>20221</v>
      </c>
      <c r="I7836" s="11" t="s">
        <v>10640</v>
      </c>
      <c r="J7836" s="1285"/>
      <c r="K7836" s="1285"/>
      <c r="L7836" s="1285"/>
    </row>
    <row r="7837" spans="1:12" ht="11.15" customHeight="1">
      <c r="A7837" s="29" t="s">
        <v>10641</v>
      </c>
      <c r="B7837" s="154" t="s">
        <v>10642</v>
      </c>
      <c r="C7837" s="147"/>
      <c r="D7837" s="185"/>
      <c r="E7837" s="185"/>
      <c r="F7837" s="185"/>
      <c r="G7837" s="185"/>
      <c r="H7837" s="185"/>
      <c r="I7837" s="11"/>
    </row>
    <row r="7838" spans="1:12" ht="11.15" customHeight="1">
      <c r="A7838" s="29" t="s">
        <v>10643</v>
      </c>
      <c r="B7838" s="59" t="s">
        <v>21735</v>
      </c>
      <c r="C7838" s="147" t="s">
        <v>20221</v>
      </c>
      <c r="D7838" s="284" t="s">
        <v>897</v>
      </c>
      <c r="E7838" s="178">
        <v>2020</v>
      </c>
      <c r="F7838" s="178" t="s">
        <v>4520</v>
      </c>
      <c r="G7838" s="496"/>
      <c r="H7838" s="994" t="s">
        <v>20221</v>
      </c>
      <c r="I7838" s="11" t="s">
        <v>10644</v>
      </c>
      <c r="J7838" s="1285"/>
      <c r="K7838" s="1285"/>
      <c r="L7838" s="1285"/>
    </row>
    <row r="7839" spans="1:12" ht="11.15" customHeight="1">
      <c r="A7839" s="29" t="s">
        <v>10645</v>
      </c>
      <c r="B7839" s="59" t="s">
        <v>21735</v>
      </c>
      <c r="C7839" s="147" t="s">
        <v>20221</v>
      </c>
      <c r="D7839" s="284" t="s">
        <v>897</v>
      </c>
      <c r="E7839" s="178">
        <v>2019</v>
      </c>
      <c r="F7839" s="178" t="s">
        <v>4520</v>
      </c>
      <c r="G7839" s="496"/>
      <c r="H7839" s="994" t="s">
        <v>20221</v>
      </c>
      <c r="I7839" s="11" t="s">
        <v>10646</v>
      </c>
      <c r="J7839" s="1285"/>
      <c r="K7839" s="1285"/>
      <c r="L7839" s="1285"/>
    </row>
    <row r="7840" spans="1:12" ht="11.15" customHeight="1">
      <c r="A7840" s="29" t="s">
        <v>10647</v>
      </c>
      <c r="B7840" s="59" t="s">
        <v>21735</v>
      </c>
      <c r="C7840" s="147" t="s">
        <v>20221</v>
      </c>
      <c r="D7840" s="284" t="s">
        <v>897</v>
      </c>
      <c r="E7840" s="178">
        <v>2017</v>
      </c>
      <c r="F7840" s="178" t="s">
        <v>4520</v>
      </c>
      <c r="G7840" s="496"/>
      <c r="H7840" s="994" t="s">
        <v>20221</v>
      </c>
      <c r="I7840" s="11" t="s">
        <v>10648</v>
      </c>
      <c r="J7840" s="1285"/>
      <c r="K7840" s="1285"/>
      <c r="L7840" s="1285"/>
    </row>
    <row r="7841" spans="1:12" ht="11.15" customHeight="1">
      <c r="A7841" s="181" t="s">
        <v>10649</v>
      </c>
      <c r="B7841" s="59" t="s">
        <v>21735</v>
      </c>
      <c r="C7841" s="147" t="s">
        <v>20221</v>
      </c>
      <c r="D7841" s="284" t="s">
        <v>897</v>
      </c>
      <c r="E7841" s="178">
        <v>2016</v>
      </c>
      <c r="F7841" s="178" t="s">
        <v>4520</v>
      </c>
      <c r="G7841" s="496"/>
      <c r="H7841" s="994" t="s">
        <v>20224</v>
      </c>
      <c r="I7841" s="11" t="s">
        <v>10650</v>
      </c>
      <c r="J7841" s="1285"/>
      <c r="K7841" s="1285"/>
      <c r="L7841" s="1285"/>
    </row>
    <row r="7842" spans="1:12" ht="11.15" customHeight="1">
      <c r="A7842" s="181" t="s">
        <v>10651</v>
      </c>
      <c r="B7842" s="154" t="s">
        <v>10652</v>
      </c>
      <c r="C7842" s="147"/>
      <c r="D7842" s="185"/>
      <c r="E7842" s="185"/>
      <c r="F7842" s="185"/>
      <c r="G7842" s="185"/>
      <c r="H7842" s="185"/>
      <c r="I7842" s="11"/>
    </row>
    <row r="7843" spans="1:12" ht="11.15" customHeight="1">
      <c r="A7843" s="166" t="s">
        <v>10653</v>
      </c>
      <c r="B7843" s="59" t="s">
        <v>21736</v>
      </c>
      <c r="C7843" s="147" t="s">
        <v>20221</v>
      </c>
      <c r="D7843" s="284" t="s">
        <v>897</v>
      </c>
      <c r="E7843" s="178">
        <v>2020</v>
      </c>
      <c r="F7843" s="178" t="s">
        <v>11931</v>
      </c>
      <c r="G7843" s="496"/>
      <c r="H7843" s="994" t="s">
        <v>20221</v>
      </c>
      <c r="I7843" s="11" t="s">
        <v>10654</v>
      </c>
      <c r="J7843" s="1285"/>
      <c r="K7843" s="1285"/>
      <c r="L7843" s="1285"/>
    </row>
    <row r="7844" spans="1:12" ht="11.15" customHeight="1">
      <c r="A7844" s="166" t="s">
        <v>10655</v>
      </c>
      <c r="B7844" s="59" t="s">
        <v>21736</v>
      </c>
      <c r="C7844" s="147" t="s">
        <v>20221</v>
      </c>
      <c r="D7844" s="284" t="s">
        <v>897</v>
      </c>
      <c r="E7844" s="178">
        <v>2016</v>
      </c>
      <c r="F7844" s="178" t="s">
        <v>11931</v>
      </c>
      <c r="G7844" s="496"/>
      <c r="H7844" s="994" t="s">
        <v>20224</v>
      </c>
      <c r="I7844" s="11" t="s">
        <v>10656</v>
      </c>
      <c r="J7844" s="1285"/>
      <c r="K7844" s="1285"/>
      <c r="L7844" s="1285"/>
    </row>
    <row r="7845" spans="1:12" ht="11.15" customHeight="1">
      <c r="A7845" s="129" t="s">
        <v>10657</v>
      </c>
      <c r="B7845" s="59" t="s">
        <v>21737</v>
      </c>
      <c r="C7845" s="147" t="s">
        <v>20221</v>
      </c>
      <c r="D7845" s="284" t="s">
        <v>897</v>
      </c>
      <c r="E7845" s="178">
        <v>2020</v>
      </c>
      <c r="F7845" s="178" t="s">
        <v>11938</v>
      </c>
      <c r="G7845" s="496"/>
      <c r="H7845" s="994" t="s">
        <v>20224</v>
      </c>
      <c r="I7845" s="11" t="s">
        <v>10658</v>
      </c>
      <c r="J7845" s="1285"/>
      <c r="K7845" s="1285"/>
      <c r="L7845" s="1285"/>
    </row>
    <row r="7846" spans="1:12" ht="11.15" customHeight="1">
      <c r="A7846" s="129"/>
      <c r="B7846" s="59" t="s">
        <v>21737</v>
      </c>
      <c r="C7846" s="147" t="s">
        <v>20221</v>
      </c>
      <c r="D7846" s="284" t="s">
        <v>897</v>
      </c>
      <c r="E7846" s="178">
        <v>2019</v>
      </c>
      <c r="F7846" s="178" t="s">
        <v>11938</v>
      </c>
      <c r="G7846" s="496"/>
      <c r="H7846" s="994" t="s">
        <v>20224</v>
      </c>
      <c r="I7846" s="11" t="s">
        <v>10659</v>
      </c>
      <c r="J7846" s="1285"/>
      <c r="K7846" s="1285"/>
      <c r="L7846" s="1285"/>
    </row>
    <row r="7847" spans="1:12" ht="11.15" customHeight="1">
      <c r="A7847" s="166"/>
      <c r="B7847" s="166"/>
      <c r="C7847" s="166"/>
      <c r="D7847" s="166"/>
      <c r="E7847" s="166"/>
      <c r="F7847" s="166"/>
      <c r="G7847" s="166"/>
      <c r="H7847" s="166"/>
      <c r="I7847" s="11"/>
    </row>
    <row r="7848" spans="1:12" ht="11.15" customHeight="1">
      <c r="A7848" s="512"/>
      <c r="B7848" s="413" t="s">
        <v>10660</v>
      </c>
      <c r="C7848" s="147"/>
      <c r="D7848" s="159"/>
      <c r="E7848" s="36"/>
      <c r="F7848" s="178"/>
      <c r="G7848" s="497"/>
      <c r="H7848" s="36"/>
      <c r="I7848" s="11"/>
    </row>
    <row r="7849" spans="1:12" ht="11.15" customHeight="1">
      <c r="A7849" s="512"/>
      <c r="B7849" s="1348" t="s">
        <v>10661</v>
      </c>
      <c r="C7849" s="147"/>
      <c r="D7849" s="159"/>
      <c r="E7849" s="36"/>
      <c r="F7849" s="178"/>
      <c r="G7849" s="497"/>
      <c r="H7849" s="36"/>
      <c r="I7849" s="11"/>
    </row>
    <row r="7850" spans="1:12" ht="9" customHeight="1">
      <c r="A7850" s="29"/>
      <c r="B7850" s="150" t="s">
        <v>10662</v>
      </c>
      <c r="C7850" s="147"/>
      <c r="D7850" s="159"/>
      <c r="E7850" s="36"/>
      <c r="F7850" s="178"/>
      <c r="G7850" s="497"/>
      <c r="H7850" s="36"/>
      <c r="I7850" s="11"/>
    </row>
    <row r="7851" spans="1:12" ht="9" customHeight="1">
      <c r="A7851" s="29"/>
      <c r="B7851" s="150" t="s">
        <v>10663</v>
      </c>
      <c r="C7851" s="147"/>
      <c r="D7851" s="159"/>
      <c r="E7851" s="36"/>
      <c r="F7851" s="178"/>
      <c r="G7851" s="497"/>
      <c r="H7851" s="36"/>
      <c r="I7851" s="11"/>
    </row>
    <row r="7852" spans="1:12" ht="9" customHeight="1">
      <c r="A7852" s="29"/>
      <c r="B7852" s="150" t="s">
        <v>10664</v>
      </c>
      <c r="C7852" s="147"/>
      <c r="D7852" s="159"/>
      <c r="E7852" s="36"/>
      <c r="F7852" s="178"/>
      <c r="G7852" s="497"/>
      <c r="H7852" s="36"/>
      <c r="I7852" s="11"/>
    </row>
    <row r="7853" spans="1:12" ht="9" customHeight="1">
      <c r="A7853" s="29"/>
      <c r="B7853" s="150" t="s">
        <v>10665</v>
      </c>
      <c r="C7853" s="147"/>
      <c r="D7853" s="159"/>
      <c r="E7853" s="36"/>
      <c r="F7853" s="178"/>
      <c r="G7853" s="497"/>
      <c r="H7853" s="36"/>
      <c r="I7853" s="11"/>
    </row>
    <row r="7854" spans="1:12" ht="9" customHeight="1">
      <c r="A7854" s="29"/>
      <c r="B7854" s="150" t="s">
        <v>10666</v>
      </c>
      <c r="C7854" s="147"/>
      <c r="D7854" s="159"/>
      <c r="E7854" s="36"/>
      <c r="F7854" s="178"/>
      <c r="G7854" s="497"/>
      <c r="H7854" s="36"/>
      <c r="I7854" s="11"/>
    </row>
    <row r="7855" spans="1:12" ht="9" customHeight="1">
      <c r="A7855" s="29"/>
      <c r="B7855" s="150" t="s">
        <v>10667</v>
      </c>
      <c r="C7855" s="147"/>
      <c r="D7855" s="159"/>
      <c r="E7855" s="36"/>
      <c r="F7855" s="178"/>
      <c r="G7855" s="497"/>
      <c r="H7855" s="36"/>
      <c r="I7855" s="11"/>
    </row>
    <row r="7856" spans="1:12" ht="9" customHeight="1">
      <c r="A7856" s="29"/>
      <c r="B7856" s="210" t="s">
        <v>10668</v>
      </c>
      <c r="C7856" s="147"/>
      <c r="D7856" s="159"/>
      <c r="E7856" s="36"/>
      <c r="F7856" s="178"/>
      <c r="G7856" s="497"/>
      <c r="H7856" s="36"/>
      <c r="I7856" s="11"/>
    </row>
    <row r="7857" spans="1:12" ht="9" customHeight="1" thickBot="1">
      <c r="A7857" s="29"/>
      <c r="B7857" s="150" t="s">
        <v>10669</v>
      </c>
      <c r="C7857" s="147"/>
      <c r="D7857" s="159"/>
      <c r="E7857" s="36"/>
      <c r="F7857" s="178"/>
      <c r="G7857" s="497"/>
      <c r="H7857" s="36"/>
      <c r="I7857" s="11"/>
    </row>
    <row r="7858" spans="1:12" ht="11.15" customHeight="1">
      <c r="A7858" s="153" t="s">
        <v>10670</v>
      </c>
      <c r="B7858" s="154" t="s">
        <v>10671</v>
      </c>
      <c r="C7858" s="147"/>
      <c r="D7858" s="159"/>
      <c r="E7858" s="36"/>
      <c r="F7858" s="178"/>
      <c r="G7858" s="497"/>
      <c r="H7858" s="36"/>
      <c r="I7858" s="11"/>
    </row>
    <row r="7859" spans="1:12" ht="11.15" customHeight="1" thickBot="1">
      <c r="A7859" s="230" t="s">
        <v>10672</v>
      </c>
      <c r="B7859" s="59" t="s">
        <v>21738</v>
      </c>
      <c r="C7859" s="147" t="s">
        <v>20221</v>
      </c>
      <c r="D7859" s="1034" t="s">
        <v>879</v>
      </c>
      <c r="E7859" s="178">
        <v>2019</v>
      </c>
      <c r="F7859" s="178" t="s">
        <v>4520</v>
      </c>
      <c r="G7859" s="496"/>
      <c r="H7859" s="994" t="s">
        <v>20221</v>
      </c>
      <c r="I7859" s="11" t="s">
        <v>10673</v>
      </c>
      <c r="J7859" s="1285"/>
      <c r="K7859" s="1285"/>
      <c r="L7859" s="1285"/>
    </row>
    <row r="7860" spans="1:12" ht="11.15" customHeight="1">
      <c r="A7860" s="229" t="s">
        <v>10674</v>
      </c>
      <c r="B7860" s="154" t="s">
        <v>10675</v>
      </c>
      <c r="C7860" s="147"/>
      <c r="D7860" s="159"/>
      <c r="E7860" s="36"/>
      <c r="F7860" s="178"/>
      <c r="G7860" s="497"/>
      <c r="H7860" s="36"/>
      <c r="I7860" s="11"/>
    </row>
    <row r="7861" spans="1:12" ht="11.15" customHeight="1">
      <c r="A7861" s="29" t="s">
        <v>10676</v>
      </c>
      <c r="B7861" s="59" t="s">
        <v>21739</v>
      </c>
      <c r="C7861" s="147" t="s">
        <v>20221</v>
      </c>
      <c r="D7861" s="701" t="s">
        <v>1129</v>
      </c>
      <c r="E7861" s="178">
        <v>2023</v>
      </c>
      <c r="F7861" s="178" t="s">
        <v>4520</v>
      </c>
      <c r="G7861" s="496"/>
      <c r="H7861" s="994" t="s">
        <v>20221</v>
      </c>
      <c r="I7861" s="11" t="s">
        <v>10677</v>
      </c>
      <c r="J7861" s="1285"/>
      <c r="K7861" s="1285"/>
      <c r="L7861" s="1285"/>
    </row>
    <row r="7862" spans="1:12" ht="11.15" customHeight="1">
      <c r="A7862" s="29" t="s">
        <v>10678</v>
      </c>
      <c r="B7862" s="59" t="s">
        <v>21739</v>
      </c>
      <c r="C7862" s="147" t="s">
        <v>20221</v>
      </c>
      <c r="D7862" s="701" t="s">
        <v>1129</v>
      </c>
      <c r="E7862" s="178">
        <v>2022</v>
      </c>
      <c r="F7862" s="178" t="s">
        <v>4520</v>
      </c>
      <c r="G7862" s="496"/>
      <c r="H7862" s="994" t="s">
        <v>20221</v>
      </c>
      <c r="I7862" s="11" t="s">
        <v>10679</v>
      </c>
      <c r="J7862" s="1285"/>
      <c r="K7862" s="1285"/>
      <c r="L7862" s="1285"/>
    </row>
    <row r="7863" spans="1:12" ht="11.15" customHeight="1">
      <c r="A7863" s="29" t="s">
        <v>10680</v>
      </c>
      <c r="B7863" s="59" t="s">
        <v>21739</v>
      </c>
      <c r="C7863" s="147" t="s">
        <v>20221</v>
      </c>
      <c r="D7863" s="701" t="s">
        <v>1129</v>
      </c>
      <c r="E7863" s="178">
        <v>2016</v>
      </c>
      <c r="F7863" s="178" t="s">
        <v>4520</v>
      </c>
      <c r="G7863" s="496"/>
      <c r="H7863" s="994" t="s">
        <v>20221</v>
      </c>
      <c r="I7863" s="11" t="s">
        <v>10681</v>
      </c>
      <c r="J7863" s="1285"/>
      <c r="K7863" s="1285"/>
      <c r="L7863" s="1285"/>
    </row>
    <row r="7864" spans="1:12" ht="11.15" customHeight="1">
      <c r="A7864" s="29" t="s">
        <v>10682</v>
      </c>
      <c r="B7864" s="154" t="s">
        <v>10573</v>
      </c>
      <c r="C7864" s="147"/>
      <c r="D7864" s="129"/>
      <c r="E7864" s="185"/>
      <c r="F7864" s="185"/>
      <c r="G7864" s="185"/>
      <c r="H7864" s="185"/>
      <c r="I7864" s="11"/>
    </row>
    <row r="7865" spans="1:12" ht="11.15" customHeight="1">
      <c r="A7865" s="29" t="s">
        <v>10683</v>
      </c>
      <c r="B7865" s="59" t="s">
        <v>21740</v>
      </c>
      <c r="C7865" s="147" t="s">
        <v>20221</v>
      </c>
      <c r="D7865" s="284" t="s">
        <v>897</v>
      </c>
      <c r="E7865" s="178">
        <v>2022</v>
      </c>
      <c r="F7865" s="178" t="s">
        <v>4520</v>
      </c>
      <c r="G7865" s="496"/>
      <c r="H7865" s="994" t="s">
        <v>20221</v>
      </c>
      <c r="I7865" s="11" t="s">
        <v>10684</v>
      </c>
      <c r="J7865" s="1285"/>
      <c r="K7865" s="1285"/>
      <c r="L7865" s="1285"/>
    </row>
    <row r="7866" spans="1:12" ht="11.15" customHeight="1">
      <c r="A7866" s="181" t="s">
        <v>10685</v>
      </c>
      <c r="B7866" s="59" t="s">
        <v>21740</v>
      </c>
      <c r="C7866" s="147" t="s">
        <v>20221</v>
      </c>
      <c r="D7866" s="284" t="s">
        <v>897</v>
      </c>
      <c r="E7866" s="178">
        <v>2021</v>
      </c>
      <c r="F7866" s="178" t="s">
        <v>4520</v>
      </c>
      <c r="G7866" s="496"/>
      <c r="H7866" s="994" t="s">
        <v>20221</v>
      </c>
      <c r="I7866" s="11" t="s">
        <v>10686</v>
      </c>
      <c r="J7866" s="1285"/>
      <c r="K7866" s="1285"/>
      <c r="L7866" s="1285"/>
    </row>
    <row r="7867" spans="1:12" ht="11.15" customHeight="1">
      <c r="A7867" s="129" t="s">
        <v>10687</v>
      </c>
      <c r="B7867" s="59" t="s">
        <v>21740</v>
      </c>
      <c r="C7867" s="147" t="s">
        <v>20221</v>
      </c>
      <c r="D7867" s="284" t="s">
        <v>897</v>
      </c>
      <c r="E7867" s="178">
        <v>2020</v>
      </c>
      <c r="F7867" s="178" t="s">
        <v>4520</v>
      </c>
      <c r="G7867" s="496"/>
      <c r="H7867" s="994" t="s">
        <v>20221</v>
      </c>
      <c r="I7867" s="11" t="s">
        <v>10688</v>
      </c>
      <c r="J7867" s="1285"/>
      <c r="K7867" s="1285"/>
      <c r="L7867" s="1285"/>
    </row>
    <row r="7868" spans="1:12" ht="11.15" customHeight="1">
      <c r="A7868" s="162" t="s">
        <v>10689</v>
      </c>
      <c r="B7868" s="59" t="s">
        <v>21740</v>
      </c>
      <c r="C7868" s="147" t="s">
        <v>20221</v>
      </c>
      <c r="D7868" s="284" t="s">
        <v>897</v>
      </c>
      <c r="E7868" s="178">
        <v>2019</v>
      </c>
      <c r="F7868" s="178" t="s">
        <v>4520</v>
      </c>
      <c r="G7868" s="496"/>
      <c r="H7868" s="994" t="s">
        <v>20224</v>
      </c>
      <c r="I7868" s="11" t="s">
        <v>10690</v>
      </c>
      <c r="J7868" s="1285"/>
      <c r="K7868" s="1285"/>
      <c r="L7868" s="1285"/>
    </row>
    <row r="7869" spans="1:12" ht="11.15" customHeight="1">
      <c r="A7869" s="162" t="s">
        <v>10691</v>
      </c>
      <c r="B7869" s="59" t="s">
        <v>21740</v>
      </c>
      <c r="C7869" s="147" t="s">
        <v>20221</v>
      </c>
      <c r="D7869" s="284" t="s">
        <v>897</v>
      </c>
      <c r="E7869" s="178">
        <v>2016</v>
      </c>
      <c r="F7869" s="178" t="s">
        <v>23395</v>
      </c>
      <c r="G7869" s="496"/>
      <c r="H7869" s="994" t="s">
        <v>20277</v>
      </c>
      <c r="I7869" s="11" t="s">
        <v>10692</v>
      </c>
      <c r="J7869" s="1285"/>
      <c r="K7869" s="1285"/>
      <c r="L7869" s="1285"/>
    </row>
    <row r="7870" spans="1:12" ht="11.15" customHeight="1">
      <c r="A7870" s="162" t="s">
        <v>10693</v>
      </c>
      <c r="B7870" s="59" t="s">
        <v>21741</v>
      </c>
      <c r="C7870" s="147" t="s">
        <v>20221</v>
      </c>
      <c r="D7870" s="284" t="s">
        <v>897</v>
      </c>
      <c r="E7870" s="178">
        <v>2022</v>
      </c>
      <c r="F7870" s="178" t="s">
        <v>4520</v>
      </c>
      <c r="G7870" s="496"/>
      <c r="H7870" s="994" t="s">
        <v>20221</v>
      </c>
      <c r="I7870" s="11" t="s">
        <v>10694</v>
      </c>
      <c r="J7870" s="1285"/>
      <c r="K7870" s="1285"/>
      <c r="L7870" s="1285"/>
    </row>
    <row r="7871" spans="1:12" ht="11.15" customHeight="1">
      <c r="A7871" s="162" t="s">
        <v>10695</v>
      </c>
      <c r="B7871" s="59" t="s">
        <v>21741</v>
      </c>
      <c r="C7871" s="147" t="s">
        <v>20221</v>
      </c>
      <c r="D7871" s="284" t="s">
        <v>897</v>
      </c>
      <c r="E7871" s="178">
        <v>2020</v>
      </c>
      <c r="F7871" s="178" t="s">
        <v>4520</v>
      </c>
      <c r="G7871" s="496"/>
      <c r="H7871" s="994" t="s">
        <v>20221</v>
      </c>
      <c r="I7871" s="11" t="s">
        <v>10696</v>
      </c>
      <c r="J7871" s="1285"/>
      <c r="K7871" s="1285"/>
      <c r="L7871" s="1285"/>
    </row>
    <row r="7872" spans="1:12" ht="11.15" customHeight="1">
      <c r="A7872" s="162" t="s">
        <v>10697</v>
      </c>
      <c r="B7872" s="59" t="s">
        <v>21741</v>
      </c>
      <c r="C7872" s="147" t="s">
        <v>20221</v>
      </c>
      <c r="D7872" s="284" t="s">
        <v>897</v>
      </c>
      <c r="E7872" s="178">
        <v>2019</v>
      </c>
      <c r="F7872" s="178" t="s">
        <v>4520</v>
      </c>
      <c r="G7872" s="496"/>
      <c r="H7872" s="994" t="s">
        <v>20221</v>
      </c>
      <c r="I7872" s="11" t="s">
        <v>10698</v>
      </c>
      <c r="J7872" s="1285"/>
      <c r="K7872" s="1285"/>
      <c r="L7872" s="1285"/>
    </row>
    <row r="7873" spans="1:12" ht="11.15" customHeight="1">
      <c r="A7873" s="162" t="s">
        <v>10699</v>
      </c>
      <c r="B7873" s="59" t="s">
        <v>21741</v>
      </c>
      <c r="C7873" s="147" t="s">
        <v>20221</v>
      </c>
      <c r="D7873" s="284" t="s">
        <v>897</v>
      </c>
      <c r="E7873" s="178">
        <v>2016</v>
      </c>
      <c r="F7873" s="178" t="s">
        <v>4520</v>
      </c>
      <c r="G7873" s="496"/>
      <c r="H7873" s="994" t="s">
        <v>20224</v>
      </c>
      <c r="I7873" s="11" t="s">
        <v>10700</v>
      </c>
      <c r="J7873" s="1285"/>
      <c r="K7873" s="1285"/>
      <c r="L7873" s="1285"/>
    </row>
    <row r="7874" spans="1:12" ht="11.15" customHeight="1">
      <c r="A7874" s="129" t="s">
        <v>10701</v>
      </c>
      <c r="B7874" s="59" t="s">
        <v>21741</v>
      </c>
      <c r="C7874" s="147" t="s">
        <v>20221</v>
      </c>
      <c r="D7874" s="284" t="s">
        <v>897</v>
      </c>
      <c r="E7874" s="178">
        <v>2015</v>
      </c>
      <c r="F7874" s="178" t="s">
        <v>4520</v>
      </c>
      <c r="G7874" s="496"/>
      <c r="H7874" s="994" t="s">
        <v>20221</v>
      </c>
      <c r="I7874" s="11" t="s">
        <v>10702</v>
      </c>
      <c r="J7874" s="1285"/>
      <c r="K7874" s="1285"/>
      <c r="L7874" s="1285"/>
    </row>
    <row r="7875" spans="1:12" ht="11.15" customHeight="1">
      <c r="A7875" s="162" t="s">
        <v>10703</v>
      </c>
      <c r="B7875" s="59" t="s">
        <v>21741</v>
      </c>
      <c r="C7875" s="147" t="s">
        <v>20221</v>
      </c>
      <c r="D7875" s="284" t="s">
        <v>897</v>
      </c>
      <c r="E7875" s="178">
        <v>2014</v>
      </c>
      <c r="F7875" s="178" t="s">
        <v>23395</v>
      </c>
      <c r="G7875" s="496"/>
      <c r="H7875" s="994" t="s">
        <v>20221</v>
      </c>
      <c r="I7875" s="11" t="s">
        <v>10704</v>
      </c>
      <c r="J7875" s="1285"/>
      <c r="K7875" s="1285"/>
      <c r="L7875" s="1285"/>
    </row>
    <row r="7876" spans="1:12" ht="11.15" customHeight="1">
      <c r="A7876" s="162" t="s">
        <v>10705</v>
      </c>
      <c r="B7876" s="59" t="s">
        <v>21741</v>
      </c>
      <c r="C7876" s="147" t="s">
        <v>20221</v>
      </c>
      <c r="D7876" s="284" t="s">
        <v>897</v>
      </c>
      <c r="E7876" s="178">
        <v>2012</v>
      </c>
      <c r="F7876" s="178" t="s">
        <v>23395</v>
      </c>
      <c r="G7876" s="496"/>
      <c r="H7876" s="994" t="s">
        <v>20224</v>
      </c>
      <c r="I7876" s="11" t="s">
        <v>10706</v>
      </c>
      <c r="J7876" s="1285"/>
      <c r="K7876" s="1285"/>
      <c r="L7876" s="1285"/>
    </row>
    <row r="7877" spans="1:12" ht="11.15" customHeight="1">
      <c r="A7877" s="29" t="s">
        <v>10707</v>
      </c>
      <c r="B7877" s="59" t="s">
        <v>21742</v>
      </c>
      <c r="C7877" s="147" t="s">
        <v>20221</v>
      </c>
      <c r="D7877" s="284" t="s">
        <v>897</v>
      </c>
      <c r="E7877" s="178">
        <v>2020</v>
      </c>
      <c r="F7877" s="178" t="s">
        <v>4520</v>
      </c>
      <c r="G7877" s="496"/>
      <c r="H7877" s="994" t="s">
        <v>20224</v>
      </c>
      <c r="I7877" s="11" t="s">
        <v>10708</v>
      </c>
      <c r="J7877" s="1285"/>
      <c r="K7877" s="1285"/>
      <c r="L7877" s="1285"/>
    </row>
    <row r="7878" spans="1:12" ht="11.15" customHeight="1">
      <c r="A7878" s="166" t="s">
        <v>10709</v>
      </c>
      <c r="B7878" s="59" t="s">
        <v>21743</v>
      </c>
      <c r="C7878" s="147" t="s">
        <v>20221</v>
      </c>
      <c r="D7878" s="284" t="s">
        <v>897</v>
      </c>
      <c r="E7878" s="178">
        <v>2019</v>
      </c>
      <c r="F7878" s="178" t="s">
        <v>4520</v>
      </c>
      <c r="G7878" s="496"/>
      <c r="H7878" s="994" t="s">
        <v>20224</v>
      </c>
      <c r="I7878" s="11" t="s">
        <v>10710</v>
      </c>
      <c r="J7878" s="1285"/>
      <c r="K7878" s="1285"/>
      <c r="L7878" s="1285"/>
    </row>
    <row r="7879" spans="1:12" ht="11.15" customHeight="1">
      <c r="A7879" s="129" t="s">
        <v>10711</v>
      </c>
      <c r="B7879" s="59" t="s">
        <v>21743</v>
      </c>
      <c r="C7879" s="147" t="s">
        <v>20221</v>
      </c>
      <c r="D7879" s="284" t="s">
        <v>897</v>
      </c>
      <c r="E7879" s="178">
        <v>2015</v>
      </c>
      <c r="F7879" s="178" t="s">
        <v>4520</v>
      </c>
      <c r="G7879" s="496"/>
      <c r="H7879" s="994" t="s">
        <v>20221</v>
      </c>
      <c r="I7879" s="11" t="s">
        <v>10712</v>
      </c>
      <c r="J7879" s="1285"/>
      <c r="K7879" s="1285"/>
      <c r="L7879" s="1285"/>
    </row>
    <row r="7880" spans="1:12" ht="11.15" customHeight="1">
      <c r="A7880" s="129" t="s">
        <v>1630</v>
      </c>
      <c r="B7880" s="59" t="s">
        <v>21744</v>
      </c>
      <c r="C7880" s="147" t="s">
        <v>20221</v>
      </c>
      <c r="D7880" s="284" t="s">
        <v>897</v>
      </c>
      <c r="E7880" s="178">
        <v>2021</v>
      </c>
      <c r="F7880" s="178" t="s">
        <v>4520</v>
      </c>
      <c r="G7880" s="496"/>
      <c r="H7880" s="994" t="s">
        <v>20221</v>
      </c>
      <c r="I7880" s="11" t="s">
        <v>10713</v>
      </c>
      <c r="J7880" s="1285"/>
      <c r="K7880" s="1285"/>
      <c r="L7880" s="1285"/>
    </row>
    <row r="7881" spans="1:12" ht="11.15" customHeight="1">
      <c r="A7881" s="386" t="s">
        <v>10714</v>
      </c>
      <c r="B7881" s="59" t="s">
        <v>21744</v>
      </c>
      <c r="C7881" s="147" t="s">
        <v>20221</v>
      </c>
      <c r="D7881" s="284" t="s">
        <v>897</v>
      </c>
      <c r="E7881" s="178">
        <v>2018</v>
      </c>
      <c r="F7881" s="178" t="s">
        <v>4520</v>
      </c>
      <c r="G7881" s="496"/>
      <c r="H7881" s="994" t="s">
        <v>20224</v>
      </c>
      <c r="I7881" s="11" t="s">
        <v>10715</v>
      </c>
      <c r="J7881" s="1285"/>
      <c r="K7881" s="1285"/>
      <c r="L7881" s="1285"/>
    </row>
    <row r="7882" spans="1:12" ht="11.15" customHeight="1">
      <c r="A7882" s="129" t="s">
        <v>10716</v>
      </c>
      <c r="B7882" s="154" t="s">
        <v>10603</v>
      </c>
      <c r="C7882" s="147"/>
      <c r="D7882" s="129"/>
      <c r="E7882" s="185"/>
      <c r="F7882" s="185"/>
      <c r="G7882" s="185"/>
      <c r="H7882" s="185"/>
      <c r="I7882" s="11"/>
    </row>
    <row r="7883" spans="1:12" ht="11.15" customHeight="1">
      <c r="A7883" s="29"/>
      <c r="B7883" s="59" t="s">
        <v>21745</v>
      </c>
      <c r="C7883" s="147" t="s">
        <v>20221</v>
      </c>
      <c r="D7883" s="284" t="s">
        <v>897</v>
      </c>
      <c r="E7883" s="178">
        <v>2020</v>
      </c>
      <c r="F7883" s="178" t="s">
        <v>4520</v>
      </c>
      <c r="G7883" s="496"/>
      <c r="H7883" s="994" t="s">
        <v>20221</v>
      </c>
      <c r="I7883" s="11" t="s">
        <v>10717</v>
      </c>
      <c r="J7883" s="1285"/>
      <c r="K7883" s="1285"/>
      <c r="L7883" s="1285"/>
    </row>
    <row r="7884" spans="1:12" ht="11.15" customHeight="1">
      <c r="A7884" s="185"/>
      <c r="B7884" s="59" t="s">
        <v>21746</v>
      </c>
      <c r="C7884" s="147" t="s">
        <v>20221</v>
      </c>
      <c r="D7884" s="284" t="s">
        <v>897</v>
      </c>
      <c r="E7884" s="178">
        <v>2020</v>
      </c>
      <c r="F7884" s="178" t="s">
        <v>4520</v>
      </c>
      <c r="G7884" s="496"/>
      <c r="H7884" s="994" t="s">
        <v>20221</v>
      </c>
      <c r="I7884" s="11" t="s">
        <v>10718</v>
      </c>
      <c r="J7884" s="1285"/>
      <c r="K7884" s="1285"/>
      <c r="L7884" s="1285"/>
    </row>
    <row r="7885" spans="1:12" ht="11.15" customHeight="1">
      <c r="A7885" s="185"/>
      <c r="B7885" s="59" t="s">
        <v>21746</v>
      </c>
      <c r="C7885" s="147" t="s">
        <v>20221</v>
      </c>
      <c r="D7885" s="284" t="s">
        <v>897</v>
      </c>
      <c r="E7885" s="178">
        <v>2018</v>
      </c>
      <c r="F7885" s="178" t="s">
        <v>4520</v>
      </c>
      <c r="G7885" s="496"/>
      <c r="H7885" s="994" t="s">
        <v>20224</v>
      </c>
      <c r="I7885" s="11" t="s">
        <v>10719</v>
      </c>
      <c r="J7885" s="1285"/>
      <c r="K7885" s="1285"/>
      <c r="L7885" s="1285"/>
    </row>
    <row r="7886" spans="1:12" ht="11.15" customHeight="1">
      <c r="A7886" s="185"/>
      <c r="B7886" s="59" t="s">
        <v>21747</v>
      </c>
      <c r="C7886" s="147" t="s">
        <v>20221</v>
      </c>
      <c r="D7886" s="284" t="s">
        <v>897</v>
      </c>
      <c r="E7886" s="178">
        <v>2020</v>
      </c>
      <c r="F7886" s="178" t="s">
        <v>4520</v>
      </c>
      <c r="G7886" s="496"/>
      <c r="H7886" s="994" t="s">
        <v>20221</v>
      </c>
      <c r="I7886" s="11" t="s">
        <v>10720</v>
      </c>
      <c r="J7886" s="1285"/>
      <c r="K7886" s="1285"/>
      <c r="L7886" s="1285"/>
    </row>
    <row r="7887" spans="1:12" ht="11.15" customHeight="1">
      <c r="A7887" s="185"/>
      <c r="B7887" s="59" t="s">
        <v>21747</v>
      </c>
      <c r="C7887" s="147" t="s">
        <v>20221</v>
      </c>
      <c r="D7887" s="284" t="s">
        <v>897</v>
      </c>
      <c r="E7887" s="178">
        <v>2015</v>
      </c>
      <c r="F7887" s="178" t="s">
        <v>4520</v>
      </c>
      <c r="G7887" s="496"/>
      <c r="H7887" s="994" t="s">
        <v>20224</v>
      </c>
      <c r="I7887" s="11" t="s">
        <v>10721</v>
      </c>
      <c r="J7887" s="1285"/>
      <c r="K7887" s="1285"/>
      <c r="L7887" s="1285"/>
    </row>
    <row r="7888" spans="1:12" ht="11.15" customHeight="1">
      <c r="A7888" s="185"/>
      <c r="B7888" s="59" t="s">
        <v>21747</v>
      </c>
      <c r="C7888" s="147" t="s">
        <v>20221</v>
      </c>
      <c r="D7888" s="284" t="s">
        <v>897</v>
      </c>
      <c r="E7888" s="178">
        <v>2013</v>
      </c>
      <c r="F7888" s="178" t="s">
        <v>4520</v>
      </c>
      <c r="G7888" s="496"/>
      <c r="H7888" s="994" t="s">
        <v>20221</v>
      </c>
      <c r="I7888" s="11" t="s">
        <v>10722</v>
      </c>
      <c r="J7888" s="1285"/>
      <c r="K7888" s="1285"/>
      <c r="L7888" s="1285"/>
    </row>
    <row r="7889" spans="1:12" ht="11.15" customHeight="1">
      <c r="A7889" s="185"/>
      <c r="B7889" s="59" t="s">
        <v>21747</v>
      </c>
      <c r="C7889" s="147" t="s">
        <v>20221</v>
      </c>
      <c r="D7889" s="284" t="s">
        <v>897</v>
      </c>
      <c r="E7889" s="178">
        <v>2011</v>
      </c>
      <c r="F7889" s="178" t="s">
        <v>4520</v>
      </c>
      <c r="G7889" s="496"/>
      <c r="H7889" s="994" t="s">
        <v>20224</v>
      </c>
      <c r="I7889" s="11" t="s">
        <v>10723</v>
      </c>
      <c r="J7889" s="1285"/>
      <c r="K7889" s="1285"/>
      <c r="L7889" s="1285"/>
    </row>
    <row r="7890" spans="1:12" ht="11.15" customHeight="1">
      <c r="A7890" s="185"/>
      <c r="B7890" s="59" t="s">
        <v>21748</v>
      </c>
      <c r="C7890" s="147" t="s">
        <v>20221</v>
      </c>
      <c r="D7890" s="284" t="s">
        <v>897</v>
      </c>
      <c r="E7890" s="178">
        <v>2020</v>
      </c>
      <c r="F7890" s="178" t="s">
        <v>4520</v>
      </c>
      <c r="G7890" s="496"/>
      <c r="H7890" s="994" t="s">
        <v>20221</v>
      </c>
      <c r="I7890" s="11" t="s">
        <v>10724</v>
      </c>
      <c r="J7890" s="1285"/>
      <c r="K7890" s="1285"/>
      <c r="L7890" s="1285"/>
    </row>
    <row r="7891" spans="1:12" ht="11.15" customHeight="1">
      <c r="A7891" s="185"/>
      <c r="B7891" s="59" t="s">
        <v>21748</v>
      </c>
      <c r="C7891" s="147" t="s">
        <v>20221</v>
      </c>
      <c r="D7891" s="284" t="s">
        <v>897</v>
      </c>
      <c r="E7891" s="178">
        <v>2017</v>
      </c>
      <c r="F7891" s="178" t="s">
        <v>4520</v>
      </c>
      <c r="G7891" s="496"/>
      <c r="H7891" s="994" t="s">
        <v>20224</v>
      </c>
      <c r="I7891" s="11" t="s">
        <v>10725</v>
      </c>
      <c r="J7891" s="1285"/>
      <c r="K7891" s="1285"/>
      <c r="L7891" s="1285"/>
    </row>
    <row r="7892" spans="1:12" ht="11.15" customHeight="1">
      <c r="A7892" s="185"/>
      <c r="B7892" s="59" t="s">
        <v>21748</v>
      </c>
      <c r="C7892" s="147" t="s">
        <v>20221</v>
      </c>
      <c r="D7892" s="284" t="s">
        <v>897</v>
      </c>
      <c r="E7892" s="178">
        <v>2015</v>
      </c>
      <c r="F7892" s="178" t="s">
        <v>4520</v>
      </c>
      <c r="G7892" s="496"/>
      <c r="H7892" s="994" t="s">
        <v>20224</v>
      </c>
      <c r="I7892" s="11" t="s">
        <v>10726</v>
      </c>
      <c r="J7892" s="1285"/>
      <c r="K7892" s="1285"/>
      <c r="L7892" s="1285"/>
    </row>
    <row r="7893" spans="1:12" ht="11.15" customHeight="1">
      <c r="A7893" s="185"/>
      <c r="B7893" s="59" t="s">
        <v>21748</v>
      </c>
      <c r="C7893" s="147" t="s">
        <v>20221</v>
      </c>
      <c r="D7893" s="284" t="s">
        <v>897</v>
      </c>
      <c r="E7893" s="178">
        <v>2012</v>
      </c>
      <c r="F7893" s="178" t="s">
        <v>4520</v>
      </c>
      <c r="G7893" s="496"/>
      <c r="H7893" s="994" t="s">
        <v>20224</v>
      </c>
      <c r="I7893" s="11" t="s">
        <v>10727</v>
      </c>
      <c r="J7893" s="1285"/>
      <c r="K7893" s="1285"/>
      <c r="L7893" s="1285"/>
    </row>
    <row r="7894" spans="1:12" ht="11.15" customHeight="1">
      <c r="A7894" s="185"/>
      <c r="B7894" s="59" t="s">
        <v>21749</v>
      </c>
      <c r="C7894" s="147" t="s">
        <v>20221</v>
      </c>
      <c r="D7894" s="284" t="s">
        <v>897</v>
      </c>
      <c r="E7894" s="178">
        <v>2020</v>
      </c>
      <c r="F7894" s="178" t="s">
        <v>4520</v>
      </c>
      <c r="G7894" s="496"/>
      <c r="H7894" s="994" t="s">
        <v>20224</v>
      </c>
      <c r="I7894" s="11" t="s">
        <v>10728</v>
      </c>
      <c r="J7894" s="1285"/>
      <c r="K7894" s="1285"/>
      <c r="L7894" s="1285"/>
    </row>
    <row r="7895" spans="1:12" ht="11.15" customHeight="1">
      <c r="A7895" s="185"/>
      <c r="B7895" s="59" t="s">
        <v>21749</v>
      </c>
      <c r="C7895" s="147" t="s">
        <v>20221</v>
      </c>
      <c r="D7895" s="284" t="s">
        <v>897</v>
      </c>
      <c r="E7895" s="178">
        <v>2016</v>
      </c>
      <c r="F7895" s="178" t="s">
        <v>4520</v>
      </c>
      <c r="G7895" s="496"/>
      <c r="H7895" s="994" t="s">
        <v>20224</v>
      </c>
      <c r="I7895" s="11" t="s">
        <v>10729</v>
      </c>
      <c r="J7895" s="1285"/>
      <c r="K7895" s="1285"/>
      <c r="L7895" s="1285"/>
    </row>
    <row r="7896" spans="1:12" ht="11.15" customHeight="1">
      <c r="A7896" s="185"/>
      <c r="B7896" s="59" t="s">
        <v>21749</v>
      </c>
      <c r="C7896" s="147" t="s">
        <v>20221</v>
      </c>
      <c r="D7896" s="284" t="s">
        <v>897</v>
      </c>
      <c r="E7896" s="178">
        <v>2015</v>
      </c>
      <c r="F7896" s="178" t="s">
        <v>4520</v>
      </c>
      <c r="G7896" s="496"/>
      <c r="H7896" s="994" t="s">
        <v>20224</v>
      </c>
      <c r="I7896" s="11" t="s">
        <v>10730</v>
      </c>
      <c r="J7896" s="1285"/>
      <c r="K7896" s="1285"/>
      <c r="L7896" s="1285"/>
    </row>
    <row r="7897" spans="1:12" ht="11.15" customHeight="1">
      <c r="A7897" s="185"/>
      <c r="B7897" s="59" t="s">
        <v>21749</v>
      </c>
      <c r="C7897" s="147" t="s">
        <v>20221</v>
      </c>
      <c r="D7897" s="284" t="s">
        <v>897</v>
      </c>
      <c r="E7897" s="178">
        <v>2013</v>
      </c>
      <c r="F7897" s="178" t="s">
        <v>4520</v>
      </c>
      <c r="G7897" s="496"/>
      <c r="H7897" s="994" t="s">
        <v>20224</v>
      </c>
      <c r="I7897" s="11" t="s">
        <v>10731</v>
      </c>
      <c r="J7897" s="1285"/>
      <c r="K7897" s="1285"/>
      <c r="L7897" s="1285"/>
    </row>
    <row r="7898" spans="1:12" ht="11.15" customHeight="1">
      <c r="A7898" s="185"/>
      <c r="B7898" s="154" t="s">
        <v>10732</v>
      </c>
      <c r="C7898" s="147"/>
      <c r="D7898" s="129"/>
      <c r="E7898" s="185"/>
      <c r="F7898" s="185"/>
      <c r="G7898" s="185"/>
      <c r="H7898" s="185"/>
      <c r="I7898" s="11"/>
    </row>
    <row r="7899" spans="1:12" ht="11.15" customHeight="1">
      <c r="A7899" s="185"/>
      <c r="B7899" s="59" t="s">
        <v>21750</v>
      </c>
      <c r="C7899" s="147" t="s">
        <v>20221</v>
      </c>
      <c r="D7899" s="284" t="s">
        <v>897</v>
      </c>
      <c r="E7899" s="178">
        <v>2020</v>
      </c>
      <c r="F7899" s="178" t="s">
        <v>5257</v>
      </c>
      <c r="G7899" s="496"/>
      <c r="H7899" s="994" t="s">
        <v>20224</v>
      </c>
      <c r="I7899" s="11" t="s">
        <v>10733</v>
      </c>
      <c r="J7899" s="1285"/>
      <c r="K7899" s="1285"/>
      <c r="L7899" s="1285"/>
    </row>
    <row r="7900" spans="1:12" ht="11.15" customHeight="1">
      <c r="A7900" s="185"/>
      <c r="B7900" s="59" t="s">
        <v>21750</v>
      </c>
      <c r="C7900" s="147" t="s">
        <v>20221</v>
      </c>
      <c r="D7900" s="284" t="s">
        <v>897</v>
      </c>
      <c r="E7900" s="178">
        <v>2018</v>
      </c>
      <c r="F7900" s="178" t="s">
        <v>5257</v>
      </c>
      <c r="G7900" s="496"/>
      <c r="H7900" s="994" t="s">
        <v>20224</v>
      </c>
      <c r="I7900" s="11" t="s">
        <v>10734</v>
      </c>
      <c r="J7900" s="1285"/>
      <c r="K7900" s="1285"/>
      <c r="L7900" s="1285"/>
    </row>
    <row r="7901" spans="1:12" ht="11.15" customHeight="1">
      <c r="A7901" s="185"/>
      <c r="B7901" s="59" t="s">
        <v>21750</v>
      </c>
      <c r="C7901" s="147" t="s">
        <v>20221</v>
      </c>
      <c r="D7901" s="284" t="s">
        <v>897</v>
      </c>
      <c r="E7901" s="178">
        <v>2012</v>
      </c>
      <c r="F7901" s="178" t="s">
        <v>5257</v>
      </c>
      <c r="G7901" s="496"/>
      <c r="H7901" s="994" t="s">
        <v>20224</v>
      </c>
      <c r="I7901" s="11" t="s">
        <v>10735</v>
      </c>
      <c r="J7901" s="1285"/>
      <c r="K7901" s="1285"/>
      <c r="L7901" s="1285"/>
    </row>
    <row r="7902" spans="1:12" ht="11.15" customHeight="1">
      <c r="A7902" s="185"/>
      <c r="B7902" s="59" t="s">
        <v>21750</v>
      </c>
      <c r="C7902" s="147" t="s">
        <v>20221</v>
      </c>
      <c r="D7902" s="284" t="s">
        <v>897</v>
      </c>
      <c r="E7902" s="178">
        <v>2009</v>
      </c>
      <c r="F7902" s="178" t="s">
        <v>5257</v>
      </c>
      <c r="G7902" s="496"/>
      <c r="H7902" s="994" t="s">
        <v>20224</v>
      </c>
      <c r="I7902" s="11" t="s">
        <v>10736</v>
      </c>
      <c r="J7902" s="1285"/>
      <c r="K7902" s="1285"/>
      <c r="L7902" s="1285"/>
    </row>
    <row r="7903" spans="1:12" ht="11.15" customHeight="1">
      <c r="A7903" s="185"/>
      <c r="B7903" s="59" t="s">
        <v>21751</v>
      </c>
      <c r="C7903" s="147" t="s">
        <v>20221</v>
      </c>
      <c r="D7903" s="284" t="s">
        <v>897</v>
      </c>
      <c r="E7903" s="178">
        <v>2020</v>
      </c>
      <c r="F7903" s="178" t="s">
        <v>5257</v>
      </c>
      <c r="G7903" s="496"/>
      <c r="H7903" s="994" t="s">
        <v>20224</v>
      </c>
      <c r="I7903" s="11" t="s">
        <v>10737</v>
      </c>
      <c r="J7903" s="1285"/>
      <c r="K7903" s="1285"/>
      <c r="L7903" s="1285"/>
    </row>
    <row r="7904" spans="1:12" ht="11.15" customHeight="1">
      <c r="A7904" s="185"/>
      <c r="B7904" s="59" t="s">
        <v>21752</v>
      </c>
      <c r="C7904" s="147" t="s">
        <v>20221</v>
      </c>
      <c r="D7904" s="284" t="s">
        <v>897</v>
      </c>
      <c r="E7904" s="178">
        <v>2020</v>
      </c>
      <c r="F7904" s="178" t="s">
        <v>5257</v>
      </c>
      <c r="G7904" s="496"/>
      <c r="H7904" s="994" t="s">
        <v>20224</v>
      </c>
      <c r="I7904" s="11" t="s">
        <v>10738</v>
      </c>
      <c r="J7904" s="1285"/>
      <c r="K7904" s="1285"/>
      <c r="L7904" s="1285"/>
    </row>
    <row r="7905" spans="1:12" ht="11.15" customHeight="1">
      <c r="A7905" s="185"/>
      <c r="B7905" s="59" t="s">
        <v>21752</v>
      </c>
      <c r="C7905" s="147" t="s">
        <v>20221</v>
      </c>
      <c r="D7905" s="284" t="s">
        <v>897</v>
      </c>
      <c r="E7905" s="178">
        <v>2017</v>
      </c>
      <c r="F7905" s="178" t="s">
        <v>9678</v>
      </c>
      <c r="G7905" s="496"/>
      <c r="H7905" s="994" t="s">
        <v>20224</v>
      </c>
      <c r="I7905" s="11" t="s">
        <v>10739</v>
      </c>
      <c r="J7905" s="1285"/>
      <c r="K7905" s="1285"/>
      <c r="L7905" s="1285"/>
    </row>
    <row r="7906" spans="1:12" ht="11.15" customHeight="1">
      <c r="A7906" s="185"/>
      <c r="B7906" s="59" t="s">
        <v>21752</v>
      </c>
      <c r="C7906" s="147" t="s">
        <v>20221</v>
      </c>
      <c r="D7906" s="284" t="s">
        <v>897</v>
      </c>
      <c r="E7906" s="178">
        <v>2016</v>
      </c>
      <c r="F7906" s="178" t="s">
        <v>9678</v>
      </c>
      <c r="G7906" s="496"/>
      <c r="H7906" s="994" t="s">
        <v>20224</v>
      </c>
      <c r="I7906" s="11" t="s">
        <v>10740</v>
      </c>
      <c r="J7906" s="1285"/>
      <c r="K7906" s="1285"/>
      <c r="L7906" s="1285"/>
    </row>
    <row r="7907" spans="1:12" ht="11.15" customHeight="1" thickBot="1">
      <c r="A7907" s="185"/>
      <c r="B7907" s="90"/>
      <c r="C7907" s="147"/>
      <c r="D7907" s="161"/>
      <c r="E7907" s="36"/>
      <c r="F7907" s="183"/>
      <c r="G7907" s="497"/>
      <c r="H7907" s="34"/>
      <c r="I7907" s="11"/>
    </row>
    <row r="7908" spans="1:12" ht="11.15" customHeight="1" thickBot="1">
      <c r="A7908" s="184" t="s">
        <v>10741</v>
      </c>
      <c r="B7908" s="154" t="s">
        <v>10573</v>
      </c>
      <c r="C7908" s="147"/>
      <c r="D7908" s="161"/>
      <c r="E7908" s="36"/>
      <c r="F7908" s="183"/>
      <c r="G7908" s="497"/>
      <c r="H7908" s="34"/>
      <c r="I7908" s="11"/>
    </row>
    <row r="7909" spans="1:12" ht="11.15" customHeight="1">
      <c r="A7909" s="29" t="s">
        <v>10742</v>
      </c>
      <c r="B7909" s="59" t="s">
        <v>21734</v>
      </c>
      <c r="C7909" s="147" t="s">
        <v>20221</v>
      </c>
      <c r="D7909" s="284" t="s">
        <v>897</v>
      </c>
      <c r="E7909" s="178">
        <v>2023</v>
      </c>
      <c r="F7909" s="178" t="s">
        <v>4520</v>
      </c>
      <c r="G7909" s="496"/>
      <c r="H7909" s="994" t="s">
        <v>20221</v>
      </c>
      <c r="I7909" s="11" t="s">
        <v>10743</v>
      </c>
      <c r="J7909" s="1285"/>
      <c r="K7909" s="1285"/>
      <c r="L7909" s="1285"/>
    </row>
    <row r="7910" spans="1:12" ht="11.15" customHeight="1">
      <c r="A7910" s="181" t="s">
        <v>10744</v>
      </c>
      <c r="B7910" s="59" t="s">
        <v>21734</v>
      </c>
      <c r="C7910" s="147" t="s">
        <v>20221</v>
      </c>
      <c r="D7910" s="284" t="s">
        <v>897</v>
      </c>
      <c r="E7910" s="178">
        <v>2022</v>
      </c>
      <c r="F7910" s="178" t="s">
        <v>4520</v>
      </c>
      <c r="G7910" s="496"/>
      <c r="H7910" s="994" t="s">
        <v>20221</v>
      </c>
      <c r="I7910" s="11" t="s">
        <v>10745</v>
      </c>
      <c r="J7910" s="1285"/>
      <c r="K7910" s="1285"/>
      <c r="L7910" s="1285"/>
    </row>
    <row r="7911" spans="1:12" ht="10.5" customHeight="1">
      <c r="A7911" s="29" t="s">
        <v>10746</v>
      </c>
      <c r="B7911" s="59" t="s">
        <v>21734</v>
      </c>
      <c r="C7911" s="147" t="s">
        <v>20221</v>
      </c>
      <c r="D7911" s="284" t="s">
        <v>897</v>
      </c>
      <c r="E7911" s="178">
        <v>2021</v>
      </c>
      <c r="F7911" s="178" t="s">
        <v>4520</v>
      </c>
      <c r="G7911" s="496"/>
      <c r="H7911" s="994" t="s">
        <v>20224</v>
      </c>
      <c r="I7911" s="11" t="s">
        <v>10747</v>
      </c>
      <c r="J7911" s="1285"/>
      <c r="K7911" s="1285"/>
      <c r="L7911" s="1285"/>
    </row>
    <row r="7912" spans="1:12" ht="10.5" customHeight="1">
      <c r="A7912" s="770" t="s">
        <v>10748</v>
      </c>
      <c r="B7912" s="59" t="s">
        <v>21734</v>
      </c>
      <c r="C7912" s="147" t="s">
        <v>20221</v>
      </c>
      <c r="D7912" s="284" t="s">
        <v>897</v>
      </c>
      <c r="E7912" s="178">
        <v>2020</v>
      </c>
      <c r="F7912" s="178" t="s">
        <v>4520</v>
      </c>
      <c r="G7912" s="496"/>
      <c r="H7912" s="994" t="s">
        <v>20224</v>
      </c>
      <c r="I7912" s="11" t="s">
        <v>10749</v>
      </c>
      <c r="J7912" s="1285"/>
      <c r="K7912" s="1285"/>
      <c r="L7912" s="1285"/>
    </row>
    <row r="7913" spans="1:12" ht="10.5" customHeight="1">
      <c r="A7913" s="162" t="s">
        <v>10750</v>
      </c>
      <c r="B7913" s="154" t="s">
        <v>10603</v>
      </c>
      <c r="C7913" s="147"/>
      <c r="D7913" s="284"/>
      <c r="E7913" s="178"/>
      <c r="F7913" s="178"/>
      <c r="G7913" s="496"/>
      <c r="H7913" s="994"/>
      <c r="I7913" s="11"/>
      <c r="J7913" s="1285"/>
      <c r="K7913" s="1285"/>
      <c r="L7913" s="1285"/>
    </row>
    <row r="7914" spans="1:12" ht="10.5" customHeight="1">
      <c r="A7914" s="162" t="s">
        <v>10751</v>
      </c>
      <c r="B7914" s="59" t="s">
        <v>21753</v>
      </c>
      <c r="C7914" s="147" t="s">
        <v>20221</v>
      </c>
      <c r="D7914" s="284" t="s">
        <v>897</v>
      </c>
      <c r="E7914" s="178">
        <v>2021</v>
      </c>
      <c r="F7914" s="178" t="s">
        <v>4520</v>
      </c>
      <c r="G7914" s="496"/>
      <c r="H7914" s="994" t="s">
        <v>20221</v>
      </c>
      <c r="I7914" s="11" t="s">
        <v>10752</v>
      </c>
      <c r="J7914" s="1285"/>
      <c r="K7914" s="1285"/>
      <c r="L7914" s="1285"/>
    </row>
    <row r="7915" spans="1:12" ht="10.5" customHeight="1">
      <c r="A7915" s="129" t="s">
        <v>1077</v>
      </c>
      <c r="B7915" s="59" t="s">
        <v>21753</v>
      </c>
      <c r="C7915" s="147" t="s">
        <v>20221</v>
      </c>
      <c r="D7915" s="284" t="s">
        <v>897</v>
      </c>
      <c r="E7915" s="178">
        <v>2020</v>
      </c>
      <c r="F7915" s="178" t="s">
        <v>4520</v>
      </c>
      <c r="G7915" s="496"/>
      <c r="H7915" s="994" t="s">
        <v>20221</v>
      </c>
      <c r="I7915" s="11" t="s">
        <v>10753</v>
      </c>
      <c r="J7915" s="1285"/>
      <c r="K7915" s="1285"/>
      <c r="L7915" s="1285"/>
    </row>
    <row r="7916" spans="1:12" ht="10.5" customHeight="1">
      <c r="A7916" s="162" t="s">
        <v>10754</v>
      </c>
      <c r="B7916" s="59" t="s">
        <v>21753</v>
      </c>
      <c r="C7916" s="147" t="s">
        <v>20221</v>
      </c>
      <c r="D7916" s="284" t="s">
        <v>897</v>
      </c>
      <c r="E7916" s="178">
        <v>2019</v>
      </c>
      <c r="F7916" s="178" t="s">
        <v>4520</v>
      </c>
      <c r="G7916" s="496"/>
      <c r="H7916" s="994" t="s">
        <v>20224</v>
      </c>
      <c r="I7916" s="11" t="s">
        <v>10755</v>
      </c>
      <c r="J7916" s="1285"/>
      <c r="K7916" s="1285"/>
      <c r="L7916" s="1285"/>
    </row>
    <row r="7917" spans="1:12" ht="10.5" customHeight="1">
      <c r="A7917" s="162" t="s">
        <v>10756</v>
      </c>
      <c r="B7917" s="59" t="s">
        <v>21754</v>
      </c>
      <c r="C7917" s="147" t="s">
        <v>20221</v>
      </c>
      <c r="D7917" s="284" t="s">
        <v>897</v>
      </c>
      <c r="E7917" s="178">
        <v>2021</v>
      </c>
      <c r="F7917" s="178" t="s">
        <v>4520</v>
      </c>
      <c r="G7917" s="496"/>
      <c r="H7917" s="994" t="s">
        <v>20221</v>
      </c>
      <c r="I7917" s="11" t="s">
        <v>10757</v>
      </c>
      <c r="J7917" s="1285"/>
      <c r="K7917" s="1285"/>
      <c r="L7917" s="1285"/>
    </row>
    <row r="7918" spans="1:12" ht="10.5" customHeight="1">
      <c r="A7918" s="162" t="s">
        <v>10758</v>
      </c>
      <c r="B7918" s="59" t="s">
        <v>21754</v>
      </c>
      <c r="C7918" s="147" t="s">
        <v>20221</v>
      </c>
      <c r="D7918" s="284" t="s">
        <v>897</v>
      </c>
      <c r="E7918" s="178">
        <v>2020</v>
      </c>
      <c r="F7918" s="178" t="s">
        <v>4520</v>
      </c>
      <c r="G7918" s="496"/>
      <c r="H7918" s="994" t="s">
        <v>20221</v>
      </c>
      <c r="I7918" s="11" t="s">
        <v>10759</v>
      </c>
      <c r="J7918" s="1285"/>
      <c r="K7918" s="1285"/>
      <c r="L7918" s="1285"/>
    </row>
    <row r="7919" spans="1:12" ht="10.5" customHeight="1">
      <c r="A7919" s="129" t="s">
        <v>10760</v>
      </c>
      <c r="B7919" s="59" t="s">
        <v>21754</v>
      </c>
      <c r="C7919" s="147" t="s">
        <v>20221</v>
      </c>
      <c r="D7919" s="284" t="s">
        <v>897</v>
      </c>
      <c r="E7919" s="178">
        <v>2019</v>
      </c>
      <c r="F7919" s="178" t="s">
        <v>4520</v>
      </c>
      <c r="G7919" s="496"/>
      <c r="H7919" s="994" t="s">
        <v>20221</v>
      </c>
      <c r="I7919" s="11" t="s">
        <v>10761</v>
      </c>
      <c r="J7919" s="1285"/>
      <c r="K7919" s="1285"/>
      <c r="L7919" s="1285"/>
    </row>
    <row r="7920" spans="1:12" ht="10.5" customHeight="1">
      <c r="A7920" s="129" t="s">
        <v>10762</v>
      </c>
      <c r="B7920" s="59" t="s">
        <v>21754</v>
      </c>
      <c r="C7920" s="147" t="s">
        <v>20221</v>
      </c>
      <c r="D7920" s="284" t="s">
        <v>897</v>
      </c>
      <c r="E7920" s="178">
        <v>2018</v>
      </c>
      <c r="F7920" s="178" t="s">
        <v>4520</v>
      </c>
      <c r="G7920" s="496"/>
      <c r="H7920" s="994" t="s">
        <v>20224</v>
      </c>
      <c r="I7920" s="11" t="s">
        <v>10763</v>
      </c>
      <c r="J7920" s="1285"/>
      <c r="K7920" s="1285"/>
      <c r="L7920" s="1285"/>
    </row>
    <row r="7921" spans="1:12" ht="10.5" customHeight="1">
      <c r="A7921" s="162"/>
      <c r="B7921" s="59" t="s">
        <v>21754</v>
      </c>
      <c r="C7921" s="147" t="s">
        <v>20221</v>
      </c>
      <c r="D7921" s="284" t="s">
        <v>897</v>
      </c>
      <c r="E7921" s="178">
        <v>2017</v>
      </c>
      <c r="F7921" s="178" t="s">
        <v>4520</v>
      </c>
      <c r="G7921" s="496"/>
      <c r="H7921" s="994" t="s">
        <v>20224</v>
      </c>
      <c r="I7921" s="11" t="s">
        <v>10764</v>
      </c>
      <c r="J7921" s="1285"/>
      <c r="K7921" s="1285"/>
      <c r="L7921" s="1285"/>
    </row>
    <row r="7922" spans="1:12" ht="10.5" customHeight="1">
      <c r="A7922" s="129"/>
      <c r="B7922" s="154" t="s">
        <v>10732</v>
      </c>
      <c r="C7922" s="147"/>
      <c r="D7922" s="129"/>
      <c r="E7922" s="185"/>
      <c r="F7922" s="185"/>
      <c r="G7922" s="185"/>
      <c r="H7922" s="185"/>
      <c r="I7922" s="11"/>
      <c r="J7922" s="1285"/>
      <c r="K7922" s="1285"/>
      <c r="L7922" s="1285"/>
    </row>
    <row r="7923" spans="1:12" ht="10.5" customHeight="1">
      <c r="A7923" s="129"/>
      <c r="B7923" s="59" t="s">
        <v>21755</v>
      </c>
      <c r="C7923" s="147" t="s">
        <v>20221</v>
      </c>
      <c r="D7923" s="284" t="s">
        <v>897</v>
      </c>
      <c r="E7923" s="178">
        <v>2021</v>
      </c>
      <c r="F7923" s="178" t="s">
        <v>11931</v>
      </c>
      <c r="G7923" s="496"/>
      <c r="H7923" s="994" t="s">
        <v>20224</v>
      </c>
      <c r="I7923" s="11" t="s">
        <v>10765</v>
      </c>
      <c r="J7923" s="1285"/>
      <c r="K7923" s="1285"/>
      <c r="L7923" s="1285"/>
    </row>
    <row r="7924" spans="1:12" ht="10.5" customHeight="1">
      <c r="A7924" s="129"/>
      <c r="B7924" s="59" t="s">
        <v>21755</v>
      </c>
      <c r="C7924" s="147" t="s">
        <v>20221</v>
      </c>
      <c r="D7924" s="284" t="s">
        <v>897</v>
      </c>
      <c r="E7924" s="178">
        <v>2020</v>
      </c>
      <c r="F7924" s="178" t="s">
        <v>11931</v>
      </c>
      <c r="G7924" s="496"/>
      <c r="H7924" s="994" t="s">
        <v>3907</v>
      </c>
      <c r="I7924" s="11" t="s">
        <v>10766</v>
      </c>
      <c r="J7924" s="1285"/>
      <c r="K7924" s="1285"/>
      <c r="L7924" s="1285"/>
    </row>
    <row r="7925" spans="1:12" ht="10.5" customHeight="1">
      <c r="A7925" s="129"/>
      <c r="B7925" s="59" t="s">
        <v>21755</v>
      </c>
      <c r="C7925" s="147" t="s">
        <v>20221</v>
      </c>
      <c r="D7925" s="284" t="s">
        <v>897</v>
      </c>
      <c r="E7925" s="178">
        <v>2018</v>
      </c>
      <c r="F7925" s="178" t="s">
        <v>11931</v>
      </c>
      <c r="G7925" s="496"/>
      <c r="H7925" s="994" t="s">
        <v>3907</v>
      </c>
      <c r="I7925" s="11" t="s">
        <v>10767</v>
      </c>
      <c r="J7925" s="1285"/>
      <c r="K7925" s="1285"/>
      <c r="L7925" s="1285"/>
    </row>
    <row r="7926" spans="1:12" ht="10.5" customHeight="1">
      <c r="A7926" s="129"/>
      <c r="B7926" s="59" t="s">
        <v>21755</v>
      </c>
      <c r="C7926" s="147" t="s">
        <v>20221</v>
      </c>
      <c r="D7926" s="284" t="s">
        <v>897</v>
      </c>
      <c r="E7926" s="178">
        <v>2017</v>
      </c>
      <c r="F7926" s="178" t="s">
        <v>11931</v>
      </c>
      <c r="G7926" s="496"/>
      <c r="H7926" s="994" t="s">
        <v>3907</v>
      </c>
      <c r="I7926" s="11" t="s">
        <v>10768</v>
      </c>
      <c r="J7926" s="1285"/>
      <c r="K7926" s="1285"/>
      <c r="L7926" s="1285"/>
    </row>
    <row r="7927" spans="1:12" ht="10.5" customHeight="1">
      <c r="A7927" s="129"/>
      <c r="B7927" s="59"/>
      <c r="C7927" s="147"/>
      <c r="D7927" s="284"/>
      <c r="E7927" s="178"/>
      <c r="F7927" s="178"/>
      <c r="G7927" s="496"/>
      <c r="H7927" s="994"/>
      <c r="I7927" s="11"/>
      <c r="J7927" s="1285"/>
      <c r="K7927" s="1285"/>
      <c r="L7927" s="1285"/>
    </row>
    <row r="7928" spans="1:12" ht="10.5" customHeight="1">
      <c r="A7928" s="129"/>
      <c r="B7928" s="146" t="s">
        <v>10769</v>
      </c>
      <c r="C7928" s="147"/>
      <c r="D7928" s="161"/>
      <c r="E7928" s="36"/>
      <c r="F7928" s="183"/>
      <c r="G7928" s="1181"/>
      <c r="H7928" s="34"/>
      <c r="I7928" s="11"/>
    </row>
    <row r="7929" spans="1:12" ht="9" customHeight="1">
      <c r="A7929" s="129"/>
      <c r="B7929" s="150" t="s">
        <v>10770</v>
      </c>
      <c r="C7929" s="147"/>
      <c r="D7929" s="161"/>
      <c r="E7929" s="36"/>
      <c r="F7929" s="183"/>
      <c r="G7929" s="1181"/>
      <c r="H7929" s="34"/>
      <c r="I7929" s="11"/>
    </row>
    <row r="7930" spans="1:12" ht="9" customHeight="1" thickBot="1">
      <c r="A7930" s="137"/>
      <c r="B7930" s="150" t="s">
        <v>10771</v>
      </c>
      <c r="C7930" s="147"/>
      <c r="D7930" s="362"/>
      <c r="E7930" s="137"/>
      <c r="F7930" s="137"/>
      <c r="G7930" s="137"/>
      <c r="H7930" s="137"/>
      <c r="I7930" s="11"/>
    </row>
    <row r="7931" spans="1:12" ht="11.15" customHeight="1" thickBot="1">
      <c r="A7931" s="184" t="s">
        <v>10772</v>
      </c>
      <c r="B7931" s="154" t="s">
        <v>10773</v>
      </c>
      <c r="C7931" s="147"/>
      <c r="D7931" s="161"/>
      <c r="E7931" s="36"/>
      <c r="F7931" s="178"/>
      <c r="G7931" s="60"/>
      <c r="H7931" s="36"/>
      <c r="I7931" s="11"/>
    </row>
    <row r="7932" spans="1:12" ht="10.5" customHeight="1">
      <c r="A7932" s="29" t="s">
        <v>10774</v>
      </c>
      <c r="B7932" s="59" t="s">
        <v>18936</v>
      </c>
      <c r="C7932" s="147" t="s">
        <v>20221</v>
      </c>
      <c r="D7932" s="701" t="s">
        <v>1129</v>
      </c>
      <c r="E7932" s="178">
        <v>2021</v>
      </c>
      <c r="F7932" s="178" t="s">
        <v>4520</v>
      </c>
      <c r="G7932" s="496"/>
      <c r="H7932" s="994" t="s">
        <v>20277</v>
      </c>
      <c r="I7932" s="11" t="s">
        <v>10775</v>
      </c>
      <c r="J7932" s="1285"/>
      <c r="K7932" s="1285"/>
      <c r="L7932" s="1285"/>
    </row>
    <row r="7933" spans="1:12" ht="10.5" customHeight="1">
      <c r="A7933" s="29" t="s">
        <v>10776</v>
      </c>
      <c r="B7933" s="154" t="s">
        <v>10573</v>
      </c>
      <c r="C7933" s="147"/>
      <c r="D7933" s="161"/>
      <c r="E7933" s="36"/>
      <c r="F7933" s="178"/>
      <c r="G7933" s="671"/>
      <c r="H7933" s="36"/>
      <c r="I7933" s="11"/>
    </row>
    <row r="7934" spans="1:12" ht="10.5" customHeight="1">
      <c r="A7934" s="181" t="s">
        <v>10777</v>
      </c>
      <c r="B7934" s="59" t="s">
        <v>21756</v>
      </c>
      <c r="C7934" s="147" t="s">
        <v>20221</v>
      </c>
      <c r="D7934" s="284" t="s">
        <v>897</v>
      </c>
      <c r="E7934" s="178">
        <v>2023</v>
      </c>
      <c r="F7934" s="178" t="s">
        <v>4520</v>
      </c>
      <c r="G7934" s="496"/>
      <c r="H7934" s="994" t="s">
        <v>20221</v>
      </c>
      <c r="I7934" s="11" t="s">
        <v>10778</v>
      </c>
      <c r="J7934" s="1285"/>
      <c r="K7934" s="1285"/>
      <c r="L7934" s="1285"/>
    </row>
    <row r="7935" spans="1:12" ht="10.5" customHeight="1">
      <c r="A7935" s="129" t="s">
        <v>951</v>
      </c>
      <c r="B7935" s="59" t="s">
        <v>21719</v>
      </c>
      <c r="C7935" s="147" t="s">
        <v>20221</v>
      </c>
      <c r="D7935" s="284" t="s">
        <v>897</v>
      </c>
      <c r="E7935" s="178">
        <v>2019</v>
      </c>
      <c r="F7935" s="178" t="s">
        <v>4520</v>
      </c>
      <c r="G7935" s="496"/>
      <c r="H7935" s="994" t="s">
        <v>20221</v>
      </c>
      <c r="I7935" s="11" t="s">
        <v>10779</v>
      </c>
      <c r="J7935" s="1285"/>
      <c r="K7935" s="1285"/>
      <c r="L7935" s="1285"/>
    </row>
    <row r="7936" spans="1:12" ht="10.5" customHeight="1">
      <c r="A7936" s="162" t="s">
        <v>10780</v>
      </c>
      <c r="B7936" s="59" t="s">
        <v>21757</v>
      </c>
      <c r="C7936" s="147" t="s">
        <v>20221</v>
      </c>
      <c r="D7936" s="284" t="s">
        <v>897</v>
      </c>
      <c r="E7936" s="178">
        <v>2020</v>
      </c>
      <c r="F7936" s="178" t="s">
        <v>4520</v>
      </c>
      <c r="G7936" s="496"/>
      <c r="H7936" s="994" t="s">
        <v>20221</v>
      </c>
      <c r="I7936" s="11" t="s">
        <v>10781</v>
      </c>
      <c r="J7936" s="1285"/>
      <c r="K7936" s="1285"/>
      <c r="L7936" s="1285"/>
    </row>
    <row r="7937" spans="1:12" ht="10.5" customHeight="1">
      <c r="A7937" s="162" t="s">
        <v>10782</v>
      </c>
      <c r="B7937" s="59" t="s">
        <v>21757</v>
      </c>
      <c r="C7937" s="147" t="s">
        <v>20221</v>
      </c>
      <c r="D7937" s="284" t="s">
        <v>897</v>
      </c>
      <c r="E7937" s="178">
        <v>2019</v>
      </c>
      <c r="F7937" s="178" t="s">
        <v>4520</v>
      </c>
      <c r="G7937" s="496"/>
      <c r="H7937" s="994" t="s">
        <v>20221</v>
      </c>
      <c r="I7937" s="11" t="s">
        <v>10783</v>
      </c>
      <c r="J7937" s="1285"/>
      <c r="K7937" s="1285"/>
      <c r="L7937" s="1285"/>
    </row>
    <row r="7938" spans="1:12" ht="10.5" customHeight="1">
      <c r="A7938" s="162" t="s">
        <v>10784</v>
      </c>
      <c r="B7938" s="59" t="s">
        <v>21758</v>
      </c>
      <c r="C7938" s="147" t="s">
        <v>20221</v>
      </c>
      <c r="D7938" s="284" t="s">
        <v>897</v>
      </c>
      <c r="E7938" s="178">
        <v>2019</v>
      </c>
      <c r="F7938" s="178" t="s">
        <v>4520</v>
      </c>
      <c r="G7938" s="496"/>
      <c r="H7938" s="994" t="s">
        <v>20221</v>
      </c>
      <c r="I7938" s="11" t="s">
        <v>10785</v>
      </c>
      <c r="J7938" s="1285"/>
      <c r="K7938" s="1285"/>
      <c r="L7938" s="1285"/>
    </row>
    <row r="7939" spans="1:12" ht="10.5" customHeight="1">
      <c r="A7939" s="162" t="s">
        <v>10786</v>
      </c>
      <c r="B7939" s="59" t="s">
        <v>21758</v>
      </c>
      <c r="C7939" s="147" t="s">
        <v>20221</v>
      </c>
      <c r="D7939" s="284" t="s">
        <v>897</v>
      </c>
      <c r="E7939" s="178">
        <v>2018</v>
      </c>
      <c r="F7939" s="178" t="s">
        <v>4520</v>
      </c>
      <c r="G7939" s="496"/>
      <c r="H7939" s="994" t="s">
        <v>20224</v>
      </c>
      <c r="I7939" s="11" t="s">
        <v>10787</v>
      </c>
      <c r="J7939" s="1285"/>
      <c r="K7939" s="1285"/>
      <c r="L7939" s="1285"/>
    </row>
    <row r="7940" spans="1:12" ht="10.5" customHeight="1">
      <c r="A7940" s="162" t="s">
        <v>10788</v>
      </c>
      <c r="B7940" s="59" t="s">
        <v>21759</v>
      </c>
      <c r="C7940" s="147" t="s">
        <v>20221</v>
      </c>
      <c r="D7940" s="284" t="s">
        <v>897</v>
      </c>
      <c r="E7940" s="178">
        <v>2021</v>
      </c>
      <c r="F7940" s="178" t="s">
        <v>4520</v>
      </c>
      <c r="G7940" s="496"/>
      <c r="H7940" s="994" t="s">
        <v>20221</v>
      </c>
      <c r="I7940" s="11" t="s">
        <v>10789</v>
      </c>
      <c r="J7940" s="1285"/>
      <c r="K7940" s="1285"/>
      <c r="L7940" s="1285"/>
    </row>
    <row r="7941" spans="1:12" ht="10.5" customHeight="1">
      <c r="A7941" s="162" t="s">
        <v>10790</v>
      </c>
      <c r="B7941" s="59" t="s">
        <v>21759</v>
      </c>
      <c r="C7941" s="147" t="s">
        <v>20221</v>
      </c>
      <c r="D7941" s="284" t="s">
        <v>897</v>
      </c>
      <c r="E7941" s="178">
        <v>2020</v>
      </c>
      <c r="F7941" s="178" t="s">
        <v>4520</v>
      </c>
      <c r="G7941" s="496"/>
      <c r="H7941" s="994" t="s">
        <v>20221</v>
      </c>
      <c r="I7941" s="11" t="s">
        <v>10791</v>
      </c>
      <c r="J7941" s="1285"/>
      <c r="K7941" s="1285"/>
      <c r="L7941" s="1285"/>
    </row>
    <row r="7942" spans="1:12" ht="10.5" customHeight="1">
      <c r="A7942" s="162" t="s">
        <v>10792</v>
      </c>
      <c r="B7942" s="154" t="s">
        <v>10794</v>
      </c>
      <c r="C7942" s="147"/>
      <c r="D7942" s="161"/>
      <c r="E7942" s="36"/>
      <c r="F7942" s="178"/>
      <c r="G7942" s="671"/>
      <c r="H7942" s="36"/>
      <c r="I7942" s="11"/>
    </row>
    <row r="7943" spans="1:12" ht="10.5" customHeight="1">
      <c r="A7943" s="292" t="s">
        <v>10793</v>
      </c>
      <c r="B7943" s="59" t="s">
        <v>351</v>
      </c>
      <c r="C7943" s="147" t="s">
        <v>20221</v>
      </c>
      <c r="D7943" s="284" t="s">
        <v>897</v>
      </c>
      <c r="E7943" s="178">
        <v>2019</v>
      </c>
      <c r="F7943" s="178" t="s">
        <v>4520</v>
      </c>
      <c r="G7943" s="496"/>
      <c r="H7943" s="994" t="s">
        <v>20221</v>
      </c>
      <c r="I7943" s="11" t="s">
        <v>10796</v>
      </c>
      <c r="J7943" s="1285"/>
      <c r="K7943" s="1285"/>
      <c r="L7943" s="1285"/>
    </row>
    <row r="7944" spans="1:12" ht="10.5" customHeight="1">
      <c r="A7944" s="291" t="s">
        <v>10795</v>
      </c>
      <c r="B7944" s="59" t="s">
        <v>351</v>
      </c>
      <c r="C7944" s="147" t="s">
        <v>20221</v>
      </c>
      <c r="D7944" s="284" t="s">
        <v>897</v>
      </c>
      <c r="E7944" s="178">
        <v>2018</v>
      </c>
      <c r="F7944" s="178" t="s">
        <v>4520</v>
      </c>
      <c r="G7944" s="496"/>
      <c r="H7944" s="994" t="s">
        <v>20221</v>
      </c>
      <c r="I7944" s="11" t="s">
        <v>10797</v>
      </c>
      <c r="J7944" s="1285"/>
      <c r="K7944" s="1285"/>
      <c r="L7944" s="1285"/>
    </row>
    <row r="7945" spans="1:12" ht="10.5" customHeight="1">
      <c r="A7945" s="129" t="s">
        <v>1077</v>
      </c>
      <c r="B7945" s="59" t="s">
        <v>351</v>
      </c>
      <c r="C7945" s="147" t="s">
        <v>20221</v>
      </c>
      <c r="D7945" s="284" t="s">
        <v>897</v>
      </c>
      <c r="E7945" s="178">
        <v>2017</v>
      </c>
      <c r="F7945" s="178" t="s">
        <v>4520</v>
      </c>
      <c r="G7945" s="496"/>
      <c r="H7945" s="994" t="s">
        <v>20221</v>
      </c>
      <c r="I7945" s="11" t="s">
        <v>10799</v>
      </c>
      <c r="J7945" s="1285"/>
      <c r="K7945" s="1285"/>
      <c r="L7945" s="1285"/>
    </row>
    <row r="7946" spans="1:12" ht="10.5" customHeight="1">
      <c r="A7946" s="162" t="s">
        <v>10798</v>
      </c>
      <c r="B7946" s="59" t="s">
        <v>21760</v>
      </c>
      <c r="C7946" s="147" t="s">
        <v>20221</v>
      </c>
      <c r="D7946" s="284" t="s">
        <v>897</v>
      </c>
      <c r="E7946" s="178">
        <v>2017</v>
      </c>
      <c r="F7946" s="178" t="s">
        <v>9678</v>
      </c>
      <c r="G7946" s="496"/>
      <c r="H7946" s="994" t="s">
        <v>20221</v>
      </c>
      <c r="I7946" s="11" t="s">
        <v>10801</v>
      </c>
      <c r="J7946" s="1285"/>
      <c r="K7946" s="1285"/>
      <c r="L7946" s="1285"/>
    </row>
    <row r="7947" spans="1:12" ht="10.5" customHeight="1">
      <c r="A7947" s="162" t="s">
        <v>10800</v>
      </c>
      <c r="B7947" s="154" t="s">
        <v>10803</v>
      </c>
      <c r="C7947" s="147"/>
      <c r="D7947" s="161"/>
      <c r="E7947" s="36"/>
      <c r="F7947" s="178"/>
      <c r="G7947" s="671"/>
      <c r="H7947" s="36"/>
      <c r="I7947" s="11"/>
    </row>
    <row r="7948" spans="1:12" ht="10.5" customHeight="1">
      <c r="A7948" s="162" t="s">
        <v>10802</v>
      </c>
      <c r="B7948" s="59" t="s">
        <v>21761</v>
      </c>
      <c r="C7948" s="147" t="s">
        <v>20221</v>
      </c>
      <c r="D7948" s="284" t="s">
        <v>897</v>
      </c>
      <c r="E7948" s="178">
        <v>2019</v>
      </c>
      <c r="F7948" s="178" t="s">
        <v>4520</v>
      </c>
      <c r="G7948" s="496"/>
      <c r="H7948" s="994" t="s">
        <v>20221</v>
      </c>
      <c r="I7948" s="11" t="s">
        <v>10805</v>
      </c>
      <c r="J7948" s="1285"/>
      <c r="K7948" s="1285"/>
      <c r="L7948" s="1285"/>
    </row>
    <row r="7949" spans="1:12" ht="10.5" customHeight="1">
      <c r="A7949" s="162" t="s">
        <v>10804</v>
      </c>
      <c r="B7949" s="59" t="s">
        <v>21761</v>
      </c>
      <c r="C7949" s="147" t="s">
        <v>20221</v>
      </c>
      <c r="D7949" s="284" t="s">
        <v>897</v>
      </c>
      <c r="E7949" s="178">
        <v>2018</v>
      </c>
      <c r="F7949" s="178" t="s">
        <v>4520</v>
      </c>
      <c r="G7949" s="496"/>
      <c r="H7949" s="994" t="s">
        <v>20221</v>
      </c>
      <c r="I7949" s="11" t="s">
        <v>10807</v>
      </c>
      <c r="J7949" s="1285"/>
      <c r="K7949" s="1285"/>
      <c r="L7949" s="1285"/>
    </row>
    <row r="7950" spans="1:12" ht="10.5" customHeight="1">
      <c r="A7950" s="162" t="s">
        <v>10806</v>
      </c>
      <c r="B7950" s="59" t="s">
        <v>21761</v>
      </c>
      <c r="C7950" s="147" t="s">
        <v>20221</v>
      </c>
      <c r="D7950" s="284" t="s">
        <v>897</v>
      </c>
      <c r="E7950" s="178">
        <v>2017</v>
      </c>
      <c r="F7950" s="178" t="s">
        <v>4520</v>
      </c>
      <c r="G7950" s="496"/>
      <c r="H7950" s="994" t="s">
        <v>20277</v>
      </c>
      <c r="I7950" s="11" t="s">
        <v>10809</v>
      </c>
      <c r="J7950" s="1285"/>
      <c r="K7950" s="1285"/>
      <c r="L7950" s="1285"/>
    </row>
    <row r="7951" spans="1:12" ht="10.5" customHeight="1">
      <c r="A7951" s="162" t="s">
        <v>10808</v>
      </c>
      <c r="B7951" s="59" t="s">
        <v>21762</v>
      </c>
      <c r="C7951" s="147" t="s">
        <v>20221</v>
      </c>
      <c r="D7951" s="284" t="s">
        <v>897</v>
      </c>
      <c r="E7951" s="178">
        <v>2018</v>
      </c>
      <c r="F7951" s="178" t="s">
        <v>23411</v>
      </c>
      <c r="G7951" s="496"/>
      <c r="H7951" s="994" t="s">
        <v>20224</v>
      </c>
      <c r="I7951" s="11" t="s">
        <v>10811</v>
      </c>
      <c r="J7951" s="1285"/>
      <c r="K7951" s="1285"/>
      <c r="L7951" s="1285"/>
    </row>
    <row r="7952" spans="1:12" ht="10.5" customHeight="1">
      <c r="A7952" s="162" t="s">
        <v>10810</v>
      </c>
      <c r="B7952" s="59" t="s">
        <v>21762</v>
      </c>
      <c r="C7952" s="147" t="s">
        <v>20221</v>
      </c>
      <c r="D7952" s="284" t="s">
        <v>897</v>
      </c>
      <c r="E7952" s="178">
        <v>2017</v>
      </c>
      <c r="F7952" s="178" t="s">
        <v>9678</v>
      </c>
      <c r="G7952" s="496"/>
      <c r="H7952" s="994" t="s">
        <v>20221</v>
      </c>
      <c r="I7952" s="11" t="s">
        <v>10813</v>
      </c>
      <c r="J7952" s="1285"/>
      <c r="K7952" s="1285"/>
      <c r="L7952" s="1285"/>
    </row>
    <row r="7953" spans="1:12" ht="10.5" customHeight="1">
      <c r="A7953" s="162" t="s">
        <v>10812</v>
      </c>
      <c r="B7953" s="154" t="s">
        <v>10815</v>
      </c>
      <c r="C7953" s="147"/>
      <c r="D7953" s="161"/>
      <c r="E7953" s="36"/>
      <c r="F7953" s="178"/>
      <c r="G7953" s="671"/>
      <c r="H7953" s="36"/>
      <c r="I7953" s="11"/>
    </row>
    <row r="7954" spans="1:12" ht="10.5" customHeight="1">
      <c r="A7954" s="162" t="s">
        <v>10814</v>
      </c>
      <c r="B7954" s="59" t="s">
        <v>21763</v>
      </c>
      <c r="C7954" s="147" t="s">
        <v>20221</v>
      </c>
      <c r="D7954" s="284" t="s">
        <v>897</v>
      </c>
      <c r="E7954" s="178">
        <v>2018</v>
      </c>
      <c r="F7954" s="178" t="s">
        <v>4520</v>
      </c>
      <c r="G7954" s="496"/>
      <c r="H7954" s="994" t="s">
        <v>20221</v>
      </c>
      <c r="I7954" s="11" t="s">
        <v>10817</v>
      </c>
      <c r="J7954" s="1285"/>
      <c r="K7954" s="1285"/>
      <c r="L7954" s="1285"/>
    </row>
    <row r="7955" spans="1:12" ht="10.5" customHeight="1">
      <c r="A7955" s="162" t="s">
        <v>10816</v>
      </c>
      <c r="B7955" s="59" t="s">
        <v>21763</v>
      </c>
      <c r="C7955" s="147" t="s">
        <v>20221</v>
      </c>
      <c r="D7955" s="284" t="s">
        <v>897</v>
      </c>
      <c r="E7955" s="178">
        <v>2017</v>
      </c>
      <c r="F7955" s="178" t="s">
        <v>4520</v>
      </c>
      <c r="G7955" s="496"/>
      <c r="H7955" s="994" t="s">
        <v>20221</v>
      </c>
      <c r="I7955" s="11" t="s">
        <v>10819</v>
      </c>
      <c r="J7955" s="1285"/>
      <c r="K7955" s="1285"/>
      <c r="L7955" s="1285"/>
    </row>
    <row r="7956" spans="1:12" ht="10.5" customHeight="1">
      <c r="A7956" s="162" t="s">
        <v>10818</v>
      </c>
      <c r="B7956" s="90"/>
      <c r="C7956" s="147"/>
      <c r="D7956" s="161"/>
      <c r="E7956" s="36"/>
      <c r="F7956" s="178"/>
      <c r="G7956" s="671"/>
      <c r="H7956" s="36"/>
      <c r="I7956" s="11"/>
    </row>
    <row r="7957" spans="1:12" ht="10.5" customHeight="1">
      <c r="A7957" s="162" t="s">
        <v>10820</v>
      </c>
      <c r="B7957" s="90"/>
      <c r="C7957" s="147"/>
      <c r="D7957" s="161"/>
      <c r="E7957" s="36"/>
      <c r="F7957" s="178"/>
      <c r="G7957" s="671"/>
      <c r="H7957" s="36"/>
      <c r="I7957" s="11"/>
    </row>
    <row r="7958" spans="1:12" ht="10.5" customHeight="1">
      <c r="A7958" s="162" t="s">
        <v>10821</v>
      </c>
      <c r="B7958" s="90"/>
      <c r="C7958" s="147"/>
      <c r="D7958" s="161"/>
      <c r="E7958" s="36"/>
      <c r="F7958" s="178"/>
      <c r="G7958" s="671"/>
      <c r="H7958" s="36"/>
      <c r="I7958" s="11"/>
    </row>
    <row r="7959" spans="1:12" ht="10.5" customHeight="1">
      <c r="A7959" s="162" t="s">
        <v>10822</v>
      </c>
      <c r="B7959" s="90"/>
      <c r="C7959" s="147"/>
      <c r="D7959" s="161"/>
      <c r="E7959" s="36"/>
      <c r="F7959" s="178"/>
      <c r="G7959" s="671"/>
      <c r="H7959" s="36"/>
      <c r="I7959" s="11"/>
    </row>
    <row r="7960" spans="1:12" ht="10.5" customHeight="1">
      <c r="A7960" s="129" t="s">
        <v>2047</v>
      </c>
      <c r="B7960" s="90"/>
      <c r="C7960" s="147"/>
      <c r="D7960" s="161"/>
      <c r="E7960" s="36"/>
      <c r="F7960" s="178"/>
      <c r="G7960" s="671"/>
      <c r="H7960" s="36"/>
      <c r="I7960" s="11"/>
    </row>
    <row r="7961" spans="1:12" ht="10.5" customHeight="1">
      <c r="A7961" s="162" t="s">
        <v>10823</v>
      </c>
      <c r="B7961" s="90"/>
      <c r="C7961" s="147"/>
      <c r="D7961" s="161"/>
      <c r="E7961" s="36"/>
      <c r="F7961" s="178"/>
      <c r="G7961" s="671"/>
      <c r="H7961" s="36"/>
      <c r="I7961" s="11"/>
    </row>
    <row r="7962" spans="1:12" ht="10.5" customHeight="1">
      <c r="A7962" s="355" t="s">
        <v>10824</v>
      </c>
      <c r="B7962" s="90"/>
      <c r="C7962" s="147"/>
      <c r="D7962" s="161"/>
      <c r="E7962" s="36"/>
      <c r="F7962" s="178"/>
      <c r="G7962" s="671"/>
      <c r="H7962" s="36"/>
      <c r="I7962" s="11"/>
    </row>
    <row r="7963" spans="1:12" ht="10.5" customHeight="1">
      <c r="A7963" s="162" t="s">
        <v>10825</v>
      </c>
      <c r="B7963" s="90"/>
      <c r="C7963" s="147"/>
      <c r="D7963" s="161"/>
      <c r="E7963" s="36"/>
      <c r="F7963" s="178"/>
      <c r="G7963" s="671"/>
      <c r="H7963" s="36"/>
      <c r="I7963" s="11"/>
    </row>
    <row r="7964" spans="1:12" ht="10.5" customHeight="1">
      <c r="A7964" s="168" t="s">
        <v>10826</v>
      </c>
      <c r="B7964" s="90"/>
      <c r="C7964" s="147"/>
      <c r="D7964" s="161"/>
      <c r="E7964" s="36"/>
      <c r="F7964" s="178"/>
      <c r="G7964" s="671"/>
      <c r="H7964" s="36"/>
      <c r="I7964" s="11"/>
    </row>
    <row r="7965" spans="1:12" ht="10.5" customHeight="1">
      <c r="A7965" s="201" t="s">
        <v>1022</v>
      </c>
      <c r="B7965" s="90"/>
      <c r="C7965" s="147"/>
      <c r="D7965" s="161"/>
      <c r="E7965" s="36"/>
      <c r="F7965" s="178"/>
      <c r="G7965" s="671"/>
      <c r="H7965" s="36"/>
      <c r="I7965" s="11"/>
    </row>
    <row r="7966" spans="1:12" ht="10.5" customHeight="1">
      <c r="A7966" s="129" t="s">
        <v>10827</v>
      </c>
      <c r="B7966" s="90"/>
      <c r="C7966" s="147"/>
      <c r="D7966" s="161"/>
      <c r="E7966" s="36"/>
      <c r="F7966" s="183"/>
      <c r="G7966" s="1181"/>
      <c r="H7966" s="34"/>
      <c r="I7966" s="11"/>
    </row>
    <row r="7967" spans="1:12" ht="10.5" customHeight="1">
      <c r="A7967" s="129" t="s">
        <v>10828</v>
      </c>
      <c r="B7967" s="589"/>
      <c r="C7967" s="147"/>
      <c r="D7967" s="161"/>
      <c r="E7967" s="36"/>
      <c r="F7967" s="183"/>
      <c r="G7967" s="60"/>
      <c r="H7967" s="34"/>
      <c r="I7967" s="11"/>
    </row>
    <row r="7968" spans="1:12" ht="10.5" customHeight="1" thickBot="1">
      <c r="A7968" s="29"/>
      <c r="B7968" s="589"/>
      <c r="C7968" s="147"/>
      <c r="D7968" s="161"/>
      <c r="E7968" s="36"/>
      <c r="F7968" s="183"/>
      <c r="G7968" s="60"/>
      <c r="H7968" s="34"/>
      <c r="I7968" s="11"/>
    </row>
    <row r="7969" spans="1:12" ht="11.15" customHeight="1" thickBot="1">
      <c r="A7969" s="184" t="s">
        <v>10829</v>
      </c>
      <c r="B7969" s="59" t="s">
        <v>21764</v>
      </c>
      <c r="C7969" s="147" t="s">
        <v>20221</v>
      </c>
      <c r="D7969" s="284" t="s">
        <v>897</v>
      </c>
      <c r="E7969" s="178">
        <v>2012</v>
      </c>
      <c r="F7969" s="178" t="s">
        <v>4520</v>
      </c>
      <c r="G7969" s="496"/>
      <c r="H7969" s="994" t="s">
        <v>20221</v>
      </c>
      <c r="I7969" s="11" t="s">
        <v>10830</v>
      </c>
      <c r="J7969" s="1285"/>
      <c r="K7969" s="1285"/>
      <c r="L7969" s="1285"/>
    </row>
    <row r="7970" spans="1:12" ht="11.15" customHeight="1">
      <c r="A7970" s="29" t="s">
        <v>10831</v>
      </c>
      <c r="B7970" s="185"/>
      <c r="C7970" s="147"/>
      <c r="D7970" s="129"/>
      <c r="E7970" s="185"/>
      <c r="F7970" s="185"/>
      <c r="G7970" s="185"/>
      <c r="H7970" s="185"/>
      <c r="I7970" s="11"/>
    </row>
    <row r="7971" spans="1:12" ht="11.15" customHeight="1">
      <c r="A7971" s="29" t="s">
        <v>10832</v>
      </c>
      <c r="B7971" s="598"/>
      <c r="C7971" s="147"/>
      <c r="D7971" s="161"/>
      <c r="E7971" s="36"/>
      <c r="F7971" s="178"/>
      <c r="G7971" s="496"/>
      <c r="H7971" s="36"/>
      <c r="I7971" s="11"/>
    </row>
    <row r="7972" spans="1:12" ht="11.15" customHeight="1">
      <c r="A7972" s="29" t="s">
        <v>10833</v>
      </c>
      <c r="B7972" s="90"/>
      <c r="C7972" s="147"/>
      <c r="D7972" s="122"/>
      <c r="E7972" s="36"/>
      <c r="F7972" s="183"/>
      <c r="G7972" s="60"/>
      <c r="H7972" s="34"/>
      <c r="I7972" s="11"/>
    </row>
    <row r="7973" spans="1:12" ht="11.15" customHeight="1">
      <c r="A7973" s="29" t="s">
        <v>10834</v>
      </c>
      <c r="B7973" s="90"/>
      <c r="C7973" s="147"/>
      <c r="D7973" s="122"/>
      <c r="E7973" s="36"/>
      <c r="F7973" s="183"/>
      <c r="G7973" s="60"/>
      <c r="H7973" s="34"/>
      <c r="I7973" s="11"/>
    </row>
    <row r="7974" spans="1:12" ht="11.15" customHeight="1">
      <c r="A7974" s="166" t="s">
        <v>10835</v>
      </c>
      <c r="B7974" s="90"/>
      <c r="C7974" s="147"/>
      <c r="D7974" s="122"/>
      <c r="E7974" s="36"/>
      <c r="F7974" s="183"/>
      <c r="G7974" s="60"/>
      <c r="H7974" s="34"/>
      <c r="I7974" s="11"/>
    </row>
    <row r="7975" spans="1:12" ht="10.5" customHeight="1">
      <c r="A7975" s="129" t="s">
        <v>10836</v>
      </c>
      <c r="B7975" s="90"/>
      <c r="C7975" s="147"/>
      <c r="D7975" s="161"/>
      <c r="E7975" s="36"/>
      <c r="F7975" s="183"/>
      <c r="G7975" s="1181"/>
      <c r="H7975" s="34"/>
      <c r="I7975" s="11"/>
    </row>
    <row r="7976" spans="1:12" ht="11.15" customHeight="1">
      <c r="A7976" s="29"/>
      <c r="B7976" s="146" t="s">
        <v>10837</v>
      </c>
      <c r="C7976" s="147"/>
      <c r="D7976" s="122"/>
      <c r="E7976" s="36"/>
      <c r="F7976" s="183"/>
      <c r="G7976" s="599"/>
      <c r="H7976" s="34"/>
      <c r="I7976" s="11"/>
    </row>
    <row r="7977" spans="1:12" ht="9" customHeight="1">
      <c r="A7977" s="29"/>
      <c r="B7977" s="150" t="s">
        <v>10838</v>
      </c>
      <c r="C7977" s="147"/>
      <c r="D7977" s="122"/>
      <c r="E7977" s="36"/>
      <c r="F7977" s="183"/>
      <c r="G7977" s="60"/>
      <c r="H7977" s="34"/>
      <c r="I7977" s="11"/>
    </row>
    <row r="7978" spans="1:12" ht="9" customHeight="1">
      <c r="A7978" s="29"/>
      <c r="B7978" s="150" t="s">
        <v>10839</v>
      </c>
      <c r="C7978" s="147"/>
      <c r="D7978" s="122"/>
      <c r="E7978" s="36"/>
      <c r="F7978" s="183"/>
      <c r="G7978" s="60"/>
      <c r="H7978" s="34"/>
      <c r="I7978" s="11"/>
    </row>
    <row r="7979" spans="1:12" ht="9" customHeight="1">
      <c r="A7979" s="162"/>
      <c r="B7979" s="150" t="s">
        <v>10840</v>
      </c>
      <c r="C7979" s="147"/>
      <c r="D7979" s="209"/>
      <c r="E7979" s="210"/>
      <c r="F7979" s="209"/>
      <c r="G7979" s="623"/>
      <c r="H7979" s="216"/>
      <c r="I7979" s="11"/>
    </row>
    <row r="7980" spans="1:12" ht="9" customHeight="1">
      <c r="A7980" s="162"/>
      <c r="B7980" s="150" t="s">
        <v>10841</v>
      </c>
      <c r="C7980" s="147"/>
      <c r="D7980" s="209"/>
      <c r="E7980" s="210"/>
      <c r="F7980" s="209"/>
      <c r="G7980" s="623"/>
      <c r="H7980" s="216"/>
      <c r="I7980" s="11"/>
    </row>
    <row r="7981" spans="1:12" ht="9" customHeight="1">
      <c r="A7981" s="29"/>
      <c r="B7981" s="150" t="s">
        <v>10842</v>
      </c>
      <c r="C7981" s="147"/>
      <c r="D7981" s="122"/>
      <c r="E7981" s="36"/>
      <c r="F7981" s="183"/>
      <c r="G7981" s="60"/>
      <c r="H7981" s="34"/>
      <c r="I7981" s="11"/>
    </row>
    <row r="7982" spans="1:12" ht="9" customHeight="1">
      <c r="A7982" s="29"/>
      <c r="B7982" s="150" t="s">
        <v>10843</v>
      </c>
      <c r="C7982" s="147"/>
      <c r="D7982" s="122"/>
      <c r="E7982" s="36"/>
      <c r="F7982" s="183"/>
      <c r="G7982" s="60"/>
      <c r="H7982" s="34"/>
      <c r="I7982" s="11"/>
    </row>
    <row r="7983" spans="1:12" ht="9" customHeight="1">
      <c r="A7983" s="29"/>
      <c r="B7983" s="150" t="s">
        <v>10844</v>
      </c>
      <c r="C7983" s="147"/>
      <c r="D7983" s="122"/>
      <c r="E7983" s="36"/>
      <c r="F7983" s="183"/>
      <c r="G7983" s="60"/>
      <c r="H7983" s="34"/>
      <c r="I7983" s="11"/>
    </row>
    <row r="7984" spans="1:12" ht="9" customHeight="1">
      <c r="A7984" s="29"/>
      <c r="B7984" s="150" t="s">
        <v>10845</v>
      </c>
      <c r="C7984" s="147"/>
      <c r="D7984" s="122"/>
      <c r="E7984" s="36"/>
      <c r="F7984" s="183"/>
      <c r="G7984" s="60"/>
      <c r="H7984" s="34"/>
      <c r="I7984" s="11"/>
    </row>
    <row r="7985" spans="1:9" ht="9" customHeight="1">
      <c r="A7985" s="29"/>
      <c r="B7985" s="150" t="s">
        <v>10846</v>
      </c>
      <c r="C7985" s="147"/>
      <c r="D7985" s="122"/>
      <c r="E7985" s="36"/>
      <c r="F7985" s="183"/>
      <c r="G7985" s="60"/>
      <c r="H7985" s="34"/>
      <c r="I7985" s="11"/>
    </row>
    <row r="7986" spans="1:9" ht="9" customHeight="1">
      <c r="A7986" s="29"/>
      <c r="B7986" s="150" t="s">
        <v>10847</v>
      </c>
      <c r="C7986" s="147"/>
      <c r="D7986" s="122"/>
      <c r="E7986" s="36"/>
      <c r="F7986" s="183"/>
      <c r="G7986" s="60"/>
      <c r="H7986" s="34"/>
      <c r="I7986" s="11"/>
    </row>
    <row r="7987" spans="1:9" ht="9" customHeight="1">
      <c r="A7987" s="29"/>
      <c r="B7987" s="150" t="s">
        <v>10848</v>
      </c>
      <c r="C7987" s="147"/>
      <c r="D7987" s="122"/>
      <c r="E7987" s="36"/>
      <c r="F7987" s="183"/>
      <c r="G7987" s="60"/>
      <c r="H7987" s="34"/>
      <c r="I7987" s="11"/>
    </row>
    <row r="7988" spans="1:9" ht="9" customHeight="1">
      <c r="A7988" s="29"/>
      <c r="B7988" s="150" t="s">
        <v>10849</v>
      </c>
      <c r="C7988" s="147"/>
      <c r="D7988" s="122"/>
      <c r="E7988" s="36"/>
      <c r="F7988" s="183"/>
      <c r="G7988" s="60"/>
      <c r="H7988" s="34"/>
      <c r="I7988" s="11"/>
    </row>
    <row r="7989" spans="1:9" ht="9" customHeight="1">
      <c r="A7989" s="29"/>
      <c r="B7989" s="150" t="s">
        <v>10850</v>
      </c>
      <c r="C7989" s="147"/>
      <c r="D7989" s="122"/>
      <c r="E7989" s="36"/>
      <c r="F7989" s="183"/>
      <c r="G7989" s="60"/>
      <c r="H7989" s="34"/>
      <c r="I7989" s="11"/>
    </row>
    <row r="7990" spans="1:9" ht="9" customHeight="1">
      <c r="A7990" s="29"/>
      <c r="B7990" s="150" t="s">
        <v>10851</v>
      </c>
      <c r="C7990" s="147"/>
      <c r="D7990" s="122"/>
      <c r="E7990" s="36"/>
      <c r="F7990" s="183"/>
      <c r="G7990" s="60"/>
      <c r="H7990" s="34"/>
      <c r="I7990" s="11"/>
    </row>
    <row r="7991" spans="1:9" ht="9" customHeight="1">
      <c r="A7991" s="29"/>
      <c r="B7991" s="150" t="s">
        <v>10852</v>
      </c>
      <c r="C7991" s="147"/>
      <c r="D7991" s="122"/>
      <c r="E7991" s="36"/>
      <c r="F7991" s="183"/>
      <c r="G7991" s="60"/>
      <c r="H7991" s="34"/>
      <c r="I7991" s="11"/>
    </row>
    <row r="7992" spans="1:9" ht="9" customHeight="1">
      <c r="A7992" s="29"/>
      <c r="B7992" s="150" t="s">
        <v>10853</v>
      </c>
      <c r="C7992" s="147"/>
      <c r="D7992" s="122"/>
      <c r="E7992" s="36"/>
      <c r="F7992" s="183"/>
      <c r="G7992" s="60"/>
      <c r="H7992" s="34"/>
      <c r="I7992" s="11"/>
    </row>
    <row r="7993" spans="1:9" ht="9" customHeight="1">
      <c r="A7993" s="29"/>
      <c r="B7993" s="209" t="s">
        <v>10854</v>
      </c>
      <c r="C7993" s="147"/>
      <c r="D7993" s="122"/>
      <c r="E7993" s="36"/>
      <c r="F7993" s="183"/>
      <c r="G7993" s="60"/>
      <c r="H7993" s="34"/>
      <c r="I7993" s="11"/>
    </row>
    <row r="7994" spans="1:9" ht="9" customHeight="1">
      <c r="A7994" s="29"/>
      <c r="B7994" s="150" t="s">
        <v>10855</v>
      </c>
      <c r="C7994" s="147"/>
      <c r="D7994" s="122"/>
      <c r="E7994" s="36"/>
      <c r="F7994" s="183"/>
      <c r="G7994" s="60"/>
      <c r="H7994" s="34"/>
      <c r="I7994" s="11"/>
    </row>
    <row r="7995" spans="1:9" ht="9" customHeight="1">
      <c r="A7995" s="29"/>
      <c r="B7995" s="150" t="s">
        <v>10856</v>
      </c>
      <c r="C7995" s="147"/>
      <c r="D7995" s="122"/>
      <c r="E7995" s="36"/>
      <c r="F7995" s="183"/>
      <c r="G7995" s="60"/>
      <c r="H7995" s="34"/>
      <c r="I7995" s="11"/>
    </row>
    <row r="7996" spans="1:9" ht="9" customHeight="1">
      <c r="A7996" s="29"/>
      <c r="B7996" s="150" t="s">
        <v>10857</v>
      </c>
      <c r="C7996" s="147"/>
      <c r="D7996" s="122"/>
      <c r="E7996" s="36"/>
      <c r="F7996" s="183"/>
      <c r="G7996" s="60"/>
      <c r="H7996" s="34"/>
      <c r="I7996" s="11"/>
    </row>
    <row r="7997" spans="1:9" ht="9" customHeight="1">
      <c r="A7997" s="29"/>
      <c r="B7997" s="150" t="s">
        <v>10858</v>
      </c>
      <c r="C7997" s="147"/>
      <c r="D7997" s="122"/>
      <c r="E7997" s="36"/>
      <c r="F7997" s="183"/>
      <c r="G7997" s="60"/>
      <c r="H7997" s="34"/>
      <c r="I7997" s="11"/>
    </row>
    <row r="7998" spans="1:9" ht="9" customHeight="1">
      <c r="A7998" s="29"/>
      <c r="B7998" s="150" t="s">
        <v>10859</v>
      </c>
      <c r="C7998" s="147"/>
      <c r="D7998" s="122"/>
      <c r="E7998" s="36"/>
      <c r="F7998" s="183"/>
      <c r="G7998" s="60"/>
      <c r="H7998" s="34"/>
      <c r="I7998" s="11"/>
    </row>
    <row r="7999" spans="1:9" ht="9" customHeight="1">
      <c r="A7999" s="29"/>
      <c r="B7999" s="150" t="s">
        <v>10860</v>
      </c>
      <c r="C7999" s="147"/>
      <c r="D7999" s="122"/>
      <c r="E7999" s="36"/>
      <c r="F7999" s="183"/>
      <c r="G7999" s="60"/>
      <c r="H7999" s="34"/>
      <c r="I7999" s="11"/>
    </row>
    <row r="8000" spans="1:9" ht="9" customHeight="1">
      <c r="A8000" s="29"/>
      <c r="B8000" s="150" t="s">
        <v>10861</v>
      </c>
      <c r="C8000" s="147"/>
      <c r="D8000" s="122"/>
      <c r="E8000" s="36"/>
      <c r="F8000" s="183"/>
      <c r="G8000" s="60"/>
      <c r="H8000" s="34"/>
      <c r="I8000" s="11"/>
    </row>
    <row r="8001" spans="1:9" ht="9" customHeight="1">
      <c r="A8001" s="29"/>
      <c r="B8001" s="150" t="s">
        <v>10862</v>
      </c>
      <c r="C8001" s="147"/>
      <c r="D8001" s="122"/>
      <c r="E8001" s="36"/>
      <c r="F8001" s="183"/>
      <c r="G8001" s="60"/>
      <c r="H8001" s="34"/>
      <c r="I8001" s="11"/>
    </row>
    <row r="8002" spans="1:9" ht="9" customHeight="1">
      <c r="A8002" s="29"/>
      <c r="B8002" s="150" t="s">
        <v>10863</v>
      </c>
      <c r="C8002" s="147"/>
      <c r="D8002" s="122"/>
      <c r="E8002" s="36"/>
      <c r="F8002" s="183"/>
      <c r="G8002" s="60"/>
      <c r="H8002" s="34"/>
      <c r="I8002" s="11"/>
    </row>
    <row r="8003" spans="1:9" ht="9" customHeight="1">
      <c r="A8003" s="29"/>
      <c r="B8003" s="150" t="s">
        <v>10864</v>
      </c>
      <c r="C8003" s="147"/>
      <c r="D8003" s="122"/>
      <c r="E8003" s="36"/>
      <c r="F8003" s="183"/>
      <c r="G8003" s="60"/>
      <c r="H8003" s="34"/>
      <c r="I8003" s="11"/>
    </row>
    <row r="8004" spans="1:9" ht="9" customHeight="1">
      <c r="A8004" s="29"/>
      <c r="B8004" s="209" t="s">
        <v>10865</v>
      </c>
      <c r="C8004" s="147"/>
      <c r="D8004" s="122"/>
      <c r="E8004" s="36"/>
      <c r="F8004" s="183"/>
      <c r="G8004" s="60"/>
      <c r="H8004" s="34"/>
      <c r="I8004" s="11"/>
    </row>
    <row r="8005" spans="1:9" ht="9" customHeight="1">
      <c r="A8005" s="29"/>
      <c r="B8005" s="209" t="s">
        <v>10866</v>
      </c>
      <c r="C8005" s="147"/>
      <c r="D8005" s="122"/>
      <c r="E8005" s="36"/>
      <c r="F8005" s="183"/>
      <c r="G8005" s="60"/>
      <c r="H8005" s="34"/>
      <c r="I8005" s="11"/>
    </row>
    <row r="8006" spans="1:9" ht="9" customHeight="1">
      <c r="A8006" s="29"/>
      <c r="B8006" s="150" t="s">
        <v>10867</v>
      </c>
      <c r="C8006" s="147"/>
      <c r="D8006" s="122"/>
      <c r="E8006" s="36"/>
      <c r="F8006" s="183"/>
      <c r="G8006" s="60"/>
      <c r="H8006" s="34"/>
      <c r="I8006" s="11"/>
    </row>
    <row r="8007" spans="1:9" ht="9" customHeight="1">
      <c r="A8007" s="29"/>
      <c r="B8007" s="150" t="s">
        <v>10868</v>
      </c>
      <c r="C8007" s="147"/>
      <c r="D8007" s="122"/>
      <c r="E8007" s="36"/>
      <c r="F8007" s="183"/>
      <c r="G8007" s="60"/>
      <c r="H8007" s="34"/>
      <c r="I8007" s="11"/>
    </row>
    <row r="8008" spans="1:9" ht="9" customHeight="1">
      <c r="A8008" s="29"/>
      <c r="B8008" s="209" t="s">
        <v>10869</v>
      </c>
      <c r="C8008" s="147"/>
      <c r="D8008" s="122"/>
      <c r="E8008" s="36"/>
      <c r="F8008" s="183"/>
      <c r="G8008" s="60"/>
      <c r="H8008" s="34"/>
      <c r="I8008" s="11"/>
    </row>
    <row r="8009" spans="1:9" ht="9" customHeight="1">
      <c r="A8009" s="29"/>
      <c r="B8009" s="150" t="s">
        <v>10870</v>
      </c>
      <c r="C8009" s="147"/>
      <c r="D8009" s="122"/>
      <c r="E8009" s="36"/>
      <c r="F8009" s="183"/>
      <c r="G8009" s="60"/>
      <c r="H8009" s="34"/>
      <c r="I8009" s="11"/>
    </row>
    <row r="8010" spans="1:9" ht="9" customHeight="1">
      <c r="A8010" s="29"/>
      <c r="B8010" s="150" t="s">
        <v>10871</v>
      </c>
      <c r="C8010" s="147"/>
      <c r="D8010" s="122"/>
      <c r="E8010" s="36"/>
      <c r="F8010" s="183"/>
      <c r="G8010" s="60"/>
      <c r="H8010" s="34"/>
      <c r="I8010" s="11"/>
    </row>
    <row r="8011" spans="1:9" ht="9" customHeight="1">
      <c r="A8011" s="29"/>
      <c r="B8011" s="150" t="s">
        <v>10872</v>
      </c>
      <c r="C8011" s="147"/>
      <c r="D8011" s="122"/>
      <c r="E8011" s="36"/>
      <c r="F8011" s="183"/>
      <c r="G8011" s="60"/>
      <c r="H8011" s="34"/>
      <c r="I8011" s="11"/>
    </row>
    <row r="8012" spans="1:9" ht="11.15" customHeight="1">
      <c r="A8012" s="29"/>
      <c r="B8012" s="146" t="s">
        <v>10873</v>
      </c>
      <c r="C8012" s="147"/>
      <c r="D8012" s="122"/>
      <c r="E8012" s="36"/>
      <c r="F8012" s="183"/>
      <c r="G8012" s="60"/>
      <c r="H8012" s="34"/>
      <c r="I8012" s="11"/>
    </row>
    <row r="8013" spans="1:9" ht="9" customHeight="1">
      <c r="A8013" s="29"/>
      <c r="B8013" s="150" t="s">
        <v>10874</v>
      </c>
      <c r="C8013" s="147"/>
      <c r="D8013" s="122"/>
      <c r="E8013" s="36"/>
      <c r="F8013" s="183"/>
      <c r="G8013" s="60"/>
      <c r="H8013" s="34"/>
      <c r="I8013" s="11"/>
    </row>
    <row r="8014" spans="1:9" ht="9" customHeight="1">
      <c r="A8014" s="29"/>
      <c r="B8014" s="209" t="s">
        <v>10875</v>
      </c>
      <c r="C8014" s="147"/>
      <c r="D8014" s="122"/>
      <c r="E8014" s="36"/>
      <c r="F8014" s="183"/>
      <c r="G8014" s="60"/>
      <c r="H8014" s="34"/>
      <c r="I8014" s="11"/>
    </row>
    <row r="8015" spans="1:9" ht="9" customHeight="1">
      <c r="A8015" s="29"/>
      <c r="B8015" s="150" t="s">
        <v>10876</v>
      </c>
      <c r="C8015" s="147"/>
      <c r="D8015" s="122"/>
      <c r="E8015" s="36"/>
      <c r="F8015" s="183"/>
      <c r="G8015" s="60"/>
      <c r="H8015" s="34"/>
      <c r="I8015" s="11"/>
    </row>
    <row r="8016" spans="1:9" ht="9" customHeight="1">
      <c r="A8016" s="29"/>
      <c r="B8016" s="209" t="s">
        <v>10877</v>
      </c>
      <c r="C8016" s="147"/>
      <c r="D8016" s="122"/>
      <c r="E8016" s="36"/>
      <c r="F8016" s="183"/>
      <c r="G8016" s="60"/>
      <c r="H8016" s="34"/>
      <c r="I8016" s="11"/>
    </row>
    <row r="8017" spans="1:12" ht="9" customHeight="1">
      <c r="A8017" s="29"/>
      <c r="B8017" s="209" t="s">
        <v>10878</v>
      </c>
      <c r="C8017" s="147"/>
      <c r="D8017" s="122"/>
      <c r="E8017" s="36"/>
      <c r="F8017" s="183"/>
      <c r="G8017" s="60"/>
      <c r="H8017" s="34"/>
      <c r="I8017" s="11"/>
    </row>
    <row r="8018" spans="1:12" ht="9" customHeight="1">
      <c r="A8018" s="29"/>
      <c r="B8018" s="209" t="s">
        <v>10879</v>
      </c>
      <c r="C8018" s="147"/>
      <c r="D8018" s="122"/>
      <c r="E8018" s="36"/>
      <c r="F8018" s="183"/>
      <c r="G8018" s="60"/>
      <c r="H8018" s="34"/>
      <c r="I8018" s="11"/>
    </row>
    <row r="8019" spans="1:12" ht="11.15" customHeight="1">
      <c r="A8019" s="29"/>
      <c r="B8019" s="146" t="s">
        <v>10880</v>
      </c>
      <c r="C8019" s="147"/>
      <c r="D8019" s="122"/>
      <c r="E8019" s="36"/>
      <c r="F8019" s="183"/>
      <c r="G8019" s="60"/>
      <c r="H8019" s="34"/>
      <c r="I8019" s="11"/>
    </row>
    <row r="8020" spans="1:12" ht="9" customHeight="1">
      <c r="A8020" s="29"/>
      <c r="B8020" s="150" t="s">
        <v>10881</v>
      </c>
      <c r="C8020" s="147"/>
      <c r="D8020" s="122"/>
      <c r="E8020" s="36"/>
      <c r="F8020" s="183"/>
      <c r="G8020" s="60"/>
      <c r="H8020" s="34"/>
      <c r="I8020" s="11"/>
    </row>
    <row r="8021" spans="1:12" ht="9" customHeight="1">
      <c r="A8021" s="29"/>
      <c r="B8021" s="150" t="s">
        <v>10882</v>
      </c>
      <c r="C8021" s="147"/>
      <c r="D8021" s="122"/>
      <c r="E8021" s="36"/>
      <c r="F8021" s="183"/>
      <c r="G8021" s="60"/>
      <c r="H8021" s="34"/>
      <c r="I8021" s="11"/>
    </row>
    <row r="8022" spans="1:12" ht="9" customHeight="1">
      <c r="A8022" s="29"/>
      <c r="B8022" s="150" t="s">
        <v>10883</v>
      </c>
      <c r="C8022" s="147"/>
      <c r="D8022" s="122"/>
      <c r="E8022" s="36"/>
      <c r="F8022" s="183"/>
      <c r="G8022" s="60"/>
      <c r="H8022" s="34"/>
      <c r="I8022" s="11"/>
    </row>
    <row r="8023" spans="1:12" ht="9" customHeight="1">
      <c r="A8023" s="29"/>
      <c r="B8023" s="150" t="s">
        <v>10884</v>
      </c>
      <c r="C8023" s="147"/>
      <c r="D8023" s="122"/>
      <c r="E8023" s="36"/>
      <c r="F8023" s="183"/>
      <c r="G8023" s="60"/>
      <c r="H8023" s="34"/>
      <c r="I8023" s="11"/>
    </row>
    <row r="8024" spans="1:12" ht="9" customHeight="1">
      <c r="A8024" s="29"/>
      <c r="B8024" s="150" t="s">
        <v>10885</v>
      </c>
      <c r="C8024" s="147"/>
      <c r="D8024" s="122"/>
      <c r="E8024" s="36"/>
      <c r="F8024" s="183"/>
      <c r="G8024" s="60"/>
      <c r="H8024" s="34"/>
      <c r="I8024" s="11"/>
    </row>
    <row r="8025" spans="1:12" ht="9" customHeight="1" thickBot="1">
      <c r="A8025" s="185"/>
      <c r="B8025" s="150" t="s">
        <v>10886</v>
      </c>
      <c r="C8025" s="147"/>
      <c r="D8025" s="122"/>
      <c r="E8025" s="36"/>
      <c r="F8025" s="183"/>
      <c r="G8025" s="60"/>
      <c r="H8025" s="34"/>
      <c r="I8025" s="11"/>
    </row>
    <row r="8026" spans="1:12" ht="11.15" customHeight="1">
      <c r="A8026" s="153" t="s">
        <v>10887</v>
      </c>
      <c r="B8026" s="177" t="s">
        <v>10573</v>
      </c>
      <c r="C8026" s="147"/>
      <c r="D8026" s="122"/>
      <c r="E8026" s="36"/>
      <c r="F8026" s="183"/>
      <c r="G8026" s="60"/>
      <c r="H8026" s="34"/>
      <c r="I8026" s="11"/>
    </row>
    <row r="8027" spans="1:12" ht="11.15" customHeight="1" thickBot="1">
      <c r="A8027" s="230" t="s">
        <v>10888</v>
      </c>
      <c r="B8027" s="59" t="s">
        <v>21765</v>
      </c>
      <c r="C8027" s="147" t="s">
        <v>20221</v>
      </c>
      <c r="D8027" s="284" t="s">
        <v>897</v>
      </c>
      <c r="E8027" s="178" t="s">
        <v>20221</v>
      </c>
      <c r="F8027" s="178" t="s">
        <v>4520</v>
      </c>
      <c r="G8027" s="496"/>
      <c r="H8027" s="994" t="s">
        <v>20221</v>
      </c>
      <c r="I8027" s="11" t="s">
        <v>10889</v>
      </c>
      <c r="J8027" s="1285"/>
      <c r="K8027" s="1285"/>
      <c r="L8027" s="1285"/>
    </row>
    <row r="8028" spans="1:12" ht="11.15" customHeight="1">
      <c r="A8028" s="29" t="s">
        <v>10890</v>
      </c>
      <c r="B8028" s="59" t="s">
        <v>21766</v>
      </c>
      <c r="C8028" s="147" t="s">
        <v>20221</v>
      </c>
      <c r="D8028" s="284" t="s">
        <v>897</v>
      </c>
      <c r="E8028" s="178" t="s">
        <v>20221</v>
      </c>
      <c r="F8028" s="178" t="s">
        <v>4520</v>
      </c>
      <c r="G8028" s="496"/>
      <c r="H8028" s="994" t="s">
        <v>20221</v>
      </c>
      <c r="I8028" s="11" t="s">
        <v>10891</v>
      </c>
      <c r="J8028" s="1285"/>
      <c r="K8028" s="1285"/>
      <c r="L8028" s="1285"/>
    </row>
    <row r="8029" spans="1:12" ht="11.15" customHeight="1">
      <c r="A8029" s="29" t="s">
        <v>10892</v>
      </c>
      <c r="B8029" s="59" t="s">
        <v>21767</v>
      </c>
      <c r="C8029" s="147" t="s">
        <v>20221</v>
      </c>
      <c r="D8029" s="284" t="s">
        <v>897</v>
      </c>
      <c r="E8029" s="178" t="s">
        <v>20221</v>
      </c>
      <c r="F8029" s="178" t="s">
        <v>4520</v>
      </c>
      <c r="G8029" s="496"/>
      <c r="H8029" s="994" t="s">
        <v>20224</v>
      </c>
      <c r="I8029" s="11" t="s">
        <v>10893</v>
      </c>
      <c r="J8029" s="1285"/>
      <c r="K8029" s="1285"/>
      <c r="L8029" s="1285"/>
    </row>
    <row r="8030" spans="1:12" ht="11.15" customHeight="1">
      <c r="A8030" s="29" t="s">
        <v>10894</v>
      </c>
      <c r="B8030" s="154" t="s">
        <v>10603</v>
      </c>
      <c r="C8030" s="147"/>
      <c r="D8030" s="129"/>
      <c r="E8030" s="185"/>
      <c r="F8030" s="185"/>
      <c r="G8030" s="185"/>
      <c r="H8030" s="185"/>
      <c r="I8030" s="11"/>
      <c r="J8030" s="1285"/>
      <c r="K8030" s="1285"/>
      <c r="L8030" s="1285"/>
    </row>
    <row r="8031" spans="1:12" ht="11.15" customHeight="1">
      <c r="A8031" s="129" t="s">
        <v>6076</v>
      </c>
      <c r="B8031" s="59" t="s">
        <v>21768</v>
      </c>
      <c r="C8031" s="147" t="s">
        <v>20221</v>
      </c>
      <c r="D8031" s="284" t="s">
        <v>897</v>
      </c>
      <c r="E8031" s="178" t="s">
        <v>20221</v>
      </c>
      <c r="F8031" s="178" t="s">
        <v>4520</v>
      </c>
      <c r="G8031" s="496"/>
      <c r="H8031" s="994" t="s">
        <v>20224</v>
      </c>
      <c r="I8031" s="11" t="s">
        <v>10895</v>
      </c>
      <c r="J8031" s="1285"/>
      <c r="K8031" s="1285"/>
      <c r="L8031" s="1285"/>
    </row>
    <row r="8032" spans="1:12" ht="11.15" customHeight="1">
      <c r="A8032" s="162" t="s">
        <v>10896</v>
      </c>
      <c r="B8032" s="59" t="s">
        <v>21769</v>
      </c>
      <c r="C8032" s="147" t="s">
        <v>20221</v>
      </c>
      <c r="D8032" s="284" t="s">
        <v>897</v>
      </c>
      <c r="E8032" s="178" t="s">
        <v>20221</v>
      </c>
      <c r="F8032" s="178" t="s">
        <v>4520</v>
      </c>
      <c r="G8032" s="496"/>
      <c r="H8032" s="994" t="s">
        <v>20221</v>
      </c>
      <c r="I8032" s="11" t="s">
        <v>10897</v>
      </c>
      <c r="J8032" s="1285"/>
      <c r="K8032" s="1285"/>
      <c r="L8032" s="1285"/>
    </row>
    <row r="8033" spans="1:12" ht="11.15" customHeight="1">
      <c r="A8033" s="162" t="s">
        <v>10898</v>
      </c>
      <c r="B8033" s="59" t="s">
        <v>21770</v>
      </c>
      <c r="C8033" s="147" t="s">
        <v>20221</v>
      </c>
      <c r="D8033" s="284" t="s">
        <v>897</v>
      </c>
      <c r="E8033" s="178" t="s">
        <v>20221</v>
      </c>
      <c r="F8033" s="178" t="s">
        <v>4520</v>
      </c>
      <c r="G8033" s="496"/>
      <c r="H8033" s="994" t="s">
        <v>20224</v>
      </c>
      <c r="I8033" s="11" t="s">
        <v>10899</v>
      </c>
      <c r="J8033" s="1285"/>
      <c r="K8033" s="1285"/>
      <c r="L8033" s="1285"/>
    </row>
    <row r="8034" spans="1:12" ht="11.15" customHeight="1">
      <c r="A8034" s="162" t="s">
        <v>10900</v>
      </c>
      <c r="B8034" s="59" t="s">
        <v>21771</v>
      </c>
      <c r="C8034" s="147" t="s">
        <v>20221</v>
      </c>
      <c r="D8034" s="284" t="s">
        <v>897</v>
      </c>
      <c r="E8034" s="178" t="s">
        <v>20221</v>
      </c>
      <c r="F8034" s="178" t="s">
        <v>23394</v>
      </c>
      <c r="G8034" s="496"/>
      <c r="H8034" s="994" t="s">
        <v>20224</v>
      </c>
      <c r="I8034" s="11" t="s">
        <v>10901</v>
      </c>
      <c r="J8034" s="1285"/>
      <c r="K8034" s="1285"/>
      <c r="L8034" s="1285"/>
    </row>
    <row r="8035" spans="1:12" ht="11.15" customHeight="1">
      <c r="A8035" s="162" t="s">
        <v>10902</v>
      </c>
      <c r="B8035" s="154" t="s">
        <v>10732</v>
      </c>
      <c r="C8035" s="147"/>
      <c r="D8035" s="129"/>
      <c r="E8035" s="185"/>
      <c r="F8035" s="185"/>
      <c r="G8035" s="185"/>
      <c r="H8035" s="185"/>
      <c r="I8035" s="11"/>
      <c r="J8035" s="1285"/>
      <c r="K8035" s="1285"/>
      <c r="L8035" s="1285"/>
    </row>
    <row r="8036" spans="1:12" ht="11.15" customHeight="1">
      <c r="A8036" s="162" t="s">
        <v>10903</v>
      </c>
      <c r="B8036" s="59" t="s">
        <v>21772</v>
      </c>
      <c r="C8036" s="147" t="s">
        <v>20221</v>
      </c>
      <c r="D8036" s="284" t="s">
        <v>897</v>
      </c>
      <c r="E8036" s="178" t="s">
        <v>20221</v>
      </c>
      <c r="F8036" s="178" t="s">
        <v>9678</v>
      </c>
      <c r="G8036" s="496"/>
      <c r="H8036" s="994" t="s">
        <v>20224</v>
      </c>
      <c r="I8036" s="11" t="s">
        <v>10904</v>
      </c>
      <c r="J8036" s="1285"/>
      <c r="K8036" s="1285"/>
      <c r="L8036" s="1285"/>
    </row>
    <row r="8037" spans="1:12" ht="11.15" customHeight="1">
      <c r="A8037" s="162" t="s">
        <v>10905</v>
      </c>
      <c r="B8037" s="59" t="s">
        <v>21773</v>
      </c>
      <c r="C8037" s="147" t="s">
        <v>20221</v>
      </c>
      <c r="D8037" s="284" t="s">
        <v>897</v>
      </c>
      <c r="E8037" s="178" t="s">
        <v>20221</v>
      </c>
      <c r="F8037" s="178" t="s">
        <v>9678</v>
      </c>
      <c r="G8037" s="496"/>
      <c r="H8037" s="994" t="s">
        <v>20224</v>
      </c>
      <c r="I8037" s="11" t="s">
        <v>10906</v>
      </c>
      <c r="J8037" s="1285"/>
      <c r="K8037" s="1285"/>
      <c r="L8037" s="1285"/>
    </row>
    <row r="8038" spans="1:12" ht="11.15" customHeight="1">
      <c r="A8038" s="129" t="s">
        <v>10907</v>
      </c>
      <c r="B8038" s="59" t="s">
        <v>21774</v>
      </c>
      <c r="C8038" s="147" t="s">
        <v>20221</v>
      </c>
      <c r="D8038" s="284" t="s">
        <v>897</v>
      </c>
      <c r="E8038" s="178" t="s">
        <v>20221</v>
      </c>
      <c r="F8038" s="178" t="s">
        <v>9678</v>
      </c>
      <c r="G8038" s="496"/>
      <c r="H8038" s="994" t="s">
        <v>20224</v>
      </c>
      <c r="I8038" s="11" t="s">
        <v>10908</v>
      </c>
      <c r="J8038" s="1285"/>
      <c r="K8038" s="1285"/>
      <c r="L8038" s="1285"/>
    </row>
    <row r="8039" spans="1:12" ht="9" customHeight="1">
      <c r="A8039" s="291" t="s">
        <v>10909</v>
      </c>
      <c r="B8039" s="59" t="s">
        <v>21775</v>
      </c>
      <c r="C8039" s="147" t="s">
        <v>20221</v>
      </c>
      <c r="D8039" s="284" t="s">
        <v>897</v>
      </c>
      <c r="E8039" s="178" t="s">
        <v>20221</v>
      </c>
      <c r="F8039" s="178" t="s">
        <v>9678</v>
      </c>
      <c r="G8039" s="496"/>
      <c r="H8039" s="994" t="s">
        <v>20224</v>
      </c>
      <c r="I8039" s="11" t="s">
        <v>10910</v>
      </c>
      <c r="J8039" s="1285"/>
      <c r="K8039" s="1285"/>
      <c r="L8039" s="1285"/>
    </row>
    <row r="8040" spans="1:12" ht="9" customHeight="1">
      <c r="A8040" s="291" t="s">
        <v>10911</v>
      </c>
      <c r="B8040" s="90"/>
      <c r="C8040" s="147"/>
      <c r="D8040" s="161"/>
      <c r="E8040" s="36"/>
      <c r="F8040" s="178"/>
      <c r="G8040" s="1181"/>
      <c r="H8040" s="36"/>
      <c r="I8040" s="11"/>
    </row>
    <row r="8041" spans="1:12" ht="9" customHeight="1">
      <c r="A8041" s="291" t="s">
        <v>10912</v>
      </c>
      <c r="B8041" s="185"/>
      <c r="C8041" s="147"/>
      <c r="D8041" s="185"/>
      <c r="E8041" s="185"/>
      <c r="F8041" s="185"/>
      <c r="G8041" s="185"/>
      <c r="H8041" s="185"/>
      <c r="I8041" s="11"/>
    </row>
    <row r="8042" spans="1:12" ht="9" customHeight="1">
      <c r="A8042" s="291" t="s">
        <v>10913</v>
      </c>
      <c r="B8042" s="185"/>
      <c r="C8042" s="147"/>
      <c r="D8042" s="185"/>
      <c r="E8042" s="185"/>
      <c r="F8042" s="185"/>
      <c r="G8042" s="185"/>
      <c r="H8042" s="185"/>
      <c r="I8042" s="11"/>
    </row>
    <row r="8043" spans="1:12" ht="9" customHeight="1">
      <c r="A8043" s="291" t="s">
        <v>10914</v>
      </c>
      <c r="B8043" s="185"/>
      <c r="C8043" s="147"/>
      <c r="D8043" s="122"/>
      <c r="E8043" s="36"/>
      <c r="F8043" s="178"/>
      <c r="G8043" s="1221"/>
      <c r="H8043" s="36"/>
      <c r="I8043" s="11"/>
    </row>
    <row r="8044" spans="1:12" ht="9" customHeight="1">
      <c r="A8044" s="291" t="s">
        <v>10915</v>
      </c>
      <c r="B8044" s="185"/>
      <c r="C8044" s="147"/>
      <c r="D8044" s="122"/>
      <c r="E8044" s="36"/>
      <c r="F8044" s="178"/>
      <c r="G8044" s="1221"/>
      <c r="H8044" s="36"/>
      <c r="I8044" s="11"/>
    </row>
    <row r="8045" spans="1:12" ht="9" customHeight="1">
      <c r="A8045" s="291" t="s">
        <v>10916</v>
      </c>
      <c r="B8045" s="185"/>
      <c r="C8045" s="147"/>
      <c r="D8045" s="122"/>
      <c r="E8045" s="36"/>
      <c r="F8045" s="178"/>
      <c r="G8045" s="1221"/>
      <c r="H8045" s="36"/>
      <c r="I8045" s="11"/>
    </row>
    <row r="8046" spans="1:12" ht="9" customHeight="1">
      <c r="A8046" s="291" t="s">
        <v>10917</v>
      </c>
      <c r="B8046" s="185"/>
      <c r="C8046" s="147"/>
      <c r="D8046" s="122"/>
      <c r="E8046" s="36"/>
      <c r="F8046" s="178"/>
      <c r="G8046" s="1221"/>
      <c r="H8046" s="36"/>
      <c r="I8046" s="11"/>
    </row>
    <row r="8047" spans="1:12" ht="9" customHeight="1">
      <c r="A8047" s="291" t="s">
        <v>10918</v>
      </c>
      <c r="B8047" s="185"/>
      <c r="C8047" s="147"/>
      <c r="D8047" s="122"/>
      <c r="E8047" s="36"/>
      <c r="F8047" s="178"/>
      <c r="G8047" s="1221"/>
      <c r="H8047" s="36"/>
      <c r="I8047" s="11"/>
    </row>
    <row r="8048" spans="1:12" ht="9" customHeight="1">
      <c r="A8048" s="291" t="s">
        <v>10919</v>
      </c>
      <c r="B8048" s="185"/>
      <c r="C8048" s="147"/>
      <c r="D8048" s="122"/>
      <c r="E8048" s="36"/>
      <c r="F8048" s="178"/>
      <c r="G8048" s="1221"/>
      <c r="H8048" s="36"/>
      <c r="I8048" s="11"/>
    </row>
    <row r="8049" spans="1:9" ht="9" customHeight="1">
      <c r="A8049" s="291" t="s">
        <v>10920</v>
      </c>
      <c r="B8049" s="185"/>
      <c r="C8049" s="147"/>
      <c r="D8049" s="122"/>
      <c r="E8049" s="36"/>
      <c r="F8049" s="178"/>
      <c r="G8049" s="1221"/>
      <c r="H8049" s="36"/>
      <c r="I8049" s="11"/>
    </row>
    <row r="8050" spans="1:9" ht="9" customHeight="1">
      <c r="A8050" s="291" t="s">
        <v>10921</v>
      </c>
      <c r="B8050" s="185"/>
      <c r="C8050" s="147"/>
      <c r="D8050" s="122"/>
      <c r="E8050" s="36"/>
      <c r="F8050" s="178"/>
      <c r="G8050" s="1221"/>
      <c r="H8050" s="36"/>
      <c r="I8050" s="11"/>
    </row>
    <row r="8051" spans="1:9" ht="9" customHeight="1">
      <c r="A8051" s="291" t="s">
        <v>10922</v>
      </c>
      <c r="B8051" s="185"/>
      <c r="C8051" s="147"/>
      <c r="D8051" s="122"/>
      <c r="E8051" s="36"/>
      <c r="F8051" s="178"/>
      <c r="G8051" s="1221"/>
      <c r="H8051" s="36"/>
      <c r="I8051" s="11"/>
    </row>
    <row r="8052" spans="1:9" ht="9" customHeight="1">
      <c r="A8052" s="291" t="s">
        <v>10923</v>
      </c>
      <c r="B8052" s="185"/>
      <c r="C8052" s="147"/>
      <c r="D8052" s="122"/>
      <c r="E8052" s="36"/>
      <c r="F8052" s="178"/>
      <c r="G8052" s="1221"/>
      <c r="H8052" s="36"/>
      <c r="I8052" s="11"/>
    </row>
    <row r="8053" spans="1:9" ht="9" customHeight="1">
      <c r="A8053" s="291" t="s">
        <v>10924</v>
      </c>
      <c r="B8053" s="185"/>
      <c r="C8053" s="147"/>
      <c r="D8053" s="122"/>
      <c r="E8053" s="36"/>
      <c r="F8053" s="178"/>
      <c r="G8053" s="1221"/>
      <c r="H8053" s="36"/>
      <c r="I8053" s="11"/>
    </row>
    <row r="8054" spans="1:9" ht="9" customHeight="1">
      <c r="A8054" s="291" t="s">
        <v>10925</v>
      </c>
      <c r="B8054" s="185"/>
      <c r="C8054" s="147"/>
      <c r="D8054" s="122"/>
      <c r="E8054" s="36"/>
      <c r="F8054" s="178"/>
      <c r="G8054" s="1221"/>
      <c r="H8054" s="36"/>
      <c r="I8054" s="11"/>
    </row>
    <row r="8055" spans="1:9" ht="9" customHeight="1">
      <c r="A8055" s="291" t="s">
        <v>10926</v>
      </c>
      <c r="B8055" s="185"/>
      <c r="C8055" s="147"/>
      <c r="D8055" s="122"/>
      <c r="E8055" s="36"/>
      <c r="F8055" s="178"/>
      <c r="G8055" s="1221"/>
      <c r="H8055" s="36"/>
      <c r="I8055" s="11"/>
    </row>
    <row r="8056" spans="1:9" ht="11.15" customHeight="1">
      <c r="A8056" s="29" t="s">
        <v>10927</v>
      </c>
      <c r="B8056" s="185"/>
      <c r="C8056" s="147"/>
      <c r="D8056" s="122"/>
      <c r="E8056" s="36"/>
      <c r="F8056" s="178"/>
      <c r="G8056" s="1221"/>
      <c r="H8056" s="36"/>
      <c r="I8056" s="11"/>
    </row>
    <row r="8057" spans="1:9" ht="11.15" customHeight="1">
      <c r="A8057" s="29" t="s">
        <v>10928</v>
      </c>
      <c r="B8057" s="185"/>
      <c r="C8057" s="147"/>
      <c r="D8057" s="122"/>
      <c r="E8057" s="36"/>
      <c r="F8057" s="178"/>
      <c r="G8057" s="60"/>
      <c r="H8057" s="36"/>
      <c r="I8057" s="11"/>
    </row>
    <row r="8058" spans="1:9" ht="11.15" customHeight="1">
      <c r="A8058" s="29" t="s">
        <v>9828</v>
      </c>
      <c r="B8058" s="185"/>
      <c r="C8058" s="147"/>
      <c r="D8058" s="185"/>
      <c r="E8058" s="185"/>
      <c r="F8058" s="185"/>
      <c r="G8058" s="185"/>
      <c r="H8058" s="185"/>
      <c r="I8058" s="11"/>
    </row>
    <row r="8059" spans="1:9" ht="11.15" customHeight="1">
      <c r="A8059" s="29" t="s">
        <v>10929</v>
      </c>
      <c r="B8059" s="185"/>
      <c r="C8059" s="147"/>
      <c r="D8059" s="185"/>
      <c r="E8059" s="185"/>
      <c r="F8059" s="185"/>
      <c r="G8059" s="60"/>
      <c r="H8059" s="185"/>
      <c r="I8059" s="11"/>
    </row>
    <row r="8060" spans="1:9" ht="11.15" customHeight="1">
      <c r="A8060" s="129" t="s">
        <v>1630</v>
      </c>
      <c r="B8060" s="185"/>
      <c r="C8060" s="147"/>
      <c r="D8060" s="185"/>
      <c r="E8060" s="185"/>
      <c r="F8060" s="185"/>
      <c r="G8060" s="60"/>
      <c r="H8060" s="185"/>
      <c r="I8060" s="11"/>
    </row>
    <row r="8061" spans="1:9" ht="11.15" customHeight="1">
      <c r="A8061" s="166" t="s">
        <v>10930</v>
      </c>
      <c r="B8061" s="185"/>
      <c r="C8061" s="147"/>
      <c r="D8061" s="185"/>
      <c r="E8061" s="185"/>
      <c r="F8061" s="185"/>
      <c r="G8061" s="60"/>
      <c r="H8061" s="185"/>
      <c r="I8061" s="11"/>
    </row>
    <row r="8062" spans="1:9" ht="11.15" customHeight="1">
      <c r="A8062" s="166" t="s">
        <v>10931</v>
      </c>
      <c r="B8062" s="185"/>
      <c r="C8062" s="147"/>
      <c r="D8062" s="185"/>
      <c r="E8062" s="185"/>
      <c r="F8062" s="185"/>
      <c r="G8062" s="60"/>
      <c r="H8062" s="185"/>
      <c r="I8062" s="11"/>
    </row>
    <row r="8063" spans="1:9" ht="11.15" customHeight="1">
      <c r="A8063" s="129" t="s">
        <v>10932</v>
      </c>
      <c r="B8063" s="185"/>
      <c r="C8063" s="147"/>
      <c r="D8063" s="185"/>
      <c r="E8063" s="185"/>
      <c r="F8063" s="185"/>
      <c r="G8063" s="60"/>
      <c r="H8063" s="185"/>
      <c r="I8063" s="11"/>
    </row>
    <row r="8064" spans="1:9" ht="11.15" customHeight="1">
      <c r="A8064" s="129" t="s">
        <v>10760</v>
      </c>
      <c r="B8064" s="185"/>
      <c r="C8064" s="147"/>
      <c r="D8064" s="185"/>
      <c r="E8064" s="185"/>
      <c r="F8064" s="185"/>
      <c r="G8064" s="60"/>
      <c r="H8064" s="185"/>
      <c r="I8064" s="11"/>
    </row>
    <row r="8065" spans="1:12" ht="11.15" customHeight="1">
      <c r="A8065" s="129" t="s">
        <v>10933</v>
      </c>
      <c r="B8065" s="185"/>
      <c r="C8065" s="147"/>
      <c r="D8065" s="185"/>
      <c r="E8065" s="185"/>
      <c r="F8065" s="185"/>
      <c r="G8065" s="60"/>
      <c r="H8065" s="185"/>
      <c r="I8065" s="11"/>
    </row>
    <row r="8066" spans="1:12" ht="11.15" customHeight="1">
      <c r="A8066" s="129" t="s">
        <v>10934</v>
      </c>
      <c r="B8066" s="185"/>
      <c r="C8066" s="147"/>
      <c r="D8066" s="185"/>
      <c r="E8066" s="185"/>
      <c r="F8066" s="185"/>
      <c r="G8066" s="60"/>
      <c r="H8066" s="185"/>
      <c r="I8066" s="11"/>
    </row>
    <row r="8067" spans="1:12" ht="11.15" customHeight="1">
      <c r="A8067" s="185"/>
      <c r="B8067" s="413" t="s">
        <v>10935</v>
      </c>
      <c r="C8067" s="147"/>
      <c r="D8067" s="122"/>
      <c r="E8067" s="544"/>
      <c r="F8067" s="965"/>
      <c r="G8067" s="1233"/>
      <c r="H8067" s="545"/>
      <c r="I8067" s="11"/>
    </row>
    <row r="8068" spans="1:12" ht="9" customHeight="1">
      <c r="A8068" s="29"/>
      <c r="B8068" s="150" t="s">
        <v>10936</v>
      </c>
      <c r="C8068" s="147"/>
      <c r="D8068" s="122"/>
      <c r="E8068" s="544"/>
      <c r="F8068" s="965"/>
      <c r="G8068" s="1233"/>
      <c r="H8068" s="545"/>
      <c r="I8068" s="11"/>
    </row>
    <row r="8069" spans="1:12" ht="9" customHeight="1">
      <c r="A8069" s="29"/>
      <c r="B8069" s="150" t="s">
        <v>10937</v>
      </c>
      <c r="C8069" s="147"/>
      <c r="D8069" s="122"/>
      <c r="E8069" s="544"/>
      <c r="F8069" s="965"/>
      <c r="G8069" s="1233"/>
      <c r="H8069" s="545"/>
      <c r="I8069" s="11"/>
    </row>
    <row r="8070" spans="1:12" ht="9" customHeight="1">
      <c r="A8070" s="29"/>
      <c r="B8070" s="150" t="s">
        <v>10938</v>
      </c>
      <c r="C8070" s="147"/>
      <c r="D8070" s="122"/>
      <c r="E8070" s="544"/>
      <c r="F8070" s="965"/>
      <c r="G8070" s="1233"/>
      <c r="H8070" s="545"/>
      <c r="I8070" s="11"/>
    </row>
    <row r="8071" spans="1:12" ht="9" customHeight="1">
      <c r="A8071" s="29"/>
      <c r="B8071" s="209" t="s">
        <v>10939</v>
      </c>
      <c r="C8071" s="147"/>
      <c r="D8071" s="122"/>
      <c r="E8071" s="544"/>
      <c r="F8071" s="965"/>
      <c r="G8071" s="1233"/>
      <c r="H8071" s="545"/>
      <c r="I8071" s="11"/>
    </row>
    <row r="8072" spans="1:12" ht="9" customHeight="1">
      <c r="A8072" s="29"/>
      <c r="B8072" s="209" t="s">
        <v>10940</v>
      </c>
      <c r="C8072" s="147"/>
      <c r="D8072" s="122"/>
      <c r="E8072" s="544"/>
      <c r="F8072" s="965"/>
      <c r="G8072" s="1233"/>
      <c r="H8072" s="545"/>
      <c r="I8072" s="11"/>
    </row>
    <row r="8073" spans="1:12" ht="9" customHeight="1">
      <c r="A8073" s="29"/>
      <c r="B8073" s="150" t="s">
        <v>10941</v>
      </c>
      <c r="C8073" s="147"/>
      <c r="D8073" s="149"/>
      <c r="E8073" s="149"/>
      <c r="F8073" s="149"/>
      <c r="G8073" s="149"/>
      <c r="H8073" s="149"/>
      <c r="I8073" s="11"/>
    </row>
    <row r="8074" spans="1:12" ht="9" customHeight="1">
      <c r="A8074" s="29"/>
      <c r="B8074" s="150" t="s">
        <v>10942</v>
      </c>
      <c r="C8074" s="147"/>
      <c r="D8074" s="149"/>
      <c r="E8074" s="149"/>
      <c r="F8074" s="149"/>
      <c r="G8074" s="149"/>
      <c r="H8074" s="149"/>
      <c r="I8074" s="11"/>
    </row>
    <row r="8075" spans="1:12" ht="9" customHeight="1">
      <c r="A8075" s="29"/>
      <c r="B8075" s="150" t="s">
        <v>10943</v>
      </c>
      <c r="C8075" s="147"/>
      <c r="D8075" s="149"/>
      <c r="E8075" s="149"/>
      <c r="F8075" s="149"/>
      <c r="G8075" s="149"/>
      <c r="H8075" s="149"/>
      <c r="I8075" s="11"/>
    </row>
    <row r="8076" spans="1:12" ht="9" customHeight="1" thickBot="1">
      <c r="A8076" s="149"/>
      <c r="B8076" s="210" t="s">
        <v>10944</v>
      </c>
      <c r="C8076" s="147"/>
      <c r="D8076" s="122"/>
      <c r="E8076" s="36"/>
      <c r="F8076" s="183"/>
      <c r="G8076" s="60"/>
      <c r="H8076" s="34"/>
      <c r="I8076" s="11"/>
    </row>
    <row r="8077" spans="1:12" ht="11.15" customHeight="1" thickBot="1">
      <c r="A8077" s="184" t="s">
        <v>10945</v>
      </c>
      <c r="B8077" s="154" t="s">
        <v>10573</v>
      </c>
      <c r="C8077" s="147"/>
      <c r="D8077" s="129"/>
      <c r="E8077" s="185"/>
      <c r="F8077" s="185"/>
      <c r="G8077" s="185"/>
      <c r="H8077" s="185"/>
      <c r="I8077" s="11"/>
    </row>
    <row r="8078" spans="1:12" ht="11.15" customHeight="1">
      <c r="A8078" s="29" t="s">
        <v>10946</v>
      </c>
      <c r="B8078" s="59" t="s">
        <v>21719</v>
      </c>
      <c r="C8078" s="147" t="s">
        <v>20221</v>
      </c>
      <c r="D8078" s="284" t="s">
        <v>897</v>
      </c>
      <c r="E8078" s="178">
        <v>2023</v>
      </c>
      <c r="F8078" s="178" t="s">
        <v>23395</v>
      </c>
      <c r="G8078" s="496"/>
      <c r="H8078" s="994" t="s">
        <v>20221</v>
      </c>
      <c r="I8078" s="11" t="s">
        <v>10947</v>
      </c>
      <c r="J8078" s="1285"/>
      <c r="K8078" s="1285"/>
      <c r="L8078" s="1285"/>
    </row>
    <row r="8079" spans="1:12" ht="11.15" customHeight="1">
      <c r="A8079" s="29" t="s">
        <v>10948</v>
      </c>
      <c r="B8079" s="59" t="s">
        <v>21719</v>
      </c>
      <c r="C8079" s="147" t="s">
        <v>20221</v>
      </c>
      <c r="D8079" s="284" t="s">
        <v>897</v>
      </c>
      <c r="E8079" s="178">
        <v>2022</v>
      </c>
      <c r="F8079" s="178" t="s">
        <v>23395</v>
      </c>
      <c r="G8079" s="496"/>
      <c r="H8079" s="994" t="s">
        <v>20221</v>
      </c>
      <c r="I8079" s="11" t="s">
        <v>10949</v>
      </c>
      <c r="J8079" s="1285"/>
      <c r="K8079" s="1285"/>
      <c r="L8079" s="1285"/>
    </row>
    <row r="8080" spans="1:12" ht="11.15" customHeight="1">
      <c r="A8080" s="29" t="s">
        <v>10950</v>
      </c>
      <c r="B8080" s="59" t="s">
        <v>21719</v>
      </c>
      <c r="C8080" s="147" t="s">
        <v>20221</v>
      </c>
      <c r="D8080" s="284" t="s">
        <v>897</v>
      </c>
      <c r="E8080" s="178">
        <v>2021</v>
      </c>
      <c r="F8080" s="178" t="s">
        <v>23395</v>
      </c>
      <c r="G8080" s="496"/>
      <c r="H8080" s="994" t="s">
        <v>20221</v>
      </c>
      <c r="I8080" s="11" t="s">
        <v>10951</v>
      </c>
      <c r="J8080" s="1285"/>
      <c r="K8080" s="1285"/>
      <c r="L8080" s="1285"/>
    </row>
    <row r="8081" spans="1:12" ht="11.15" customHeight="1">
      <c r="A8081" s="29" t="s">
        <v>10952</v>
      </c>
      <c r="B8081" s="59" t="s">
        <v>21719</v>
      </c>
      <c r="C8081" s="147" t="s">
        <v>20221</v>
      </c>
      <c r="D8081" s="284" t="s">
        <v>897</v>
      </c>
      <c r="E8081" s="178">
        <v>2020</v>
      </c>
      <c r="F8081" s="178" t="s">
        <v>23395</v>
      </c>
      <c r="G8081" s="496"/>
      <c r="H8081" s="994" t="s">
        <v>20221</v>
      </c>
      <c r="I8081" s="11" t="s">
        <v>10953</v>
      </c>
      <c r="J8081" s="1285"/>
      <c r="K8081" s="1285"/>
      <c r="L8081" s="1285"/>
    </row>
    <row r="8082" spans="1:12" ht="11.15" customHeight="1">
      <c r="A8082" s="29" t="s">
        <v>10954</v>
      </c>
      <c r="B8082" s="59" t="s">
        <v>21719</v>
      </c>
      <c r="C8082" s="147" t="s">
        <v>20221</v>
      </c>
      <c r="D8082" s="284" t="s">
        <v>897</v>
      </c>
      <c r="E8082" s="178">
        <v>2017</v>
      </c>
      <c r="F8082" s="178" t="s">
        <v>23395</v>
      </c>
      <c r="G8082" s="496"/>
      <c r="H8082" s="994" t="s">
        <v>20221</v>
      </c>
      <c r="I8082" s="11" t="s">
        <v>10955</v>
      </c>
      <c r="J8082" s="1285"/>
      <c r="K8082" s="1285"/>
      <c r="L8082" s="1285"/>
    </row>
    <row r="8083" spans="1:12" ht="11.15" customHeight="1">
      <c r="A8083" s="29" t="s">
        <v>10956</v>
      </c>
      <c r="B8083" s="59" t="s">
        <v>21719</v>
      </c>
      <c r="C8083" s="147" t="s">
        <v>20221</v>
      </c>
      <c r="D8083" s="284" t="s">
        <v>897</v>
      </c>
      <c r="E8083" s="178">
        <v>2016</v>
      </c>
      <c r="F8083" s="178" t="s">
        <v>4520</v>
      </c>
      <c r="G8083" s="496"/>
      <c r="H8083" s="994" t="s">
        <v>20221</v>
      </c>
      <c r="I8083" s="11" t="s">
        <v>10957</v>
      </c>
      <c r="J8083" s="1285"/>
      <c r="K8083" s="1285"/>
      <c r="L8083" s="1285"/>
    </row>
    <row r="8084" spans="1:12" ht="11.15" customHeight="1">
      <c r="A8084" s="29" t="s">
        <v>10958</v>
      </c>
      <c r="B8084" s="59" t="s">
        <v>21719</v>
      </c>
      <c r="C8084" s="147" t="s">
        <v>20221</v>
      </c>
      <c r="D8084" s="284" t="s">
        <v>897</v>
      </c>
      <c r="E8084" s="178">
        <v>2015</v>
      </c>
      <c r="F8084" s="178" t="s">
        <v>23395</v>
      </c>
      <c r="G8084" s="496"/>
      <c r="H8084" s="994" t="s">
        <v>20221</v>
      </c>
      <c r="I8084" s="11" t="s">
        <v>10959</v>
      </c>
      <c r="J8084" s="1285"/>
      <c r="K8084" s="1285"/>
      <c r="L8084" s="1285"/>
    </row>
    <row r="8085" spans="1:12" ht="11.15" customHeight="1">
      <c r="A8085" s="181" t="s">
        <v>10960</v>
      </c>
      <c r="B8085" s="59" t="s">
        <v>21716</v>
      </c>
      <c r="C8085" s="147" t="s">
        <v>20221</v>
      </c>
      <c r="D8085" s="284" t="s">
        <v>897</v>
      </c>
      <c r="E8085" s="178">
        <v>2023</v>
      </c>
      <c r="F8085" s="178" t="s">
        <v>23395</v>
      </c>
      <c r="G8085" s="496"/>
      <c r="H8085" s="994" t="s">
        <v>20221</v>
      </c>
      <c r="I8085" s="11" t="s">
        <v>10961</v>
      </c>
      <c r="J8085" s="1285"/>
      <c r="K8085" s="1285"/>
      <c r="L8085" s="1285"/>
    </row>
    <row r="8086" spans="1:12" ht="11.15" customHeight="1">
      <c r="A8086" s="129" t="s">
        <v>10962</v>
      </c>
      <c r="B8086" s="59" t="s">
        <v>21716</v>
      </c>
      <c r="C8086" s="147" t="s">
        <v>20221</v>
      </c>
      <c r="D8086" s="284" t="s">
        <v>897</v>
      </c>
      <c r="E8086" s="178">
        <v>2022</v>
      </c>
      <c r="F8086" s="178" t="s">
        <v>23395</v>
      </c>
      <c r="G8086" s="496"/>
      <c r="H8086" s="994" t="s">
        <v>20221</v>
      </c>
      <c r="I8086" s="11" t="s">
        <v>10963</v>
      </c>
      <c r="J8086" s="1285"/>
      <c r="K8086" s="1285"/>
      <c r="L8086" s="1285"/>
    </row>
    <row r="8087" spans="1:12" ht="11.15" customHeight="1">
      <c r="A8087" s="162" t="s">
        <v>10964</v>
      </c>
      <c r="B8087" s="59" t="s">
        <v>21716</v>
      </c>
      <c r="C8087" s="147" t="s">
        <v>20221</v>
      </c>
      <c r="D8087" s="284" t="s">
        <v>897</v>
      </c>
      <c r="E8087" s="178">
        <v>2021</v>
      </c>
      <c r="F8087" s="178" t="s">
        <v>23395</v>
      </c>
      <c r="G8087" s="496"/>
      <c r="H8087" s="994" t="s">
        <v>20221</v>
      </c>
      <c r="I8087" s="11" t="s">
        <v>10965</v>
      </c>
      <c r="J8087" s="1285"/>
      <c r="K8087" s="1285"/>
      <c r="L8087" s="1285"/>
    </row>
    <row r="8088" spans="1:12" ht="11.15" customHeight="1">
      <c r="A8088" s="162" t="s">
        <v>10966</v>
      </c>
      <c r="B8088" s="59" t="s">
        <v>21716</v>
      </c>
      <c r="C8088" s="147" t="s">
        <v>20221</v>
      </c>
      <c r="D8088" s="284" t="s">
        <v>897</v>
      </c>
      <c r="E8088" s="178">
        <v>2020</v>
      </c>
      <c r="F8088" s="178" t="s">
        <v>23395</v>
      </c>
      <c r="G8088" s="496"/>
      <c r="H8088" s="994" t="s">
        <v>20221</v>
      </c>
      <c r="I8088" s="11" t="s">
        <v>10967</v>
      </c>
      <c r="J8088" s="1285"/>
      <c r="K8088" s="1285"/>
      <c r="L8088" s="1285"/>
    </row>
    <row r="8089" spans="1:12" ht="11.15" customHeight="1">
      <c r="A8089" s="129" t="s">
        <v>10968</v>
      </c>
      <c r="B8089" s="59" t="s">
        <v>21716</v>
      </c>
      <c r="C8089" s="147" t="s">
        <v>20221</v>
      </c>
      <c r="D8089" s="284" t="s">
        <v>897</v>
      </c>
      <c r="E8089" s="178">
        <v>2017</v>
      </c>
      <c r="F8089" s="178" t="s">
        <v>23395</v>
      </c>
      <c r="G8089" s="496"/>
      <c r="H8089" s="994" t="s">
        <v>20221</v>
      </c>
      <c r="I8089" s="11" t="s">
        <v>10969</v>
      </c>
      <c r="J8089" s="1285"/>
      <c r="K8089" s="1285"/>
      <c r="L8089" s="1285"/>
    </row>
    <row r="8090" spans="1:12" ht="11.15" customHeight="1">
      <c r="A8090" s="162" t="s">
        <v>10970</v>
      </c>
      <c r="B8090" s="59" t="s">
        <v>21716</v>
      </c>
      <c r="C8090" s="147" t="s">
        <v>20221</v>
      </c>
      <c r="D8090" s="284" t="s">
        <v>897</v>
      </c>
      <c r="E8090" s="178">
        <v>2016</v>
      </c>
      <c r="F8090" s="178" t="s">
        <v>4520</v>
      </c>
      <c r="G8090" s="496"/>
      <c r="H8090" s="994" t="s">
        <v>20221</v>
      </c>
      <c r="I8090" s="11" t="s">
        <v>10971</v>
      </c>
      <c r="J8090" s="1285"/>
      <c r="K8090" s="1285"/>
      <c r="L8090" s="1285"/>
    </row>
    <row r="8091" spans="1:12" ht="11.15" customHeight="1">
      <c r="A8091" s="162" t="s">
        <v>10972</v>
      </c>
      <c r="B8091" s="59" t="s">
        <v>21716</v>
      </c>
      <c r="C8091" s="147" t="s">
        <v>20221</v>
      </c>
      <c r="D8091" s="284" t="s">
        <v>897</v>
      </c>
      <c r="E8091" s="178">
        <v>2015</v>
      </c>
      <c r="F8091" s="178" t="s">
        <v>23395</v>
      </c>
      <c r="G8091" s="496"/>
      <c r="H8091" s="994" t="s">
        <v>20221</v>
      </c>
      <c r="I8091" s="11" t="s">
        <v>10973</v>
      </c>
      <c r="J8091" s="1285"/>
      <c r="K8091" s="1285"/>
      <c r="L8091" s="1285"/>
    </row>
    <row r="8092" spans="1:12" ht="11.15" customHeight="1">
      <c r="A8092" s="129" t="s">
        <v>10974</v>
      </c>
      <c r="B8092" s="59" t="s">
        <v>21776</v>
      </c>
      <c r="C8092" s="147" t="s">
        <v>20221</v>
      </c>
      <c r="D8092" s="284" t="s">
        <v>897</v>
      </c>
      <c r="E8092" s="178">
        <v>2023</v>
      </c>
      <c r="F8092" s="178" t="s">
        <v>23395</v>
      </c>
      <c r="G8092" s="496"/>
      <c r="H8092" s="994" t="s">
        <v>20221</v>
      </c>
      <c r="I8092" s="11" t="s">
        <v>10975</v>
      </c>
      <c r="J8092" s="1285"/>
      <c r="K8092" s="1285"/>
      <c r="L8092" s="1285"/>
    </row>
    <row r="8093" spans="1:12" ht="11.15" customHeight="1">
      <c r="A8093" s="162" t="s">
        <v>10976</v>
      </c>
      <c r="B8093" s="59" t="s">
        <v>21776</v>
      </c>
      <c r="C8093" s="147" t="s">
        <v>20221</v>
      </c>
      <c r="D8093" s="284" t="s">
        <v>897</v>
      </c>
      <c r="E8093" s="178">
        <v>2022</v>
      </c>
      <c r="F8093" s="178" t="s">
        <v>23395</v>
      </c>
      <c r="G8093" s="496"/>
      <c r="H8093" s="994" t="s">
        <v>20221</v>
      </c>
      <c r="I8093" s="11" t="s">
        <v>10977</v>
      </c>
      <c r="J8093" s="1285"/>
      <c r="K8093" s="1285"/>
      <c r="L8093" s="1285"/>
    </row>
    <row r="8094" spans="1:12" ht="11.15" customHeight="1">
      <c r="A8094" s="162" t="s">
        <v>10978</v>
      </c>
      <c r="B8094" s="59" t="s">
        <v>21776</v>
      </c>
      <c r="C8094" s="147" t="s">
        <v>20221</v>
      </c>
      <c r="D8094" s="284" t="s">
        <v>897</v>
      </c>
      <c r="E8094" s="178">
        <v>2021</v>
      </c>
      <c r="F8094" s="178" t="s">
        <v>23395</v>
      </c>
      <c r="G8094" s="496"/>
      <c r="H8094" s="994" t="s">
        <v>20221</v>
      </c>
      <c r="I8094" s="11" t="s">
        <v>10979</v>
      </c>
      <c r="J8094" s="1285"/>
      <c r="K8094" s="1285"/>
      <c r="L8094" s="1285"/>
    </row>
    <row r="8095" spans="1:12" ht="11.15" customHeight="1">
      <c r="A8095" s="162" t="s">
        <v>10980</v>
      </c>
      <c r="B8095" s="59" t="s">
        <v>21776</v>
      </c>
      <c r="C8095" s="147" t="s">
        <v>20221</v>
      </c>
      <c r="D8095" s="284" t="s">
        <v>897</v>
      </c>
      <c r="E8095" s="178">
        <v>2017</v>
      </c>
      <c r="F8095" s="178" t="s">
        <v>23395</v>
      </c>
      <c r="G8095" s="496"/>
      <c r="H8095" s="994" t="s">
        <v>20221</v>
      </c>
      <c r="I8095" s="11" t="s">
        <v>10981</v>
      </c>
      <c r="J8095" s="1285"/>
      <c r="K8095" s="1285"/>
      <c r="L8095" s="1285"/>
    </row>
    <row r="8096" spans="1:12" ht="11.15" customHeight="1">
      <c r="A8096" s="162" t="s">
        <v>10982</v>
      </c>
      <c r="B8096" s="177" t="s">
        <v>10603</v>
      </c>
      <c r="C8096" s="147"/>
      <c r="D8096" s="129"/>
      <c r="E8096" s="185"/>
      <c r="F8096" s="185"/>
      <c r="G8096" s="185"/>
      <c r="H8096" s="185"/>
      <c r="I8096" s="11"/>
    </row>
    <row r="8097" spans="1:12" ht="11.15" customHeight="1">
      <c r="A8097" s="129" t="s">
        <v>10983</v>
      </c>
      <c r="B8097" s="59" t="s">
        <v>21777</v>
      </c>
      <c r="C8097" s="147" t="s">
        <v>20221</v>
      </c>
      <c r="D8097" s="284" t="s">
        <v>897</v>
      </c>
      <c r="E8097" s="178">
        <v>2020</v>
      </c>
      <c r="F8097" s="178" t="s">
        <v>4520</v>
      </c>
      <c r="G8097" s="496"/>
      <c r="H8097" s="994" t="s">
        <v>20221</v>
      </c>
      <c r="I8097" s="11" t="s">
        <v>10984</v>
      </c>
      <c r="J8097" s="1285"/>
      <c r="K8097" s="1285"/>
      <c r="L8097" s="1285"/>
    </row>
    <row r="8098" spans="1:12" ht="11.15" customHeight="1">
      <c r="A8098" s="355" t="s">
        <v>10985</v>
      </c>
      <c r="B8098" s="59" t="s">
        <v>21777</v>
      </c>
      <c r="C8098" s="147" t="s">
        <v>20221</v>
      </c>
      <c r="D8098" s="284" t="s">
        <v>897</v>
      </c>
      <c r="E8098" s="178">
        <v>2019</v>
      </c>
      <c r="F8098" s="178" t="s">
        <v>4520</v>
      </c>
      <c r="G8098" s="496"/>
      <c r="H8098" s="994" t="s">
        <v>20221</v>
      </c>
      <c r="I8098" s="11" t="s">
        <v>10986</v>
      </c>
      <c r="J8098" s="1285"/>
      <c r="K8098" s="1285"/>
      <c r="L8098" s="1285"/>
    </row>
    <row r="8099" spans="1:12" ht="11.15" customHeight="1">
      <c r="A8099" s="162" t="s">
        <v>10987</v>
      </c>
      <c r="B8099" s="59" t="s">
        <v>21777</v>
      </c>
      <c r="C8099" s="147" t="s">
        <v>20221</v>
      </c>
      <c r="D8099" s="284" t="s">
        <v>897</v>
      </c>
      <c r="E8099" s="178">
        <v>2018</v>
      </c>
      <c r="F8099" s="178" t="s">
        <v>4520</v>
      </c>
      <c r="G8099" s="496"/>
      <c r="H8099" s="994" t="s">
        <v>20221</v>
      </c>
      <c r="I8099" s="11" t="s">
        <v>10988</v>
      </c>
      <c r="J8099" s="1285"/>
      <c r="K8099" s="1285"/>
      <c r="L8099" s="1285"/>
    </row>
    <row r="8100" spans="1:12" ht="11.15" customHeight="1">
      <c r="A8100" s="162" t="s">
        <v>10989</v>
      </c>
      <c r="B8100" s="59" t="s">
        <v>21778</v>
      </c>
      <c r="C8100" s="147" t="s">
        <v>20221</v>
      </c>
      <c r="D8100" s="284" t="s">
        <v>897</v>
      </c>
      <c r="E8100" s="178">
        <v>2020</v>
      </c>
      <c r="F8100" s="178" t="s">
        <v>4520</v>
      </c>
      <c r="G8100" s="496"/>
      <c r="H8100" s="994" t="s">
        <v>20221</v>
      </c>
      <c r="I8100" s="11" t="s">
        <v>10990</v>
      </c>
      <c r="J8100" s="1285"/>
      <c r="K8100" s="1285"/>
      <c r="L8100" s="1285"/>
    </row>
    <row r="8101" spans="1:12" ht="11.15" customHeight="1">
      <c r="A8101" s="162" t="s">
        <v>10991</v>
      </c>
      <c r="B8101" s="59" t="s">
        <v>21778</v>
      </c>
      <c r="C8101" s="147" t="s">
        <v>20221</v>
      </c>
      <c r="D8101" s="284" t="s">
        <v>897</v>
      </c>
      <c r="E8101" s="178">
        <v>2019</v>
      </c>
      <c r="F8101" s="178" t="s">
        <v>4520</v>
      </c>
      <c r="G8101" s="496"/>
      <c r="H8101" s="994" t="s">
        <v>20221</v>
      </c>
      <c r="I8101" s="11" t="s">
        <v>10992</v>
      </c>
      <c r="J8101" s="1285"/>
      <c r="K8101" s="1285"/>
      <c r="L8101" s="1285"/>
    </row>
    <row r="8102" spans="1:12" ht="11.15" customHeight="1">
      <c r="A8102" s="162" t="s">
        <v>10993</v>
      </c>
      <c r="B8102" s="59" t="s">
        <v>21778</v>
      </c>
      <c r="C8102" s="147" t="s">
        <v>20221</v>
      </c>
      <c r="D8102" s="284" t="s">
        <v>897</v>
      </c>
      <c r="E8102" s="178">
        <v>2018</v>
      </c>
      <c r="F8102" s="178" t="s">
        <v>4520</v>
      </c>
      <c r="G8102" s="496"/>
      <c r="H8102" s="994" t="s">
        <v>20221</v>
      </c>
      <c r="I8102" s="11" t="s">
        <v>10994</v>
      </c>
      <c r="J8102" s="1285"/>
      <c r="K8102" s="1285"/>
      <c r="L8102" s="1285"/>
    </row>
    <row r="8103" spans="1:12" ht="11.15" customHeight="1">
      <c r="A8103" s="162" t="s">
        <v>10995</v>
      </c>
      <c r="B8103" s="59" t="s">
        <v>21779</v>
      </c>
      <c r="C8103" s="147" t="s">
        <v>20221</v>
      </c>
      <c r="D8103" s="284" t="s">
        <v>897</v>
      </c>
      <c r="E8103" s="178">
        <v>2020</v>
      </c>
      <c r="F8103" s="178" t="s">
        <v>4520</v>
      </c>
      <c r="G8103" s="496"/>
      <c r="H8103" s="994" t="s">
        <v>20221</v>
      </c>
      <c r="I8103" s="11" t="s">
        <v>10996</v>
      </c>
      <c r="J8103" s="1285"/>
      <c r="K8103" s="1285"/>
      <c r="L8103" s="1285"/>
    </row>
    <row r="8104" spans="1:12" ht="11.15" customHeight="1">
      <c r="A8104" s="162" t="s">
        <v>10997</v>
      </c>
      <c r="B8104" s="59" t="s">
        <v>21779</v>
      </c>
      <c r="C8104" s="147" t="s">
        <v>20221</v>
      </c>
      <c r="D8104" s="284" t="s">
        <v>897</v>
      </c>
      <c r="E8104" s="178">
        <v>2019</v>
      </c>
      <c r="F8104" s="178" t="s">
        <v>4520</v>
      </c>
      <c r="G8104" s="496"/>
      <c r="H8104" s="994" t="s">
        <v>20221</v>
      </c>
      <c r="I8104" s="11" t="s">
        <v>10998</v>
      </c>
      <c r="J8104" s="1285"/>
      <c r="K8104" s="1285"/>
      <c r="L8104" s="1285"/>
    </row>
    <row r="8105" spans="1:12" ht="11.15" customHeight="1">
      <c r="A8105" s="129" t="s">
        <v>10999</v>
      </c>
      <c r="B8105" s="59" t="s">
        <v>21779</v>
      </c>
      <c r="C8105" s="147" t="s">
        <v>20221</v>
      </c>
      <c r="D8105" s="284" t="s">
        <v>897</v>
      </c>
      <c r="E8105" s="178">
        <v>2018</v>
      </c>
      <c r="F8105" s="178" t="s">
        <v>4520</v>
      </c>
      <c r="G8105" s="496"/>
      <c r="H8105" s="994" t="s">
        <v>20221</v>
      </c>
      <c r="I8105" s="11" t="s">
        <v>11000</v>
      </c>
      <c r="J8105" s="1285"/>
      <c r="K8105" s="1285"/>
      <c r="L8105" s="1285"/>
    </row>
    <row r="8106" spans="1:12" ht="11.15" customHeight="1">
      <c r="A8106" s="162" t="s">
        <v>11001</v>
      </c>
      <c r="B8106" s="59" t="s">
        <v>21779</v>
      </c>
      <c r="C8106" s="147" t="s">
        <v>20221</v>
      </c>
      <c r="D8106" s="284" t="s">
        <v>897</v>
      </c>
      <c r="E8106" s="178">
        <v>2015</v>
      </c>
      <c r="F8106" s="178" t="s">
        <v>4520</v>
      </c>
      <c r="G8106" s="496"/>
      <c r="H8106" s="994" t="s">
        <v>20221</v>
      </c>
      <c r="I8106" s="11" t="s">
        <v>11002</v>
      </c>
      <c r="J8106" s="1285"/>
      <c r="K8106" s="1285"/>
      <c r="L8106" s="1285"/>
    </row>
    <row r="8107" spans="1:12" ht="11.15" customHeight="1">
      <c r="A8107" s="162" t="s">
        <v>11003</v>
      </c>
      <c r="B8107" s="59" t="s">
        <v>21726</v>
      </c>
      <c r="C8107" s="147" t="s">
        <v>20221</v>
      </c>
      <c r="D8107" s="284" t="s">
        <v>897</v>
      </c>
      <c r="E8107" s="178">
        <v>2020</v>
      </c>
      <c r="F8107" s="178" t="s">
        <v>4520</v>
      </c>
      <c r="G8107" s="496"/>
      <c r="H8107" s="994" t="s">
        <v>20221</v>
      </c>
      <c r="I8107" s="11" t="s">
        <v>11004</v>
      </c>
      <c r="J8107" s="1285"/>
      <c r="K8107" s="1285"/>
      <c r="L8107" s="1285"/>
    </row>
    <row r="8108" spans="1:12" ht="11.15" customHeight="1">
      <c r="A8108" s="129" t="s">
        <v>1077</v>
      </c>
      <c r="B8108" s="59" t="s">
        <v>21726</v>
      </c>
      <c r="C8108" s="147" t="s">
        <v>20221</v>
      </c>
      <c r="D8108" s="284" t="s">
        <v>897</v>
      </c>
      <c r="E8108" s="178">
        <v>2019</v>
      </c>
      <c r="F8108" s="178" t="s">
        <v>4520</v>
      </c>
      <c r="G8108" s="496"/>
      <c r="H8108" s="994" t="s">
        <v>20221</v>
      </c>
      <c r="I8108" s="11" t="s">
        <v>11005</v>
      </c>
      <c r="J8108" s="1285"/>
      <c r="K8108" s="1285"/>
      <c r="L8108" s="1285"/>
    </row>
    <row r="8109" spans="1:12" ht="11.15" customHeight="1">
      <c r="A8109" s="162" t="s">
        <v>11006</v>
      </c>
      <c r="B8109" s="59" t="s">
        <v>21726</v>
      </c>
      <c r="C8109" s="147" t="s">
        <v>20221</v>
      </c>
      <c r="D8109" s="284" t="s">
        <v>897</v>
      </c>
      <c r="E8109" s="178">
        <v>2018</v>
      </c>
      <c r="F8109" s="178" t="s">
        <v>4520</v>
      </c>
      <c r="G8109" s="496"/>
      <c r="H8109" s="994" t="s">
        <v>20221</v>
      </c>
      <c r="I8109" s="11" t="s">
        <v>11007</v>
      </c>
      <c r="J8109" s="1285"/>
      <c r="K8109" s="1285"/>
      <c r="L8109" s="1285"/>
    </row>
    <row r="8110" spans="1:12" ht="11.15" customHeight="1">
      <c r="A8110" s="162" t="s">
        <v>11008</v>
      </c>
      <c r="B8110" s="59" t="s">
        <v>21726</v>
      </c>
      <c r="C8110" s="147" t="s">
        <v>20221</v>
      </c>
      <c r="D8110" s="284" t="s">
        <v>897</v>
      </c>
      <c r="E8110" s="178">
        <v>2015</v>
      </c>
      <c r="F8110" s="178" t="s">
        <v>4520</v>
      </c>
      <c r="G8110" s="496"/>
      <c r="H8110" s="994" t="s">
        <v>20221</v>
      </c>
      <c r="I8110" s="11" t="s">
        <v>11009</v>
      </c>
      <c r="J8110" s="1285"/>
      <c r="K8110" s="1285"/>
      <c r="L8110" s="1285"/>
    </row>
    <row r="8111" spans="1:12" ht="11.15" customHeight="1">
      <c r="A8111" s="162" t="s">
        <v>11010</v>
      </c>
      <c r="B8111" s="177" t="s">
        <v>11011</v>
      </c>
      <c r="C8111" s="147"/>
      <c r="D8111" s="161"/>
      <c r="E8111" s="36"/>
      <c r="F8111" s="178"/>
      <c r="G8111" s="671"/>
      <c r="H8111" s="36"/>
      <c r="I8111" s="11"/>
    </row>
    <row r="8112" spans="1:12" ht="11.15" customHeight="1">
      <c r="A8112" s="162" t="s">
        <v>11012</v>
      </c>
      <c r="B8112" s="59" t="s">
        <v>21780</v>
      </c>
      <c r="C8112" s="147" t="s">
        <v>20221</v>
      </c>
      <c r="D8112" s="284" t="s">
        <v>897</v>
      </c>
      <c r="E8112" s="178">
        <v>2020</v>
      </c>
      <c r="F8112" s="178" t="s">
        <v>5257</v>
      </c>
      <c r="G8112" s="496"/>
      <c r="H8112" s="994" t="s">
        <v>20224</v>
      </c>
      <c r="I8112" s="11" t="s">
        <v>11013</v>
      </c>
      <c r="J8112" s="1285"/>
      <c r="K8112" s="1285"/>
      <c r="L8112" s="1285"/>
    </row>
    <row r="8113" spans="1:12" ht="11.15" customHeight="1">
      <c r="A8113" s="162" t="s">
        <v>11014</v>
      </c>
      <c r="B8113" s="59" t="s">
        <v>21780</v>
      </c>
      <c r="C8113" s="147" t="s">
        <v>20221</v>
      </c>
      <c r="D8113" s="284" t="s">
        <v>897</v>
      </c>
      <c r="E8113" s="178">
        <v>2019</v>
      </c>
      <c r="F8113" s="178" t="s">
        <v>5257</v>
      </c>
      <c r="G8113" s="496"/>
      <c r="H8113" s="994" t="s">
        <v>20224</v>
      </c>
      <c r="I8113" s="11" t="s">
        <v>11015</v>
      </c>
      <c r="J8113" s="1285"/>
      <c r="K8113" s="1285"/>
      <c r="L8113" s="1285"/>
    </row>
    <row r="8114" spans="1:12" ht="11.15" customHeight="1">
      <c r="A8114" s="162" t="s">
        <v>11016</v>
      </c>
      <c r="B8114" s="59" t="s">
        <v>21780</v>
      </c>
      <c r="C8114" s="147" t="s">
        <v>20221</v>
      </c>
      <c r="D8114" s="284" t="s">
        <v>897</v>
      </c>
      <c r="E8114" s="178">
        <v>2018</v>
      </c>
      <c r="F8114" s="178" t="s">
        <v>5257</v>
      </c>
      <c r="G8114" s="496"/>
      <c r="H8114" s="994" t="s">
        <v>20224</v>
      </c>
      <c r="I8114" s="11" t="s">
        <v>11017</v>
      </c>
      <c r="J8114" s="1285"/>
      <c r="K8114" s="1285"/>
      <c r="L8114" s="1285"/>
    </row>
    <row r="8115" spans="1:12" ht="11.15" customHeight="1">
      <c r="A8115" s="162" t="s">
        <v>11018</v>
      </c>
      <c r="B8115" s="59" t="s">
        <v>21780</v>
      </c>
      <c r="C8115" s="147" t="s">
        <v>20221</v>
      </c>
      <c r="D8115" s="284" t="s">
        <v>897</v>
      </c>
      <c r="E8115" s="178">
        <v>2017</v>
      </c>
      <c r="F8115" s="178" t="s">
        <v>5257</v>
      </c>
      <c r="G8115" s="496"/>
      <c r="H8115" s="994" t="s">
        <v>20224</v>
      </c>
      <c r="I8115" s="11" t="s">
        <v>11019</v>
      </c>
      <c r="J8115" s="1285"/>
      <c r="K8115" s="1285"/>
      <c r="L8115" s="1285"/>
    </row>
    <row r="8116" spans="1:12" ht="11.15" customHeight="1">
      <c r="A8116" s="162" t="s">
        <v>11020</v>
      </c>
      <c r="B8116" s="177" t="s">
        <v>11021</v>
      </c>
      <c r="C8116" s="147"/>
      <c r="D8116" s="161"/>
      <c r="E8116" s="36"/>
      <c r="F8116" s="178"/>
      <c r="G8116" s="671"/>
      <c r="H8116" s="36"/>
      <c r="I8116" s="11"/>
    </row>
    <row r="8117" spans="1:12" ht="11.15" customHeight="1">
      <c r="A8117" s="162" t="s">
        <v>11022</v>
      </c>
      <c r="B8117" s="59" t="s">
        <v>21781</v>
      </c>
      <c r="C8117" s="147" t="s">
        <v>20221</v>
      </c>
      <c r="D8117" s="284" t="s">
        <v>897</v>
      </c>
      <c r="E8117" s="178">
        <v>2020</v>
      </c>
      <c r="F8117" s="178" t="s">
        <v>5257</v>
      </c>
      <c r="G8117" s="496"/>
      <c r="H8117" s="994" t="s">
        <v>20224</v>
      </c>
      <c r="I8117" s="11" t="s">
        <v>11023</v>
      </c>
      <c r="J8117" s="1285"/>
      <c r="K8117" s="1285"/>
      <c r="L8117" s="1285"/>
    </row>
    <row r="8118" spans="1:12" ht="11.15" customHeight="1">
      <c r="A8118" s="162" t="s">
        <v>11024</v>
      </c>
      <c r="B8118" s="59" t="s">
        <v>21781</v>
      </c>
      <c r="C8118" s="147" t="s">
        <v>20221</v>
      </c>
      <c r="D8118" s="284" t="s">
        <v>897</v>
      </c>
      <c r="E8118" s="178">
        <v>2019</v>
      </c>
      <c r="F8118" s="178" t="s">
        <v>5257</v>
      </c>
      <c r="G8118" s="496"/>
      <c r="H8118" s="994" t="s">
        <v>20224</v>
      </c>
      <c r="I8118" s="11" t="s">
        <v>11025</v>
      </c>
      <c r="J8118" s="1285"/>
      <c r="K8118" s="1285"/>
      <c r="L8118" s="1285"/>
    </row>
    <row r="8119" spans="1:12" ht="11.15" customHeight="1">
      <c r="A8119" s="162" t="s">
        <v>11026</v>
      </c>
      <c r="B8119" s="59" t="s">
        <v>21781</v>
      </c>
      <c r="C8119" s="147" t="s">
        <v>20221</v>
      </c>
      <c r="D8119" s="284" t="s">
        <v>897</v>
      </c>
      <c r="E8119" s="178">
        <v>2018</v>
      </c>
      <c r="F8119" s="178" t="s">
        <v>5257</v>
      </c>
      <c r="G8119" s="496"/>
      <c r="H8119" s="994" t="s">
        <v>20224</v>
      </c>
      <c r="I8119" s="11" t="s">
        <v>11027</v>
      </c>
      <c r="J8119" s="1285"/>
      <c r="K8119" s="1285"/>
      <c r="L8119" s="1285"/>
    </row>
    <row r="8120" spans="1:12" ht="11.15" customHeight="1">
      <c r="A8120" s="129" t="s">
        <v>11028</v>
      </c>
      <c r="B8120" s="59" t="s">
        <v>21782</v>
      </c>
      <c r="C8120" s="147" t="s">
        <v>20221</v>
      </c>
      <c r="D8120" s="284" t="s">
        <v>897</v>
      </c>
      <c r="E8120" s="178">
        <v>2020</v>
      </c>
      <c r="F8120" s="178" t="s">
        <v>5257</v>
      </c>
      <c r="G8120" s="496"/>
      <c r="H8120" s="994" t="s">
        <v>20224</v>
      </c>
      <c r="I8120" s="11" t="s">
        <v>11029</v>
      </c>
      <c r="J8120" s="1285"/>
      <c r="K8120" s="1285"/>
      <c r="L8120" s="1285"/>
    </row>
    <row r="8121" spans="1:12" ht="11.15" customHeight="1">
      <c r="A8121" s="162" t="s">
        <v>11030</v>
      </c>
      <c r="B8121" s="59" t="s">
        <v>21782</v>
      </c>
      <c r="C8121" s="147" t="s">
        <v>20221</v>
      </c>
      <c r="D8121" s="284" t="s">
        <v>897</v>
      </c>
      <c r="E8121" s="178">
        <v>2019</v>
      </c>
      <c r="F8121" s="178" t="s">
        <v>5257</v>
      </c>
      <c r="G8121" s="496"/>
      <c r="H8121" s="994" t="s">
        <v>20224</v>
      </c>
      <c r="I8121" s="11" t="s">
        <v>11031</v>
      </c>
      <c r="J8121" s="1285"/>
      <c r="K8121" s="1285"/>
      <c r="L8121" s="1285"/>
    </row>
    <row r="8122" spans="1:12" ht="11.15" customHeight="1">
      <c r="A8122" s="162" t="s">
        <v>11032</v>
      </c>
      <c r="B8122" s="59" t="s">
        <v>21782</v>
      </c>
      <c r="C8122" s="147" t="s">
        <v>20221</v>
      </c>
      <c r="D8122" s="284" t="s">
        <v>897</v>
      </c>
      <c r="E8122" s="178">
        <v>2018</v>
      </c>
      <c r="F8122" s="178" t="s">
        <v>5257</v>
      </c>
      <c r="G8122" s="496"/>
      <c r="H8122" s="994" t="s">
        <v>20224</v>
      </c>
      <c r="I8122" s="11" t="s">
        <v>11033</v>
      </c>
      <c r="J8122" s="1285"/>
      <c r="K8122" s="1285"/>
      <c r="L8122" s="1285"/>
    </row>
    <row r="8123" spans="1:12" ht="11.15" customHeight="1">
      <c r="A8123" s="29" t="s">
        <v>11034</v>
      </c>
      <c r="B8123" s="59" t="s">
        <v>21729</v>
      </c>
      <c r="C8123" s="147" t="s">
        <v>20221</v>
      </c>
      <c r="D8123" s="284" t="s">
        <v>897</v>
      </c>
      <c r="E8123" s="178">
        <v>2020</v>
      </c>
      <c r="F8123" s="178" t="s">
        <v>5257</v>
      </c>
      <c r="G8123" s="496"/>
      <c r="H8123" s="994" t="s">
        <v>20224</v>
      </c>
      <c r="I8123" s="11" t="s">
        <v>11035</v>
      </c>
      <c r="J8123" s="1285"/>
      <c r="K8123" s="1285"/>
      <c r="L8123" s="1285"/>
    </row>
    <row r="8124" spans="1:12" ht="11.15" customHeight="1">
      <c r="A8124" s="29" t="s">
        <v>11036</v>
      </c>
      <c r="B8124" s="59" t="s">
        <v>21729</v>
      </c>
      <c r="C8124" s="147" t="s">
        <v>20221</v>
      </c>
      <c r="D8124" s="284" t="s">
        <v>897</v>
      </c>
      <c r="E8124" s="178">
        <v>2019</v>
      </c>
      <c r="F8124" s="178" t="s">
        <v>5257</v>
      </c>
      <c r="G8124" s="496"/>
      <c r="H8124" s="994" t="s">
        <v>20224</v>
      </c>
      <c r="I8124" s="11" t="s">
        <v>11037</v>
      </c>
      <c r="J8124" s="1285"/>
      <c r="K8124" s="1285"/>
      <c r="L8124" s="1285"/>
    </row>
    <row r="8125" spans="1:12" ht="11.15" customHeight="1">
      <c r="A8125" s="29" t="s">
        <v>11038</v>
      </c>
      <c r="B8125" s="59" t="s">
        <v>21729</v>
      </c>
      <c r="C8125" s="147" t="s">
        <v>20221</v>
      </c>
      <c r="D8125" s="284" t="s">
        <v>897</v>
      </c>
      <c r="E8125" s="178">
        <v>2018</v>
      </c>
      <c r="F8125" s="178" t="s">
        <v>5257</v>
      </c>
      <c r="G8125" s="496"/>
      <c r="H8125" s="994" t="s">
        <v>20224</v>
      </c>
      <c r="I8125" s="11" t="s">
        <v>11039</v>
      </c>
      <c r="J8125" s="1285"/>
      <c r="K8125" s="1285"/>
      <c r="L8125" s="1285"/>
    </row>
    <row r="8126" spans="1:12" ht="9" customHeight="1">
      <c r="A8126" s="166" t="s">
        <v>11040</v>
      </c>
      <c r="B8126" s="185"/>
      <c r="C8126" s="147"/>
      <c r="D8126" s="129"/>
      <c r="E8126" s="185"/>
      <c r="F8126" s="185"/>
      <c r="G8126" s="185"/>
      <c r="H8126" s="185"/>
      <c r="I8126" s="11"/>
    </row>
    <row r="8127" spans="1:12" ht="9" customHeight="1">
      <c r="A8127" s="166" t="s">
        <v>11041</v>
      </c>
      <c r="B8127" s="185"/>
      <c r="C8127" s="147"/>
      <c r="D8127" s="129"/>
      <c r="E8127" s="185"/>
      <c r="F8127" s="185"/>
      <c r="G8127" s="185"/>
      <c r="H8127" s="185"/>
      <c r="I8127" s="11"/>
    </row>
    <row r="8128" spans="1:12" ht="9" customHeight="1">
      <c r="A8128" s="129" t="s">
        <v>11042</v>
      </c>
      <c r="B8128" s="185"/>
      <c r="C8128" s="147"/>
      <c r="D8128" s="129"/>
      <c r="E8128" s="185"/>
      <c r="F8128" s="185"/>
      <c r="G8128" s="185"/>
      <c r="H8128" s="185"/>
      <c r="I8128" s="11"/>
    </row>
    <row r="8129" spans="1:12" ht="9" customHeight="1">
      <c r="A8129" s="129" t="s">
        <v>11043</v>
      </c>
      <c r="B8129" s="185"/>
      <c r="C8129" s="147"/>
      <c r="D8129" s="129"/>
      <c r="E8129" s="185"/>
      <c r="F8129" s="185"/>
      <c r="G8129" s="185"/>
      <c r="H8129" s="185"/>
      <c r="I8129" s="11"/>
    </row>
    <row r="8130" spans="1:12" ht="9" customHeight="1" thickBot="1">
      <c r="A8130" s="29"/>
      <c r="B8130" s="90"/>
      <c r="C8130" s="147"/>
      <c r="D8130" s="161"/>
      <c r="E8130" s="36"/>
      <c r="F8130" s="183"/>
      <c r="G8130" s="430"/>
      <c r="H8130" s="34"/>
      <c r="I8130" s="11"/>
    </row>
    <row r="8131" spans="1:12" ht="11.15" customHeight="1">
      <c r="A8131" s="600" t="s">
        <v>11044</v>
      </c>
      <c r="B8131" s="59" t="s">
        <v>18747</v>
      </c>
      <c r="C8131" s="147" t="s">
        <v>20221</v>
      </c>
      <c r="D8131" s="284" t="s">
        <v>897</v>
      </c>
      <c r="E8131" s="178">
        <v>2018</v>
      </c>
      <c r="F8131" s="178" t="s">
        <v>23395</v>
      </c>
      <c r="G8131" s="496"/>
      <c r="H8131" s="994" t="s">
        <v>20221</v>
      </c>
      <c r="I8131" s="11" t="s">
        <v>11045</v>
      </c>
      <c r="J8131" s="1285"/>
      <c r="K8131" s="1285"/>
      <c r="L8131" s="1285"/>
    </row>
    <row r="8132" spans="1:12" ht="11.15" customHeight="1" thickBot="1">
      <c r="A8132" s="670" t="s">
        <v>11046</v>
      </c>
      <c r="B8132" s="185"/>
      <c r="C8132" s="147"/>
      <c r="D8132" s="129"/>
      <c r="E8132" s="185"/>
      <c r="F8132" s="185"/>
      <c r="G8132" s="185"/>
      <c r="H8132" s="185"/>
      <c r="I8132" s="11"/>
    </row>
    <row r="8133" spans="1:12" ht="11.15" customHeight="1">
      <c r="A8133" s="29" t="s">
        <v>11047</v>
      </c>
      <c r="B8133" s="602" t="s">
        <v>11048</v>
      </c>
      <c r="C8133" s="147"/>
      <c r="D8133" s="129"/>
      <c r="E8133" s="185"/>
      <c r="F8133" s="185"/>
      <c r="G8133" s="185"/>
      <c r="H8133" s="185"/>
      <c r="I8133" s="11"/>
    </row>
    <row r="8134" spans="1:12" ht="11.15" customHeight="1">
      <c r="A8134" s="29" t="s">
        <v>11049</v>
      </c>
      <c r="B8134" s="603" t="s">
        <v>11050</v>
      </c>
      <c r="C8134" s="147"/>
      <c r="D8134" s="208"/>
      <c r="E8134" s="295"/>
      <c r="F8134" s="295"/>
      <c r="G8134" s="295"/>
      <c r="H8134" s="295"/>
      <c r="I8134" s="11"/>
    </row>
    <row r="8135" spans="1:12" ht="11.15" customHeight="1">
      <c r="A8135" s="29" t="s">
        <v>11051</v>
      </c>
      <c r="B8135" s="603" t="s">
        <v>11052</v>
      </c>
      <c r="C8135" s="147"/>
      <c r="D8135" s="208"/>
      <c r="E8135" s="295"/>
      <c r="F8135" s="295"/>
      <c r="G8135" s="295"/>
      <c r="H8135" s="295"/>
      <c r="I8135" s="11"/>
    </row>
    <row r="8136" spans="1:12" ht="11.15" customHeight="1">
      <c r="A8136" s="29" t="s">
        <v>11053</v>
      </c>
      <c r="B8136" s="603" t="s">
        <v>11054</v>
      </c>
      <c r="C8136" s="147"/>
      <c r="D8136" s="208"/>
      <c r="E8136" s="295"/>
      <c r="F8136" s="295"/>
      <c r="G8136" s="295"/>
      <c r="H8136" s="295"/>
      <c r="I8136" s="11"/>
    </row>
    <row r="8137" spans="1:12" ht="11.15" customHeight="1">
      <c r="A8137" s="29" t="s">
        <v>11055</v>
      </c>
      <c r="B8137" s="603" t="s">
        <v>11056</v>
      </c>
      <c r="C8137" s="147"/>
      <c r="D8137" s="208"/>
      <c r="E8137" s="295"/>
      <c r="F8137" s="295"/>
      <c r="G8137" s="295"/>
      <c r="H8137" s="295"/>
      <c r="I8137" s="11"/>
    </row>
    <row r="8138" spans="1:12" ht="11.15" customHeight="1">
      <c r="A8138" s="29" t="s">
        <v>11057</v>
      </c>
      <c r="B8138" s="603"/>
      <c r="C8138" s="147"/>
      <c r="D8138" s="208"/>
      <c r="E8138" s="295"/>
      <c r="F8138" s="295"/>
      <c r="G8138" s="295"/>
      <c r="H8138" s="295"/>
      <c r="I8138" s="11"/>
    </row>
    <row r="8139" spans="1:12" ht="11.15" customHeight="1">
      <c r="A8139" s="29" t="s">
        <v>11058</v>
      </c>
      <c r="B8139" s="603" t="s">
        <v>11059</v>
      </c>
      <c r="C8139" s="147"/>
      <c r="D8139" s="208"/>
      <c r="E8139" s="295"/>
      <c r="F8139" s="295"/>
      <c r="G8139" s="295"/>
      <c r="H8139" s="295"/>
      <c r="I8139" s="11"/>
    </row>
    <row r="8140" spans="1:12" ht="11.15" customHeight="1">
      <c r="A8140" s="29" t="s">
        <v>11060</v>
      </c>
      <c r="B8140" s="603" t="s">
        <v>11061</v>
      </c>
      <c r="C8140" s="147"/>
      <c r="D8140" s="208"/>
      <c r="E8140" s="295"/>
      <c r="F8140" s="295"/>
      <c r="G8140" s="295"/>
      <c r="H8140" s="295"/>
      <c r="I8140" s="11"/>
    </row>
    <row r="8141" spans="1:12" ht="11.15" customHeight="1">
      <c r="A8141" s="29" t="s">
        <v>11062</v>
      </c>
      <c r="B8141" s="603" t="s">
        <v>11063</v>
      </c>
      <c r="C8141" s="147"/>
      <c r="D8141" s="208"/>
      <c r="E8141" s="295"/>
      <c r="F8141" s="295"/>
      <c r="G8141" s="295"/>
      <c r="H8141" s="295"/>
      <c r="I8141" s="11"/>
    </row>
    <row r="8142" spans="1:12" ht="11.15" customHeight="1">
      <c r="A8142" s="129" t="s">
        <v>1077</v>
      </c>
      <c r="B8142" s="603" t="s">
        <v>11064</v>
      </c>
      <c r="C8142" s="147"/>
      <c r="D8142" s="208"/>
      <c r="E8142" s="295"/>
      <c r="F8142" s="295"/>
      <c r="G8142" s="295"/>
      <c r="H8142" s="295"/>
      <c r="I8142" s="11"/>
    </row>
    <row r="8143" spans="1:12" ht="11.15" customHeight="1">
      <c r="A8143" s="162" t="s">
        <v>11065</v>
      </c>
      <c r="B8143" s="604"/>
      <c r="C8143" s="147"/>
      <c r="D8143" s="208"/>
      <c r="E8143" s="295"/>
      <c r="F8143" s="295"/>
      <c r="G8143" s="295"/>
      <c r="H8143" s="295"/>
      <c r="I8143" s="11"/>
    </row>
    <row r="8144" spans="1:12" ht="11.15" customHeight="1">
      <c r="A8144" s="162" t="s">
        <v>11066</v>
      </c>
      <c r="B8144" s="603" t="s">
        <v>11050</v>
      </c>
      <c r="C8144" s="147"/>
      <c r="D8144" s="208"/>
      <c r="E8144" s="295"/>
      <c r="F8144" s="295"/>
      <c r="G8144" s="295"/>
      <c r="H8144" s="295"/>
      <c r="I8144" s="11"/>
    </row>
    <row r="8145" spans="1:9" ht="11.15" customHeight="1">
      <c r="A8145" s="162" t="s">
        <v>11067</v>
      </c>
      <c r="B8145" s="603" t="s">
        <v>11068</v>
      </c>
      <c r="C8145" s="147"/>
      <c r="D8145" s="208"/>
      <c r="E8145" s="295"/>
      <c r="F8145" s="295"/>
      <c r="G8145" s="295"/>
      <c r="H8145" s="295"/>
      <c r="I8145" s="11"/>
    </row>
    <row r="8146" spans="1:9" ht="11.15" customHeight="1">
      <c r="A8146" s="514" t="s">
        <v>11069</v>
      </c>
      <c r="B8146" s="603" t="s">
        <v>11070</v>
      </c>
      <c r="C8146" s="147"/>
      <c r="D8146" s="208"/>
      <c r="E8146" s="295"/>
      <c r="F8146" s="295"/>
      <c r="G8146" s="295"/>
      <c r="H8146" s="295"/>
      <c r="I8146" s="11"/>
    </row>
    <row r="8147" spans="1:9" ht="11.15" customHeight="1">
      <c r="A8147" s="162" t="s">
        <v>11071</v>
      </c>
      <c r="B8147" s="603" t="s">
        <v>11072</v>
      </c>
      <c r="C8147" s="147"/>
      <c r="D8147" s="208"/>
      <c r="E8147" s="295"/>
      <c r="F8147" s="295"/>
      <c r="G8147" s="295"/>
      <c r="H8147" s="295"/>
      <c r="I8147" s="11"/>
    </row>
    <row r="8148" spans="1:9" ht="11.15" customHeight="1">
      <c r="A8148" s="162" t="s">
        <v>11073</v>
      </c>
      <c r="B8148" s="605"/>
      <c r="C8148" s="147"/>
      <c r="D8148" s="208"/>
      <c r="E8148" s="210"/>
      <c r="F8148" s="150"/>
      <c r="G8148" s="1241"/>
      <c r="H8148" s="210"/>
      <c r="I8148" s="11"/>
    </row>
    <row r="8149" spans="1:9" ht="11.15" customHeight="1">
      <c r="A8149" s="162" t="s">
        <v>11074</v>
      </c>
      <c r="B8149" s="603" t="s">
        <v>11075</v>
      </c>
      <c r="C8149" s="147"/>
      <c r="D8149" s="208"/>
      <c r="E8149" s="295"/>
      <c r="F8149" s="295"/>
      <c r="G8149" s="295"/>
      <c r="H8149" s="295"/>
      <c r="I8149" s="11"/>
    </row>
    <row r="8150" spans="1:9" ht="11.15" customHeight="1">
      <c r="A8150" s="169" t="s">
        <v>11076</v>
      </c>
      <c r="B8150" s="603" t="s">
        <v>11077</v>
      </c>
      <c r="C8150" s="147"/>
      <c r="D8150" s="208"/>
      <c r="E8150" s="295"/>
      <c r="F8150" s="295"/>
      <c r="G8150" s="295"/>
      <c r="H8150" s="295"/>
      <c r="I8150" s="11"/>
    </row>
    <row r="8151" spans="1:9" ht="11.15" customHeight="1">
      <c r="A8151" s="169" t="s">
        <v>11078</v>
      </c>
      <c r="B8151" s="603" t="s">
        <v>11079</v>
      </c>
      <c r="C8151" s="147"/>
      <c r="D8151" s="208"/>
      <c r="E8151" s="295"/>
      <c r="F8151" s="295"/>
      <c r="G8151" s="295"/>
      <c r="H8151" s="295"/>
      <c r="I8151" s="11"/>
    </row>
    <row r="8152" spans="1:9" ht="11.15" customHeight="1" thickBot="1">
      <c r="A8152" s="29" t="s">
        <v>11080</v>
      </c>
      <c r="B8152" s="606" t="s">
        <v>11081</v>
      </c>
      <c r="C8152" s="147"/>
      <c r="D8152" s="185"/>
      <c r="E8152" s="295"/>
      <c r="F8152" s="295"/>
      <c r="G8152" s="295"/>
      <c r="H8152" s="295"/>
      <c r="I8152" s="11"/>
    </row>
    <row r="8153" spans="1:9" ht="11.15" customHeight="1" thickBot="1">
      <c r="A8153" s="386" t="s">
        <v>11082</v>
      </c>
      <c r="B8153" s="607"/>
      <c r="C8153" s="147"/>
      <c r="D8153" s="185"/>
      <c r="E8153" s="295"/>
      <c r="F8153" s="295"/>
      <c r="G8153" s="295"/>
      <c r="H8153" s="295"/>
      <c r="I8153" s="11"/>
    </row>
    <row r="8154" spans="1:9" ht="11.15" customHeight="1">
      <c r="A8154" s="363" t="s">
        <v>1327</v>
      </c>
      <c r="B8154" s="608" t="s">
        <v>11083</v>
      </c>
      <c r="C8154" s="147"/>
      <c r="D8154" s="185"/>
      <c r="E8154" s="295"/>
      <c r="F8154" s="295"/>
      <c r="G8154" s="295"/>
      <c r="H8154" s="295"/>
      <c r="I8154" s="11"/>
    </row>
    <row r="8155" spans="1:9" ht="11.15" customHeight="1">
      <c r="A8155" s="129" t="s">
        <v>11084</v>
      </c>
      <c r="B8155" s="609" t="s">
        <v>11085</v>
      </c>
      <c r="C8155" s="147"/>
      <c r="D8155" s="185"/>
      <c r="E8155" s="295"/>
      <c r="F8155" s="295"/>
      <c r="G8155" s="295"/>
      <c r="H8155" s="295"/>
      <c r="I8155" s="11"/>
    </row>
    <row r="8156" spans="1:9" ht="11.15" customHeight="1">
      <c r="A8156" s="29"/>
      <c r="B8156" s="609" t="s">
        <v>11086</v>
      </c>
      <c r="C8156" s="147"/>
      <c r="D8156" s="185"/>
      <c r="E8156" s="295"/>
      <c r="F8156" s="295"/>
      <c r="G8156" s="295"/>
      <c r="H8156" s="295"/>
      <c r="I8156" s="11"/>
    </row>
    <row r="8157" spans="1:9" ht="11.15" customHeight="1">
      <c r="A8157" s="185"/>
      <c r="B8157" s="609" t="s">
        <v>11087</v>
      </c>
      <c r="C8157" s="147"/>
      <c r="D8157" s="185"/>
      <c r="E8157" s="295"/>
      <c r="F8157" s="295"/>
      <c r="G8157" s="295"/>
      <c r="H8157" s="295"/>
      <c r="I8157" s="11"/>
    </row>
    <row r="8158" spans="1:9" ht="11.15" customHeight="1">
      <c r="A8158" s="29"/>
      <c r="B8158" s="609"/>
      <c r="C8158" s="147"/>
      <c r="D8158" s="185"/>
      <c r="E8158" s="295"/>
      <c r="F8158" s="295"/>
      <c r="G8158" s="295"/>
      <c r="H8158" s="295"/>
      <c r="I8158" s="11"/>
    </row>
    <row r="8159" spans="1:9" ht="11.15" customHeight="1">
      <c r="A8159" s="29"/>
      <c r="B8159" s="609" t="s">
        <v>11088</v>
      </c>
      <c r="C8159" s="147"/>
      <c r="D8159" s="185"/>
      <c r="E8159" s="295"/>
      <c r="F8159" s="295"/>
      <c r="G8159" s="295"/>
      <c r="H8159" s="295"/>
      <c r="I8159" s="11"/>
    </row>
    <row r="8160" spans="1:9" ht="11.15" customHeight="1">
      <c r="A8160" s="29"/>
      <c r="B8160" s="609" t="s">
        <v>11089</v>
      </c>
      <c r="C8160" s="147"/>
      <c r="D8160" s="185"/>
      <c r="E8160" s="295"/>
      <c r="F8160" s="295"/>
      <c r="G8160" s="295"/>
      <c r="H8160" s="295"/>
      <c r="I8160" s="11"/>
    </row>
    <row r="8161" spans="1:9" ht="11.15" customHeight="1">
      <c r="A8161" s="29"/>
      <c r="B8161" s="609" t="s">
        <v>11090</v>
      </c>
      <c r="C8161" s="147"/>
      <c r="D8161" s="185"/>
      <c r="E8161" s="295"/>
      <c r="F8161" s="295"/>
      <c r="G8161" s="295"/>
      <c r="H8161" s="295"/>
      <c r="I8161" s="11"/>
    </row>
    <row r="8162" spans="1:9" ht="11.15" customHeight="1">
      <c r="A8162" s="29"/>
      <c r="B8162" s="609" t="s">
        <v>11091</v>
      </c>
      <c r="C8162" s="147"/>
      <c r="D8162" s="185"/>
      <c r="E8162" s="295"/>
      <c r="F8162" s="295"/>
      <c r="G8162" s="295"/>
      <c r="H8162" s="295"/>
      <c r="I8162" s="11"/>
    </row>
    <row r="8163" spans="1:9" ht="11.15" customHeight="1">
      <c r="A8163" s="29"/>
      <c r="B8163" s="609"/>
      <c r="C8163" s="147"/>
      <c r="D8163" s="185"/>
      <c r="E8163" s="295"/>
      <c r="F8163" s="295"/>
      <c r="G8163" s="295"/>
      <c r="H8163" s="295"/>
      <c r="I8163" s="11"/>
    </row>
    <row r="8164" spans="1:9" ht="11.15" customHeight="1">
      <c r="A8164" s="29"/>
      <c r="B8164" s="609" t="s">
        <v>11092</v>
      </c>
      <c r="C8164" s="147"/>
      <c r="D8164" s="185"/>
      <c r="E8164" s="295"/>
      <c r="F8164" s="295"/>
      <c r="G8164" s="295"/>
      <c r="H8164" s="295"/>
      <c r="I8164" s="11"/>
    </row>
    <row r="8165" spans="1:9" ht="11.15" customHeight="1">
      <c r="A8165" s="29"/>
      <c r="B8165" s="609" t="s">
        <v>11093</v>
      </c>
      <c r="C8165" s="147"/>
      <c r="D8165" s="185"/>
      <c r="E8165" s="295"/>
      <c r="F8165" s="295"/>
      <c r="G8165" s="295"/>
      <c r="H8165" s="295"/>
      <c r="I8165" s="11"/>
    </row>
    <row r="8166" spans="1:9" ht="11.15" customHeight="1">
      <c r="A8166" s="29"/>
      <c r="B8166" s="609" t="s">
        <v>11094</v>
      </c>
      <c r="C8166" s="147"/>
      <c r="D8166" s="185"/>
      <c r="E8166" s="295"/>
      <c r="F8166" s="295"/>
      <c r="G8166" s="295"/>
      <c r="H8166" s="295"/>
      <c r="I8166" s="11"/>
    </row>
    <row r="8167" spans="1:9" ht="11.15" customHeight="1">
      <c r="A8167" s="29"/>
      <c r="B8167" s="610" t="s">
        <v>11095</v>
      </c>
      <c r="C8167" s="147"/>
      <c r="D8167" s="185"/>
      <c r="E8167" s="295"/>
      <c r="F8167" s="295"/>
      <c r="G8167" s="295"/>
      <c r="H8167" s="295"/>
      <c r="I8167" s="11"/>
    </row>
    <row r="8168" spans="1:9" ht="11.15" customHeight="1">
      <c r="A8168" s="29"/>
      <c r="B8168" s="609"/>
      <c r="C8168" s="147"/>
      <c r="D8168" s="185"/>
      <c r="E8168" s="295"/>
      <c r="F8168" s="295"/>
      <c r="G8168" s="295"/>
      <c r="H8168" s="295"/>
      <c r="I8168" s="11"/>
    </row>
    <row r="8169" spans="1:9" ht="11.15" customHeight="1">
      <c r="A8169" s="29"/>
      <c r="B8169" s="609" t="s">
        <v>11096</v>
      </c>
      <c r="C8169" s="147"/>
      <c r="D8169" s="185"/>
      <c r="E8169" s="295"/>
      <c r="F8169" s="295"/>
      <c r="G8169" s="295"/>
      <c r="H8169" s="295"/>
      <c r="I8169" s="11"/>
    </row>
    <row r="8170" spans="1:9" ht="11.15" customHeight="1">
      <c r="A8170" s="29"/>
      <c r="B8170" s="609" t="s">
        <v>11097</v>
      </c>
      <c r="C8170" s="147"/>
      <c r="D8170" s="185"/>
      <c r="E8170" s="295"/>
      <c r="F8170" s="295"/>
      <c r="G8170" s="295"/>
      <c r="H8170" s="295"/>
      <c r="I8170" s="11"/>
    </row>
    <row r="8171" spans="1:9" ht="11.15" customHeight="1">
      <c r="A8171" s="29"/>
      <c r="B8171" s="609" t="s">
        <v>11098</v>
      </c>
      <c r="C8171" s="147"/>
      <c r="D8171" s="185"/>
      <c r="E8171" s="295"/>
      <c r="F8171" s="295"/>
      <c r="G8171" s="295"/>
      <c r="H8171" s="295"/>
      <c r="I8171" s="11"/>
    </row>
    <row r="8172" spans="1:9" ht="11.15" customHeight="1" thickBot="1">
      <c r="A8172" s="29"/>
      <c r="B8172" s="611" t="s">
        <v>11099</v>
      </c>
      <c r="C8172" s="147"/>
      <c r="D8172" s="185"/>
      <c r="E8172" s="295"/>
      <c r="F8172" s="295"/>
      <c r="G8172" s="295"/>
      <c r="H8172" s="295"/>
      <c r="I8172" s="11"/>
    </row>
    <row r="8173" spans="1:9" ht="11.15" customHeight="1">
      <c r="A8173" s="29"/>
      <c r="B8173" s="214"/>
      <c r="C8173" s="147"/>
      <c r="D8173" s="185"/>
      <c r="E8173" s="295"/>
      <c r="F8173" s="295"/>
      <c r="G8173" s="295"/>
      <c r="H8173" s="295"/>
      <c r="I8173" s="11"/>
    </row>
    <row r="8174" spans="1:9" ht="9" customHeight="1">
      <c r="A8174" s="185"/>
      <c r="B8174" s="150" t="s">
        <v>11100</v>
      </c>
      <c r="C8174" s="147"/>
      <c r="D8174" s="185"/>
      <c r="E8174" s="295"/>
      <c r="F8174" s="295"/>
      <c r="G8174" s="295"/>
      <c r="H8174" s="295"/>
      <c r="I8174" s="11"/>
    </row>
    <row r="8175" spans="1:9" ht="9" customHeight="1">
      <c r="A8175" s="29"/>
      <c r="B8175" s="150" t="s">
        <v>11101</v>
      </c>
      <c r="C8175" s="147"/>
      <c r="D8175" s="129"/>
      <c r="E8175" s="185"/>
      <c r="F8175" s="185"/>
      <c r="G8175" s="185"/>
      <c r="H8175" s="185"/>
      <c r="I8175" s="11"/>
    </row>
    <row r="8176" spans="1:9" ht="9" customHeight="1" thickBot="1">
      <c r="A8176" s="242"/>
      <c r="B8176" s="150" t="s">
        <v>11102</v>
      </c>
      <c r="C8176" s="147"/>
      <c r="D8176" s="122"/>
      <c r="E8176" s="544"/>
      <c r="F8176" s="965"/>
      <c r="G8176" s="1233"/>
      <c r="H8176" s="545"/>
      <c r="I8176" s="11"/>
    </row>
    <row r="8177" spans="1:12" ht="11.15" customHeight="1">
      <c r="A8177" s="153" t="s">
        <v>11103</v>
      </c>
      <c r="B8177" s="59" t="s">
        <v>21783</v>
      </c>
      <c r="C8177" s="147" t="s">
        <v>20221</v>
      </c>
      <c r="D8177" s="284" t="s">
        <v>897</v>
      </c>
      <c r="E8177" s="178">
        <v>2020</v>
      </c>
      <c r="F8177" s="178" t="s">
        <v>4520</v>
      </c>
      <c r="G8177" s="496"/>
      <c r="H8177" s="994" t="s">
        <v>20221</v>
      </c>
      <c r="I8177" s="11" t="s">
        <v>11104</v>
      </c>
      <c r="J8177" s="1285"/>
      <c r="K8177" s="1285"/>
      <c r="L8177" s="1285"/>
    </row>
    <row r="8178" spans="1:12" ht="11.15" customHeight="1" thickBot="1">
      <c r="A8178" s="230" t="s">
        <v>11105</v>
      </c>
      <c r="B8178" s="59" t="s">
        <v>21783</v>
      </c>
      <c r="C8178" s="147" t="s">
        <v>20221</v>
      </c>
      <c r="D8178" s="284" t="s">
        <v>897</v>
      </c>
      <c r="E8178" s="178">
        <v>2019</v>
      </c>
      <c r="F8178" s="178" t="s">
        <v>4520</v>
      </c>
      <c r="G8178" s="496"/>
      <c r="H8178" s="994" t="s">
        <v>20221</v>
      </c>
      <c r="I8178" s="11" t="s">
        <v>11106</v>
      </c>
      <c r="J8178" s="1285"/>
      <c r="K8178" s="1285"/>
      <c r="L8178" s="1285"/>
    </row>
    <row r="8179" spans="1:12" ht="11.15" customHeight="1">
      <c r="A8179" s="29" t="s">
        <v>11107</v>
      </c>
      <c r="B8179" s="59" t="s">
        <v>21783</v>
      </c>
      <c r="C8179" s="147" t="s">
        <v>20221</v>
      </c>
      <c r="D8179" s="284" t="s">
        <v>897</v>
      </c>
      <c r="E8179" s="178">
        <v>2018</v>
      </c>
      <c r="F8179" s="178" t="s">
        <v>4520</v>
      </c>
      <c r="G8179" s="496"/>
      <c r="H8179" s="994" t="s">
        <v>20221</v>
      </c>
      <c r="I8179" s="11" t="s">
        <v>11108</v>
      </c>
      <c r="J8179" s="1285"/>
      <c r="K8179" s="1285"/>
      <c r="L8179" s="1285"/>
    </row>
    <row r="8180" spans="1:12" ht="11.15" customHeight="1">
      <c r="A8180" s="29" t="s">
        <v>11109</v>
      </c>
      <c r="B8180" s="59" t="s">
        <v>21783</v>
      </c>
      <c r="C8180" s="147" t="s">
        <v>20221</v>
      </c>
      <c r="D8180" s="284" t="s">
        <v>897</v>
      </c>
      <c r="E8180" s="178">
        <v>2017</v>
      </c>
      <c r="F8180" s="178" t="s">
        <v>4520</v>
      </c>
      <c r="G8180" s="496"/>
      <c r="H8180" s="994" t="s">
        <v>20221</v>
      </c>
      <c r="I8180" s="11" t="s">
        <v>11110</v>
      </c>
      <c r="J8180" s="1285"/>
      <c r="K8180" s="1285"/>
      <c r="L8180" s="1285"/>
    </row>
    <row r="8181" spans="1:12" ht="11.15" customHeight="1">
      <c r="A8181" s="29" t="s">
        <v>11111</v>
      </c>
      <c r="B8181" s="59" t="s">
        <v>21784</v>
      </c>
      <c r="C8181" s="147" t="s">
        <v>20221</v>
      </c>
      <c r="D8181" s="284" t="s">
        <v>897</v>
      </c>
      <c r="E8181" s="178">
        <v>2020</v>
      </c>
      <c r="F8181" s="178" t="s">
        <v>9678</v>
      </c>
      <c r="G8181" s="496"/>
      <c r="H8181" s="994" t="s">
        <v>20224</v>
      </c>
      <c r="I8181" s="11" t="s">
        <v>11112</v>
      </c>
      <c r="J8181" s="1285"/>
      <c r="K8181" s="1285"/>
      <c r="L8181" s="1285"/>
    </row>
    <row r="8182" spans="1:12" ht="11.15" customHeight="1">
      <c r="A8182" s="29" t="s">
        <v>11113</v>
      </c>
      <c r="B8182" s="59" t="s">
        <v>21784</v>
      </c>
      <c r="C8182" s="147" t="s">
        <v>20221</v>
      </c>
      <c r="D8182" s="284" t="s">
        <v>897</v>
      </c>
      <c r="E8182" s="178">
        <v>2018</v>
      </c>
      <c r="F8182" s="178" t="s">
        <v>9678</v>
      </c>
      <c r="G8182" s="496"/>
      <c r="H8182" s="994" t="s">
        <v>20224</v>
      </c>
      <c r="I8182" s="11" t="s">
        <v>11114</v>
      </c>
      <c r="J8182" s="1285"/>
      <c r="K8182" s="1285"/>
      <c r="L8182" s="1285"/>
    </row>
    <row r="8183" spans="1:12" ht="11.15" customHeight="1">
      <c r="A8183" s="181" t="s">
        <v>3895</v>
      </c>
      <c r="B8183" s="59" t="s">
        <v>21784</v>
      </c>
      <c r="C8183" s="147" t="s">
        <v>20221</v>
      </c>
      <c r="D8183" s="284" t="s">
        <v>897</v>
      </c>
      <c r="E8183" s="178">
        <v>2017</v>
      </c>
      <c r="F8183" s="178" t="s">
        <v>9678</v>
      </c>
      <c r="G8183" s="496"/>
      <c r="H8183" s="994" t="s">
        <v>20224</v>
      </c>
      <c r="I8183" s="11" t="s">
        <v>11115</v>
      </c>
      <c r="J8183" s="1285"/>
      <c r="K8183" s="1285"/>
      <c r="L8183" s="1285"/>
    </row>
    <row r="8184" spans="1:12" ht="11.15" customHeight="1">
      <c r="A8184" s="29" t="s">
        <v>11116</v>
      </c>
      <c r="B8184" s="59"/>
      <c r="C8184" s="147"/>
      <c r="D8184" s="161"/>
      <c r="E8184" s="36"/>
      <c r="F8184" s="183"/>
      <c r="G8184" s="671"/>
      <c r="H8184" s="34"/>
      <c r="I8184" s="11"/>
    </row>
    <row r="8185" spans="1:12" ht="11.15" customHeight="1">
      <c r="A8185" s="29" t="s">
        <v>11117</v>
      </c>
      <c r="B8185" s="59"/>
      <c r="C8185" s="147"/>
      <c r="D8185" s="161"/>
      <c r="E8185" s="36"/>
      <c r="F8185" s="183"/>
      <c r="G8185" s="671"/>
      <c r="H8185" s="34"/>
      <c r="I8185" s="11"/>
    </row>
    <row r="8186" spans="1:12" ht="11.15" customHeight="1">
      <c r="A8186" s="29" t="s">
        <v>11118</v>
      </c>
      <c r="B8186" s="59"/>
      <c r="C8186" s="147"/>
      <c r="D8186" s="161"/>
      <c r="E8186" s="36"/>
      <c r="F8186" s="183"/>
      <c r="G8186" s="671"/>
      <c r="H8186" s="34"/>
      <c r="I8186" s="11"/>
    </row>
    <row r="8187" spans="1:12" ht="11.15" customHeight="1">
      <c r="A8187" s="129" t="s">
        <v>896</v>
      </c>
      <c r="B8187" s="59"/>
      <c r="C8187" s="147"/>
      <c r="D8187" s="161"/>
      <c r="E8187" s="36"/>
      <c r="F8187" s="183"/>
      <c r="G8187" s="671"/>
      <c r="H8187" s="34"/>
      <c r="I8187" s="11"/>
    </row>
    <row r="8188" spans="1:12" ht="9" customHeight="1">
      <c r="A8188" s="162" t="s">
        <v>11119</v>
      </c>
      <c r="B8188" s="185"/>
      <c r="C8188" s="147"/>
      <c r="D8188" s="129"/>
      <c r="E8188" s="185"/>
      <c r="F8188" s="185"/>
      <c r="G8188" s="185"/>
      <c r="H8188" s="185"/>
      <c r="I8188" s="11"/>
    </row>
    <row r="8189" spans="1:12" ht="9" customHeight="1">
      <c r="A8189" s="162" t="s">
        <v>11120</v>
      </c>
      <c r="B8189" s="29"/>
      <c r="C8189" s="147"/>
      <c r="D8189" s="122"/>
      <c r="E8189" s="36"/>
      <c r="F8189" s="183"/>
      <c r="G8189" s="60"/>
      <c r="H8189" s="34"/>
      <c r="I8189" s="11"/>
    </row>
    <row r="8190" spans="1:12" ht="9" customHeight="1">
      <c r="A8190" s="162" t="s">
        <v>11121</v>
      </c>
      <c r="B8190" s="29"/>
      <c r="C8190" s="147"/>
      <c r="D8190" s="122"/>
      <c r="E8190" s="36"/>
      <c r="F8190" s="183"/>
      <c r="G8190" s="60"/>
      <c r="H8190" s="34"/>
      <c r="I8190" s="11"/>
    </row>
    <row r="8191" spans="1:12" ht="9" customHeight="1">
      <c r="A8191" s="162" t="s">
        <v>11122</v>
      </c>
      <c r="B8191" s="29"/>
      <c r="C8191" s="147"/>
      <c r="D8191" s="122"/>
      <c r="E8191" s="36"/>
      <c r="F8191" s="183"/>
      <c r="G8191" s="60"/>
      <c r="H8191" s="34"/>
      <c r="I8191" s="11"/>
    </row>
    <row r="8192" spans="1:12" ht="9" customHeight="1">
      <c r="A8192" s="162" t="s">
        <v>11123</v>
      </c>
      <c r="B8192" s="29"/>
      <c r="C8192" s="147"/>
      <c r="D8192" s="122"/>
      <c r="E8192" s="36"/>
      <c r="F8192" s="183"/>
      <c r="G8192" s="60"/>
      <c r="H8192" s="34"/>
      <c r="I8192" s="11"/>
    </row>
    <row r="8193" spans="1:9" ht="11.15" customHeight="1">
      <c r="A8193" s="129" t="s">
        <v>1077</v>
      </c>
      <c r="B8193" s="29"/>
      <c r="C8193" s="147"/>
      <c r="D8193" s="122"/>
      <c r="E8193" s="36"/>
      <c r="F8193" s="183"/>
      <c r="G8193" s="60"/>
      <c r="H8193" s="34"/>
      <c r="I8193" s="11"/>
    </row>
    <row r="8194" spans="1:9" ht="9" customHeight="1">
      <c r="A8194" s="162" t="s">
        <v>11124</v>
      </c>
      <c r="B8194" s="29"/>
      <c r="C8194" s="147"/>
      <c r="D8194" s="122"/>
      <c r="E8194" s="36"/>
      <c r="F8194" s="183"/>
      <c r="G8194" s="60"/>
      <c r="H8194" s="34"/>
      <c r="I8194" s="11"/>
    </row>
    <row r="8195" spans="1:9" ht="9" customHeight="1">
      <c r="A8195" s="162" t="s">
        <v>11125</v>
      </c>
      <c r="B8195" s="29"/>
      <c r="C8195" s="147"/>
      <c r="D8195" s="122"/>
      <c r="E8195" s="36"/>
      <c r="F8195" s="183"/>
      <c r="G8195" s="60"/>
      <c r="H8195" s="34"/>
      <c r="I8195" s="11"/>
    </row>
    <row r="8196" spans="1:9" ht="9" customHeight="1">
      <c r="A8196" s="162" t="s">
        <v>11126</v>
      </c>
      <c r="B8196" s="29"/>
      <c r="C8196" s="147"/>
      <c r="D8196" s="122"/>
      <c r="E8196" s="36"/>
      <c r="F8196" s="183"/>
      <c r="G8196" s="60"/>
      <c r="H8196" s="34"/>
      <c r="I8196" s="11"/>
    </row>
    <row r="8197" spans="1:9" ht="9" customHeight="1">
      <c r="A8197" s="162" t="s">
        <v>11127</v>
      </c>
      <c r="B8197" s="29"/>
      <c r="C8197" s="147"/>
      <c r="D8197" s="122"/>
      <c r="E8197" s="36"/>
      <c r="F8197" s="183"/>
      <c r="G8197" s="60"/>
      <c r="H8197" s="34"/>
      <c r="I8197" s="11"/>
    </row>
    <row r="8198" spans="1:9" ht="9" customHeight="1">
      <c r="A8198" s="162" t="s">
        <v>11128</v>
      </c>
      <c r="B8198" s="29"/>
      <c r="C8198" s="147"/>
      <c r="D8198" s="122"/>
      <c r="E8198" s="36"/>
      <c r="F8198" s="183"/>
      <c r="G8198" s="60"/>
      <c r="H8198" s="34"/>
      <c r="I8198" s="11"/>
    </row>
    <row r="8199" spans="1:9" ht="9" customHeight="1">
      <c r="A8199" s="162" t="s">
        <v>11129</v>
      </c>
      <c r="B8199" s="29"/>
      <c r="C8199" s="147"/>
      <c r="D8199" s="122"/>
      <c r="E8199" s="36"/>
      <c r="F8199" s="183"/>
      <c r="G8199" s="60"/>
      <c r="H8199" s="34"/>
      <c r="I8199" s="11"/>
    </row>
    <row r="8200" spans="1:9" ht="9" customHeight="1">
      <c r="A8200" s="162" t="s">
        <v>11130</v>
      </c>
      <c r="B8200" s="29"/>
      <c r="C8200" s="147"/>
      <c r="D8200" s="122"/>
      <c r="E8200" s="36"/>
      <c r="F8200" s="183"/>
      <c r="G8200" s="60"/>
      <c r="H8200" s="34"/>
      <c r="I8200" s="11"/>
    </row>
    <row r="8201" spans="1:9" ht="9" customHeight="1">
      <c r="A8201" s="162" t="s">
        <v>11131</v>
      </c>
      <c r="B8201" s="29"/>
      <c r="C8201" s="147"/>
      <c r="D8201" s="122"/>
      <c r="E8201" s="36"/>
      <c r="F8201" s="183"/>
      <c r="G8201" s="60"/>
      <c r="H8201" s="34"/>
      <c r="I8201" s="11"/>
    </row>
    <row r="8202" spans="1:9" ht="9" customHeight="1">
      <c r="A8202" s="162" t="s">
        <v>11132</v>
      </c>
      <c r="B8202" s="29"/>
      <c r="C8202" s="147"/>
      <c r="D8202" s="122"/>
      <c r="E8202" s="36"/>
      <c r="F8202" s="183"/>
      <c r="G8202" s="60"/>
      <c r="H8202" s="34"/>
      <c r="I8202" s="11"/>
    </row>
    <row r="8203" spans="1:9" ht="9" customHeight="1">
      <c r="A8203" s="162" t="s">
        <v>11133</v>
      </c>
      <c r="B8203" s="29"/>
      <c r="C8203" s="147"/>
      <c r="D8203" s="122"/>
      <c r="E8203" s="36"/>
      <c r="F8203" s="183"/>
      <c r="G8203" s="60"/>
      <c r="H8203" s="34"/>
      <c r="I8203" s="11"/>
    </row>
    <row r="8204" spans="1:9" ht="9" customHeight="1">
      <c r="A8204" s="162" t="s">
        <v>11134</v>
      </c>
      <c r="B8204" s="29"/>
      <c r="C8204" s="147"/>
      <c r="D8204" s="122"/>
      <c r="E8204" s="36"/>
      <c r="F8204" s="183"/>
      <c r="G8204" s="60"/>
      <c r="H8204" s="34"/>
      <c r="I8204" s="11"/>
    </row>
    <row r="8205" spans="1:9" ht="9" customHeight="1">
      <c r="A8205" s="162" t="s">
        <v>11135</v>
      </c>
      <c r="B8205" s="29"/>
      <c r="C8205" s="147"/>
      <c r="D8205" s="122"/>
      <c r="E8205" s="36"/>
      <c r="F8205" s="183"/>
      <c r="G8205" s="60"/>
      <c r="H8205" s="34"/>
      <c r="I8205" s="11"/>
    </row>
    <row r="8206" spans="1:9" ht="11.15" customHeight="1">
      <c r="A8206" s="129" t="s">
        <v>11136</v>
      </c>
      <c r="B8206" s="185"/>
      <c r="C8206" s="147"/>
      <c r="D8206" s="122"/>
      <c r="E8206" s="36"/>
      <c r="F8206" s="178"/>
      <c r="G8206" s="60"/>
      <c r="H8206" s="36"/>
      <c r="I8206" s="11"/>
    </row>
    <row r="8207" spans="1:9" ht="11.15" customHeight="1">
      <c r="A8207" s="512"/>
      <c r="B8207" s="146" t="s">
        <v>11137</v>
      </c>
      <c r="C8207" s="147"/>
      <c r="D8207" s="122"/>
      <c r="E8207" s="36"/>
      <c r="F8207" s="183"/>
      <c r="G8207" s="60"/>
      <c r="H8207" s="34"/>
      <c r="I8207" s="11"/>
    </row>
    <row r="8208" spans="1:9" ht="11.15" customHeight="1">
      <c r="A8208" s="512"/>
      <c r="B8208" s="150" t="s">
        <v>11138</v>
      </c>
      <c r="C8208" s="147"/>
      <c r="D8208" s="122"/>
      <c r="E8208" s="36"/>
      <c r="F8208" s="183"/>
      <c r="G8208" s="60"/>
      <c r="H8208" s="34"/>
      <c r="I8208" s="11"/>
    </row>
    <row r="8209" spans="1:12" ht="9" customHeight="1">
      <c r="A8209" s="185"/>
      <c r="B8209" s="209" t="s">
        <v>11139</v>
      </c>
      <c r="C8209" s="147"/>
      <c r="D8209" s="122"/>
      <c r="E8209" s="36"/>
      <c r="F8209" s="183"/>
      <c r="G8209" s="60"/>
      <c r="H8209" s="34"/>
      <c r="I8209" s="11"/>
    </row>
    <row r="8210" spans="1:12" ht="9" customHeight="1">
      <c r="A8210" s="185"/>
      <c r="B8210" s="209" t="s">
        <v>11140</v>
      </c>
      <c r="C8210" s="147"/>
      <c r="D8210" s="122"/>
      <c r="E8210" s="36"/>
      <c r="F8210" s="183"/>
      <c r="G8210" s="60"/>
      <c r="H8210" s="34"/>
      <c r="I8210" s="11"/>
    </row>
    <row r="8211" spans="1:12" ht="9" customHeight="1" thickBot="1">
      <c r="A8211" s="612"/>
      <c r="B8211" s="209" t="s">
        <v>11141</v>
      </c>
      <c r="C8211" s="147"/>
      <c r="D8211" s="122"/>
      <c r="E8211" s="36"/>
      <c r="F8211" s="183"/>
      <c r="G8211" s="60"/>
      <c r="H8211" s="34"/>
      <c r="I8211" s="11"/>
    </row>
    <row r="8212" spans="1:12" ht="11.15" customHeight="1">
      <c r="A8212" s="153" t="s">
        <v>11142</v>
      </c>
      <c r="B8212" s="154" t="s">
        <v>10573</v>
      </c>
      <c r="C8212" s="147"/>
      <c r="D8212" s="122"/>
      <c r="E8212" s="36"/>
      <c r="F8212" s="183"/>
      <c r="G8212" s="60"/>
      <c r="H8212" s="34"/>
      <c r="I8212" s="11"/>
    </row>
    <row r="8213" spans="1:12" ht="11.15" customHeight="1" thickBot="1">
      <c r="A8213" s="230" t="s">
        <v>11143</v>
      </c>
      <c r="B8213" s="59" t="s">
        <v>21786</v>
      </c>
      <c r="C8213" s="147" t="s">
        <v>20221</v>
      </c>
      <c r="D8213" s="739" t="s">
        <v>11144</v>
      </c>
      <c r="E8213" s="178">
        <v>2022</v>
      </c>
      <c r="F8213" s="178" t="s">
        <v>4520</v>
      </c>
      <c r="G8213" s="496"/>
      <c r="H8213" s="994" t="s">
        <v>20221</v>
      </c>
      <c r="I8213" s="11" t="s">
        <v>11145</v>
      </c>
      <c r="J8213" s="1285"/>
      <c r="K8213" s="1285"/>
      <c r="L8213" s="1285"/>
    </row>
    <row r="8214" spans="1:12" ht="11.15" customHeight="1">
      <c r="A8214" s="29" t="s">
        <v>11146</v>
      </c>
      <c r="B8214" s="154" t="s">
        <v>10573</v>
      </c>
      <c r="C8214" s="147"/>
      <c r="D8214" s="122"/>
      <c r="E8214" s="36"/>
      <c r="F8214" s="183"/>
      <c r="G8214" s="60"/>
      <c r="H8214" s="34"/>
      <c r="I8214" s="11"/>
    </row>
    <row r="8215" spans="1:12" ht="11.15" customHeight="1">
      <c r="A8215" s="29" t="s">
        <v>11147</v>
      </c>
      <c r="B8215" s="59" t="s">
        <v>21787</v>
      </c>
      <c r="C8215" s="147" t="s">
        <v>20221</v>
      </c>
      <c r="D8215" s="284" t="s">
        <v>897</v>
      </c>
      <c r="E8215" s="178">
        <v>2016</v>
      </c>
      <c r="F8215" s="178" t="s">
        <v>23395</v>
      </c>
      <c r="G8215" s="496"/>
      <c r="H8215" s="994" t="s">
        <v>20221</v>
      </c>
      <c r="I8215" s="11" t="s">
        <v>11148</v>
      </c>
      <c r="J8215" s="1285"/>
      <c r="K8215" s="1285"/>
      <c r="L8215" s="1285"/>
    </row>
    <row r="8216" spans="1:12" ht="11.15" customHeight="1">
      <c r="A8216" s="195" t="s">
        <v>11149</v>
      </c>
      <c r="B8216" s="59" t="s">
        <v>21787</v>
      </c>
      <c r="C8216" s="147" t="s">
        <v>20221</v>
      </c>
      <c r="D8216" s="284" t="s">
        <v>897</v>
      </c>
      <c r="E8216" s="178">
        <v>2015</v>
      </c>
      <c r="F8216" s="178" t="s">
        <v>4520</v>
      </c>
      <c r="G8216" s="496"/>
      <c r="H8216" s="994" t="s">
        <v>20277</v>
      </c>
      <c r="I8216" s="11" t="s">
        <v>11150</v>
      </c>
      <c r="J8216" s="1285"/>
      <c r="K8216" s="1285"/>
      <c r="L8216" s="1285"/>
    </row>
    <row r="8217" spans="1:12" ht="11.15" customHeight="1">
      <c r="A8217" s="129" t="s">
        <v>6076</v>
      </c>
      <c r="B8217" s="59" t="s">
        <v>21788</v>
      </c>
      <c r="C8217" s="147" t="s">
        <v>20221</v>
      </c>
      <c r="D8217" s="284" t="s">
        <v>897</v>
      </c>
      <c r="E8217" s="178">
        <v>2014</v>
      </c>
      <c r="F8217" s="178" t="s">
        <v>4520</v>
      </c>
      <c r="G8217" s="496"/>
      <c r="H8217" s="994" t="s">
        <v>20221</v>
      </c>
      <c r="I8217" s="11" t="s">
        <v>11151</v>
      </c>
      <c r="J8217" s="1285"/>
      <c r="K8217" s="1285"/>
      <c r="L8217" s="1285"/>
    </row>
    <row r="8218" spans="1:12" ht="11.15" customHeight="1">
      <c r="A8218" s="162" t="s">
        <v>11152</v>
      </c>
      <c r="B8218" s="59" t="s">
        <v>21788</v>
      </c>
      <c r="C8218" s="147" t="s">
        <v>20221</v>
      </c>
      <c r="D8218" s="284" t="s">
        <v>897</v>
      </c>
      <c r="E8218" s="178">
        <v>2013</v>
      </c>
      <c r="F8218" s="178" t="s">
        <v>4520</v>
      </c>
      <c r="G8218" s="496"/>
      <c r="H8218" s="994" t="s">
        <v>20221</v>
      </c>
      <c r="I8218" s="11" t="s">
        <v>11153</v>
      </c>
      <c r="J8218" s="1285"/>
      <c r="K8218" s="1285"/>
      <c r="L8218" s="1285"/>
    </row>
    <row r="8219" spans="1:12" ht="11.15" customHeight="1">
      <c r="A8219" s="162" t="s">
        <v>11154</v>
      </c>
      <c r="B8219" s="177" t="s">
        <v>11155</v>
      </c>
      <c r="C8219" s="147"/>
      <c r="D8219" s="161"/>
      <c r="E8219" s="36"/>
      <c r="F8219" s="183"/>
      <c r="G8219" s="671"/>
      <c r="H8219" s="183"/>
      <c r="I8219" s="11"/>
    </row>
    <row r="8220" spans="1:12" ht="11.15" customHeight="1">
      <c r="A8220" s="162" t="s">
        <v>11156</v>
      </c>
      <c r="B8220" s="59" t="s">
        <v>21789</v>
      </c>
      <c r="C8220" s="147" t="s">
        <v>20221</v>
      </c>
      <c r="D8220" s="284" t="s">
        <v>897</v>
      </c>
      <c r="E8220" s="178">
        <v>2019</v>
      </c>
      <c r="F8220" s="178" t="s">
        <v>4520</v>
      </c>
      <c r="G8220" s="496"/>
      <c r="H8220" s="994" t="s">
        <v>20221</v>
      </c>
      <c r="I8220" s="11" t="s">
        <v>11157</v>
      </c>
      <c r="J8220" s="1285"/>
      <c r="K8220" s="1285"/>
      <c r="L8220" s="1285"/>
    </row>
    <row r="8221" spans="1:12" ht="11.15" customHeight="1">
      <c r="A8221" s="162" t="s">
        <v>11158</v>
      </c>
      <c r="B8221" s="59" t="s">
        <v>21789</v>
      </c>
      <c r="C8221" s="147" t="s">
        <v>20221</v>
      </c>
      <c r="D8221" s="284" t="s">
        <v>897</v>
      </c>
      <c r="E8221" s="178">
        <v>2018</v>
      </c>
      <c r="F8221" s="178" t="s">
        <v>4520</v>
      </c>
      <c r="G8221" s="496"/>
      <c r="H8221" s="994" t="s">
        <v>20221</v>
      </c>
      <c r="I8221" s="11" t="s">
        <v>11159</v>
      </c>
      <c r="J8221" s="1285"/>
      <c r="K8221" s="1285"/>
      <c r="L8221" s="1285"/>
    </row>
    <row r="8222" spans="1:12" ht="11.15" customHeight="1">
      <c r="A8222" s="162" t="s">
        <v>11160</v>
      </c>
      <c r="B8222" s="177" t="s">
        <v>11161</v>
      </c>
      <c r="C8222" s="147"/>
      <c r="D8222" s="161"/>
      <c r="E8222" s="36"/>
      <c r="F8222" s="183"/>
      <c r="G8222" s="671"/>
      <c r="H8222" s="183"/>
      <c r="I8222" s="11"/>
    </row>
    <row r="8223" spans="1:12" ht="11.15" customHeight="1">
      <c r="A8223" s="162" t="s">
        <v>11162</v>
      </c>
      <c r="B8223" s="59" t="s">
        <v>21790</v>
      </c>
      <c r="C8223" s="147" t="s">
        <v>20221</v>
      </c>
      <c r="D8223" s="284" t="s">
        <v>897</v>
      </c>
      <c r="E8223" s="178">
        <v>2019</v>
      </c>
      <c r="F8223" s="178" t="s">
        <v>4520</v>
      </c>
      <c r="G8223" s="496"/>
      <c r="H8223" s="994" t="s">
        <v>20221</v>
      </c>
      <c r="I8223" s="11" t="s">
        <v>11163</v>
      </c>
      <c r="J8223" s="1285"/>
      <c r="K8223" s="1285"/>
      <c r="L8223" s="1285"/>
    </row>
    <row r="8224" spans="1:12" ht="11.15" customHeight="1">
      <c r="A8224" s="162" t="s">
        <v>11164</v>
      </c>
      <c r="B8224" s="59" t="s">
        <v>21790</v>
      </c>
      <c r="C8224" s="147" t="s">
        <v>20221</v>
      </c>
      <c r="D8224" s="284" t="s">
        <v>897</v>
      </c>
      <c r="E8224" s="178">
        <v>2018</v>
      </c>
      <c r="F8224" s="178" t="s">
        <v>4520</v>
      </c>
      <c r="G8224" s="496"/>
      <c r="H8224" s="994" t="s">
        <v>20221</v>
      </c>
      <c r="I8224" s="11" t="s">
        <v>11165</v>
      </c>
      <c r="J8224" s="1285"/>
      <c r="K8224" s="1285"/>
      <c r="L8224" s="1285"/>
    </row>
    <row r="8225" spans="1:12" ht="11.15" customHeight="1">
      <c r="A8225" s="162" t="s">
        <v>11166</v>
      </c>
      <c r="B8225" s="59" t="s">
        <v>21790</v>
      </c>
      <c r="C8225" s="147" t="s">
        <v>20221</v>
      </c>
      <c r="D8225" s="284" t="s">
        <v>897</v>
      </c>
      <c r="E8225" s="178">
        <v>2016</v>
      </c>
      <c r="F8225" s="178" t="s">
        <v>4520</v>
      </c>
      <c r="G8225" s="496"/>
      <c r="H8225" s="994" t="s">
        <v>20221</v>
      </c>
      <c r="I8225" s="11" t="s">
        <v>11167</v>
      </c>
      <c r="J8225" s="1285"/>
      <c r="K8225" s="1285"/>
      <c r="L8225" s="1285"/>
    </row>
    <row r="8226" spans="1:12" ht="11.15" customHeight="1">
      <c r="A8226" s="129" t="s">
        <v>3659</v>
      </c>
      <c r="B8226" s="59" t="s">
        <v>21790</v>
      </c>
      <c r="C8226" s="147" t="s">
        <v>20221</v>
      </c>
      <c r="D8226" s="284" t="s">
        <v>897</v>
      </c>
      <c r="E8226" s="178">
        <v>2015</v>
      </c>
      <c r="F8226" s="178" t="s">
        <v>4520</v>
      </c>
      <c r="G8226" s="496"/>
      <c r="H8226" s="994" t="s">
        <v>20221</v>
      </c>
      <c r="I8226" s="11" t="s">
        <v>11168</v>
      </c>
      <c r="J8226" s="1285"/>
      <c r="K8226" s="1285"/>
      <c r="L8226" s="1285"/>
    </row>
    <row r="8227" spans="1:12" ht="11.15" customHeight="1">
      <c r="A8227" s="162" t="s">
        <v>3702</v>
      </c>
      <c r="B8227" s="59" t="s">
        <v>21790</v>
      </c>
      <c r="C8227" s="147" t="s">
        <v>20221</v>
      </c>
      <c r="D8227" s="284" t="s">
        <v>897</v>
      </c>
      <c r="E8227" s="178">
        <v>2014</v>
      </c>
      <c r="F8227" s="178" t="s">
        <v>4520</v>
      </c>
      <c r="G8227" s="496"/>
      <c r="H8227" s="994" t="s">
        <v>20221</v>
      </c>
      <c r="I8227" s="11" t="s">
        <v>11169</v>
      </c>
      <c r="J8227" s="1285"/>
      <c r="K8227" s="1285"/>
      <c r="L8227" s="1285"/>
    </row>
    <row r="8228" spans="1:12" ht="11.15" customHeight="1">
      <c r="A8228" s="162" t="s">
        <v>9945</v>
      </c>
      <c r="B8228" s="59" t="s">
        <v>21790</v>
      </c>
      <c r="C8228" s="147" t="s">
        <v>20221</v>
      </c>
      <c r="D8228" s="284" t="s">
        <v>897</v>
      </c>
      <c r="E8228" s="178">
        <v>2013</v>
      </c>
      <c r="F8228" s="178" t="s">
        <v>4520</v>
      </c>
      <c r="G8228" s="496"/>
      <c r="H8228" s="994" t="s">
        <v>20221</v>
      </c>
      <c r="I8228" s="11" t="s">
        <v>11170</v>
      </c>
      <c r="J8228" s="1285"/>
      <c r="K8228" s="1285"/>
      <c r="L8228" s="1285"/>
    </row>
    <row r="8229" spans="1:12" ht="11.15" customHeight="1">
      <c r="A8229" s="162" t="s">
        <v>11171</v>
      </c>
      <c r="B8229" s="59" t="s">
        <v>21790</v>
      </c>
      <c r="C8229" s="147" t="s">
        <v>20221</v>
      </c>
      <c r="D8229" s="284" t="s">
        <v>897</v>
      </c>
      <c r="E8229" s="178">
        <v>2012</v>
      </c>
      <c r="F8229" s="178" t="s">
        <v>4520</v>
      </c>
      <c r="G8229" s="496"/>
      <c r="H8229" s="994" t="s">
        <v>20277</v>
      </c>
      <c r="I8229" s="11" t="s">
        <v>11172</v>
      </c>
      <c r="J8229" s="1285"/>
      <c r="K8229" s="1285"/>
      <c r="L8229" s="1285"/>
    </row>
    <row r="8230" spans="1:12" ht="11.15" customHeight="1">
      <c r="A8230" s="166" t="s">
        <v>11173</v>
      </c>
      <c r="B8230" s="59" t="s">
        <v>21791</v>
      </c>
      <c r="C8230" s="147" t="s">
        <v>20221</v>
      </c>
      <c r="D8230" s="284" t="s">
        <v>897</v>
      </c>
      <c r="E8230" s="178">
        <v>2018</v>
      </c>
      <c r="F8230" s="178" t="s">
        <v>4520</v>
      </c>
      <c r="G8230" s="496"/>
      <c r="H8230" s="994" t="s">
        <v>20221</v>
      </c>
      <c r="I8230" s="11" t="s">
        <v>11174</v>
      </c>
      <c r="J8230" s="1285"/>
      <c r="K8230" s="1285"/>
      <c r="L8230" s="1285"/>
    </row>
    <row r="8231" spans="1:12" ht="11.15" customHeight="1">
      <c r="A8231" s="129" t="s">
        <v>10827</v>
      </c>
      <c r="B8231" s="59" t="s">
        <v>21791</v>
      </c>
      <c r="C8231" s="147" t="s">
        <v>20221</v>
      </c>
      <c r="D8231" s="284" t="s">
        <v>897</v>
      </c>
      <c r="E8231" s="178">
        <v>2017</v>
      </c>
      <c r="F8231" s="178" t="s">
        <v>4520</v>
      </c>
      <c r="G8231" s="496"/>
      <c r="H8231" s="994" t="s">
        <v>20221</v>
      </c>
      <c r="I8231" s="11" t="s">
        <v>11175</v>
      </c>
      <c r="J8231" s="1285"/>
      <c r="K8231" s="1285"/>
      <c r="L8231" s="1285"/>
    </row>
    <row r="8232" spans="1:12" ht="11.15" customHeight="1">
      <c r="A8232" s="129" t="s">
        <v>11176</v>
      </c>
      <c r="B8232" s="59" t="s">
        <v>21791</v>
      </c>
      <c r="C8232" s="147" t="s">
        <v>20221</v>
      </c>
      <c r="D8232" s="284" t="s">
        <v>897</v>
      </c>
      <c r="E8232" s="178">
        <v>2016</v>
      </c>
      <c r="F8232" s="178" t="s">
        <v>4520</v>
      </c>
      <c r="G8232" s="496"/>
      <c r="H8232" s="994" t="s">
        <v>20221</v>
      </c>
      <c r="I8232" s="11" t="s">
        <v>11177</v>
      </c>
      <c r="J8232" s="1285"/>
      <c r="K8232" s="1285"/>
      <c r="L8232" s="1285"/>
    </row>
    <row r="8233" spans="1:12" ht="11.15" customHeight="1">
      <c r="A8233" s="29"/>
      <c r="B8233" s="59" t="s">
        <v>21791</v>
      </c>
      <c r="C8233" s="147" t="s">
        <v>20221</v>
      </c>
      <c r="D8233" s="284" t="s">
        <v>897</v>
      </c>
      <c r="E8233" s="178">
        <v>2015</v>
      </c>
      <c r="F8233" s="178" t="s">
        <v>4520</v>
      </c>
      <c r="G8233" s="496"/>
      <c r="H8233" s="994" t="s">
        <v>20221</v>
      </c>
      <c r="I8233" s="11" t="s">
        <v>11178</v>
      </c>
      <c r="J8233" s="1285"/>
      <c r="K8233" s="1285"/>
      <c r="L8233" s="1285"/>
    </row>
    <row r="8234" spans="1:12" ht="11.15" customHeight="1">
      <c r="A8234" s="185"/>
      <c r="B8234" s="59" t="s">
        <v>21791</v>
      </c>
      <c r="C8234" s="147" t="s">
        <v>20221</v>
      </c>
      <c r="D8234" s="284" t="s">
        <v>897</v>
      </c>
      <c r="E8234" s="178">
        <v>2014</v>
      </c>
      <c r="F8234" s="178" t="s">
        <v>4520</v>
      </c>
      <c r="G8234" s="496"/>
      <c r="H8234" s="994" t="s">
        <v>20221</v>
      </c>
      <c r="I8234" s="11" t="s">
        <v>11179</v>
      </c>
      <c r="J8234" s="1285"/>
      <c r="K8234" s="1285"/>
      <c r="L8234" s="1285"/>
    </row>
    <row r="8235" spans="1:12" ht="11.15" customHeight="1">
      <c r="A8235" s="185"/>
      <c r="B8235" s="177" t="s">
        <v>11180</v>
      </c>
      <c r="C8235" s="147"/>
      <c r="D8235" s="161"/>
      <c r="E8235" s="36"/>
      <c r="F8235" s="178"/>
      <c r="G8235" s="671"/>
      <c r="H8235" s="178"/>
      <c r="I8235" s="11"/>
    </row>
    <row r="8236" spans="1:12" ht="11.15" customHeight="1">
      <c r="A8236" s="185"/>
      <c r="B8236" s="59" t="s">
        <v>21792</v>
      </c>
      <c r="C8236" s="147" t="s">
        <v>20221</v>
      </c>
      <c r="D8236" s="284" t="s">
        <v>897</v>
      </c>
      <c r="E8236" s="178">
        <v>2019</v>
      </c>
      <c r="F8236" s="178" t="s">
        <v>5257</v>
      </c>
      <c r="G8236" s="496"/>
      <c r="H8236" s="994" t="s">
        <v>20221</v>
      </c>
      <c r="I8236" s="11" t="s">
        <v>11181</v>
      </c>
      <c r="J8236" s="1285"/>
      <c r="K8236" s="1285"/>
      <c r="L8236" s="1285"/>
    </row>
    <row r="8237" spans="1:12" ht="11.15" customHeight="1">
      <c r="A8237" s="185"/>
      <c r="B8237" s="59" t="s">
        <v>21793</v>
      </c>
      <c r="C8237" s="147" t="s">
        <v>20221</v>
      </c>
      <c r="D8237" s="284" t="s">
        <v>897</v>
      </c>
      <c r="E8237" s="178">
        <v>2019</v>
      </c>
      <c r="F8237" s="178" t="s">
        <v>5257</v>
      </c>
      <c r="G8237" s="496"/>
      <c r="H8237" s="994" t="s">
        <v>20224</v>
      </c>
      <c r="I8237" s="11" t="s">
        <v>11182</v>
      </c>
      <c r="J8237" s="1285"/>
      <c r="K8237" s="1285"/>
      <c r="L8237" s="1285"/>
    </row>
    <row r="8238" spans="1:12" ht="11.15" customHeight="1">
      <c r="A8238" s="185"/>
      <c r="B8238" s="59" t="s">
        <v>21793</v>
      </c>
      <c r="C8238" s="147" t="s">
        <v>20221</v>
      </c>
      <c r="D8238" s="284" t="s">
        <v>897</v>
      </c>
      <c r="E8238" s="178">
        <v>2016</v>
      </c>
      <c r="F8238" s="178" t="s">
        <v>5257</v>
      </c>
      <c r="G8238" s="496"/>
      <c r="H8238" s="994" t="s">
        <v>20224</v>
      </c>
      <c r="I8238" s="11" t="s">
        <v>11183</v>
      </c>
      <c r="J8238" s="1285"/>
      <c r="K8238" s="1285"/>
      <c r="L8238" s="1285"/>
    </row>
    <row r="8239" spans="1:12" ht="11.15" customHeight="1">
      <c r="A8239" s="185"/>
      <c r="B8239" s="59" t="s">
        <v>21793</v>
      </c>
      <c r="C8239" s="147" t="s">
        <v>20221</v>
      </c>
      <c r="D8239" s="284" t="s">
        <v>897</v>
      </c>
      <c r="E8239" s="178">
        <v>2015</v>
      </c>
      <c r="F8239" s="178" t="s">
        <v>11931</v>
      </c>
      <c r="G8239" s="496"/>
      <c r="H8239" s="994" t="s">
        <v>20224</v>
      </c>
      <c r="I8239" s="11" t="s">
        <v>11184</v>
      </c>
      <c r="J8239" s="1285"/>
      <c r="K8239" s="1285"/>
      <c r="L8239" s="1285"/>
    </row>
    <row r="8240" spans="1:12" ht="11.15" customHeight="1">
      <c r="A8240" s="185"/>
      <c r="B8240" s="59" t="s">
        <v>21794</v>
      </c>
      <c r="C8240" s="147" t="s">
        <v>20221</v>
      </c>
      <c r="D8240" s="284" t="s">
        <v>897</v>
      </c>
      <c r="E8240" s="178">
        <v>2014</v>
      </c>
      <c r="F8240" s="178" t="s">
        <v>11931</v>
      </c>
      <c r="G8240" s="496"/>
      <c r="H8240" s="994" t="s">
        <v>20221</v>
      </c>
      <c r="I8240" s="11" t="s">
        <v>11185</v>
      </c>
      <c r="J8240" s="1285"/>
      <c r="K8240" s="1285"/>
      <c r="L8240" s="1285"/>
    </row>
    <row r="8241" spans="1:12" ht="11.15" customHeight="1">
      <c r="A8241" s="185"/>
      <c r="B8241" s="59" t="s">
        <v>21795</v>
      </c>
      <c r="C8241" s="147" t="s">
        <v>20221</v>
      </c>
      <c r="D8241" s="284" t="s">
        <v>897</v>
      </c>
      <c r="E8241" s="178">
        <v>2014</v>
      </c>
      <c r="F8241" s="178" t="s">
        <v>11938</v>
      </c>
      <c r="G8241" s="496"/>
      <c r="H8241" s="994" t="s">
        <v>20224</v>
      </c>
      <c r="I8241" s="11" t="s">
        <v>11186</v>
      </c>
      <c r="J8241" s="1285"/>
      <c r="K8241" s="1285"/>
      <c r="L8241" s="1285"/>
    </row>
    <row r="8242" spans="1:12" ht="11.15" customHeight="1">
      <c r="A8242" s="185"/>
      <c r="B8242" s="59" t="s">
        <v>21795</v>
      </c>
      <c r="C8242" s="147" t="s">
        <v>20221</v>
      </c>
      <c r="D8242" s="284" t="s">
        <v>897</v>
      </c>
      <c r="E8242" s="178">
        <v>2013</v>
      </c>
      <c r="F8242" s="178" t="s">
        <v>11938</v>
      </c>
      <c r="G8242" s="496"/>
      <c r="H8242" s="994" t="s">
        <v>20224</v>
      </c>
      <c r="I8242" s="11" t="s">
        <v>11187</v>
      </c>
      <c r="J8242" s="1285"/>
      <c r="K8242" s="1285"/>
      <c r="L8242" s="1285"/>
    </row>
    <row r="8243" spans="1:12" ht="11.15" customHeight="1">
      <c r="A8243" s="185"/>
      <c r="B8243" s="59" t="s">
        <v>21795</v>
      </c>
      <c r="C8243" s="147" t="s">
        <v>20221</v>
      </c>
      <c r="D8243" s="284" t="s">
        <v>897</v>
      </c>
      <c r="E8243" s="178">
        <v>2012</v>
      </c>
      <c r="F8243" s="178" t="s">
        <v>11938</v>
      </c>
      <c r="G8243" s="496"/>
      <c r="H8243" s="994" t="s">
        <v>20224</v>
      </c>
      <c r="I8243" s="11" t="s">
        <v>11188</v>
      </c>
      <c r="J8243" s="1285"/>
      <c r="K8243" s="1285"/>
      <c r="L8243" s="1285"/>
    </row>
    <row r="8244" spans="1:12" ht="11.15" customHeight="1">
      <c r="A8244" s="185"/>
      <c r="B8244" s="177" t="s">
        <v>11189</v>
      </c>
      <c r="C8244" s="147"/>
      <c r="D8244" s="129"/>
      <c r="E8244" s="185"/>
      <c r="F8244" s="185"/>
      <c r="G8244" s="185"/>
      <c r="H8244" s="185"/>
      <c r="I8244" s="11"/>
    </row>
    <row r="8245" spans="1:12" ht="11.15" customHeight="1">
      <c r="A8245" s="185"/>
      <c r="B8245" s="59" t="s">
        <v>21796</v>
      </c>
      <c r="C8245" s="147" t="s">
        <v>20221</v>
      </c>
      <c r="D8245" s="284" t="s">
        <v>11190</v>
      </c>
      <c r="E8245" s="178" t="s">
        <v>19060</v>
      </c>
      <c r="F8245" s="178" t="s">
        <v>7168</v>
      </c>
      <c r="G8245" s="496"/>
      <c r="H8245" s="994" t="s">
        <v>20224</v>
      </c>
      <c r="I8245" s="11" t="s">
        <v>11191</v>
      </c>
      <c r="J8245" s="1285"/>
      <c r="K8245" s="1285"/>
      <c r="L8245" s="1285"/>
    </row>
    <row r="8246" spans="1:12" ht="11.15" customHeight="1">
      <c r="A8246" s="185"/>
      <c r="B8246" s="90"/>
      <c r="C8246" s="147"/>
      <c r="D8246" s="161"/>
      <c r="E8246" s="36"/>
      <c r="F8246" s="183"/>
      <c r="G8246" s="671"/>
      <c r="H8246" s="183"/>
      <c r="I8246" s="11"/>
    </row>
    <row r="8247" spans="1:12" ht="11.15" customHeight="1">
      <c r="A8247" s="512"/>
      <c r="B8247" s="146" t="s">
        <v>11192</v>
      </c>
      <c r="C8247" s="147"/>
      <c r="D8247" s="122"/>
      <c r="E8247" s="36"/>
      <c r="F8247" s="183"/>
      <c r="G8247" s="60"/>
      <c r="H8247" s="34"/>
      <c r="I8247" s="11"/>
    </row>
    <row r="8248" spans="1:12" ht="9" customHeight="1">
      <c r="A8248" s="162"/>
      <c r="B8248" s="150" t="s">
        <v>11193</v>
      </c>
      <c r="C8248" s="147"/>
      <c r="D8248" s="355"/>
      <c r="E8248" s="162"/>
      <c r="F8248" s="162"/>
      <c r="G8248" s="162"/>
      <c r="H8248" s="162"/>
      <c r="I8248" s="11"/>
    </row>
    <row r="8249" spans="1:12" ht="9" customHeight="1">
      <c r="A8249" s="162"/>
      <c r="B8249" s="150" t="s">
        <v>11194</v>
      </c>
      <c r="C8249" s="147"/>
      <c r="D8249" s="355"/>
      <c r="E8249" s="162"/>
      <c r="F8249" s="162"/>
      <c r="G8249" s="162"/>
      <c r="H8249" s="162"/>
      <c r="I8249" s="11"/>
    </row>
    <row r="8250" spans="1:12" ht="9" customHeight="1">
      <c r="A8250" s="162"/>
      <c r="B8250" s="150" t="s">
        <v>11195</v>
      </c>
      <c r="C8250" s="147"/>
      <c r="D8250" s="355"/>
      <c r="E8250" s="162"/>
      <c r="F8250" s="162"/>
      <c r="G8250" s="162"/>
      <c r="H8250" s="162"/>
      <c r="I8250" s="11"/>
    </row>
    <row r="8251" spans="1:12" ht="9" customHeight="1">
      <c r="A8251" s="162"/>
      <c r="B8251" s="150" t="s">
        <v>11196</v>
      </c>
      <c r="C8251" s="147"/>
      <c r="D8251" s="355"/>
      <c r="E8251" s="162"/>
      <c r="F8251" s="162"/>
      <c r="G8251" s="162"/>
      <c r="H8251" s="162"/>
      <c r="I8251" s="11"/>
    </row>
    <row r="8252" spans="1:12" ht="9" customHeight="1">
      <c r="A8252" s="162"/>
      <c r="B8252" s="150" t="s">
        <v>11197</v>
      </c>
      <c r="C8252" s="147"/>
      <c r="D8252" s="355"/>
      <c r="E8252" s="162"/>
      <c r="F8252" s="162"/>
      <c r="G8252" s="162"/>
      <c r="H8252" s="162"/>
      <c r="I8252" s="11"/>
    </row>
    <row r="8253" spans="1:12" ht="9" customHeight="1">
      <c r="A8253" s="162"/>
      <c r="B8253" s="150" t="s">
        <v>11198</v>
      </c>
      <c r="C8253" s="147"/>
      <c r="D8253" s="355"/>
      <c r="E8253" s="162"/>
      <c r="F8253" s="162"/>
      <c r="G8253" s="162"/>
      <c r="H8253" s="162"/>
      <c r="I8253" s="11"/>
    </row>
    <row r="8254" spans="1:12" ht="9" customHeight="1">
      <c r="A8254" s="162"/>
      <c r="B8254" s="150" t="s">
        <v>11199</v>
      </c>
      <c r="C8254" s="147"/>
      <c r="D8254" s="355"/>
      <c r="E8254" s="162"/>
      <c r="F8254" s="162"/>
      <c r="G8254" s="162"/>
      <c r="H8254" s="162"/>
      <c r="I8254" s="11"/>
    </row>
    <row r="8255" spans="1:12" ht="9" customHeight="1">
      <c r="A8255" s="162"/>
      <c r="B8255" s="150" t="s">
        <v>11200</v>
      </c>
      <c r="C8255" s="147"/>
      <c r="D8255" s="355"/>
      <c r="E8255" s="162"/>
      <c r="F8255" s="162"/>
      <c r="G8255" s="162"/>
      <c r="H8255" s="162"/>
      <c r="I8255" s="11"/>
    </row>
    <row r="8256" spans="1:12" ht="9" customHeight="1">
      <c r="A8256" s="162"/>
      <c r="B8256" s="150" t="s">
        <v>11201</v>
      </c>
      <c r="C8256" s="147"/>
      <c r="D8256" s="355"/>
      <c r="E8256" s="162"/>
      <c r="F8256" s="162"/>
      <c r="G8256" s="162"/>
      <c r="H8256" s="162"/>
      <c r="I8256" s="11"/>
    </row>
    <row r="8257" spans="1:12" ht="9" customHeight="1">
      <c r="A8257" s="162"/>
      <c r="B8257" s="150" t="s">
        <v>11202</v>
      </c>
      <c r="C8257" s="147"/>
      <c r="D8257" s="355"/>
      <c r="E8257" s="162"/>
      <c r="F8257" s="162"/>
      <c r="G8257" s="162"/>
      <c r="H8257" s="162"/>
      <c r="I8257" s="11"/>
    </row>
    <row r="8258" spans="1:12" ht="9" customHeight="1">
      <c r="A8258" s="162"/>
      <c r="B8258" s="150" t="s">
        <v>11203</v>
      </c>
      <c r="C8258" s="147"/>
      <c r="D8258" s="355"/>
      <c r="E8258" s="162"/>
      <c r="F8258" s="162"/>
      <c r="G8258" s="162"/>
      <c r="H8258" s="162"/>
      <c r="I8258" s="11"/>
    </row>
    <row r="8259" spans="1:12" ht="9" customHeight="1">
      <c r="A8259" s="162"/>
      <c r="B8259" s="150" t="s">
        <v>11204</v>
      </c>
      <c r="C8259" s="147"/>
      <c r="D8259" s="355"/>
      <c r="E8259" s="162"/>
      <c r="F8259" s="162"/>
      <c r="G8259" s="162"/>
      <c r="H8259" s="162"/>
      <c r="I8259" s="11"/>
    </row>
    <row r="8260" spans="1:12" ht="11.15" customHeight="1">
      <c r="A8260" s="512"/>
      <c r="B8260" s="146" t="s">
        <v>11205</v>
      </c>
      <c r="C8260" s="147"/>
      <c r="D8260" s="122"/>
      <c r="E8260" s="36"/>
      <c r="F8260" s="183"/>
      <c r="G8260" s="60"/>
      <c r="H8260" s="34"/>
      <c r="I8260" s="11"/>
    </row>
    <row r="8261" spans="1:12" ht="9" customHeight="1">
      <c r="A8261" s="162"/>
      <c r="B8261" s="150" t="s">
        <v>11206</v>
      </c>
      <c r="C8261" s="147"/>
      <c r="D8261" s="355"/>
      <c r="E8261" s="162"/>
      <c r="F8261" s="162"/>
      <c r="G8261" s="162"/>
      <c r="H8261" s="162"/>
      <c r="I8261" s="11"/>
    </row>
    <row r="8262" spans="1:12" ht="9" customHeight="1">
      <c r="A8262" s="162"/>
      <c r="B8262" s="150" t="s">
        <v>11207</v>
      </c>
      <c r="C8262" s="147"/>
      <c r="D8262" s="355"/>
      <c r="E8262" s="162"/>
      <c r="F8262" s="162"/>
      <c r="G8262" s="162"/>
      <c r="H8262" s="162"/>
      <c r="I8262" s="11"/>
    </row>
    <row r="8263" spans="1:12" ht="9" customHeight="1">
      <c r="A8263" s="162"/>
      <c r="B8263" s="150" t="s">
        <v>11208</v>
      </c>
      <c r="C8263" s="147"/>
      <c r="D8263" s="355"/>
      <c r="E8263" s="162"/>
      <c r="F8263" s="162"/>
      <c r="G8263" s="162"/>
      <c r="H8263" s="162"/>
      <c r="I8263" s="11"/>
    </row>
    <row r="8264" spans="1:12" ht="9" customHeight="1">
      <c r="A8264" s="162"/>
      <c r="B8264" s="150" t="s">
        <v>11209</v>
      </c>
      <c r="C8264" s="147"/>
      <c r="D8264" s="355"/>
      <c r="E8264" s="162"/>
      <c r="F8264" s="162"/>
      <c r="G8264" s="162"/>
      <c r="H8264" s="162"/>
      <c r="I8264" s="11"/>
    </row>
    <row r="8265" spans="1:12" ht="9" customHeight="1">
      <c r="A8265" s="162"/>
      <c r="B8265" s="150" t="s">
        <v>11210</v>
      </c>
      <c r="C8265" s="147"/>
      <c r="D8265" s="355"/>
      <c r="E8265" s="162"/>
      <c r="F8265" s="162"/>
      <c r="G8265" s="162"/>
      <c r="H8265" s="162"/>
      <c r="I8265" s="11"/>
    </row>
    <row r="8266" spans="1:12" ht="9" customHeight="1">
      <c r="A8266" s="162"/>
      <c r="B8266" s="150" t="s">
        <v>11211</v>
      </c>
      <c r="C8266" s="147"/>
      <c r="D8266" s="355"/>
      <c r="E8266" s="162"/>
      <c r="F8266" s="162"/>
      <c r="G8266" s="162"/>
      <c r="H8266" s="162"/>
      <c r="I8266" s="11"/>
    </row>
    <row r="8267" spans="1:12" ht="9" customHeight="1">
      <c r="A8267" s="162"/>
      <c r="B8267" s="150" t="s">
        <v>11212</v>
      </c>
      <c r="C8267" s="147"/>
      <c r="D8267" s="355"/>
      <c r="E8267" s="162"/>
      <c r="F8267" s="162"/>
      <c r="G8267" s="162"/>
      <c r="H8267" s="162"/>
      <c r="I8267" s="11"/>
    </row>
    <row r="8268" spans="1:12" ht="9" customHeight="1" thickBot="1">
      <c r="A8268" s="162"/>
      <c r="B8268" s="150" t="s">
        <v>11213</v>
      </c>
      <c r="C8268" s="147"/>
      <c r="D8268" s="355"/>
      <c r="E8268" s="162"/>
      <c r="F8268" s="162"/>
      <c r="G8268" s="162"/>
      <c r="H8268" s="162"/>
      <c r="I8268" s="11"/>
    </row>
    <row r="8269" spans="1:12" ht="11.15" customHeight="1">
      <c r="A8269" s="153" t="s">
        <v>11214</v>
      </c>
      <c r="B8269" s="177" t="s">
        <v>10573</v>
      </c>
      <c r="C8269" s="147"/>
      <c r="D8269" s="185"/>
      <c r="E8269" s="185"/>
      <c r="F8269" s="185"/>
      <c r="G8269" s="185"/>
      <c r="H8269" s="185"/>
      <c r="I8269" s="11"/>
    </row>
    <row r="8270" spans="1:12" ht="11.15" customHeight="1" thickBot="1">
      <c r="A8270" s="613" t="s">
        <v>11215</v>
      </c>
      <c r="B8270" s="59" t="s">
        <v>21719</v>
      </c>
      <c r="C8270" s="147" t="s">
        <v>20221</v>
      </c>
      <c r="D8270" s="284" t="s">
        <v>897</v>
      </c>
      <c r="E8270" s="178">
        <v>2023</v>
      </c>
      <c r="F8270" s="178" t="s">
        <v>4520</v>
      </c>
      <c r="G8270" s="496"/>
      <c r="H8270" s="994" t="s">
        <v>20221</v>
      </c>
      <c r="I8270" s="11" t="s">
        <v>11216</v>
      </c>
      <c r="J8270" s="1285"/>
      <c r="K8270" s="1285"/>
      <c r="L8270" s="1285"/>
    </row>
    <row r="8271" spans="1:12" ht="11.15" customHeight="1">
      <c r="A8271" s="29" t="s">
        <v>11217</v>
      </c>
      <c r="B8271" s="59" t="s">
        <v>21719</v>
      </c>
      <c r="C8271" s="147" t="s">
        <v>20221</v>
      </c>
      <c r="D8271" s="284" t="s">
        <v>897</v>
      </c>
      <c r="E8271" s="178">
        <v>2022</v>
      </c>
      <c r="F8271" s="178" t="s">
        <v>4520</v>
      </c>
      <c r="G8271" s="496"/>
      <c r="H8271" s="994" t="s">
        <v>20221</v>
      </c>
      <c r="I8271" s="11" t="s">
        <v>11218</v>
      </c>
      <c r="J8271" s="1285"/>
      <c r="K8271" s="1285"/>
      <c r="L8271" s="1285"/>
    </row>
    <row r="8272" spans="1:12" ht="11.15" customHeight="1">
      <c r="A8272" s="218" t="s">
        <v>1595</v>
      </c>
      <c r="B8272" s="59" t="s">
        <v>21719</v>
      </c>
      <c r="C8272" s="147" t="s">
        <v>20221</v>
      </c>
      <c r="D8272" s="284" t="s">
        <v>897</v>
      </c>
      <c r="E8272" s="178">
        <v>2021</v>
      </c>
      <c r="F8272" s="178" t="s">
        <v>4520</v>
      </c>
      <c r="G8272" s="496"/>
      <c r="H8272" s="994" t="s">
        <v>20221</v>
      </c>
      <c r="I8272" s="11" t="s">
        <v>11219</v>
      </c>
      <c r="J8272" s="1285"/>
      <c r="K8272" s="1285"/>
      <c r="L8272" s="1285"/>
    </row>
    <row r="8273" spans="1:12" ht="11.15" customHeight="1">
      <c r="A8273" s="29" t="s">
        <v>11220</v>
      </c>
      <c r="B8273" s="59" t="s">
        <v>21719</v>
      </c>
      <c r="C8273" s="147" t="s">
        <v>20221</v>
      </c>
      <c r="D8273" s="284" t="s">
        <v>897</v>
      </c>
      <c r="E8273" s="178">
        <v>2020</v>
      </c>
      <c r="F8273" s="178" t="s">
        <v>4520</v>
      </c>
      <c r="G8273" s="496"/>
      <c r="H8273" s="994" t="s">
        <v>20224</v>
      </c>
      <c r="I8273" s="11" t="s">
        <v>11221</v>
      </c>
      <c r="J8273" s="1285"/>
      <c r="K8273" s="1285"/>
      <c r="L8273" s="1285"/>
    </row>
    <row r="8274" spans="1:12" ht="11.15" customHeight="1">
      <c r="A8274" s="29" t="s">
        <v>11222</v>
      </c>
      <c r="B8274" s="59" t="s">
        <v>21719</v>
      </c>
      <c r="C8274" s="147" t="s">
        <v>20221</v>
      </c>
      <c r="D8274" s="284" t="s">
        <v>897</v>
      </c>
      <c r="E8274" s="178">
        <v>2019</v>
      </c>
      <c r="F8274" s="178" t="s">
        <v>4520</v>
      </c>
      <c r="G8274" s="496"/>
      <c r="H8274" s="994" t="s">
        <v>20277</v>
      </c>
      <c r="I8274" s="11" t="s">
        <v>11223</v>
      </c>
      <c r="J8274" s="1285"/>
      <c r="K8274" s="1285"/>
      <c r="L8274" s="1285"/>
    </row>
    <row r="8275" spans="1:12" ht="11.15" customHeight="1">
      <c r="A8275" s="29" t="s">
        <v>11224</v>
      </c>
      <c r="B8275" s="59" t="s">
        <v>21797</v>
      </c>
      <c r="C8275" s="147" t="s">
        <v>20221</v>
      </c>
      <c r="D8275" s="284" t="s">
        <v>897</v>
      </c>
      <c r="E8275" s="178">
        <v>2014</v>
      </c>
      <c r="F8275" s="178" t="s">
        <v>4520</v>
      </c>
      <c r="G8275" s="496"/>
      <c r="H8275" s="994" t="s">
        <v>20224</v>
      </c>
      <c r="I8275" s="11" t="s">
        <v>11225</v>
      </c>
      <c r="J8275" s="1285"/>
      <c r="K8275" s="1285"/>
      <c r="L8275" s="1285"/>
    </row>
    <row r="8276" spans="1:12" ht="11.15" customHeight="1">
      <c r="A8276" s="29" t="s">
        <v>11226</v>
      </c>
      <c r="B8276" s="177" t="s">
        <v>10603</v>
      </c>
      <c r="C8276" s="147"/>
      <c r="D8276" s="129"/>
      <c r="E8276" s="185"/>
      <c r="F8276" s="185"/>
      <c r="G8276" s="185"/>
      <c r="H8276" s="185"/>
      <c r="I8276" s="11"/>
    </row>
    <row r="8277" spans="1:12" ht="11.15" customHeight="1">
      <c r="A8277" s="29" t="s">
        <v>11227</v>
      </c>
      <c r="B8277" s="59" t="s">
        <v>21798</v>
      </c>
      <c r="C8277" s="147" t="s">
        <v>20221</v>
      </c>
      <c r="D8277" s="284" t="s">
        <v>897</v>
      </c>
      <c r="E8277" s="178">
        <v>2020</v>
      </c>
      <c r="F8277" s="178" t="s">
        <v>23394</v>
      </c>
      <c r="G8277" s="496"/>
      <c r="H8277" s="994" t="s">
        <v>20221</v>
      </c>
      <c r="I8277" s="11" t="s">
        <v>11228</v>
      </c>
      <c r="J8277" s="1285"/>
      <c r="K8277" s="1285"/>
      <c r="L8277" s="1285"/>
    </row>
    <row r="8278" spans="1:12" ht="11.15" customHeight="1">
      <c r="A8278" s="129" t="s">
        <v>2910</v>
      </c>
      <c r="B8278" s="59" t="s">
        <v>21798</v>
      </c>
      <c r="C8278" s="147" t="s">
        <v>20221</v>
      </c>
      <c r="D8278" s="284" t="s">
        <v>897</v>
      </c>
      <c r="E8278" s="178">
        <v>2019</v>
      </c>
      <c r="F8278" s="178" t="s">
        <v>23394</v>
      </c>
      <c r="G8278" s="496"/>
      <c r="H8278" s="994" t="s">
        <v>20224</v>
      </c>
      <c r="I8278" s="11" t="s">
        <v>11229</v>
      </c>
      <c r="J8278" s="1285"/>
      <c r="K8278" s="1285"/>
      <c r="L8278" s="1285"/>
    </row>
    <row r="8279" spans="1:12" ht="11.15" customHeight="1">
      <c r="A8279" s="162" t="s">
        <v>11230</v>
      </c>
      <c r="B8279" s="59" t="s">
        <v>21798</v>
      </c>
      <c r="C8279" s="147" t="s">
        <v>20221</v>
      </c>
      <c r="D8279" s="284" t="s">
        <v>897</v>
      </c>
      <c r="E8279" s="178">
        <v>2018</v>
      </c>
      <c r="F8279" s="178" t="s">
        <v>23394</v>
      </c>
      <c r="G8279" s="496"/>
      <c r="H8279" s="994" t="s">
        <v>20224</v>
      </c>
      <c r="I8279" s="11" t="s">
        <v>11231</v>
      </c>
      <c r="J8279" s="1285"/>
      <c r="K8279" s="1285"/>
      <c r="L8279" s="1285"/>
    </row>
    <row r="8280" spans="1:12" ht="11.15" customHeight="1">
      <c r="A8280" s="162" t="s">
        <v>11232</v>
      </c>
      <c r="B8280" s="59" t="s">
        <v>21798</v>
      </c>
      <c r="C8280" s="147" t="s">
        <v>20221</v>
      </c>
      <c r="D8280" s="284" t="s">
        <v>897</v>
      </c>
      <c r="E8280" s="178">
        <v>2017</v>
      </c>
      <c r="F8280" s="178" t="s">
        <v>23394</v>
      </c>
      <c r="G8280" s="496"/>
      <c r="H8280" s="994" t="s">
        <v>20224</v>
      </c>
      <c r="I8280" s="11" t="s">
        <v>11233</v>
      </c>
      <c r="J8280" s="1285"/>
      <c r="K8280" s="1285"/>
      <c r="L8280" s="1285"/>
    </row>
    <row r="8281" spans="1:12" ht="11.15" customHeight="1">
      <c r="A8281" s="162" t="s">
        <v>11234</v>
      </c>
      <c r="B8281" s="177" t="s">
        <v>10732</v>
      </c>
      <c r="C8281" s="147"/>
      <c r="D8281" s="129"/>
      <c r="E8281" s="185"/>
      <c r="F8281" s="185"/>
      <c r="G8281" s="185"/>
      <c r="H8281" s="185"/>
      <c r="I8281" s="11"/>
    </row>
    <row r="8282" spans="1:12" ht="11.15" customHeight="1">
      <c r="A8282" s="162" t="s">
        <v>11235</v>
      </c>
      <c r="B8282" s="59" t="s">
        <v>21799</v>
      </c>
      <c r="C8282" s="147" t="s">
        <v>20221</v>
      </c>
      <c r="D8282" s="284" t="s">
        <v>897</v>
      </c>
      <c r="E8282" s="178" t="s">
        <v>20221</v>
      </c>
      <c r="F8282" s="178" t="s">
        <v>9678</v>
      </c>
      <c r="G8282" s="496"/>
      <c r="H8282" s="994" t="s">
        <v>20224</v>
      </c>
      <c r="I8282" s="11" t="s">
        <v>11236</v>
      </c>
      <c r="J8282" s="1285"/>
      <c r="K8282" s="1285"/>
      <c r="L8282" s="1285"/>
    </row>
    <row r="8283" spans="1:12" ht="11.15" customHeight="1">
      <c r="A8283" s="162" t="s">
        <v>11237</v>
      </c>
      <c r="B8283" s="90"/>
      <c r="C8283" s="147"/>
      <c r="D8283" s="161"/>
      <c r="E8283" s="36"/>
      <c r="F8283" s="178"/>
      <c r="G8283" s="671"/>
      <c r="H8283" s="36"/>
      <c r="I8283" s="11"/>
    </row>
    <row r="8284" spans="1:12" ht="9" customHeight="1">
      <c r="A8284" s="129" t="s">
        <v>1077</v>
      </c>
      <c r="B8284" s="90"/>
      <c r="C8284" s="147"/>
      <c r="D8284" s="161"/>
      <c r="E8284" s="36"/>
      <c r="F8284" s="178"/>
      <c r="G8284" s="671"/>
      <c r="H8284" s="36"/>
      <c r="I8284" s="11"/>
    </row>
    <row r="8285" spans="1:12" ht="9" customHeight="1">
      <c r="A8285" s="162" t="s">
        <v>11238</v>
      </c>
      <c r="B8285" s="90"/>
      <c r="C8285" s="147"/>
      <c r="D8285" s="161"/>
      <c r="E8285" s="36"/>
      <c r="F8285" s="178"/>
      <c r="G8285" s="671"/>
      <c r="H8285" s="36"/>
      <c r="I8285" s="11"/>
    </row>
    <row r="8286" spans="1:12" ht="9" customHeight="1">
      <c r="A8286" s="162" t="s">
        <v>11239</v>
      </c>
      <c r="B8286" s="90"/>
      <c r="C8286" s="147"/>
      <c r="D8286" s="161"/>
      <c r="E8286" s="36"/>
      <c r="F8286" s="178"/>
      <c r="G8286" s="671"/>
      <c r="H8286" s="36"/>
      <c r="I8286" s="11"/>
    </row>
    <row r="8287" spans="1:12" ht="9" customHeight="1">
      <c r="A8287" s="162" t="s">
        <v>11240</v>
      </c>
      <c r="B8287" s="90"/>
      <c r="C8287" s="147"/>
      <c r="D8287" s="161"/>
      <c r="E8287" s="36"/>
      <c r="F8287" s="178"/>
      <c r="G8287" s="671"/>
      <c r="H8287" s="36"/>
      <c r="I8287" s="11"/>
    </row>
    <row r="8288" spans="1:12" ht="9" customHeight="1">
      <c r="A8288" s="162" t="s">
        <v>11241</v>
      </c>
      <c r="B8288" s="90"/>
      <c r="C8288" s="147"/>
      <c r="D8288" s="161"/>
      <c r="E8288" s="36"/>
      <c r="F8288" s="178"/>
      <c r="G8288" s="671"/>
      <c r="H8288" s="36"/>
      <c r="I8288" s="11"/>
    </row>
    <row r="8289" spans="1:9" ht="9" customHeight="1">
      <c r="A8289" s="162" t="s">
        <v>11242</v>
      </c>
      <c r="B8289" s="90"/>
      <c r="C8289" s="147"/>
      <c r="D8289" s="161"/>
      <c r="E8289" s="36"/>
      <c r="F8289" s="178"/>
      <c r="G8289" s="671"/>
      <c r="H8289" s="36"/>
      <c r="I8289" s="11"/>
    </row>
    <row r="8290" spans="1:9" ht="9" customHeight="1">
      <c r="A8290" s="162" t="s">
        <v>11243</v>
      </c>
      <c r="B8290" s="90"/>
      <c r="C8290" s="147"/>
      <c r="D8290" s="161"/>
      <c r="E8290" s="36"/>
      <c r="F8290" s="178"/>
      <c r="G8290" s="671"/>
      <c r="H8290" s="36"/>
      <c r="I8290" s="11"/>
    </row>
    <row r="8291" spans="1:9" ht="9" customHeight="1">
      <c r="A8291" s="162" t="s">
        <v>11244</v>
      </c>
      <c r="B8291" s="90"/>
      <c r="C8291" s="147"/>
      <c r="D8291" s="161"/>
      <c r="E8291" s="36"/>
      <c r="F8291" s="178"/>
      <c r="G8291" s="671"/>
      <c r="H8291" s="36"/>
      <c r="I8291" s="11"/>
    </row>
    <row r="8292" spans="1:9" ht="9" customHeight="1">
      <c r="A8292" s="162" t="s">
        <v>11245</v>
      </c>
      <c r="B8292" s="90"/>
      <c r="C8292" s="147"/>
      <c r="D8292" s="161"/>
      <c r="E8292" s="36"/>
      <c r="F8292" s="178"/>
      <c r="G8292" s="671"/>
      <c r="H8292" s="36"/>
      <c r="I8292" s="11"/>
    </row>
    <row r="8293" spans="1:9" ht="9" customHeight="1">
      <c r="A8293" s="162" t="s">
        <v>11246</v>
      </c>
      <c r="B8293" s="90"/>
      <c r="C8293" s="147"/>
      <c r="D8293" s="161"/>
      <c r="E8293" s="36"/>
      <c r="F8293" s="183"/>
      <c r="G8293" s="671"/>
      <c r="H8293" s="34"/>
      <c r="I8293" s="11"/>
    </row>
    <row r="8294" spans="1:9" ht="9" customHeight="1">
      <c r="A8294" s="162" t="s">
        <v>11247</v>
      </c>
      <c r="B8294" s="90"/>
      <c r="C8294" s="147"/>
      <c r="D8294" s="161"/>
      <c r="E8294" s="36"/>
      <c r="F8294" s="183"/>
      <c r="G8294" s="671"/>
      <c r="H8294" s="34"/>
      <c r="I8294" s="11"/>
    </row>
    <row r="8295" spans="1:9" ht="9" customHeight="1">
      <c r="A8295" s="162" t="s">
        <v>11248</v>
      </c>
      <c r="B8295" s="90"/>
      <c r="C8295" s="147"/>
      <c r="D8295" s="161"/>
      <c r="E8295" s="36"/>
      <c r="F8295" s="183"/>
      <c r="G8295" s="671"/>
      <c r="H8295" s="34"/>
      <c r="I8295" s="11"/>
    </row>
    <row r="8296" spans="1:9" ht="9" customHeight="1">
      <c r="A8296" s="162" t="s">
        <v>11249</v>
      </c>
      <c r="B8296" s="90"/>
      <c r="C8296" s="147"/>
      <c r="D8296" s="161"/>
      <c r="E8296" s="36"/>
      <c r="F8296" s="183"/>
      <c r="G8296" s="671"/>
      <c r="H8296" s="34"/>
      <c r="I8296" s="11"/>
    </row>
    <row r="8297" spans="1:9" ht="9" customHeight="1">
      <c r="A8297" s="162" t="s">
        <v>11250</v>
      </c>
      <c r="B8297" s="90"/>
      <c r="C8297" s="147"/>
      <c r="D8297" s="161"/>
      <c r="E8297" s="36"/>
      <c r="F8297" s="183"/>
      <c r="G8297" s="671"/>
      <c r="H8297" s="34"/>
      <c r="I8297" s="11"/>
    </row>
    <row r="8298" spans="1:9" ht="9" customHeight="1">
      <c r="A8298" s="129" t="s">
        <v>11251</v>
      </c>
      <c r="B8298" s="90"/>
      <c r="C8298" s="147"/>
      <c r="D8298" s="161"/>
      <c r="E8298" s="36"/>
      <c r="F8298" s="183"/>
      <c r="G8298" s="671"/>
      <c r="H8298" s="34"/>
      <c r="I8298" s="11"/>
    </row>
    <row r="8299" spans="1:9" ht="9" customHeight="1">
      <c r="A8299" s="185"/>
      <c r="B8299" s="614"/>
      <c r="C8299" s="147"/>
      <c r="D8299" s="122"/>
      <c r="E8299" s="36"/>
      <c r="F8299" s="178"/>
      <c r="G8299" s="60"/>
      <c r="H8299" s="36"/>
      <c r="I8299" s="11"/>
    </row>
    <row r="8300" spans="1:9" ht="9" customHeight="1">
      <c r="A8300" s="185"/>
      <c r="B8300" s="614"/>
      <c r="C8300" s="147"/>
      <c r="D8300" s="122"/>
      <c r="E8300" s="36"/>
      <c r="F8300" s="178"/>
      <c r="G8300" s="60"/>
      <c r="H8300" s="36"/>
      <c r="I8300" s="11"/>
    </row>
    <row r="8301" spans="1:9" ht="9" customHeight="1">
      <c r="A8301" s="185"/>
      <c r="B8301" s="614"/>
      <c r="C8301" s="147"/>
      <c r="D8301" s="122"/>
      <c r="E8301" s="36"/>
      <c r="F8301" s="178"/>
      <c r="G8301" s="60"/>
      <c r="H8301" s="36"/>
      <c r="I8301" s="11"/>
    </row>
    <row r="8302" spans="1:9" ht="9" customHeight="1">
      <c r="A8302" s="185"/>
      <c r="B8302" s="614"/>
      <c r="C8302" s="147"/>
      <c r="D8302" s="122"/>
      <c r="E8302" s="36"/>
      <c r="F8302" s="178"/>
      <c r="G8302" s="60"/>
      <c r="H8302" s="36"/>
      <c r="I8302" s="11"/>
    </row>
    <row r="8303" spans="1:9" ht="9" customHeight="1">
      <c r="A8303" s="185"/>
      <c r="B8303" s="614"/>
      <c r="C8303" s="147"/>
      <c r="D8303" s="122"/>
      <c r="E8303" s="36"/>
      <c r="F8303" s="178"/>
      <c r="G8303" s="60"/>
      <c r="H8303" s="36"/>
      <c r="I8303" s="11"/>
    </row>
    <row r="8304" spans="1:9" ht="9" customHeight="1">
      <c r="A8304" s="185"/>
      <c r="B8304" s="614"/>
      <c r="C8304" s="147"/>
      <c r="D8304" s="122"/>
      <c r="E8304" s="36"/>
      <c r="F8304" s="178"/>
      <c r="G8304" s="60"/>
      <c r="H8304" s="36"/>
      <c r="I8304" s="11"/>
    </row>
    <row r="8305" spans="1:12" ht="9" customHeight="1">
      <c r="A8305" s="185"/>
      <c r="B8305" s="614"/>
      <c r="C8305" s="147"/>
      <c r="D8305" s="122"/>
      <c r="E8305" s="36"/>
      <c r="F8305" s="178"/>
      <c r="G8305" s="60"/>
      <c r="H8305" s="36"/>
      <c r="I8305" s="11"/>
    </row>
    <row r="8306" spans="1:12" ht="9" customHeight="1">
      <c r="A8306" s="185"/>
      <c r="B8306" s="614"/>
      <c r="C8306" s="147"/>
      <c r="D8306" s="122"/>
      <c r="E8306" s="36"/>
      <c r="F8306" s="178"/>
      <c r="G8306" s="60"/>
      <c r="H8306" s="36"/>
      <c r="I8306" s="11"/>
    </row>
    <row r="8307" spans="1:12" ht="9" customHeight="1">
      <c r="A8307" s="185"/>
      <c r="B8307" s="614"/>
      <c r="C8307" s="147"/>
      <c r="D8307" s="122"/>
      <c r="E8307" s="36"/>
      <c r="F8307" s="178"/>
      <c r="G8307" s="60"/>
      <c r="H8307" s="36"/>
      <c r="I8307" s="11"/>
    </row>
    <row r="8308" spans="1:12" ht="9" customHeight="1">
      <c r="A8308" s="185"/>
      <c r="B8308" s="614"/>
      <c r="C8308" s="147"/>
      <c r="D8308" s="122"/>
      <c r="E8308" s="36"/>
      <c r="F8308" s="178"/>
      <c r="G8308" s="60"/>
      <c r="H8308" s="36"/>
      <c r="I8308" s="11"/>
    </row>
    <row r="8309" spans="1:12" ht="13" customHeight="1" thickBot="1">
      <c r="A8309" s="185"/>
      <c r="B8309" s="152"/>
      <c r="C8309" s="147"/>
      <c r="D8309" s="122"/>
      <c r="E8309" s="36"/>
      <c r="F8309" s="178"/>
      <c r="G8309" s="60"/>
      <c r="H8309" s="36"/>
      <c r="I8309" s="11"/>
    </row>
    <row r="8310" spans="1:12" ht="11.15" customHeight="1">
      <c r="A8310" s="153" t="s">
        <v>11252</v>
      </c>
      <c r="B8310" s="177" t="s">
        <v>11253</v>
      </c>
      <c r="C8310" s="147"/>
      <c r="D8310" s="185"/>
      <c r="E8310" s="185"/>
      <c r="F8310" s="185"/>
      <c r="G8310" s="185"/>
      <c r="H8310" s="185"/>
      <c r="I8310" s="11"/>
    </row>
    <row r="8311" spans="1:12" ht="11.15" customHeight="1" thickBot="1">
      <c r="A8311" s="615" t="s">
        <v>11254</v>
      </c>
      <c r="B8311" s="59" t="s">
        <v>21800</v>
      </c>
      <c r="C8311" s="147" t="s">
        <v>20221</v>
      </c>
      <c r="D8311" s="284" t="s">
        <v>897</v>
      </c>
      <c r="E8311" s="178" t="s">
        <v>20253</v>
      </c>
      <c r="F8311" s="178" t="s">
        <v>4520</v>
      </c>
      <c r="G8311" s="496"/>
      <c r="H8311" s="994" t="s">
        <v>20221</v>
      </c>
      <c r="I8311" s="11" t="s">
        <v>11255</v>
      </c>
      <c r="J8311" s="1285"/>
      <c r="K8311" s="1285"/>
      <c r="L8311" s="1285"/>
    </row>
    <row r="8312" spans="1:12" ht="11.15" customHeight="1">
      <c r="A8312" s="29" t="s">
        <v>11256</v>
      </c>
      <c r="B8312" s="477" t="s">
        <v>11257</v>
      </c>
      <c r="C8312" s="147"/>
      <c r="D8312" s="185"/>
      <c r="E8312" s="185"/>
      <c r="F8312" s="185"/>
      <c r="G8312" s="185"/>
      <c r="H8312" s="185"/>
      <c r="I8312" s="11"/>
    </row>
    <row r="8313" spans="1:12" ht="11.15" customHeight="1">
      <c r="A8313" s="29" t="s">
        <v>11258</v>
      </c>
      <c r="B8313" s="177" t="s">
        <v>10603</v>
      </c>
      <c r="C8313" s="147"/>
      <c r="D8313" s="129"/>
      <c r="E8313" s="185"/>
      <c r="F8313" s="185"/>
      <c r="G8313" s="185"/>
      <c r="H8313" s="185"/>
      <c r="I8313" s="11"/>
    </row>
    <row r="8314" spans="1:12" ht="11.15" customHeight="1">
      <c r="A8314" s="29" t="s">
        <v>11259</v>
      </c>
      <c r="B8314" s="59" t="s">
        <v>351</v>
      </c>
      <c r="C8314" s="147" t="s">
        <v>20221</v>
      </c>
      <c r="D8314" s="284" t="s">
        <v>897</v>
      </c>
      <c r="E8314" s="178">
        <v>2017</v>
      </c>
      <c r="F8314" s="178" t="s">
        <v>4520</v>
      </c>
      <c r="G8314" s="496"/>
      <c r="H8314" s="994" t="s">
        <v>20221</v>
      </c>
      <c r="I8314" s="11" t="s">
        <v>11260</v>
      </c>
      <c r="J8314" s="1285"/>
      <c r="K8314" s="1285"/>
      <c r="L8314" s="1285"/>
    </row>
    <row r="8315" spans="1:12" ht="11.15" customHeight="1">
      <c r="A8315" s="29" t="s">
        <v>11261</v>
      </c>
      <c r="B8315" s="59" t="s">
        <v>351</v>
      </c>
      <c r="C8315" s="147" t="s">
        <v>20221</v>
      </c>
      <c r="D8315" s="284" t="s">
        <v>897</v>
      </c>
      <c r="E8315" s="178">
        <v>2016</v>
      </c>
      <c r="F8315" s="178" t="s">
        <v>4520</v>
      </c>
      <c r="G8315" s="496"/>
      <c r="H8315" s="994" t="s">
        <v>20221</v>
      </c>
      <c r="I8315" s="11" t="s">
        <v>11262</v>
      </c>
      <c r="J8315" s="1285"/>
      <c r="K8315" s="1285"/>
      <c r="L8315" s="1285"/>
    </row>
    <row r="8316" spans="1:12" ht="11.15" customHeight="1">
      <c r="A8316" s="29" t="s">
        <v>11263</v>
      </c>
      <c r="B8316" s="59" t="s">
        <v>21760</v>
      </c>
      <c r="C8316" s="147" t="s">
        <v>20221</v>
      </c>
      <c r="D8316" s="284" t="s">
        <v>897</v>
      </c>
      <c r="E8316" s="178">
        <v>2016</v>
      </c>
      <c r="F8316" s="178" t="s">
        <v>9678</v>
      </c>
      <c r="G8316" s="496"/>
      <c r="H8316" s="994" t="s">
        <v>20224</v>
      </c>
      <c r="I8316" s="11" t="s">
        <v>11264</v>
      </c>
      <c r="J8316" s="1285"/>
      <c r="K8316" s="1285"/>
      <c r="L8316" s="1285"/>
    </row>
    <row r="8317" spans="1:12" ht="11.15" customHeight="1">
      <c r="A8317" s="29" t="s">
        <v>11265</v>
      </c>
      <c r="B8317" s="177" t="s">
        <v>11266</v>
      </c>
      <c r="C8317" s="147"/>
      <c r="D8317" s="185"/>
      <c r="E8317" s="185"/>
      <c r="F8317" s="185"/>
      <c r="G8317" s="185"/>
      <c r="H8317" s="185"/>
      <c r="I8317" s="11"/>
    </row>
    <row r="8318" spans="1:12" ht="11.15" customHeight="1">
      <c r="A8318" s="29" t="s">
        <v>11267</v>
      </c>
      <c r="B8318" s="59" t="s">
        <v>21801</v>
      </c>
      <c r="C8318" s="147" t="s">
        <v>20221</v>
      </c>
      <c r="D8318" s="284" t="s">
        <v>897</v>
      </c>
      <c r="E8318" s="178">
        <v>2017</v>
      </c>
      <c r="F8318" s="178" t="s">
        <v>4520</v>
      </c>
      <c r="G8318" s="496"/>
      <c r="H8318" s="994" t="s">
        <v>20221</v>
      </c>
      <c r="I8318" s="11" t="s">
        <v>11268</v>
      </c>
      <c r="J8318" s="1285"/>
      <c r="K8318" s="1285"/>
      <c r="L8318" s="1285"/>
    </row>
    <row r="8319" spans="1:12" ht="11.15" customHeight="1">
      <c r="A8319" s="29" t="s">
        <v>11269</v>
      </c>
      <c r="B8319" s="59" t="s">
        <v>21801</v>
      </c>
      <c r="C8319" s="147" t="s">
        <v>20221</v>
      </c>
      <c r="D8319" s="284" t="s">
        <v>897</v>
      </c>
      <c r="E8319" s="178">
        <v>2016</v>
      </c>
      <c r="F8319" s="178" t="s">
        <v>4520</v>
      </c>
      <c r="G8319" s="496"/>
      <c r="H8319" s="994" t="s">
        <v>20224</v>
      </c>
      <c r="I8319" s="11" t="s">
        <v>11270</v>
      </c>
      <c r="J8319" s="1285"/>
      <c r="K8319" s="1285"/>
      <c r="L8319" s="1285"/>
    </row>
    <row r="8320" spans="1:12" ht="11.15" customHeight="1">
      <c r="A8320" s="29" t="s">
        <v>11271</v>
      </c>
      <c r="B8320" s="59" t="s">
        <v>21801</v>
      </c>
      <c r="C8320" s="147" t="s">
        <v>20221</v>
      </c>
      <c r="D8320" s="284" t="s">
        <v>897</v>
      </c>
      <c r="E8320" s="178">
        <v>2015</v>
      </c>
      <c r="F8320" s="178" t="s">
        <v>4520</v>
      </c>
      <c r="G8320" s="496"/>
      <c r="H8320" s="994" t="s">
        <v>20277</v>
      </c>
      <c r="I8320" s="11" t="s">
        <v>11272</v>
      </c>
      <c r="J8320" s="1285"/>
      <c r="K8320" s="1285"/>
      <c r="L8320" s="1285"/>
    </row>
    <row r="8321" spans="1:12" ht="11.15" customHeight="1">
      <c r="A8321" s="29" t="s">
        <v>11273</v>
      </c>
      <c r="B8321" s="177" t="s">
        <v>11274</v>
      </c>
      <c r="C8321" s="147"/>
      <c r="D8321" s="185"/>
      <c r="E8321" s="185"/>
      <c r="F8321" s="185"/>
      <c r="G8321" s="185"/>
      <c r="H8321" s="185"/>
      <c r="I8321" s="11"/>
    </row>
    <row r="8322" spans="1:12" ht="11.15" customHeight="1">
      <c r="A8322" s="29" t="s">
        <v>11275</v>
      </c>
      <c r="B8322" s="59" t="s">
        <v>21802</v>
      </c>
      <c r="C8322" s="147" t="s">
        <v>20221</v>
      </c>
      <c r="D8322" s="284" t="s">
        <v>897</v>
      </c>
      <c r="E8322" s="178">
        <v>2017</v>
      </c>
      <c r="F8322" s="178" t="s">
        <v>9678</v>
      </c>
      <c r="G8322" s="496"/>
      <c r="H8322" s="994" t="s">
        <v>20224</v>
      </c>
      <c r="I8322" s="11" t="s">
        <v>11276</v>
      </c>
      <c r="J8322" s="1285"/>
      <c r="K8322" s="1285"/>
      <c r="L8322" s="1285"/>
    </row>
    <row r="8323" spans="1:12" ht="11.15" customHeight="1">
      <c r="A8323" s="29" t="s">
        <v>11277</v>
      </c>
      <c r="B8323" s="59" t="s">
        <v>21802</v>
      </c>
      <c r="C8323" s="147" t="s">
        <v>20221</v>
      </c>
      <c r="D8323" s="284" t="s">
        <v>897</v>
      </c>
      <c r="E8323" s="178">
        <v>2016</v>
      </c>
      <c r="F8323" s="178" t="s">
        <v>9678</v>
      </c>
      <c r="G8323" s="496"/>
      <c r="H8323" s="994" t="s">
        <v>20224</v>
      </c>
      <c r="I8323" s="11" t="s">
        <v>11278</v>
      </c>
      <c r="J8323" s="1285"/>
      <c r="K8323" s="1285"/>
      <c r="L8323" s="1285"/>
    </row>
    <row r="8324" spans="1:12" ht="11.15" customHeight="1">
      <c r="A8324" s="129" t="s">
        <v>5141</v>
      </c>
      <c r="B8324" s="59" t="s">
        <v>21803</v>
      </c>
      <c r="C8324" s="147" t="s">
        <v>20221</v>
      </c>
      <c r="D8324" s="284" t="s">
        <v>897</v>
      </c>
      <c r="E8324" s="178">
        <v>2017</v>
      </c>
      <c r="F8324" s="178" t="s">
        <v>11938</v>
      </c>
      <c r="G8324" s="496"/>
      <c r="H8324" s="994" t="s">
        <v>20224</v>
      </c>
      <c r="I8324" s="11" t="s">
        <v>11279</v>
      </c>
      <c r="J8324" s="1285"/>
      <c r="K8324" s="1285"/>
      <c r="L8324" s="1285"/>
    </row>
    <row r="8325" spans="1:12" ht="11.15" customHeight="1">
      <c r="A8325" s="162" t="s">
        <v>11280</v>
      </c>
      <c r="B8325" s="59" t="s">
        <v>21803</v>
      </c>
      <c r="C8325" s="147" t="s">
        <v>20221</v>
      </c>
      <c r="D8325" s="284" t="s">
        <v>897</v>
      </c>
      <c r="E8325" s="178">
        <v>2016</v>
      </c>
      <c r="F8325" s="178" t="s">
        <v>11938</v>
      </c>
      <c r="G8325" s="496"/>
      <c r="H8325" s="994" t="s">
        <v>20224</v>
      </c>
      <c r="I8325" s="11" t="s">
        <v>11281</v>
      </c>
      <c r="J8325" s="1285"/>
      <c r="K8325" s="1285"/>
      <c r="L8325" s="1285"/>
    </row>
    <row r="8326" spans="1:12" ht="11.15" customHeight="1">
      <c r="A8326" s="162" t="s">
        <v>11282</v>
      </c>
      <c r="B8326" s="185"/>
      <c r="C8326" s="147"/>
      <c r="D8326" s="185"/>
      <c r="E8326" s="185"/>
      <c r="F8326" s="185"/>
      <c r="G8326" s="185"/>
      <c r="H8326" s="185"/>
      <c r="I8326" s="11"/>
    </row>
    <row r="8327" spans="1:12" ht="11.15" customHeight="1">
      <c r="A8327" s="162" t="s">
        <v>11283</v>
      </c>
      <c r="B8327" s="185"/>
      <c r="C8327" s="147"/>
      <c r="D8327" s="185"/>
      <c r="E8327" s="185"/>
      <c r="F8327" s="185"/>
      <c r="G8327" s="185"/>
      <c r="H8327" s="185"/>
      <c r="I8327" s="11"/>
    </row>
    <row r="8328" spans="1:12" ht="11.15" customHeight="1">
      <c r="A8328" s="162" t="s">
        <v>11284</v>
      </c>
      <c r="B8328" s="185"/>
      <c r="C8328" s="147"/>
      <c r="D8328" s="185"/>
      <c r="E8328" s="185"/>
      <c r="F8328" s="185"/>
      <c r="G8328" s="185"/>
      <c r="H8328" s="185"/>
      <c r="I8328" s="11"/>
    </row>
    <row r="8329" spans="1:12" ht="11.15" customHeight="1">
      <c r="A8329" s="162" t="s">
        <v>11285</v>
      </c>
      <c r="B8329" s="185"/>
      <c r="C8329" s="147"/>
      <c r="D8329" s="185"/>
      <c r="E8329" s="185"/>
      <c r="F8329" s="185"/>
      <c r="G8329" s="185"/>
      <c r="H8329" s="185"/>
      <c r="I8329" s="11"/>
    </row>
    <row r="8330" spans="1:12" ht="11.15" customHeight="1">
      <c r="A8330" s="166" t="s">
        <v>11286</v>
      </c>
      <c r="B8330" s="185"/>
      <c r="C8330" s="147"/>
      <c r="D8330" s="185"/>
      <c r="E8330" s="185"/>
      <c r="F8330" s="185"/>
      <c r="G8330" s="185"/>
      <c r="H8330" s="185"/>
      <c r="I8330" s="11"/>
    </row>
    <row r="8331" spans="1:12" ht="11.15" customHeight="1">
      <c r="A8331" s="616" t="s">
        <v>5463</v>
      </c>
      <c r="B8331" s="185"/>
      <c r="C8331" s="147"/>
      <c r="D8331" s="185"/>
      <c r="E8331" s="185"/>
      <c r="F8331" s="185"/>
      <c r="G8331" s="185"/>
      <c r="H8331" s="185"/>
      <c r="I8331" s="11"/>
    </row>
    <row r="8332" spans="1:12" ht="11.15" customHeight="1">
      <c r="A8332" s="129" t="s">
        <v>11287</v>
      </c>
      <c r="B8332" s="185"/>
      <c r="C8332" s="147"/>
      <c r="D8332" s="185"/>
      <c r="E8332" s="185"/>
      <c r="F8332" s="185"/>
      <c r="G8332" s="185"/>
      <c r="H8332" s="185"/>
      <c r="I8332" s="11"/>
    </row>
    <row r="8333" spans="1:12" ht="11.15" customHeight="1" thickBot="1">
      <c r="A8333" s="185"/>
      <c r="B8333" s="185"/>
      <c r="C8333" s="147"/>
      <c r="D8333" s="129"/>
      <c r="E8333" s="185"/>
      <c r="F8333" s="185"/>
      <c r="G8333" s="185"/>
      <c r="H8333" s="185"/>
      <c r="I8333" s="11"/>
    </row>
    <row r="8334" spans="1:12" ht="11.15" customHeight="1" thickBot="1">
      <c r="A8334" s="184" t="s">
        <v>11288</v>
      </c>
      <c r="B8334" s="177" t="s">
        <v>10573</v>
      </c>
      <c r="C8334" s="147"/>
      <c r="D8334" s="161"/>
      <c r="E8334" s="36"/>
      <c r="F8334" s="178"/>
      <c r="G8334" s="497"/>
      <c r="H8334" s="36"/>
      <c r="I8334" s="11"/>
    </row>
    <row r="8335" spans="1:12" ht="11.15" customHeight="1">
      <c r="A8335" s="29" t="s">
        <v>11289</v>
      </c>
      <c r="B8335" s="59" t="s">
        <v>21717</v>
      </c>
      <c r="C8335" s="147" t="s">
        <v>20221</v>
      </c>
      <c r="D8335" s="284" t="s">
        <v>897</v>
      </c>
      <c r="E8335" s="178">
        <v>2021</v>
      </c>
      <c r="F8335" s="178" t="s">
        <v>4520</v>
      </c>
      <c r="G8335" s="496"/>
      <c r="H8335" s="994" t="s">
        <v>20221</v>
      </c>
      <c r="I8335" s="11" t="s">
        <v>11290</v>
      </c>
      <c r="J8335" s="1285"/>
      <c r="K8335" s="1285"/>
      <c r="L8335" s="1285"/>
    </row>
    <row r="8336" spans="1:12" ht="11.15" customHeight="1">
      <c r="A8336" s="29" t="s">
        <v>11291</v>
      </c>
      <c r="B8336" s="59" t="s">
        <v>21717</v>
      </c>
      <c r="C8336" s="147" t="s">
        <v>20221</v>
      </c>
      <c r="D8336" s="284" t="s">
        <v>897</v>
      </c>
      <c r="E8336" s="178">
        <v>2020</v>
      </c>
      <c r="F8336" s="178" t="s">
        <v>4520</v>
      </c>
      <c r="G8336" s="496"/>
      <c r="H8336" s="994" t="s">
        <v>20221</v>
      </c>
      <c r="I8336" s="11" t="s">
        <v>11292</v>
      </c>
      <c r="J8336" s="1285"/>
      <c r="K8336" s="1285"/>
      <c r="L8336" s="1285"/>
    </row>
    <row r="8337" spans="1:12" ht="11.15" customHeight="1">
      <c r="A8337" s="29" t="s">
        <v>11293</v>
      </c>
      <c r="B8337" s="59" t="s">
        <v>21717</v>
      </c>
      <c r="C8337" s="147" t="s">
        <v>20221</v>
      </c>
      <c r="D8337" s="284" t="s">
        <v>897</v>
      </c>
      <c r="E8337" s="178">
        <v>2018</v>
      </c>
      <c r="F8337" s="178" t="s">
        <v>4520</v>
      </c>
      <c r="G8337" s="496"/>
      <c r="H8337" s="994" t="s">
        <v>20221</v>
      </c>
      <c r="I8337" s="11" t="s">
        <v>11294</v>
      </c>
      <c r="J8337" s="1285"/>
      <c r="K8337" s="1285"/>
      <c r="L8337" s="1285"/>
    </row>
    <row r="8338" spans="1:12" ht="11.15" customHeight="1">
      <c r="A8338" s="29" t="s">
        <v>11295</v>
      </c>
      <c r="B8338" s="177" t="s">
        <v>10603</v>
      </c>
      <c r="C8338" s="147"/>
      <c r="D8338" s="129"/>
      <c r="E8338" s="185"/>
      <c r="F8338" s="185"/>
      <c r="G8338" s="185"/>
      <c r="H8338" s="185"/>
      <c r="I8338" s="11"/>
    </row>
    <row r="8339" spans="1:12" ht="11.15" customHeight="1">
      <c r="A8339" s="29" t="s">
        <v>11296</v>
      </c>
      <c r="B8339" s="59" t="s">
        <v>21804</v>
      </c>
      <c r="C8339" s="147" t="s">
        <v>20221</v>
      </c>
      <c r="D8339" s="284" t="s">
        <v>897</v>
      </c>
      <c r="E8339" s="178">
        <v>2019</v>
      </c>
      <c r="F8339" s="178" t="s">
        <v>4520</v>
      </c>
      <c r="G8339" s="496"/>
      <c r="H8339" s="994" t="s">
        <v>20221</v>
      </c>
      <c r="I8339" s="11" t="s">
        <v>11297</v>
      </c>
      <c r="J8339" s="1285"/>
      <c r="K8339" s="1285"/>
      <c r="L8339" s="1285"/>
    </row>
    <row r="8340" spans="1:12" ht="11.15" customHeight="1">
      <c r="A8340" s="29" t="s">
        <v>11298</v>
      </c>
      <c r="B8340" s="59" t="s">
        <v>21804</v>
      </c>
      <c r="C8340" s="147" t="s">
        <v>20221</v>
      </c>
      <c r="D8340" s="284" t="s">
        <v>897</v>
      </c>
      <c r="E8340" s="178">
        <v>2018</v>
      </c>
      <c r="F8340" s="178" t="s">
        <v>4520</v>
      </c>
      <c r="G8340" s="496"/>
      <c r="H8340" s="994" t="s">
        <v>20221</v>
      </c>
      <c r="I8340" s="11" t="s">
        <v>11299</v>
      </c>
      <c r="J8340" s="1285"/>
      <c r="K8340" s="1285"/>
      <c r="L8340" s="1285"/>
    </row>
    <row r="8341" spans="1:12" ht="11.15" customHeight="1">
      <c r="A8341" s="129" t="s">
        <v>11300</v>
      </c>
      <c r="B8341" s="59" t="s">
        <v>21804</v>
      </c>
      <c r="C8341" s="147" t="s">
        <v>20221</v>
      </c>
      <c r="D8341" s="284" t="s">
        <v>897</v>
      </c>
      <c r="E8341" s="178">
        <v>2017</v>
      </c>
      <c r="F8341" s="178" t="s">
        <v>4520</v>
      </c>
      <c r="G8341" s="496"/>
      <c r="H8341" s="994" t="s">
        <v>20221</v>
      </c>
      <c r="I8341" s="11" t="s">
        <v>11301</v>
      </c>
      <c r="J8341" s="1285"/>
      <c r="K8341" s="1285"/>
      <c r="L8341" s="1285"/>
    </row>
    <row r="8342" spans="1:12" ht="11.15" customHeight="1">
      <c r="A8342" s="162" t="s">
        <v>11302</v>
      </c>
      <c r="B8342" s="59" t="s">
        <v>21804</v>
      </c>
      <c r="C8342" s="147" t="s">
        <v>20221</v>
      </c>
      <c r="D8342" s="284" t="s">
        <v>897</v>
      </c>
      <c r="E8342" s="178">
        <v>2016</v>
      </c>
      <c r="F8342" s="178" t="s">
        <v>4520</v>
      </c>
      <c r="G8342" s="496"/>
      <c r="H8342" s="994" t="s">
        <v>20221</v>
      </c>
      <c r="I8342" s="11" t="s">
        <v>11303</v>
      </c>
      <c r="J8342" s="1285"/>
      <c r="K8342" s="1285"/>
      <c r="L8342" s="1285"/>
    </row>
    <row r="8343" spans="1:12" ht="11.15" customHeight="1">
      <c r="A8343" s="162" t="s">
        <v>11304</v>
      </c>
      <c r="B8343" s="59" t="s">
        <v>21804</v>
      </c>
      <c r="C8343" s="147" t="s">
        <v>20221</v>
      </c>
      <c r="D8343" s="284" t="s">
        <v>897</v>
      </c>
      <c r="E8343" s="178">
        <v>2015</v>
      </c>
      <c r="F8343" s="178" t="s">
        <v>4520</v>
      </c>
      <c r="G8343" s="496"/>
      <c r="H8343" s="994" t="s">
        <v>20221</v>
      </c>
      <c r="I8343" s="11" t="s">
        <v>11305</v>
      </c>
      <c r="J8343" s="1285"/>
      <c r="K8343" s="1285"/>
      <c r="L8343" s="1285"/>
    </row>
    <row r="8344" spans="1:12" ht="11.15" customHeight="1">
      <c r="A8344" s="162" t="s">
        <v>11306</v>
      </c>
      <c r="B8344" s="59" t="s">
        <v>21804</v>
      </c>
      <c r="C8344" s="147" t="s">
        <v>20221</v>
      </c>
      <c r="D8344" s="284" t="s">
        <v>897</v>
      </c>
      <c r="E8344" s="178">
        <v>2014</v>
      </c>
      <c r="F8344" s="178" t="s">
        <v>4520</v>
      </c>
      <c r="G8344" s="496"/>
      <c r="H8344" s="994" t="s">
        <v>20221</v>
      </c>
      <c r="I8344" s="11" t="s">
        <v>11307</v>
      </c>
      <c r="J8344" s="1285"/>
      <c r="K8344" s="1285"/>
      <c r="L8344" s="1285"/>
    </row>
    <row r="8345" spans="1:12" ht="11.15" customHeight="1">
      <c r="A8345" s="166" t="s">
        <v>11308</v>
      </c>
      <c r="B8345" s="177" t="s">
        <v>11309</v>
      </c>
      <c r="C8345" s="147"/>
      <c r="D8345" s="129"/>
      <c r="E8345" s="185"/>
      <c r="F8345" s="185"/>
      <c r="G8345" s="185"/>
      <c r="H8345" s="185"/>
      <c r="I8345" s="11"/>
    </row>
    <row r="8346" spans="1:12" ht="11.15" customHeight="1">
      <c r="A8346" s="492" t="s">
        <v>6714</v>
      </c>
      <c r="B8346" s="59" t="s">
        <v>21805</v>
      </c>
      <c r="C8346" s="147" t="s">
        <v>20221</v>
      </c>
      <c r="D8346" s="284" t="s">
        <v>897</v>
      </c>
      <c r="E8346" s="178">
        <v>2016</v>
      </c>
      <c r="F8346" s="178" t="s">
        <v>4520</v>
      </c>
      <c r="G8346" s="496"/>
      <c r="H8346" s="994" t="s">
        <v>20224</v>
      </c>
      <c r="I8346" s="11" t="s">
        <v>11310</v>
      </c>
      <c r="J8346" s="1285"/>
      <c r="K8346" s="1285"/>
      <c r="L8346" s="1285"/>
    </row>
    <row r="8347" spans="1:12" ht="11.15" customHeight="1">
      <c r="A8347" s="129" t="s">
        <v>11311</v>
      </c>
      <c r="B8347" s="59" t="s">
        <v>21805</v>
      </c>
      <c r="C8347" s="147" t="s">
        <v>20221</v>
      </c>
      <c r="D8347" s="284" t="s">
        <v>897</v>
      </c>
      <c r="E8347" s="178">
        <v>2015</v>
      </c>
      <c r="F8347" s="178" t="s">
        <v>4520</v>
      </c>
      <c r="G8347" s="496"/>
      <c r="H8347" s="994" t="s">
        <v>20221</v>
      </c>
      <c r="I8347" s="11" t="s">
        <v>11312</v>
      </c>
      <c r="J8347" s="1285"/>
      <c r="K8347" s="1285"/>
      <c r="L8347" s="1285"/>
    </row>
    <row r="8348" spans="1:12" ht="11.15" customHeight="1">
      <c r="A8348" s="29"/>
      <c r="B8348" s="59" t="s">
        <v>21805</v>
      </c>
      <c r="C8348" s="147" t="s">
        <v>20221</v>
      </c>
      <c r="D8348" s="284" t="s">
        <v>897</v>
      </c>
      <c r="E8348" s="178">
        <v>2013</v>
      </c>
      <c r="F8348" s="178" t="s">
        <v>4520</v>
      </c>
      <c r="G8348" s="496"/>
      <c r="H8348" s="994" t="s">
        <v>20221</v>
      </c>
      <c r="I8348" s="11" t="s">
        <v>11313</v>
      </c>
      <c r="J8348" s="1285"/>
      <c r="K8348" s="1285"/>
      <c r="L8348" s="1285"/>
    </row>
    <row r="8349" spans="1:12" ht="11.15" customHeight="1">
      <c r="A8349" s="185"/>
      <c r="B8349" s="59" t="s">
        <v>21805</v>
      </c>
      <c r="C8349" s="147" t="s">
        <v>20221</v>
      </c>
      <c r="D8349" s="284" t="s">
        <v>897</v>
      </c>
      <c r="E8349" s="178">
        <v>2012</v>
      </c>
      <c r="F8349" s="178" t="s">
        <v>4520</v>
      </c>
      <c r="G8349" s="496"/>
      <c r="H8349" s="994" t="s">
        <v>20224</v>
      </c>
      <c r="I8349" s="11" t="s">
        <v>11314</v>
      </c>
      <c r="J8349" s="1285"/>
      <c r="K8349" s="1285"/>
      <c r="L8349" s="1285"/>
    </row>
    <row r="8350" spans="1:12" ht="11.15" customHeight="1">
      <c r="A8350" s="185"/>
      <c r="B8350" s="177" t="s">
        <v>10732</v>
      </c>
      <c r="C8350" s="147"/>
      <c r="D8350" s="129"/>
      <c r="E8350" s="185"/>
      <c r="F8350" s="185"/>
      <c r="G8350" s="185"/>
      <c r="H8350" s="185"/>
      <c r="I8350" s="11"/>
    </row>
    <row r="8351" spans="1:12" ht="11.15" customHeight="1">
      <c r="A8351" s="185"/>
      <c r="B8351" s="59" t="s">
        <v>21806</v>
      </c>
      <c r="C8351" s="147" t="s">
        <v>20221</v>
      </c>
      <c r="D8351" s="284" t="s">
        <v>897</v>
      </c>
      <c r="E8351" s="178">
        <v>2019</v>
      </c>
      <c r="F8351" s="178" t="s">
        <v>9678</v>
      </c>
      <c r="G8351" s="496"/>
      <c r="H8351" s="994" t="s">
        <v>20224</v>
      </c>
      <c r="I8351" s="11" t="s">
        <v>11315</v>
      </c>
      <c r="J8351" s="1285"/>
      <c r="K8351" s="1285"/>
      <c r="L8351" s="1285"/>
    </row>
    <row r="8352" spans="1:12" ht="11.15" customHeight="1">
      <c r="A8352" s="492"/>
      <c r="B8352" s="59" t="s">
        <v>21806</v>
      </c>
      <c r="C8352" s="147" t="s">
        <v>20221</v>
      </c>
      <c r="D8352" s="284" t="s">
        <v>897</v>
      </c>
      <c r="E8352" s="178">
        <v>2018</v>
      </c>
      <c r="F8352" s="178" t="s">
        <v>9678</v>
      </c>
      <c r="G8352" s="496"/>
      <c r="H8352" s="994" t="s">
        <v>20224</v>
      </c>
      <c r="I8352" s="11" t="s">
        <v>11316</v>
      </c>
      <c r="J8352" s="1285"/>
      <c r="K8352" s="1285"/>
      <c r="L8352" s="1285"/>
    </row>
    <row r="8353" spans="1:12" ht="11.15" customHeight="1">
      <c r="A8353" s="492"/>
      <c r="B8353" s="59" t="s">
        <v>21806</v>
      </c>
      <c r="C8353" s="147" t="s">
        <v>20221</v>
      </c>
      <c r="D8353" s="284" t="s">
        <v>897</v>
      </c>
      <c r="E8353" s="178">
        <v>2012</v>
      </c>
      <c r="F8353" s="178" t="s">
        <v>9678</v>
      </c>
      <c r="G8353" s="496"/>
      <c r="H8353" s="994" t="s">
        <v>20224</v>
      </c>
      <c r="I8353" s="11" t="s">
        <v>11317</v>
      </c>
      <c r="J8353" s="1285"/>
      <c r="K8353" s="1285"/>
      <c r="L8353" s="1285"/>
    </row>
    <row r="8354" spans="1:12" ht="11.15" customHeight="1">
      <c r="A8354" s="492"/>
      <c r="B8354" s="59" t="s">
        <v>21807</v>
      </c>
      <c r="C8354" s="147" t="s">
        <v>20221</v>
      </c>
      <c r="D8354" s="284" t="s">
        <v>897</v>
      </c>
      <c r="E8354" s="178">
        <v>2012</v>
      </c>
      <c r="F8354" s="178" t="s">
        <v>9678</v>
      </c>
      <c r="G8354" s="496"/>
      <c r="H8354" s="994" t="s">
        <v>20224</v>
      </c>
      <c r="I8354" s="11" t="s">
        <v>11318</v>
      </c>
      <c r="J8354" s="1285"/>
      <c r="K8354" s="1285"/>
      <c r="L8354" s="1285"/>
    </row>
    <row r="8355" spans="1:12" ht="11.15" customHeight="1">
      <c r="A8355" s="492"/>
      <c r="B8355" s="177" t="s">
        <v>11319</v>
      </c>
      <c r="C8355" s="147"/>
      <c r="D8355" s="129"/>
      <c r="E8355" s="185"/>
      <c r="F8355" s="185"/>
      <c r="G8355" s="185"/>
      <c r="H8355" s="185"/>
      <c r="I8355" s="11"/>
    </row>
    <row r="8356" spans="1:12" ht="11.15" customHeight="1">
      <c r="A8356" s="492"/>
      <c r="B8356" s="59" t="s">
        <v>21808</v>
      </c>
      <c r="C8356" s="147" t="s">
        <v>20221</v>
      </c>
      <c r="D8356" s="284" t="s">
        <v>897</v>
      </c>
      <c r="E8356" s="178">
        <v>2015</v>
      </c>
      <c r="F8356" s="178" t="s">
        <v>23401</v>
      </c>
      <c r="G8356" s="496"/>
      <c r="H8356" s="994" t="s">
        <v>20224</v>
      </c>
      <c r="I8356" s="11" t="s">
        <v>11320</v>
      </c>
      <c r="J8356" s="1285"/>
      <c r="K8356" s="1285"/>
      <c r="L8356" s="1285"/>
    </row>
    <row r="8357" spans="1:12" ht="11.15" customHeight="1">
      <c r="A8357" s="492"/>
      <c r="B8357" s="90"/>
      <c r="C8357" s="147"/>
      <c r="D8357" s="161"/>
      <c r="E8357" s="36"/>
      <c r="F8357" s="178"/>
      <c r="G8357" s="497"/>
      <c r="H8357" s="36"/>
      <c r="I8357" s="11"/>
    </row>
    <row r="8358" spans="1:12" ht="11.15" customHeight="1">
      <c r="A8358" s="29"/>
      <c r="B8358" s="90"/>
      <c r="C8358" s="147"/>
      <c r="D8358" s="161"/>
      <c r="E8358" s="36"/>
      <c r="F8358" s="178"/>
      <c r="G8358" s="497"/>
      <c r="H8358" s="36"/>
      <c r="I8358" s="11"/>
    </row>
    <row r="8359" spans="1:12" ht="9" customHeight="1">
      <c r="A8359" s="29"/>
      <c r="B8359" s="150" t="s">
        <v>11321</v>
      </c>
      <c r="C8359" s="147"/>
      <c r="D8359" s="161"/>
      <c r="E8359" s="36"/>
      <c r="F8359" s="178"/>
      <c r="G8359" s="497"/>
      <c r="H8359" s="36"/>
      <c r="I8359" s="11"/>
    </row>
    <row r="8360" spans="1:12" ht="9" customHeight="1">
      <c r="A8360" s="29"/>
      <c r="B8360" s="150" t="s">
        <v>11322</v>
      </c>
      <c r="C8360" s="147"/>
      <c r="D8360" s="161"/>
      <c r="E8360" s="36"/>
      <c r="F8360" s="178"/>
      <c r="G8360" s="497"/>
      <c r="H8360" s="36"/>
      <c r="I8360" s="11"/>
    </row>
    <row r="8361" spans="1:12" ht="9" customHeight="1" thickBot="1">
      <c r="A8361" s="29"/>
      <c r="B8361" s="150" t="s">
        <v>11323</v>
      </c>
      <c r="C8361" s="147"/>
      <c r="D8361" s="161"/>
      <c r="E8361" s="36"/>
      <c r="F8361" s="178"/>
      <c r="G8361" s="497"/>
      <c r="H8361" s="36"/>
      <c r="I8361" s="11"/>
    </row>
    <row r="8362" spans="1:12" ht="11.15" customHeight="1">
      <c r="A8362" s="153" t="s">
        <v>11324</v>
      </c>
      <c r="B8362" s="177" t="s">
        <v>10573</v>
      </c>
      <c r="C8362" s="147"/>
      <c r="D8362" s="161"/>
      <c r="E8362" s="36"/>
      <c r="F8362" s="178"/>
      <c r="G8362" s="497"/>
      <c r="H8362" s="36"/>
      <c r="I8362" s="11"/>
    </row>
    <row r="8363" spans="1:12" ht="11.15" customHeight="1" thickBot="1">
      <c r="A8363" s="230" t="s">
        <v>11325</v>
      </c>
      <c r="B8363" s="59" t="s">
        <v>21809</v>
      </c>
      <c r="C8363" s="147" t="s">
        <v>20221</v>
      </c>
      <c r="D8363" s="284" t="s">
        <v>897</v>
      </c>
      <c r="E8363" s="178">
        <v>2023</v>
      </c>
      <c r="F8363" s="178" t="s">
        <v>4520</v>
      </c>
      <c r="G8363" s="496"/>
      <c r="H8363" s="994" t="s">
        <v>20221</v>
      </c>
      <c r="I8363" s="11" t="s">
        <v>11326</v>
      </c>
      <c r="J8363" s="1285"/>
      <c r="K8363" s="1285"/>
      <c r="L8363" s="1285"/>
    </row>
    <row r="8364" spans="1:12" ht="11.15" customHeight="1">
      <c r="A8364" s="29" t="s">
        <v>11327</v>
      </c>
      <c r="B8364" s="59" t="s">
        <v>21810</v>
      </c>
      <c r="C8364" s="147" t="s">
        <v>20221</v>
      </c>
      <c r="D8364" s="284" t="s">
        <v>897</v>
      </c>
      <c r="E8364" s="178">
        <v>2023</v>
      </c>
      <c r="F8364" s="178" t="s">
        <v>4520</v>
      </c>
      <c r="G8364" s="496"/>
      <c r="H8364" s="994" t="s">
        <v>20221</v>
      </c>
      <c r="I8364" s="11" t="s">
        <v>11328</v>
      </c>
      <c r="J8364" s="1285"/>
      <c r="K8364" s="1285"/>
      <c r="L8364" s="1285"/>
    </row>
    <row r="8365" spans="1:12" ht="11.15" customHeight="1">
      <c r="A8365" s="29" t="s">
        <v>11329</v>
      </c>
      <c r="B8365" s="59" t="s">
        <v>21810</v>
      </c>
      <c r="C8365" s="147" t="s">
        <v>20221</v>
      </c>
      <c r="D8365" s="284" t="s">
        <v>897</v>
      </c>
      <c r="E8365" s="178">
        <v>2022</v>
      </c>
      <c r="F8365" s="178" t="s">
        <v>4520</v>
      </c>
      <c r="G8365" s="496"/>
      <c r="H8365" s="994" t="s">
        <v>3907</v>
      </c>
      <c r="I8365" s="11" t="s">
        <v>11330</v>
      </c>
      <c r="J8365" s="1285"/>
      <c r="K8365" s="1285"/>
      <c r="L8365" s="1285"/>
    </row>
    <row r="8366" spans="1:12" ht="11.15" customHeight="1">
      <c r="A8366" s="29" t="s">
        <v>11331</v>
      </c>
      <c r="B8366" s="59" t="s">
        <v>21811</v>
      </c>
      <c r="C8366" s="147" t="s">
        <v>20221</v>
      </c>
      <c r="D8366" s="284" t="s">
        <v>897</v>
      </c>
      <c r="E8366" s="178" t="s">
        <v>20221</v>
      </c>
      <c r="F8366" s="178" t="s">
        <v>4520</v>
      </c>
      <c r="G8366" s="496"/>
      <c r="H8366" s="994" t="s">
        <v>20221</v>
      </c>
      <c r="I8366" s="11" t="s">
        <v>11332</v>
      </c>
      <c r="J8366" s="1285"/>
      <c r="K8366" s="1285"/>
      <c r="L8366" s="1285"/>
    </row>
    <row r="8367" spans="1:12" ht="11.15" customHeight="1">
      <c r="A8367" s="29" t="s">
        <v>11333</v>
      </c>
      <c r="B8367" s="59" t="s">
        <v>21717</v>
      </c>
      <c r="C8367" s="147" t="s">
        <v>20221</v>
      </c>
      <c r="D8367" s="284" t="s">
        <v>897</v>
      </c>
      <c r="E8367" s="178" t="s">
        <v>20221</v>
      </c>
      <c r="F8367" s="178" t="s">
        <v>4520</v>
      </c>
      <c r="G8367" s="496" t="s">
        <v>20221</v>
      </c>
      <c r="H8367" s="994" t="s">
        <v>3907</v>
      </c>
      <c r="I8367" s="11" t="s">
        <v>11334</v>
      </c>
      <c r="J8367" s="1285"/>
      <c r="K8367" s="1285"/>
      <c r="L8367" s="1285"/>
    </row>
    <row r="8368" spans="1:12" ht="11.15" customHeight="1">
      <c r="A8368" s="129" t="s">
        <v>1077</v>
      </c>
      <c r="B8368" s="177" t="s">
        <v>10603</v>
      </c>
      <c r="C8368" s="147"/>
      <c r="D8368" s="129"/>
      <c r="E8368" s="185"/>
      <c r="F8368" s="185"/>
      <c r="G8368" s="185"/>
      <c r="H8368" s="185"/>
      <c r="I8368" s="11"/>
      <c r="J8368" s="1285"/>
      <c r="K8368" s="1285"/>
      <c r="L8368" s="1285"/>
    </row>
    <row r="8369" spans="1:12" ht="11.15" customHeight="1">
      <c r="A8369" s="162" t="s">
        <v>11335</v>
      </c>
      <c r="B8369" s="59" t="s">
        <v>21812</v>
      </c>
      <c r="C8369" s="147" t="s">
        <v>20221</v>
      </c>
      <c r="D8369" s="284" t="s">
        <v>897</v>
      </c>
      <c r="E8369" s="178" t="s">
        <v>20221</v>
      </c>
      <c r="F8369" s="178" t="s">
        <v>4520</v>
      </c>
      <c r="G8369" s="496"/>
      <c r="H8369" s="994" t="s">
        <v>20224</v>
      </c>
      <c r="I8369" s="11" t="s">
        <v>11336</v>
      </c>
      <c r="J8369" s="1285"/>
      <c r="K8369" s="1285"/>
      <c r="L8369" s="1285"/>
    </row>
    <row r="8370" spans="1:12" ht="11.15" customHeight="1">
      <c r="A8370" s="162" t="s">
        <v>11337</v>
      </c>
      <c r="B8370" s="59" t="s">
        <v>21725</v>
      </c>
      <c r="C8370" s="147" t="s">
        <v>20221</v>
      </c>
      <c r="D8370" s="284" t="s">
        <v>897</v>
      </c>
      <c r="E8370" s="178" t="s">
        <v>20221</v>
      </c>
      <c r="F8370" s="178" t="s">
        <v>4520</v>
      </c>
      <c r="G8370" s="496"/>
      <c r="H8370" s="994" t="s">
        <v>20221</v>
      </c>
      <c r="I8370" s="11" t="s">
        <v>11338</v>
      </c>
      <c r="J8370" s="1285"/>
      <c r="K8370" s="1285"/>
      <c r="L8370" s="1285"/>
    </row>
    <row r="8371" spans="1:12" ht="11.15" customHeight="1">
      <c r="A8371" s="162" t="s">
        <v>11339</v>
      </c>
      <c r="B8371" s="59" t="s">
        <v>21791</v>
      </c>
      <c r="C8371" s="147" t="s">
        <v>20221</v>
      </c>
      <c r="D8371" s="284" t="s">
        <v>897</v>
      </c>
      <c r="E8371" s="178" t="s">
        <v>20221</v>
      </c>
      <c r="F8371" s="178" t="s">
        <v>4520</v>
      </c>
      <c r="G8371" s="496"/>
      <c r="H8371" s="994" t="s">
        <v>20224</v>
      </c>
      <c r="I8371" s="11" t="s">
        <v>11340</v>
      </c>
      <c r="J8371" s="1285"/>
      <c r="K8371" s="1285"/>
      <c r="L8371" s="1285"/>
    </row>
    <row r="8372" spans="1:12" ht="11.15" customHeight="1">
      <c r="A8372" s="162" t="s">
        <v>11341</v>
      </c>
      <c r="B8372" s="185"/>
      <c r="C8372" s="147"/>
      <c r="D8372" s="185"/>
      <c r="E8372" s="185"/>
      <c r="F8372" s="185"/>
      <c r="G8372" s="185"/>
      <c r="H8372" s="185"/>
      <c r="I8372" s="11"/>
    </row>
    <row r="8373" spans="1:12" ht="11.15" customHeight="1">
      <c r="A8373" s="162" t="s">
        <v>11342</v>
      </c>
      <c r="B8373" s="185"/>
      <c r="C8373" s="147"/>
      <c r="D8373" s="185"/>
      <c r="E8373" s="185"/>
      <c r="F8373" s="185"/>
      <c r="G8373" s="185"/>
      <c r="H8373" s="185"/>
      <c r="I8373" s="11"/>
    </row>
    <row r="8374" spans="1:12" ht="11.15" customHeight="1">
      <c r="A8374" s="162" t="s">
        <v>11343</v>
      </c>
      <c r="B8374" s="90"/>
      <c r="C8374" s="147"/>
      <c r="D8374" s="161"/>
      <c r="E8374" s="36"/>
      <c r="F8374" s="178"/>
      <c r="G8374" s="1181"/>
      <c r="H8374" s="36"/>
      <c r="I8374" s="11"/>
    </row>
    <row r="8375" spans="1:12" ht="11.15" customHeight="1">
      <c r="A8375" s="162" t="s">
        <v>11344</v>
      </c>
      <c r="B8375" s="379"/>
      <c r="C8375" s="147"/>
      <c r="D8375" s="122"/>
      <c r="E8375" s="36"/>
      <c r="F8375" s="183"/>
      <c r="G8375" s="453"/>
      <c r="H8375" s="34"/>
      <c r="I8375" s="11"/>
    </row>
    <row r="8376" spans="1:12" ht="11.15" customHeight="1">
      <c r="A8376" s="162" t="s">
        <v>11345</v>
      </c>
      <c r="B8376" s="379"/>
      <c r="C8376" s="147"/>
      <c r="D8376" s="122"/>
      <c r="E8376" s="36"/>
      <c r="F8376" s="183"/>
      <c r="G8376" s="453"/>
      <c r="H8376" s="34"/>
      <c r="I8376" s="11"/>
    </row>
    <row r="8377" spans="1:12" ht="11.15" customHeight="1">
      <c r="A8377" s="162" t="s">
        <v>11346</v>
      </c>
      <c r="B8377" s="379"/>
      <c r="C8377" s="147"/>
      <c r="D8377" s="122"/>
      <c r="E8377" s="36"/>
      <c r="F8377" s="183"/>
      <c r="G8377" s="453"/>
      <c r="H8377" s="34"/>
      <c r="I8377" s="11"/>
    </row>
    <row r="8378" spans="1:12" ht="11.15" customHeight="1">
      <c r="A8378" s="162" t="s">
        <v>11347</v>
      </c>
      <c r="B8378" s="379"/>
      <c r="C8378" s="147"/>
      <c r="D8378" s="122"/>
      <c r="E8378" s="36"/>
      <c r="F8378" s="183"/>
      <c r="G8378" s="453"/>
      <c r="H8378" s="34"/>
      <c r="I8378" s="11"/>
    </row>
    <row r="8379" spans="1:12" ht="11.15" customHeight="1">
      <c r="A8379" s="162" t="s">
        <v>11348</v>
      </c>
      <c r="B8379" s="379"/>
      <c r="C8379" s="147"/>
      <c r="D8379" s="122"/>
      <c r="E8379" s="36"/>
      <c r="F8379" s="183"/>
      <c r="G8379" s="453"/>
      <c r="H8379" s="34"/>
      <c r="I8379" s="11"/>
    </row>
    <row r="8380" spans="1:12" ht="11.15" customHeight="1">
      <c r="A8380" s="162" t="s">
        <v>11349</v>
      </c>
      <c r="B8380" s="379"/>
      <c r="C8380" s="147"/>
      <c r="D8380" s="122"/>
      <c r="E8380" s="36"/>
      <c r="F8380" s="183"/>
      <c r="G8380" s="453"/>
      <c r="H8380" s="34"/>
      <c r="I8380" s="11"/>
    </row>
    <row r="8381" spans="1:12" ht="11.15" customHeight="1">
      <c r="A8381" s="162" t="s">
        <v>11350</v>
      </c>
      <c r="B8381" s="129"/>
      <c r="C8381" s="147"/>
      <c r="D8381" s="129"/>
      <c r="E8381" s="129"/>
      <c r="F8381" s="129"/>
      <c r="G8381" s="129"/>
      <c r="H8381" s="129"/>
      <c r="I8381" s="11"/>
    </row>
    <row r="8382" spans="1:12" ht="11.15" customHeight="1">
      <c r="A8382" s="162" t="s">
        <v>11351</v>
      </c>
      <c r="B8382" s="379"/>
      <c r="C8382" s="147"/>
      <c r="D8382" s="122"/>
      <c r="E8382" s="36"/>
      <c r="F8382" s="183"/>
      <c r="G8382" s="453"/>
      <c r="H8382" s="34"/>
      <c r="I8382" s="11"/>
    </row>
    <row r="8383" spans="1:12" ht="11.15" customHeight="1">
      <c r="A8383" s="162" t="s">
        <v>11352</v>
      </c>
      <c r="B8383" s="185"/>
      <c r="C8383" s="147"/>
      <c r="D8383" s="122"/>
      <c r="E8383" s="36"/>
      <c r="F8383" s="183"/>
      <c r="G8383" s="453"/>
      <c r="H8383" s="34"/>
      <c r="I8383" s="11"/>
    </row>
    <row r="8384" spans="1:12" ht="11.15" customHeight="1">
      <c r="A8384" s="162" t="s">
        <v>11353</v>
      </c>
      <c r="B8384" s="178"/>
      <c r="C8384" s="147"/>
      <c r="D8384" s="122"/>
      <c r="E8384" s="36"/>
      <c r="F8384" s="178"/>
      <c r="G8384" s="1242"/>
      <c r="H8384" s="36"/>
      <c r="I8384" s="11"/>
    </row>
    <row r="8385" spans="1:9" ht="9" customHeight="1">
      <c r="A8385" s="129" t="s">
        <v>6076</v>
      </c>
      <c r="B8385" s="216"/>
      <c r="C8385" s="147"/>
      <c r="D8385" s="122"/>
      <c r="E8385" s="36"/>
      <c r="F8385" s="178"/>
      <c r="G8385" s="1242"/>
      <c r="H8385" s="36"/>
      <c r="I8385" s="11"/>
    </row>
    <row r="8386" spans="1:9" ht="9" customHeight="1">
      <c r="A8386" s="162" t="s">
        <v>11354</v>
      </c>
      <c r="B8386" s="216"/>
      <c r="C8386" s="147"/>
      <c r="D8386" s="122"/>
      <c r="E8386" s="36"/>
      <c r="F8386" s="178"/>
      <c r="G8386" s="1242"/>
      <c r="H8386" s="36"/>
      <c r="I8386" s="11"/>
    </row>
    <row r="8387" spans="1:9" ht="9" customHeight="1">
      <c r="A8387" s="162" t="s">
        <v>11355</v>
      </c>
      <c r="B8387" s="216"/>
      <c r="C8387" s="147"/>
      <c r="D8387" s="122"/>
      <c r="E8387" s="36"/>
      <c r="F8387" s="178"/>
      <c r="G8387" s="1242"/>
      <c r="H8387" s="36"/>
      <c r="I8387" s="11"/>
    </row>
    <row r="8388" spans="1:9" ht="9" customHeight="1">
      <c r="A8388" s="162" t="s">
        <v>11356</v>
      </c>
      <c r="B8388" s="216"/>
      <c r="C8388" s="147"/>
      <c r="D8388" s="122"/>
      <c r="E8388" s="36"/>
      <c r="F8388" s="178"/>
      <c r="G8388" s="1242"/>
      <c r="H8388" s="36"/>
      <c r="I8388" s="11"/>
    </row>
    <row r="8389" spans="1:9" ht="9" customHeight="1">
      <c r="A8389" s="162" t="s">
        <v>11357</v>
      </c>
      <c r="B8389" s="216"/>
      <c r="C8389" s="147"/>
      <c r="D8389" s="122"/>
      <c r="E8389" s="36"/>
      <c r="F8389" s="178"/>
      <c r="G8389" s="1242"/>
      <c r="H8389" s="36"/>
      <c r="I8389" s="11"/>
    </row>
    <row r="8390" spans="1:9" ht="9" customHeight="1">
      <c r="A8390" s="162" t="s">
        <v>11358</v>
      </c>
      <c r="B8390" s="216"/>
      <c r="C8390" s="147"/>
      <c r="D8390" s="122"/>
      <c r="E8390" s="36"/>
      <c r="F8390" s="178"/>
      <c r="G8390" s="1242"/>
      <c r="H8390" s="36"/>
      <c r="I8390" s="11"/>
    </row>
    <row r="8391" spans="1:9" ht="9" customHeight="1">
      <c r="A8391" s="29" t="s">
        <v>11359</v>
      </c>
      <c r="B8391" s="216"/>
      <c r="C8391" s="147"/>
      <c r="D8391" s="122"/>
      <c r="E8391" s="36"/>
      <c r="F8391" s="178"/>
      <c r="G8391" s="1242"/>
      <c r="H8391" s="36"/>
      <c r="I8391" s="11"/>
    </row>
    <row r="8392" spans="1:9" ht="9" customHeight="1">
      <c r="A8392" s="129" t="s">
        <v>1630</v>
      </c>
      <c r="B8392" s="216"/>
      <c r="C8392" s="147"/>
      <c r="D8392" s="122"/>
      <c r="E8392" s="36"/>
      <c r="F8392" s="178"/>
      <c r="G8392" s="1242"/>
      <c r="H8392" s="36"/>
      <c r="I8392" s="11"/>
    </row>
    <row r="8393" spans="1:9" ht="9" customHeight="1">
      <c r="A8393" s="279" t="s">
        <v>11360</v>
      </c>
      <c r="B8393" s="216"/>
      <c r="C8393" s="147"/>
      <c r="D8393" s="122"/>
      <c r="E8393" s="36"/>
      <c r="F8393" s="178"/>
      <c r="G8393" s="1242"/>
      <c r="H8393" s="36"/>
      <c r="I8393" s="11"/>
    </row>
    <row r="8394" spans="1:9" ht="9" customHeight="1">
      <c r="A8394" s="212" t="s">
        <v>11361</v>
      </c>
      <c r="B8394" s="216"/>
      <c r="C8394" s="147"/>
      <c r="D8394" s="122"/>
      <c r="E8394" s="36"/>
      <c r="F8394" s="178"/>
      <c r="G8394" s="1242"/>
      <c r="H8394" s="36"/>
      <c r="I8394" s="11"/>
    </row>
    <row r="8395" spans="1:9" ht="9" customHeight="1">
      <c r="A8395" s="212" t="s">
        <v>11362</v>
      </c>
      <c r="B8395" s="216"/>
      <c r="C8395" s="147"/>
      <c r="D8395" s="122"/>
      <c r="E8395" s="36"/>
      <c r="F8395" s="178"/>
      <c r="G8395" s="1242"/>
      <c r="H8395" s="36"/>
      <c r="I8395" s="11"/>
    </row>
    <row r="8396" spans="1:9" ht="9" customHeight="1">
      <c r="A8396" s="129" t="s">
        <v>11363</v>
      </c>
      <c r="B8396" s="216"/>
      <c r="C8396" s="147"/>
      <c r="D8396" s="122"/>
      <c r="E8396" s="36"/>
      <c r="F8396" s="178"/>
      <c r="G8396" s="1242"/>
      <c r="H8396" s="36"/>
      <c r="I8396" s="11"/>
    </row>
    <row r="8397" spans="1:9" ht="9" customHeight="1">
      <c r="A8397" s="129" t="s">
        <v>10760</v>
      </c>
      <c r="B8397" s="216"/>
      <c r="C8397" s="147"/>
      <c r="D8397" s="122"/>
      <c r="E8397" s="36"/>
      <c r="F8397" s="178"/>
      <c r="G8397" s="1242"/>
      <c r="H8397" s="36"/>
      <c r="I8397" s="11"/>
    </row>
    <row r="8398" spans="1:9" ht="9" customHeight="1">
      <c r="A8398" s="129" t="s">
        <v>11364</v>
      </c>
      <c r="B8398" s="216"/>
      <c r="C8398" s="147"/>
      <c r="D8398" s="122"/>
      <c r="E8398" s="36"/>
      <c r="F8398" s="178"/>
      <c r="G8398" s="1242"/>
      <c r="H8398" s="36"/>
      <c r="I8398" s="11"/>
    </row>
    <row r="8399" spans="1:9" ht="9" customHeight="1">
      <c r="A8399" s="162"/>
      <c r="B8399" s="413" t="s">
        <v>11365</v>
      </c>
      <c r="C8399" s="147"/>
      <c r="D8399" s="122"/>
      <c r="E8399" s="36"/>
      <c r="F8399" s="178"/>
      <c r="G8399" s="1242"/>
      <c r="H8399" s="36"/>
      <c r="I8399" s="11"/>
    </row>
    <row r="8400" spans="1:9" ht="9" customHeight="1">
      <c r="A8400" s="162"/>
      <c r="B8400" s="216" t="s">
        <v>11366</v>
      </c>
      <c r="C8400" s="147"/>
      <c r="D8400" s="122"/>
      <c r="E8400" s="36"/>
      <c r="F8400" s="178"/>
      <c r="G8400" s="1242"/>
      <c r="H8400" s="36"/>
      <c r="I8400" s="11"/>
    </row>
    <row r="8401" spans="1:12" ht="9" customHeight="1">
      <c r="A8401" s="183"/>
      <c r="B8401" s="209" t="s">
        <v>11367</v>
      </c>
      <c r="C8401" s="147"/>
      <c r="D8401" s="122"/>
      <c r="E8401" s="36"/>
      <c r="F8401" s="178"/>
      <c r="G8401" s="1242"/>
      <c r="H8401" s="36"/>
      <c r="I8401" s="11"/>
    </row>
    <row r="8402" spans="1:12" ht="9" customHeight="1">
      <c r="A8402" s="183"/>
      <c r="B8402" s="209" t="s">
        <v>11368</v>
      </c>
      <c r="C8402" s="147"/>
      <c r="D8402" s="122"/>
      <c r="E8402" s="36"/>
      <c r="F8402" s="178"/>
      <c r="G8402" s="1242"/>
      <c r="H8402" s="36"/>
      <c r="I8402" s="11"/>
    </row>
    <row r="8403" spans="1:12" ht="9" customHeight="1">
      <c r="A8403" s="183"/>
      <c r="B8403" s="150" t="s">
        <v>11369</v>
      </c>
      <c r="C8403" s="147"/>
      <c r="D8403" s="122"/>
      <c r="E8403" s="36"/>
      <c r="F8403" s="178"/>
      <c r="G8403" s="1242"/>
      <c r="H8403" s="36"/>
      <c r="I8403" s="11"/>
    </row>
    <row r="8404" spans="1:12" ht="9" customHeight="1" thickBot="1">
      <c r="A8404" s="178"/>
      <c r="B8404" s="209" t="s">
        <v>11370</v>
      </c>
      <c r="C8404" s="147"/>
      <c r="D8404" s="122"/>
      <c r="E8404" s="36"/>
      <c r="F8404" s="183"/>
      <c r="G8404" s="178"/>
      <c r="H8404" s="34"/>
      <c r="I8404" s="11"/>
    </row>
    <row r="8405" spans="1:12" ht="11.15" customHeight="1" thickBot="1">
      <c r="A8405" s="184" t="s">
        <v>11371</v>
      </c>
      <c r="B8405" s="154" t="s">
        <v>11372</v>
      </c>
      <c r="C8405" s="147"/>
      <c r="D8405" s="122"/>
      <c r="E8405" s="36"/>
      <c r="F8405" s="183"/>
      <c r="G8405" s="60"/>
      <c r="H8405" s="34"/>
      <c r="I8405" s="11"/>
    </row>
    <row r="8406" spans="1:12" ht="11.15" customHeight="1">
      <c r="A8406" s="29" t="s">
        <v>11373</v>
      </c>
      <c r="B8406" s="59" t="s">
        <v>21813</v>
      </c>
      <c r="C8406" s="147" t="s">
        <v>20221</v>
      </c>
      <c r="D8406" s="701" t="s">
        <v>1129</v>
      </c>
      <c r="E8406" s="178">
        <v>2017</v>
      </c>
      <c r="F8406" s="178" t="s">
        <v>4520</v>
      </c>
      <c r="G8406" s="496"/>
      <c r="H8406" s="994" t="s">
        <v>20221</v>
      </c>
      <c r="I8406" s="11" t="s">
        <v>11374</v>
      </c>
      <c r="J8406" s="1285"/>
      <c r="K8406" s="1285"/>
      <c r="L8406" s="1285"/>
    </row>
    <row r="8407" spans="1:12" ht="11.15" customHeight="1">
      <c r="A8407" s="29" t="s">
        <v>11375</v>
      </c>
      <c r="B8407" s="177" t="s">
        <v>10603</v>
      </c>
      <c r="C8407" s="147"/>
      <c r="D8407" s="159"/>
      <c r="E8407" s="36"/>
      <c r="F8407" s="178"/>
      <c r="G8407" s="496"/>
      <c r="H8407" s="36"/>
      <c r="I8407" s="11"/>
    </row>
    <row r="8408" spans="1:12" ht="11.15" customHeight="1">
      <c r="A8408" s="29" t="s">
        <v>11376</v>
      </c>
      <c r="B8408" s="59" t="s">
        <v>21814</v>
      </c>
      <c r="C8408" s="147" t="s">
        <v>20221</v>
      </c>
      <c r="D8408" s="284" t="s">
        <v>897</v>
      </c>
      <c r="E8408" s="178">
        <v>2016</v>
      </c>
      <c r="F8408" s="178" t="s">
        <v>4520</v>
      </c>
      <c r="G8408" s="496"/>
      <c r="H8408" s="994" t="s">
        <v>20221</v>
      </c>
      <c r="I8408" s="11" t="s">
        <v>11377</v>
      </c>
      <c r="J8408" s="1285"/>
      <c r="K8408" s="1285"/>
      <c r="L8408" s="1285"/>
    </row>
    <row r="8409" spans="1:12" ht="11.15" customHeight="1">
      <c r="A8409" s="29" t="s">
        <v>11378</v>
      </c>
      <c r="B8409" s="59" t="s">
        <v>21814</v>
      </c>
      <c r="C8409" s="147" t="s">
        <v>20221</v>
      </c>
      <c r="D8409" s="284" t="s">
        <v>897</v>
      </c>
      <c r="E8409" s="178">
        <v>2014</v>
      </c>
      <c r="F8409" s="178" t="s">
        <v>4520</v>
      </c>
      <c r="G8409" s="496"/>
      <c r="H8409" s="994" t="s">
        <v>20221</v>
      </c>
      <c r="I8409" s="11" t="s">
        <v>11379</v>
      </c>
      <c r="J8409" s="1285"/>
      <c r="K8409" s="1285"/>
      <c r="L8409" s="1285"/>
    </row>
    <row r="8410" spans="1:12" ht="11.15" customHeight="1">
      <c r="A8410" s="129" t="s">
        <v>1077</v>
      </c>
      <c r="B8410" s="59" t="s">
        <v>21814</v>
      </c>
      <c r="C8410" s="147" t="s">
        <v>20221</v>
      </c>
      <c r="D8410" s="284" t="s">
        <v>897</v>
      </c>
      <c r="E8410" s="178">
        <v>2013</v>
      </c>
      <c r="F8410" s="178" t="s">
        <v>4520</v>
      </c>
      <c r="G8410" s="496"/>
      <c r="H8410" s="994" t="s">
        <v>20221</v>
      </c>
      <c r="I8410" s="11" t="s">
        <v>11380</v>
      </c>
      <c r="J8410" s="1285"/>
      <c r="K8410" s="1285"/>
      <c r="L8410" s="1285"/>
    </row>
    <row r="8411" spans="1:12" ht="11.15" customHeight="1">
      <c r="A8411" s="162" t="s">
        <v>11381</v>
      </c>
      <c r="B8411" s="177" t="s">
        <v>11161</v>
      </c>
      <c r="C8411" s="147"/>
      <c r="D8411" s="159"/>
      <c r="E8411" s="36"/>
      <c r="F8411" s="178"/>
      <c r="G8411" s="496"/>
      <c r="H8411" s="36"/>
      <c r="I8411" s="11"/>
    </row>
    <row r="8412" spans="1:12" ht="11.15" customHeight="1">
      <c r="A8412" s="162" t="s">
        <v>11382</v>
      </c>
      <c r="B8412" s="59" t="s">
        <v>21815</v>
      </c>
      <c r="C8412" s="147" t="s">
        <v>20221</v>
      </c>
      <c r="D8412" s="284" t="s">
        <v>897</v>
      </c>
      <c r="E8412" s="178">
        <v>2016</v>
      </c>
      <c r="F8412" s="178" t="s">
        <v>4520</v>
      </c>
      <c r="G8412" s="496"/>
      <c r="H8412" s="994" t="s">
        <v>20221</v>
      </c>
      <c r="I8412" s="11" t="s">
        <v>11383</v>
      </c>
      <c r="J8412" s="1285"/>
      <c r="K8412" s="1285"/>
      <c r="L8412" s="1285"/>
    </row>
    <row r="8413" spans="1:12" ht="11.15" customHeight="1">
      <c r="A8413" s="162" t="s">
        <v>11384</v>
      </c>
      <c r="B8413" s="59" t="s">
        <v>21815</v>
      </c>
      <c r="C8413" s="147" t="s">
        <v>20221</v>
      </c>
      <c r="D8413" s="284" t="s">
        <v>897</v>
      </c>
      <c r="E8413" s="178">
        <v>2014</v>
      </c>
      <c r="F8413" s="178" t="s">
        <v>4520</v>
      </c>
      <c r="G8413" s="496"/>
      <c r="H8413" s="994" t="s">
        <v>20221</v>
      </c>
      <c r="I8413" s="11" t="s">
        <v>11385</v>
      </c>
      <c r="J8413" s="1285"/>
      <c r="K8413" s="1285"/>
      <c r="L8413" s="1285"/>
    </row>
    <row r="8414" spans="1:12" ht="11.15" customHeight="1">
      <c r="A8414" s="162" t="s">
        <v>11386</v>
      </c>
      <c r="B8414" s="59" t="s">
        <v>21816</v>
      </c>
      <c r="C8414" s="147" t="s">
        <v>20221</v>
      </c>
      <c r="D8414" s="284" t="s">
        <v>897</v>
      </c>
      <c r="E8414" s="178">
        <v>2016</v>
      </c>
      <c r="F8414" s="178" t="s">
        <v>4520</v>
      </c>
      <c r="G8414" s="496"/>
      <c r="H8414" s="994" t="s">
        <v>20221</v>
      </c>
      <c r="I8414" s="11" t="s">
        <v>11387</v>
      </c>
      <c r="J8414" s="1285"/>
      <c r="K8414" s="1285"/>
      <c r="L8414" s="1285"/>
    </row>
    <row r="8415" spans="1:12" ht="11.15" customHeight="1">
      <c r="A8415" s="162" t="s">
        <v>11388</v>
      </c>
      <c r="B8415" s="59" t="s">
        <v>21816</v>
      </c>
      <c r="C8415" s="147" t="s">
        <v>20221</v>
      </c>
      <c r="D8415" s="284" t="s">
        <v>897</v>
      </c>
      <c r="E8415" s="178">
        <v>2013</v>
      </c>
      <c r="F8415" s="178" t="s">
        <v>4520</v>
      </c>
      <c r="G8415" s="496"/>
      <c r="H8415" s="994" t="s">
        <v>20221</v>
      </c>
      <c r="I8415" s="11" t="s">
        <v>11389</v>
      </c>
      <c r="J8415" s="1285"/>
      <c r="K8415" s="1285"/>
      <c r="L8415" s="1285"/>
    </row>
    <row r="8416" spans="1:12" ht="11.15" customHeight="1">
      <c r="A8416" s="162" t="s">
        <v>11390</v>
      </c>
      <c r="B8416" s="59" t="s">
        <v>21817</v>
      </c>
      <c r="C8416" s="147" t="s">
        <v>20221</v>
      </c>
      <c r="D8416" s="284" t="s">
        <v>897</v>
      </c>
      <c r="E8416" s="178">
        <v>2013</v>
      </c>
      <c r="F8416" s="178" t="s">
        <v>4520</v>
      </c>
      <c r="G8416" s="496"/>
      <c r="H8416" s="994" t="s">
        <v>20221</v>
      </c>
      <c r="I8416" s="11" t="s">
        <v>11391</v>
      </c>
      <c r="J8416" s="1285"/>
      <c r="K8416" s="1285"/>
      <c r="L8416" s="1285"/>
    </row>
    <row r="8417" spans="1:12" ht="11.15" customHeight="1">
      <c r="A8417" s="162" t="s">
        <v>11392</v>
      </c>
      <c r="B8417" s="59" t="s">
        <v>21818</v>
      </c>
      <c r="C8417" s="147" t="s">
        <v>20221</v>
      </c>
      <c r="D8417" s="284" t="s">
        <v>897</v>
      </c>
      <c r="E8417" s="178">
        <v>2016</v>
      </c>
      <c r="F8417" s="178" t="s">
        <v>4520</v>
      </c>
      <c r="G8417" s="496"/>
      <c r="H8417" s="994" t="s">
        <v>20221</v>
      </c>
      <c r="I8417" s="11" t="s">
        <v>11393</v>
      </c>
      <c r="J8417" s="1285"/>
      <c r="K8417" s="1285"/>
      <c r="L8417" s="1285"/>
    </row>
    <row r="8418" spans="1:12" ht="11.15" customHeight="1">
      <c r="A8418" s="162" t="s">
        <v>11394</v>
      </c>
      <c r="B8418" s="59" t="s">
        <v>21818</v>
      </c>
      <c r="C8418" s="147" t="s">
        <v>20221</v>
      </c>
      <c r="D8418" s="284" t="s">
        <v>897</v>
      </c>
      <c r="E8418" s="178">
        <v>2015</v>
      </c>
      <c r="F8418" s="178" t="s">
        <v>4520</v>
      </c>
      <c r="G8418" s="496"/>
      <c r="H8418" s="994" t="s">
        <v>20221</v>
      </c>
      <c r="I8418" s="11" t="s">
        <v>11395</v>
      </c>
      <c r="J8418" s="1285"/>
      <c r="K8418" s="1285"/>
      <c r="L8418" s="1285"/>
    </row>
    <row r="8419" spans="1:12" ht="11.15" customHeight="1">
      <c r="A8419" s="162" t="s">
        <v>11396</v>
      </c>
      <c r="B8419" s="59" t="s">
        <v>21819</v>
      </c>
      <c r="C8419" s="147" t="s">
        <v>20221</v>
      </c>
      <c r="D8419" s="284" t="s">
        <v>897</v>
      </c>
      <c r="E8419" s="178">
        <v>2016</v>
      </c>
      <c r="F8419" s="178" t="s">
        <v>4520</v>
      </c>
      <c r="G8419" s="496"/>
      <c r="H8419" s="994" t="s">
        <v>20221</v>
      </c>
      <c r="I8419" s="11" t="s">
        <v>11397</v>
      </c>
      <c r="J8419" s="1285"/>
      <c r="K8419" s="1285"/>
      <c r="L8419" s="1285"/>
    </row>
    <row r="8420" spans="1:12" ht="11.15" customHeight="1">
      <c r="A8420" s="181" t="s">
        <v>11398</v>
      </c>
      <c r="B8420" s="59" t="s">
        <v>21819</v>
      </c>
      <c r="C8420" s="147" t="s">
        <v>20221</v>
      </c>
      <c r="D8420" s="284" t="s">
        <v>897</v>
      </c>
      <c r="E8420" s="178">
        <v>2013</v>
      </c>
      <c r="F8420" s="178" t="s">
        <v>4520</v>
      </c>
      <c r="G8420" s="496"/>
      <c r="H8420" s="994" t="s">
        <v>20221</v>
      </c>
      <c r="I8420" s="11" t="s">
        <v>11399</v>
      </c>
      <c r="J8420" s="1285"/>
      <c r="K8420" s="1285"/>
      <c r="L8420" s="1285"/>
    </row>
    <row r="8421" spans="1:12" ht="11.15" customHeight="1">
      <c r="A8421" s="166" t="s">
        <v>11400</v>
      </c>
      <c r="B8421" s="59" t="s">
        <v>21820</v>
      </c>
      <c r="C8421" s="147" t="s">
        <v>20221</v>
      </c>
      <c r="D8421" s="284" t="s">
        <v>897</v>
      </c>
      <c r="E8421" s="178">
        <v>2016</v>
      </c>
      <c r="F8421" s="178" t="s">
        <v>4520</v>
      </c>
      <c r="G8421" s="496"/>
      <c r="H8421" s="994" t="s">
        <v>20221</v>
      </c>
      <c r="I8421" s="11" t="s">
        <v>11401</v>
      </c>
      <c r="J8421" s="1285"/>
      <c r="K8421" s="1285"/>
      <c r="L8421" s="1285"/>
    </row>
    <row r="8422" spans="1:12" ht="11.15" customHeight="1">
      <c r="A8422" s="242" t="s">
        <v>11402</v>
      </c>
      <c r="B8422" s="59" t="s">
        <v>21820</v>
      </c>
      <c r="C8422" s="147" t="s">
        <v>20221</v>
      </c>
      <c r="D8422" s="284" t="s">
        <v>897</v>
      </c>
      <c r="E8422" s="178">
        <v>2014</v>
      </c>
      <c r="F8422" s="178" t="s">
        <v>4520</v>
      </c>
      <c r="G8422" s="496"/>
      <c r="H8422" s="994" t="s">
        <v>20221</v>
      </c>
      <c r="I8422" s="11" t="s">
        <v>11403</v>
      </c>
      <c r="J8422" s="1285"/>
      <c r="K8422" s="1285"/>
      <c r="L8422" s="1285"/>
    </row>
    <row r="8423" spans="1:12" ht="11.15" customHeight="1">
      <c r="A8423" s="129" t="s">
        <v>11404</v>
      </c>
      <c r="B8423" s="59" t="s">
        <v>21820</v>
      </c>
      <c r="C8423" s="147" t="s">
        <v>20221</v>
      </c>
      <c r="D8423" s="284" t="s">
        <v>897</v>
      </c>
      <c r="E8423" s="178">
        <v>2013</v>
      </c>
      <c r="F8423" s="178" t="s">
        <v>4520</v>
      </c>
      <c r="G8423" s="496"/>
      <c r="H8423" s="994" t="s">
        <v>20221</v>
      </c>
      <c r="I8423" s="11" t="s">
        <v>11405</v>
      </c>
      <c r="J8423" s="1285"/>
      <c r="K8423" s="1285"/>
      <c r="L8423" s="1285"/>
    </row>
    <row r="8424" spans="1:12" ht="11.15" customHeight="1">
      <c r="A8424" s="29"/>
      <c r="B8424" s="59" t="s">
        <v>21747</v>
      </c>
      <c r="C8424" s="147" t="s">
        <v>20221</v>
      </c>
      <c r="D8424" s="284" t="s">
        <v>897</v>
      </c>
      <c r="E8424" s="178">
        <v>2016</v>
      </c>
      <c r="F8424" s="178" t="s">
        <v>4520</v>
      </c>
      <c r="G8424" s="496"/>
      <c r="H8424" s="994" t="s">
        <v>20221</v>
      </c>
      <c r="I8424" s="11" t="s">
        <v>11406</v>
      </c>
      <c r="J8424" s="1285"/>
      <c r="K8424" s="1285"/>
      <c r="L8424" s="1285"/>
    </row>
    <row r="8425" spans="1:12" ht="11.15" customHeight="1">
      <c r="A8425" s="185"/>
      <c r="B8425" s="59" t="s">
        <v>21747</v>
      </c>
      <c r="C8425" s="147" t="s">
        <v>20221</v>
      </c>
      <c r="D8425" s="284" t="s">
        <v>897</v>
      </c>
      <c r="E8425" s="178">
        <v>2014</v>
      </c>
      <c r="F8425" s="178" t="s">
        <v>4520</v>
      </c>
      <c r="G8425" s="496"/>
      <c r="H8425" s="994" t="s">
        <v>20221</v>
      </c>
      <c r="I8425" s="11" t="s">
        <v>11407</v>
      </c>
      <c r="J8425" s="1285"/>
      <c r="K8425" s="1285"/>
      <c r="L8425" s="1285"/>
    </row>
    <row r="8426" spans="1:12" ht="11.15" customHeight="1">
      <c r="A8426" s="185"/>
      <c r="B8426" s="59" t="s">
        <v>21747</v>
      </c>
      <c r="C8426" s="147" t="s">
        <v>20221</v>
      </c>
      <c r="D8426" s="284" t="s">
        <v>897</v>
      </c>
      <c r="E8426" s="178">
        <v>2013</v>
      </c>
      <c r="F8426" s="178" t="s">
        <v>4520</v>
      </c>
      <c r="G8426" s="496"/>
      <c r="H8426" s="994" t="s">
        <v>20221</v>
      </c>
      <c r="I8426" s="11" t="s">
        <v>11408</v>
      </c>
      <c r="J8426" s="1285"/>
      <c r="K8426" s="1285"/>
      <c r="L8426" s="1285"/>
    </row>
    <row r="8427" spans="1:12" ht="11.15" customHeight="1">
      <c r="A8427" s="185"/>
      <c r="B8427" s="177" t="s">
        <v>11409</v>
      </c>
      <c r="C8427" s="147"/>
      <c r="D8427" s="122"/>
      <c r="E8427" s="36"/>
      <c r="F8427" s="178"/>
      <c r="G8427" s="496"/>
      <c r="H8427" s="36"/>
      <c r="I8427" s="11"/>
    </row>
    <row r="8428" spans="1:12" ht="11.15" customHeight="1">
      <c r="A8428" s="185"/>
      <c r="B8428" s="59" t="s">
        <v>21821</v>
      </c>
      <c r="C8428" s="147" t="s">
        <v>20221</v>
      </c>
      <c r="D8428" s="284" t="s">
        <v>897</v>
      </c>
      <c r="E8428" s="178">
        <v>2016</v>
      </c>
      <c r="F8428" s="178" t="s">
        <v>4520</v>
      </c>
      <c r="G8428" s="496"/>
      <c r="H8428" s="994" t="s">
        <v>20224</v>
      </c>
      <c r="I8428" s="11" t="s">
        <v>11410</v>
      </c>
      <c r="J8428" s="1285"/>
      <c r="K8428" s="1285"/>
      <c r="L8428" s="1285"/>
    </row>
    <row r="8429" spans="1:12" ht="11.15" customHeight="1">
      <c r="A8429" s="185"/>
      <c r="B8429" s="177" t="s">
        <v>11411</v>
      </c>
      <c r="C8429" s="147"/>
      <c r="D8429" s="122"/>
      <c r="E8429" s="36"/>
      <c r="F8429" s="178"/>
      <c r="G8429" s="496"/>
      <c r="H8429" s="36"/>
      <c r="I8429" s="11"/>
    </row>
    <row r="8430" spans="1:12" ht="11.15" customHeight="1">
      <c r="A8430" s="185"/>
      <c r="B8430" s="59" t="s">
        <v>21822</v>
      </c>
      <c r="C8430" s="147" t="s">
        <v>20221</v>
      </c>
      <c r="D8430" s="284" t="s">
        <v>897</v>
      </c>
      <c r="E8430" s="178">
        <v>2016</v>
      </c>
      <c r="F8430" s="178" t="s">
        <v>11931</v>
      </c>
      <c r="G8430" s="496"/>
      <c r="H8430" s="994" t="s">
        <v>20224</v>
      </c>
      <c r="I8430" s="11" t="s">
        <v>11412</v>
      </c>
      <c r="J8430" s="1285"/>
      <c r="K8430" s="1285"/>
      <c r="L8430" s="1285"/>
    </row>
    <row r="8431" spans="1:12" ht="11.15" customHeight="1">
      <c r="A8431" s="185"/>
      <c r="B8431" s="59" t="s">
        <v>21822</v>
      </c>
      <c r="C8431" s="147" t="s">
        <v>20221</v>
      </c>
      <c r="D8431" s="284" t="s">
        <v>897</v>
      </c>
      <c r="E8431" s="178">
        <v>2014</v>
      </c>
      <c r="F8431" s="178" t="s">
        <v>9678</v>
      </c>
      <c r="G8431" s="496"/>
      <c r="H8431" s="994" t="s">
        <v>20224</v>
      </c>
      <c r="I8431" s="11" t="s">
        <v>11413</v>
      </c>
      <c r="J8431" s="1285"/>
      <c r="K8431" s="1285"/>
      <c r="L8431" s="1285"/>
    </row>
    <row r="8432" spans="1:12" ht="11.15" customHeight="1">
      <c r="A8432" s="185"/>
      <c r="B8432" s="59" t="s">
        <v>21822</v>
      </c>
      <c r="C8432" s="147" t="s">
        <v>20221</v>
      </c>
      <c r="D8432" s="284" t="s">
        <v>897</v>
      </c>
      <c r="E8432" s="178">
        <v>2013</v>
      </c>
      <c r="F8432" s="178" t="s">
        <v>9678</v>
      </c>
      <c r="G8432" s="496"/>
      <c r="H8432" s="994" t="s">
        <v>20221</v>
      </c>
      <c r="I8432" s="11" t="s">
        <v>11414</v>
      </c>
      <c r="J8432" s="1285"/>
      <c r="K8432" s="1285"/>
      <c r="L8432" s="1285"/>
    </row>
    <row r="8433" spans="1:12" ht="11.15" customHeight="1">
      <c r="A8433" s="185"/>
      <c r="B8433" s="59" t="s">
        <v>21823</v>
      </c>
      <c r="C8433" s="147" t="s">
        <v>20221</v>
      </c>
      <c r="D8433" s="284" t="s">
        <v>897</v>
      </c>
      <c r="E8433" s="178">
        <v>2016</v>
      </c>
      <c r="F8433" s="178" t="s">
        <v>11938</v>
      </c>
      <c r="G8433" s="496"/>
      <c r="H8433" s="994" t="s">
        <v>20224</v>
      </c>
      <c r="I8433" s="11" t="s">
        <v>11415</v>
      </c>
      <c r="J8433" s="1285"/>
      <c r="K8433" s="1285"/>
      <c r="L8433" s="1285"/>
    </row>
    <row r="8434" spans="1:12" ht="11.15" customHeight="1">
      <c r="A8434" s="185"/>
      <c r="B8434" s="177" t="s">
        <v>11021</v>
      </c>
      <c r="C8434" s="147"/>
      <c r="D8434" s="122"/>
      <c r="E8434" s="36"/>
      <c r="F8434" s="178"/>
      <c r="G8434" s="496"/>
      <c r="H8434" s="36"/>
      <c r="I8434" s="11"/>
    </row>
    <row r="8435" spans="1:12" ht="11.15" customHeight="1">
      <c r="A8435" s="185"/>
      <c r="B8435" s="59" t="s">
        <v>21824</v>
      </c>
      <c r="C8435" s="147" t="s">
        <v>20221</v>
      </c>
      <c r="D8435" s="284" t="s">
        <v>897</v>
      </c>
      <c r="E8435" s="178">
        <v>2014</v>
      </c>
      <c r="F8435" s="178" t="s">
        <v>9678</v>
      </c>
      <c r="G8435" s="496"/>
      <c r="H8435" s="994" t="s">
        <v>20224</v>
      </c>
      <c r="I8435" s="11" t="s">
        <v>11416</v>
      </c>
      <c r="J8435" s="1285"/>
      <c r="K8435" s="1285"/>
      <c r="L8435" s="1285"/>
    </row>
    <row r="8436" spans="1:12" ht="11.15" customHeight="1">
      <c r="A8436" s="185"/>
      <c r="B8436" s="59" t="s">
        <v>21825</v>
      </c>
      <c r="C8436" s="147" t="s">
        <v>20221</v>
      </c>
      <c r="D8436" s="284" t="s">
        <v>897</v>
      </c>
      <c r="E8436" s="178">
        <v>2013</v>
      </c>
      <c r="F8436" s="178" t="s">
        <v>9678</v>
      </c>
      <c r="G8436" s="496"/>
      <c r="H8436" s="994" t="s">
        <v>20224</v>
      </c>
      <c r="I8436" s="11" t="s">
        <v>11417</v>
      </c>
      <c r="J8436" s="1285"/>
      <c r="K8436" s="1285"/>
      <c r="L8436" s="1285"/>
    </row>
    <row r="8437" spans="1:12" ht="11.15" customHeight="1">
      <c r="A8437" s="185"/>
      <c r="B8437" s="59" t="s">
        <v>21826</v>
      </c>
      <c r="C8437" s="147" t="s">
        <v>20221</v>
      </c>
      <c r="D8437" s="284" t="s">
        <v>897</v>
      </c>
      <c r="E8437" s="178">
        <v>2013</v>
      </c>
      <c r="F8437" s="178" t="s">
        <v>9678</v>
      </c>
      <c r="G8437" s="496"/>
      <c r="H8437" s="994" t="s">
        <v>20224</v>
      </c>
      <c r="I8437" s="11" t="s">
        <v>11418</v>
      </c>
      <c r="J8437" s="1285"/>
      <c r="K8437" s="1285"/>
      <c r="L8437" s="1285"/>
    </row>
    <row r="8438" spans="1:12" ht="11.15" customHeight="1">
      <c r="A8438" s="185"/>
      <c r="B8438" s="59" t="s">
        <v>21827</v>
      </c>
      <c r="C8438" s="147" t="s">
        <v>20221</v>
      </c>
      <c r="D8438" s="284" t="s">
        <v>897</v>
      </c>
      <c r="E8438" s="178">
        <v>2016</v>
      </c>
      <c r="F8438" s="178" t="s">
        <v>11931</v>
      </c>
      <c r="G8438" s="496"/>
      <c r="H8438" s="994" t="s">
        <v>20224</v>
      </c>
      <c r="I8438" s="11" t="s">
        <v>11419</v>
      </c>
      <c r="J8438" s="1285"/>
      <c r="K8438" s="1285"/>
      <c r="L8438" s="1285"/>
    </row>
    <row r="8439" spans="1:12" ht="11.15" customHeight="1">
      <c r="A8439" s="185"/>
      <c r="B8439" s="59" t="s">
        <v>21828</v>
      </c>
      <c r="C8439" s="147" t="s">
        <v>20221</v>
      </c>
      <c r="D8439" s="284" t="s">
        <v>897</v>
      </c>
      <c r="E8439" s="178">
        <v>2013</v>
      </c>
      <c r="F8439" s="178" t="s">
        <v>9678</v>
      </c>
      <c r="G8439" s="496"/>
      <c r="H8439" s="994" t="s">
        <v>20224</v>
      </c>
      <c r="I8439" s="11" t="s">
        <v>11420</v>
      </c>
      <c r="J8439" s="1285"/>
      <c r="K8439" s="1285"/>
      <c r="L8439" s="1285"/>
    </row>
    <row r="8440" spans="1:12" ht="11.15" customHeight="1">
      <c r="A8440" s="185"/>
      <c r="B8440" s="59" t="s">
        <v>21829</v>
      </c>
      <c r="C8440" s="147" t="s">
        <v>20221</v>
      </c>
      <c r="D8440" s="284" t="s">
        <v>897</v>
      </c>
      <c r="E8440" s="178">
        <v>2016</v>
      </c>
      <c r="F8440" s="178" t="s">
        <v>11931</v>
      </c>
      <c r="G8440" s="496"/>
      <c r="H8440" s="994" t="s">
        <v>20224</v>
      </c>
      <c r="I8440" s="11" t="s">
        <v>11421</v>
      </c>
      <c r="J8440" s="1285"/>
      <c r="K8440" s="1285"/>
      <c r="L8440" s="1285"/>
    </row>
    <row r="8441" spans="1:12" ht="11.15" customHeight="1">
      <c r="A8441" s="185"/>
      <c r="B8441" s="59" t="s">
        <v>21829</v>
      </c>
      <c r="C8441" s="147" t="s">
        <v>20221</v>
      </c>
      <c r="D8441" s="284" t="s">
        <v>897</v>
      </c>
      <c r="E8441" s="178">
        <v>2014</v>
      </c>
      <c r="F8441" s="178" t="s">
        <v>9678</v>
      </c>
      <c r="G8441" s="496"/>
      <c r="H8441" s="994" t="s">
        <v>20224</v>
      </c>
      <c r="I8441" s="11" t="s">
        <v>11422</v>
      </c>
      <c r="J8441" s="1285"/>
      <c r="K8441" s="1285"/>
      <c r="L8441" s="1285"/>
    </row>
    <row r="8442" spans="1:12" ht="11.15" customHeight="1">
      <c r="A8442" s="185"/>
      <c r="B8442" s="59" t="s">
        <v>21829</v>
      </c>
      <c r="C8442" s="147" t="s">
        <v>20221</v>
      </c>
      <c r="D8442" s="284" t="s">
        <v>897</v>
      </c>
      <c r="E8442" s="178">
        <v>2013</v>
      </c>
      <c r="F8442" s="178" t="s">
        <v>9678</v>
      </c>
      <c r="G8442" s="496"/>
      <c r="H8442" s="994" t="s">
        <v>20224</v>
      </c>
      <c r="I8442" s="11" t="s">
        <v>11423</v>
      </c>
      <c r="J8442" s="1285"/>
      <c r="K8442" s="1285"/>
      <c r="L8442" s="1285"/>
    </row>
    <row r="8443" spans="1:12" ht="11.15" customHeight="1">
      <c r="A8443" s="185"/>
      <c r="B8443" s="59" t="s">
        <v>21830</v>
      </c>
      <c r="C8443" s="147" t="s">
        <v>20221</v>
      </c>
      <c r="D8443" s="284" t="s">
        <v>897</v>
      </c>
      <c r="E8443" s="178">
        <v>2016</v>
      </c>
      <c r="F8443" s="178" t="s">
        <v>11931</v>
      </c>
      <c r="G8443" s="496"/>
      <c r="H8443" s="994" t="s">
        <v>20224</v>
      </c>
      <c r="I8443" s="11" t="s">
        <v>11424</v>
      </c>
      <c r="J8443" s="1285"/>
      <c r="K8443" s="1285"/>
      <c r="L8443" s="1285"/>
    </row>
    <row r="8444" spans="1:12" ht="11.15" customHeight="1">
      <c r="A8444" s="185"/>
      <c r="B8444" s="59" t="s">
        <v>21830</v>
      </c>
      <c r="C8444" s="147" t="s">
        <v>20221</v>
      </c>
      <c r="D8444" s="284" t="s">
        <v>897</v>
      </c>
      <c r="E8444" s="178">
        <v>2014</v>
      </c>
      <c r="F8444" s="178" t="s">
        <v>9678</v>
      </c>
      <c r="G8444" s="496"/>
      <c r="H8444" s="994" t="s">
        <v>20224</v>
      </c>
      <c r="I8444" s="11" t="s">
        <v>11425</v>
      </c>
      <c r="J8444" s="1285"/>
      <c r="K8444" s="1285"/>
      <c r="L8444" s="1285"/>
    </row>
    <row r="8445" spans="1:12" ht="11.15" customHeight="1">
      <c r="A8445" s="185"/>
      <c r="B8445" s="59" t="s">
        <v>21830</v>
      </c>
      <c r="C8445" s="147" t="s">
        <v>20221</v>
      </c>
      <c r="D8445" s="284" t="s">
        <v>897</v>
      </c>
      <c r="E8445" s="178">
        <v>2013</v>
      </c>
      <c r="F8445" s="178" t="s">
        <v>9678</v>
      </c>
      <c r="G8445" s="496"/>
      <c r="H8445" s="994" t="s">
        <v>20224</v>
      </c>
      <c r="I8445" s="11" t="s">
        <v>11426</v>
      </c>
      <c r="J8445" s="1285"/>
      <c r="K8445" s="1285"/>
      <c r="L8445" s="1285"/>
    </row>
    <row r="8446" spans="1:12" ht="11.15" customHeight="1">
      <c r="A8446" s="185"/>
      <c r="B8446" s="59"/>
      <c r="C8446" s="147"/>
      <c r="D8446" s="122"/>
      <c r="E8446" s="36"/>
      <c r="F8446" s="178"/>
      <c r="G8446" s="497"/>
      <c r="H8446" s="36"/>
      <c r="I8446" s="11"/>
    </row>
    <row r="8447" spans="1:12" ht="11.15" customHeight="1">
      <c r="A8447" s="185"/>
      <c r="B8447" s="146" t="s">
        <v>11427</v>
      </c>
      <c r="C8447" s="147"/>
      <c r="D8447" s="122"/>
      <c r="E8447" s="36"/>
      <c r="F8447" s="178"/>
      <c r="G8447" s="497"/>
      <c r="H8447" s="36"/>
      <c r="I8447" s="11"/>
    </row>
    <row r="8448" spans="1:12" ht="9" customHeight="1">
      <c r="A8448" s="137"/>
      <c r="B8448" s="209" t="s">
        <v>11428</v>
      </c>
      <c r="C8448" s="147"/>
      <c r="D8448" s="183"/>
      <c r="E8448" s="36"/>
      <c r="F8448" s="178"/>
      <c r="G8448" s="497"/>
      <c r="H8448" s="36"/>
      <c r="I8448" s="11"/>
    </row>
    <row r="8449" spans="1:9" ht="9" customHeight="1">
      <c r="A8449" s="162"/>
      <c r="B8449" s="209" t="s">
        <v>11429</v>
      </c>
      <c r="C8449" s="147"/>
      <c r="D8449" s="209"/>
      <c r="E8449" s="210"/>
      <c r="F8449" s="150"/>
      <c r="G8449" s="886"/>
      <c r="H8449" s="210"/>
      <c r="I8449" s="11"/>
    </row>
    <row r="8450" spans="1:9" ht="9" customHeight="1">
      <c r="A8450" s="162"/>
      <c r="B8450" s="150" t="s">
        <v>11430</v>
      </c>
      <c r="C8450" s="147"/>
      <c r="D8450" s="209"/>
      <c r="E8450" s="210"/>
      <c r="F8450" s="150"/>
      <c r="G8450" s="886"/>
      <c r="H8450" s="210"/>
      <c r="I8450" s="11"/>
    </row>
    <row r="8451" spans="1:9" ht="9" customHeight="1">
      <c r="A8451" s="162"/>
      <c r="B8451" s="150" t="s">
        <v>11431</v>
      </c>
      <c r="C8451" s="147"/>
      <c r="D8451" s="209"/>
      <c r="E8451" s="210"/>
      <c r="F8451" s="150"/>
      <c r="G8451" s="886"/>
      <c r="H8451" s="210"/>
      <c r="I8451" s="11"/>
    </row>
    <row r="8452" spans="1:9" ht="9" customHeight="1">
      <c r="A8452" s="162"/>
      <c r="B8452" s="150" t="s">
        <v>11432</v>
      </c>
      <c r="C8452" s="147"/>
      <c r="D8452" s="209"/>
      <c r="E8452" s="210"/>
      <c r="F8452" s="150"/>
      <c r="G8452" s="886"/>
      <c r="H8452" s="210"/>
      <c r="I8452" s="11"/>
    </row>
    <row r="8453" spans="1:9" ht="9" customHeight="1">
      <c r="A8453" s="162"/>
      <c r="B8453" s="150" t="s">
        <v>11433</v>
      </c>
      <c r="C8453" s="147"/>
      <c r="D8453" s="209"/>
      <c r="E8453" s="210"/>
      <c r="F8453" s="150"/>
      <c r="G8453" s="886"/>
      <c r="H8453" s="210"/>
      <c r="I8453" s="11"/>
    </row>
    <row r="8454" spans="1:9" ht="9" customHeight="1">
      <c r="A8454" s="162"/>
      <c r="B8454" s="150" t="s">
        <v>11434</v>
      </c>
      <c r="C8454" s="147"/>
      <c r="D8454" s="209"/>
      <c r="E8454" s="210"/>
      <c r="F8454" s="150"/>
      <c r="G8454" s="886"/>
      <c r="H8454" s="210"/>
      <c r="I8454" s="11"/>
    </row>
    <row r="8455" spans="1:9" ht="9" customHeight="1">
      <c r="A8455" s="162"/>
      <c r="B8455" s="150" t="s">
        <v>11435</v>
      </c>
      <c r="C8455" s="147"/>
      <c r="D8455" s="209"/>
      <c r="E8455" s="210"/>
      <c r="F8455" s="150"/>
      <c r="G8455" s="886"/>
      <c r="H8455" s="210"/>
      <c r="I8455" s="11"/>
    </row>
    <row r="8456" spans="1:9" ht="9" customHeight="1">
      <c r="A8456" s="162"/>
      <c r="B8456" s="150" t="s">
        <v>11436</v>
      </c>
      <c r="C8456" s="147"/>
      <c r="D8456" s="209"/>
      <c r="E8456" s="210"/>
      <c r="F8456" s="150"/>
      <c r="G8456" s="886"/>
      <c r="H8456" s="210"/>
      <c r="I8456" s="11"/>
    </row>
    <row r="8457" spans="1:9" ht="9" customHeight="1">
      <c r="A8457" s="162"/>
      <c r="B8457" s="150" t="s">
        <v>11437</v>
      </c>
      <c r="C8457" s="147"/>
      <c r="D8457" s="209"/>
      <c r="E8457" s="210"/>
      <c r="F8457" s="150"/>
      <c r="G8457" s="886"/>
      <c r="H8457" s="210"/>
      <c r="I8457" s="11"/>
    </row>
    <row r="8458" spans="1:9" ht="9" customHeight="1">
      <c r="A8458" s="162"/>
      <c r="B8458" s="150" t="s">
        <v>11438</v>
      </c>
      <c r="C8458" s="147"/>
      <c r="D8458" s="209"/>
      <c r="E8458" s="210"/>
      <c r="F8458" s="150"/>
      <c r="G8458" s="886"/>
      <c r="H8458" s="210"/>
      <c r="I8458" s="11"/>
    </row>
    <row r="8459" spans="1:9" ht="9" customHeight="1">
      <c r="A8459" s="162"/>
      <c r="B8459" s="150" t="s">
        <v>11439</v>
      </c>
      <c r="C8459" s="147"/>
      <c r="D8459" s="209"/>
      <c r="E8459" s="210"/>
      <c r="F8459" s="150"/>
      <c r="G8459" s="886"/>
      <c r="H8459" s="210"/>
      <c r="I8459" s="11"/>
    </row>
    <row r="8460" spans="1:9" ht="9" customHeight="1">
      <c r="A8460" s="162"/>
      <c r="B8460" s="150" t="s">
        <v>11440</v>
      </c>
      <c r="C8460" s="147"/>
      <c r="D8460" s="209"/>
      <c r="E8460" s="210"/>
      <c r="F8460" s="150"/>
      <c r="G8460" s="886"/>
      <c r="H8460" s="210"/>
      <c r="I8460" s="11"/>
    </row>
    <row r="8461" spans="1:9" ht="9" customHeight="1">
      <c r="A8461" s="162"/>
      <c r="B8461" s="150" t="s">
        <v>11441</v>
      </c>
      <c r="C8461" s="147"/>
      <c r="D8461" s="209"/>
      <c r="E8461" s="210"/>
      <c r="F8461" s="150"/>
      <c r="G8461" s="886"/>
      <c r="H8461" s="210"/>
      <c r="I8461" s="11"/>
    </row>
    <row r="8462" spans="1:9" ht="9" customHeight="1">
      <c r="A8462" s="162"/>
      <c r="B8462" s="150" t="s">
        <v>11442</v>
      </c>
      <c r="C8462" s="147"/>
      <c r="D8462" s="209"/>
      <c r="E8462" s="210"/>
      <c r="F8462" s="150"/>
      <c r="G8462" s="886"/>
      <c r="H8462" s="210"/>
      <c r="I8462" s="11"/>
    </row>
    <row r="8463" spans="1:9" ht="9" customHeight="1">
      <c r="A8463" s="162"/>
      <c r="B8463" s="150" t="s">
        <v>11443</v>
      </c>
      <c r="C8463" s="147"/>
      <c r="D8463" s="209"/>
      <c r="E8463" s="210"/>
      <c r="F8463" s="150"/>
      <c r="G8463" s="886"/>
      <c r="H8463" s="210"/>
      <c r="I8463" s="11"/>
    </row>
    <row r="8464" spans="1:9" ht="9" customHeight="1">
      <c r="A8464" s="162"/>
      <c r="B8464" s="209" t="s">
        <v>11444</v>
      </c>
      <c r="C8464" s="147"/>
      <c r="D8464" s="209"/>
      <c r="E8464" s="210"/>
      <c r="F8464" s="150"/>
      <c r="G8464" s="886"/>
      <c r="H8464" s="210"/>
      <c r="I8464" s="11"/>
    </row>
    <row r="8465" spans="1:12" ht="9" customHeight="1">
      <c r="A8465" s="162"/>
      <c r="B8465" s="209" t="s">
        <v>11445</v>
      </c>
      <c r="C8465" s="147"/>
      <c r="D8465" s="209"/>
      <c r="E8465" s="210"/>
      <c r="F8465" s="150"/>
      <c r="G8465" s="886"/>
      <c r="H8465" s="210"/>
      <c r="I8465" s="11"/>
    </row>
    <row r="8466" spans="1:12" ht="9" customHeight="1">
      <c r="A8466" s="162"/>
      <c r="B8466" s="209" t="s">
        <v>11446</v>
      </c>
      <c r="C8466" s="147"/>
      <c r="D8466" s="209"/>
      <c r="E8466" s="210"/>
      <c r="F8466" s="150"/>
      <c r="G8466" s="886"/>
      <c r="H8466" s="210"/>
      <c r="I8466" s="11"/>
    </row>
    <row r="8467" spans="1:12" ht="11.15" customHeight="1">
      <c r="A8467" s="185"/>
      <c r="B8467" s="146" t="s">
        <v>11447</v>
      </c>
      <c r="C8467" s="147"/>
      <c r="D8467" s="122"/>
      <c r="E8467" s="36"/>
      <c r="F8467" s="178"/>
      <c r="G8467" s="497"/>
      <c r="H8467" s="36"/>
      <c r="I8467" s="11"/>
    </row>
    <row r="8468" spans="1:12" ht="9" customHeight="1">
      <c r="A8468" s="162"/>
      <c r="B8468" s="209" t="s">
        <v>11448</v>
      </c>
      <c r="C8468" s="147"/>
      <c r="D8468" s="209"/>
      <c r="E8468" s="210"/>
      <c r="F8468" s="150"/>
      <c r="G8468" s="886"/>
      <c r="H8468" s="210"/>
      <c r="I8468" s="11"/>
    </row>
    <row r="8469" spans="1:12" ht="9" customHeight="1">
      <c r="A8469" s="162"/>
      <c r="B8469" s="150" t="s">
        <v>11449</v>
      </c>
      <c r="C8469" s="147"/>
      <c r="D8469" s="209"/>
      <c r="E8469" s="210"/>
      <c r="F8469" s="150"/>
      <c r="G8469" s="886"/>
      <c r="H8469" s="210"/>
      <c r="I8469" s="11"/>
    </row>
    <row r="8470" spans="1:12" ht="9" customHeight="1">
      <c r="A8470" s="162"/>
      <c r="B8470" s="150" t="s">
        <v>11450</v>
      </c>
      <c r="C8470" s="147"/>
      <c r="D8470" s="209"/>
      <c r="E8470" s="210"/>
      <c r="F8470" s="150"/>
      <c r="G8470" s="886"/>
      <c r="H8470" s="210"/>
      <c r="I8470" s="11"/>
    </row>
    <row r="8471" spans="1:12" ht="9" customHeight="1">
      <c r="A8471" s="162"/>
      <c r="B8471" s="209" t="s">
        <v>11451</v>
      </c>
      <c r="C8471" s="147"/>
      <c r="D8471" s="209"/>
      <c r="E8471" s="210"/>
      <c r="F8471" s="150"/>
      <c r="G8471" s="886"/>
      <c r="H8471" s="210"/>
      <c r="I8471" s="11"/>
    </row>
    <row r="8472" spans="1:12" ht="9" customHeight="1">
      <c r="A8472" s="162"/>
      <c r="B8472" s="209" t="s">
        <v>11452</v>
      </c>
      <c r="C8472" s="147"/>
      <c r="D8472" s="209"/>
      <c r="E8472" s="210"/>
      <c r="F8472" s="150"/>
      <c r="G8472" s="886"/>
      <c r="H8472" s="210"/>
      <c r="I8472" s="11"/>
    </row>
    <row r="8473" spans="1:12" ht="9" customHeight="1">
      <c r="A8473" s="162"/>
      <c r="B8473" s="209" t="s">
        <v>11453</v>
      </c>
      <c r="C8473" s="147"/>
      <c r="D8473" s="209"/>
      <c r="E8473" s="210"/>
      <c r="F8473" s="150"/>
      <c r="G8473" s="886"/>
      <c r="H8473" s="210"/>
      <c r="I8473" s="11"/>
    </row>
    <row r="8474" spans="1:12" ht="9" customHeight="1" thickBot="1">
      <c r="A8474" s="162"/>
      <c r="B8474" s="209" t="s">
        <v>11454</v>
      </c>
      <c r="C8474" s="147"/>
      <c r="D8474" s="209"/>
      <c r="E8474" s="210"/>
      <c r="F8474" s="150"/>
      <c r="G8474" s="886"/>
      <c r="H8474" s="210"/>
      <c r="I8474" s="11"/>
    </row>
    <row r="8475" spans="1:12" ht="11.15" customHeight="1">
      <c r="A8475" s="153" t="s">
        <v>11455</v>
      </c>
      <c r="B8475" s="154" t="s">
        <v>11372</v>
      </c>
      <c r="C8475" s="147"/>
      <c r="D8475" s="122"/>
      <c r="E8475" s="36"/>
      <c r="F8475" s="178"/>
      <c r="G8475" s="497"/>
      <c r="H8475" s="36"/>
      <c r="I8475" s="11"/>
    </row>
    <row r="8476" spans="1:12" ht="11.15" customHeight="1">
      <c r="A8476" s="277" t="s">
        <v>11456</v>
      </c>
      <c r="B8476" s="59" t="s">
        <v>21831</v>
      </c>
      <c r="C8476" s="147" t="s">
        <v>20221</v>
      </c>
      <c r="D8476" s="701" t="s">
        <v>1129</v>
      </c>
      <c r="E8476" s="178">
        <v>2022</v>
      </c>
      <c r="F8476" s="178" t="s">
        <v>4520</v>
      </c>
      <c r="G8476" s="496"/>
      <c r="H8476" s="994" t="s">
        <v>20221</v>
      </c>
      <c r="I8476" s="11" t="s">
        <v>11457</v>
      </c>
      <c r="J8476" s="1285"/>
      <c r="K8476" s="1285"/>
      <c r="L8476" s="1285"/>
    </row>
    <row r="8477" spans="1:12" ht="11.15" customHeight="1" thickBot="1">
      <c r="A8477" s="230" t="s">
        <v>11458</v>
      </c>
      <c r="B8477" s="59" t="s">
        <v>21831</v>
      </c>
      <c r="C8477" s="147" t="s">
        <v>20221</v>
      </c>
      <c r="D8477" s="701" t="s">
        <v>1129</v>
      </c>
      <c r="E8477" s="178">
        <v>2021</v>
      </c>
      <c r="F8477" s="178" t="s">
        <v>4520</v>
      </c>
      <c r="G8477" s="496"/>
      <c r="H8477" s="994" t="s">
        <v>20224</v>
      </c>
      <c r="I8477" s="11" t="s">
        <v>11459</v>
      </c>
      <c r="J8477" s="1285"/>
      <c r="K8477" s="1285"/>
      <c r="L8477" s="1285"/>
    </row>
    <row r="8478" spans="1:12" ht="11.15" customHeight="1">
      <c r="A8478" s="29" t="s">
        <v>11460</v>
      </c>
      <c r="B8478" s="59" t="s">
        <v>21832</v>
      </c>
      <c r="C8478" s="147" t="s">
        <v>20221</v>
      </c>
      <c r="D8478" s="701" t="s">
        <v>1129</v>
      </c>
      <c r="E8478" s="178">
        <v>2021</v>
      </c>
      <c r="F8478" s="178" t="s">
        <v>4520</v>
      </c>
      <c r="G8478" s="496"/>
      <c r="H8478" s="994" t="s">
        <v>20277</v>
      </c>
      <c r="I8478" s="11" t="s">
        <v>11461</v>
      </c>
      <c r="J8478" s="1285"/>
      <c r="K8478" s="1285"/>
      <c r="L8478" s="1285"/>
    </row>
    <row r="8479" spans="1:12" ht="11.15" customHeight="1">
      <c r="A8479" s="29" t="s">
        <v>11462</v>
      </c>
      <c r="B8479" s="59" t="s">
        <v>18926</v>
      </c>
      <c r="C8479" s="147" t="s">
        <v>20221</v>
      </c>
      <c r="D8479" s="701" t="s">
        <v>1129</v>
      </c>
      <c r="E8479" s="178">
        <v>2022</v>
      </c>
      <c r="F8479" s="178" t="s">
        <v>4520</v>
      </c>
      <c r="G8479" s="496"/>
      <c r="H8479" s="994" t="s">
        <v>20224</v>
      </c>
      <c r="I8479" s="11" t="s">
        <v>11463</v>
      </c>
      <c r="J8479" s="1285"/>
      <c r="K8479" s="1285"/>
      <c r="L8479" s="1285"/>
    </row>
    <row r="8480" spans="1:12" ht="11.15" customHeight="1">
      <c r="A8480" s="597" t="s">
        <v>11464</v>
      </c>
      <c r="B8480" s="59" t="s">
        <v>18926</v>
      </c>
      <c r="C8480" s="147" t="s">
        <v>20221</v>
      </c>
      <c r="D8480" s="701" t="s">
        <v>1129</v>
      </c>
      <c r="E8480" s="178">
        <v>2020</v>
      </c>
      <c r="F8480" s="178" t="s">
        <v>4520</v>
      </c>
      <c r="G8480" s="496"/>
      <c r="H8480" s="994" t="s">
        <v>20224</v>
      </c>
      <c r="I8480" s="11" t="s">
        <v>11466</v>
      </c>
      <c r="J8480" s="1285"/>
      <c r="K8480" s="1285"/>
      <c r="L8480" s="1285"/>
    </row>
    <row r="8481" spans="1:12" ht="11.15" customHeight="1">
      <c r="A8481" s="181" t="s">
        <v>11465</v>
      </c>
      <c r="B8481" s="154" t="s">
        <v>11468</v>
      </c>
      <c r="C8481" s="147"/>
      <c r="D8481" s="122"/>
      <c r="E8481" s="36"/>
      <c r="F8481" s="178"/>
      <c r="G8481" s="497"/>
      <c r="H8481" s="36"/>
      <c r="I8481" s="11"/>
    </row>
    <row r="8482" spans="1:12" ht="11.15" customHeight="1">
      <c r="A8482" s="29" t="s">
        <v>11467</v>
      </c>
      <c r="B8482" s="59" t="s">
        <v>21833</v>
      </c>
      <c r="C8482" s="147" t="s">
        <v>20221</v>
      </c>
      <c r="D8482" s="701" t="s">
        <v>1129</v>
      </c>
      <c r="E8482" s="178" t="s">
        <v>20221</v>
      </c>
      <c r="F8482" s="178" t="s">
        <v>11931</v>
      </c>
      <c r="G8482" s="496" t="s">
        <v>20221</v>
      </c>
      <c r="H8482" s="994" t="s">
        <v>3907</v>
      </c>
      <c r="I8482" s="11" t="s">
        <v>11470</v>
      </c>
      <c r="J8482" s="1285"/>
      <c r="K8482" s="1285"/>
      <c r="L8482" s="1285"/>
    </row>
    <row r="8483" spans="1:12" ht="11.15" customHeight="1">
      <c r="A8483" s="29" t="s">
        <v>11469</v>
      </c>
      <c r="B8483" s="59" t="s">
        <v>21834</v>
      </c>
      <c r="C8483" s="147" t="s">
        <v>20221</v>
      </c>
      <c r="D8483" s="701" t="s">
        <v>1129</v>
      </c>
      <c r="E8483" s="178">
        <v>2021</v>
      </c>
      <c r="F8483" s="178" t="s">
        <v>5257</v>
      </c>
      <c r="G8483" s="496"/>
      <c r="H8483" s="994" t="s">
        <v>20224</v>
      </c>
      <c r="I8483" s="11" t="s">
        <v>11472</v>
      </c>
      <c r="J8483" s="1285"/>
      <c r="K8483" s="1285"/>
      <c r="L8483" s="1285"/>
    </row>
    <row r="8484" spans="1:12" ht="11.15" customHeight="1">
      <c r="A8484" s="29" t="s">
        <v>11471</v>
      </c>
      <c r="B8484" s="154" t="s">
        <v>10573</v>
      </c>
      <c r="C8484" s="147"/>
      <c r="D8484" s="159"/>
      <c r="E8484" s="36"/>
      <c r="F8484" s="183"/>
      <c r="G8484" s="496"/>
      <c r="H8484" s="34"/>
      <c r="I8484" s="11"/>
    </row>
    <row r="8485" spans="1:12" ht="11.15" customHeight="1">
      <c r="A8485" s="29" t="s">
        <v>11473</v>
      </c>
      <c r="B8485" s="59" t="s">
        <v>21835</v>
      </c>
      <c r="C8485" s="147" t="s">
        <v>20221</v>
      </c>
      <c r="D8485" s="284" t="s">
        <v>897</v>
      </c>
      <c r="E8485" s="178">
        <v>2019</v>
      </c>
      <c r="F8485" s="178" t="s">
        <v>4520</v>
      </c>
      <c r="G8485" s="496"/>
      <c r="H8485" s="994" t="s">
        <v>20224</v>
      </c>
      <c r="I8485" s="11" t="s">
        <v>11475</v>
      </c>
      <c r="J8485" s="1285"/>
      <c r="K8485" s="1285"/>
      <c r="L8485" s="1285"/>
    </row>
    <row r="8486" spans="1:12" ht="11.15" customHeight="1">
      <c r="A8486" s="29" t="s">
        <v>11474</v>
      </c>
      <c r="B8486" s="59" t="s">
        <v>21835</v>
      </c>
      <c r="C8486" s="147" t="s">
        <v>20221</v>
      </c>
      <c r="D8486" s="284" t="s">
        <v>897</v>
      </c>
      <c r="E8486" s="178">
        <v>2018</v>
      </c>
      <c r="F8486" s="178" t="s">
        <v>4520</v>
      </c>
      <c r="G8486" s="496"/>
      <c r="H8486" s="994" t="s">
        <v>20221</v>
      </c>
      <c r="I8486" s="11" t="s">
        <v>11477</v>
      </c>
      <c r="J8486" s="1285"/>
      <c r="K8486" s="1285"/>
      <c r="L8486" s="1285"/>
    </row>
    <row r="8487" spans="1:12" ht="11.15" customHeight="1">
      <c r="A8487" s="29" t="s">
        <v>11476</v>
      </c>
      <c r="B8487" s="59" t="s">
        <v>21835</v>
      </c>
      <c r="C8487" s="147" t="s">
        <v>20221</v>
      </c>
      <c r="D8487" s="284" t="s">
        <v>897</v>
      </c>
      <c r="E8487" s="178">
        <v>2017</v>
      </c>
      <c r="F8487" s="178" t="s">
        <v>4520</v>
      </c>
      <c r="G8487" s="496"/>
      <c r="H8487" s="994" t="s">
        <v>20221</v>
      </c>
      <c r="I8487" s="11" t="s">
        <v>11479</v>
      </c>
      <c r="J8487" s="1285"/>
      <c r="K8487" s="1285"/>
      <c r="L8487" s="1285"/>
    </row>
    <row r="8488" spans="1:12" ht="11.15" customHeight="1">
      <c r="A8488" s="29" t="s">
        <v>11478</v>
      </c>
      <c r="B8488" s="59" t="s">
        <v>21836</v>
      </c>
      <c r="C8488" s="147" t="s">
        <v>20221</v>
      </c>
      <c r="D8488" s="284" t="s">
        <v>897</v>
      </c>
      <c r="E8488" s="178">
        <v>2018</v>
      </c>
      <c r="F8488" s="178" t="s">
        <v>4520</v>
      </c>
      <c r="G8488" s="496"/>
      <c r="H8488" s="994" t="s">
        <v>20221</v>
      </c>
      <c r="I8488" s="11" t="s">
        <v>11482</v>
      </c>
      <c r="J8488" s="1285"/>
      <c r="K8488" s="1285"/>
      <c r="L8488" s="1285"/>
    </row>
    <row r="8489" spans="1:12" ht="11.15" customHeight="1">
      <c r="A8489" s="29" t="s">
        <v>11480</v>
      </c>
      <c r="B8489" s="154" t="s">
        <v>10578</v>
      </c>
      <c r="C8489" s="147"/>
      <c r="D8489" s="129"/>
      <c r="E8489" s="185"/>
      <c r="F8489" s="185"/>
      <c r="G8489" s="496"/>
      <c r="H8489" s="185"/>
      <c r="I8489" s="11"/>
    </row>
    <row r="8490" spans="1:12" ht="11.15" customHeight="1">
      <c r="A8490" s="29" t="s">
        <v>11481</v>
      </c>
      <c r="B8490" s="59" t="s">
        <v>21837</v>
      </c>
      <c r="C8490" s="147" t="s">
        <v>20221</v>
      </c>
      <c r="D8490" s="284" t="s">
        <v>897</v>
      </c>
      <c r="E8490" s="178">
        <v>2019</v>
      </c>
      <c r="F8490" s="178" t="s">
        <v>4520</v>
      </c>
      <c r="G8490" s="496"/>
      <c r="H8490" s="994" t="s">
        <v>20224</v>
      </c>
      <c r="I8490" s="11" t="s">
        <v>11484</v>
      </c>
      <c r="J8490" s="1285"/>
      <c r="K8490" s="1285"/>
      <c r="L8490" s="1285"/>
    </row>
    <row r="8491" spans="1:12" ht="11.15" customHeight="1">
      <c r="A8491" s="29" t="s">
        <v>11483</v>
      </c>
      <c r="B8491" s="59" t="s">
        <v>21837</v>
      </c>
      <c r="C8491" s="147" t="s">
        <v>20221</v>
      </c>
      <c r="D8491" s="284" t="s">
        <v>897</v>
      </c>
      <c r="E8491" s="178">
        <v>2016</v>
      </c>
      <c r="F8491" s="178" t="s">
        <v>4520</v>
      </c>
      <c r="G8491" s="496"/>
      <c r="H8491" s="994" t="s">
        <v>20224</v>
      </c>
      <c r="I8491" s="11" t="s">
        <v>11486</v>
      </c>
      <c r="J8491" s="1285"/>
      <c r="K8491" s="1285"/>
      <c r="L8491" s="1285"/>
    </row>
    <row r="8492" spans="1:12" ht="11.15" customHeight="1">
      <c r="A8492" s="129" t="s">
        <v>903</v>
      </c>
      <c r="B8492" s="59" t="s">
        <v>21838</v>
      </c>
      <c r="C8492" s="147" t="s">
        <v>20221</v>
      </c>
      <c r="D8492" s="284" t="s">
        <v>897</v>
      </c>
      <c r="E8492" s="178">
        <v>2018</v>
      </c>
      <c r="F8492" s="178" t="s">
        <v>4520</v>
      </c>
      <c r="G8492" s="496"/>
      <c r="H8492" s="994" t="s">
        <v>20221</v>
      </c>
      <c r="I8492" s="11" t="s">
        <v>11488</v>
      </c>
      <c r="J8492" s="1285"/>
      <c r="K8492" s="1285"/>
      <c r="L8492" s="1285"/>
    </row>
    <row r="8493" spans="1:12" ht="11.15" customHeight="1">
      <c r="A8493" s="162" t="s">
        <v>11485</v>
      </c>
      <c r="B8493" s="59" t="s">
        <v>21838</v>
      </c>
      <c r="C8493" s="147" t="s">
        <v>20221</v>
      </c>
      <c r="D8493" s="284" t="s">
        <v>897</v>
      </c>
      <c r="E8493" s="178">
        <v>2017</v>
      </c>
      <c r="F8493" s="178" t="s">
        <v>4520</v>
      </c>
      <c r="G8493" s="496"/>
      <c r="H8493" s="994" t="s">
        <v>20224</v>
      </c>
      <c r="I8493" s="11" t="s">
        <v>11490</v>
      </c>
      <c r="J8493" s="1285"/>
      <c r="K8493" s="1285"/>
      <c r="L8493" s="1285"/>
    </row>
    <row r="8494" spans="1:12" ht="11.15" customHeight="1">
      <c r="A8494" s="162" t="s">
        <v>11487</v>
      </c>
      <c r="B8494" s="59" t="s">
        <v>21839</v>
      </c>
      <c r="C8494" s="147" t="s">
        <v>20221</v>
      </c>
      <c r="D8494" s="284" t="s">
        <v>897</v>
      </c>
      <c r="E8494" s="178">
        <v>2018</v>
      </c>
      <c r="F8494" s="178" t="s">
        <v>4520</v>
      </c>
      <c r="G8494" s="496"/>
      <c r="H8494" s="994" t="s">
        <v>20221</v>
      </c>
      <c r="I8494" s="11" t="s">
        <v>11492</v>
      </c>
      <c r="J8494" s="1285"/>
      <c r="K8494" s="1285"/>
      <c r="L8494" s="1285"/>
    </row>
    <row r="8495" spans="1:12" ht="11.15" customHeight="1">
      <c r="A8495" s="162" t="s">
        <v>11489</v>
      </c>
      <c r="B8495" s="59" t="s">
        <v>21839</v>
      </c>
      <c r="C8495" s="147" t="s">
        <v>20221</v>
      </c>
      <c r="D8495" s="284" t="s">
        <v>897</v>
      </c>
      <c r="E8495" s="178">
        <v>2017</v>
      </c>
      <c r="F8495" s="178" t="s">
        <v>4520</v>
      </c>
      <c r="G8495" s="496"/>
      <c r="H8495" s="994" t="s">
        <v>20221</v>
      </c>
      <c r="I8495" s="11" t="s">
        <v>11494</v>
      </c>
      <c r="J8495" s="1285"/>
      <c r="K8495" s="1285"/>
      <c r="L8495" s="1285"/>
    </row>
    <row r="8496" spans="1:12" ht="11.15" customHeight="1">
      <c r="A8496" s="162" t="s">
        <v>11491</v>
      </c>
      <c r="B8496" s="59" t="s">
        <v>21840</v>
      </c>
      <c r="C8496" s="147" t="s">
        <v>20221</v>
      </c>
      <c r="D8496" s="284" t="s">
        <v>897</v>
      </c>
      <c r="E8496" s="178">
        <v>2018</v>
      </c>
      <c r="F8496" s="178" t="s">
        <v>4520</v>
      </c>
      <c r="G8496" s="496"/>
      <c r="H8496" s="994" t="s">
        <v>20221</v>
      </c>
      <c r="I8496" s="11" t="s">
        <v>11496</v>
      </c>
      <c r="J8496" s="1285"/>
      <c r="K8496" s="1285"/>
      <c r="L8496" s="1285"/>
    </row>
    <row r="8497" spans="1:12" ht="11.15" customHeight="1">
      <c r="A8497" s="162" t="s">
        <v>11493</v>
      </c>
      <c r="B8497" s="59" t="s">
        <v>21841</v>
      </c>
      <c r="C8497" s="147" t="s">
        <v>20221</v>
      </c>
      <c r="D8497" s="284" t="s">
        <v>897</v>
      </c>
      <c r="E8497" s="178">
        <v>2019</v>
      </c>
      <c r="F8497" s="178" t="s">
        <v>4520</v>
      </c>
      <c r="G8497" s="496"/>
      <c r="H8497" s="994" t="s">
        <v>20224</v>
      </c>
      <c r="I8497" s="11" t="s">
        <v>11498</v>
      </c>
      <c r="J8497" s="1285"/>
      <c r="K8497" s="1285"/>
      <c r="L8497" s="1285"/>
    </row>
    <row r="8498" spans="1:12" ht="11.15" customHeight="1">
      <c r="A8498" s="162" t="s">
        <v>11495</v>
      </c>
      <c r="B8498" s="59" t="s">
        <v>21841</v>
      </c>
      <c r="C8498" s="147" t="s">
        <v>20221</v>
      </c>
      <c r="D8498" s="284" t="s">
        <v>897</v>
      </c>
      <c r="E8498" s="178">
        <v>2018</v>
      </c>
      <c r="F8498" s="178" t="s">
        <v>4520</v>
      </c>
      <c r="G8498" s="496"/>
      <c r="H8498" s="994" t="s">
        <v>20224</v>
      </c>
      <c r="I8498" s="11" t="s">
        <v>11500</v>
      </c>
      <c r="J8498" s="1285"/>
      <c r="K8498" s="1285"/>
      <c r="L8498" s="1285"/>
    </row>
    <row r="8499" spans="1:12" ht="11.15" customHeight="1">
      <c r="A8499" s="162" t="s">
        <v>11497</v>
      </c>
      <c r="B8499" s="59" t="s">
        <v>21841</v>
      </c>
      <c r="C8499" s="147" t="s">
        <v>20221</v>
      </c>
      <c r="D8499" s="284" t="s">
        <v>897</v>
      </c>
      <c r="E8499" s="178">
        <v>2017</v>
      </c>
      <c r="F8499" s="178" t="s">
        <v>4520</v>
      </c>
      <c r="G8499" s="496"/>
      <c r="H8499" s="994" t="s">
        <v>20277</v>
      </c>
      <c r="I8499" s="11" t="s">
        <v>11502</v>
      </c>
      <c r="J8499" s="1285"/>
      <c r="K8499" s="1285"/>
      <c r="L8499" s="1285"/>
    </row>
    <row r="8500" spans="1:12" ht="11.15" customHeight="1">
      <c r="A8500" s="162" t="s">
        <v>11499</v>
      </c>
      <c r="B8500" s="59" t="s">
        <v>21841</v>
      </c>
      <c r="C8500" s="147" t="s">
        <v>20221</v>
      </c>
      <c r="D8500" s="284" t="s">
        <v>897</v>
      </c>
      <c r="E8500" s="178">
        <v>2017</v>
      </c>
      <c r="F8500" s="178" t="s">
        <v>4520</v>
      </c>
      <c r="G8500" s="496"/>
      <c r="H8500" s="994" t="s">
        <v>20224</v>
      </c>
      <c r="I8500" s="11" t="s">
        <v>11504</v>
      </c>
      <c r="J8500" s="1285"/>
      <c r="K8500" s="1285"/>
      <c r="L8500" s="1285"/>
    </row>
    <row r="8501" spans="1:12" ht="11.15" customHeight="1">
      <c r="A8501" s="162" t="s">
        <v>11501</v>
      </c>
      <c r="B8501" s="59" t="s">
        <v>21842</v>
      </c>
      <c r="C8501" s="147" t="s">
        <v>20221</v>
      </c>
      <c r="D8501" s="284" t="s">
        <v>897</v>
      </c>
      <c r="E8501" s="178">
        <v>2019</v>
      </c>
      <c r="F8501" s="178" t="s">
        <v>4520</v>
      </c>
      <c r="G8501" s="496"/>
      <c r="H8501" s="994" t="s">
        <v>20224</v>
      </c>
      <c r="I8501" s="11" t="s">
        <v>11506</v>
      </c>
      <c r="J8501" s="1285"/>
      <c r="K8501" s="1285"/>
      <c r="L8501" s="1285"/>
    </row>
    <row r="8502" spans="1:12" ht="11.15" customHeight="1">
      <c r="A8502" s="162" t="s">
        <v>11503</v>
      </c>
      <c r="B8502" s="59" t="s">
        <v>21842</v>
      </c>
      <c r="C8502" s="147" t="s">
        <v>20221</v>
      </c>
      <c r="D8502" s="284" t="s">
        <v>897</v>
      </c>
      <c r="E8502" s="178">
        <v>2018</v>
      </c>
      <c r="F8502" s="178" t="s">
        <v>4520</v>
      </c>
      <c r="G8502" s="496"/>
      <c r="H8502" s="994" t="s">
        <v>20221</v>
      </c>
      <c r="I8502" s="11" t="s">
        <v>11508</v>
      </c>
      <c r="J8502" s="1285"/>
      <c r="K8502" s="1285"/>
      <c r="L8502" s="1285"/>
    </row>
    <row r="8503" spans="1:12" ht="11.15" customHeight="1">
      <c r="A8503" s="162" t="s">
        <v>11505</v>
      </c>
      <c r="B8503" s="177" t="s">
        <v>11510</v>
      </c>
      <c r="C8503" s="147"/>
      <c r="D8503" s="161"/>
      <c r="E8503" s="36"/>
      <c r="F8503" s="178"/>
      <c r="G8503" s="497"/>
      <c r="H8503" s="36"/>
      <c r="I8503" s="11"/>
    </row>
    <row r="8504" spans="1:12" ht="11.15" customHeight="1">
      <c r="A8504" s="162" t="s">
        <v>11507</v>
      </c>
      <c r="B8504" s="59" t="s">
        <v>21843</v>
      </c>
      <c r="C8504" s="147" t="s">
        <v>20221</v>
      </c>
      <c r="D8504" s="284" t="s">
        <v>897</v>
      </c>
      <c r="E8504" s="178">
        <v>2017</v>
      </c>
      <c r="F8504" s="178" t="s">
        <v>5257</v>
      </c>
      <c r="G8504" s="496"/>
      <c r="H8504" s="994" t="s">
        <v>20224</v>
      </c>
      <c r="I8504" s="11" t="s">
        <v>11512</v>
      </c>
      <c r="J8504" s="1285"/>
      <c r="K8504" s="1285"/>
      <c r="L8504" s="1285"/>
    </row>
    <row r="8505" spans="1:12" ht="11.15" customHeight="1">
      <c r="A8505" s="162" t="s">
        <v>11509</v>
      </c>
      <c r="B8505" s="59" t="s">
        <v>21844</v>
      </c>
      <c r="C8505" s="147" t="s">
        <v>20221</v>
      </c>
      <c r="D8505" s="284" t="s">
        <v>897</v>
      </c>
      <c r="E8505" s="178">
        <v>2018</v>
      </c>
      <c r="F8505" s="178" t="s">
        <v>5257</v>
      </c>
      <c r="G8505" s="496"/>
      <c r="H8505" s="994" t="s">
        <v>20224</v>
      </c>
      <c r="I8505" s="11" t="s">
        <v>11514</v>
      </c>
      <c r="J8505" s="1285"/>
      <c r="K8505" s="1285"/>
      <c r="L8505" s="1285"/>
    </row>
    <row r="8506" spans="1:12" ht="11.15" customHeight="1">
      <c r="A8506" s="162" t="s">
        <v>11511</v>
      </c>
      <c r="B8506" s="59" t="s">
        <v>21844</v>
      </c>
      <c r="C8506" s="147" t="s">
        <v>20221</v>
      </c>
      <c r="D8506" s="284" t="s">
        <v>897</v>
      </c>
      <c r="E8506" s="178">
        <v>2017</v>
      </c>
      <c r="F8506" s="178" t="s">
        <v>5257</v>
      </c>
      <c r="G8506" s="496"/>
      <c r="H8506" s="994" t="s">
        <v>20224</v>
      </c>
      <c r="I8506" s="11" t="s">
        <v>11516</v>
      </c>
      <c r="J8506" s="1285"/>
      <c r="K8506" s="1285"/>
      <c r="L8506" s="1285"/>
    </row>
    <row r="8507" spans="1:12" ht="11.15" customHeight="1">
      <c r="A8507" s="162" t="s">
        <v>11513</v>
      </c>
      <c r="B8507" s="59" t="s">
        <v>21845</v>
      </c>
      <c r="C8507" s="147" t="s">
        <v>20221</v>
      </c>
      <c r="D8507" s="284" t="s">
        <v>897</v>
      </c>
      <c r="E8507" s="178">
        <v>2018</v>
      </c>
      <c r="F8507" s="178" t="s">
        <v>5257</v>
      </c>
      <c r="G8507" s="496"/>
      <c r="H8507" s="994" t="s">
        <v>20224</v>
      </c>
      <c r="I8507" s="11" t="s">
        <v>11518</v>
      </c>
      <c r="J8507" s="1285"/>
      <c r="K8507" s="1285"/>
      <c r="L8507" s="1285"/>
    </row>
    <row r="8508" spans="1:12" ht="11.15" customHeight="1">
      <c r="A8508" s="162" t="s">
        <v>11515</v>
      </c>
      <c r="B8508" s="59" t="s">
        <v>21845</v>
      </c>
      <c r="C8508" s="147" t="s">
        <v>20221</v>
      </c>
      <c r="D8508" s="284" t="s">
        <v>897</v>
      </c>
      <c r="E8508" s="178">
        <v>2017</v>
      </c>
      <c r="F8508" s="178" t="s">
        <v>5257</v>
      </c>
      <c r="G8508" s="496"/>
      <c r="H8508" s="994" t="s">
        <v>20224</v>
      </c>
      <c r="I8508" s="11" t="s">
        <v>11520</v>
      </c>
      <c r="J8508" s="1285"/>
      <c r="K8508" s="1285"/>
      <c r="L8508" s="1285"/>
    </row>
    <row r="8509" spans="1:12" ht="11.15" customHeight="1">
      <c r="A8509" s="162" t="s">
        <v>11517</v>
      </c>
      <c r="B8509" s="59" t="s">
        <v>21846</v>
      </c>
      <c r="C8509" s="147" t="s">
        <v>20221</v>
      </c>
      <c r="D8509" s="284" t="s">
        <v>897</v>
      </c>
      <c r="E8509" s="178">
        <v>2018</v>
      </c>
      <c r="F8509" s="178" t="s">
        <v>5257</v>
      </c>
      <c r="G8509" s="496"/>
      <c r="H8509" s="994" t="s">
        <v>20224</v>
      </c>
      <c r="I8509" s="11" t="s">
        <v>11522</v>
      </c>
      <c r="J8509" s="1285"/>
      <c r="K8509" s="1285"/>
      <c r="L8509" s="1285"/>
    </row>
    <row r="8510" spans="1:12" ht="11.15" customHeight="1">
      <c r="A8510" s="162" t="s">
        <v>11519</v>
      </c>
      <c r="B8510" s="59" t="s">
        <v>21847</v>
      </c>
      <c r="C8510" s="147" t="s">
        <v>20221</v>
      </c>
      <c r="D8510" s="284" t="s">
        <v>897</v>
      </c>
      <c r="E8510" s="178">
        <v>2017</v>
      </c>
      <c r="F8510" s="178" t="s">
        <v>5257</v>
      </c>
      <c r="G8510" s="496"/>
      <c r="H8510" s="994" t="s">
        <v>20224</v>
      </c>
      <c r="I8510" s="11" t="s">
        <v>11524</v>
      </c>
      <c r="J8510" s="1285"/>
      <c r="K8510" s="1285"/>
      <c r="L8510" s="1285"/>
    </row>
    <row r="8511" spans="1:12" ht="11.15" customHeight="1">
      <c r="A8511" s="162" t="s">
        <v>11521</v>
      </c>
      <c r="B8511" s="59" t="s">
        <v>21848</v>
      </c>
      <c r="C8511" s="147" t="s">
        <v>20221</v>
      </c>
      <c r="D8511" s="284" t="s">
        <v>897</v>
      </c>
      <c r="E8511" s="178">
        <v>2017</v>
      </c>
      <c r="F8511" s="178" t="s">
        <v>5257</v>
      </c>
      <c r="G8511" s="496"/>
      <c r="H8511" s="994" t="s">
        <v>20224</v>
      </c>
      <c r="I8511" s="11" t="s">
        <v>11526</v>
      </c>
      <c r="J8511" s="1285"/>
      <c r="K8511" s="1285"/>
      <c r="L8511" s="1285"/>
    </row>
    <row r="8512" spans="1:12" ht="11.15" customHeight="1">
      <c r="A8512" s="162" t="s">
        <v>11523</v>
      </c>
      <c r="B8512" s="154" t="s">
        <v>11528</v>
      </c>
      <c r="C8512" s="147"/>
      <c r="D8512" s="129"/>
      <c r="E8512" s="185"/>
      <c r="F8512" s="185"/>
      <c r="G8512" s="496"/>
      <c r="H8512" s="185"/>
      <c r="I8512" s="11"/>
    </row>
    <row r="8513" spans="1:12" ht="11.15" customHeight="1">
      <c r="A8513" s="162" t="s">
        <v>11525</v>
      </c>
      <c r="B8513" s="59" t="s">
        <v>21849</v>
      </c>
      <c r="C8513" s="147" t="s">
        <v>20221</v>
      </c>
      <c r="D8513" s="284" t="s">
        <v>897</v>
      </c>
      <c r="E8513" s="178">
        <v>2016</v>
      </c>
      <c r="F8513" s="178" t="s">
        <v>9658</v>
      </c>
      <c r="G8513" s="496"/>
      <c r="H8513" s="994" t="s">
        <v>20224</v>
      </c>
      <c r="I8513" s="11" t="s">
        <v>11530</v>
      </c>
      <c r="J8513" s="1285"/>
      <c r="K8513" s="1285"/>
      <c r="L8513" s="1285"/>
    </row>
    <row r="8514" spans="1:12" ht="9.75" customHeight="1">
      <c r="A8514" s="162" t="s">
        <v>11527</v>
      </c>
      <c r="B8514" s="59" t="s">
        <v>21849</v>
      </c>
      <c r="C8514" s="147" t="s">
        <v>20221</v>
      </c>
      <c r="D8514" s="284" t="s">
        <v>897</v>
      </c>
      <c r="E8514" s="178">
        <v>2015</v>
      </c>
      <c r="F8514" s="178" t="s">
        <v>9658</v>
      </c>
      <c r="G8514" s="496"/>
      <c r="H8514" s="994" t="s">
        <v>20224</v>
      </c>
      <c r="I8514" s="11" t="s">
        <v>11532</v>
      </c>
      <c r="J8514" s="1285"/>
      <c r="K8514" s="1285"/>
      <c r="L8514" s="1285"/>
    </row>
    <row r="8515" spans="1:12" ht="11.15" customHeight="1">
      <c r="A8515" s="162" t="s">
        <v>11529</v>
      </c>
      <c r="B8515" s="59" t="s">
        <v>21850</v>
      </c>
      <c r="C8515" s="147" t="s">
        <v>20221</v>
      </c>
      <c r="D8515" s="284" t="s">
        <v>897</v>
      </c>
      <c r="E8515" s="178">
        <v>2015</v>
      </c>
      <c r="F8515" s="178" t="s">
        <v>9678</v>
      </c>
      <c r="G8515" s="496"/>
      <c r="H8515" s="994" t="s">
        <v>20224</v>
      </c>
      <c r="I8515" s="11" t="s">
        <v>11534</v>
      </c>
      <c r="J8515" s="1285"/>
      <c r="K8515" s="1285"/>
      <c r="L8515" s="1285"/>
    </row>
    <row r="8516" spans="1:12" ht="11.15" customHeight="1">
      <c r="A8516" s="162" t="s">
        <v>11531</v>
      </c>
      <c r="B8516" s="59" t="s">
        <v>21851</v>
      </c>
      <c r="C8516" s="147" t="s">
        <v>20221</v>
      </c>
      <c r="D8516" s="284" t="s">
        <v>897</v>
      </c>
      <c r="E8516" s="178">
        <v>2012</v>
      </c>
      <c r="F8516" s="178" t="s">
        <v>11938</v>
      </c>
      <c r="G8516" s="496"/>
      <c r="H8516" s="994" t="s">
        <v>20224</v>
      </c>
      <c r="I8516" s="11" t="s">
        <v>11536</v>
      </c>
      <c r="J8516" s="1285"/>
      <c r="K8516" s="1285"/>
      <c r="L8516" s="1285"/>
    </row>
    <row r="8517" spans="1:12" ht="11.15" customHeight="1">
      <c r="A8517" s="129" t="s">
        <v>11533</v>
      </c>
      <c r="B8517" s="59" t="s">
        <v>21852</v>
      </c>
      <c r="C8517" s="147" t="s">
        <v>20221</v>
      </c>
      <c r="D8517" s="284" t="s">
        <v>897</v>
      </c>
      <c r="E8517" s="178">
        <v>2014</v>
      </c>
      <c r="F8517" s="178" t="s">
        <v>23401</v>
      </c>
      <c r="G8517" s="496"/>
      <c r="H8517" s="994" t="s">
        <v>20224</v>
      </c>
      <c r="I8517" s="11" t="s">
        <v>11538</v>
      </c>
      <c r="J8517" s="1285"/>
      <c r="K8517" s="1285"/>
      <c r="L8517" s="1285"/>
    </row>
    <row r="8518" spans="1:12" ht="11.15" customHeight="1">
      <c r="A8518" s="162" t="s">
        <v>11535</v>
      </c>
      <c r="B8518" s="59" t="s">
        <v>21853</v>
      </c>
      <c r="C8518" s="147" t="s">
        <v>20221</v>
      </c>
      <c r="D8518" s="284" t="s">
        <v>897</v>
      </c>
      <c r="E8518" s="178">
        <v>2014</v>
      </c>
      <c r="F8518" s="178" t="s">
        <v>23412</v>
      </c>
      <c r="G8518" s="496"/>
      <c r="H8518" s="994" t="s">
        <v>20224</v>
      </c>
      <c r="I8518" s="11" t="s">
        <v>11540</v>
      </c>
      <c r="J8518" s="1285"/>
      <c r="K8518" s="1285"/>
      <c r="L8518" s="1285"/>
    </row>
    <row r="8519" spans="1:12" ht="11.15" customHeight="1">
      <c r="A8519" s="162" t="s">
        <v>11537</v>
      </c>
      <c r="B8519" s="59" t="s">
        <v>21855</v>
      </c>
      <c r="C8519" s="147" t="s">
        <v>20221</v>
      </c>
      <c r="D8519" s="284" t="s">
        <v>897</v>
      </c>
      <c r="E8519" s="178">
        <v>2014</v>
      </c>
      <c r="F8519" s="178" t="s">
        <v>23413</v>
      </c>
      <c r="G8519" s="496"/>
      <c r="H8519" s="994" t="s">
        <v>20224</v>
      </c>
      <c r="I8519" s="11" t="s">
        <v>11542</v>
      </c>
      <c r="J8519" s="1285"/>
      <c r="K8519" s="1285"/>
      <c r="L8519" s="1285"/>
    </row>
    <row r="8520" spans="1:12" ht="11.15" customHeight="1">
      <c r="A8520" s="162" t="s">
        <v>11539</v>
      </c>
      <c r="B8520" s="154" t="s">
        <v>10603</v>
      </c>
      <c r="C8520" s="147"/>
      <c r="D8520" s="129"/>
      <c r="E8520" s="185"/>
      <c r="F8520" s="185"/>
      <c r="G8520" s="185"/>
      <c r="H8520" s="185"/>
      <c r="I8520" s="11"/>
    </row>
    <row r="8521" spans="1:12" ht="11.15" customHeight="1">
      <c r="A8521" s="162" t="s">
        <v>11541</v>
      </c>
      <c r="B8521" s="59" t="s">
        <v>21857</v>
      </c>
      <c r="C8521" s="147" t="s">
        <v>20221</v>
      </c>
      <c r="D8521" s="284" t="s">
        <v>897</v>
      </c>
      <c r="E8521" s="178">
        <v>2018</v>
      </c>
      <c r="F8521" s="178" t="s">
        <v>4520</v>
      </c>
      <c r="G8521" s="496"/>
      <c r="H8521" s="994" t="s">
        <v>20224</v>
      </c>
      <c r="I8521" s="11" t="s">
        <v>11545</v>
      </c>
      <c r="J8521" s="1285"/>
      <c r="K8521" s="1285"/>
      <c r="L8521" s="1285"/>
    </row>
    <row r="8522" spans="1:12" ht="11.15" customHeight="1">
      <c r="A8522" s="162" t="s">
        <v>11543</v>
      </c>
      <c r="B8522" s="59" t="s">
        <v>21747</v>
      </c>
      <c r="C8522" s="147" t="s">
        <v>20221</v>
      </c>
      <c r="D8522" s="284" t="s">
        <v>897</v>
      </c>
      <c r="E8522" s="178">
        <v>2019</v>
      </c>
      <c r="F8522" s="178" t="s">
        <v>4520</v>
      </c>
      <c r="G8522" s="496"/>
      <c r="H8522" s="994" t="s">
        <v>20221</v>
      </c>
      <c r="I8522" s="11" t="s">
        <v>11547</v>
      </c>
      <c r="J8522" s="1285"/>
      <c r="K8522" s="1285"/>
      <c r="L8522" s="1285"/>
    </row>
    <row r="8523" spans="1:12" ht="11.15" customHeight="1">
      <c r="A8523" s="162" t="s">
        <v>11544</v>
      </c>
      <c r="B8523" s="59" t="s">
        <v>21747</v>
      </c>
      <c r="C8523" s="147" t="s">
        <v>20221</v>
      </c>
      <c r="D8523" s="284" t="s">
        <v>897</v>
      </c>
      <c r="E8523" s="178">
        <v>2018</v>
      </c>
      <c r="F8523" s="178" t="s">
        <v>4520</v>
      </c>
      <c r="G8523" s="496"/>
      <c r="H8523" s="994" t="s">
        <v>20221</v>
      </c>
      <c r="I8523" s="11" t="s">
        <v>11549</v>
      </c>
      <c r="J8523" s="1285"/>
      <c r="K8523" s="1285"/>
      <c r="L8523" s="1285"/>
    </row>
    <row r="8524" spans="1:12" ht="11.15" customHeight="1">
      <c r="A8524" s="162" t="s">
        <v>11546</v>
      </c>
      <c r="B8524" s="59" t="s">
        <v>21747</v>
      </c>
      <c r="C8524" s="147" t="s">
        <v>20221</v>
      </c>
      <c r="D8524" s="284" t="s">
        <v>897</v>
      </c>
      <c r="E8524" s="178">
        <v>2017</v>
      </c>
      <c r="F8524" s="178" t="s">
        <v>4520</v>
      </c>
      <c r="G8524" s="496"/>
      <c r="H8524" s="994" t="s">
        <v>20224</v>
      </c>
      <c r="I8524" s="11" t="s">
        <v>11551</v>
      </c>
      <c r="J8524" s="1285"/>
      <c r="K8524" s="1285"/>
      <c r="L8524" s="1285"/>
    </row>
    <row r="8525" spans="1:12" ht="11.15" customHeight="1">
      <c r="A8525" s="129" t="s">
        <v>11548</v>
      </c>
      <c r="B8525" s="59" t="s">
        <v>21858</v>
      </c>
      <c r="C8525" s="147" t="s">
        <v>20221</v>
      </c>
      <c r="D8525" s="284" t="s">
        <v>897</v>
      </c>
      <c r="E8525" s="178">
        <v>2019</v>
      </c>
      <c r="F8525" s="178" t="s">
        <v>4520</v>
      </c>
      <c r="G8525" s="496"/>
      <c r="H8525" s="994" t="s">
        <v>20224</v>
      </c>
      <c r="I8525" s="11" t="s">
        <v>11553</v>
      </c>
      <c r="J8525" s="1285"/>
      <c r="K8525" s="1285"/>
      <c r="L8525" s="1285"/>
    </row>
    <row r="8526" spans="1:12" ht="11.15" customHeight="1">
      <c r="A8526" s="162" t="s">
        <v>11550</v>
      </c>
      <c r="B8526" s="59" t="s">
        <v>21858</v>
      </c>
      <c r="C8526" s="147" t="s">
        <v>20221</v>
      </c>
      <c r="D8526" s="284" t="s">
        <v>897</v>
      </c>
      <c r="E8526" s="178">
        <v>2018</v>
      </c>
      <c r="F8526" s="178" t="s">
        <v>4520</v>
      </c>
      <c r="G8526" s="496"/>
      <c r="H8526" s="994" t="s">
        <v>20221</v>
      </c>
      <c r="I8526" s="11" t="s">
        <v>11555</v>
      </c>
      <c r="J8526" s="1285"/>
      <c r="K8526" s="1285"/>
      <c r="L8526" s="1285"/>
    </row>
    <row r="8527" spans="1:12" ht="11.15" customHeight="1">
      <c r="A8527" s="162" t="s">
        <v>11552</v>
      </c>
      <c r="B8527" s="59" t="s">
        <v>21858</v>
      </c>
      <c r="C8527" s="147" t="s">
        <v>20221</v>
      </c>
      <c r="D8527" s="284" t="s">
        <v>897</v>
      </c>
      <c r="E8527" s="178">
        <v>2017</v>
      </c>
      <c r="F8527" s="178" t="s">
        <v>4520</v>
      </c>
      <c r="G8527" s="496"/>
      <c r="H8527" s="994" t="s">
        <v>20224</v>
      </c>
      <c r="I8527" s="11" t="s">
        <v>11557</v>
      </c>
      <c r="J8527" s="1285"/>
      <c r="K8527" s="1285"/>
      <c r="L8527" s="1285"/>
    </row>
    <row r="8528" spans="1:12" ht="11.15" customHeight="1">
      <c r="A8528" s="162" t="s">
        <v>11554</v>
      </c>
      <c r="B8528" s="59" t="s">
        <v>21859</v>
      </c>
      <c r="C8528" s="147" t="s">
        <v>20221</v>
      </c>
      <c r="D8528" s="284" t="s">
        <v>897</v>
      </c>
      <c r="E8528" s="178">
        <v>2018</v>
      </c>
      <c r="F8528" s="178" t="s">
        <v>4520</v>
      </c>
      <c r="G8528" s="496"/>
      <c r="H8528" s="994" t="s">
        <v>20221</v>
      </c>
      <c r="I8528" s="11" t="s">
        <v>11559</v>
      </c>
      <c r="J8528" s="1285"/>
      <c r="K8528" s="1285"/>
      <c r="L8528" s="1285"/>
    </row>
    <row r="8529" spans="1:12" ht="11.15" customHeight="1">
      <c r="A8529" s="162" t="s">
        <v>11556</v>
      </c>
      <c r="B8529" s="59" t="s">
        <v>21859</v>
      </c>
      <c r="C8529" s="147" t="s">
        <v>20221</v>
      </c>
      <c r="D8529" s="284" t="s">
        <v>897</v>
      </c>
      <c r="E8529" s="178">
        <v>2017</v>
      </c>
      <c r="F8529" s="178" t="s">
        <v>23394</v>
      </c>
      <c r="G8529" s="496"/>
      <c r="H8529" s="994" t="s">
        <v>20224</v>
      </c>
      <c r="I8529" s="11" t="s">
        <v>11561</v>
      </c>
      <c r="J8529" s="1285"/>
      <c r="K8529" s="1285"/>
      <c r="L8529" s="1285"/>
    </row>
    <row r="8530" spans="1:12" ht="11.15" customHeight="1">
      <c r="A8530" s="162" t="s">
        <v>11558</v>
      </c>
      <c r="B8530" s="177" t="s">
        <v>10732</v>
      </c>
      <c r="C8530" s="147"/>
      <c r="D8530" s="161"/>
      <c r="E8530" s="36"/>
      <c r="F8530" s="178"/>
      <c r="G8530" s="497"/>
      <c r="H8530" s="36"/>
      <c r="I8530" s="11"/>
    </row>
    <row r="8531" spans="1:12" ht="11.15" customHeight="1">
      <c r="A8531" s="162" t="s">
        <v>11560</v>
      </c>
      <c r="B8531" s="59" t="s">
        <v>21860</v>
      </c>
      <c r="C8531" s="147" t="s">
        <v>20221</v>
      </c>
      <c r="D8531" s="284" t="s">
        <v>897</v>
      </c>
      <c r="E8531" s="178">
        <v>2018</v>
      </c>
      <c r="F8531" s="178" t="s">
        <v>5257</v>
      </c>
      <c r="G8531" s="496"/>
      <c r="H8531" s="994" t="s">
        <v>20224</v>
      </c>
      <c r="I8531" s="11" t="s">
        <v>11564</v>
      </c>
      <c r="J8531" s="1285"/>
      <c r="K8531" s="1285"/>
      <c r="L8531" s="1285"/>
    </row>
    <row r="8532" spans="1:12" ht="11.15" customHeight="1">
      <c r="A8532" s="355" t="s">
        <v>11562</v>
      </c>
      <c r="B8532" s="59" t="s">
        <v>21860</v>
      </c>
      <c r="C8532" s="147" t="s">
        <v>20221</v>
      </c>
      <c r="D8532" s="284" t="s">
        <v>897</v>
      </c>
      <c r="E8532" s="178">
        <v>2017</v>
      </c>
      <c r="F8532" s="178" t="s">
        <v>5257</v>
      </c>
      <c r="G8532" s="496"/>
      <c r="H8532" s="994" t="s">
        <v>20224</v>
      </c>
      <c r="I8532" s="11" t="s">
        <v>11566</v>
      </c>
      <c r="J8532" s="1285"/>
      <c r="K8532" s="1285"/>
      <c r="L8532" s="1285"/>
    </row>
    <row r="8533" spans="1:12" ht="11.15" customHeight="1">
      <c r="A8533" s="162" t="s">
        <v>11563</v>
      </c>
      <c r="B8533" s="59" t="s">
        <v>21830</v>
      </c>
      <c r="C8533" s="147" t="s">
        <v>20221</v>
      </c>
      <c r="D8533" s="284" t="s">
        <v>897</v>
      </c>
      <c r="E8533" s="178">
        <v>2019</v>
      </c>
      <c r="F8533" s="178" t="s">
        <v>5257</v>
      </c>
      <c r="G8533" s="496"/>
      <c r="H8533" s="994" t="s">
        <v>20224</v>
      </c>
      <c r="I8533" s="11" t="s">
        <v>11568</v>
      </c>
      <c r="J8533" s="1285"/>
      <c r="K8533" s="1285"/>
      <c r="L8533" s="1285"/>
    </row>
    <row r="8534" spans="1:12" ht="11.15" customHeight="1">
      <c r="A8534" s="162" t="s">
        <v>11565</v>
      </c>
      <c r="B8534" s="59" t="s">
        <v>21830</v>
      </c>
      <c r="C8534" s="147" t="s">
        <v>20221</v>
      </c>
      <c r="D8534" s="284" t="s">
        <v>897</v>
      </c>
      <c r="E8534" s="178">
        <v>2018</v>
      </c>
      <c r="F8534" s="178" t="s">
        <v>5257</v>
      </c>
      <c r="G8534" s="496"/>
      <c r="H8534" s="994" t="s">
        <v>20221</v>
      </c>
      <c r="I8534" s="11" t="s">
        <v>11570</v>
      </c>
      <c r="J8534" s="1285"/>
      <c r="K8534" s="1285"/>
      <c r="L8534" s="1285"/>
    </row>
    <row r="8535" spans="1:12" ht="11.15" customHeight="1">
      <c r="A8535" s="162" t="s">
        <v>11567</v>
      </c>
      <c r="B8535" s="59" t="s">
        <v>21861</v>
      </c>
      <c r="C8535" s="147" t="s">
        <v>20221</v>
      </c>
      <c r="D8535" s="284" t="s">
        <v>897</v>
      </c>
      <c r="E8535" s="178">
        <v>2018</v>
      </c>
      <c r="F8535" s="178" t="s">
        <v>5257</v>
      </c>
      <c r="G8535" s="496"/>
      <c r="H8535" s="994" t="s">
        <v>20224</v>
      </c>
      <c r="I8535" s="11" t="s">
        <v>11572</v>
      </c>
      <c r="J8535" s="1285"/>
      <c r="K8535" s="1285"/>
      <c r="L8535" s="1285"/>
    </row>
    <row r="8536" spans="1:12" ht="11.15" customHeight="1">
      <c r="A8536" s="162" t="s">
        <v>11569</v>
      </c>
      <c r="B8536" s="154" t="s">
        <v>11574</v>
      </c>
      <c r="C8536" s="147"/>
      <c r="D8536" s="185"/>
      <c r="E8536" s="185"/>
      <c r="F8536" s="185"/>
      <c r="G8536" s="185"/>
      <c r="H8536" s="185"/>
      <c r="I8536" s="11"/>
    </row>
    <row r="8537" spans="1:12" ht="9.75" customHeight="1">
      <c r="A8537" s="162" t="s">
        <v>11571</v>
      </c>
      <c r="B8537" s="59" t="s">
        <v>21862</v>
      </c>
      <c r="C8537" s="147" t="s">
        <v>20221</v>
      </c>
      <c r="D8537" s="284" t="s">
        <v>897</v>
      </c>
      <c r="E8537" s="178" t="s">
        <v>20221</v>
      </c>
      <c r="F8537" s="178" t="s">
        <v>9658</v>
      </c>
      <c r="G8537" s="496" t="s">
        <v>20221</v>
      </c>
      <c r="H8537" s="994" t="s">
        <v>3907</v>
      </c>
      <c r="I8537" s="11" t="s">
        <v>11576</v>
      </c>
      <c r="J8537" s="1285"/>
      <c r="K8537" s="1285"/>
      <c r="L8537" s="1285"/>
    </row>
    <row r="8538" spans="1:12" ht="11.15" customHeight="1">
      <c r="A8538" s="162" t="s">
        <v>11573</v>
      </c>
      <c r="B8538" s="59" t="s">
        <v>21863</v>
      </c>
      <c r="C8538" s="147" t="s">
        <v>20221</v>
      </c>
      <c r="D8538" s="284" t="s">
        <v>897</v>
      </c>
      <c r="E8538" s="178">
        <v>2006</v>
      </c>
      <c r="F8538" s="178" t="s">
        <v>9678</v>
      </c>
      <c r="G8538" s="496"/>
      <c r="H8538" s="994" t="s">
        <v>20224</v>
      </c>
      <c r="I8538" s="11" t="s">
        <v>11578</v>
      </c>
      <c r="J8538" s="1285"/>
      <c r="K8538" s="1285"/>
      <c r="L8538" s="1285"/>
    </row>
    <row r="8539" spans="1:12" ht="11.15" customHeight="1">
      <c r="A8539" s="162" t="s">
        <v>11575</v>
      </c>
      <c r="B8539" s="177" t="s">
        <v>11580</v>
      </c>
      <c r="C8539" s="147"/>
      <c r="D8539" s="161"/>
      <c r="E8539" s="36"/>
      <c r="F8539" s="178"/>
      <c r="G8539" s="497"/>
      <c r="H8539" s="36"/>
      <c r="I8539" s="11"/>
    </row>
    <row r="8540" spans="1:12" ht="11.15" customHeight="1">
      <c r="A8540" s="162" t="s">
        <v>11577</v>
      </c>
      <c r="B8540" s="59" t="s">
        <v>21864</v>
      </c>
      <c r="C8540" s="147" t="s">
        <v>20221</v>
      </c>
      <c r="D8540" s="284" t="s">
        <v>897</v>
      </c>
      <c r="E8540" s="178">
        <v>2017</v>
      </c>
      <c r="F8540" s="178" t="s">
        <v>23414</v>
      </c>
      <c r="G8540" s="496"/>
      <c r="H8540" s="994" t="s">
        <v>20224</v>
      </c>
      <c r="I8540" s="11" t="s">
        <v>11582</v>
      </c>
      <c r="J8540" s="1285"/>
      <c r="K8540" s="1285"/>
      <c r="L8540" s="1285"/>
    </row>
    <row r="8541" spans="1:12" ht="11.15" customHeight="1">
      <c r="A8541" s="162" t="s">
        <v>11579</v>
      </c>
      <c r="B8541" s="59" t="s">
        <v>21866</v>
      </c>
      <c r="C8541" s="147" t="s">
        <v>20221</v>
      </c>
      <c r="D8541" s="284" t="s">
        <v>897</v>
      </c>
      <c r="E8541" s="178">
        <v>2017</v>
      </c>
      <c r="F8541" s="178" t="s">
        <v>23415</v>
      </c>
      <c r="G8541" s="496"/>
      <c r="H8541" s="994" t="s">
        <v>20224</v>
      </c>
      <c r="I8541" s="11" t="s">
        <v>11583</v>
      </c>
      <c r="J8541" s="1285"/>
      <c r="K8541" s="1285"/>
      <c r="L8541" s="1285"/>
    </row>
    <row r="8542" spans="1:12" ht="11.15" customHeight="1">
      <c r="A8542" s="162" t="s">
        <v>11581</v>
      </c>
      <c r="B8542" s="177" t="s">
        <v>11585</v>
      </c>
      <c r="C8542" s="147"/>
      <c r="D8542" s="161"/>
      <c r="E8542" s="185"/>
      <c r="F8542" s="185"/>
      <c r="G8542" s="497"/>
      <c r="H8542" s="185"/>
      <c r="I8542" s="11"/>
    </row>
    <row r="8543" spans="1:12" ht="11.15" customHeight="1">
      <c r="A8543" s="129" t="s">
        <v>11161</v>
      </c>
      <c r="B8543" s="59" t="s">
        <v>21868</v>
      </c>
      <c r="C8543" s="147" t="s">
        <v>20221</v>
      </c>
      <c r="D8543" s="284" t="s">
        <v>11190</v>
      </c>
      <c r="E8543" s="178" t="s">
        <v>20221</v>
      </c>
      <c r="F8543" s="178" t="s">
        <v>4520</v>
      </c>
      <c r="G8543" s="496"/>
      <c r="H8543" s="994" t="s">
        <v>20224</v>
      </c>
      <c r="I8543" s="11" t="s">
        <v>11587</v>
      </c>
      <c r="J8543" s="1285"/>
      <c r="K8543" s="1285"/>
      <c r="L8543" s="1285"/>
    </row>
    <row r="8544" spans="1:12" ht="11.15" customHeight="1">
      <c r="A8544" s="162" t="s">
        <v>11584</v>
      </c>
      <c r="B8544" s="59" t="s">
        <v>21869</v>
      </c>
      <c r="C8544" s="147" t="s">
        <v>20221</v>
      </c>
      <c r="D8544" s="284" t="s">
        <v>11190</v>
      </c>
      <c r="E8544" s="178" t="s">
        <v>20221</v>
      </c>
      <c r="F8544" s="178" t="s">
        <v>9658</v>
      </c>
      <c r="G8544" s="496"/>
      <c r="H8544" s="994" t="s">
        <v>20224</v>
      </c>
      <c r="I8544" s="11" t="s">
        <v>11589</v>
      </c>
      <c r="J8544" s="1285"/>
      <c r="K8544" s="1285"/>
      <c r="L8544" s="1285"/>
    </row>
    <row r="8545" spans="1:12" ht="11.15" customHeight="1">
      <c r="A8545" s="162" t="s">
        <v>11586</v>
      </c>
      <c r="B8545" s="177" t="s">
        <v>11591</v>
      </c>
      <c r="C8545" s="147"/>
      <c r="D8545" s="161"/>
      <c r="E8545" s="185"/>
      <c r="F8545" s="185"/>
      <c r="G8545" s="497"/>
      <c r="H8545" s="185"/>
      <c r="I8545" s="11"/>
    </row>
    <row r="8546" spans="1:12" ht="11.15" customHeight="1">
      <c r="A8546" s="162" t="s">
        <v>11588</v>
      </c>
      <c r="B8546" s="59" t="s">
        <v>21870</v>
      </c>
      <c r="C8546" s="147" t="s">
        <v>20221</v>
      </c>
      <c r="D8546" s="820" t="s">
        <v>6904</v>
      </c>
      <c r="E8546" s="178" t="s">
        <v>20221</v>
      </c>
      <c r="F8546" s="178" t="s">
        <v>23406</v>
      </c>
      <c r="G8546" s="496"/>
      <c r="H8546" s="994" t="s">
        <v>20224</v>
      </c>
      <c r="I8546" s="11" t="s">
        <v>11593</v>
      </c>
      <c r="J8546" s="1285"/>
      <c r="K8546" s="1285"/>
      <c r="L8546" s="1285"/>
    </row>
    <row r="8547" spans="1:12" ht="11.15" customHeight="1" thickBot="1">
      <c r="A8547" s="162" t="s">
        <v>11590</v>
      </c>
      <c r="B8547" s="59" t="s">
        <v>21871</v>
      </c>
      <c r="C8547" s="147" t="s">
        <v>20221</v>
      </c>
      <c r="D8547" s="820" t="s">
        <v>6904</v>
      </c>
      <c r="E8547" s="178" t="s">
        <v>20221</v>
      </c>
      <c r="F8547" s="178" t="s">
        <v>23406</v>
      </c>
      <c r="G8547" s="496"/>
      <c r="H8547" s="994" t="s">
        <v>20224</v>
      </c>
      <c r="I8547" s="11" t="s">
        <v>11595</v>
      </c>
      <c r="J8547" s="1285"/>
      <c r="K8547" s="1285"/>
      <c r="L8547" s="1285"/>
    </row>
    <row r="8548" spans="1:12" ht="11.15" customHeight="1">
      <c r="A8548" s="162" t="s">
        <v>11592</v>
      </c>
      <c r="B8548" s="617" t="s">
        <v>11597</v>
      </c>
      <c r="C8548" s="191"/>
      <c r="D8548" s="192"/>
      <c r="E8548" s="192"/>
      <c r="F8548" s="193"/>
      <c r="G8548" s="137"/>
      <c r="H8548" s="137"/>
      <c r="I8548" s="11"/>
    </row>
    <row r="8549" spans="1:12" ht="11.15" customHeight="1">
      <c r="A8549" s="162" t="s">
        <v>11594</v>
      </c>
      <c r="B8549" s="618" t="s">
        <v>11599</v>
      </c>
      <c r="C8549" s="147"/>
      <c r="D8549" s="137" t="s">
        <v>11600</v>
      </c>
      <c r="E8549" s="137"/>
      <c r="F8549" s="619"/>
      <c r="G8549" s="137"/>
      <c r="H8549" s="137"/>
      <c r="I8549" s="11"/>
    </row>
    <row r="8550" spans="1:12" ht="11.15" customHeight="1">
      <c r="A8550" s="162" t="s">
        <v>11596</v>
      </c>
      <c r="B8550" s="618" t="s">
        <v>11602</v>
      </c>
      <c r="C8550" s="147"/>
      <c r="D8550" s="137" t="s">
        <v>11600</v>
      </c>
      <c r="E8550" s="137"/>
      <c r="F8550" s="619"/>
      <c r="G8550" s="137"/>
      <c r="H8550" s="137"/>
      <c r="I8550" s="11"/>
    </row>
    <row r="8551" spans="1:12" ht="11.15" customHeight="1" thickBot="1">
      <c r="A8551" s="162" t="s">
        <v>11598</v>
      </c>
      <c r="B8551" s="620" t="s">
        <v>11604</v>
      </c>
      <c r="C8551" s="203"/>
      <c r="D8551" s="621" t="s">
        <v>11605</v>
      </c>
      <c r="E8551" s="621"/>
      <c r="F8551" s="622"/>
      <c r="G8551" s="185"/>
      <c r="H8551" s="185"/>
      <c r="I8551" s="11"/>
    </row>
    <row r="8552" spans="1:12" ht="11.15" customHeight="1">
      <c r="A8552" s="162" t="s">
        <v>11601</v>
      </c>
      <c r="B8552" s="185"/>
      <c r="C8552" s="147"/>
      <c r="D8552" s="185"/>
      <c r="E8552" s="185"/>
      <c r="F8552" s="185"/>
      <c r="G8552" s="185"/>
      <c r="H8552" s="185"/>
      <c r="I8552" s="11"/>
    </row>
    <row r="8553" spans="1:12" ht="11.15" customHeight="1">
      <c r="A8553" s="162" t="s">
        <v>11603</v>
      </c>
      <c r="B8553" s="185"/>
      <c r="C8553" s="147"/>
      <c r="D8553" s="185"/>
      <c r="E8553" s="185"/>
      <c r="F8553" s="185"/>
      <c r="G8553" s="185"/>
      <c r="H8553" s="185"/>
      <c r="I8553" s="11"/>
    </row>
    <row r="8554" spans="1:12" ht="11.15" customHeight="1">
      <c r="A8554" s="29" t="s">
        <v>11359</v>
      </c>
      <c r="B8554" s="185"/>
      <c r="C8554" s="147"/>
      <c r="D8554" s="185"/>
      <c r="E8554" s="185"/>
      <c r="F8554" s="185"/>
      <c r="G8554" s="185"/>
      <c r="H8554" s="185"/>
      <c r="I8554" s="11"/>
    </row>
    <row r="8555" spans="1:12" ht="11.15" customHeight="1">
      <c r="A8555" s="137" t="s">
        <v>11606</v>
      </c>
      <c r="B8555" s="185"/>
      <c r="C8555" s="147"/>
      <c r="D8555" s="185"/>
      <c r="E8555" s="185"/>
      <c r="F8555" s="185"/>
      <c r="G8555" s="185"/>
      <c r="H8555" s="185"/>
      <c r="I8555" s="11"/>
    </row>
    <row r="8556" spans="1:12" ht="11.15" customHeight="1">
      <c r="A8556" s="166" t="s">
        <v>11607</v>
      </c>
      <c r="B8556" s="185"/>
      <c r="C8556" s="147"/>
      <c r="D8556" s="185"/>
      <c r="E8556" s="185"/>
      <c r="F8556" s="185"/>
      <c r="G8556" s="185"/>
      <c r="H8556" s="185"/>
      <c r="I8556" s="11"/>
    </row>
    <row r="8557" spans="1:12" ht="11.15" customHeight="1">
      <c r="A8557" s="129" t="s">
        <v>11608</v>
      </c>
      <c r="B8557" s="185"/>
      <c r="C8557" s="147"/>
      <c r="D8557" s="185"/>
      <c r="E8557" s="185"/>
      <c r="F8557" s="185"/>
      <c r="G8557" s="185"/>
      <c r="H8557" s="185"/>
      <c r="I8557" s="11"/>
    </row>
    <row r="8558" spans="1:12" ht="11.15" customHeight="1">
      <c r="A8558" s="129" t="s">
        <v>11609</v>
      </c>
      <c r="B8558" s="185"/>
      <c r="C8558" s="147"/>
      <c r="D8558" s="185"/>
      <c r="E8558" s="185"/>
      <c r="F8558" s="185"/>
      <c r="G8558" s="185"/>
      <c r="H8558" s="185"/>
      <c r="I8558" s="11"/>
    </row>
    <row r="8559" spans="1:12" ht="11.15" customHeight="1">
      <c r="A8559" s="129" t="s">
        <v>11610</v>
      </c>
      <c r="B8559" s="185"/>
      <c r="C8559" s="147"/>
      <c r="D8559" s="185"/>
      <c r="E8559" s="185"/>
      <c r="F8559" s="185"/>
      <c r="G8559" s="185"/>
      <c r="H8559" s="185"/>
      <c r="I8559" s="11"/>
    </row>
    <row r="8560" spans="1:12" ht="11.15" customHeight="1">
      <c r="A8560" s="29" t="s">
        <v>11611</v>
      </c>
      <c r="B8560" s="185"/>
      <c r="C8560" s="147"/>
      <c r="D8560" s="185"/>
      <c r="E8560" s="185"/>
      <c r="F8560" s="185"/>
      <c r="G8560" s="185"/>
      <c r="H8560" s="185"/>
      <c r="I8560" s="11"/>
    </row>
    <row r="8561" spans="1:9" ht="11.15" customHeight="1">
      <c r="A8561" s="29" t="s">
        <v>11612</v>
      </c>
      <c r="B8561" s="185"/>
      <c r="C8561" s="147"/>
      <c r="D8561" s="185"/>
      <c r="E8561" s="185"/>
      <c r="F8561" s="185"/>
      <c r="G8561" s="185"/>
      <c r="H8561" s="185"/>
      <c r="I8561" s="11"/>
    </row>
    <row r="8562" spans="1:9" ht="11.15" customHeight="1">
      <c r="A8562" s="29" t="s">
        <v>11613</v>
      </c>
      <c r="B8562" s="185"/>
      <c r="C8562" s="147"/>
      <c r="D8562" s="185"/>
      <c r="E8562" s="185"/>
      <c r="F8562" s="185"/>
      <c r="G8562" s="185"/>
      <c r="H8562" s="185"/>
      <c r="I8562" s="11"/>
    </row>
    <row r="8563" spans="1:9" ht="11.15" customHeight="1">
      <c r="A8563" s="29"/>
      <c r="B8563" s="185"/>
      <c r="C8563" s="147"/>
      <c r="D8563" s="185"/>
      <c r="E8563" s="185"/>
      <c r="F8563" s="185"/>
      <c r="G8563" s="185"/>
      <c r="H8563" s="185"/>
      <c r="I8563" s="11"/>
    </row>
    <row r="8564" spans="1:9" ht="11.15" customHeight="1">
      <c r="A8564" s="29"/>
      <c r="B8564" s="146" t="s">
        <v>11614</v>
      </c>
      <c r="C8564" s="147"/>
      <c r="D8564" s="122"/>
      <c r="E8564" s="36"/>
      <c r="F8564" s="178"/>
      <c r="G8564" s="496"/>
      <c r="H8564" s="36"/>
      <c r="I8564" s="11"/>
    </row>
    <row r="8565" spans="1:9" ht="9" customHeight="1">
      <c r="A8565" s="185"/>
      <c r="B8565" s="150" t="s">
        <v>11615</v>
      </c>
      <c r="C8565" s="147"/>
      <c r="D8565" s="122"/>
      <c r="E8565" s="36"/>
      <c r="F8565" s="178"/>
      <c r="G8565" s="496"/>
      <c r="H8565" s="36"/>
      <c r="I8565" s="11"/>
    </row>
    <row r="8566" spans="1:9" ht="9" customHeight="1">
      <c r="A8566" s="185"/>
      <c r="B8566" s="150" t="s">
        <v>11616</v>
      </c>
      <c r="C8566" s="147"/>
      <c r="D8566" s="122"/>
      <c r="E8566" s="36"/>
      <c r="F8566" s="178"/>
      <c r="G8566" s="496"/>
      <c r="H8566" s="36"/>
      <c r="I8566" s="11"/>
    </row>
    <row r="8567" spans="1:9" ht="9" customHeight="1">
      <c r="A8567" s="185"/>
      <c r="B8567" s="150" t="s">
        <v>11617</v>
      </c>
      <c r="C8567" s="147"/>
      <c r="D8567" s="122"/>
      <c r="E8567" s="36"/>
      <c r="F8567" s="178"/>
      <c r="G8567" s="496"/>
      <c r="H8567" s="36"/>
      <c r="I8567" s="11"/>
    </row>
    <row r="8568" spans="1:9" ht="9" customHeight="1">
      <c r="A8568" s="185"/>
      <c r="B8568" s="150" t="s">
        <v>11618</v>
      </c>
      <c r="C8568" s="147"/>
      <c r="D8568" s="122"/>
      <c r="E8568" s="36"/>
      <c r="F8568" s="178"/>
      <c r="G8568" s="496"/>
      <c r="H8568" s="36"/>
      <c r="I8568" s="11"/>
    </row>
    <row r="8569" spans="1:9" ht="9" customHeight="1">
      <c r="A8569" s="185"/>
      <c r="B8569" s="150" t="s">
        <v>11619</v>
      </c>
      <c r="C8569" s="147"/>
      <c r="D8569" s="122"/>
      <c r="E8569" s="36"/>
      <c r="F8569" s="178"/>
      <c r="G8569" s="496"/>
      <c r="H8569" s="36"/>
      <c r="I8569" s="11"/>
    </row>
    <row r="8570" spans="1:9" ht="9" customHeight="1">
      <c r="A8570" s="185"/>
      <c r="B8570" s="150" t="s">
        <v>11620</v>
      </c>
      <c r="C8570" s="147"/>
      <c r="D8570" s="122"/>
      <c r="E8570" s="36"/>
      <c r="F8570" s="178"/>
      <c r="G8570" s="496"/>
      <c r="H8570" s="36"/>
      <c r="I8570" s="11"/>
    </row>
    <row r="8571" spans="1:9" ht="9" customHeight="1">
      <c r="A8571" s="185"/>
      <c r="B8571" s="150" t="s">
        <v>11621</v>
      </c>
      <c r="C8571" s="147"/>
      <c r="D8571" s="122"/>
      <c r="E8571" s="36"/>
      <c r="F8571" s="178"/>
      <c r="G8571" s="496"/>
      <c r="H8571" s="36"/>
      <c r="I8571" s="11"/>
    </row>
    <row r="8572" spans="1:9" ht="9" customHeight="1">
      <c r="A8572" s="185"/>
      <c r="B8572" s="150" t="s">
        <v>11622</v>
      </c>
      <c r="C8572" s="147"/>
      <c r="D8572" s="122"/>
      <c r="E8572" s="36"/>
      <c r="F8572" s="178"/>
      <c r="G8572" s="496"/>
      <c r="H8572" s="36"/>
      <c r="I8572" s="11"/>
    </row>
    <row r="8573" spans="1:9" ht="11.15" customHeight="1">
      <c r="A8573" s="185"/>
      <c r="B8573" s="146" t="s">
        <v>11623</v>
      </c>
      <c r="C8573" s="147"/>
      <c r="D8573" s="129"/>
      <c r="E8573" s="185"/>
      <c r="F8573" s="185"/>
      <c r="G8573" s="185"/>
      <c r="H8573" s="185"/>
      <c r="I8573" s="11"/>
    </row>
    <row r="8574" spans="1:9" ht="9" customHeight="1">
      <c r="A8574" s="137"/>
      <c r="B8574" s="150" t="s">
        <v>11624</v>
      </c>
      <c r="C8574" s="147"/>
      <c r="D8574" s="122"/>
      <c r="E8574" s="36"/>
      <c r="F8574" s="178"/>
      <c r="G8574" s="496"/>
      <c r="H8574" s="36"/>
      <c r="I8574" s="11"/>
    </row>
    <row r="8575" spans="1:9" ht="9" customHeight="1">
      <c r="A8575" s="185"/>
      <c r="B8575" s="150" t="s">
        <v>11625</v>
      </c>
      <c r="C8575" s="147"/>
      <c r="D8575" s="122"/>
      <c r="E8575" s="36"/>
      <c r="F8575" s="178"/>
      <c r="G8575" s="496"/>
      <c r="H8575" s="36"/>
      <c r="I8575" s="11"/>
    </row>
    <row r="8576" spans="1:9" ht="9" customHeight="1">
      <c r="A8576" s="185"/>
      <c r="B8576" s="152" t="s">
        <v>11626</v>
      </c>
      <c r="C8576" s="147"/>
      <c r="D8576" s="122"/>
      <c r="E8576" s="36"/>
      <c r="F8576" s="178"/>
      <c r="G8576" s="496"/>
      <c r="H8576" s="36"/>
      <c r="I8576" s="11"/>
    </row>
    <row r="8577" spans="1:12" ht="9" customHeight="1">
      <c r="A8577" s="185"/>
      <c r="B8577" s="152" t="s">
        <v>11627</v>
      </c>
      <c r="C8577" s="147"/>
      <c r="D8577" s="122"/>
      <c r="E8577" s="36"/>
      <c r="F8577" s="178"/>
      <c r="G8577" s="496"/>
      <c r="H8577" s="36"/>
      <c r="I8577" s="11"/>
    </row>
    <row r="8578" spans="1:12" ht="9" customHeight="1">
      <c r="A8578" s="185"/>
      <c r="B8578" s="152" t="s">
        <v>11628</v>
      </c>
      <c r="C8578" s="147"/>
      <c r="D8578" s="122"/>
      <c r="E8578" s="36"/>
      <c r="F8578" s="178"/>
      <c r="G8578" s="496"/>
      <c r="H8578" s="36"/>
      <c r="I8578" s="11"/>
    </row>
    <row r="8579" spans="1:12" ht="9" customHeight="1">
      <c r="A8579" s="185"/>
      <c r="B8579" s="152" t="s">
        <v>11629</v>
      </c>
      <c r="C8579" s="147"/>
      <c r="D8579" s="122"/>
      <c r="E8579" s="36"/>
      <c r="F8579" s="178"/>
      <c r="G8579" s="496"/>
      <c r="H8579" s="36"/>
      <c r="I8579" s="11"/>
    </row>
    <row r="8580" spans="1:12" ht="9" customHeight="1">
      <c r="A8580" s="185"/>
      <c r="B8580" s="152" t="s">
        <v>11630</v>
      </c>
      <c r="C8580" s="147"/>
      <c r="D8580" s="122"/>
      <c r="E8580" s="36"/>
      <c r="F8580" s="178"/>
      <c r="G8580" s="496"/>
      <c r="H8580" s="36"/>
      <c r="I8580" s="11"/>
    </row>
    <row r="8581" spans="1:12" ht="9" customHeight="1">
      <c r="A8581" s="185"/>
      <c r="B8581" s="152" t="s">
        <v>11631</v>
      </c>
      <c r="C8581" s="147"/>
      <c r="D8581" s="122"/>
      <c r="E8581" s="36"/>
      <c r="F8581" s="178"/>
      <c r="G8581" s="496"/>
      <c r="H8581" s="36"/>
      <c r="I8581" s="11"/>
    </row>
    <row r="8582" spans="1:12" ht="9" customHeight="1">
      <c r="A8582" s="185"/>
      <c r="B8582" s="150" t="s">
        <v>11632</v>
      </c>
      <c r="C8582" s="147"/>
      <c r="D8582" s="122"/>
      <c r="E8582" s="36"/>
      <c r="F8582" s="178"/>
      <c r="G8582" s="496"/>
      <c r="H8582" s="36"/>
      <c r="I8582" s="11"/>
    </row>
    <row r="8583" spans="1:12" ht="9" customHeight="1">
      <c r="A8583" s="185"/>
      <c r="B8583" s="150" t="s">
        <v>11633</v>
      </c>
      <c r="C8583" s="147"/>
      <c r="D8583" s="122"/>
      <c r="E8583" s="36"/>
      <c r="F8583" s="178"/>
      <c r="G8583" s="496"/>
      <c r="H8583" s="36"/>
      <c r="I8583" s="11"/>
    </row>
    <row r="8584" spans="1:12" ht="9" customHeight="1">
      <c r="A8584" s="185"/>
      <c r="B8584" s="150" t="s">
        <v>11634</v>
      </c>
      <c r="C8584" s="147"/>
      <c r="D8584" s="122"/>
      <c r="E8584" s="36"/>
      <c r="F8584" s="178"/>
      <c r="G8584" s="496"/>
      <c r="H8584" s="36"/>
      <c r="I8584" s="11"/>
    </row>
    <row r="8585" spans="1:12" ht="9" customHeight="1">
      <c r="A8585" s="185"/>
      <c r="B8585" s="150" t="s">
        <v>11635</v>
      </c>
      <c r="C8585" s="147"/>
      <c r="D8585" s="122"/>
      <c r="E8585" s="36"/>
      <c r="F8585" s="178"/>
      <c r="G8585" s="496"/>
      <c r="H8585" s="36"/>
      <c r="I8585" s="11"/>
    </row>
    <row r="8586" spans="1:12" ht="9" customHeight="1" thickBot="1">
      <c r="A8586" s="185"/>
      <c r="B8586" s="150" t="s">
        <v>11636</v>
      </c>
      <c r="C8586" s="147"/>
      <c r="D8586" s="122"/>
      <c r="E8586" s="36"/>
      <c r="F8586" s="178"/>
      <c r="G8586" s="496"/>
      <c r="H8586" s="36"/>
      <c r="I8586" s="11"/>
    </row>
    <row r="8587" spans="1:12" ht="11.15" customHeight="1" thickBot="1">
      <c r="A8587" s="184" t="s">
        <v>11637</v>
      </c>
      <c r="B8587" s="154" t="s">
        <v>11638</v>
      </c>
      <c r="C8587" s="147"/>
      <c r="D8587" s="122"/>
      <c r="E8587" s="36"/>
      <c r="F8587" s="178"/>
      <c r="G8587" s="496"/>
      <c r="H8587" s="36"/>
      <c r="I8587" s="11"/>
    </row>
    <row r="8588" spans="1:12" ht="11.15" customHeight="1">
      <c r="A8588" s="29" t="s">
        <v>11639</v>
      </c>
      <c r="B8588" s="59" t="s">
        <v>21716</v>
      </c>
      <c r="C8588" s="147" t="s">
        <v>20221</v>
      </c>
      <c r="D8588" s="284" t="s">
        <v>897</v>
      </c>
      <c r="E8588" s="178">
        <v>2014</v>
      </c>
      <c r="F8588" s="178" t="s">
        <v>4520</v>
      </c>
      <c r="G8588" s="496"/>
      <c r="H8588" s="994" t="s">
        <v>20221</v>
      </c>
      <c r="I8588" s="11" t="s">
        <v>11640</v>
      </c>
      <c r="J8588" s="1285"/>
      <c r="K8588" s="1285"/>
      <c r="L8588" s="1285"/>
    </row>
    <row r="8589" spans="1:12" ht="11.15" customHeight="1">
      <c r="A8589" s="29" t="s">
        <v>11641</v>
      </c>
      <c r="B8589" s="59" t="s">
        <v>21872</v>
      </c>
      <c r="C8589" s="147" t="s">
        <v>20221</v>
      </c>
      <c r="D8589" s="284" t="s">
        <v>897</v>
      </c>
      <c r="E8589" s="178">
        <v>2014</v>
      </c>
      <c r="F8589" s="178" t="s">
        <v>23394</v>
      </c>
      <c r="G8589" s="496"/>
      <c r="H8589" s="994" t="s">
        <v>20224</v>
      </c>
      <c r="I8589" s="11" t="s">
        <v>11643</v>
      </c>
      <c r="J8589" s="1285"/>
      <c r="K8589" s="1285"/>
      <c r="L8589" s="1285"/>
    </row>
    <row r="8590" spans="1:12" ht="11.15" customHeight="1">
      <c r="A8590" s="29" t="s">
        <v>11642</v>
      </c>
      <c r="B8590" s="177" t="s">
        <v>11645</v>
      </c>
      <c r="C8590" s="147"/>
      <c r="D8590" s="161"/>
      <c r="E8590" s="36"/>
      <c r="F8590" s="178"/>
      <c r="G8590" s="671"/>
      <c r="H8590" s="36"/>
      <c r="I8590" s="11"/>
    </row>
    <row r="8591" spans="1:12" ht="11.15" customHeight="1">
      <c r="A8591" s="29" t="s">
        <v>11644</v>
      </c>
      <c r="B8591" s="59" t="s">
        <v>21873</v>
      </c>
      <c r="C8591" s="147" t="s">
        <v>20221</v>
      </c>
      <c r="D8591" s="284" t="s">
        <v>897</v>
      </c>
      <c r="E8591" s="178">
        <v>2017</v>
      </c>
      <c r="F8591" s="178" t="s">
        <v>4520</v>
      </c>
      <c r="G8591" s="496"/>
      <c r="H8591" s="994" t="s">
        <v>20221</v>
      </c>
      <c r="I8591" s="11" t="s">
        <v>11647</v>
      </c>
      <c r="J8591" s="1285"/>
      <c r="K8591" s="1285"/>
      <c r="L8591" s="1285"/>
    </row>
    <row r="8592" spans="1:12" ht="11.15" customHeight="1">
      <c r="A8592" s="129" t="s">
        <v>11646</v>
      </c>
      <c r="B8592" s="59" t="s">
        <v>21874</v>
      </c>
      <c r="C8592" s="147" t="s">
        <v>20221</v>
      </c>
      <c r="D8592" s="284" t="s">
        <v>897</v>
      </c>
      <c r="E8592" s="178">
        <v>2017</v>
      </c>
      <c r="F8592" s="178" t="s">
        <v>9678</v>
      </c>
      <c r="G8592" s="496"/>
      <c r="H8592" s="994" t="s">
        <v>20224</v>
      </c>
      <c r="I8592" s="11" t="s">
        <v>11649</v>
      </c>
      <c r="J8592" s="1285"/>
      <c r="K8592" s="1285"/>
      <c r="L8592" s="1285"/>
    </row>
    <row r="8593" spans="1:12" ht="11.15" customHeight="1">
      <c r="A8593" s="355" t="s">
        <v>11648</v>
      </c>
      <c r="B8593" s="59" t="s">
        <v>21875</v>
      </c>
      <c r="C8593" s="147" t="s">
        <v>20221</v>
      </c>
      <c r="D8593" s="284" t="s">
        <v>897</v>
      </c>
      <c r="E8593" s="178">
        <v>2017</v>
      </c>
      <c r="F8593" s="178" t="s">
        <v>11938</v>
      </c>
      <c r="G8593" s="496"/>
      <c r="H8593" s="994" t="s">
        <v>3907</v>
      </c>
      <c r="I8593" s="11" t="s">
        <v>11651</v>
      </c>
      <c r="J8593" s="1285"/>
      <c r="K8593" s="1285"/>
      <c r="L8593" s="1285"/>
    </row>
    <row r="8594" spans="1:12" ht="11.15" customHeight="1">
      <c r="A8594" s="162" t="s">
        <v>11650</v>
      </c>
      <c r="B8594" s="59" t="s">
        <v>21875</v>
      </c>
      <c r="C8594" s="147" t="s">
        <v>20221</v>
      </c>
      <c r="D8594" s="284" t="s">
        <v>897</v>
      </c>
      <c r="E8594" s="178">
        <v>2016</v>
      </c>
      <c r="F8594" s="178" t="s">
        <v>11938</v>
      </c>
      <c r="G8594" s="496"/>
      <c r="H8594" s="994" t="s">
        <v>20224</v>
      </c>
      <c r="I8594" s="11" t="s">
        <v>11653</v>
      </c>
      <c r="J8594" s="1285"/>
      <c r="K8594" s="1285"/>
      <c r="L8594" s="1285"/>
    </row>
    <row r="8595" spans="1:12" ht="11.15" customHeight="1">
      <c r="A8595" s="162" t="s">
        <v>11652</v>
      </c>
      <c r="B8595" s="177" t="s">
        <v>11161</v>
      </c>
      <c r="C8595" s="147"/>
      <c r="D8595" s="129"/>
      <c r="E8595" s="185"/>
      <c r="F8595" s="185"/>
      <c r="G8595" s="185"/>
      <c r="H8595" s="185"/>
      <c r="I8595" s="11"/>
    </row>
    <row r="8596" spans="1:12" ht="11.15" customHeight="1">
      <c r="A8596" s="162" t="s">
        <v>11654</v>
      </c>
      <c r="B8596" s="59" t="s">
        <v>21876</v>
      </c>
      <c r="C8596" s="147" t="s">
        <v>20221</v>
      </c>
      <c r="D8596" s="284" t="s">
        <v>897</v>
      </c>
      <c r="E8596" s="178">
        <v>2017</v>
      </c>
      <c r="F8596" s="178" t="s">
        <v>9678</v>
      </c>
      <c r="G8596" s="496"/>
      <c r="H8596" s="994" t="s">
        <v>20224</v>
      </c>
      <c r="I8596" s="11" t="s">
        <v>11656</v>
      </c>
      <c r="J8596" s="1285"/>
      <c r="K8596" s="1285"/>
      <c r="L8596" s="1285"/>
    </row>
    <row r="8597" spans="1:12" ht="11.15" customHeight="1">
      <c r="A8597" s="162" t="s">
        <v>11655</v>
      </c>
      <c r="B8597" s="59" t="s">
        <v>21876</v>
      </c>
      <c r="C8597" s="147" t="s">
        <v>20221</v>
      </c>
      <c r="D8597" s="284" t="s">
        <v>897</v>
      </c>
      <c r="E8597" s="178">
        <v>2016</v>
      </c>
      <c r="F8597" s="178" t="s">
        <v>9678</v>
      </c>
      <c r="G8597" s="496"/>
      <c r="H8597" s="994" t="s">
        <v>20224</v>
      </c>
      <c r="I8597" s="11" t="s">
        <v>11658</v>
      </c>
      <c r="J8597" s="1285"/>
      <c r="K8597" s="1285"/>
      <c r="L8597" s="1285"/>
    </row>
    <row r="8598" spans="1:12" ht="11.15" customHeight="1">
      <c r="A8598" s="162" t="s">
        <v>11657</v>
      </c>
      <c r="B8598" s="59" t="s">
        <v>21877</v>
      </c>
      <c r="C8598" s="147" t="s">
        <v>20221</v>
      </c>
      <c r="D8598" s="284" t="s">
        <v>897</v>
      </c>
      <c r="E8598" s="178">
        <v>2017</v>
      </c>
      <c r="F8598" s="178" t="s">
        <v>11938</v>
      </c>
      <c r="G8598" s="496"/>
      <c r="H8598" s="994" t="s">
        <v>20224</v>
      </c>
      <c r="I8598" s="11" t="s">
        <v>11660</v>
      </c>
      <c r="J8598" s="1285"/>
      <c r="K8598" s="1285"/>
      <c r="L8598" s="1285"/>
    </row>
    <row r="8599" spans="1:12" ht="11.15" customHeight="1">
      <c r="A8599" s="29" t="s">
        <v>11659</v>
      </c>
      <c r="B8599" s="59" t="s">
        <v>21877</v>
      </c>
      <c r="C8599" s="147" t="s">
        <v>20221</v>
      </c>
      <c r="D8599" s="284" t="s">
        <v>897</v>
      </c>
      <c r="E8599" s="178">
        <v>2014</v>
      </c>
      <c r="F8599" s="178" t="s">
        <v>11938</v>
      </c>
      <c r="G8599" s="496"/>
      <c r="H8599" s="994" t="s">
        <v>20224</v>
      </c>
      <c r="I8599" s="11" t="s">
        <v>11662</v>
      </c>
      <c r="J8599" s="1285"/>
      <c r="K8599" s="1285"/>
      <c r="L8599" s="1285"/>
    </row>
    <row r="8600" spans="1:12" ht="11.15" customHeight="1">
      <c r="A8600" s="29" t="s">
        <v>11661</v>
      </c>
      <c r="B8600" s="185"/>
      <c r="C8600" s="147"/>
      <c r="D8600" s="185"/>
      <c r="E8600" s="185"/>
      <c r="F8600" s="185"/>
      <c r="G8600" s="185"/>
      <c r="H8600" s="185"/>
      <c r="I8600" s="11"/>
    </row>
    <row r="8601" spans="1:12" ht="11.15" customHeight="1">
      <c r="A8601" s="29" t="s">
        <v>11663</v>
      </c>
      <c r="B8601" s="185"/>
      <c r="C8601" s="147"/>
      <c r="D8601" s="185"/>
      <c r="E8601" s="185"/>
      <c r="F8601" s="185"/>
      <c r="G8601" s="185"/>
      <c r="H8601" s="185"/>
      <c r="I8601" s="11"/>
    </row>
    <row r="8602" spans="1:12" ht="11.15" customHeight="1">
      <c r="A8602" s="29" t="s">
        <v>11664</v>
      </c>
      <c r="B8602" s="185"/>
      <c r="C8602" s="147"/>
      <c r="D8602" s="185"/>
      <c r="E8602" s="185"/>
      <c r="F8602" s="185"/>
      <c r="G8602" s="185"/>
      <c r="H8602" s="185"/>
      <c r="I8602" s="11"/>
    </row>
    <row r="8603" spans="1:12" ht="11.15" customHeight="1">
      <c r="A8603" s="29" t="s">
        <v>11665</v>
      </c>
      <c r="B8603" s="185"/>
      <c r="C8603" s="147"/>
      <c r="D8603" s="185"/>
      <c r="E8603" s="185"/>
      <c r="F8603" s="185"/>
      <c r="G8603" s="185"/>
      <c r="H8603" s="185"/>
      <c r="I8603" s="11"/>
    </row>
    <row r="8604" spans="1:12" ht="11.15" customHeight="1">
      <c r="A8604" s="181" t="s">
        <v>950</v>
      </c>
      <c r="B8604" s="185"/>
      <c r="C8604" s="147"/>
      <c r="D8604" s="185"/>
      <c r="E8604" s="185"/>
      <c r="F8604" s="185"/>
      <c r="G8604" s="185"/>
      <c r="H8604" s="185"/>
      <c r="I8604" s="11"/>
    </row>
    <row r="8605" spans="1:12" ht="11.15" customHeight="1">
      <c r="A8605" s="129" t="s">
        <v>3690</v>
      </c>
      <c r="B8605" s="185"/>
      <c r="C8605" s="147"/>
      <c r="D8605" s="185"/>
      <c r="E8605" s="185"/>
      <c r="F8605" s="185"/>
      <c r="G8605" s="185"/>
      <c r="H8605" s="185"/>
      <c r="I8605" s="11"/>
    </row>
    <row r="8606" spans="1:12" ht="11.15" customHeight="1">
      <c r="A8606" s="162" t="s">
        <v>11666</v>
      </c>
      <c r="B8606" s="185"/>
      <c r="C8606" s="147"/>
      <c r="D8606" s="185"/>
      <c r="E8606" s="185"/>
      <c r="F8606" s="185"/>
      <c r="G8606" s="185"/>
      <c r="H8606" s="185"/>
      <c r="I8606" s="11"/>
    </row>
    <row r="8607" spans="1:12" ht="11.15" customHeight="1">
      <c r="A8607" s="162" t="s">
        <v>11667</v>
      </c>
      <c r="B8607" s="185"/>
      <c r="C8607" s="147"/>
      <c r="D8607" s="185"/>
      <c r="E8607" s="185"/>
      <c r="F8607" s="185"/>
      <c r="G8607" s="185"/>
      <c r="H8607" s="185"/>
      <c r="I8607" s="11"/>
    </row>
    <row r="8608" spans="1:12" ht="11.15" customHeight="1">
      <c r="A8608" s="162" t="s">
        <v>11668</v>
      </c>
      <c r="B8608" s="185"/>
      <c r="C8608" s="147"/>
      <c r="D8608" s="185"/>
      <c r="E8608" s="185"/>
      <c r="F8608" s="185"/>
      <c r="G8608" s="185"/>
      <c r="H8608" s="185"/>
      <c r="I8608" s="11"/>
    </row>
    <row r="8609" spans="1:9" ht="11.15" customHeight="1">
      <c r="A8609" s="162" t="s">
        <v>11669</v>
      </c>
      <c r="B8609" s="185"/>
      <c r="C8609" s="147"/>
      <c r="D8609" s="185"/>
      <c r="E8609" s="185"/>
      <c r="F8609" s="185"/>
      <c r="G8609" s="185"/>
      <c r="H8609" s="185"/>
      <c r="I8609" s="11"/>
    </row>
    <row r="8610" spans="1:9" ht="11.15" customHeight="1">
      <c r="A8610" s="162" t="s">
        <v>11670</v>
      </c>
      <c r="B8610" s="185"/>
      <c r="C8610" s="147"/>
      <c r="D8610" s="185"/>
      <c r="E8610" s="185"/>
      <c r="F8610" s="185"/>
      <c r="G8610" s="185"/>
      <c r="H8610" s="185"/>
      <c r="I8610" s="11"/>
    </row>
    <row r="8611" spans="1:9" ht="11.15" customHeight="1">
      <c r="A8611" s="162" t="s">
        <v>11671</v>
      </c>
      <c r="B8611" s="185"/>
      <c r="C8611" s="147"/>
      <c r="D8611" s="185"/>
      <c r="E8611" s="185"/>
      <c r="F8611" s="185"/>
      <c r="G8611" s="185"/>
      <c r="H8611" s="185"/>
      <c r="I8611" s="11"/>
    </row>
    <row r="8612" spans="1:9" ht="11.15" customHeight="1">
      <c r="A8612" s="162" t="s">
        <v>11672</v>
      </c>
      <c r="B8612" s="185"/>
      <c r="C8612" s="147"/>
      <c r="D8612" s="185"/>
      <c r="E8612" s="185"/>
      <c r="F8612" s="185"/>
      <c r="G8612" s="185"/>
      <c r="H8612" s="185"/>
      <c r="I8612" s="11"/>
    </row>
    <row r="8613" spans="1:9" ht="11.15" customHeight="1">
      <c r="A8613" s="162" t="s">
        <v>11673</v>
      </c>
      <c r="B8613" s="185"/>
      <c r="C8613" s="147"/>
      <c r="D8613" s="185"/>
      <c r="E8613" s="185"/>
      <c r="F8613" s="185"/>
      <c r="G8613" s="185"/>
      <c r="H8613" s="185"/>
      <c r="I8613" s="11"/>
    </row>
    <row r="8614" spans="1:9" ht="11.15" customHeight="1">
      <c r="A8614" s="162" t="s">
        <v>11674</v>
      </c>
      <c r="B8614" s="185"/>
      <c r="C8614" s="147"/>
      <c r="D8614" s="185"/>
      <c r="E8614" s="185"/>
      <c r="F8614" s="185"/>
      <c r="G8614" s="185"/>
      <c r="H8614" s="185"/>
      <c r="I8614" s="11"/>
    </row>
    <row r="8615" spans="1:9" ht="11.15" customHeight="1">
      <c r="A8615" s="162" t="s">
        <v>11675</v>
      </c>
      <c r="B8615" s="185"/>
      <c r="C8615" s="147"/>
      <c r="D8615" s="185"/>
      <c r="E8615" s="185"/>
      <c r="F8615" s="185"/>
      <c r="G8615" s="185"/>
      <c r="H8615" s="185"/>
      <c r="I8615" s="11"/>
    </row>
    <row r="8616" spans="1:9" ht="11.15" customHeight="1">
      <c r="A8616" s="162" t="s">
        <v>11676</v>
      </c>
      <c r="B8616" s="185"/>
      <c r="C8616" s="147"/>
      <c r="D8616" s="185"/>
      <c r="E8616" s="185"/>
      <c r="F8616" s="185"/>
      <c r="G8616" s="185"/>
      <c r="H8616" s="185"/>
      <c r="I8616" s="11"/>
    </row>
    <row r="8617" spans="1:9" ht="11.15" customHeight="1">
      <c r="A8617" s="162" t="s">
        <v>11677</v>
      </c>
      <c r="B8617" s="185"/>
      <c r="C8617" s="147"/>
      <c r="D8617" s="185"/>
      <c r="E8617" s="185"/>
      <c r="F8617" s="185"/>
      <c r="G8617" s="185"/>
      <c r="H8617" s="185"/>
      <c r="I8617" s="11"/>
    </row>
    <row r="8618" spans="1:9" ht="11.15" customHeight="1">
      <c r="A8618" s="162" t="s">
        <v>11678</v>
      </c>
      <c r="B8618" s="185"/>
      <c r="C8618" s="147"/>
      <c r="D8618" s="129"/>
      <c r="E8618" s="185"/>
      <c r="F8618" s="185"/>
      <c r="G8618" s="185"/>
      <c r="H8618" s="185"/>
      <c r="I8618" s="11"/>
    </row>
    <row r="8619" spans="1:9" ht="11.15" customHeight="1">
      <c r="A8619" s="162" t="s">
        <v>11679</v>
      </c>
      <c r="B8619" s="185"/>
      <c r="C8619" s="147"/>
      <c r="D8619" s="129"/>
      <c r="E8619" s="185"/>
      <c r="F8619" s="185"/>
      <c r="G8619" s="185"/>
      <c r="H8619" s="185"/>
      <c r="I8619" s="11"/>
    </row>
    <row r="8620" spans="1:9" ht="11.15" customHeight="1">
      <c r="A8620" s="162" t="s">
        <v>11680</v>
      </c>
      <c r="B8620" s="185"/>
      <c r="C8620" s="147"/>
      <c r="D8620" s="129"/>
      <c r="E8620" s="185"/>
      <c r="F8620" s="185"/>
      <c r="G8620" s="185"/>
      <c r="H8620" s="185"/>
      <c r="I8620" s="11"/>
    </row>
    <row r="8621" spans="1:9" ht="11.15" customHeight="1">
      <c r="A8621" s="162" t="s">
        <v>11681</v>
      </c>
      <c r="B8621" s="185"/>
      <c r="C8621" s="147"/>
      <c r="D8621" s="129"/>
      <c r="E8621" s="185"/>
      <c r="F8621" s="185"/>
      <c r="G8621" s="185"/>
      <c r="H8621" s="185"/>
      <c r="I8621" s="11"/>
    </row>
    <row r="8622" spans="1:9" ht="11.15" customHeight="1">
      <c r="A8622" s="162" t="s">
        <v>11682</v>
      </c>
      <c r="B8622" s="185"/>
      <c r="C8622" s="147"/>
      <c r="D8622" s="129"/>
      <c r="E8622" s="185"/>
      <c r="F8622" s="185"/>
      <c r="G8622" s="185"/>
      <c r="H8622" s="185"/>
      <c r="I8622" s="11"/>
    </row>
    <row r="8623" spans="1:9" ht="11.15" customHeight="1">
      <c r="A8623" s="162" t="s">
        <v>11683</v>
      </c>
      <c r="B8623" s="185"/>
      <c r="C8623" s="147"/>
      <c r="D8623" s="129"/>
      <c r="E8623" s="185"/>
      <c r="F8623" s="185"/>
      <c r="G8623" s="185"/>
      <c r="H8623" s="185"/>
      <c r="I8623" s="11"/>
    </row>
    <row r="8624" spans="1:9" ht="11.15" customHeight="1">
      <c r="A8624" s="162" t="s">
        <v>11684</v>
      </c>
      <c r="B8624" s="185"/>
      <c r="C8624" s="147"/>
      <c r="D8624" s="129"/>
      <c r="E8624" s="185"/>
      <c r="F8624" s="185"/>
      <c r="G8624" s="185"/>
      <c r="H8624" s="185"/>
      <c r="I8624" s="11"/>
    </row>
    <row r="8625" spans="1:9" ht="11.15" customHeight="1">
      <c r="A8625" s="162" t="s">
        <v>11685</v>
      </c>
      <c r="B8625" s="185"/>
      <c r="C8625" s="147"/>
      <c r="D8625" s="129"/>
      <c r="E8625" s="185"/>
      <c r="F8625" s="185"/>
      <c r="G8625" s="185"/>
      <c r="H8625" s="185"/>
      <c r="I8625" s="11"/>
    </row>
    <row r="8626" spans="1:9" ht="11.15" customHeight="1">
      <c r="A8626" s="162" t="s">
        <v>11686</v>
      </c>
      <c r="B8626" s="185"/>
      <c r="C8626" s="147"/>
      <c r="D8626" s="129"/>
      <c r="E8626" s="185"/>
      <c r="F8626" s="185"/>
      <c r="G8626" s="185"/>
      <c r="H8626" s="185"/>
      <c r="I8626" s="11"/>
    </row>
    <row r="8627" spans="1:9" ht="11.15" customHeight="1">
      <c r="A8627" s="129" t="s">
        <v>3659</v>
      </c>
      <c r="B8627" s="185"/>
      <c r="C8627" s="147"/>
      <c r="D8627" s="129"/>
      <c r="E8627" s="185"/>
      <c r="F8627" s="185"/>
      <c r="G8627" s="185"/>
      <c r="H8627" s="185"/>
      <c r="I8627" s="11"/>
    </row>
    <row r="8628" spans="1:9" ht="11.15" customHeight="1">
      <c r="A8628" s="162" t="s">
        <v>11687</v>
      </c>
      <c r="B8628" s="185"/>
      <c r="C8628" s="147"/>
      <c r="D8628" s="129"/>
      <c r="E8628" s="185"/>
      <c r="F8628" s="185"/>
      <c r="G8628" s="185"/>
      <c r="H8628" s="185"/>
      <c r="I8628" s="11"/>
    </row>
    <row r="8629" spans="1:9" ht="11.15" customHeight="1">
      <c r="A8629" s="162" t="s">
        <v>11688</v>
      </c>
      <c r="B8629" s="185"/>
      <c r="C8629" s="147"/>
      <c r="D8629" s="122"/>
      <c r="E8629" s="185"/>
      <c r="F8629" s="185"/>
      <c r="G8629" s="416"/>
      <c r="H8629" s="185"/>
      <c r="I8629" s="11"/>
    </row>
    <row r="8630" spans="1:9" ht="11.15" customHeight="1">
      <c r="A8630" s="162" t="s">
        <v>11689</v>
      </c>
      <c r="B8630" s="185"/>
      <c r="C8630" s="147"/>
      <c r="D8630" s="122"/>
      <c r="E8630" s="185"/>
      <c r="F8630" s="185"/>
      <c r="G8630" s="416"/>
      <c r="H8630" s="185"/>
      <c r="I8630" s="11"/>
    </row>
    <row r="8631" spans="1:9" ht="11.15" customHeight="1">
      <c r="A8631" s="162" t="s">
        <v>11690</v>
      </c>
      <c r="B8631" s="185"/>
      <c r="C8631" s="147"/>
      <c r="D8631" s="122"/>
      <c r="E8631" s="185"/>
      <c r="F8631" s="185"/>
      <c r="G8631" s="416"/>
      <c r="H8631" s="185"/>
      <c r="I8631" s="11"/>
    </row>
    <row r="8632" spans="1:9" ht="11.15" customHeight="1">
      <c r="A8632" s="162" t="s">
        <v>9828</v>
      </c>
      <c r="B8632" s="185"/>
      <c r="C8632" s="147"/>
      <c r="D8632" s="122"/>
      <c r="E8632" s="185"/>
      <c r="F8632" s="185"/>
      <c r="G8632" s="416"/>
      <c r="H8632" s="185"/>
      <c r="I8632" s="11"/>
    </row>
    <row r="8633" spans="1:9" ht="11.15" customHeight="1">
      <c r="A8633" s="162" t="s">
        <v>11691</v>
      </c>
      <c r="B8633" s="185"/>
      <c r="C8633" s="147"/>
      <c r="D8633" s="122"/>
      <c r="E8633" s="185"/>
      <c r="F8633" s="185"/>
      <c r="G8633" s="416"/>
      <c r="H8633" s="185"/>
      <c r="I8633" s="11"/>
    </row>
    <row r="8634" spans="1:9" ht="11.15" customHeight="1">
      <c r="A8634" s="162" t="s">
        <v>11692</v>
      </c>
      <c r="B8634" s="185"/>
      <c r="C8634" s="147"/>
      <c r="D8634" s="122"/>
      <c r="E8634" s="185"/>
      <c r="F8634" s="185"/>
      <c r="G8634" s="416"/>
      <c r="H8634" s="185"/>
      <c r="I8634" s="11"/>
    </row>
    <row r="8635" spans="1:9" ht="11.15" customHeight="1">
      <c r="A8635" s="162" t="s">
        <v>9435</v>
      </c>
      <c r="B8635" s="185"/>
      <c r="C8635" s="147"/>
      <c r="D8635" s="122"/>
      <c r="E8635" s="185"/>
      <c r="F8635" s="185"/>
      <c r="G8635" s="416"/>
      <c r="H8635" s="185"/>
      <c r="I8635" s="11"/>
    </row>
    <row r="8636" spans="1:9" ht="11.15" customHeight="1">
      <c r="A8636" s="162" t="s">
        <v>11693</v>
      </c>
      <c r="B8636" s="185"/>
      <c r="C8636" s="147"/>
      <c r="D8636" s="122"/>
      <c r="E8636" s="185"/>
      <c r="F8636" s="185"/>
      <c r="G8636" s="416"/>
      <c r="H8636" s="185"/>
      <c r="I8636" s="11"/>
    </row>
    <row r="8637" spans="1:9" ht="11.15" customHeight="1">
      <c r="A8637" s="166" t="s">
        <v>11694</v>
      </c>
      <c r="B8637" s="185"/>
      <c r="C8637" s="147"/>
      <c r="D8637" s="129"/>
      <c r="E8637" s="185"/>
      <c r="F8637" s="185"/>
      <c r="G8637" s="185"/>
      <c r="H8637" s="185"/>
      <c r="I8637" s="11"/>
    </row>
    <row r="8638" spans="1:9" ht="11.15" customHeight="1" thickBot="1">
      <c r="A8638" s="129" t="s">
        <v>11695</v>
      </c>
      <c r="B8638" s="185"/>
      <c r="C8638" s="147"/>
      <c r="D8638" s="129"/>
      <c r="E8638" s="185"/>
      <c r="F8638" s="185"/>
      <c r="G8638" s="185"/>
      <c r="H8638" s="185"/>
      <c r="I8638" s="11"/>
    </row>
    <row r="8639" spans="1:9" ht="24" customHeight="1" thickBot="1">
      <c r="A8639" s="381"/>
      <c r="B8639" s="64" t="s">
        <v>11696</v>
      </c>
      <c r="C8639" s="170"/>
      <c r="D8639" s="596"/>
      <c r="E8639" s="235"/>
      <c r="F8639" s="383"/>
      <c r="G8639" s="1142"/>
      <c r="H8639" s="516"/>
      <c r="I8639" s="11"/>
    </row>
    <row r="8640" spans="1:9" ht="11.15" customHeight="1">
      <c r="A8640" s="271" t="s">
        <v>11697</v>
      </c>
      <c r="B8640" s="90" t="s">
        <v>1446</v>
      </c>
      <c r="C8640" s="147"/>
      <c r="D8640" s="284" t="s">
        <v>897</v>
      </c>
      <c r="E8640" s="544"/>
      <c r="F8640" s="965"/>
      <c r="G8640" s="496"/>
      <c r="H8640" s="545"/>
      <c r="I8640" s="11"/>
    </row>
    <row r="8641" spans="1:12" ht="11.15" customHeight="1">
      <c r="A8641" s="271" t="s">
        <v>11698</v>
      </c>
      <c r="B8641" s="90" t="s">
        <v>1446</v>
      </c>
      <c r="C8641" s="147"/>
      <c r="D8641" s="284" t="s">
        <v>897</v>
      </c>
      <c r="E8641" s="544"/>
      <c r="F8641" s="965"/>
      <c r="G8641" s="496"/>
      <c r="H8641" s="545"/>
      <c r="I8641" s="11"/>
    </row>
    <row r="8642" spans="1:12" ht="11.15" customHeight="1">
      <c r="A8642" s="271"/>
      <c r="B8642" s="90"/>
      <c r="C8642" s="147"/>
      <c r="D8642" s="161"/>
      <c r="E8642" s="544"/>
      <c r="F8642" s="965"/>
      <c r="G8642" s="1233"/>
      <c r="H8642" s="545"/>
      <c r="I8642" s="11"/>
    </row>
    <row r="8643" spans="1:12" ht="9" customHeight="1">
      <c r="A8643" s="201"/>
      <c r="B8643" s="413" t="s">
        <v>11699</v>
      </c>
      <c r="C8643" s="147"/>
      <c r="D8643" s="129"/>
      <c r="E8643" s="90"/>
      <c r="F8643" s="59"/>
      <c r="G8643" s="1187"/>
      <c r="H8643" s="90"/>
      <c r="I8643" s="11"/>
    </row>
    <row r="8644" spans="1:12" ht="9" customHeight="1">
      <c r="A8644" s="355"/>
      <c r="B8644" s="150" t="s">
        <v>11700</v>
      </c>
      <c r="C8644" s="147"/>
      <c r="D8644" s="149"/>
      <c r="E8644" s="150"/>
      <c r="F8644" s="209"/>
      <c r="G8644" s="623"/>
      <c r="H8644" s="209"/>
      <c r="I8644" s="11"/>
    </row>
    <row r="8645" spans="1:12" ht="9" customHeight="1">
      <c r="A8645" s="355"/>
      <c r="B8645" s="150" t="s">
        <v>11701</v>
      </c>
      <c r="C8645" s="147"/>
      <c r="D8645" s="149"/>
      <c r="E8645" s="150"/>
      <c r="F8645" s="209"/>
      <c r="G8645" s="623"/>
      <c r="H8645" s="209"/>
      <c r="I8645" s="11"/>
    </row>
    <row r="8646" spans="1:12" ht="9" customHeight="1">
      <c r="A8646" s="355"/>
      <c r="B8646" s="150" t="s">
        <v>11702</v>
      </c>
      <c r="C8646" s="147"/>
      <c r="D8646" s="149"/>
      <c r="E8646" s="150"/>
      <c r="F8646" s="209"/>
      <c r="G8646" s="623"/>
      <c r="H8646" s="209"/>
      <c r="I8646" s="11"/>
    </row>
    <row r="8647" spans="1:12" ht="9" customHeight="1" thickBot="1">
      <c r="A8647" s="29"/>
      <c r="B8647" s="215" t="s">
        <v>11703</v>
      </c>
      <c r="C8647" s="147"/>
      <c r="D8647" s="129"/>
      <c r="E8647" s="90"/>
      <c r="F8647" s="59"/>
      <c r="G8647" s="1187"/>
      <c r="H8647" s="90"/>
      <c r="I8647" s="11"/>
    </row>
    <row r="8648" spans="1:12" ht="11.15" customHeight="1">
      <c r="A8648" s="153" t="s">
        <v>11704</v>
      </c>
      <c r="B8648" s="221" t="s">
        <v>10573</v>
      </c>
      <c r="C8648" s="147"/>
      <c r="D8648" s="129"/>
      <c r="E8648" s="90"/>
      <c r="F8648" s="59"/>
      <c r="G8648" s="1187"/>
      <c r="H8648" s="90"/>
      <c r="I8648" s="11"/>
    </row>
    <row r="8649" spans="1:12" ht="11.15" customHeight="1" thickBot="1">
      <c r="A8649" s="230" t="s">
        <v>11705</v>
      </c>
      <c r="B8649" s="59" t="s">
        <v>21878</v>
      </c>
      <c r="C8649" s="147" t="s">
        <v>20221</v>
      </c>
      <c r="D8649" s="284" t="s">
        <v>897</v>
      </c>
      <c r="E8649" s="178">
        <v>2021</v>
      </c>
      <c r="F8649" s="178" t="s">
        <v>4520</v>
      </c>
      <c r="G8649" s="496"/>
      <c r="H8649" s="994" t="s">
        <v>20221</v>
      </c>
      <c r="I8649" s="11" t="s">
        <v>11706</v>
      </c>
      <c r="J8649" s="1285"/>
      <c r="K8649" s="1285"/>
      <c r="L8649" s="1285"/>
    </row>
    <row r="8650" spans="1:12" ht="11.15" customHeight="1">
      <c r="A8650" s="29" t="s">
        <v>11707</v>
      </c>
      <c r="B8650" s="59" t="s">
        <v>21878</v>
      </c>
      <c r="C8650" s="147" t="s">
        <v>20221</v>
      </c>
      <c r="D8650" s="284" t="s">
        <v>897</v>
      </c>
      <c r="E8650" s="178">
        <v>2020</v>
      </c>
      <c r="F8650" s="178" t="s">
        <v>4520</v>
      </c>
      <c r="G8650" s="496"/>
      <c r="H8650" s="994" t="s">
        <v>20221</v>
      </c>
      <c r="I8650" s="11" t="s">
        <v>11708</v>
      </c>
      <c r="J8650" s="1285"/>
      <c r="K8650" s="1285"/>
      <c r="L8650" s="1285"/>
    </row>
    <row r="8651" spans="1:12" ht="11.15" customHeight="1">
      <c r="A8651" s="29" t="s">
        <v>11709</v>
      </c>
      <c r="B8651" s="59" t="s">
        <v>21878</v>
      </c>
      <c r="C8651" s="147" t="s">
        <v>20221</v>
      </c>
      <c r="D8651" s="284" t="s">
        <v>897</v>
      </c>
      <c r="E8651" s="178">
        <v>2018</v>
      </c>
      <c r="F8651" s="178" t="s">
        <v>4520</v>
      </c>
      <c r="G8651" s="496"/>
      <c r="H8651" s="994" t="s">
        <v>20277</v>
      </c>
      <c r="I8651" s="11" t="s">
        <v>11710</v>
      </c>
      <c r="J8651" s="1285"/>
      <c r="K8651" s="1285"/>
      <c r="L8651" s="1285"/>
    </row>
    <row r="8652" spans="1:12" ht="11.15" customHeight="1">
      <c r="A8652" s="624" t="s">
        <v>11711</v>
      </c>
      <c r="B8652" s="59" t="s">
        <v>21879</v>
      </c>
      <c r="C8652" s="147" t="s">
        <v>20221</v>
      </c>
      <c r="D8652" s="284" t="s">
        <v>897</v>
      </c>
      <c r="E8652" s="178">
        <v>2022</v>
      </c>
      <c r="F8652" s="178" t="s">
        <v>4520</v>
      </c>
      <c r="G8652" s="496"/>
      <c r="H8652" s="994" t="s">
        <v>20221</v>
      </c>
      <c r="I8652" s="11" t="s">
        <v>11712</v>
      </c>
      <c r="J8652" s="1285"/>
      <c r="K8652" s="1285"/>
      <c r="L8652" s="1285"/>
    </row>
    <row r="8653" spans="1:12" ht="11.15" customHeight="1">
      <c r="A8653" s="29" t="s">
        <v>11713</v>
      </c>
      <c r="B8653" s="59" t="s">
        <v>21879</v>
      </c>
      <c r="C8653" s="147" t="s">
        <v>20221</v>
      </c>
      <c r="D8653" s="284" t="s">
        <v>897</v>
      </c>
      <c r="E8653" s="178">
        <v>2020</v>
      </c>
      <c r="F8653" s="178" t="s">
        <v>4520</v>
      </c>
      <c r="G8653" s="496"/>
      <c r="H8653" s="994" t="s">
        <v>20221</v>
      </c>
      <c r="I8653" s="11" t="s">
        <v>11714</v>
      </c>
      <c r="J8653" s="1285"/>
      <c r="K8653" s="1285"/>
      <c r="L8653" s="1285"/>
    </row>
    <row r="8654" spans="1:12" ht="11.15" customHeight="1">
      <c r="A8654" s="29" t="s">
        <v>11715</v>
      </c>
      <c r="B8654" s="59" t="s">
        <v>21880</v>
      </c>
      <c r="C8654" s="147" t="s">
        <v>20221</v>
      </c>
      <c r="D8654" s="284" t="s">
        <v>897</v>
      </c>
      <c r="E8654" s="178">
        <v>2019</v>
      </c>
      <c r="F8654" s="178" t="s">
        <v>23395</v>
      </c>
      <c r="G8654" s="496"/>
      <c r="H8654" s="994" t="s">
        <v>20221</v>
      </c>
      <c r="I8654" s="11" t="s">
        <v>11716</v>
      </c>
      <c r="J8654" s="1285"/>
      <c r="K8654" s="1285"/>
      <c r="L8654" s="1285"/>
    </row>
    <row r="8655" spans="1:12" ht="11.15" customHeight="1">
      <c r="A8655" s="29" t="s">
        <v>11717</v>
      </c>
      <c r="B8655" s="177" t="s">
        <v>10578</v>
      </c>
      <c r="C8655" s="147"/>
      <c r="D8655" s="129"/>
      <c r="E8655" s="185"/>
      <c r="F8655" s="185"/>
      <c r="G8655" s="185"/>
      <c r="H8655" s="185"/>
      <c r="I8655" s="11"/>
    </row>
    <row r="8656" spans="1:12" ht="11.15" customHeight="1">
      <c r="A8656" s="181" t="s">
        <v>950</v>
      </c>
      <c r="B8656" s="59" t="s">
        <v>21881</v>
      </c>
      <c r="C8656" s="147" t="s">
        <v>20221</v>
      </c>
      <c r="D8656" s="284" t="s">
        <v>897</v>
      </c>
      <c r="E8656" s="178">
        <v>2020</v>
      </c>
      <c r="F8656" s="178" t="s">
        <v>4520</v>
      </c>
      <c r="G8656" s="496"/>
      <c r="H8656" s="994" t="s">
        <v>20221</v>
      </c>
      <c r="I8656" s="11" t="s">
        <v>11718</v>
      </c>
      <c r="J8656" s="1285"/>
      <c r="K8656" s="1285"/>
      <c r="L8656" s="1285"/>
    </row>
    <row r="8657" spans="1:12" ht="11.15" customHeight="1">
      <c r="A8657" s="625" t="s">
        <v>11719</v>
      </c>
      <c r="B8657" s="59" t="s">
        <v>21881</v>
      </c>
      <c r="C8657" s="147" t="s">
        <v>20221</v>
      </c>
      <c r="D8657" s="284" t="s">
        <v>897</v>
      </c>
      <c r="E8657" s="178">
        <v>2018</v>
      </c>
      <c r="F8657" s="178" t="s">
        <v>23395</v>
      </c>
      <c r="G8657" s="496"/>
      <c r="H8657" s="994" t="s">
        <v>20221</v>
      </c>
      <c r="I8657" s="11" t="s">
        <v>11720</v>
      </c>
      <c r="J8657" s="1285"/>
      <c r="K8657" s="1285"/>
      <c r="L8657" s="1285"/>
    </row>
    <row r="8658" spans="1:12" ht="11.15" customHeight="1">
      <c r="A8658" s="162" t="s">
        <v>11721</v>
      </c>
      <c r="B8658" s="59" t="s">
        <v>21881</v>
      </c>
      <c r="C8658" s="147" t="s">
        <v>20221</v>
      </c>
      <c r="D8658" s="284" t="s">
        <v>897</v>
      </c>
      <c r="E8658" s="178">
        <v>2017</v>
      </c>
      <c r="F8658" s="178" t="s">
        <v>4520</v>
      </c>
      <c r="G8658" s="496"/>
      <c r="H8658" s="994" t="s">
        <v>20277</v>
      </c>
      <c r="I8658" s="11" t="s">
        <v>11722</v>
      </c>
      <c r="J8658" s="1285"/>
      <c r="K8658" s="1285"/>
      <c r="L8658" s="1285"/>
    </row>
    <row r="8659" spans="1:12" ht="11.15" customHeight="1">
      <c r="A8659" s="162" t="s">
        <v>11723</v>
      </c>
      <c r="B8659" s="59" t="s">
        <v>21882</v>
      </c>
      <c r="C8659" s="147" t="s">
        <v>20221</v>
      </c>
      <c r="D8659" s="284" t="s">
        <v>897</v>
      </c>
      <c r="E8659" s="178">
        <v>2020</v>
      </c>
      <c r="F8659" s="178" t="s">
        <v>4520</v>
      </c>
      <c r="G8659" s="496"/>
      <c r="H8659" s="994" t="s">
        <v>20221</v>
      </c>
      <c r="I8659" s="11" t="s">
        <v>11724</v>
      </c>
      <c r="J8659" s="1285"/>
      <c r="K8659" s="1285"/>
      <c r="L8659" s="1285"/>
    </row>
    <row r="8660" spans="1:12" ht="11.15" customHeight="1">
      <c r="A8660" s="625" t="s">
        <v>11725</v>
      </c>
      <c r="B8660" s="59" t="s">
        <v>21882</v>
      </c>
      <c r="C8660" s="147" t="s">
        <v>20221</v>
      </c>
      <c r="D8660" s="284" t="s">
        <v>897</v>
      </c>
      <c r="E8660" s="178">
        <v>2019</v>
      </c>
      <c r="F8660" s="178" t="s">
        <v>4520</v>
      </c>
      <c r="G8660" s="496"/>
      <c r="H8660" s="994" t="s">
        <v>20221</v>
      </c>
      <c r="I8660" s="11" t="s">
        <v>11726</v>
      </c>
      <c r="J8660" s="1285"/>
      <c r="K8660" s="1285"/>
      <c r="L8660" s="1285"/>
    </row>
    <row r="8661" spans="1:12" ht="11.15" customHeight="1">
      <c r="A8661" s="355" t="s">
        <v>11727</v>
      </c>
      <c r="B8661" s="59" t="s">
        <v>21882</v>
      </c>
      <c r="C8661" s="147" t="s">
        <v>20221</v>
      </c>
      <c r="D8661" s="284" t="s">
        <v>897</v>
      </c>
      <c r="E8661" s="178">
        <v>2018</v>
      </c>
      <c r="F8661" s="178" t="s">
        <v>23395</v>
      </c>
      <c r="G8661" s="496"/>
      <c r="H8661" s="994" t="s">
        <v>20221</v>
      </c>
      <c r="I8661" s="11" t="s">
        <v>11728</v>
      </c>
      <c r="J8661" s="1285"/>
      <c r="K8661" s="1285"/>
      <c r="L8661" s="1285"/>
    </row>
    <row r="8662" spans="1:12" ht="11.15" customHeight="1">
      <c r="A8662" s="162" t="s">
        <v>11729</v>
      </c>
      <c r="B8662" s="59" t="s">
        <v>21882</v>
      </c>
      <c r="C8662" s="147" t="s">
        <v>20221</v>
      </c>
      <c r="D8662" s="284" t="s">
        <v>897</v>
      </c>
      <c r="E8662" s="178">
        <v>2016</v>
      </c>
      <c r="F8662" s="178" t="s">
        <v>4520</v>
      </c>
      <c r="G8662" s="496"/>
      <c r="H8662" s="994" t="s">
        <v>20224</v>
      </c>
      <c r="I8662" s="11" t="s">
        <v>11730</v>
      </c>
      <c r="J8662" s="1285"/>
      <c r="K8662" s="1285"/>
      <c r="L8662" s="1285"/>
    </row>
    <row r="8663" spans="1:12" ht="11.15" customHeight="1">
      <c r="A8663" s="162" t="s">
        <v>11731</v>
      </c>
      <c r="B8663" s="59" t="s">
        <v>21883</v>
      </c>
      <c r="C8663" s="147" t="s">
        <v>20221</v>
      </c>
      <c r="D8663" s="284" t="s">
        <v>897</v>
      </c>
      <c r="E8663" s="178">
        <v>2020</v>
      </c>
      <c r="F8663" s="178" t="s">
        <v>4520</v>
      </c>
      <c r="G8663" s="496"/>
      <c r="H8663" s="994" t="s">
        <v>20221</v>
      </c>
      <c r="I8663" s="11" t="s">
        <v>11732</v>
      </c>
      <c r="J8663" s="1285"/>
      <c r="K8663" s="1285"/>
      <c r="L8663" s="1285"/>
    </row>
    <row r="8664" spans="1:12" ht="11.15" customHeight="1">
      <c r="A8664" s="355" t="s">
        <v>11733</v>
      </c>
      <c r="B8664" s="59" t="s">
        <v>21884</v>
      </c>
      <c r="C8664" s="147" t="s">
        <v>20221</v>
      </c>
      <c r="D8664" s="284" t="s">
        <v>897</v>
      </c>
      <c r="E8664" s="178">
        <v>2020</v>
      </c>
      <c r="F8664" s="178" t="s">
        <v>4520</v>
      </c>
      <c r="G8664" s="496"/>
      <c r="H8664" s="994" t="s">
        <v>20221</v>
      </c>
      <c r="I8664" s="11" t="s">
        <v>11734</v>
      </c>
      <c r="J8664" s="1285"/>
      <c r="K8664" s="1285"/>
      <c r="L8664" s="1285"/>
    </row>
    <row r="8665" spans="1:12" ht="11.15" customHeight="1">
      <c r="A8665" s="162" t="s">
        <v>11735</v>
      </c>
      <c r="B8665" s="59" t="s">
        <v>21884</v>
      </c>
      <c r="C8665" s="147" t="s">
        <v>20221</v>
      </c>
      <c r="D8665" s="284" t="s">
        <v>897</v>
      </c>
      <c r="E8665" s="178">
        <v>2019</v>
      </c>
      <c r="F8665" s="178" t="s">
        <v>4520</v>
      </c>
      <c r="G8665" s="496"/>
      <c r="H8665" s="994" t="s">
        <v>20221</v>
      </c>
      <c r="I8665" s="11" t="s">
        <v>11736</v>
      </c>
      <c r="J8665" s="1285"/>
      <c r="K8665" s="1285"/>
      <c r="L8665" s="1285"/>
    </row>
    <row r="8666" spans="1:12" ht="11.15" customHeight="1">
      <c r="A8666" s="162" t="s">
        <v>11737</v>
      </c>
      <c r="B8666" s="59" t="s">
        <v>21885</v>
      </c>
      <c r="C8666" s="147" t="s">
        <v>20221</v>
      </c>
      <c r="D8666" s="284" t="s">
        <v>897</v>
      </c>
      <c r="E8666" s="178">
        <v>2019</v>
      </c>
      <c r="F8666" s="178" t="s">
        <v>4520</v>
      </c>
      <c r="G8666" s="496"/>
      <c r="H8666" s="994" t="s">
        <v>20221</v>
      </c>
      <c r="I8666" s="11" t="s">
        <v>11738</v>
      </c>
      <c r="J8666" s="1285"/>
      <c r="K8666" s="1285"/>
      <c r="L8666" s="1285"/>
    </row>
    <row r="8667" spans="1:12" ht="11.15" customHeight="1">
      <c r="A8667" s="355" t="s">
        <v>11739</v>
      </c>
      <c r="B8667" s="59" t="s">
        <v>21885</v>
      </c>
      <c r="C8667" s="147" t="s">
        <v>20221</v>
      </c>
      <c r="D8667" s="284" t="s">
        <v>897</v>
      </c>
      <c r="E8667" s="178">
        <v>2018</v>
      </c>
      <c r="F8667" s="178" t="s">
        <v>23395</v>
      </c>
      <c r="G8667" s="496"/>
      <c r="H8667" s="994" t="s">
        <v>20221</v>
      </c>
      <c r="I8667" s="11" t="s">
        <v>11740</v>
      </c>
      <c r="J8667" s="1285"/>
      <c r="K8667" s="1285"/>
      <c r="L8667" s="1285"/>
    </row>
    <row r="8668" spans="1:12" ht="11.15" customHeight="1">
      <c r="A8668" s="162" t="s">
        <v>11741</v>
      </c>
      <c r="B8668" s="59" t="s">
        <v>21885</v>
      </c>
      <c r="C8668" s="147" t="s">
        <v>20221</v>
      </c>
      <c r="D8668" s="284" t="s">
        <v>897</v>
      </c>
      <c r="E8668" s="178">
        <v>2016</v>
      </c>
      <c r="F8668" s="178" t="s">
        <v>4520</v>
      </c>
      <c r="G8668" s="496"/>
      <c r="H8668" s="994" t="s">
        <v>20221</v>
      </c>
      <c r="I8668" s="11" t="s">
        <v>11742</v>
      </c>
      <c r="J8668" s="1285"/>
      <c r="K8668" s="1285"/>
      <c r="L8668" s="1285"/>
    </row>
    <row r="8669" spans="1:12" ht="11.15" customHeight="1">
      <c r="A8669" s="355" t="s">
        <v>11743</v>
      </c>
      <c r="B8669" s="59" t="s">
        <v>21885</v>
      </c>
      <c r="C8669" s="147" t="s">
        <v>20221</v>
      </c>
      <c r="D8669" s="284" t="s">
        <v>897</v>
      </c>
      <c r="E8669" s="178">
        <v>2015</v>
      </c>
      <c r="F8669" s="178" t="s">
        <v>4520</v>
      </c>
      <c r="G8669" s="496"/>
      <c r="H8669" s="994" t="s">
        <v>20224</v>
      </c>
      <c r="I8669" s="11" t="s">
        <v>11744</v>
      </c>
      <c r="J8669" s="1285"/>
      <c r="K8669" s="1285"/>
      <c r="L8669" s="1285"/>
    </row>
    <row r="8670" spans="1:12" ht="11.15" customHeight="1">
      <c r="A8670" s="162" t="s">
        <v>11745</v>
      </c>
      <c r="B8670" s="177" t="s">
        <v>11746</v>
      </c>
      <c r="C8670" s="147"/>
      <c r="D8670" s="185"/>
      <c r="E8670" s="185"/>
      <c r="F8670" s="185"/>
      <c r="G8670" s="185"/>
      <c r="H8670" s="185"/>
      <c r="I8670" s="11"/>
    </row>
    <row r="8671" spans="1:12" ht="11.15" customHeight="1">
      <c r="A8671" s="355" t="s">
        <v>11747</v>
      </c>
      <c r="B8671" s="59" t="s">
        <v>21886</v>
      </c>
      <c r="C8671" s="147" t="s">
        <v>20221</v>
      </c>
      <c r="D8671" s="284" t="s">
        <v>897</v>
      </c>
      <c r="E8671" s="178">
        <v>2018</v>
      </c>
      <c r="F8671" s="178" t="s">
        <v>4520</v>
      </c>
      <c r="G8671" s="496"/>
      <c r="H8671" s="994" t="s">
        <v>20221</v>
      </c>
      <c r="I8671" s="11" t="s">
        <v>11748</v>
      </c>
      <c r="J8671" s="1285"/>
      <c r="K8671" s="1285"/>
      <c r="L8671" s="1285"/>
    </row>
    <row r="8672" spans="1:12" ht="11.15" customHeight="1">
      <c r="A8672" s="162" t="s">
        <v>11749</v>
      </c>
      <c r="B8672" s="59" t="s">
        <v>21886</v>
      </c>
      <c r="C8672" s="147" t="s">
        <v>20221</v>
      </c>
      <c r="D8672" s="284" t="s">
        <v>897</v>
      </c>
      <c r="E8672" s="178">
        <v>2016</v>
      </c>
      <c r="F8672" s="178" t="s">
        <v>23395</v>
      </c>
      <c r="G8672" s="496"/>
      <c r="H8672" s="994" t="s">
        <v>20221</v>
      </c>
      <c r="I8672" s="11" t="s">
        <v>11750</v>
      </c>
      <c r="J8672" s="1285"/>
      <c r="K8672" s="1285"/>
      <c r="L8672" s="1285"/>
    </row>
    <row r="8673" spans="1:12" ht="11.25" customHeight="1">
      <c r="A8673" s="625" t="s">
        <v>11751</v>
      </c>
      <c r="B8673" s="177" t="s">
        <v>11752</v>
      </c>
      <c r="C8673" s="147"/>
      <c r="D8673" s="129"/>
      <c r="E8673" s="185"/>
      <c r="F8673" s="185"/>
      <c r="G8673" s="185"/>
      <c r="H8673" s="185"/>
      <c r="I8673" s="11"/>
    </row>
    <row r="8674" spans="1:12" ht="11.25" customHeight="1">
      <c r="A8674" s="162" t="s">
        <v>11753</v>
      </c>
      <c r="B8674" s="59" t="s">
        <v>21887</v>
      </c>
      <c r="C8674" s="147" t="s">
        <v>20221</v>
      </c>
      <c r="D8674" s="284" t="s">
        <v>897</v>
      </c>
      <c r="E8674" s="178">
        <v>2019</v>
      </c>
      <c r="F8674" s="178" t="s">
        <v>4520</v>
      </c>
      <c r="G8674" s="496"/>
      <c r="H8674" s="994" t="s">
        <v>20221</v>
      </c>
      <c r="I8674" s="11" t="s">
        <v>11754</v>
      </c>
      <c r="J8674" s="1285"/>
      <c r="K8674" s="1285"/>
      <c r="L8674" s="1285"/>
    </row>
    <row r="8675" spans="1:12" ht="11.25" customHeight="1">
      <c r="A8675" s="162" t="s">
        <v>11755</v>
      </c>
      <c r="B8675" s="59" t="s">
        <v>21887</v>
      </c>
      <c r="C8675" s="147" t="s">
        <v>20221</v>
      </c>
      <c r="D8675" s="284" t="s">
        <v>897</v>
      </c>
      <c r="E8675" s="178">
        <v>2018</v>
      </c>
      <c r="F8675" s="178" t="s">
        <v>4520</v>
      </c>
      <c r="G8675" s="496"/>
      <c r="H8675" s="994" t="s">
        <v>20221</v>
      </c>
      <c r="I8675" s="11" t="s">
        <v>11756</v>
      </c>
      <c r="J8675" s="1285"/>
      <c r="K8675" s="1285"/>
      <c r="L8675" s="1285"/>
    </row>
    <row r="8676" spans="1:12" ht="11.25" customHeight="1">
      <c r="A8676" s="162" t="s">
        <v>11757</v>
      </c>
      <c r="B8676" s="59" t="s">
        <v>21887</v>
      </c>
      <c r="C8676" s="147" t="s">
        <v>20221</v>
      </c>
      <c r="D8676" s="284" t="s">
        <v>897</v>
      </c>
      <c r="E8676" s="178">
        <v>2016</v>
      </c>
      <c r="F8676" s="178" t="s">
        <v>23395</v>
      </c>
      <c r="G8676" s="496"/>
      <c r="H8676" s="994" t="s">
        <v>20221</v>
      </c>
      <c r="I8676" s="11" t="s">
        <v>11758</v>
      </c>
      <c r="J8676" s="1285"/>
      <c r="K8676" s="1285"/>
      <c r="L8676" s="1285"/>
    </row>
    <row r="8677" spans="1:12" ht="11.25" customHeight="1">
      <c r="A8677" s="162" t="s">
        <v>11759</v>
      </c>
      <c r="B8677" s="59" t="s">
        <v>21887</v>
      </c>
      <c r="C8677" s="147" t="s">
        <v>20221</v>
      </c>
      <c r="D8677" s="284" t="s">
        <v>897</v>
      </c>
      <c r="E8677" s="178">
        <v>2015</v>
      </c>
      <c r="F8677" s="178" t="s">
        <v>4520</v>
      </c>
      <c r="G8677" s="496"/>
      <c r="H8677" s="994" t="s">
        <v>20221</v>
      </c>
      <c r="I8677" s="11" t="s">
        <v>11760</v>
      </c>
      <c r="J8677" s="1285"/>
      <c r="K8677" s="1285"/>
      <c r="L8677" s="1285"/>
    </row>
    <row r="8678" spans="1:12" ht="11.25" customHeight="1">
      <c r="A8678" s="129" t="s">
        <v>1308</v>
      </c>
      <c r="B8678" s="59" t="s">
        <v>21887</v>
      </c>
      <c r="C8678" s="147" t="s">
        <v>20221</v>
      </c>
      <c r="D8678" s="284" t="s">
        <v>897</v>
      </c>
      <c r="E8678" s="178">
        <v>2001</v>
      </c>
      <c r="F8678" s="178" t="s">
        <v>4520</v>
      </c>
      <c r="G8678" s="496"/>
      <c r="H8678" s="994" t="s">
        <v>20224</v>
      </c>
      <c r="I8678" s="11" t="s">
        <v>11761</v>
      </c>
      <c r="J8678" s="1285"/>
      <c r="K8678" s="1285"/>
      <c r="L8678" s="1285"/>
    </row>
    <row r="8679" spans="1:12" ht="11.25" customHeight="1">
      <c r="A8679" s="162" t="s">
        <v>11762</v>
      </c>
      <c r="B8679" s="90"/>
      <c r="C8679" s="147"/>
      <c r="D8679" s="161"/>
      <c r="E8679" s="36"/>
      <c r="F8679" s="178"/>
      <c r="G8679" s="497"/>
      <c r="H8679" s="36"/>
      <c r="I8679" s="11"/>
    </row>
    <row r="8680" spans="1:12" ht="9" customHeight="1">
      <c r="A8680" s="162" t="s">
        <v>11763</v>
      </c>
      <c r="B8680" s="90"/>
      <c r="C8680" s="147"/>
      <c r="D8680" s="161"/>
      <c r="E8680" s="36"/>
      <c r="F8680" s="178"/>
      <c r="G8680" s="497"/>
      <c r="H8680" s="36"/>
      <c r="I8680" s="11"/>
    </row>
    <row r="8681" spans="1:12" ht="9" customHeight="1">
      <c r="A8681" s="162" t="s">
        <v>11764</v>
      </c>
      <c r="B8681" s="162"/>
      <c r="C8681" s="147"/>
      <c r="D8681" s="149"/>
      <c r="E8681" s="210"/>
      <c r="F8681" s="209"/>
      <c r="G8681" s="1243"/>
      <c r="H8681" s="216"/>
      <c r="I8681" s="11"/>
    </row>
    <row r="8682" spans="1:12" ht="9" customHeight="1">
      <c r="A8682" s="162" t="s">
        <v>11765</v>
      </c>
      <c r="B8682" s="162"/>
      <c r="C8682" s="147"/>
      <c r="D8682" s="149"/>
      <c r="E8682" s="210"/>
      <c r="F8682" s="209"/>
      <c r="G8682" s="1243"/>
      <c r="H8682" s="216"/>
      <c r="I8682" s="11"/>
    </row>
    <row r="8683" spans="1:12" ht="9" customHeight="1">
      <c r="A8683" s="162" t="s">
        <v>11766</v>
      </c>
      <c r="B8683" s="162"/>
      <c r="C8683" s="147"/>
      <c r="D8683" s="149"/>
      <c r="E8683" s="210"/>
      <c r="F8683" s="209"/>
      <c r="G8683" s="1243"/>
      <c r="H8683" s="216"/>
      <c r="I8683" s="11"/>
    </row>
    <row r="8684" spans="1:12" ht="9" customHeight="1">
      <c r="A8684" s="162" t="s">
        <v>11767</v>
      </c>
      <c r="B8684" s="162"/>
      <c r="C8684" s="147"/>
      <c r="D8684" s="149"/>
      <c r="E8684" s="210"/>
      <c r="F8684" s="209"/>
      <c r="G8684" s="1243"/>
      <c r="H8684" s="216"/>
      <c r="I8684" s="11"/>
    </row>
    <row r="8685" spans="1:12" ht="9" customHeight="1">
      <c r="A8685" s="162" t="s">
        <v>11768</v>
      </c>
      <c r="B8685" s="162"/>
      <c r="C8685" s="147"/>
      <c r="D8685" s="149"/>
      <c r="E8685" s="210"/>
      <c r="F8685" s="209"/>
      <c r="G8685" s="1243"/>
      <c r="H8685" s="216"/>
      <c r="I8685" s="11"/>
    </row>
    <row r="8686" spans="1:12" ht="9" customHeight="1">
      <c r="A8686" s="162" t="s">
        <v>11769</v>
      </c>
      <c r="B8686" s="29"/>
      <c r="C8686" s="147"/>
      <c r="D8686" s="129"/>
      <c r="E8686" s="90"/>
      <c r="F8686" s="59"/>
      <c r="G8686" s="1187"/>
      <c r="H8686" s="90"/>
      <c r="I8686" s="11"/>
    </row>
    <row r="8687" spans="1:12" ht="9" customHeight="1">
      <c r="A8687" s="162" t="s">
        <v>11770</v>
      </c>
      <c r="B8687" s="162"/>
      <c r="C8687" s="147"/>
      <c r="D8687" s="149"/>
      <c r="E8687" s="210"/>
      <c r="F8687" s="209"/>
      <c r="G8687" s="1243"/>
      <c r="H8687" s="216"/>
      <c r="I8687" s="11"/>
    </row>
    <row r="8688" spans="1:12" ht="9" customHeight="1">
      <c r="A8688" s="162" t="s">
        <v>11771</v>
      </c>
      <c r="B8688" s="29"/>
      <c r="C8688" s="147"/>
      <c r="D8688" s="129"/>
      <c r="E8688" s="90"/>
      <c r="F8688" s="59"/>
      <c r="G8688" s="1187"/>
      <c r="H8688" s="90"/>
      <c r="I8688" s="11"/>
    </row>
    <row r="8689" spans="1:12" ht="9" customHeight="1">
      <c r="A8689" s="162" t="s">
        <v>11772</v>
      </c>
      <c r="B8689" s="29"/>
      <c r="C8689" s="147"/>
      <c r="D8689" s="129"/>
      <c r="E8689" s="90"/>
      <c r="F8689" s="59"/>
      <c r="G8689" s="1187"/>
      <c r="H8689" s="90"/>
      <c r="I8689" s="11"/>
    </row>
    <row r="8690" spans="1:12" ht="9" customHeight="1">
      <c r="A8690" s="162" t="s">
        <v>11773</v>
      </c>
      <c r="B8690" s="29"/>
      <c r="C8690" s="147"/>
      <c r="D8690" s="129"/>
      <c r="E8690" s="90"/>
      <c r="F8690" s="59"/>
      <c r="G8690" s="1187"/>
      <c r="H8690" s="90"/>
      <c r="I8690" s="11"/>
    </row>
    <row r="8691" spans="1:12" ht="9" customHeight="1">
      <c r="A8691" s="162" t="s">
        <v>11774</v>
      </c>
      <c r="B8691" s="29"/>
      <c r="C8691" s="147"/>
      <c r="D8691" s="129"/>
      <c r="E8691" s="90"/>
      <c r="F8691" s="59"/>
      <c r="G8691" s="1187"/>
      <c r="H8691" s="90"/>
      <c r="I8691" s="11"/>
    </row>
    <row r="8692" spans="1:12" ht="9" customHeight="1">
      <c r="A8692" s="162" t="s">
        <v>11775</v>
      </c>
      <c r="B8692" s="29"/>
      <c r="C8692" s="147"/>
      <c r="D8692" s="129"/>
      <c r="E8692" s="90"/>
      <c r="F8692" s="59"/>
      <c r="G8692" s="1187"/>
      <c r="H8692" s="90"/>
      <c r="I8692" s="11"/>
    </row>
    <row r="8693" spans="1:12" ht="9" customHeight="1">
      <c r="A8693" s="162" t="s">
        <v>11776</v>
      </c>
      <c r="B8693" s="29"/>
      <c r="C8693" s="147"/>
      <c r="D8693" s="129"/>
      <c r="E8693" s="90"/>
      <c r="F8693" s="59"/>
      <c r="G8693" s="1187"/>
      <c r="H8693" s="90"/>
      <c r="I8693" s="11"/>
    </row>
    <row r="8694" spans="1:12" ht="11.15" customHeight="1">
      <c r="A8694" s="166" t="s">
        <v>11777</v>
      </c>
      <c r="B8694" s="29"/>
      <c r="C8694" s="147"/>
      <c r="D8694" s="129"/>
      <c r="E8694" s="90"/>
      <c r="F8694" s="59"/>
      <c r="G8694" s="1187"/>
      <c r="H8694" s="90"/>
      <c r="I8694" s="11"/>
    </row>
    <row r="8695" spans="1:12" ht="11.15" customHeight="1">
      <c r="A8695" s="169" t="s">
        <v>11778</v>
      </c>
      <c r="B8695" s="29"/>
      <c r="C8695" s="147"/>
      <c r="D8695" s="129"/>
      <c r="E8695" s="90"/>
      <c r="F8695" s="59"/>
      <c r="G8695" s="1187"/>
      <c r="H8695" s="90"/>
      <c r="I8695" s="11"/>
    </row>
    <row r="8696" spans="1:12" ht="9" customHeight="1">
      <c r="A8696" s="201" t="s">
        <v>1022</v>
      </c>
      <c r="B8696" s="150"/>
      <c r="C8696" s="147"/>
      <c r="D8696" s="129"/>
      <c r="E8696" s="90"/>
      <c r="F8696" s="59"/>
      <c r="G8696" s="1187"/>
      <c r="H8696" s="90"/>
      <c r="I8696" s="11"/>
    </row>
    <row r="8697" spans="1:12" ht="11.15" customHeight="1">
      <c r="A8697" s="129" t="s">
        <v>11779</v>
      </c>
      <c r="B8697" s="185"/>
      <c r="C8697" s="147"/>
      <c r="D8697" s="129"/>
      <c r="E8697" s="185"/>
      <c r="F8697" s="185"/>
      <c r="G8697" s="185"/>
      <c r="H8697" s="185"/>
      <c r="I8697" s="11"/>
    </row>
    <row r="8698" spans="1:12" ht="11.15" customHeight="1">
      <c r="A8698" s="58" t="s">
        <v>11780</v>
      </c>
      <c r="B8698" s="29"/>
      <c r="C8698" s="147"/>
      <c r="D8698" s="129"/>
      <c r="E8698" s="90"/>
      <c r="F8698" s="59"/>
      <c r="G8698" s="1187"/>
      <c r="H8698" s="90"/>
      <c r="I8698" s="11"/>
    </row>
    <row r="8699" spans="1:12" ht="11.15" customHeight="1">
      <c r="A8699" s="29"/>
      <c r="B8699" s="413" t="s">
        <v>11781</v>
      </c>
      <c r="C8699" s="147"/>
      <c r="D8699" s="129"/>
      <c r="E8699" s="90"/>
      <c r="F8699" s="59"/>
      <c r="G8699" s="1187"/>
      <c r="H8699" s="90"/>
      <c r="I8699" s="11"/>
    </row>
    <row r="8700" spans="1:12" ht="9" customHeight="1">
      <c r="A8700" s="201"/>
      <c r="B8700" s="150" t="s">
        <v>11782</v>
      </c>
      <c r="C8700" s="147"/>
      <c r="D8700" s="129"/>
      <c r="E8700" s="90"/>
      <c r="F8700" s="59"/>
      <c r="G8700" s="1187"/>
      <c r="H8700" s="90"/>
      <c r="I8700" s="11"/>
    </row>
    <row r="8701" spans="1:12" ht="9" customHeight="1" thickBot="1">
      <c r="A8701" s="145"/>
      <c r="B8701" s="215" t="s">
        <v>11783</v>
      </c>
      <c r="C8701" s="147"/>
      <c r="D8701" s="129"/>
      <c r="E8701" s="90"/>
      <c r="F8701" s="59"/>
      <c r="G8701" s="1187"/>
      <c r="H8701" s="90"/>
      <c r="I8701" s="11"/>
    </row>
    <row r="8702" spans="1:12" ht="11.15" customHeight="1" thickBot="1">
      <c r="A8702" s="184" t="s">
        <v>11784</v>
      </c>
      <c r="B8702" s="221" t="s">
        <v>11785</v>
      </c>
      <c r="C8702" s="147"/>
      <c r="D8702" s="129"/>
      <c r="E8702" s="90"/>
      <c r="F8702" s="59"/>
      <c r="G8702" s="1187"/>
      <c r="H8702" s="90"/>
      <c r="I8702" s="11"/>
    </row>
    <row r="8703" spans="1:12" ht="10" customHeight="1">
      <c r="A8703" s="29" t="s">
        <v>11786</v>
      </c>
      <c r="B8703" s="59" t="s">
        <v>21888</v>
      </c>
      <c r="C8703" s="147" t="s">
        <v>20221</v>
      </c>
      <c r="D8703" s="701" t="s">
        <v>1129</v>
      </c>
      <c r="E8703" s="178">
        <v>2021</v>
      </c>
      <c r="F8703" s="178" t="s">
        <v>4520</v>
      </c>
      <c r="G8703" s="496"/>
      <c r="H8703" s="994" t="s">
        <v>20221</v>
      </c>
      <c r="I8703" s="11" t="s">
        <v>11787</v>
      </c>
      <c r="J8703" s="1285"/>
      <c r="K8703" s="1285"/>
      <c r="L8703" s="1285"/>
    </row>
    <row r="8704" spans="1:12" ht="10" customHeight="1">
      <c r="A8704" s="29" t="s">
        <v>11788</v>
      </c>
      <c r="B8704" s="59" t="s">
        <v>21889</v>
      </c>
      <c r="C8704" s="147" t="s">
        <v>20221</v>
      </c>
      <c r="D8704" s="701" t="s">
        <v>1129</v>
      </c>
      <c r="E8704" s="178">
        <v>2021</v>
      </c>
      <c r="F8704" s="178" t="s">
        <v>4520</v>
      </c>
      <c r="G8704" s="496"/>
      <c r="H8704" s="994" t="s">
        <v>20221</v>
      </c>
      <c r="I8704" s="11" t="s">
        <v>11789</v>
      </c>
      <c r="J8704" s="1285"/>
      <c r="K8704" s="1285"/>
      <c r="L8704" s="1285"/>
    </row>
    <row r="8705" spans="1:12" ht="11.15" customHeight="1">
      <c r="A8705" s="29" t="s">
        <v>11790</v>
      </c>
      <c r="B8705" s="221" t="s">
        <v>10573</v>
      </c>
      <c r="C8705" s="147"/>
      <c r="D8705" s="129"/>
      <c r="E8705" s="90"/>
      <c r="F8705" s="59"/>
      <c r="G8705" s="1187"/>
      <c r="H8705" s="90"/>
      <c r="I8705" s="11"/>
    </row>
    <row r="8706" spans="1:12" ht="10" customHeight="1">
      <c r="A8706" s="29" t="s">
        <v>11791</v>
      </c>
      <c r="B8706" s="59" t="s">
        <v>21890</v>
      </c>
      <c r="C8706" s="147" t="s">
        <v>20221</v>
      </c>
      <c r="D8706" s="284" t="s">
        <v>897</v>
      </c>
      <c r="E8706" s="178">
        <v>2022</v>
      </c>
      <c r="F8706" s="178" t="s">
        <v>4520</v>
      </c>
      <c r="G8706" s="496"/>
      <c r="H8706" s="994" t="s">
        <v>20221</v>
      </c>
      <c r="I8706" s="11" t="s">
        <v>11792</v>
      </c>
      <c r="J8706" s="1285"/>
      <c r="K8706" s="1285"/>
      <c r="L8706" s="1285"/>
    </row>
    <row r="8707" spans="1:12" ht="10" customHeight="1">
      <c r="A8707" s="129" t="s">
        <v>951</v>
      </c>
      <c r="B8707" s="59" t="s">
        <v>21890</v>
      </c>
      <c r="C8707" s="147" t="s">
        <v>20221</v>
      </c>
      <c r="D8707" s="284" t="s">
        <v>897</v>
      </c>
      <c r="E8707" s="178">
        <v>2017</v>
      </c>
      <c r="F8707" s="178" t="s">
        <v>4520</v>
      </c>
      <c r="G8707" s="496"/>
      <c r="H8707" s="994" t="s">
        <v>20224</v>
      </c>
      <c r="I8707" s="11" t="s">
        <v>11793</v>
      </c>
      <c r="J8707" s="1285"/>
      <c r="K8707" s="1285"/>
      <c r="L8707" s="1285"/>
    </row>
    <row r="8708" spans="1:12" ht="10" customHeight="1">
      <c r="A8708" s="162" t="s">
        <v>11794</v>
      </c>
      <c r="B8708" s="59" t="s">
        <v>21890</v>
      </c>
      <c r="C8708" s="147" t="s">
        <v>20221</v>
      </c>
      <c r="D8708" s="284" t="s">
        <v>897</v>
      </c>
      <c r="E8708" s="178">
        <v>2016</v>
      </c>
      <c r="F8708" s="178" t="s">
        <v>4520</v>
      </c>
      <c r="G8708" s="496"/>
      <c r="H8708" s="994" t="s">
        <v>20221</v>
      </c>
      <c r="I8708" s="11" t="s">
        <v>11795</v>
      </c>
      <c r="J8708" s="1285"/>
      <c r="K8708" s="1285"/>
      <c r="L8708" s="1285"/>
    </row>
    <row r="8709" spans="1:12" ht="11.15" customHeight="1">
      <c r="A8709" s="162" t="s">
        <v>11796</v>
      </c>
      <c r="B8709" s="59" t="s">
        <v>21891</v>
      </c>
      <c r="C8709" s="147" t="s">
        <v>20221</v>
      </c>
      <c r="D8709" s="284" t="s">
        <v>897</v>
      </c>
      <c r="E8709" s="178">
        <v>2018</v>
      </c>
      <c r="F8709" s="178" t="s">
        <v>4520</v>
      </c>
      <c r="G8709" s="496"/>
      <c r="H8709" s="994" t="s">
        <v>20221</v>
      </c>
      <c r="I8709" s="11" t="s">
        <v>11797</v>
      </c>
      <c r="J8709" s="1285"/>
      <c r="K8709" s="1285"/>
      <c r="L8709" s="1285"/>
    </row>
    <row r="8710" spans="1:12" ht="11.15" customHeight="1">
      <c r="A8710" s="162" t="s">
        <v>11798</v>
      </c>
      <c r="B8710" s="177" t="s">
        <v>10578</v>
      </c>
      <c r="C8710" s="147"/>
      <c r="D8710" s="161"/>
      <c r="E8710" s="36"/>
      <c r="F8710" s="178"/>
      <c r="G8710" s="497"/>
      <c r="H8710" s="36"/>
      <c r="I8710" s="11"/>
    </row>
    <row r="8711" spans="1:12" ht="11.15" customHeight="1">
      <c r="A8711" s="162" t="s">
        <v>11799</v>
      </c>
      <c r="B8711" s="59" t="s">
        <v>21892</v>
      </c>
      <c r="C8711" s="147" t="s">
        <v>20221</v>
      </c>
      <c r="D8711" s="284" t="s">
        <v>897</v>
      </c>
      <c r="E8711" s="178">
        <v>2016</v>
      </c>
      <c r="F8711" s="178" t="s">
        <v>4520</v>
      </c>
      <c r="G8711" s="496"/>
      <c r="H8711" s="994" t="s">
        <v>20221</v>
      </c>
      <c r="I8711" s="11" t="s">
        <v>11800</v>
      </c>
      <c r="J8711" s="1285"/>
      <c r="K8711" s="1285"/>
      <c r="L8711" s="1285"/>
    </row>
    <row r="8712" spans="1:12" ht="11.15" customHeight="1">
      <c r="A8712" s="162" t="s">
        <v>11801</v>
      </c>
      <c r="B8712" s="59" t="s">
        <v>21892</v>
      </c>
      <c r="C8712" s="147" t="s">
        <v>20221</v>
      </c>
      <c r="D8712" s="284" t="s">
        <v>897</v>
      </c>
      <c r="E8712" s="178">
        <v>2013</v>
      </c>
      <c r="F8712" s="178" t="s">
        <v>4520</v>
      </c>
      <c r="G8712" s="496"/>
      <c r="H8712" s="994" t="s">
        <v>20221</v>
      </c>
      <c r="I8712" s="11" t="s">
        <v>11802</v>
      </c>
      <c r="J8712" s="1285"/>
      <c r="K8712" s="1285"/>
      <c r="L8712" s="1285"/>
    </row>
    <row r="8713" spans="1:12" ht="11.15" customHeight="1">
      <c r="A8713" s="162" t="s">
        <v>11803</v>
      </c>
      <c r="B8713" s="59" t="s">
        <v>21893</v>
      </c>
      <c r="C8713" s="147" t="s">
        <v>20221</v>
      </c>
      <c r="D8713" s="284" t="s">
        <v>897</v>
      </c>
      <c r="E8713" s="178">
        <v>2016</v>
      </c>
      <c r="F8713" s="178" t="s">
        <v>4520</v>
      </c>
      <c r="G8713" s="496"/>
      <c r="H8713" s="994" t="s">
        <v>20221</v>
      </c>
      <c r="I8713" s="11" t="s">
        <v>11804</v>
      </c>
      <c r="J8713" s="1285"/>
      <c r="K8713" s="1285"/>
      <c r="L8713" s="1285"/>
    </row>
    <row r="8714" spans="1:12" ht="11.15" customHeight="1">
      <c r="A8714" s="212" t="s">
        <v>11805</v>
      </c>
      <c r="B8714" s="59" t="s">
        <v>21893</v>
      </c>
      <c r="C8714" s="147" t="s">
        <v>20221</v>
      </c>
      <c r="D8714" s="284" t="s">
        <v>897</v>
      </c>
      <c r="E8714" s="178">
        <v>2015</v>
      </c>
      <c r="F8714" s="178" t="s">
        <v>23394</v>
      </c>
      <c r="G8714" s="496"/>
      <c r="H8714" s="994" t="s">
        <v>20221</v>
      </c>
      <c r="I8714" s="11" t="s">
        <v>11806</v>
      </c>
      <c r="J8714" s="1285"/>
      <c r="K8714" s="1285"/>
      <c r="L8714" s="1285"/>
    </row>
    <row r="8715" spans="1:12" ht="11.15" customHeight="1">
      <c r="A8715" s="129" t="s">
        <v>11807</v>
      </c>
      <c r="B8715" s="59" t="s">
        <v>21893</v>
      </c>
      <c r="C8715" s="147" t="s">
        <v>20221</v>
      </c>
      <c r="D8715" s="284" t="s">
        <v>897</v>
      </c>
      <c r="E8715" s="178">
        <v>2013</v>
      </c>
      <c r="F8715" s="178" t="s">
        <v>23394</v>
      </c>
      <c r="G8715" s="496"/>
      <c r="H8715" s="994" t="s">
        <v>20221</v>
      </c>
      <c r="I8715" s="11" t="s">
        <v>11808</v>
      </c>
      <c r="J8715" s="1285"/>
      <c r="K8715" s="1285"/>
      <c r="L8715" s="1285"/>
    </row>
    <row r="8716" spans="1:12" ht="11.15" customHeight="1">
      <c r="A8716" s="29"/>
      <c r="B8716" s="177" t="s">
        <v>4329</v>
      </c>
      <c r="C8716" s="147"/>
      <c r="D8716" s="161"/>
      <c r="E8716" s="36"/>
      <c r="F8716" s="178"/>
      <c r="G8716" s="497"/>
      <c r="H8716" s="36"/>
      <c r="I8716" s="11"/>
    </row>
    <row r="8717" spans="1:12" ht="11.15" customHeight="1">
      <c r="A8717" s="185"/>
      <c r="B8717" s="59" t="s">
        <v>21894</v>
      </c>
      <c r="C8717" s="147" t="s">
        <v>20221</v>
      </c>
      <c r="D8717" s="284" t="s">
        <v>897</v>
      </c>
      <c r="E8717" s="178">
        <v>2016</v>
      </c>
      <c r="F8717" s="178" t="s">
        <v>11931</v>
      </c>
      <c r="G8717" s="496"/>
      <c r="H8717" s="994" t="s">
        <v>20224</v>
      </c>
      <c r="I8717" s="11" t="s">
        <v>11809</v>
      </c>
      <c r="J8717" s="1285"/>
      <c r="K8717" s="1285"/>
      <c r="L8717" s="1285"/>
    </row>
    <row r="8718" spans="1:12" ht="11.15" customHeight="1" thickBot="1">
      <c r="A8718" s="185"/>
      <c r="B8718" s="59" t="s">
        <v>21895</v>
      </c>
      <c r="C8718" s="147" t="s">
        <v>20221</v>
      </c>
      <c r="D8718" s="284" t="s">
        <v>897</v>
      </c>
      <c r="E8718" s="178">
        <v>2006</v>
      </c>
      <c r="F8718" s="178" t="s">
        <v>5257</v>
      </c>
      <c r="G8718" s="496"/>
      <c r="H8718" s="994" t="s">
        <v>20221</v>
      </c>
      <c r="I8718" s="11" t="s">
        <v>11810</v>
      </c>
      <c r="J8718" s="1285"/>
      <c r="K8718" s="1285"/>
      <c r="L8718" s="1285"/>
    </row>
    <row r="8719" spans="1:12" ht="11.15" customHeight="1">
      <c r="A8719" s="185"/>
      <c r="B8719" s="626" t="s">
        <v>11811</v>
      </c>
      <c r="C8719" s="191"/>
      <c r="D8719" s="307"/>
      <c r="E8719" s="31"/>
      <c r="F8719" s="564"/>
      <c r="G8719" s="496"/>
      <c r="H8719" s="36"/>
      <c r="I8719" s="11"/>
    </row>
    <row r="8720" spans="1:12" ht="9" customHeight="1">
      <c r="A8720" s="185"/>
      <c r="B8720" s="627" t="s">
        <v>11812</v>
      </c>
      <c r="C8720" s="147"/>
      <c r="D8720" s="161"/>
      <c r="E8720" s="36"/>
      <c r="F8720" s="566"/>
      <c r="G8720" s="496"/>
      <c r="H8720" s="36"/>
      <c r="I8720" s="11"/>
    </row>
    <row r="8721" spans="1:12" ht="9" customHeight="1">
      <c r="A8721" s="185"/>
      <c r="B8721" s="627" t="s">
        <v>11813</v>
      </c>
      <c r="C8721" s="147"/>
      <c r="D8721" s="161"/>
      <c r="E8721" s="36"/>
      <c r="F8721" s="566"/>
      <c r="G8721" s="496"/>
      <c r="H8721" s="36"/>
      <c r="I8721" s="11"/>
    </row>
    <row r="8722" spans="1:12" ht="9" customHeight="1">
      <c r="A8722" s="185"/>
      <c r="B8722" s="627" t="s">
        <v>11814</v>
      </c>
      <c r="C8722" s="147"/>
      <c r="D8722" s="161"/>
      <c r="E8722" s="36"/>
      <c r="F8722" s="566"/>
      <c r="G8722" s="496"/>
      <c r="H8722" s="36"/>
      <c r="I8722" s="11"/>
    </row>
    <row r="8723" spans="1:12" ht="9" customHeight="1">
      <c r="A8723" s="185"/>
      <c r="B8723" s="627" t="s">
        <v>11815</v>
      </c>
      <c r="C8723" s="147"/>
      <c r="D8723" s="161"/>
      <c r="E8723" s="36"/>
      <c r="F8723" s="566"/>
      <c r="G8723" s="496"/>
      <c r="H8723" s="36"/>
      <c r="I8723" s="11"/>
    </row>
    <row r="8724" spans="1:12" ht="9" customHeight="1">
      <c r="A8724" s="29"/>
      <c r="B8724" s="627" t="s">
        <v>11816</v>
      </c>
      <c r="C8724" s="147"/>
      <c r="D8724" s="161"/>
      <c r="E8724" s="36"/>
      <c r="F8724" s="566"/>
      <c r="G8724" s="496"/>
      <c r="H8724" s="36"/>
      <c r="I8724" s="11"/>
    </row>
    <row r="8725" spans="1:12" ht="9" customHeight="1" thickBot="1">
      <c r="A8725" s="29"/>
      <c r="B8725" s="629" t="s">
        <v>11817</v>
      </c>
      <c r="C8725" s="203"/>
      <c r="D8725" s="204"/>
      <c r="E8725" s="374"/>
      <c r="F8725" s="569"/>
      <c r="G8725" s="496"/>
      <c r="H8725" s="36"/>
      <c r="I8725" s="11"/>
    </row>
    <row r="8726" spans="1:12" ht="9" customHeight="1">
      <c r="A8726" s="29"/>
      <c r="B8726" s="185"/>
      <c r="C8726" s="147"/>
      <c r="D8726" s="185"/>
      <c r="E8726" s="185"/>
      <c r="F8726" s="185"/>
      <c r="G8726" s="185"/>
      <c r="H8726" s="185"/>
      <c r="I8726" s="11"/>
    </row>
    <row r="8727" spans="1:12" ht="11.15" customHeight="1" thickBot="1">
      <c r="A8727" s="137"/>
      <c r="B8727" s="150" t="s">
        <v>11818</v>
      </c>
      <c r="C8727" s="147"/>
      <c r="D8727" s="129"/>
      <c r="E8727" s="137"/>
      <c r="F8727" s="137"/>
      <c r="G8727" s="137"/>
      <c r="H8727" s="137"/>
      <c r="I8727" s="11"/>
    </row>
    <row r="8728" spans="1:12" ht="11.15" customHeight="1" thickBot="1">
      <c r="A8728" s="184" t="s">
        <v>11819</v>
      </c>
      <c r="B8728" s="154" t="s">
        <v>11820</v>
      </c>
      <c r="C8728" s="147"/>
      <c r="D8728" s="122"/>
      <c r="E8728" s="36"/>
      <c r="F8728" s="178"/>
      <c r="G8728" s="496"/>
      <c r="H8728" s="36"/>
      <c r="I8728" s="11"/>
    </row>
    <row r="8729" spans="1:12" ht="11.15" customHeight="1">
      <c r="A8729" s="29" t="s">
        <v>11821</v>
      </c>
      <c r="B8729" s="59" t="s">
        <v>21896</v>
      </c>
      <c r="C8729" s="147" t="s">
        <v>20221</v>
      </c>
      <c r="D8729" s="739" t="s">
        <v>11144</v>
      </c>
      <c r="E8729" s="178">
        <v>2023</v>
      </c>
      <c r="F8729" s="178" t="s">
        <v>7168</v>
      </c>
      <c r="G8729" s="496"/>
      <c r="H8729" s="994" t="s">
        <v>20221</v>
      </c>
      <c r="I8729" s="11" t="s">
        <v>11822</v>
      </c>
      <c r="J8729" s="1285"/>
      <c r="K8729" s="1285"/>
      <c r="L8729" s="1285"/>
    </row>
    <row r="8730" spans="1:12" ht="11.15" customHeight="1">
      <c r="A8730" s="29" t="s">
        <v>11823</v>
      </c>
      <c r="B8730" s="59" t="s">
        <v>21897</v>
      </c>
      <c r="C8730" s="147" t="s">
        <v>20221</v>
      </c>
      <c r="D8730" s="739" t="s">
        <v>11144</v>
      </c>
      <c r="E8730" s="178">
        <v>2023</v>
      </c>
      <c r="F8730" s="178" t="s">
        <v>4520</v>
      </c>
      <c r="G8730" s="496"/>
      <c r="H8730" s="994" t="s">
        <v>20221</v>
      </c>
      <c r="I8730" s="11" t="s">
        <v>11824</v>
      </c>
      <c r="J8730" s="1285"/>
      <c r="K8730" s="1285"/>
      <c r="L8730" s="1285"/>
    </row>
    <row r="8731" spans="1:12" ht="11.15" customHeight="1">
      <c r="A8731" s="218" t="s">
        <v>11825</v>
      </c>
      <c r="B8731" s="59" t="s">
        <v>21897</v>
      </c>
      <c r="C8731" s="147" t="s">
        <v>20221</v>
      </c>
      <c r="D8731" s="739" t="s">
        <v>11144</v>
      </c>
      <c r="E8731" s="178">
        <v>2022</v>
      </c>
      <c r="F8731" s="178" t="s">
        <v>4520</v>
      </c>
      <c r="G8731" s="496"/>
      <c r="H8731" s="994" t="s">
        <v>20277</v>
      </c>
      <c r="I8731" s="11" t="s">
        <v>11826</v>
      </c>
      <c r="J8731" s="1285"/>
      <c r="K8731" s="1285"/>
      <c r="L8731" s="1285"/>
    </row>
    <row r="8732" spans="1:12" ht="11.15" customHeight="1">
      <c r="A8732" s="218" t="s">
        <v>2536</v>
      </c>
      <c r="B8732" s="59" t="s">
        <v>21898</v>
      </c>
      <c r="C8732" s="147" t="s">
        <v>20221</v>
      </c>
      <c r="D8732" s="701" t="s">
        <v>1129</v>
      </c>
      <c r="E8732" s="178">
        <v>2017</v>
      </c>
      <c r="F8732" s="178" t="s">
        <v>4520</v>
      </c>
      <c r="G8732" s="496"/>
      <c r="H8732" s="994" t="s">
        <v>20221</v>
      </c>
      <c r="I8732" s="11" t="s">
        <v>11827</v>
      </c>
      <c r="J8732" s="1285"/>
      <c r="K8732" s="1285"/>
      <c r="L8732" s="1285"/>
    </row>
    <row r="8733" spans="1:12" ht="11.15" customHeight="1">
      <c r="A8733" s="29" t="s">
        <v>11828</v>
      </c>
      <c r="B8733" s="59" t="s">
        <v>21898</v>
      </c>
      <c r="C8733" s="147" t="s">
        <v>20221</v>
      </c>
      <c r="D8733" s="701" t="s">
        <v>1129</v>
      </c>
      <c r="E8733" s="178">
        <v>2016</v>
      </c>
      <c r="F8733" s="178" t="s">
        <v>4520</v>
      </c>
      <c r="G8733" s="496"/>
      <c r="H8733" s="994" t="s">
        <v>20221</v>
      </c>
      <c r="I8733" s="11" t="s">
        <v>11829</v>
      </c>
      <c r="J8733" s="1285"/>
      <c r="K8733" s="1285"/>
      <c r="L8733" s="1285"/>
    </row>
    <row r="8734" spans="1:12" ht="11.15" customHeight="1">
      <c r="A8734" s="29" t="s">
        <v>11830</v>
      </c>
      <c r="B8734" s="154" t="s">
        <v>11831</v>
      </c>
      <c r="C8734" s="147"/>
      <c r="D8734" s="122"/>
      <c r="E8734" s="36"/>
      <c r="F8734" s="178"/>
      <c r="G8734" s="496"/>
      <c r="H8734" s="36"/>
      <c r="I8734" s="11"/>
    </row>
    <row r="8735" spans="1:12" ht="11.15" customHeight="1">
      <c r="A8735" s="129" t="s">
        <v>1077</v>
      </c>
      <c r="B8735" s="59" t="s">
        <v>21716</v>
      </c>
      <c r="C8735" s="147" t="s">
        <v>20221</v>
      </c>
      <c r="D8735" s="284" t="s">
        <v>897</v>
      </c>
      <c r="E8735" s="178">
        <v>2016</v>
      </c>
      <c r="F8735" s="178" t="s">
        <v>4520</v>
      </c>
      <c r="G8735" s="496"/>
      <c r="H8735" s="994" t="s">
        <v>20221</v>
      </c>
      <c r="I8735" s="11" t="s">
        <v>11832</v>
      </c>
      <c r="J8735" s="1285"/>
      <c r="K8735" s="1285"/>
      <c r="L8735" s="1285"/>
    </row>
    <row r="8736" spans="1:12" ht="11.15" customHeight="1">
      <c r="A8736" s="162" t="s">
        <v>11833</v>
      </c>
      <c r="B8736" s="59" t="s">
        <v>21716</v>
      </c>
      <c r="C8736" s="147" t="s">
        <v>20221</v>
      </c>
      <c r="D8736" s="284" t="s">
        <v>897</v>
      </c>
      <c r="E8736" s="178">
        <v>2015</v>
      </c>
      <c r="F8736" s="178" t="s">
        <v>4520</v>
      </c>
      <c r="G8736" s="496"/>
      <c r="H8736" s="994" t="s">
        <v>20221</v>
      </c>
      <c r="I8736" s="11" t="s">
        <v>11834</v>
      </c>
      <c r="J8736" s="1285"/>
      <c r="K8736" s="1285"/>
      <c r="L8736" s="1285"/>
    </row>
    <row r="8737" spans="1:12" ht="11.15" customHeight="1">
      <c r="A8737" s="162" t="s">
        <v>11835</v>
      </c>
      <c r="B8737" s="59" t="s">
        <v>21716</v>
      </c>
      <c r="C8737" s="147" t="s">
        <v>20221</v>
      </c>
      <c r="D8737" s="284" t="s">
        <v>897</v>
      </c>
      <c r="E8737" s="178">
        <v>2014</v>
      </c>
      <c r="F8737" s="178" t="s">
        <v>4520</v>
      </c>
      <c r="G8737" s="496"/>
      <c r="H8737" s="994" t="s">
        <v>20221</v>
      </c>
      <c r="I8737" s="11" t="s">
        <v>11836</v>
      </c>
      <c r="J8737" s="1285"/>
      <c r="K8737" s="1285"/>
      <c r="L8737" s="1285"/>
    </row>
    <row r="8738" spans="1:12" ht="11.15" customHeight="1">
      <c r="A8738" s="162" t="s">
        <v>11837</v>
      </c>
      <c r="B8738" s="59" t="s">
        <v>21717</v>
      </c>
      <c r="C8738" s="147" t="s">
        <v>20221</v>
      </c>
      <c r="D8738" s="284" t="s">
        <v>897</v>
      </c>
      <c r="E8738" s="178">
        <v>2021</v>
      </c>
      <c r="F8738" s="178" t="s">
        <v>4520</v>
      </c>
      <c r="G8738" s="496"/>
      <c r="H8738" s="994" t="s">
        <v>20221</v>
      </c>
      <c r="I8738" s="11" t="s">
        <v>11838</v>
      </c>
      <c r="J8738" s="1285"/>
      <c r="K8738" s="1285"/>
      <c r="L8738" s="1285"/>
    </row>
    <row r="8739" spans="1:12" ht="11.15" customHeight="1">
      <c r="A8739" s="212" t="s">
        <v>11839</v>
      </c>
      <c r="B8739" s="59" t="s">
        <v>21717</v>
      </c>
      <c r="C8739" s="147" t="s">
        <v>20221</v>
      </c>
      <c r="D8739" s="284" t="s">
        <v>897</v>
      </c>
      <c r="E8739" s="178">
        <v>2016</v>
      </c>
      <c r="F8739" s="178" t="s">
        <v>4520</v>
      </c>
      <c r="G8739" s="496"/>
      <c r="H8739" s="994" t="s">
        <v>20221</v>
      </c>
      <c r="I8739" s="11" t="s">
        <v>11840</v>
      </c>
      <c r="J8739" s="1285"/>
      <c r="K8739" s="1285"/>
      <c r="L8739" s="1285"/>
    </row>
    <row r="8740" spans="1:12" ht="11.15" customHeight="1">
      <c r="A8740" s="166" t="s">
        <v>11041</v>
      </c>
      <c r="B8740" s="59" t="s">
        <v>21717</v>
      </c>
      <c r="C8740" s="147" t="s">
        <v>20221</v>
      </c>
      <c r="D8740" s="284" t="s">
        <v>897</v>
      </c>
      <c r="E8740" s="178">
        <v>2015</v>
      </c>
      <c r="F8740" s="178" t="s">
        <v>4520</v>
      </c>
      <c r="G8740" s="496"/>
      <c r="H8740" s="994" t="s">
        <v>20221</v>
      </c>
      <c r="I8740" s="11" t="s">
        <v>11841</v>
      </c>
      <c r="J8740" s="1285"/>
      <c r="K8740" s="1285"/>
      <c r="L8740" s="1285"/>
    </row>
    <row r="8741" spans="1:12" ht="11.15" customHeight="1">
      <c r="A8741" s="129" t="s">
        <v>11842</v>
      </c>
      <c r="B8741" s="154" t="s">
        <v>10578</v>
      </c>
      <c r="C8741" s="147"/>
      <c r="D8741" s="161"/>
      <c r="E8741" s="36"/>
      <c r="F8741" s="178"/>
      <c r="G8741" s="185"/>
      <c r="H8741" s="36"/>
      <c r="I8741" s="11"/>
    </row>
    <row r="8742" spans="1:12" ht="11.15" customHeight="1">
      <c r="A8742" s="29"/>
      <c r="B8742" s="59" t="s">
        <v>21899</v>
      </c>
      <c r="C8742" s="147" t="s">
        <v>20221</v>
      </c>
      <c r="D8742" s="284" t="s">
        <v>897</v>
      </c>
      <c r="E8742" s="178">
        <v>2020</v>
      </c>
      <c r="F8742" s="178" t="s">
        <v>4520</v>
      </c>
      <c r="G8742" s="496"/>
      <c r="H8742" s="994" t="s">
        <v>20221</v>
      </c>
      <c r="I8742" s="11" t="s">
        <v>11843</v>
      </c>
      <c r="J8742" s="1285"/>
      <c r="K8742" s="1285"/>
      <c r="L8742" s="1285"/>
    </row>
    <row r="8743" spans="1:12" ht="11.15" customHeight="1">
      <c r="A8743" s="185"/>
      <c r="B8743" s="59" t="s">
        <v>21900</v>
      </c>
      <c r="C8743" s="147" t="s">
        <v>20221</v>
      </c>
      <c r="D8743" s="284" t="s">
        <v>897</v>
      </c>
      <c r="E8743" s="178">
        <v>2019</v>
      </c>
      <c r="F8743" s="178" t="s">
        <v>4520</v>
      </c>
      <c r="G8743" s="496"/>
      <c r="H8743" s="994" t="s">
        <v>20221</v>
      </c>
      <c r="I8743" s="11" t="s">
        <v>11844</v>
      </c>
      <c r="J8743" s="1285"/>
      <c r="K8743" s="1285"/>
      <c r="L8743" s="1285"/>
    </row>
    <row r="8744" spans="1:12" ht="11.15" customHeight="1">
      <c r="A8744" s="185"/>
      <c r="B8744" s="59" t="s">
        <v>21899</v>
      </c>
      <c r="C8744" s="147" t="s">
        <v>20221</v>
      </c>
      <c r="D8744" s="284" t="s">
        <v>897</v>
      </c>
      <c r="E8744" s="178">
        <v>2016</v>
      </c>
      <c r="F8744" s="178" t="s">
        <v>4520</v>
      </c>
      <c r="G8744" s="496"/>
      <c r="H8744" s="994" t="s">
        <v>20221</v>
      </c>
      <c r="I8744" s="11" t="s">
        <v>11845</v>
      </c>
      <c r="J8744" s="1285"/>
      <c r="K8744" s="1285"/>
      <c r="L8744" s="1285"/>
    </row>
    <row r="8745" spans="1:12" ht="11.15" customHeight="1">
      <c r="A8745" s="212"/>
      <c r="B8745" s="59" t="s">
        <v>370</v>
      </c>
      <c r="C8745" s="147" t="s">
        <v>20221</v>
      </c>
      <c r="D8745" s="284" t="s">
        <v>897</v>
      </c>
      <c r="E8745" s="178">
        <v>2015</v>
      </c>
      <c r="F8745" s="178" t="s">
        <v>4520</v>
      </c>
      <c r="G8745" s="496"/>
      <c r="H8745" s="994" t="s">
        <v>20221</v>
      </c>
      <c r="I8745" s="11" t="s">
        <v>11846</v>
      </c>
      <c r="J8745" s="1285"/>
      <c r="K8745" s="1285"/>
      <c r="L8745" s="1285"/>
    </row>
    <row r="8746" spans="1:12" ht="11.15" customHeight="1">
      <c r="A8746" s="185"/>
      <c r="B8746" s="154" t="s">
        <v>10603</v>
      </c>
      <c r="C8746" s="147"/>
      <c r="D8746" s="161"/>
      <c r="E8746" s="36"/>
      <c r="F8746" s="178"/>
      <c r="G8746" s="185"/>
      <c r="H8746" s="36"/>
      <c r="I8746" s="11"/>
    </row>
    <row r="8747" spans="1:12" ht="9.75" customHeight="1">
      <c r="A8747" s="185"/>
      <c r="B8747" s="59" t="s">
        <v>351</v>
      </c>
      <c r="C8747" s="147" t="s">
        <v>20221</v>
      </c>
      <c r="D8747" s="284" t="s">
        <v>897</v>
      </c>
      <c r="E8747" s="178">
        <v>2016</v>
      </c>
      <c r="F8747" s="178" t="s">
        <v>4520</v>
      </c>
      <c r="G8747" s="496"/>
      <c r="H8747" s="994" t="s">
        <v>20221</v>
      </c>
      <c r="I8747" s="11" t="s">
        <v>11847</v>
      </c>
      <c r="J8747" s="1285"/>
      <c r="K8747" s="1285"/>
      <c r="L8747" s="1285"/>
    </row>
    <row r="8748" spans="1:12" ht="9.75" customHeight="1">
      <c r="A8748" s="29"/>
      <c r="B8748" s="59" t="s">
        <v>351</v>
      </c>
      <c r="C8748" s="147" t="s">
        <v>20221</v>
      </c>
      <c r="D8748" s="284" t="s">
        <v>897</v>
      </c>
      <c r="E8748" s="178">
        <v>2013</v>
      </c>
      <c r="F8748" s="178" t="s">
        <v>4520</v>
      </c>
      <c r="G8748" s="496"/>
      <c r="H8748" s="994" t="s">
        <v>20221</v>
      </c>
      <c r="I8748" s="11" t="s">
        <v>11848</v>
      </c>
      <c r="J8748" s="1285"/>
      <c r="K8748" s="1285"/>
      <c r="L8748" s="1285"/>
    </row>
    <row r="8749" spans="1:12" ht="11.15" customHeight="1">
      <c r="A8749" s="185"/>
      <c r="B8749" s="59" t="s">
        <v>351</v>
      </c>
      <c r="C8749" s="147" t="s">
        <v>20221</v>
      </c>
      <c r="D8749" s="284" t="s">
        <v>897</v>
      </c>
      <c r="E8749" s="178">
        <v>2012</v>
      </c>
      <c r="F8749" s="178" t="s">
        <v>4520</v>
      </c>
      <c r="G8749" s="496"/>
      <c r="H8749" s="994" t="s">
        <v>20221</v>
      </c>
      <c r="I8749" s="11" t="s">
        <v>11849</v>
      </c>
      <c r="J8749" s="1285"/>
      <c r="K8749" s="1285"/>
      <c r="L8749" s="1285"/>
    </row>
    <row r="8750" spans="1:12" ht="11.15" customHeight="1">
      <c r="A8750" s="185"/>
      <c r="B8750" s="59" t="s">
        <v>21760</v>
      </c>
      <c r="C8750" s="147" t="s">
        <v>20221</v>
      </c>
      <c r="D8750" s="284" t="s">
        <v>897</v>
      </c>
      <c r="E8750" s="178">
        <v>2015</v>
      </c>
      <c r="F8750" s="178" t="s">
        <v>5257</v>
      </c>
      <c r="G8750" s="496"/>
      <c r="H8750" s="994" t="s">
        <v>20221</v>
      </c>
      <c r="I8750" s="11" t="s">
        <v>11850</v>
      </c>
      <c r="J8750" s="1285"/>
      <c r="K8750" s="1285"/>
      <c r="L8750" s="1285"/>
    </row>
    <row r="8751" spans="1:12" ht="11.15" customHeight="1">
      <c r="A8751" s="29"/>
      <c r="B8751" s="90"/>
      <c r="C8751" s="147"/>
      <c r="D8751" s="161"/>
      <c r="E8751" s="36"/>
      <c r="F8751" s="183"/>
      <c r="G8751" s="453"/>
      <c r="H8751" s="34"/>
      <c r="I8751" s="11"/>
    </row>
    <row r="8752" spans="1:12" ht="11.15" customHeight="1">
      <c r="A8752" s="185"/>
      <c r="B8752" s="413" t="s">
        <v>11851</v>
      </c>
      <c r="C8752" s="147"/>
      <c r="D8752" s="161"/>
      <c r="E8752" s="36"/>
      <c r="F8752" s="183"/>
      <c r="G8752" s="453"/>
      <c r="H8752" s="34"/>
      <c r="I8752" s="11"/>
    </row>
    <row r="8753" spans="1:12" ht="9" customHeight="1">
      <c r="A8753" s="185"/>
      <c r="B8753" s="150" t="s">
        <v>11852</v>
      </c>
      <c r="C8753" s="147"/>
      <c r="D8753" s="122"/>
      <c r="E8753" s="36"/>
      <c r="F8753" s="178"/>
      <c r="G8753" s="60"/>
      <c r="H8753" s="36"/>
      <c r="I8753" s="11"/>
    </row>
    <row r="8754" spans="1:12" ht="9" customHeight="1">
      <c r="A8754" s="185"/>
      <c r="B8754" s="150" t="s">
        <v>11853</v>
      </c>
      <c r="C8754" s="147"/>
      <c r="D8754" s="122"/>
      <c r="E8754" s="36"/>
      <c r="F8754" s="178"/>
      <c r="G8754" s="60"/>
      <c r="H8754" s="36"/>
      <c r="I8754" s="11"/>
    </row>
    <row r="8755" spans="1:12" ht="9" customHeight="1">
      <c r="A8755" s="185"/>
      <c r="B8755" s="150" t="s">
        <v>11854</v>
      </c>
      <c r="C8755" s="147"/>
      <c r="D8755" s="122"/>
      <c r="E8755" s="36"/>
      <c r="F8755" s="178"/>
      <c r="G8755" s="60"/>
      <c r="H8755" s="36"/>
      <c r="I8755" s="11"/>
    </row>
    <row r="8756" spans="1:12" ht="9" customHeight="1" thickBot="1">
      <c r="A8756" s="185"/>
      <c r="B8756" s="150" t="s">
        <v>11855</v>
      </c>
      <c r="C8756" s="147"/>
      <c r="D8756" s="122"/>
      <c r="E8756" s="36"/>
      <c r="F8756" s="178"/>
      <c r="G8756" s="60"/>
      <c r="H8756" s="36"/>
      <c r="I8756" s="11"/>
    </row>
    <row r="8757" spans="1:12" ht="11.15" customHeight="1" thickBot="1">
      <c r="A8757" s="184" t="s">
        <v>11856</v>
      </c>
      <c r="B8757" s="59" t="s">
        <v>21901</v>
      </c>
      <c r="C8757" s="147" t="s">
        <v>20221</v>
      </c>
      <c r="D8757" s="284" t="s">
        <v>897</v>
      </c>
      <c r="E8757" s="178">
        <v>2020</v>
      </c>
      <c r="F8757" s="178" t="s">
        <v>4520</v>
      </c>
      <c r="G8757" s="496"/>
      <c r="H8757" s="994" t="s">
        <v>20221</v>
      </c>
      <c r="I8757" s="11" t="s">
        <v>11857</v>
      </c>
      <c r="J8757" s="1285"/>
      <c r="K8757" s="1285"/>
      <c r="L8757" s="1285"/>
    </row>
    <row r="8758" spans="1:12" ht="10" customHeight="1">
      <c r="A8758" s="29" t="s">
        <v>11858</v>
      </c>
      <c r="B8758" s="59" t="s">
        <v>21901</v>
      </c>
      <c r="C8758" s="147" t="s">
        <v>20221</v>
      </c>
      <c r="D8758" s="284" t="s">
        <v>897</v>
      </c>
      <c r="E8758" s="178">
        <v>2019</v>
      </c>
      <c r="F8758" s="178" t="s">
        <v>4520</v>
      </c>
      <c r="G8758" s="496"/>
      <c r="H8758" s="994" t="s">
        <v>20224</v>
      </c>
      <c r="I8758" s="11" t="s">
        <v>11859</v>
      </c>
      <c r="J8758" s="1285"/>
      <c r="K8758" s="1285"/>
      <c r="L8758" s="1285"/>
    </row>
    <row r="8759" spans="1:12" ht="11.15" customHeight="1">
      <c r="A8759" s="29" t="s">
        <v>11860</v>
      </c>
      <c r="B8759" s="185"/>
      <c r="C8759" s="147"/>
      <c r="D8759" s="185"/>
      <c r="E8759" s="185"/>
      <c r="F8759" s="185"/>
      <c r="G8759" s="185"/>
      <c r="H8759" s="185"/>
      <c r="I8759" s="11"/>
    </row>
    <row r="8760" spans="1:12" ht="11.15" customHeight="1">
      <c r="A8760" s="218" t="s">
        <v>1595</v>
      </c>
      <c r="B8760" s="379"/>
      <c r="C8760" s="147"/>
      <c r="D8760" s="122"/>
      <c r="E8760" s="36"/>
      <c r="F8760" s="183"/>
      <c r="G8760" s="60"/>
      <c r="H8760" s="34"/>
      <c r="I8760" s="11"/>
    </row>
    <row r="8761" spans="1:12" ht="11.15" customHeight="1">
      <c r="A8761" s="29" t="s">
        <v>11861</v>
      </c>
      <c r="B8761" s="185"/>
      <c r="C8761" s="147"/>
      <c r="D8761" s="129"/>
      <c r="E8761" s="185"/>
      <c r="F8761" s="185"/>
      <c r="G8761" s="185"/>
      <c r="H8761" s="185"/>
      <c r="I8761" s="11"/>
    </row>
    <row r="8762" spans="1:12" ht="11.15" customHeight="1">
      <c r="A8762" s="29" t="s">
        <v>11862</v>
      </c>
      <c r="B8762" s="185"/>
      <c r="C8762" s="147"/>
      <c r="D8762" s="129"/>
      <c r="E8762" s="185"/>
      <c r="F8762" s="185"/>
      <c r="G8762" s="185"/>
      <c r="H8762" s="185"/>
      <c r="I8762" s="11"/>
    </row>
    <row r="8763" spans="1:12" ht="11.15" customHeight="1">
      <c r="A8763" s="212" t="s">
        <v>11361</v>
      </c>
      <c r="B8763" s="185"/>
      <c r="C8763" s="147"/>
      <c r="D8763" s="129"/>
      <c r="E8763" s="185"/>
      <c r="F8763" s="185"/>
      <c r="G8763" s="185"/>
      <c r="H8763" s="185"/>
      <c r="I8763" s="11"/>
    </row>
    <row r="8764" spans="1:12" ht="11.15" customHeight="1">
      <c r="A8764" s="129" t="s">
        <v>11863</v>
      </c>
      <c r="B8764" s="90"/>
      <c r="C8764" s="147"/>
      <c r="D8764" s="161"/>
      <c r="E8764" s="36"/>
      <c r="F8764" s="178"/>
      <c r="G8764" s="496"/>
      <c r="H8764" s="36"/>
      <c r="I8764" s="11"/>
    </row>
    <row r="8765" spans="1:12" ht="11.15" customHeight="1" thickBot="1">
      <c r="A8765" s="29"/>
      <c r="B8765" s="216" t="s">
        <v>11864</v>
      </c>
      <c r="C8765" s="147"/>
      <c r="D8765" s="122"/>
      <c r="E8765" s="36"/>
      <c r="F8765" s="183"/>
      <c r="G8765" s="453"/>
      <c r="H8765" s="34"/>
      <c r="I8765" s="11"/>
    </row>
    <row r="8766" spans="1:12" ht="14.25" customHeight="1" thickBot="1">
      <c r="A8766" s="184" t="s">
        <v>11865</v>
      </c>
      <c r="B8766" s="154" t="s">
        <v>11866</v>
      </c>
      <c r="C8766" s="147"/>
      <c r="D8766" s="122"/>
      <c r="E8766" s="36"/>
      <c r="F8766" s="183"/>
      <c r="G8766" s="453"/>
      <c r="H8766" s="34"/>
      <c r="I8766" s="11"/>
    </row>
    <row r="8767" spans="1:12" ht="11.15" customHeight="1">
      <c r="A8767" s="29" t="s">
        <v>11867</v>
      </c>
      <c r="B8767" s="59" t="s">
        <v>21902</v>
      </c>
      <c r="C8767" s="147" t="s">
        <v>20221</v>
      </c>
      <c r="D8767" s="1034" t="s">
        <v>879</v>
      </c>
      <c r="E8767" s="178" t="s">
        <v>20221</v>
      </c>
      <c r="F8767" s="178" t="s">
        <v>4520</v>
      </c>
      <c r="G8767" s="496" t="s">
        <v>20221</v>
      </c>
      <c r="H8767" s="994" t="s">
        <v>3907</v>
      </c>
      <c r="I8767" s="11" t="s">
        <v>11868</v>
      </c>
      <c r="J8767" s="1285"/>
      <c r="K8767" s="1285"/>
      <c r="L8767" s="1285"/>
    </row>
    <row r="8768" spans="1:12" ht="11.15" customHeight="1">
      <c r="A8768" s="29" t="s">
        <v>11869</v>
      </c>
      <c r="B8768" s="154" t="s">
        <v>10573</v>
      </c>
      <c r="C8768" s="147"/>
      <c r="D8768" s="122"/>
      <c r="E8768" s="36"/>
      <c r="F8768" s="183"/>
      <c r="G8768" s="453"/>
      <c r="H8768" s="34"/>
      <c r="I8768" s="11"/>
    </row>
    <row r="8769" spans="1:12" ht="11.15" customHeight="1">
      <c r="A8769" s="29" t="s">
        <v>11870</v>
      </c>
      <c r="B8769" s="59" t="s">
        <v>21903</v>
      </c>
      <c r="C8769" s="147" t="s">
        <v>20221</v>
      </c>
      <c r="D8769" s="284" t="s">
        <v>897</v>
      </c>
      <c r="E8769" s="178">
        <v>2020</v>
      </c>
      <c r="F8769" s="178" t="s">
        <v>4520</v>
      </c>
      <c r="G8769" s="496"/>
      <c r="H8769" s="994" t="s">
        <v>20221</v>
      </c>
      <c r="I8769" s="11" t="s">
        <v>11871</v>
      </c>
      <c r="J8769" s="1285"/>
      <c r="K8769" s="1285"/>
      <c r="L8769" s="1285"/>
    </row>
    <row r="8770" spans="1:12" ht="11.15" customHeight="1">
      <c r="A8770" s="181" t="s">
        <v>8753</v>
      </c>
      <c r="B8770" s="59" t="s">
        <v>21811</v>
      </c>
      <c r="C8770" s="147" t="s">
        <v>20221</v>
      </c>
      <c r="D8770" s="284" t="s">
        <v>897</v>
      </c>
      <c r="E8770" s="178">
        <v>2016</v>
      </c>
      <c r="F8770" s="178" t="s">
        <v>4520</v>
      </c>
      <c r="G8770" s="496"/>
      <c r="H8770" s="994" t="s">
        <v>20221</v>
      </c>
      <c r="I8770" s="11" t="s">
        <v>11872</v>
      </c>
      <c r="J8770" s="1285"/>
      <c r="K8770" s="1285"/>
      <c r="L8770" s="1285"/>
    </row>
    <row r="8771" spans="1:12" ht="11.15" customHeight="1">
      <c r="A8771" s="29" t="s">
        <v>11873</v>
      </c>
      <c r="B8771" s="59" t="s">
        <v>21904</v>
      </c>
      <c r="C8771" s="147" t="s">
        <v>20221</v>
      </c>
      <c r="D8771" s="284" t="s">
        <v>897</v>
      </c>
      <c r="E8771" s="178">
        <v>2016</v>
      </c>
      <c r="F8771" s="178" t="s">
        <v>5257</v>
      </c>
      <c r="G8771" s="496"/>
      <c r="H8771" s="994" t="s">
        <v>20224</v>
      </c>
      <c r="I8771" s="11" t="s">
        <v>11874</v>
      </c>
      <c r="J8771" s="1285"/>
      <c r="K8771" s="1285"/>
      <c r="L8771" s="1285"/>
    </row>
    <row r="8772" spans="1:12" ht="11.15" customHeight="1">
      <c r="A8772" s="181" t="s">
        <v>950</v>
      </c>
      <c r="B8772" s="154" t="s">
        <v>10578</v>
      </c>
      <c r="C8772" s="147"/>
      <c r="D8772" s="129"/>
      <c r="E8772" s="185"/>
      <c r="F8772" s="185"/>
      <c r="G8772" s="185"/>
      <c r="H8772" s="185"/>
      <c r="I8772" s="11"/>
    </row>
    <row r="8773" spans="1:12" ht="11.15" customHeight="1">
      <c r="A8773" s="129" t="s">
        <v>11875</v>
      </c>
      <c r="B8773" s="59" t="s">
        <v>370</v>
      </c>
      <c r="C8773" s="147" t="s">
        <v>20221</v>
      </c>
      <c r="D8773" s="284" t="s">
        <v>897</v>
      </c>
      <c r="E8773" s="178">
        <v>2020</v>
      </c>
      <c r="F8773" s="178" t="s">
        <v>4520</v>
      </c>
      <c r="G8773" s="496"/>
      <c r="H8773" s="994" t="s">
        <v>20221</v>
      </c>
      <c r="I8773" s="11" t="s">
        <v>11876</v>
      </c>
      <c r="J8773" s="1285"/>
      <c r="K8773" s="1285"/>
      <c r="L8773" s="1285"/>
    </row>
    <row r="8774" spans="1:12" ht="11.15" customHeight="1">
      <c r="A8774" s="162" t="s">
        <v>11877</v>
      </c>
      <c r="B8774" s="59" t="s">
        <v>370</v>
      </c>
      <c r="C8774" s="147" t="s">
        <v>20221</v>
      </c>
      <c r="D8774" s="284" t="s">
        <v>897</v>
      </c>
      <c r="E8774" s="178">
        <v>2019</v>
      </c>
      <c r="F8774" s="178" t="s">
        <v>4520</v>
      </c>
      <c r="G8774" s="496"/>
      <c r="H8774" s="994" t="s">
        <v>20221</v>
      </c>
      <c r="I8774" s="11" t="s">
        <v>11878</v>
      </c>
      <c r="J8774" s="1285"/>
      <c r="K8774" s="1285"/>
      <c r="L8774" s="1285"/>
    </row>
    <row r="8775" spans="1:12" ht="11.15" customHeight="1">
      <c r="A8775" s="162" t="s">
        <v>11879</v>
      </c>
      <c r="B8775" s="59" t="s">
        <v>370</v>
      </c>
      <c r="C8775" s="147" t="s">
        <v>20221</v>
      </c>
      <c r="D8775" s="284" t="s">
        <v>897</v>
      </c>
      <c r="E8775" s="178">
        <v>2017</v>
      </c>
      <c r="F8775" s="178" t="s">
        <v>4520</v>
      </c>
      <c r="G8775" s="496"/>
      <c r="H8775" s="994" t="s">
        <v>20277</v>
      </c>
      <c r="I8775" s="11" t="s">
        <v>11880</v>
      </c>
      <c r="J8775" s="1285"/>
      <c r="K8775" s="1285"/>
      <c r="L8775" s="1285"/>
    </row>
    <row r="8776" spans="1:12" ht="11.15" customHeight="1">
      <c r="A8776" s="162" t="s">
        <v>11881</v>
      </c>
      <c r="B8776" s="59" t="s">
        <v>21905</v>
      </c>
      <c r="C8776" s="147" t="s">
        <v>20221</v>
      </c>
      <c r="D8776" s="284" t="s">
        <v>897</v>
      </c>
      <c r="E8776" s="178">
        <v>2019</v>
      </c>
      <c r="F8776" s="178" t="s">
        <v>4520</v>
      </c>
      <c r="G8776" s="496"/>
      <c r="H8776" s="994" t="s">
        <v>20221</v>
      </c>
      <c r="I8776" s="11" t="s">
        <v>11882</v>
      </c>
      <c r="J8776" s="1285"/>
      <c r="K8776" s="1285"/>
      <c r="L8776" s="1285"/>
    </row>
    <row r="8777" spans="1:12" ht="11.15" customHeight="1">
      <c r="A8777" s="162" t="s">
        <v>11883</v>
      </c>
      <c r="B8777" s="59" t="s">
        <v>21905</v>
      </c>
      <c r="C8777" s="147" t="s">
        <v>20221</v>
      </c>
      <c r="D8777" s="284" t="s">
        <v>897</v>
      </c>
      <c r="E8777" s="178">
        <v>2016</v>
      </c>
      <c r="F8777" s="178" t="s">
        <v>4520</v>
      </c>
      <c r="G8777" s="496"/>
      <c r="H8777" s="994" t="s">
        <v>20221</v>
      </c>
      <c r="I8777" s="11" t="s">
        <v>11884</v>
      </c>
      <c r="J8777" s="1285"/>
      <c r="K8777" s="1285"/>
      <c r="L8777" s="1285"/>
    </row>
    <row r="8778" spans="1:12" ht="11.15" customHeight="1">
      <c r="A8778" s="162" t="s">
        <v>6172</v>
      </c>
      <c r="B8778" s="59" t="s">
        <v>21905</v>
      </c>
      <c r="C8778" s="147" t="s">
        <v>20221</v>
      </c>
      <c r="D8778" s="284" t="s">
        <v>897</v>
      </c>
      <c r="E8778" s="178">
        <v>2015</v>
      </c>
      <c r="F8778" s="178" t="s">
        <v>4520</v>
      </c>
      <c r="G8778" s="496"/>
      <c r="H8778" s="994" t="s">
        <v>20224</v>
      </c>
      <c r="I8778" s="11" t="s">
        <v>11885</v>
      </c>
      <c r="J8778" s="1285"/>
      <c r="K8778" s="1285"/>
      <c r="L8778" s="1285"/>
    </row>
    <row r="8779" spans="1:12" ht="11.15" customHeight="1">
      <c r="A8779" s="129" t="s">
        <v>11886</v>
      </c>
      <c r="B8779" s="59" t="s">
        <v>21905</v>
      </c>
      <c r="C8779" s="147" t="s">
        <v>20221</v>
      </c>
      <c r="D8779" s="284" t="s">
        <v>897</v>
      </c>
      <c r="E8779" s="178">
        <v>2014</v>
      </c>
      <c r="F8779" s="178" t="s">
        <v>4520</v>
      </c>
      <c r="G8779" s="496"/>
      <c r="H8779" s="994" t="s">
        <v>20221</v>
      </c>
      <c r="I8779" s="11" t="s">
        <v>11887</v>
      </c>
      <c r="J8779" s="1285"/>
      <c r="K8779" s="1285"/>
      <c r="L8779" s="1285"/>
    </row>
    <row r="8780" spans="1:12" ht="11.15" customHeight="1">
      <c r="A8780" s="355" t="s">
        <v>11888</v>
      </c>
      <c r="B8780" s="59" t="s">
        <v>21905</v>
      </c>
      <c r="C8780" s="147" t="s">
        <v>20221</v>
      </c>
      <c r="D8780" s="284" t="s">
        <v>897</v>
      </c>
      <c r="E8780" s="178">
        <v>2013</v>
      </c>
      <c r="F8780" s="178" t="s">
        <v>4520</v>
      </c>
      <c r="G8780" s="496"/>
      <c r="H8780" s="994" t="s">
        <v>20277</v>
      </c>
      <c r="I8780" s="11" t="s">
        <v>11889</v>
      </c>
      <c r="J8780" s="1285"/>
      <c r="K8780" s="1285"/>
      <c r="L8780" s="1285"/>
    </row>
    <row r="8781" spans="1:12" ht="11.15" customHeight="1">
      <c r="A8781" s="355" t="s">
        <v>11890</v>
      </c>
      <c r="B8781" s="59" t="s">
        <v>21905</v>
      </c>
      <c r="C8781" s="147" t="s">
        <v>20221</v>
      </c>
      <c r="D8781" s="284" t="s">
        <v>897</v>
      </c>
      <c r="E8781" s="178">
        <v>2011</v>
      </c>
      <c r="F8781" s="178" t="s">
        <v>4520</v>
      </c>
      <c r="G8781" s="496"/>
      <c r="H8781" s="994" t="s">
        <v>20221</v>
      </c>
      <c r="I8781" s="11" t="s">
        <v>11891</v>
      </c>
      <c r="J8781" s="1285"/>
      <c r="K8781" s="1285"/>
      <c r="L8781" s="1285"/>
    </row>
    <row r="8782" spans="1:12" ht="11.15" customHeight="1">
      <c r="A8782" s="129" t="s">
        <v>903</v>
      </c>
      <c r="B8782" s="59" t="s">
        <v>21906</v>
      </c>
      <c r="C8782" s="147" t="s">
        <v>20221</v>
      </c>
      <c r="D8782" s="284" t="s">
        <v>897</v>
      </c>
      <c r="E8782" s="178">
        <v>2018</v>
      </c>
      <c r="F8782" s="178" t="s">
        <v>4520</v>
      </c>
      <c r="G8782" s="496"/>
      <c r="H8782" s="994" t="s">
        <v>20221</v>
      </c>
      <c r="I8782" s="11" t="s">
        <v>11892</v>
      </c>
      <c r="J8782" s="1285"/>
      <c r="K8782" s="1285"/>
      <c r="L8782" s="1285"/>
    </row>
    <row r="8783" spans="1:12" ht="11.15" customHeight="1">
      <c r="A8783" s="162" t="s">
        <v>11893</v>
      </c>
      <c r="B8783" s="59" t="s">
        <v>21906</v>
      </c>
      <c r="C8783" s="147" t="s">
        <v>20221</v>
      </c>
      <c r="D8783" s="284" t="s">
        <v>897</v>
      </c>
      <c r="E8783" s="178">
        <v>2016</v>
      </c>
      <c r="F8783" s="178" t="s">
        <v>4520</v>
      </c>
      <c r="G8783" s="496"/>
      <c r="H8783" s="994" t="s">
        <v>20221</v>
      </c>
      <c r="I8783" s="11" t="s">
        <v>11894</v>
      </c>
      <c r="J8783" s="1285"/>
      <c r="K8783" s="1285"/>
      <c r="L8783" s="1285"/>
    </row>
    <row r="8784" spans="1:12" ht="11.15" customHeight="1">
      <c r="A8784" s="162" t="s">
        <v>11895</v>
      </c>
      <c r="B8784" s="59" t="s">
        <v>21907</v>
      </c>
      <c r="C8784" s="147" t="s">
        <v>20221</v>
      </c>
      <c r="D8784" s="284" t="s">
        <v>897</v>
      </c>
      <c r="E8784" s="178">
        <v>2015</v>
      </c>
      <c r="F8784" s="178" t="s">
        <v>4520</v>
      </c>
      <c r="G8784" s="496"/>
      <c r="H8784" s="994" t="s">
        <v>20221</v>
      </c>
      <c r="I8784" s="11" t="s">
        <v>11896</v>
      </c>
      <c r="J8784" s="1285"/>
      <c r="K8784" s="1285"/>
      <c r="L8784" s="1285"/>
    </row>
    <row r="8785" spans="1:12" ht="11.15" customHeight="1">
      <c r="A8785" s="162" t="s">
        <v>11897</v>
      </c>
      <c r="B8785" s="59" t="s">
        <v>21723</v>
      </c>
      <c r="C8785" s="147" t="s">
        <v>20221</v>
      </c>
      <c r="D8785" s="284" t="s">
        <v>897</v>
      </c>
      <c r="E8785" s="178">
        <v>2019</v>
      </c>
      <c r="F8785" s="178" t="s">
        <v>4520</v>
      </c>
      <c r="G8785" s="496"/>
      <c r="H8785" s="994" t="s">
        <v>20221</v>
      </c>
      <c r="I8785" s="11" t="s">
        <v>11898</v>
      </c>
      <c r="J8785" s="1285"/>
      <c r="K8785" s="1285"/>
      <c r="L8785" s="1285"/>
    </row>
    <row r="8786" spans="1:12" ht="11.15" customHeight="1">
      <c r="A8786" s="162" t="s">
        <v>11899</v>
      </c>
      <c r="B8786" s="154" t="s">
        <v>11510</v>
      </c>
      <c r="C8786" s="147"/>
      <c r="D8786" s="129"/>
      <c r="E8786" s="185"/>
      <c r="F8786" s="185"/>
      <c r="G8786" s="185"/>
      <c r="H8786" s="185"/>
      <c r="I8786" s="11"/>
    </row>
    <row r="8787" spans="1:12" ht="11.15" customHeight="1">
      <c r="A8787" s="162" t="s">
        <v>11900</v>
      </c>
      <c r="B8787" s="59" t="s">
        <v>21908</v>
      </c>
      <c r="C8787" s="147" t="s">
        <v>20221</v>
      </c>
      <c r="D8787" s="284" t="s">
        <v>897</v>
      </c>
      <c r="E8787" s="178">
        <v>2019</v>
      </c>
      <c r="F8787" s="178" t="s">
        <v>5257</v>
      </c>
      <c r="G8787" s="496"/>
      <c r="H8787" s="994" t="s">
        <v>20224</v>
      </c>
      <c r="I8787" s="11" t="s">
        <v>11901</v>
      </c>
      <c r="J8787" s="1285"/>
      <c r="K8787" s="1285"/>
      <c r="L8787" s="1285"/>
    </row>
    <row r="8788" spans="1:12" ht="11.15" customHeight="1">
      <c r="A8788" s="166" t="s">
        <v>11902</v>
      </c>
      <c r="B8788" s="59" t="s">
        <v>21908</v>
      </c>
      <c r="C8788" s="147" t="s">
        <v>20221</v>
      </c>
      <c r="D8788" s="284" t="s">
        <v>897</v>
      </c>
      <c r="E8788" s="178">
        <v>2016</v>
      </c>
      <c r="F8788" s="178" t="s">
        <v>5257</v>
      </c>
      <c r="G8788" s="496"/>
      <c r="H8788" s="994" t="s">
        <v>20224</v>
      </c>
      <c r="I8788" s="11" t="s">
        <v>11903</v>
      </c>
      <c r="J8788" s="1285"/>
      <c r="K8788" s="1285"/>
      <c r="L8788" s="1285"/>
    </row>
    <row r="8789" spans="1:12" ht="11.15" customHeight="1">
      <c r="A8789" s="129" t="s">
        <v>11904</v>
      </c>
      <c r="B8789" s="59" t="s">
        <v>21909</v>
      </c>
      <c r="C8789" s="147" t="s">
        <v>20221</v>
      </c>
      <c r="D8789" s="284" t="s">
        <v>897</v>
      </c>
      <c r="E8789" s="178">
        <v>2016</v>
      </c>
      <c r="F8789" s="178" t="s">
        <v>5257</v>
      </c>
      <c r="G8789" s="496"/>
      <c r="H8789" s="994" t="s">
        <v>20224</v>
      </c>
      <c r="I8789" s="11" t="s">
        <v>11905</v>
      </c>
      <c r="J8789" s="1285"/>
      <c r="K8789" s="1285"/>
      <c r="L8789" s="1285"/>
    </row>
    <row r="8790" spans="1:12" ht="11.15" customHeight="1">
      <c r="A8790" s="212"/>
      <c r="B8790" s="59" t="s">
        <v>21910</v>
      </c>
      <c r="C8790" s="147" t="s">
        <v>20221</v>
      </c>
      <c r="D8790" s="284" t="s">
        <v>897</v>
      </c>
      <c r="E8790" s="178">
        <v>2016</v>
      </c>
      <c r="F8790" s="178" t="s">
        <v>5257</v>
      </c>
      <c r="G8790" s="496"/>
      <c r="H8790" s="994" t="s">
        <v>20224</v>
      </c>
      <c r="I8790" s="11" t="s">
        <v>11906</v>
      </c>
      <c r="J8790" s="1285"/>
      <c r="K8790" s="1285"/>
      <c r="L8790" s="1285"/>
    </row>
    <row r="8791" spans="1:12" ht="11.15" customHeight="1" thickBot="1">
      <c r="A8791" s="129"/>
      <c r="B8791" s="631"/>
      <c r="C8791" s="147"/>
      <c r="D8791" s="161"/>
      <c r="E8791" s="36"/>
      <c r="F8791" s="183"/>
      <c r="G8791" s="671"/>
      <c r="H8791" s="34"/>
      <c r="I8791" s="11"/>
    </row>
    <row r="8792" spans="1:12" ht="24" customHeight="1" thickBot="1">
      <c r="A8792" s="632"/>
      <c r="B8792" s="64" t="s">
        <v>11907</v>
      </c>
      <c r="C8792" s="170"/>
      <c r="D8792" s="633"/>
      <c r="E8792" s="235"/>
      <c r="F8792" s="383"/>
      <c r="G8792" s="1142"/>
      <c r="H8792" s="516"/>
      <c r="I8792" s="11"/>
    </row>
    <row r="8793" spans="1:12" ht="11.15" customHeight="1">
      <c r="A8793" s="29"/>
      <c r="B8793" s="146" t="s">
        <v>11908</v>
      </c>
      <c r="C8793" s="147"/>
      <c r="D8793" s="122"/>
      <c r="E8793" s="90"/>
      <c r="F8793" s="122"/>
      <c r="G8793" s="74"/>
      <c r="H8793" s="226"/>
      <c r="I8793" s="11"/>
    </row>
    <row r="8794" spans="1:12" ht="9" customHeight="1">
      <c r="A8794" s="162"/>
      <c r="B8794" s="150" t="s">
        <v>10840</v>
      </c>
      <c r="C8794" s="147"/>
      <c r="D8794" s="209"/>
      <c r="E8794" s="210"/>
      <c r="F8794" s="209"/>
      <c r="G8794" s="623"/>
      <c r="H8794" s="216"/>
      <c r="I8794" s="11"/>
    </row>
    <row r="8795" spans="1:12" ht="9" customHeight="1">
      <c r="A8795" s="162"/>
      <c r="B8795" s="150" t="s">
        <v>10841</v>
      </c>
      <c r="C8795" s="147"/>
      <c r="D8795" s="209"/>
      <c r="E8795" s="210"/>
      <c r="F8795" s="209"/>
      <c r="G8795" s="623"/>
      <c r="H8795" s="216"/>
      <c r="I8795" s="11"/>
    </row>
    <row r="8796" spans="1:12" ht="9" customHeight="1">
      <c r="A8796" s="162"/>
      <c r="B8796" s="150" t="s">
        <v>11909</v>
      </c>
      <c r="C8796" s="147"/>
      <c r="D8796" s="209"/>
      <c r="E8796" s="210"/>
      <c r="F8796" s="209"/>
      <c r="G8796" s="623"/>
      <c r="H8796" s="216"/>
      <c r="I8796" s="11"/>
    </row>
    <row r="8797" spans="1:12" ht="9" customHeight="1">
      <c r="A8797" s="162"/>
      <c r="B8797" s="150" t="s">
        <v>11910</v>
      </c>
      <c r="C8797" s="147"/>
      <c r="D8797" s="209"/>
      <c r="E8797" s="210"/>
      <c r="F8797" s="209"/>
      <c r="G8797" s="623"/>
      <c r="H8797" s="216"/>
      <c r="I8797" s="11"/>
    </row>
    <row r="8798" spans="1:12" ht="9" customHeight="1">
      <c r="A8798" s="162"/>
      <c r="B8798" s="150" t="s">
        <v>11911</v>
      </c>
      <c r="C8798" s="147"/>
      <c r="D8798" s="209"/>
      <c r="E8798" s="210"/>
      <c r="F8798" s="209"/>
      <c r="G8798" s="623"/>
      <c r="H8798" s="216"/>
      <c r="I8798" s="11"/>
    </row>
    <row r="8799" spans="1:12" ht="9" customHeight="1">
      <c r="A8799" s="162"/>
      <c r="B8799" s="150" t="s">
        <v>11912</v>
      </c>
      <c r="C8799" s="147"/>
      <c r="D8799" s="150"/>
      <c r="E8799" s="210"/>
      <c r="F8799" s="150"/>
      <c r="G8799" s="623"/>
      <c r="H8799" s="210"/>
      <c r="I8799" s="11"/>
    </row>
    <row r="8800" spans="1:12" ht="9" customHeight="1">
      <c r="A8800" s="162"/>
      <c r="B8800" s="150" t="s">
        <v>11913</v>
      </c>
      <c r="C8800" s="147"/>
      <c r="D8800" s="150"/>
      <c r="E8800" s="210"/>
      <c r="F8800" s="150"/>
      <c r="G8800" s="623"/>
      <c r="H8800" s="210"/>
      <c r="I8800" s="11"/>
    </row>
    <row r="8801" spans="1:12" ht="9" customHeight="1">
      <c r="A8801" s="162"/>
      <c r="B8801" s="150" t="s">
        <v>11914</v>
      </c>
      <c r="C8801" s="147"/>
      <c r="D8801" s="150"/>
      <c r="E8801" s="210"/>
      <c r="F8801" s="150"/>
      <c r="G8801" s="623"/>
      <c r="H8801" s="210"/>
      <c r="I8801" s="11"/>
    </row>
    <row r="8802" spans="1:12" ht="9" customHeight="1">
      <c r="A8802" s="162"/>
      <c r="B8802" s="150" t="s">
        <v>11915</v>
      </c>
      <c r="C8802" s="147"/>
      <c r="D8802" s="150"/>
      <c r="E8802" s="210"/>
      <c r="F8802" s="150"/>
      <c r="G8802" s="623"/>
      <c r="H8802" s="210"/>
      <c r="I8802" s="11"/>
    </row>
    <row r="8803" spans="1:12" ht="11.15" customHeight="1">
      <c r="A8803" s="29"/>
      <c r="B8803" s="122" t="s">
        <v>11916</v>
      </c>
      <c r="C8803" s="147"/>
      <c r="D8803" s="122"/>
      <c r="E8803" s="90"/>
      <c r="F8803" s="122"/>
      <c r="G8803" s="74"/>
      <c r="H8803" s="226"/>
      <c r="I8803" s="11"/>
    </row>
    <row r="8804" spans="1:12" ht="11.15" customHeight="1" thickBot="1">
      <c r="A8804" s="29"/>
      <c r="B8804" s="122" t="s">
        <v>11917</v>
      </c>
      <c r="C8804" s="147"/>
      <c r="D8804" s="122"/>
      <c r="E8804" s="90"/>
      <c r="F8804" s="122"/>
      <c r="G8804" s="74"/>
      <c r="H8804" s="226"/>
      <c r="I8804" s="11"/>
    </row>
    <row r="8805" spans="1:12" ht="11.15" customHeight="1">
      <c r="A8805" s="153" t="s">
        <v>11918</v>
      </c>
      <c r="B8805" s="177" t="s">
        <v>11372</v>
      </c>
      <c r="C8805" s="147"/>
      <c r="D8805" s="159"/>
      <c r="E8805" s="36"/>
      <c r="F8805" s="178"/>
      <c r="G8805" s="496"/>
      <c r="H8805" s="36"/>
      <c r="I8805" s="11"/>
    </row>
    <row r="8806" spans="1:12" ht="11.15" customHeight="1">
      <c r="A8806" s="277" t="s">
        <v>11919</v>
      </c>
      <c r="B8806" s="59" t="s">
        <v>21912</v>
      </c>
      <c r="C8806" s="147" t="s">
        <v>20221</v>
      </c>
      <c r="D8806" s="701" t="s">
        <v>1129</v>
      </c>
      <c r="E8806" s="178">
        <v>2014</v>
      </c>
      <c r="F8806" s="178" t="s">
        <v>4520</v>
      </c>
      <c r="G8806" s="496"/>
      <c r="H8806" s="994" t="s">
        <v>20221</v>
      </c>
      <c r="I8806" s="11" t="s">
        <v>11920</v>
      </c>
      <c r="J8806" s="1285"/>
      <c r="K8806" s="1285"/>
      <c r="L8806" s="1285"/>
    </row>
    <row r="8807" spans="1:12" ht="11.15" customHeight="1" thickBot="1">
      <c r="A8807" s="230" t="s">
        <v>10888</v>
      </c>
      <c r="B8807" s="177" t="s">
        <v>11921</v>
      </c>
      <c r="C8807" s="147"/>
      <c r="D8807" s="161"/>
      <c r="E8807" s="36"/>
      <c r="F8807" s="178"/>
      <c r="G8807" s="497"/>
      <c r="H8807" s="994" t="s">
        <v>20221</v>
      </c>
      <c r="I8807" s="11"/>
      <c r="J8807" s="1285"/>
      <c r="K8807" s="1285"/>
      <c r="L8807" s="1285"/>
    </row>
    <row r="8808" spans="1:12" ht="11.15" customHeight="1">
      <c r="A8808" s="29" t="s">
        <v>11922</v>
      </c>
      <c r="B8808" s="59" t="s">
        <v>376</v>
      </c>
      <c r="C8808" s="147" t="s">
        <v>20221</v>
      </c>
      <c r="D8808" s="284" t="s">
        <v>897</v>
      </c>
      <c r="E8808" s="178">
        <v>2021</v>
      </c>
      <c r="F8808" s="178" t="s">
        <v>4520</v>
      </c>
      <c r="G8808" s="496"/>
      <c r="H8808" s="994" t="s">
        <v>20221</v>
      </c>
      <c r="I8808" s="11" t="s">
        <v>23316</v>
      </c>
      <c r="J8808" s="1285"/>
      <c r="K8808" s="1285"/>
      <c r="L8808" s="1285"/>
    </row>
    <row r="8809" spans="1:12" ht="11.15" customHeight="1">
      <c r="A8809" s="29" t="s">
        <v>11923</v>
      </c>
      <c r="B8809" s="59" t="s">
        <v>376</v>
      </c>
      <c r="C8809" s="147" t="s">
        <v>20221</v>
      </c>
      <c r="D8809" s="284" t="s">
        <v>897</v>
      </c>
      <c r="E8809" s="178">
        <v>2020</v>
      </c>
      <c r="F8809" s="178" t="s">
        <v>4520</v>
      </c>
      <c r="G8809" s="496"/>
      <c r="H8809" s="994" t="s">
        <v>20221</v>
      </c>
      <c r="I8809" s="11" t="s">
        <v>23317</v>
      </c>
      <c r="J8809" s="1285"/>
      <c r="K8809" s="1285"/>
      <c r="L8809" s="1285"/>
    </row>
    <row r="8810" spans="1:12" ht="11.15" customHeight="1">
      <c r="A8810" s="29" t="s">
        <v>11925</v>
      </c>
      <c r="B8810" s="59" t="s">
        <v>376</v>
      </c>
      <c r="C8810" s="147" t="s">
        <v>20221</v>
      </c>
      <c r="D8810" s="284" t="s">
        <v>897</v>
      </c>
      <c r="E8810" s="178">
        <v>2019</v>
      </c>
      <c r="F8810" s="178" t="s">
        <v>4520</v>
      </c>
      <c r="G8810" s="496"/>
      <c r="H8810" s="994" t="s">
        <v>20221</v>
      </c>
      <c r="I8810" s="11" t="s">
        <v>23318</v>
      </c>
      <c r="J8810" s="1285"/>
      <c r="K8810" s="1285"/>
      <c r="L8810" s="1285"/>
    </row>
    <row r="8811" spans="1:12" ht="11.15" customHeight="1">
      <c r="A8811" s="229" t="s">
        <v>11927</v>
      </c>
      <c r="B8811" s="59" t="s">
        <v>376</v>
      </c>
      <c r="C8811" s="147" t="s">
        <v>20221</v>
      </c>
      <c r="D8811" s="284" t="s">
        <v>897</v>
      </c>
      <c r="E8811" s="178">
        <v>2018</v>
      </c>
      <c r="F8811" s="178" t="s">
        <v>4520</v>
      </c>
      <c r="G8811" s="496"/>
      <c r="H8811" s="994" t="s">
        <v>20224</v>
      </c>
      <c r="I8811" s="11" t="s">
        <v>23319</v>
      </c>
      <c r="J8811" s="1285"/>
      <c r="K8811" s="1285"/>
      <c r="L8811" s="1285"/>
    </row>
    <row r="8812" spans="1:12" ht="11.15" customHeight="1">
      <c r="A8812" s="229" t="s">
        <v>11929</v>
      </c>
      <c r="B8812" s="59" t="s">
        <v>376</v>
      </c>
      <c r="C8812" s="147" t="s">
        <v>20221</v>
      </c>
      <c r="D8812" s="284" t="s">
        <v>897</v>
      </c>
      <c r="E8812" s="178">
        <v>2017</v>
      </c>
      <c r="F8812" s="178" t="s">
        <v>4520</v>
      </c>
      <c r="G8812" s="496"/>
      <c r="H8812" s="994" t="s">
        <v>20224</v>
      </c>
      <c r="I8812" s="11" t="s">
        <v>23320</v>
      </c>
      <c r="J8812" s="1285"/>
      <c r="K8812" s="1285"/>
      <c r="L8812" s="1285"/>
    </row>
    <row r="8813" spans="1:12" ht="11.15" customHeight="1">
      <c r="A8813" s="129" t="s">
        <v>951</v>
      </c>
      <c r="B8813" s="59" t="s">
        <v>11924</v>
      </c>
      <c r="C8813" s="147" t="s">
        <v>20221</v>
      </c>
      <c r="D8813" s="284" t="s">
        <v>897</v>
      </c>
      <c r="E8813" s="178">
        <v>2020</v>
      </c>
      <c r="F8813" s="178" t="s">
        <v>4520</v>
      </c>
      <c r="G8813" s="496"/>
      <c r="H8813" s="994" t="s">
        <v>20221</v>
      </c>
      <c r="I8813" s="11" t="s">
        <v>23321</v>
      </c>
      <c r="J8813" s="1285"/>
      <c r="K8813" s="1285"/>
      <c r="L8813" s="1285"/>
    </row>
    <row r="8814" spans="1:12" ht="11.15" customHeight="1">
      <c r="A8814" s="162" t="s">
        <v>11933</v>
      </c>
      <c r="B8814" s="59" t="s">
        <v>11924</v>
      </c>
      <c r="C8814" s="147" t="s">
        <v>20221</v>
      </c>
      <c r="D8814" s="284" t="s">
        <v>897</v>
      </c>
      <c r="E8814" s="178">
        <v>2019</v>
      </c>
      <c r="F8814" s="178" t="s">
        <v>4520</v>
      </c>
      <c r="G8814" s="496"/>
      <c r="H8814" s="994" t="s">
        <v>20221</v>
      </c>
      <c r="I8814" s="11" t="s">
        <v>23322</v>
      </c>
      <c r="J8814" s="1285"/>
      <c r="K8814" s="1285"/>
      <c r="L8814" s="1285"/>
    </row>
    <row r="8815" spans="1:12" ht="11.15" customHeight="1">
      <c r="A8815" s="162" t="s">
        <v>11935</v>
      </c>
      <c r="B8815" s="59" t="s">
        <v>11924</v>
      </c>
      <c r="C8815" s="147" t="s">
        <v>20221</v>
      </c>
      <c r="D8815" s="284" t="s">
        <v>897</v>
      </c>
      <c r="E8815" s="178">
        <v>2018</v>
      </c>
      <c r="F8815" s="178" t="s">
        <v>4520</v>
      </c>
      <c r="G8815" s="496"/>
      <c r="H8815" s="994" t="s">
        <v>20221</v>
      </c>
      <c r="I8815" s="11" t="s">
        <v>23323</v>
      </c>
      <c r="J8815" s="1285"/>
      <c r="K8815" s="1285"/>
      <c r="L8815" s="1285"/>
    </row>
    <row r="8816" spans="1:12" ht="11.15" customHeight="1">
      <c r="A8816" s="129" t="s">
        <v>11937</v>
      </c>
      <c r="B8816" s="59" t="s">
        <v>11926</v>
      </c>
      <c r="C8816" s="147" t="s">
        <v>20221</v>
      </c>
      <c r="D8816" s="284" t="s">
        <v>897</v>
      </c>
      <c r="E8816" s="178">
        <v>2020</v>
      </c>
      <c r="F8816" s="178" t="s">
        <v>4520</v>
      </c>
      <c r="G8816" s="496"/>
      <c r="H8816" s="994" t="s">
        <v>20221</v>
      </c>
      <c r="I8816" s="11" t="s">
        <v>23324</v>
      </c>
      <c r="J8816" s="1285"/>
      <c r="K8816" s="1285"/>
      <c r="L8816" s="1285"/>
    </row>
    <row r="8817" spans="1:12" ht="11.15" customHeight="1">
      <c r="A8817" s="162" t="s">
        <v>11939</v>
      </c>
      <c r="B8817" s="59" t="s">
        <v>11926</v>
      </c>
      <c r="C8817" s="147" t="s">
        <v>20221</v>
      </c>
      <c r="D8817" s="284" t="s">
        <v>897</v>
      </c>
      <c r="E8817" s="178">
        <v>2019</v>
      </c>
      <c r="F8817" s="178" t="s">
        <v>4520</v>
      </c>
      <c r="G8817" s="496"/>
      <c r="H8817" s="994" t="s">
        <v>20224</v>
      </c>
      <c r="I8817" s="11" t="s">
        <v>23325</v>
      </c>
      <c r="J8817" s="1285"/>
      <c r="K8817" s="1285"/>
      <c r="L8817" s="1285"/>
    </row>
    <row r="8818" spans="1:12" ht="11.15" customHeight="1">
      <c r="A8818" s="162" t="s">
        <v>11940</v>
      </c>
      <c r="B8818" s="59" t="s">
        <v>11926</v>
      </c>
      <c r="C8818" s="147" t="s">
        <v>20221</v>
      </c>
      <c r="D8818" s="284" t="s">
        <v>897</v>
      </c>
      <c r="E8818" s="178">
        <v>2018</v>
      </c>
      <c r="F8818" s="178" t="s">
        <v>4520</v>
      </c>
      <c r="G8818" s="496"/>
      <c r="H8818" s="994" t="s">
        <v>20224</v>
      </c>
      <c r="I8818" s="11" t="s">
        <v>23326</v>
      </c>
      <c r="J8818" s="1285"/>
      <c r="K8818" s="1285"/>
      <c r="L8818" s="1285"/>
    </row>
    <row r="8819" spans="1:12" ht="11.15" customHeight="1">
      <c r="A8819" s="129" t="s">
        <v>903</v>
      </c>
      <c r="B8819" s="59" t="s">
        <v>11926</v>
      </c>
      <c r="C8819" s="147" t="s">
        <v>20221</v>
      </c>
      <c r="D8819" s="284" t="s">
        <v>897</v>
      </c>
      <c r="E8819" s="178">
        <v>2016</v>
      </c>
      <c r="F8819" s="178" t="s">
        <v>4520</v>
      </c>
      <c r="G8819" s="496"/>
      <c r="H8819" s="994" t="s">
        <v>20277</v>
      </c>
      <c r="I8819" s="11" t="s">
        <v>23327</v>
      </c>
      <c r="J8819" s="1285"/>
      <c r="K8819" s="1285"/>
      <c r="L8819" s="1285"/>
    </row>
    <row r="8820" spans="1:12" ht="11.15" customHeight="1">
      <c r="A8820" s="162" t="s">
        <v>11941</v>
      </c>
      <c r="B8820" s="59" t="s">
        <v>11926</v>
      </c>
      <c r="C8820" s="147" t="s">
        <v>20221</v>
      </c>
      <c r="D8820" s="284" t="s">
        <v>897</v>
      </c>
      <c r="E8820" s="178">
        <v>2013</v>
      </c>
      <c r="F8820" s="178" t="s">
        <v>4520</v>
      </c>
      <c r="G8820" s="496"/>
      <c r="H8820" s="994" t="s">
        <v>20221</v>
      </c>
      <c r="I8820" s="11" t="s">
        <v>23328</v>
      </c>
      <c r="J8820" s="1285"/>
      <c r="K8820" s="1285"/>
      <c r="L8820" s="1285"/>
    </row>
    <row r="8821" spans="1:12" ht="11.15" customHeight="1">
      <c r="A8821" s="162" t="s">
        <v>11943</v>
      </c>
      <c r="B8821" s="59" t="s">
        <v>11926</v>
      </c>
      <c r="C8821" s="147" t="s">
        <v>20221</v>
      </c>
      <c r="D8821" s="284" t="s">
        <v>897</v>
      </c>
      <c r="E8821" s="178">
        <v>2014</v>
      </c>
      <c r="F8821" s="178" t="s">
        <v>4520</v>
      </c>
      <c r="G8821" s="496"/>
      <c r="H8821" s="994" t="s">
        <v>20224</v>
      </c>
      <c r="I8821" s="11" t="s">
        <v>23329</v>
      </c>
      <c r="J8821" s="1285"/>
      <c r="K8821" s="1285"/>
      <c r="L8821" s="1285"/>
    </row>
    <row r="8822" spans="1:12" ht="11.15" customHeight="1">
      <c r="A8822" s="162" t="s">
        <v>11945</v>
      </c>
      <c r="B8822" s="177" t="s">
        <v>11928</v>
      </c>
      <c r="C8822" s="147"/>
      <c r="D8822" s="161"/>
      <c r="E8822" s="178" t="s">
        <v>20221</v>
      </c>
      <c r="F8822" s="178"/>
      <c r="G8822" s="497"/>
      <c r="H8822" s="994" t="s">
        <v>20221</v>
      </c>
      <c r="I8822" s="11"/>
      <c r="J8822" s="1285"/>
      <c r="K8822" s="1285"/>
      <c r="L8822" s="1285"/>
    </row>
    <row r="8823" spans="1:12" ht="11.15" customHeight="1">
      <c r="A8823" s="162" t="s">
        <v>11947</v>
      </c>
      <c r="B8823" s="59" t="s">
        <v>11930</v>
      </c>
      <c r="C8823" s="147" t="s">
        <v>20221</v>
      </c>
      <c r="D8823" s="284" t="s">
        <v>897</v>
      </c>
      <c r="E8823" s="178">
        <v>2020</v>
      </c>
      <c r="F8823" s="178" t="s">
        <v>11931</v>
      </c>
      <c r="G8823" s="496"/>
      <c r="H8823" s="994" t="s">
        <v>20224</v>
      </c>
      <c r="I8823" s="11" t="s">
        <v>23330</v>
      </c>
      <c r="J8823" s="1285"/>
      <c r="K8823" s="1285"/>
      <c r="L8823" s="1285"/>
    </row>
    <row r="8824" spans="1:12" ht="11.15" customHeight="1">
      <c r="A8824" s="162" t="s">
        <v>11949</v>
      </c>
      <c r="B8824" s="59" t="s">
        <v>11930</v>
      </c>
      <c r="C8824" s="147" t="s">
        <v>20221</v>
      </c>
      <c r="D8824" s="284" t="s">
        <v>897</v>
      </c>
      <c r="E8824" s="178">
        <v>2019</v>
      </c>
      <c r="F8824" s="178" t="s">
        <v>11931</v>
      </c>
      <c r="G8824" s="496"/>
      <c r="H8824" s="994" t="s">
        <v>20224</v>
      </c>
      <c r="I8824" s="11" t="s">
        <v>23331</v>
      </c>
      <c r="J8824" s="1285"/>
      <c r="K8824" s="1285"/>
      <c r="L8824" s="1285"/>
    </row>
    <row r="8825" spans="1:12" ht="11.15" customHeight="1">
      <c r="A8825" s="162" t="s">
        <v>11951</v>
      </c>
      <c r="B8825" s="59" t="s">
        <v>11930</v>
      </c>
      <c r="C8825" s="147" t="s">
        <v>20221</v>
      </c>
      <c r="D8825" s="284" t="s">
        <v>897</v>
      </c>
      <c r="E8825" s="178">
        <v>2017</v>
      </c>
      <c r="F8825" s="178" t="s">
        <v>11931</v>
      </c>
      <c r="G8825" s="496"/>
      <c r="H8825" s="994" t="s">
        <v>20221</v>
      </c>
      <c r="I8825" s="11" t="s">
        <v>23332</v>
      </c>
      <c r="J8825" s="1285"/>
      <c r="K8825" s="1285"/>
      <c r="L8825" s="1285"/>
    </row>
    <row r="8826" spans="1:12" ht="11.15" customHeight="1">
      <c r="A8826" s="162" t="s">
        <v>11953</v>
      </c>
      <c r="B8826" s="59" t="s">
        <v>11930</v>
      </c>
      <c r="C8826" s="147" t="s">
        <v>20221</v>
      </c>
      <c r="D8826" s="284" t="s">
        <v>897</v>
      </c>
      <c r="E8826" s="178">
        <v>2016</v>
      </c>
      <c r="F8826" s="178" t="s">
        <v>11931</v>
      </c>
      <c r="G8826" s="496"/>
      <c r="H8826" s="994" t="s">
        <v>20221</v>
      </c>
      <c r="I8826" s="11" t="s">
        <v>23333</v>
      </c>
      <c r="J8826" s="1285"/>
      <c r="K8826" s="1285"/>
      <c r="L8826" s="1285"/>
    </row>
    <row r="8827" spans="1:12" ht="11.15" customHeight="1">
      <c r="A8827" s="162" t="s">
        <v>11955</v>
      </c>
      <c r="B8827" s="59" t="s">
        <v>11932</v>
      </c>
      <c r="C8827" s="147" t="s">
        <v>20221</v>
      </c>
      <c r="D8827" s="284" t="s">
        <v>897</v>
      </c>
      <c r="E8827" s="178">
        <v>2020</v>
      </c>
      <c r="F8827" s="178" t="s">
        <v>11931</v>
      </c>
      <c r="G8827" s="496"/>
      <c r="H8827" s="994" t="s">
        <v>20224</v>
      </c>
      <c r="I8827" s="11" t="s">
        <v>23334</v>
      </c>
      <c r="J8827" s="1285"/>
      <c r="K8827" s="1285"/>
      <c r="L8827" s="1285"/>
    </row>
    <row r="8828" spans="1:12" ht="11.15" customHeight="1">
      <c r="A8828" s="162" t="s">
        <v>11956</v>
      </c>
      <c r="B8828" s="59" t="s">
        <v>11932</v>
      </c>
      <c r="C8828" s="147" t="s">
        <v>20221</v>
      </c>
      <c r="D8828" s="284" t="s">
        <v>897</v>
      </c>
      <c r="E8828" s="178">
        <v>2019</v>
      </c>
      <c r="F8828" s="178" t="s">
        <v>11931</v>
      </c>
      <c r="G8828" s="496"/>
      <c r="H8828" s="994" t="s">
        <v>20224</v>
      </c>
      <c r="I8828" s="11" t="s">
        <v>23335</v>
      </c>
      <c r="J8828" s="1285"/>
      <c r="K8828" s="1285"/>
      <c r="L8828" s="1285"/>
    </row>
    <row r="8829" spans="1:12" ht="11.15" customHeight="1">
      <c r="A8829" s="162" t="s">
        <v>11957</v>
      </c>
      <c r="B8829" s="59" t="s">
        <v>11934</v>
      </c>
      <c r="C8829" s="147" t="s">
        <v>20221</v>
      </c>
      <c r="D8829" s="284" t="s">
        <v>897</v>
      </c>
      <c r="E8829" s="178">
        <v>2020</v>
      </c>
      <c r="F8829" s="178" t="s">
        <v>11931</v>
      </c>
      <c r="G8829" s="496"/>
      <c r="H8829" s="994" t="s">
        <v>20224</v>
      </c>
      <c r="I8829" s="11" t="s">
        <v>23336</v>
      </c>
      <c r="J8829" s="1285"/>
      <c r="K8829" s="1285"/>
      <c r="L8829" s="1285"/>
    </row>
    <row r="8830" spans="1:12" ht="11.15" customHeight="1">
      <c r="A8830" s="162" t="s">
        <v>11958</v>
      </c>
      <c r="B8830" s="59" t="s">
        <v>11934</v>
      </c>
      <c r="C8830" s="147" t="s">
        <v>20221</v>
      </c>
      <c r="D8830" s="284" t="s">
        <v>897</v>
      </c>
      <c r="E8830" s="178">
        <v>2019</v>
      </c>
      <c r="F8830" s="178" t="s">
        <v>11931</v>
      </c>
      <c r="G8830" s="496"/>
      <c r="H8830" s="994" t="s">
        <v>20224</v>
      </c>
      <c r="I8830" s="11" t="s">
        <v>23337</v>
      </c>
      <c r="J8830" s="1285"/>
      <c r="K8830" s="1285"/>
      <c r="L8830" s="1285"/>
    </row>
    <row r="8831" spans="1:12" ht="11.15" customHeight="1">
      <c r="A8831" s="162" t="s">
        <v>11959</v>
      </c>
      <c r="B8831" s="59" t="s">
        <v>11934</v>
      </c>
      <c r="C8831" s="147" t="s">
        <v>20221</v>
      </c>
      <c r="D8831" s="284" t="s">
        <v>897</v>
      </c>
      <c r="E8831" s="178">
        <v>2018</v>
      </c>
      <c r="F8831" s="178" t="s">
        <v>11931</v>
      </c>
      <c r="G8831" s="496"/>
      <c r="H8831" s="994" t="s">
        <v>20224</v>
      </c>
      <c r="I8831" s="11" t="s">
        <v>23338</v>
      </c>
      <c r="J8831" s="1285"/>
      <c r="K8831" s="1285"/>
      <c r="L8831" s="1285"/>
    </row>
    <row r="8832" spans="1:12" ht="11.15" customHeight="1">
      <c r="A8832" s="29" t="s">
        <v>11960</v>
      </c>
      <c r="B8832" s="177" t="s">
        <v>11936</v>
      </c>
      <c r="C8832" s="147"/>
      <c r="D8832" s="161"/>
      <c r="E8832" s="178" t="s">
        <v>20221</v>
      </c>
      <c r="F8832" s="178"/>
      <c r="G8832" s="497"/>
      <c r="H8832" s="994" t="s">
        <v>20221</v>
      </c>
      <c r="I8832" s="11"/>
      <c r="J8832" s="1285"/>
      <c r="K8832" s="1285"/>
      <c r="L8832" s="1285"/>
    </row>
    <row r="8833" spans="1:12" ht="11.15" customHeight="1">
      <c r="A8833" s="29" t="s">
        <v>11961</v>
      </c>
      <c r="B8833" s="59" t="s">
        <v>21913</v>
      </c>
      <c r="C8833" s="147" t="s">
        <v>20221</v>
      </c>
      <c r="D8833" s="284" t="s">
        <v>897</v>
      </c>
      <c r="E8833" s="178">
        <v>2019</v>
      </c>
      <c r="F8833" s="178" t="s">
        <v>11938</v>
      </c>
      <c r="G8833" s="496"/>
      <c r="H8833" s="994" t="s">
        <v>20224</v>
      </c>
      <c r="I8833" s="11" t="s">
        <v>23339</v>
      </c>
      <c r="J8833" s="1285"/>
      <c r="K8833" s="1285"/>
      <c r="L8833" s="1285"/>
    </row>
    <row r="8834" spans="1:12" ht="11.15" customHeight="1">
      <c r="A8834" s="212" t="s">
        <v>11962</v>
      </c>
      <c r="B8834" s="59" t="s">
        <v>21914</v>
      </c>
      <c r="C8834" s="147" t="s">
        <v>20221</v>
      </c>
      <c r="D8834" s="284" t="s">
        <v>897</v>
      </c>
      <c r="E8834" s="178">
        <v>2016</v>
      </c>
      <c r="F8834" s="178" t="s">
        <v>11938</v>
      </c>
      <c r="G8834" s="496"/>
      <c r="H8834" s="994" t="s">
        <v>20224</v>
      </c>
      <c r="I8834" s="11" t="s">
        <v>23340</v>
      </c>
      <c r="J8834" s="1285"/>
      <c r="K8834" s="1285"/>
      <c r="L8834" s="1285"/>
    </row>
    <row r="8835" spans="1:12" ht="11.15" customHeight="1">
      <c r="A8835" s="129" t="s">
        <v>1630</v>
      </c>
      <c r="B8835" s="59" t="s">
        <v>21915</v>
      </c>
      <c r="C8835" s="147" t="s">
        <v>20221</v>
      </c>
      <c r="D8835" s="284" t="s">
        <v>897</v>
      </c>
      <c r="E8835" s="178">
        <v>2016</v>
      </c>
      <c r="F8835" s="178" t="s">
        <v>11938</v>
      </c>
      <c r="G8835" s="496" t="s">
        <v>20221</v>
      </c>
      <c r="H8835" s="994" t="s">
        <v>3907</v>
      </c>
      <c r="I8835" s="11" t="s">
        <v>23341</v>
      </c>
      <c r="J8835" s="1285"/>
      <c r="K8835" s="1285"/>
      <c r="L8835" s="1285"/>
    </row>
    <row r="8836" spans="1:12" ht="11.15" customHeight="1" thickBot="1">
      <c r="A8836" s="279" t="s">
        <v>10930</v>
      </c>
      <c r="B8836" s="59"/>
      <c r="C8836" s="147"/>
      <c r="D8836" s="284"/>
      <c r="E8836" s="178"/>
      <c r="F8836" s="178"/>
      <c r="G8836" s="496"/>
      <c r="H8836" s="994"/>
      <c r="I8836" s="11"/>
      <c r="J8836" s="1285"/>
      <c r="K8836" s="1285"/>
      <c r="L8836" s="1285"/>
    </row>
    <row r="8837" spans="1:12" ht="11.15" customHeight="1">
      <c r="A8837" s="129" t="s">
        <v>11963</v>
      </c>
      <c r="B8837" s="634" t="s">
        <v>11942</v>
      </c>
      <c r="C8837" s="191"/>
      <c r="D8837" s="307"/>
      <c r="E8837" s="31"/>
      <c r="F8837" s="1069"/>
      <c r="G8837" s="1244"/>
      <c r="H8837" s="1136"/>
      <c r="I8837" s="11"/>
    </row>
    <row r="8838" spans="1:12" ht="11.15" customHeight="1">
      <c r="A8838" s="129" t="s">
        <v>11964</v>
      </c>
      <c r="B8838" s="485" t="s">
        <v>11944</v>
      </c>
      <c r="C8838" s="147"/>
      <c r="D8838" s="161"/>
      <c r="E8838" s="36"/>
      <c r="F8838" s="183"/>
      <c r="G8838" s="496"/>
      <c r="H8838" s="1137"/>
      <c r="I8838" s="11"/>
    </row>
    <row r="8839" spans="1:12" ht="11.15" customHeight="1">
      <c r="A8839" s="129"/>
      <c r="B8839" s="485" t="s">
        <v>11946</v>
      </c>
      <c r="C8839" s="147"/>
      <c r="D8839" s="161"/>
      <c r="E8839" s="36"/>
      <c r="F8839" s="183"/>
      <c r="G8839" s="496"/>
      <c r="H8839" s="1137"/>
      <c r="I8839" s="11"/>
    </row>
    <row r="8840" spans="1:12" ht="11.15" customHeight="1">
      <c r="A8840" s="129"/>
      <c r="B8840" s="485" t="s">
        <v>11948</v>
      </c>
      <c r="C8840" s="147"/>
      <c r="D8840" s="161"/>
      <c r="E8840" s="36"/>
      <c r="F8840" s="183"/>
      <c r="G8840" s="496"/>
      <c r="H8840" s="1137"/>
      <c r="I8840" s="11"/>
    </row>
    <row r="8841" spans="1:12" ht="11.15" customHeight="1">
      <c r="A8841" s="129"/>
      <c r="B8841" s="485" t="s">
        <v>11950</v>
      </c>
      <c r="C8841" s="147"/>
      <c r="D8841" s="182"/>
      <c r="E8841" s="36"/>
      <c r="F8841" s="183"/>
      <c r="G8841" s="497"/>
      <c r="H8841" s="1137"/>
      <c r="I8841" s="11"/>
    </row>
    <row r="8842" spans="1:12" ht="11.15" customHeight="1">
      <c r="A8842" s="129"/>
      <c r="B8842" s="485" t="s">
        <v>11952</v>
      </c>
      <c r="C8842" s="147"/>
      <c r="D8842" s="161"/>
      <c r="E8842" s="36"/>
      <c r="F8842" s="178"/>
      <c r="G8842" s="496"/>
      <c r="H8842" s="628"/>
      <c r="I8842" s="11"/>
    </row>
    <row r="8843" spans="1:12" ht="11.15" customHeight="1" thickBot="1">
      <c r="A8843" s="129"/>
      <c r="B8843" s="487" t="s">
        <v>11954</v>
      </c>
      <c r="C8843" s="203"/>
      <c r="D8843" s="204"/>
      <c r="E8843" s="374"/>
      <c r="F8843" s="568"/>
      <c r="G8843" s="1229"/>
      <c r="H8843" s="630"/>
      <c r="I8843" s="11"/>
    </row>
    <row r="8844" spans="1:12" ht="11.15" customHeight="1">
      <c r="A8844" s="129"/>
      <c r="B8844" s="185"/>
      <c r="C8844" s="147"/>
      <c r="D8844" s="122"/>
      <c r="E8844" s="36"/>
      <c r="F8844" s="178"/>
      <c r="G8844" s="60"/>
      <c r="H8844" s="36"/>
      <c r="I8844" s="11"/>
    </row>
    <row r="8845" spans="1:12" ht="11.15" customHeight="1">
      <c r="A8845" s="185"/>
      <c r="B8845" s="413" t="s">
        <v>11965</v>
      </c>
      <c r="C8845" s="147"/>
      <c r="D8845" s="122"/>
      <c r="E8845" s="36"/>
      <c r="F8845" s="178"/>
      <c r="G8845" s="60"/>
      <c r="H8845" s="36"/>
      <c r="I8845" s="11"/>
    </row>
    <row r="8846" spans="1:12" ht="9" customHeight="1">
      <c r="A8846" s="29"/>
      <c r="B8846" s="150" t="s">
        <v>11966</v>
      </c>
      <c r="C8846" s="147"/>
      <c r="D8846" s="122"/>
      <c r="E8846" s="36"/>
      <c r="F8846" s="178"/>
      <c r="G8846" s="60"/>
      <c r="H8846" s="36"/>
      <c r="I8846" s="11"/>
    </row>
    <row r="8847" spans="1:12" ht="9" customHeight="1">
      <c r="A8847" s="29"/>
      <c r="B8847" s="150" t="s">
        <v>11967</v>
      </c>
      <c r="C8847" s="147"/>
      <c r="D8847" s="122"/>
      <c r="E8847" s="36"/>
      <c r="F8847" s="178"/>
      <c r="G8847" s="60"/>
      <c r="H8847" s="36"/>
      <c r="I8847" s="11"/>
    </row>
    <row r="8848" spans="1:12" ht="9" customHeight="1">
      <c r="A8848" s="29"/>
      <c r="B8848" s="150" t="s">
        <v>11968</v>
      </c>
      <c r="C8848" s="147"/>
      <c r="D8848" s="122"/>
      <c r="E8848" s="36"/>
      <c r="F8848" s="178"/>
      <c r="G8848" s="60"/>
      <c r="H8848" s="36"/>
      <c r="I8848" s="11"/>
    </row>
    <row r="8849" spans="1:12" ht="9" customHeight="1">
      <c r="A8849" s="29"/>
      <c r="B8849" s="150" t="s">
        <v>11969</v>
      </c>
      <c r="C8849" s="147"/>
      <c r="D8849" s="122"/>
      <c r="E8849" s="36"/>
      <c r="F8849" s="178"/>
      <c r="G8849" s="60"/>
      <c r="H8849" s="36"/>
      <c r="I8849" s="11"/>
    </row>
    <row r="8850" spans="1:12" ht="9" customHeight="1" thickBot="1">
      <c r="A8850" s="29"/>
      <c r="B8850" s="150" t="s">
        <v>11970</v>
      </c>
      <c r="C8850" s="147"/>
      <c r="D8850" s="122"/>
      <c r="E8850" s="36"/>
      <c r="F8850" s="178"/>
      <c r="G8850" s="60"/>
      <c r="H8850" s="36"/>
      <c r="I8850" s="11"/>
    </row>
    <row r="8851" spans="1:12" ht="11.15" customHeight="1" thickBot="1">
      <c r="A8851" s="184" t="s">
        <v>11971</v>
      </c>
      <c r="B8851" s="154" t="s">
        <v>11921</v>
      </c>
      <c r="C8851" s="147"/>
      <c r="D8851" s="129"/>
      <c r="E8851" s="185"/>
      <c r="F8851" s="185"/>
      <c r="G8851" s="185"/>
      <c r="H8851" s="185"/>
      <c r="I8851" s="11"/>
    </row>
    <row r="8852" spans="1:12" ht="11.15" customHeight="1">
      <c r="A8852" s="29" t="s">
        <v>11972</v>
      </c>
      <c r="B8852" s="59" t="s">
        <v>21916</v>
      </c>
      <c r="C8852" s="147" t="s">
        <v>20221</v>
      </c>
      <c r="D8852" s="284" t="s">
        <v>897</v>
      </c>
      <c r="E8852" s="178">
        <v>2017</v>
      </c>
      <c r="F8852" s="178" t="s">
        <v>4520</v>
      </c>
      <c r="G8852" s="496"/>
      <c r="H8852" s="994" t="s">
        <v>20221</v>
      </c>
      <c r="I8852" s="11" t="s">
        <v>11973</v>
      </c>
      <c r="J8852" s="1285"/>
      <c r="K8852" s="1285"/>
      <c r="L8852" s="1285"/>
    </row>
    <row r="8853" spans="1:12" ht="11.15" customHeight="1">
      <c r="A8853" s="58" t="s">
        <v>11974</v>
      </c>
      <c r="B8853" s="59" t="s">
        <v>21916</v>
      </c>
      <c r="C8853" s="147" t="s">
        <v>20221</v>
      </c>
      <c r="D8853" s="284" t="s">
        <v>897</v>
      </c>
      <c r="E8853" s="178">
        <v>2016</v>
      </c>
      <c r="F8853" s="178" t="s">
        <v>4520</v>
      </c>
      <c r="G8853" s="496"/>
      <c r="H8853" s="994" t="s">
        <v>20221</v>
      </c>
      <c r="I8853" s="11" t="s">
        <v>11975</v>
      </c>
      <c r="J8853" s="1285"/>
      <c r="K8853" s="1285"/>
      <c r="L8853" s="1285"/>
    </row>
    <row r="8854" spans="1:12" ht="11.15" customHeight="1">
      <c r="A8854" s="58" t="s">
        <v>11976</v>
      </c>
      <c r="B8854" s="59" t="s">
        <v>21916</v>
      </c>
      <c r="C8854" s="147" t="s">
        <v>20221</v>
      </c>
      <c r="D8854" s="284" t="s">
        <v>897</v>
      </c>
      <c r="E8854" s="178">
        <v>2015</v>
      </c>
      <c r="F8854" s="178" t="s">
        <v>4520</v>
      </c>
      <c r="G8854" s="496"/>
      <c r="H8854" s="994" t="s">
        <v>20221</v>
      </c>
      <c r="I8854" s="11" t="s">
        <v>11977</v>
      </c>
      <c r="J8854" s="1285"/>
      <c r="K8854" s="1285"/>
      <c r="L8854" s="1285"/>
    </row>
    <row r="8855" spans="1:12" ht="11.15" customHeight="1">
      <c r="A8855" s="58" t="s">
        <v>11978</v>
      </c>
      <c r="B8855" s="59" t="s">
        <v>376</v>
      </c>
      <c r="C8855" s="147" t="s">
        <v>20221</v>
      </c>
      <c r="D8855" s="284" t="s">
        <v>897</v>
      </c>
      <c r="E8855" s="178">
        <v>2014</v>
      </c>
      <c r="F8855" s="178" t="s">
        <v>4520</v>
      </c>
      <c r="G8855" s="496"/>
      <c r="H8855" s="994" t="s">
        <v>20277</v>
      </c>
      <c r="I8855" s="11" t="s">
        <v>11979</v>
      </c>
      <c r="J8855" s="1285"/>
      <c r="K8855" s="1285"/>
      <c r="L8855" s="1285"/>
    </row>
    <row r="8856" spans="1:12" ht="11.15" customHeight="1">
      <c r="A8856" s="58" t="s">
        <v>11980</v>
      </c>
      <c r="B8856" s="154" t="s">
        <v>11928</v>
      </c>
      <c r="C8856" s="147"/>
      <c r="D8856" s="129"/>
      <c r="E8856" s="185"/>
      <c r="F8856" s="185"/>
      <c r="G8856" s="185"/>
      <c r="H8856" s="185"/>
      <c r="I8856" s="11"/>
    </row>
    <row r="8857" spans="1:12" ht="11.15" customHeight="1">
      <c r="A8857" s="58" t="s">
        <v>11981</v>
      </c>
      <c r="B8857" s="59" t="s">
        <v>21917</v>
      </c>
      <c r="C8857" s="147" t="s">
        <v>20221</v>
      </c>
      <c r="D8857" s="284" t="s">
        <v>897</v>
      </c>
      <c r="E8857" s="178">
        <v>2016</v>
      </c>
      <c r="F8857" s="178" t="s">
        <v>11931</v>
      </c>
      <c r="G8857" s="496"/>
      <c r="H8857" s="994" t="s">
        <v>20277</v>
      </c>
      <c r="I8857" s="11" t="s">
        <v>11982</v>
      </c>
      <c r="J8857" s="1285"/>
      <c r="K8857" s="1285"/>
      <c r="L8857" s="1285"/>
    </row>
    <row r="8858" spans="1:12" ht="11.15" customHeight="1">
      <c r="A8858" s="218" t="s">
        <v>1595</v>
      </c>
      <c r="B8858" s="59" t="s">
        <v>21917</v>
      </c>
      <c r="C8858" s="147" t="s">
        <v>20221</v>
      </c>
      <c r="D8858" s="284" t="s">
        <v>897</v>
      </c>
      <c r="E8858" s="178">
        <v>2015</v>
      </c>
      <c r="F8858" s="178" t="s">
        <v>11931</v>
      </c>
      <c r="G8858" s="496"/>
      <c r="H8858" s="994" t="s">
        <v>20224</v>
      </c>
      <c r="I8858" s="11" t="s">
        <v>11983</v>
      </c>
      <c r="J8858" s="1285"/>
      <c r="K8858" s="1285"/>
      <c r="L8858" s="1285"/>
    </row>
    <row r="8859" spans="1:12" ht="11.15" customHeight="1">
      <c r="A8859" s="195" t="s">
        <v>11984</v>
      </c>
      <c r="B8859" s="154" t="s">
        <v>11985</v>
      </c>
      <c r="C8859" s="147"/>
      <c r="D8859" s="161"/>
      <c r="E8859" s="36"/>
      <c r="F8859" s="178"/>
      <c r="G8859" s="496"/>
      <c r="H8859" s="36"/>
      <c r="I8859" s="11"/>
    </row>
    <row r="8860" spans="1:12" ht="11.15" customHeight="1">
      <c r="A8860" s="129" t="s">
        <v>1077</v>
      </c>
      <c r="B8860" s="59" t="s">
        <v>21918</v>
      </c>
      <c r="C8860" s="147" t="s">
        <v>20221</v>
      </c>
      <c r="D8860" s="284" t="s">
        <v>897</v>
      </c>
      <c r="E8860" s="178">
        <v>2016</v>
      </c>
      <c r="F8860" s="178" t="s">
        <v>11938</v>
      </c>
      <c r="G8860" s="496"/>
      <c r="H8860" s="994" t="s">
        <v>20224</v>
      </c>
      <c r="I8860" s="11" t="s">
        <v>11986</v>
      </c>
      <c r="J8860" s="1285"/>
      <c r="K8860" s="1285"/>
      <c r="L8860" s="1285"/>
    </row>
    <row r="8861" spans="1:12" ht="11.15" customHeight="1">
      <c r="A8861" s="162" t="s">
        <v>11987</v>
      </c>
      <c r="B8861" s="90"/>
      <c r="C8861" s="147"/>
      <c r="D8861" s="161"/>
      <c r="E8861" s="36"/>
      <c r="F8861" s="183"/>
      <c r="G8861" s="496"/>
      <c r="H8861" s="34"/>
      <c r="I8861" s="11"/>
    </row>
    <row r="8862" spans="1:12" ht="11.15" customHeight="1">
      <c r="A8862" s="162" t="s">
        <v>11988</v>
      </c>
      <c r="B8862" s="185"/>
      <c r="C8862" s="147"/>
      <c r="D8862" s="185"/>
      <c r="E8862" s="185"/>
      <c r="F8862" s="185"/>
      <c r="G8862" s="185"/>
      <c r="H8862" s="185"/>
      <c r="I8862" s="11"/>
    </row>
    <row r="8863" spans="1:12" ht="11.15" customHeight="1">
      <c r="A8863" s="162" t="s">
        <v>11989</v>
      </c>
      <c r="B8863" s="185"/>
      <c r="C8863" s="147"/>
      <c r="D8863" s="185"/>
      <c r="E8863" s="185"/>
      <c r="F8863" s="185"/>
      <c r="G8863" s="185"/>
      <c r="H8863" s="185"/>
      <c r="I8863" s="11"/>
    </row>
    <row r="8864" spans="1:12" ht="11.15" customHeight="1">
      <c r="A8864" s="492" t="s">
        <v>3538</v>
      </c>
      <c r="B8864" s="185"/>
      <c r="C8864" s="147"/>
      <c r="D8864" s="185"/>
      <c r="E8864" s="185"/>
      <c r="F8864" s="185"/>
      <c r="G8864" s="185"/>
      <c r="H8864" s="185"/>
      <c r="I8864" s="11"/>
    </row>
    <row r="8865" spans="1:12" ht="11.15" customHeight="1">
      <c r="A8865" s="129" t="s">
        <v>11990</v>
      </c>
      <c r="B8865" s="185"/>
      <c r="C8865" s="147"/>
      <c r="D8865" s="185"/>
      <c r="E8865" s="185"/>
      <c r="F8865" s="185"/>
      <c r="G8865" s="185"/>
      <c r="H8865" s="185"/>
      <c r="I8865" s="11"/>
    </row>
    <row r="8866" spans="1:12" ht="11.15" customHeight="1" thickBot="1">
      <c r="A8866" s="129" t="s">
        <v>11991</v>
      </c>
      <c r="B8866" s="185"/>
      <c r="C8866" s="147"/>
      <c r="D8866" s="185"/>
      <c r="E8866" s="185"/>
      <c r="F8866" s="185"/>
      <c r="G8866" s="185"/>
      <c r="H8866" s="185"/>
      <c r="I8866" s="11"/>
    </row>
    <row r="8867" spans="1:12" ht="24.75" customHeight="1">
      <c r="A8867" s="443"/>
      <c r="B8867" s="298" t="s">
        <v>11992</v>
      </c>
      <c r="C8867" s="191"/>
      <c r="D8867" s="299"/>
      <c r="E8867" s="300"/>
      <c r="F8867" s="1067"/>
      <c r="G8867" s="1198"/>
      <c r="H8867" s="1129"/>
      <c r="I8867" s="11"/>
    </row>
    <row r="8868" spans="1:12" ht="24.75" customHeight="1" thickBot="1">
      <c r="A8868" s="636"/>
      <c r="B8868" s="302" t="s">
        <v>11993</v>
      </c>
      <c r="C8868" s="203"/>
      <c r="D8868" s="303"/>
      <c r="E8868" s="304"/>
      <c r="F8868" s="1068"/>
      <c r="G8868" s="1199"/>
      <c r="H8868" s="1130"/>
      <c r="I8868" s="11"/>
    </row>
    <row r="8869" spans="1:12" ht="9" customHeight="1">
      <c r="A8869" s="185"/>
      <c r="B8869" s="150" t="s">
        <v>11994</v>
      </c>
      <c r="C8869" s="147"/>
      <c r="D8869" s="122"/>
      <c r="E8869" s="36"/>
      <c r="F8869" s="178"/>
      <c r="G8869" s="453"/>
      <c r="H8869" s="36"/>
      <c r="I8869" s="11"/>
    </row>
    <row r="8870" spans="1:12" ht="9" customHeight="1" thickBot="1">
      <c r="A8870" s="185"/>
      <c r="B8870" s="150" t="s">
        <v>11995</v>
      </c>
      <c r="C8870" s="147"/>
      <c r="D8870" s="122"/>
      <c r="E8870" s="36"/>
      <c r="F8870" s="178"/>
      <c r="G8870" s="453"/>
      <c r="H8870" s="36"/>
      <c r="I8870" s="11"/>
    </row>
    <row r="8871" spans="1:12" ht="11.15" customHeight="1" thickBot="1">
      <c r="A8871" s="184" t="s">
        <v>11996</v>
      </c>
      <c r="B8871" s="59" t="s">
        <v>21919</v>
      </c>
      <c r="C8871" s="147" t="s">
        <v>20221</v>
      </c>
      <c r="D8871" s="701" t="s">
        <v>1129</v>
      </c>
      <c r="E8871" s="178">
        <v>2016</v>
      </c>
      <c r="F8871" s="178" t="s">
        <v>4520</v>
      </c>
      <c r="G8871" s="496"/>
      <c r="H8871" s="994" t="s">
        <v>20221</v>
      </c>
      <c r="I8871" s="11" t="s">
        <v>11997</v>
      </c>
      <c r="J8871" s="1285"/>
      <c r="K8871" s="1285"/>
      <c r="L8871" s="1285"/>
    </row>
    <row r="8872" spans="1:12" ht="11.15" customHeight="1">
      <c r="A8872" s="29" t="s">
        <v>11998</v>
      </c>
      <c r="B8872" s="59" t="s">
        <v>21920</v>
      </c>
      <c r="C8872" s="147" t="s">
        <v>20221</v>
      </c>
      <c r="D8872" s="701" t="s">
        <v>1129</v>
      </c>
      <c r="E8872" s="178">
        <v>2014</v>
      </c>
      <c r="F8872" s="178" t="s">
        <v>4520</v>
      </c>
      <c r="G8872" s="496"/>
      <c r="H8872" s="994" t="s">
        <v>20277</v>
      </c>
      <c r="I8872" s="11" t="s">
        <v>11999</v>
      </c>
      <c r="J8872" s="1285"/>
      <c r="K8872" s="1285"/>
      <c r="L8872" s="1285"/>
    </row>
    <row r="8873" spans="1:12" ht="11.15" customHeight="1">
      <c r="A8873" s="29" t="s">
        <v>12000</v>
      </c>
      <c r="B8873" s="185"/>
      <c r="C8873" s="147"/>
      <c r="D8873" s="185"/>
      <c r="E8873" s="185"/>
      <c r="F8873" s="185"/>
      <c r="G8873" s="185"/>
      <c r="H8873" s="185"/>
      <c r="I8873" s="11"/>
    </row>
    <row r="8874" spans="1:12" ht="11.15" customHeight="1">
      <c r="A8874" s="181" t="s">
        <v>12001</v>
      </c>
      <c r="B8874" s="89"/>
      <c r="C8874" s="147"/>
      <c r="D8874" s="159"/>
      <c r="E8874" s="36"/>
      <c r="F8874" s="178"/>
      <c r="G8874" s="671"/>
      <c r="H8874" s="36"/>
      <c r="I8874" s="11"/>
    </row>
    <row r="8875" spans="1:12" ht="11.15" customHeight="1">
      <c r="A8875" s="129" t="s">
        <v>903</v>
      </c>
      <c r="B8875" s="90"/>
      <c r="C8875" s="147"/>
      <c r="D8875" s="122"/>
      <c r="E8875" s="36"/>
      <c r="F8875" s="178"/>
      <c r="G8875" s="453"/>
      <c r="H8875" s="36"/>
      <c r="I8875" s="11"/>
    </row>
    <row r="8876" spans="1:12" ht="11.15" customHeight="1">
      <c r="A8876" s="162" t="s">
        <v>12002</v>
      </c>
      <c r="B8876" s="90"/>
      <c r="C8876" s="147"/>
      <c r="D8876" s="122"/>
      <c r="E8876" s="36"/>
      <c r="F8876" s="178"/>
      <c r="G8876" s="453"/>
      <c r="H8876" s="36"/>
      <c r="I8876" s="11"/>
    </row>
    <row r="8877" spans="1:12" ht="11.15" customHeight="1">
      <c r="A8877" s="162" t="s">
        <v>12003</v>
      </c>
      <c r="B8877" s="90"/>
      <c r="C8877" s="147"/>
      <c r="D8877" s="122"/>
      <c r="E8877" s="36"/>
      <c r="F8877" s="178"/>
      <c r="G8877" s="453"/>
      <c r="H8877" s="36"/>
      <c r="I8877" s="11"/>
    </row>
    <row r="8878" spans="1:12" ht="11.15" customHeight="1">
      <c r="A8878" s="162" t="s">
        <v>12004</v>
      </c>
      <c r="B8878" s="90"/>
      <c r="C8878" s="147"/>
      <c r="D8878" s="122"/>
      <c r="E8878" s="36"/>
      <c r="F8878" s="178"/>
      <c r="G8878" s="453"/>
      <c r="H8878" s="36"/>
      <c r="I8878" s="11"/>
    </row>
    <row r="8879" spans="1:12" ht="11.15" customHeight="1">
      <c r="A8879" s="162" t="s">
        <v>12005</v>
      </c>
      <c r="B8879" s="90"/>
      <c r="C8879" s="147"/>
      <c r="D8879" s="122"/>
      <c r="E8879" s="36"/>
      <c r="F8879" s="178"/>
      <c r="G8879" s="453"/>
      <c r="H8879" s="36"/>
      <c r="I8879" s="11"/>
    </row>
    <row r="8880" spans="1:12" ht="11.15" customHeight="1">
      <c r="A8880" s="162" t="s">
        <v>12006</v>
      </c>
      <c r="B8880" s="90"/>
      <c r="C8880" s="147"/>
      <c r="D8880" s="122"/>
      <c r="E8880" s="36"/>
      <c r="F8880" s="178"/>
      <c r="G8880" s="453"/>
      <c r="H8880" s="36"/>
      <c r="I8880" s="11"/>
    </row>
    <row r="8881" spans="1:12" ht="11.15" customHeight="1">
      <c r="A8881" s="29" t="s">
        <v>12007</v>
      </c>
      <c r="B8881" s="90"/>
      <c r="C8881" s="147"/>
      <c r="D8881" s="122"/>
      <c r="E8881" s="36"/>
      <c r="F8881" s="178"/>
      <c r="G8881" s="453"/>
      <c r="H8881" s="36"/>
      <c r="I8881" s="11"/>
    </row>
    <row r="8882" spans="1:12" ht="11.15" customHeight="1">
      <c r="A8882" s="166" t="s">
        <v>12008</v>
      </c>
      <c r="B8882" s="59"/>
      <c r="C8882" s="147"/>
      <c r="D8882" s="122"/>
      <c r="E8882" s="36"/>
      <c r="F8882" s="178"/>
      <c r="G8882" s="453"/>
      <c r="H8882" s="36"/>
      <c r="I8882" s="11"/>
    </row>
    <row r="8883" spans="1:12" ht="11.15" customHeight="1">
      <c r="A8883" s="166" t="s">
        <v>11041</v>
      </c>
      <c r="B8883" s="90"/>
      <c r="C8883" s="147"/>
      <c r="D8883" s="161"/>
      <c r="E8883" s="36"/>
      <c r="F8883" s="178"/>
      <c r="G8883" s="671"/>
      <c r="H8883" s="36"/>
      <c r="I8883" s="11"/>
    </row>
    <row r="8884" spans="1:12" ht="11.15" customHeight="1">
      <c r="A8884" s="129" t="s">
        <v>12009</v>
      </c>
      <c r="B8884" s="90"/>
      <c r="C8884" s="147"/>
      <c r="D8884" s="122"/>
      <c r="E8884" s="36"/>
      <c r="F8884" s="178"/>
      <c r="G8884" s="60"/>
      <c r="H8884" s="36"/>
      <c r="I8884" s="11"/>
    </row>
    <row r="8885" spans="1:12" ht="11.15" customHeight="1" thickBot="1">
      <c r="A8885" s="336"/>
      <c r="B8885" s="337" t="s">
        <v>12010</v>
      </c>
      <c r="C8885" s="321"/>
      <c r="D8885" s="337"/>
      <c r="E8885" s="547"/>
      <c r="F8885" s="320"/>
      <c r="G8885" s="1245"/>
      <c r="H8885" s="547"/>
      <c r="I8885" s="11"/>
    </row>
    <row r="8886" spans="1:12" ht="11.15" customHeight="1" thickBot="1">
      <c r="A8886" s="343" t="s">
        <v>12011</v>
      </c>
      <c r="B8886" s="324" t="s">
        <v>21922</v>
      </c>
      <c r="C8886" s="321" t="s">
        <v>20221</v>
      </c>
      <c r="D8886" s="1036" t="s">
        <v>8904</v>
      </c>
      <c r="E8886" s="578" t="s">
        <v>19060</v>
      </c>
      <c r="F8886" s="578" t="s">
        <v>4520</v>
      </c>
      <c r="G8886" s="1204"/>
      <c r="H8886" s="1296" t="s">
        <v>20224</v>
      </c>
      <c r="I8886" s="11" t="s">
        <v>12012</v>
      </c>
      <c r="J8886" s="1285"/>
      <c r="K8886" s="1285"/>
      <c r="L8886" s="1285"/>
    </row>
    <row r="8887" spans="1:12" ht="11.15" customHeight="1">
      <c r="A8887" s="319" t="s">
        <v>12013</v>
      </c>
      <c r="B8887" s="329" t="s">
        <v>1220</v>
      </c>
      <c r="C8887" s="321"/>
      <c r="D8887" s="330"/>
      <c r="E8887" s="329"/>
      <c r="F8887" s="329"/>
      <c r="G8887" s="329"/>
      <c r="H8887" s="329"/>
      <c r="I8887" s="11"/>
    </row>
    <row r="8888" spans="1:12" ht="11.15" customHeight="1">
      <c r="A8888" s="319" t="s">
        <v>12014</v>
      </c>
      <c r="B8888" s="329" t="s">
        <v>1220</v>
      </c>
      <c r="C8888" s="321"/>
      <c r="D8888" s="330"/>
      <c r="E8888" s="329"/>
      <c r="F8888" s="329"/>
      <c r="G8888" s="329"/>
      <c r="H8888" s="329"/>
      <c r="I8888" s="11"/>
    </row>
    <row r="8889" spans="1:12" ht="11.15" customHeight="1">
      <c r="A8889" s="319" t="s">
        <v>12015</v>
      </c>
      <c r="B8889" s="329" t="s">
        <v>1220</v>
      </c>
      <c r="C8889" s="321"/>
      <c r="D8889" s="330"/>
      <c r="E8889" s="329"/>
      <c r="F8889" s="329"/>
      <c r="G8889" s="329"/>
      <c r="H8889" s="329"/>
      <c r="I8889" s="11"/>
    </row>
    <row r="8890" spans="1:12" ht="11.15" customHeight="1">
      <c r="A8890" s="319" t="s">
        <v>12016</v>
      </c>
      <c r="B8890" s="329"/>
      <c r="C8890" s="321"/>
      <c r="D8890" s="330"/>
      <c r="E8890" s="329"/>
      <c r="F8890" s="329"/>
      <c r="G8890" s="329"/>
      <c r="H8890" s="329"/>
      <c r="I8890" s="11"/>
    </row>
    <row r="8891" spans="1:12" ht="11.15" customHeight="1">
      <c r="A8891" s="330" t="s">
        <v>12017</v>
      </c>
      <c r="B8891" s="329"/>
      <c r="C8891" s="321"/>
      <c r="D8891" s="329"/>
      <c r="E8891" s="329"/>
      <c r="F8891" s="329"/>
      <c r="G8891" s="329"/>
      <c r="H8891" s="329"/>
      <c r="I8891" s="11"/>
    </row>
    <row r="8892" spans="1:12" ht="11.15" customHeight="1">
      <c r="A8892" s="330" t="s">
        <v>12018</v>
      </c>
      <c r="B8892" s="324"/>
      <c r="C8892" s="321"/>
      <c r="D8892" s="320"/>
      <c r="E8892" s="322"/>
      <c r="F8892" s="578"/>
      <c r="G8892" s="579"/>
      <c r="H8892" s="322"/>
      <c r="I8892" s="11"/>
    </row>
    <row r="8893" spans="1:12" ht="11.15" customHeight="1">
      <c r="A8893" s="185"/>
      <c r="B8893" s="413" t="s">
        <v>12019</v>
      </c>
      <c r="C8893" s="147"/>
      <c r="D8893" s="122"/>
      <c r="E8893" s="36"/>
      <c r="F8893" s="178"/>
      <c r="G8893" s="453"/>
      <c r="H8893" s="36"/>
      <c r="I8893" s="11"/>
    </row>
    <row r="8894" spans="1:12" ht="9" customHeight="1">
      <c r="A8894" s="185"/>
      <c r="B8894" s="150" t="s">
        <v>12020</v>
      </c>
      <c r="C8894" s="147"/>
      <c r="D8894" s="122"/>
      <c r="E8894" s="36"/>
      <c r="F8894" s="178"/>
      <c r="G8894" s="453"/>
      <c r="H8894" s="36"/>
      <c r="I8894" s="11"/>
    </row>
    <row r="8895" spans="1:12" ht="9" customHeight="1">
      <c r="A8895" s="29"/>
      <c r="B8895" s="150" t="s">
        <v>12021</v>
      </c>
      <c r="C8895" s="147"/>
      <c r="D8895" s="122"/>
      <c r="E8895" s="36"/>
      <c r="F8895" s="178"/>
      <c r="G8895" s="453"/>
      <c r="H8895" s="36"/>
      <c r="I8895" s="11"/>
    </row>
    <row r="8896" spans="1:12" ht="9" customHeight="1">
      <c r="A8896" s="185"/>
      <c r="B8896" s="150" t="s">
        <v>12022</v>
      </c>
      <c r="C8896" s="147"/>
      <c r="D8896" s="122"/>
      <c r="E8896" s="36"/>
      <c r="F8896" s="178"/>
      <c r="G8896" s="453"/>
      <c r="H8896" s="36"/>
      <c r="I8896" s="11"/>
    </row>
    <row r="8897" spans="1:12" ht="9" customHeight="1">
      <c r="A8897" s="185"/>
      <c r="B8897" s="150" t="s">
        <v>12023</v>
      </c>
      <c r="C8897" s="147"/>
      <c r="D8897" s="122"/>
      <c r="E8897" s="36"/>
      <c r="F8897" s="178"/>
      <c r="G8897" s="453"/>
      <c r="H8897" s="36"/>
      <c r="I8897" s="11"/>
    </row>
    <row r="8898" spans="1:12" ht="9" customHeight="1" thickBot="1">
      <c r="A8898" s="185"/>
      <c r="B8898" s="150" t="s">
        <v>12024</v>
      </c>
      <c r="C8898" s="147"/>
      <c r="D8898" s="122"/>
      <c r="E8898" s="36"/>
      <c r="F8898" s="178"/>
      <c r="G8898" s="453"/>
      <c r="H8898" s="36"/>
      <c r="I8898" s="11"/>
    </row>
    <row r="8899" spans="1:12" ht="11.15" customHeight="1">
      <c r="A8899" s="153" t="s">
        <v>12025</v>
      </c>
      <c r="B8899" s="154" t="s">
        <v>12026</v>
      </c>
      <c r="C8899" s="147"/>
      <c r="D8899" s="129"/>
      <c r="E8899" s="185"/>
      <c r="F8899" s="185"/>
      <c r="G8899" s="185"/>
      <c r="H8899" s="185"/>
      <c r="I8899" s="11"/>
    </row>
    <row r="8900" spans="1:12" ht="11.15" customHeight="1" thickBot="1">
      <c r="A8900" s="637" t="s">
        <v>12027</v>
      </c>
      <c r="B8900" s="59" t="s">
        <v>21923</v>
      </c>
      <c r="C8900" s="147" t="s">
        <v>23393</v>
      </c>
      <c r="D8900" s="701" t="s">
        <v>884</v>
      </c>
      <c r="E8900" s="178" t="s">
        <v>20253</v>
      </c>
      <c r="F8900" s="178" t="s">
        <v>23395</v>
      </c>
      <c r="G8900" s="496"/>
      <c r="H8900" s="994" t="s">
        <v>20221</v>
      </c>
      <c r="I8900" s="11" t="s">
        <v>12028</v>
      </c>
      <c r="J8900" s="1285"/>
      <c r="K8900" s="1285"/>
      <c r="L8900" s="1285"/>
    </row>
    <row r="8901" spans="1:12" ht="11.15" customHeight="1">
      <c r="A8901" s="484" t="s">
        <v>12029</v>
      </c>
      <c r="B8901" s="59" t="s">
        <v>21924</v>
      </c>
      <c r="C8901" s="147" t="s">
        <v>20221</v>
      </c>
      <c r="D8901" s="701" t="s">
        <v>884</v>
      </c>
      <c r="E8901" s="178">
        <v>2011</v>
      </c>
      <c r="F8901" s="178" t="s">
        <v>4520</v>
      </c>
      <c r="G8901" s="496"/>
      <c r="H8901" s="994" t="s">
        <v>20277</v>
      </c>
      <c r="I8901" s="11" t="s">
        <v>12030</v>
      </c>
      <c r="J8901" s="1285"/>
      <c r="K8901" s="1285"/>
      <c r="L8901" s="1285"/>
    </row>
    <row r="8902" spans="1:12" ht="11.15" customHeight="1">
      <c r="A8902" s="484" t="s">
        <v>12031</v>
      </c>
      <c r="B8902" s="59" t="s">
        <v>21925</v>
      </c>
      <c r="C8902" s="147" t="s">
        <v>20221</v>
      </c>
      <c r="D8902" s="701" t="s">
        <v>884</v>
      </c>
      <c r="E8902" s="178">
        <v>2009</v>
      </c>
      <c r="F8902" s="178" t="s">
        <v>9678</v>
      </c>
      <c r="G8902" s="496"/>
      <c r="H8902" s="994" t="s">
        <v>20277</v>
      </c>
      <c r="I8902" s="11" t="s">
        <v>12032</v>
      </c>
      <c r="J8902" s="1285"/>
      <c r="K8902" s="1285"/>
      <c r="L8902" s="1285"/>
    </row>
    <row r="8903" spans="1:12" ht="11.15" customHeight="1">
      <c r="A8903" s="484" t="s">
        <v>12033</v>
      </c>
      <c r="B8903" s="221" t="s">
        <v>12034</v>
      </c>
      <c r="C8903" s="147"/>
      <c r="D8903" s="159"/>
      <c r="E8903" s="36"/>
      <c r="F8903" s="178"/>
      <c r="G8903" s="496"/>
      <c r="H8903" s="36"/>
      <c r="I8903" s="11"/>
    </row>
    <row r="8904" spans="1:12" ht="11.15" customHeight="1">
      <c r="A8904" s="484" t="s">
        <v>12035</v>
      </c>
      <c r="B8904" s="59" t="s">
        <v>21926</v>
      </c>
      <c r="C8904" s="147" t="s">
        <v>20221</v>
      </c>
      <c r="D8904" s="701" t="s">
        <v>1129</v>
      </c>
      <c r="E8904" s="178">
        <v>2024</v>
      </c>
      <c r="F8904" s="178" t="s">
        <v>23395</v>
      </c>
      <c r="G8904" s="496"/>
      <c r="H8904" s="994" t="s">
        <v>20221</v>
      </c>
      <c r="I8904" s="11" t="s">
        <v>12036</v>
      </c>
      <c r="J8904" s="1285"/>
      <c r="K8904" s="1285"/>
      <c r="L8904" s="1285"/>
    </row>
    <row r="8905" spans="1:12" ht="11.15" customHeight="1">
      <c r="A8905" s="181" t="s">
        <v>12037</v>
      </c>
      <c r="B8905" s="59" t="s">
        <v>21926</v>
      </c>
      <c r="C8905" s="147" t="s">
        <v>23393</v>
      </c>
      <c r="D8905" s="701" t="s">
        <v>1129</v>
      </c>
      <c r="E8905" s="178">
        <v>2023</v>
      </c>
      <c r="F8905" s="178" t="s">
        <v>23395</v>
      </c>
      <c r="G8905" s="496"/>
      <c r="H8905" s="994" t="s">
        <v>20277</v>
      </c>
      <c r="I8905" s="11" t="s">
        <v>12038</v>
      </c>
      <c r="J8905" s="1285"/>
      <c r="K8905" s="1285"/>
      <c r="L8905" s="1285"/>
    </row>
    <row r="8906" spans="1:12" ht="11.15" customHeight="1">
      <c r="A8906" s="181" t="s">
        <v>950</v>
      </c>
      <c r="B8906" s="59" t="s">
        <v>21927</v>
      </c>
      <c r="C8906" s="147" t="s">
        <v>23393</v>
      </c>
      <c r="D8906" s="701" t="s">
        <v>1129</v>
      </c>
      <c r="E8906" s="178">
        <v>2023</v>
      </c>
      <c r="F8906" s="178" t="s">
        <v>4520</v>
      </c>
      <c r="G8906" s="496"/>
      <c r="H8906" s="994" t="s">
        <v>20221</v>
      </c>
      <c r="I8906" s="11" t="s">
        <v>23280</v>
      </c>
      <c r="J8906" s="1285"/>
      <c r="K8906" s="1285"/>
      <c r="L8906" s="1285"/>
    </row>
    <row r="8907" spans="1:12" ht="11.15" customHeight="1">
      <c r="A8907" s="484" t="s">
        <v>12040</v>
      </c>
      <c r="B8907" s="59" t="s">
        <v>21927</v>
      </c>
      <c r="C8907" s="147" t="s">
        <v>23393</v>
      </c>
      <c r="D8907" s="701" t="s">
        <v>1129</v>
      </c>
      <c r="E8907" s="178">
        <v>2021</v>
      </c>
      <c r="F8907" s="178" t="s">
        <v>4520</v>
      </c>
      <c r="G8907" s="496"/>
      <c r="H8907" s="994" t="s">
        <v>20224</v>
      </c>
      <c r="I8907" s="11" t="s">
        <v>12039</v>
      </c>
      <c r="J8907" s="1285"/>
      <c r="K8907" s="1285"/>
      <c r="L8907" s="1285"/>
    </row>
    <row r="8908" spans="1:12" ht="11.15" customHeight="1">
      <c r="A8908" s="484" t="s">
        <v>12042</v>
      </c>
      <c r="B8908" s="59" t="s">
        <v>21927</v>
      </c>
      <c r="C8908" s="147" t="s">
        <v>23393</v>
      </c>
      <c r="D8908" s="701" t="s">
        <v>1129</v>
      </c>
      <c r="E8908" s="178">
        <v>2020</v>
      </c>
      <c r="F8908" s="178" t="s">
        <v>4520</v>
      </c>
      <c r="G8908" s="496"/>
      <c r="H8908" s="994" t="s">
        <v>20277</v>
      </c>
      <c r="I8908" s="11" t="s">
        <v>12041</v>
      </c>
      <c r="J8908" s="1285"/>
      <c r="K8908" s="1285"/>
      <c r="L8908" s="1285"/>
    </row>
    <row r="8909" spans="1:12" ht="11.15" customHeight="1">
      <c r="A8909" s="484" t="s">
        <v>12044</v>
      </c>
      <c r="B8909" s="59" t="s">
        <v>21928</v>
      </c>
      <c r="C8909" s="147" t="s">
        <v>23393</v>
      </c>
      <c r="D8909" s="701" t="s">
        <v>1129</v>
      </c>
      <c r="E8909" s="178">
        <v>2021</v>
      </c>
      <c r="F8909" s="178" t="s">
        <v>4520</v>
      </c>
      <c r="G8909" s="496"/>
      <c r="H8909" s="994" t="s">
        <v>20221</v>
      </c>
      <c r="I8909" s="11" t="s">
        <v>12043</v>
      </c>
      <c r="J8909" s="1285"/>
      <c r="K8909" s="1285"/>
      <c r="L8909" s="1285"/>
    </row>
    <row r="8910" spans="1:12" ht="11.15" customHeight="1">
      <c r="A8910" s="484" t="s">
        <v>12046</v>
      </c>
      <c r="B8910" s="59" t="s">
        <v>21928</v>
      </c>
      <c r="C8910" s="147" t="s">
        <v>23393</v>
      </c>
      <c r="D8910" s="701" t="s">
        <v>1129</v>
      </c>
      <c r="E8910" s="178">
        <v>2020</v>
      </c>
      <c r="F8910" s="178" t="s">
        <v>4520</v>
      </c>
      <c r="G8910" s="496"/>
      <c r="H8910" s="994" t="s">
        <v>20221</v>
      </c>
      <c r="I8910" s="11" t="s">
        <v>12045</v>
      </c>
      <c r="J8910" s="1285"/>
      <c r="K8910" s="1285"/>
      <c r="L8910" s="1285"/>
    </row>
    <row r="8911" spans="1:12" ht="11.15" customHeight="1">
      <c r="A8911" s="423" t="s">
        <v>12048</v>
      </c>
      <c r="B8911" s="59" t="s">
        <v>21928</v>
      </c>
      <c r="C8911" s="147" t="s">
        <v>20221</v>
      </c>
      <c r="D8911" s="701" t="s">
        <v>1129</v>
      </c>
      <c r="E8911" s="178">
        <v>2015</v>
      </c>
      <c r="F8911" s="178" t="s">
        <v>4520</v>
      </c>
      <c r="G8911" s="496"/>
      <c r="H8911" s="994" t="s">
        <v>20224</v>
      </c>
      <c r="I8911" s="11" t="s">
        <v>12047</v>
      </c>
      <c r="J8911" s="1285"/>
      <c r="K8911" s="1285"/>
      <c r="L8911" s="1285"/>
    </row>
    <row r="8912" spans="1:12" ht="11.15" customHeight="1">
      <c r="A8912" s="638" t="s">
        <v>12050</v>
      </c>
      <c r="B8912" s="154" t="s">
        <v>12049</v>
      </c>
      <c r="C8912" s="147"/>
      <c r="D8912" s="185"/>
      <c r="E8912" s="185"/>
      <c r="F8912" s="185"/>
      <c r="G8912" s="185"/>
      <c r="H8912" s="185"/>
      <c r="I8912" s="11"/>
    </row>
    <row r="8913" spans="1:12" ht="11.15" customHeight="1">
      <c r="A8913" s="638" t="s">
        <v>12052</v>
      </c>
      <c r="B8913" s="59" t="s">
        <v>21929</v>
      </c>
      <c r="C8913" s="147" t="s">
        <v>20221</v>
      </c>
      <c r="D8913" s="701" t="s">
        <v>1129</v>
      </c>
      <c r="E8913" s="178">
        <v>2020</v>
      </c>
      <c r="F8913" s="178" t="s">
        <v>4520</v>
      </c>
      <c r="G8913" s="496"/>
      <c r="H8913" s="994" t="s">
        <v>20221</v>
      </c>
      <c r="I8913" s="11" t="s">
        <v>12051</v>
      </c>
      <c r="J8913" s="1285"/>
      <c r="K8913" s="1285"/>
      <c r="L8913" s="1285"/>
    </row>
    <row r="8914" spans="1:12" ht="11.15" customHeight="1">
      <c r="A8914" s="638" t="s">
        <v>12054</v>
      </c>
      <c r="B8914" s="59" t="s">
        <v>21930</v>
      </c>
      <c r="C8914" s="147" t="s">
        <v>20221</v>
      </c>
      <c r="D8914" s="701" t="s">
        <v>1129</v>
      </c>
      <c r="E8914" s="178">
        <v>2014</v>
      </c>
      <c r="F8914" s="178" t="s">
        <v>11931</v>
      </c>
      <c r="G8914" s="496"/>
      <c r="H8914" s="994" t="s">
        <v>20224</v>
      </c>
      <c r="I8914" s="11" t="s">
        <v>12053</v>
      </c>
      <c r="J8914" s="1285"/>
      <c r="K8914" s="1285"/>
      <c r="L8914" s="1285"/>
    </row>
    <row r="8915" spans="1:12" ht="11.15" customHeight="1">
      <c r="A8915" s="638" t="s">
        <v>12056</v>
      </c>
      <c r="B8915" s="59" t="s">
        <v>21930</v>
      </c>
      <c r="C8915" s="147" t="s">
        <v>20221</v>
      </c>
      <c r="D8915" s="701" t="s">
        <v>1129</v>
      </c>
      <c r="E8915" s="178">
        <v>2013</v>
      </c>
      <c r="F8915" s="178" t="s">
        <v>9678</v>
      </c>
      <c r="G8915" s="496"/>
      <c r="H8915" s="994" t="s">
        <v>20224</v>
      </c>
      <c r="I8915" s="11" t="s">
        <v>12055</v>
      </c>
      <c r="J8915" s="1285"/>
      <c r="K8915" s="1285"/>
      <c r="L8915" s="1285"/>
    </row>
    <row r="8916" spans="1:12" ht="11.15" customHeight="1">
      <c r="A8916" s="638" t="s">
        <v>12058</v>
      </c>
      <c r="B8916" s="154" t="s">
        <v>12057</v>
      </c>
      <c r="C8916" s="147"/>
      <c r="D8916" s="185"/>
      <c r="E8916" s="185"/>
      <c r="F8916" s="185"/>
      <c r="G8916" s="185"/>
      <c r="H8916" s="185"/>
      <c r="I8916" s="11"/>
    </row>
    <row r="8917" spans="1:12" ht="11.15" customHeight="1">
      <c r="A8917" s="423" t="s">
        <v>12060</v>
      </c>
      <c r="B8917" s="59" t="s">
        <v>21931</v>
      </c>
      <c r="C8917" s="147" t="s">
        <v>20221</v>
      </c>
      <c r="D8917" s="701" t="s">
        <v>1129</v>
      </c>
      <c r="E8917" s="178">
        <v>2014</v>
      </c>
      <c r="F8917" s="178" t="s">
        <v>7168</v>
      </c>
      <c r="G8917" s="496"/>
      <c r="H8917" s="994" t="s">
        <v>20221</v>
      </c>
      <c r="I8917" s="11" t="s">
        <v>12059</v>
      </c>
      <c r="J8917" s="1285"/>
      <c r="K8917" s="1285"/>
      <c r="L8917" s="1285"/>
    </row>
    <row r="8918" spans="1:12" ht="11.15" customHeight="1">
      <c r="A8918" s="638" t="s">
        <v>12062</v>
      </c>
      <c r="B8918" s="59" t="s">
        <v>21932</v>
      </c>
      <c r="C8918" s="147" t="s">
        <v>23393</v>
      </c>
      <c r="D8918" s="701" t="s">
        <v>1129</v>
      </c>
      <c r="E8918" s="178">
        <v>2016</v>
      </c>
      <c r="F8918" s="178" t="s">
        <v>4520</v>
      </c>
      <c r="G8918" s="496"/>
      <c r="H8918" s="994" t="s">
        <v>20224</v>
      </c>
      <c r="I8918" s="11" t="s">
        <v>12061</v>
      </c>
      <c r="J8918" s="1285"/>
      <c r="K8918" s="1285"/>
      <c r="L8918" s="1285"/>
    </row>
    <row r="8919" spans="1:12" ht="11.15" customHeight="1">
      <c r="A8919" s="164" t="s">
        <v>12064</v>
      </c>
      <c r="B8919" s="59" t="s">
        <v>21933</v>
      </c>
      <c r="C8919" s="147" t="s">
        <v>20221</v>
      </c>
      <c r="D8919" s="701" t="s">
        <v>1129</v>
      </c>
      <c r="E8919" s="178">
        <v>2008</v>
      </c>
      <c r="F8919" s="178" t="s">
        <v>23394</v>
      </c>
      <c r="G8919" s="496"/>
      <c r="H8919" s="994" t="s">
        <v>20224</v>
      </c>
      <c r="I8919" s="11" t="s">
        <v>12063</v>
      </c>
      <c r="J8919" s="1285"/>
      <c r="K8919" s="1285"/>
      <c r="L8919" s="1285"/>
    </row>
    <row r="8920" spans="1:12" ht="11.15" customHeight="1">
      <c r="A8920" s="164" t="s">
        <v>12065</v>
      </c>
      <c r="B8920" s="185"/>
      <c r="C8920" s="147"/>
      <c r="D8920" s="129"/>
      <c r="E8920" s="185"/>
      <c r="F8920" s="185"/>
      <c r="G8920" s="185"/>
      <c r="H8920" s="185"/>
      <c r="I8920" s="11"/>
    </row>
    <row r="8921" spans="1:12" ht="11.15" customHeight="1">
      <c r="A8921" s="638" t="s">
        <v>12066</v>
      </c>
      <c r="B8921" s="274"/>
      <c r="C8921" s="147"/>
      <c r="D8921" s="159"/>
      <c r="E8921" s="36"/>
      <c r="F8921" s="183"/>
      <c r="G8921" s="496"/>
      <c r="H8921" s="34"/>
      <c r="I8921" s="11"/>
    </row>
    <row r="8922" spans="1:12" ht="11.15" customHeight="1">
      <c r="A8922" s="164" t="s">
        <v>12067</v>
      </c>
      <c r="B8922" s="90"/>
      <c r="C8922" s="147"/>
      <c r="D8922" s="159"/>
      <c r="E8922" s="36"/>
      <c r="F8922" s="183"/>
      <c r="G8922" s="496"/>
      <c r="H8922" s="34"/>
      <c r="I8922" s="11"/>
    </row>
    <row r="8923" spans="1:12" ht="11.15" customHeight="1">
      <c r="A8923" s="164" t="s">
        <v>12068</v>
      </c>
      <c r="B8923" s="90"/>
      <c r="C8923" s="147"/>
      <c r="D8923" s="159"/>
      <c r="E8923" s="36"/>
      <c r="F8923" s="183"/>
      <c r="G8923" s="496"/>
      <c r="H8923" s="34"/>
      <c r="I8923" s="11"/>
    </row>
    <row r="8924" spans="1:12" ht="11.15" customHeight="1">
      <c r="A8924" s="423" t="s">
        <v>1308</v>
      </c>
      <c r="B8924" s="90"/>
      <c r="C8924" s="147"/>
      <c r="D8924" s="159"/>
      <c r="E8924" s="36"/>
      <c r="F8924" s="183"/>
      <c r="G8924" s="496"/>
      <c r="H8924" s="34"/>
      <c r="I8924" s="11"/>
    </row>
    <row r="8925" spans="1:12" ht="11.15" customHeight="1">
      <c r="A8925" s="164" t="s">
        <v>12069</v>
      </c>
      <c r="B8925" s="90"/>
      <c r="C8925" s="147"/>
      <c r="D8925" s="159"/>
      <c r="E8925" s="36"/>
      <c r="F8925" s="183"/>
      <c r="G8925" s="496"/>
      <c r="H8925" s="34"/>
      <c r="I8925" s="11"/>
    </row>
    <row r="8926" spans="1:12" ht="11.15" customHeight="1">
      <c r="A8926" s="164" t="s">
        <v>12070</v>
      </c>
      <c r="B8926" s="90"/>
      <c r="C8926" s="147"/>
      <c r="D8926" s="159"/>
      <c r="E8926" s="36"/>
      <c r="F8926" s="183"/>
      <c r="G8926" s="496"/>
      <c r="H8926" s="34"/>
      <c r="I8926" s="11"/>
    </row>
    <row r="8927" spans="1:12" ht="11.15" customHeight="1">
      <c r="A8927" s="164" t="s">
        <v>12071</v>
      </c>
      <c r="B8927" s="90"/>
      <c r="C8927" s="147"/>
      <c r="D8927" s="159"/>
      <c r="E8927" s="36"/>
      <c r="F8927" s="183"/>
      <c r="G8927" s="496"/>
      <c r="H8927" s="34"/>
      <c r="I8927" s="11"/>
    </row>
    <row r="8928" spans="1:12" ht="11.15" customHeight="1">
      <c r="A8928" s="164" t="s">
        <v>12072</v>
      </c>
      <c r="B8928" s="90"/>
      <c r="C8928" s="147"/>
      <c r="D8928" s="159"/>
      <c r="E8928" s="36"/>
      <c r="F8928" s="183"/>
      <c r="G8928" s="496"/>
      <c r="H8928" s="34"/>
      <c r="I8928" s="11"/>
    </row>
    <row r="8929" spans="1:12" ht="11.15" customHeight="1">
      <c r="A8929" s="164" t="s">
        <v>12073</v>
      </c>
      <c r="B8929" s="90"/>
      <c r="C8929" s="147"/>
      <c r="D8929" s="159"/>
      <c r="E8929" s="36"/>
      <c r="F8929" s="183"/>
      <c r="G8929" s="496"/>
      <c r="H8929" s="34"/>
      <c r="I8929" s="11"/>
    </row>
    <row r="8930" spans="1:12" ht="9.75" customHeight="1">
      <c r="A8930" s="164" t="s">
        <v>12074</v>
      </c>
      <c r="B8930" s="90"/>
      <c r="C8930" s="147"/>
      <c r="D8930" s="159"/>
      <c r="E8930" s="36"/>
      <c r="F8930" s="183"/>
      <c r="G8930" s="496"/>
      <c r="H8930" s="34"/>
      <c r="I8930" s="11"/>
    </row>
    <row r="8931" spans="1:12" ht="10.5" customHeight="1">
      <c r="A8931" s="164" t="s">
        <v>12075</v>
      </c>
      <c r="B8931" s="90"/>
      <c r="C8931" s="147"/>
      <c r="D8931" s="159"/>
      <c r="E8931" s="36"/>
      <c r="F8931" s="183"/>
      <c r="G8931" s="496"/>
      <c r="H8931" s="34"/>
      <c r="I8931" s="11"/>
    </row>
    <row r="8932" spans="1:12" ht="10.5" customHeight="1">
      <c r="A8932" s="164" t="s">
        <v>12076</v>
      </c>
      <c r="B8932" s="90"/>
      <c r="C8932" s="147"/>
      <c r="D8932" s="159"/>
      <c r="E8932" s="36"/>
      <c r="F8932" s="183"/>
      <c r="G8932" s="496"/>
      <c r="H8932" s="34"/>
      <c r="I8932" s="11"/>
    </row>
    <row r="8933" spans="1:12" ht="10.5" customHeight="1">
      <c r="A8933" s="164" t="s">
        <v>12077</v>
      </c>
      <c r="B8933" s="90"/>
      <c r="C8933" s="147"/>
      <c r="D8933" s="159"/>
      <c r="E8933" s="36"/>
      <c r="F8933" s="183"/>
      <c r="G8933" s="496"/>
      <c r="H8933" s="34"/>
      <c r="I8933" s="11"/>
    </row>
    <row r="8934" spans="1:12" ht="10.5" customHeight="1">
      <c r="A8934" s="164" t="s">
        <v>12078</v>
      </c>
      <c r="B8934" s="90"/>
      <c r="C8934" s="147"/>
      <c r="D8934" s="159"/>
      <c r="E8934" s="36"/>
      <c r="F8934" s="183"/>
      <c r="G8934" s="496"/>
      <c r="H8934" s="34"/>
      <c r="I8934" s="11"/>
    </row>
    <row r="8935" spans="1:12" ht="11.15" customHeight="1">
      <c r="A8935" s="484" t="s">
        <v>12079</v>
      </c>
      <c r="B8935" s="90"/>
      <c r="C8935" s="147"/>
      <c r="D8935" s="122"/>
      <c r="E8935" s="36"/>
      <c r="F8935" s="178"/>
      <c r="G8935" s="60"/>
      <c r="H8935" s="36"/>
      <c r="I8935" s="11"/>
    </row>
    <row r="8936" spans="1:12" ht="10.5" customHeight="1">
      <c r="A8936" s="484" t="s">
        <v>12080</v>
      </c>
      <c r="B8936" s="90"/>
      <c r="C8936" s="147"/>
      <c r="D8936" s="159"/>
      <c r="E8936" s="36"/>
      <c r="F8936" s="183"/>
      <c r="G8936" s="496"/>
      <c r="H8936" s="34"/>
      <c r="I8936" s="11"/>
    </row>
    <row r="8937" spans="1:12" ht="10.5" customHeight="1">
      <c r="A8937" s="169" t="s">
        <v>12081</v>
      </c>
      <c r="B8937" s="90"/>
      <c r="C8937" s="147"/>
      <c r="D8937" s="159"/>
      <c r="E8937" s="36"/>
      <c r="F8937" s="183"/>
      <c r="G8937" s="496"/>
      <c r="H8937" s="34"/>
      <c r="I8937" s="11"/>
    </row>
    <row r="8938" spans="1:12" ht="10.5" customHeight="1">
      <c r="A8938" s="129" t="s">
        <v>12082</v>
      </c>
      <c r="B8938" s="90"/>
      <c r="C8938" s="147"/>
      <c r="D8938" s="159"/>
      <c r="E8938" s="36"/>
      <c r="F8938" s="183"/>
      <c r="G8938" s="496"/>
      <c r="H8938" s="34"/>
      <c r="I8938" s="11"/>
    </row>
    <row r="8939" spans="1:12" ht="11.15" customHeight="1" thickBot="1">
      <c r="A8939" s="185"/>
      <c r="B8939" s="286"/>
      <c r="C8939" s="590"/>
      <c r="D8939" s="590"/>
      <c r="E8939" s="178"/>
      <c r="F8939" s="178"/>
      <c r="G8939" s="60"/>
      <c r="H8939" s="178"/>
    </row>
    <row r="8940" spans="1:12" ht="11.15" customHeight="1" thickBot="1">
      <c r="A8940" s="184" t="s">
        <v>12083</v>
      </c>
      <c r="B8940" s="154" t="s">
        <v>12084</v>
      </c>
      <c r="C8940" s="147"/>
      <c r="D8940" s="159"/>
      <c r="E8940" s="185"/>
      <c r="F8940" s="185"/>
      <c r="G8940" s="416"/>
      <c r="H8940" s="185"/>
      <c r="I8940" s="11"/>
    </row>
    <row r="8941" spans="1:12" ht="11.15" customHeight="1">
      <c r="A8941" s="29" t="s">
        <v>12085</v>
      </c>
      <c r="B8941" s="59" t="s">
        <v>21934</v>
      </c>
      <c r="C8941" s="147" t="s">
        <v>20221</v>
      </c>
      <c r="D8941" s="701" t="s">
        <v>1129</v>
      </c>
      <c r="E8941" s="178">
        <v>2017</v>
      </c>
      <c r="F8941" s="178" t="s">
        <v>4520</v>
      </c>
      <c r="G8941" s="496"/>
      <c r="H8941" s="994" t="s">
        <v>20221</v>
      </c>
      <c r="I8941" s="11" t="s">
        <v>12086</v>
      </c>
      <c r="J8941" s="1285"/>
      <c r="K8941" s="1285"/>
      <c r="L8941" s="1285"/>
    </row>
    <row r="8942" spans="1:12" ht="11.15" customHeight="1">
      <c r="A8942" s="29" t="s">
        <v>12087</v>
      </c>
      <c r="B8942" s="59" t="s">
        <v>21934</v>
      </c>
      <c r="C8942" s="147" t="s">
        <v>20221</v>
      </c>
      <c r="D8942" s="701" t="s">
        <v>1129</v>
      </c>
      <c r="E8942" s="178">
        <v>2016</v>
      </c>
      <c r="F8942" s="178" t="s">
        <v>4520</v>
      </c>
      <c r="G8942" s="496"/>
      <c r="H8942" s="994" t="s">
        <v>20221</v>
      </c>
      <c r="I8942" s="11" t="s">
        <v>12088</v>
      </c>
      <c r="J8942" s="1285"/>
      <c r="K8942" s="1285"/>
      <c r="L8942" s="1285"/>
    </row>
    <row r="8943" spans="1:12" ht="11.15" customHeight="1">
      <c r="A8943" s="29" t="s">
        <v>12089</v>
      </c>
      <c r="B8943" s="59" t="s">
        <v>21934</v>
      </c>
      <c r="C8943" s="147" t="s">
        <v>20221</v>
      </c>
      <c r="D8943" s="701" t="s">
        <v>1129</v>
      </c>
      <c r="E8943" s="178">
        <v>2014</v>
      </c>
      <c r="F8943" s="178" t="s">
        <v>4520</v>
      </c>
      <c r="G8943" s="496"/>
      <c r="H8943" s="994" t="s">
        <v>20465</v>
      </c>
      <c r="I8943" s="11" t="s">
        <v>12090</v>
      </c>
      <c r="J8943" s="1285"/>
      <c r="K8943" s="1285"/>
      <c r="L8943" s="1285"/>
    </row>
    <row r="8944" spans="1:12" ht="11.15" customHeight="1">
      <c r="A8944" s="181" t="s">
        <v>950</v>
      </c>
      <c r="B8944" s="154" t="s">
        <v>10962</v>
      </c>
      <c r="C8944" s="147"/>
      <c r="D8944" s="161"/>
      <c r="E8944" s="36"/>
      <c r="F8944" s="178"/>
      <c r="G8944" s="497"/>
      <c r="H8944" s="36"/>
      <c r="I8944" s="11"/>
    </row>
    <row r="8945" spans="1:12" ht="11.15" customHeight="1">
      <c r="A8945" s="129" t="s">
        <v>12091</v>
      </c>
      <c r="B8945" s="59" t="s">
        <v>21936</v>
      </c>
      <c r="C8945" s="147" t="s">
        <v>20221</v>
      </c>
      <c r="D8945" s="284" t="s">
        <v>897</v>
      </c>
      <c r="E8945" s="178">
        <v>2011</v>
      </c>
      <c r="F8945" s="178" t="s">
        <v>4520</v>
      </c>
      <c r="G8945" s="496"/>
      <c r="H8945" s="994" t="s">
        <v>20221</v>
      </c>
      <c r="I8945" s="11" t="s">
        <v>12092</v>
      </c>
      <c r="J8945" s="1285"/>
      <c r="K8945" s="1285"/>
      <c r="L8945" s="1285"/>
    </row>
    <row r="8946" spans="1:12" ht="11.15" customHeight="1">
      <c r="A8946" s="129"/>
      <c r="B8946" s="59" t="s">
        <v>21935</v>
      </c>
      <c r="C8946" s="147" t="s">
        <v>20221</v>
      </c>
      <c r="D8946" s="284" t="s">
        <v>897</v>
      </c>
      <c r="E8946" s="178">
        <v>2011</v>
      </c>
      <c r="F8946" s="178" t="s">
        <v>4520</v>
      </c>
      <c r="G8946" s="496"/>
      <c r="H8946" s="994" t="s">
        <v>20277</v>
      </c>
      <c r="I8946" s="11" t="s">
        <v>12093</v>
      </c>
      <c r="J8946" s="1285"/>
      <c r="K8946" s="1285"/>
      <c r="L8946" s="1285"/>
    </row>
    <row r="8947" spans="1:12" ht="11.15" customHeight="1" thickBot="1">
      <c r="A8947" s="29"/>
      <c r="B8947" s="36" t="s">
        <v>12094</v>
      </c>
      <c r="C8947" s="147"/>
      <c r="D8947" s="161"/>
      <c r="E8947" s="36"/>
      <c r="F8947" s="178"/>
      <c r="G8947" s="496"/>
      <c r="H8947" s="36"/>
      <c r="I8947" s="11"/>
    </row>
    <row r="8948" spans="1:12" ht="11.15" customHeight="1" thickBot="1">
      <c r="A8948" s="184" t="s">
        <v>12095</v>
      </c>
      <c r="B8948" s="36"/>
      <c r="C8948" s="147"/>
      <c r="D8948" s="161"/>
      <c r="E8948" s="36"/>
      <c r="F8948" s="178"/>
      <c r="G8948" s="496"/>
      <c r="H8948" s="36"/>
      <c r="I8948" s="11"/>
    </row>
    <row r="8949" spans="1:12" ht="11.15" customHeight="1">
      <c r="A8949" s="29" t="s">
        <v>12096</v>
      </c>
      <c r="B8949" s="59" t="s">
        <v>21937</v>
      </c>
      <c r="C8949" s="147" t="s">
        <v>20221</v>
      </c>
      <c r="D8949" s="284" t="s">
        <v>897</v>
      </c>
      <c r="E8949" s="178">
        <v>2020</v>
      </c>
      <c r="F8949" s="178" t="s">
        <v>4520</v>
      </c>
      <c r="G8949" s="496"/>
      <c r="H8949" s="994" t="s">
        <v>20221</v>
      </c>
      <c r="I8949" s="11" t="s">
        <v>12097</v>
      </c>
      <c r="J8949" s="1285"/>
      <c r="K8949" s="1285"/>
      <c r="L8949" s="1285"/>
    </row>
    <row r="8950" spans="1:12" ht="11.15" customHeight="1">
      <c r="A8950" s="355" t="s">
        <v>12098</v>
      </c>
      <c r="B8950" s="59" t="s">
        <v>21937</v>
      </c>
      <c r="C8950" s="147" t="s">
        <v>20221</v>
      </c>
      <c r="D8950" s="284" t="s">
        <v>897</v>
      </c>
      <c r="E8950" s="178">
        <v>2019</v>
      </c>
      <c r="F8950" s="178" t="s">
        <v>4520</v>
      </c>
      <c r="G8950" s="496"/>
      <c r="H8950" s="994" t="s">
        <v>20221</v>
      </c>
      <c r="I8950" s="11" t="s">
        <v>12099</v>
      </c>
      <c r="J8950" s="1285"/>
      <c r="K8950" s="1285"/>
      <c r="L8950" s="1285"/>
    </row>
    <row r="8951" spans="1:12" ht="11.15" customHeight="1">
      <c r="A8951" s="355" t="s">
        <v>12100</v>
      </c>
      <c r="B8951" s="59" t="s">
        <v>21937</v>
      </c>
      <c r="C8951" s="147" t="s">
        <v>20221</v>
      </c>
      <c r="D8951" s="284" t="s">
        <v>897</v>
      </c>
      <c r="E8951" s="178">
        <v>2017</v>
      </c>
      <c r="F8951" s="178" t="s">
        <v>4520</v>
      </c>
      <c r="G8951" s="496"/>
      <c r="H8951" s="994" t="s">
        <v>20221</v>
      </c>
      <c r="I8951" s="11" t="s">
        <v>12101</v>
      </c>
      <c r="J8951" s="1285"/>
      <c r="K8951" s="1285"/>
      <c r="L8951" s="1285"/>
    </row>
    <row r="8952" spans="1:12" ht="11.15" customHeight="1" thickBot="1">
      <c r="A8952" s="355" t="s">
        <v>12102</v>
      </c>
      <c r="B8952" s="185"/>
      <c r="C8952" s="147"/>
      <c r="D8952" s="161"/>
      <c r="E8952" s="36"/>
      <c r="F8952" s="178"/>
      <c r="G8952" s="496"/>
      <c r="H8952" s="36"/>
      <c r="I8952" s="11"/>
    </row>
    <row r="8953" spans="1:12" ht="11.15" customHeight="1">
      <c r="A8953" s="355" t="s">
        <v>12103</v>
      </c>
      <c r="B8953" s="639" t="s">
        <v>12104</v>
      </c>
      <c r="C8953" s="191"/>
      <c r="D8953" s="640"/>
      <c r="E8953" s="641"/>
      <c r="F8953" s="1083"/>
      <c r="G8953" s="1246"/>
      <c r="H8953" s="1138"/>
      <c r="I8953" s="11"/>
    </row>
    <row r="8954" spans="1:12" ht="11.15" customHeight="1">
      <c r="A8954" s="355" t="s">
        <v>12105</v>
      </c>
      <c r="B8954" s="642" t="s">
        <v>12106</v>
      </c>
      <c r="C8954" s="147"/>
      <c r="D8954" s="149"/>
      <c r="E8954" s="643"/>
      <c r="F8954" s="1084"/>
      <c r="G8954" s="1247"/>
      <c r="H8954" s="1139"/>
      <c r="I8954" s="11"/>
    </row>
    <row r="8955" spans="1:12" ht="11.15" customHeight="1">
      <c r="A8955" s="355" t="s">
        <v>12107</v>
      </c>
      <c r="B8955" s="642" t="s">
        <v>12108</v>
      </c>
      <c r="C8955" s="147"/>
      <c r="D8955" s="149"/>
      <c r="E8955" s="643"/>
      <c r="F8955" s="1084"/>
      <c r="G8955" s="1247"/>
      <c r="H8955" s="1139"/>
      <c r="I8955" s="11"/>
    </row>
    <row r="8956" spans="1:12" ht="11.15" customHeight="1">
      <c r="A8956" s="355" t="s">
        <v>12109</v>
      </c>
      <c r="B8956" s="642" t="s">
        <v>12110</v>
      </c>
      <c r="C8956" s="147"/>
      <c r="D8956" s="149"/>
      <c r="E8956" s="643"/>
      <c r="F8956" s="1084"/>
      <c r="G8956" s="1247"/>
      <c r="H8956" s="1139"/>
      <c r="I8956" s="11"/>
    </row>
    <row r="8957" spans="1:12" ht="11.15" customHeight="1">
      <c r="A8957" s="355" t="s">
        <v>12111</v>
      </c>
      <c r="B8957" s="642" t="s">
        <v>12112</v>
      </c>
      <c r="C8957" s="147"/>
      <c r="D8957" s="149"/>
      <c r="E8957" s="643"/>
      <c r="F8957" s="1084"/>
      <c r="G8957" s="1247"/>
      <c r="H8957" s="1139"/>
      <c r="I8957" s="11"/>
    </row>
    <row r="8958" spans="1:12" ht="11.15" customHeight="1">
      <c r="A8958" s="355" t="s">
        <v>12113</v>
      </c>
      <c r="B8958" s="642" t="s">
        <v>12114</v>
      </c>
      <c r="C8958" s="147"/>
      <c r="D8958" s="149"/>
      <c r="E8958" s="643"/>
      <c r="F8958" s="1084"/>
      <c r="G8958" s="1247"/>
      <c r="H8958" s="1139"/>
      <c r="I8958" s="11"/>
    </row>
    <row r="8959" spans="1:12" ht="11.15" customHeight="1">
      <c r="A8959" s="166" t="s">
        <v>11041</v>
      </c>
      <c r="B8959" s="642" t="s">
        <v>12115</v>
      </c>
      <c r="C8959" s="147"/>
      <c r="D8959" s="149"/>
      <c r="E8959" s="643"/>
      <c r="F8959" s="1084"/>
      <c r="G8959" s="1247"/>
      <c r="H8959" s="1139"/>
      <c r="I8959" s="11"/>
    </row>
    <row r="8960" spans="1:12" ht="11.15" customHeight="1" thickBot="1">
      <c r="A8960" s="166" t="s">
        <v>12116</v>
      </c>
      <c r="B8960" s="644" t="s">
        <v>12117</v>
      </c>
      <c r="C8960" s="203"/>
      <c r="D8960" s="645"/>
      <c r="E8960" s="646"/>
      <c r="F8960" s="1085"/>
      <c r="G8960" s="1248"/>
      <c r="H8960" s="1140"/>
      <c r="I8960" s="11"/>
    </row>
    <row r="8961" spans="1:12" ht="11.15" customHeight="1">
      <c r="A8961" s="492" t="s">
        <v>6714</v>
      </c>
      <c r="B8961" s="90"/>
      <c r="C8961" s="147"/>
      <c r="D8961" s="161"/>
      <c r="E8961" s="544"/>
      <c r="F8961" s="965"/>
      <c r="G8961" s="1233"/>
      <c r="H8961" s="545"/>
      <c r="I8961" s="11"/>
    </row>
    <row r="8962" spans="1:12" ht="11.15" customHeight="1" thickBot="1">
      <c r="A8962" s="129" t="s">
        <v>12118</v>
      </c>
      <c r="B8962" s="226"/>
      <c r="C8962" s="147"/>
      <c r="D8962" s="161"/>
      <c r="E8962" s="36"/>
      <c r="F8962" s="183"/>
      <c r="G8962" s="496"/>
      <c r="H8962" s="34"/>
      <c r="I8962" s="11"/>
    </row>
    <row r="8963" spans="1:12" ht="24.75" customHeight="1" thickBot="1">
      <c r="A8963" s="647"/>
      <c r="B8963" s="64" t="s">
        <v>12119</v>
      </c>
      <c r="C8963" s="170"/>
      <c r="D8963" s="139"/>
      <c r="E8963" s="235"/>
      <c r="F8963" s="383"/>
      <c r="G8963" s="1142"/>
      <c r="H8963" s="516"/>
      <c r="I8963" s="11"/>
    </row>
    <row r="8964" spans="1:12" ht="11.15" customHeight="1" thickBot="1">
      <c r="A8964" s="185"/>
      <c r="B8964" s="185"/>
      <c r="C8964" s="147"/>
      <c r="D8964" s="129"/>
      <c r="E8964" s="185"/>
      <c r="F8964" s="185"/>
      <c r="G8964" s="185"/>
      <c r="H8964" s="185"/>
      <c r="I8964" s="11"/>
    </row>
    <row r="8965" spans="1:12" ht="9" customHeight="1">
      <c r="A8965" s="648"/>
      <c r="B8965" s="649" t="s">
        <v>12120</v>
      </c>
      <c r="C8965" s="191"/>
      <c r="D8965" s="307"/>
      <c r="E8965" s="31"/>
      <c r="F8965" s="563"/>
      <c r="G8965" s="56"/>
      <c r="H8965" s="1121"/>
      <c r="I8965" s="11"/>
    </row>
    <row r="8966" spans="1:12" ht="9" customHeight="1">
      <c r="A8966" s="650"/>
      <c r="B8966" s="150" t="s">
        <v>12121</v>
      </c>
      <c r="C8966" s="147"/>
      <c r="D8966" s="161"/>
      <c r="E8966" s="36"/>
      <c r="F8966" s="178"/>
      <c r="G8966" s="60"/>
      <c r="H8966" s="628"/>
      <c r="I8966" s="11"/>
    </row>
    <row r="8967" spans="1:12" ht="9" customHeight="1">
      <c r="A8967" s="650"/>
      <c r="B8967" s="150" t="s">
        <v>12122</v>
      </c>
      <c r="C8967" s="147"/>
      <c r="D8967" s="161"/>
      <c r="E8967" s="36"/>
      <c r="F8967" s="178"/>
      <c r="G8967" s="60"/>
      <c r="H8967" s="628"/>
      <c r="I8967" s="11"/>
    </row>
    <row r="8968" spans="1:12" ht="9" customHeight="1">
      <c r="A8968" s="650"/>
      <c r="B8968" s="150" t="s">
        <v>12123</v>
      </c>
      <c r="C8968" s="147"/>
      <c r="D8968" s="161"/>
      <c r="E8968" s="36"/>
      <c r="F8968" s="178"/>
      <c r="G8968" s="60"/>
      <c r="H8968" s="628"/>
      <c r="I8968" s="11"/>
    </row>
    <row r="8969" spans="1:12" ht="9" customHeight="1">
      <c r="A8969" s="650"/>
      <c r="B8969" s="150" t="s">
        <v>12124</v>
      </c>
      <c r="C8969" s="147"/>
      <c r="D8969" s="161"/>
      <c r="E8969" s="36"/>
      <c r="F8969" s="178"/>
      <c r="G8969" s="60"/>
      <c r="H8969" s="628"/>
      <c r="I8969" s="11"/>
    </row>
    <row r="8970" spans="1:12" ht="9" customHeight="1">
      <c r="A8970" s="650"/>
      <c r="B8970" s="150" t="s">
        <v>12125</v>
      </c>
      <c r="C8970" s="147"/>
      <c r="D8970" s="161"/>
      <c r="E8970" s="36"/>
      <c r="F8970" s="178"/>
      <c r="G8970" s="60"/>
      <c r="H8970" s="628"/>
      <c r="I8970" s="11"/>
    </row>
    <row r="8971" spans="1:12" ht="9" customHeight="1">
      <c r="A8971" s="650"/>
      <c r="B8971" s="150" t="s">
        <v>12126</v>
      </c>
      <c r="C8971" s="147"/>
      <c r="D8971" s="161"/>
      <c r="E8971" s="36"/>
      <c r="F8971" s="178"/>
      <c r="G8971" s="60"/>
      <c r="H8971" s="628"/>
      <c r="I8971" s="11"/>
    </row>
    <row r="8972" spans="1:12" ht="9" customHeight="1" thickBot="1">
      <c r="A8972" s="650"/>
      <c r="B8972" s="488" t="s">
        <v>12127</v>
      </c>
      <c r="C8972" s="203"/>
      <c r="D8972" s="204"/>
      <c r="E8972" s="374"/>
      <c r="F8972" s="568"/>
      <c r="G8972" s="1182"/>
      <c r="H8972" s="630"/>
      <c r="I8972" s="11"/>
    </row>
    <row r="8973" spans="1:12" ht="11.15" customHeight="1">
      <c r="A8973" s="153" t="s">
        <v>12128</v>
      </c>
      <c r="B8973" s="177" t="s">
        <v>12129</v>
      </c>
      <c r="C8973" s="147"/>
      <c r="D8973" s="161"/>
      <c r="E8973" s="36"/>
      <c r="F8973" s="178"/>
      <c r="G8973" s="453"/>
      <c r="H8973" s="36"/>
      <c r="I8973" s="11"/>
    </row>
    <row r="8974" spans="1:12" ht="11.15" customHeight="1" thickBot="1">
      <c r="A8974" s="230" t="s">
        <v>12130</v>
      </c>
      <c r="B8974" s="59" t="s">
        <v>21938</v>
      </c>
      <c r="C8974" s="147" t="s">
        <v>20221</v>
      </c>
      <c r="D8974" s="284" t="s">
        <v>897</v>
      </c>
      <c r="E8974" s="178">
        <v>2022</v>
      </c>
      <c r="F8974" s="178" t="s">
        <v>4520</v>
      </c>
      <c r="G8974" s="496"/>
      <c r="H8974" s="994" t="s">
        <v>20221</v>
      </c>
      <c r="I8974" s="11" t="s">
        <v>12131</v>
      </c>
      <c r="J8974" s="1285"/>
      <c r="K8974" s="1285"/>
      <c r="L8974" s="1285"/>
    </row>
    <row r="8975" spans="1:12" ht="11.15" customHeight="1">
      <c r="A8975" s="29" t="s">
        <v>12132</v>
      </c>
      <c r="B8975" s="59" t="s">
        <v>21938</v>
      </c>
      <c r="C8975" s="147" t="s">
        <v>20221</v>
      </c>
      <c r="D8975" s="284" t="s">
        <v>897</v>
      </c>
      <c r="E8975" s="178">
        <v>2021</v>
      </c>
      <c r="F8975" s="178" t="s">
        <v>4520</v>
      </c>
      <c r="G8975" s="496"/>
      <c r="H8975" s="994" t="s">
        <v>20221</v>
      </c>
      <c r="I8975" s="11" t="s">
        <v>12133</v>
      </c>
      <c r="J8975" s="1285"/>
      <c r="K8975" s="1285"/>
      <c r="L8975" s="1285"/>
    </row>
    <row r="8976" spans="1:12" ht="11.15" customHeight="1">
      <c r="A8976" s="58" t="s">
        <v>12134</v>
      </c>
      <c r="B8976" s="177" t="s">
        <v>12135</v>
      </c>
      <c r="C8976" s="67"/>
      <c r="D8976" s="67"/>
      <c r="E8976" s="67"/>
      <c r="F8976" s="67"/>
      <c r="G8976" s="67"/>
      <c r="H8976" s="67"/>
      <c r="I8976" s="5"/>
    </row>
    <row r="8977" spans="1:12" ht="11.15" customHeight="1">
      <c r="A8977" s="29" t="s">
        <v>12136</v>
      </c>
      <c r="B8977" s="59" t="s">
        <v>21939</v>
      </c>
      <c r="C8977" s="147" t="s">
        <v>20221</v>
      </c>
      <c r="D8977" s="284" t="s">
        <v>897</v>
      </c>
      <c r="E8977" s="178">
        <v>2022</v>
      </c>
      <c r="F8977" s="178" t="s">
        <v>4520</v>
      </c>
      <c r="G8977" s="496"/>
      <c r="H8977" s="994" t="s">
        <v>20221</v>
      </c>
      <c r="I8977" s="11" t="s">
        <v>12137</v>
      </c>
      <c r="J8977" s="1285"/>
      <c r="K8977" s="1285"/>
      <c r="L8977" s="1285"/>
    </row>
    <row r="8978" spans="1:12" ht="11.15" customHeight="1">
      <c r="A8978" s="29" t="s">
        <v>12138</v>
      </c>
      <c r="B8978" s="177" t="s">
        <v>12139</v>
      </c>
      <c r="C8978" s="67"/>
      <c r="D8978" s="67"/>
      <c r="E8978" s="67"/>
      <c r="F8978" s="67"/>
      <c r="G8978" s="67"/>
      <c r="H8978" s="67"/>
      <c r="I8978" s="5"/>
    </row>
    <row r="8979" spans="1:12" ht="11.15" customHeight="1">
      <c r="A8979" s="29" t="s">
        <v>12140</v>
      </c>
      <c r="B8979" s="59" t="s">
        <v>21940</v>
      </c>
      <c r="C8979" s="147" t="s">
        <v>20221</v>
      </c>
      <c r="D8979" s="284" t="s">
        <v>897</v>
      </c>
      <c r="E8979" s="178">
        <v>2021</v>
      </c>
      <c r="F8979" s="178" t="s">
        <v>4520</v>
      </c>
      <c r="G8979" s="496"/>
      <c r="H8979" s="994" t="s">
        <v>20221</v>
      </c>
      <c r="I8979" s="11" t="s">
        <v>12141</v>
      </c>
      <c r="J8979" s="1285"/>
      <c r="K8979" s="1285"/>
      <c r="L8979" s="1285"/>
    </row>
    <row r="8980" spans="1:12" ht="11.15" customHeight="1">
      <c r="A8980" s="29" t="s">
        <v>12142</v>
      </c>
      <c r="B8980" s="59" t="s">
        <v>21941</v>
      </c>
      <c r="C8980" s="147" t="s">
        <v>20221</v>
      </c>
      <c r="D8980" s="284" t="s">
        <v>897</v>
      </c>
      <c r="E8980" s="178">
        <v>2021</v>
      </c>
      <c r="F8980" s="178" t="s">
        <v>4520</v>
      </c>
      <c r="G8980" s="496"/>
      <c r="H8980" s="994" t="s">
        <v>20221</v>
      </c>
      <c r="I8980" s="11" t="s">
        <v>12143</v>
      </c>
      <c r="J8980" s="1285"/>
      <c r="K8980" s="1285"/>
      <c r="L8980" s="1285"/>
    </row>
    <row r="8981" spans="1:12" ht="11.15" customHeight="1">
      <c r="A8981" s="29" t="s">
        <v>12144</v>
      </c>
      <c r="B8981" s="59" t="s">
        <v>21941</v>
      </c>
      <c r="C8981" s="147" t="s">
        <v>20221</v>
      </c>
      <c r="D8981" s="284" t="s">
        <v>897</v>
      </c>
      <c r="E8981" s="178">
        <v>2019</v>
      </c>
      <c r="F8981" s="178" t="s">
        <v>4520</v>
      </c>
      <c r="G8981" s="496"/>
      <c r="H8981" s="994" t="s">
        <v>20221</v>
      </c>
      <c r="I8981" s="11" t="s">
        <v>12145</v>
      </c>
      <c r="J8981" s="1285"/>
      <c r="K8981" s="1285"/>
      <c r="L8981" s="1285"/>
    </row>
    <row r="8982" spans="1:12" ht="11.15" customHeight="1">
      <c r="A8982" s="181" t="s">
        <v>12146</v>
      </c>
      <c r="B8982" s="59" t="s">
        <v>21942</v>
      </c>
      <c r="C8982" s="147" t="s">
        <v>20221</v>
      </c>
      <c r="D8982" s="284" t="s">
        <v>897</v>
      </c>
      <c r="E8982" s="178">
        <v>2017</v>
      </c>
      <c r="F8982" s="178" t="s">
        <v>4520</v>
      </c>
      <c r="G8982" s="496"/>
      <c r="H8982" s="994" t="s">
        <v>20277</v>
      </c>
      <c r="I8982" s="11" t="s">
        <v>12147</v>
      </c>
      <c r="J8982" s="1285"/>
      <c r="K8982" s="1285"/>
      <c r="L8982" s="1285"/>
    </row>
    <row r="8983" spans="1:12" ht="11.15" customHeight="1">
      <c r="A8983" s="29" t="s">
        <v>1862</v>
      </c>
      <c r="B8983" s="177" t="s">
        <v>12148</v>
      </c>
      <c r="C8983" s="147"/>
      <c r="D8983" s="161"/>
      <c r="E8983" s="36"/>
      <c r="F8983" s="178"/>
      <c r="G8983" s="453"/>
      <c r="H8983" s="36"/>
      <c r="I8983" s="11"/>
    </row>
    <row r="8984" spans="1:12" ht="11.15" customHeight="1">
      <c r="A8984" s="29" t="s">
        <v>12149</v>
      </c>
      <c r="B8984" s="59" t="s">
        <v>21943</v>
      </c>
      <c r="C8984" s="147" t="s">
        <v>20221</v>
      </c>
      <c r="D8984" s="284" t="s">
        <v>897</v>
      </c>
      <c r="E8984" s="178">
        <v>2018</v>
      </c>
      <c r="F8984" s="178" t="s">
        <v>4520</v>
      </c>
      <c r="G8984" s="496"/>
      <c r="H8984" s="994" t="s">
        <v>20221</v>
      </c>
      <c r="I8984" s="11" t="s">
        <v>12150</v>
      </c>
      <c r="J8984" s="1285"/>
      <c r="K8984" s="1285"/>
      <c r="L8984" s="1285"/>
    </row>
    <row r="8985" spans="1:12" ht="11.15" customHeight="1">
      <c r="A8985" s="29" t="s">
        <v>12151</v>
      </c>
      <c r="B8985" s="59" t="s">
        <v>21943</v>
      </c>
      <c r="C8985" s="147" t="s">
        <v>20221</v>
      </c>
      <c r="D8985" s="284" t="s">
        <v>897</v>
      </c>
      <c r="E8985" s="178">
        <v>2017</v>
      </c>
      <c r="F8985" s="178" t="s">
        <v>4520</v>
      </c>
      <c r="G8985" s="496"/>
      <c r="H8985" s="994" t="s">
        <v>20221</v>
      </c>
      <c r="I8985" s="11" t="s">
        <v>12152</v>
      </c>
      <c r="J8985" s="1285"/>
      <c r="K8985" s="1285"/>
      <c r="L8985" s="1285"/>
    </row>
    <row r="8986" spans="1:12" ht="11.15" customHeight="1">
      <c r="A8986" s="129" t="s">
        <v>12153</v>
      </c>
      <c r="B8986" s="59" t="s">
        <v>21944</v>
      </c>
      <c r="C8986" s="147" t="s">
        <v>20221</v>
      </c>
      <c r="D8986" s="284" t="s">
        <v>897</v>
      </c>
      <c r="E8986" s="178">
        <v>2016</v>
      </c>
      <c r="F8986" s="178" t="s">
        <v>4520</v>
      </c>
      <c r="G8986" s="496"/>
      <c r="H8986" s="994" t="s">
        <v>20221</v>
      </c>
      <c r="I8986" s="11" t="s">
        <v>12154</v>
      </c>
      <c r="J8986" s="1285"/>
      <c r="K8986" s="1285"/>
      <c r="L8986" s="1285"/>
    </row>
    <row r="8987" spans="1:12" ht="11.15" customHeight="1">
      <c r="A8987" s="162" t="s">
        <v>12155</v>
      </c>
      <c r="B8987" s="177" t="s">
        <v>12156</v>
      </c>
      <c r="C8987" s="147"/>
      <c r="D8987" s="161"/>
      <c r="E8987" s="36"/>
      <c r="F8987" s="178"/>
      <c r="G8987" s="453"/>
      <c r="H8987" s="36"/>
      <c r="I8987" s="11"/>
    </row>
    <row r="8988" spans="1:12" ht="11.15" customHeight="1">
      <c r="A8988" s="162" t="s">
        <v>12157</v>
      </c>
      <c r="B8988" s="59" t="s">
        <v>21945</v>
      </c>
      <c r="C8988" s="147" t="s">
        <v>20221</v>
      </c>
      <c r="D8988" s="284" t="s">
        <v>897</v>
      </c>
      <c r="E8988" s="178">
        <v>2018</v>
      </c>
      <c r="F8988" s="178" t="s">
        <v>4520</v>
      </c>
      <c r="G8988" s="496"/>
      <c r="H8988" s="994" t="s">
        <v>20221</v>
      </c>
      <c r="I8988" s="11" t="s">
        <v>12158</v>
      </c>
      <c r="J8988" s="1285"/>
      <c r="K8988" s="1285"/>
      <c r="L8988" s="1285"/>
    </row>
    <row r="8989" spans="1:12" ht="11.15" customHeight="1">
      <c r="A8989" s="162" t="s">
        <v>12159</v>
      </c>
      <c r="B8989" s="177" t="s">
        <v>4329</v>
      </c>
      <c r="C8989" s="147"/>
      <c r="D8989" s="161"/>
      <c r="E8989" s="36"/>
      <c r="F8989" s="178"/>
      <c r="G8989" s="453"/>
      <c r="H8989" s="36"/>
      <c r="I8989" s="11"/>
    </row>
    <row r="8990" spans="1:12" ht="11.15" customHeight="1">
      <c r="A8990" s="162" t="s">
        <v>12160</v>
      </c>
      <c r="B8990" s="59" t="s">
        <v>21946</v>
      </c>
      <c r="C8990" s="147" t="s">
        <v>20221</v>
      </c>
      <c r="D8990" s="284" t="s">
        <v>897</v>
      </c>
      <c r="E8990" s="178">
        <v>2019</v>
      </c>
      <c r="F8990" s="178" t="s">
        <v>9678</v>
      </c>
      <c r="G8990" s="496"/>
      <c r="H8990" s="994" t="s">
        <v>20224</v>
      </c>
      <c r="I8990" s="11" t="s">
        <v>12161</v>
      </c>
      <c r="J8990" s="1285"/>
      <c r="K8990" s="1285"/>
      <c r="L8990" s="1285"/>
    </row>
    <row r="8991" spans="1:12" ht="11.15" customHeight="1">
      <c r="A8991" s="162" t="s">
        <v>12162</v>
      </c>
      <c r="B8991" s="59" t="s">
        <v>21946</v>
      </c>
      <c r="C8991" s="147" t="s">
        <v>20221</v>
      </c>
      <c r="D8991" s="284" t="s">
        <v>897</v>
      </c>
      <c r="E8991" s="178">
        <v>2018</v>
      </c>
      <c r="F8991" s="178" t="s">
        <v>9678</v>
      </c>
      <c r="G8991" s="496"/>
      <c r="H8991" s="994" t="s">
        <v>20224</v>
      </c>
      <c r="I8991" s="11" t="s">
        <v>12163</v>
      </c>
      <c r="J8991" s="1285"/>
      <c r="K8991" s="1285"/>
      <c r="L8991" s="1285"/>
    </row>
    <row r="8992" spans="1:12" ht="11.15" customHeight="1">
      <c r="A8992" s="129" t="s">
        <v>896</v>
      </c>
      <c r="B8992" s="59" t="s">
        <v>21947</v>
      </c>
      <c r="C8992" s="147" t="s">
        <v>20221</v>
      </c>
      <c r="D8992" s="284" t="s">
        <v>897</v>
      </c>
      <c r="E8992" s="178">
        <v>2017</v>
      </c>
      <c r="F8992" s="178" t="s">
        <v>9678</v>
      </c>
      <c r="G8992" s="496"/>
      <c r="H8992" s="994" t="s">
        <v>20224</v>
      </c>
      <c r="I8992" s="11" t="s">
        <v>12164</v>
      </c>
      <c r="J8992" s="1285"/>
      <c r="K8992" s="1285"/>
      <c r="L8992" s="1285"/>
    </row>
    <row r="8993" spans="1:12" ht="11.15" customHeight="1">
      <c r="A8993" s="162" t="s">
        <v>12165</v>
      </c>
      <c r="B8993" s="59" t="s">
        <v>21948</v>
      </c>
      <c r="C8993" s="147" t="s">
        <v>20221</v>
      </c>
      <c r="D8993" s="284" t="s">
        <v>897</v>
      </c>
      <c r="E8993" s="178">
        <v>2017</v>
      </c>
      <c r="F8993" s="178" t="s">
        <v>9678</v>
      </c>
      <c r="G8993" s="496"/>
      <c r="H8993" s="994" t="s">
        <v>20224</v>
      </c>
      <c r="I8993" s="11" t="s">
        <v>12166</v>
      </c>
      <c r="J8993" s="1285"/>
      <c r="K8993" s="1285"/>
      <c r="L8993" s="1285"/>
    </row>
    <row r="8994" spans="1:12" ht="11.15" customHeight="1">
      <c r="A8994" s="164" t="s">
        <v>12167</v>
      </c>
      <c r="B8994" s="59" t="s">
        <v>21949</v>
      </c>
      <c r="C8994" s="147" t="s">
        <v>20221</v>
      </c>
      <c r="D8994" s="284" t="s">
        <v>897</v>
      </c>
      <c r="E8994" s="178">
        <v>2017</v>
      </c>
      <c r="F8994" s="178" t="s">
        <v>9678</v>
      </c>
      <c r="G8994" s="496"/>
      <c r="H8994" s="994" t="s">
        <v>20224</v>
      </c>
      <c r="I8994" s="11" t="s">
        <v>12168</v>
      </c>
      <c r="J8994" s="1285"/>
      <c r="K8994" s="1285"/>
      <c r="L8994" s="1285"/>
    </row>
    <row r="8995" spans="1:12" ht="11.15" customHeight="1">
      <c r="A8995" s="164" t="s">
        <v>12169</v>
      </c>
      <c r="B8995" s="67"/>
      <c r="C8995" s="67"/>
      <c r="D8995" s="67"/>
      <c r="E8995" s="67"/>
      <c r="F8995" s="67"/>
      <c r="G8995" s="67"/>
      <c r="H8995" s="67"/>
      <c r="I8995" s="5"/>
    </row>
    <row r="8996" spans="1:12" ht="11.15" customHeight="1">
      <c r="A8996" s="162" t="s">
        <v>12170</v>
      </c>
      <c r="B8996" s="67"/>
      <c r="C8996" s="67"/>
      <c r="D8996" s="67"/>
      <c r="E8996" s="67"/>
      <c r="F8996" s="67"/>
      <c r="G8996" s="67"/>
      <c r="H8996" s="67"/>
      <c r="I8996" s="5"/>
    </row>
    <row r="8997" spans="1:12" ht="11.15" customHeight="1">
      <c r="A8997" s="162" t="s">
        <v>12171</v>
      </c>
      <c r="B8997" s="90"/>
      <c r="C8997" s="147"/>
      <c r="D8997" s="161"/>
      <c r="E8997" s="36"/>
      <c r="F8997" s="183"/>
      <c r="G8997" s="671"/>
      <c r="H8997" s="34"/>
      <c r="I8997" s="11"/>
    </row>
    <row r="8998" spans="1:12" ht="11.15" customHeight="1">
      <c r="A8998" s="162" t="s">
        <v>12172</v>
      </c>
      <c r="B8998" s="90"/>
      <c r="C8998" s="147"/>
      <c r="D8998" s="161"/>
      <c r="E8998" s="36"/>
      <c r="F8998" s="183"/>
      <c r="G8998" s="496"/>
      <c r="H8998" s="34"/>
      <c r="I8998" s="11"/>
    </row>
    <row r="8999" spans="1:12" ht="11.15" customHeight="1">
      <c r="A8999" s="162" t="s">
        <v>12173</v>
      </c>
      <c r="B8999" s="67"/>
      <c r="C8999" s="67"/>
      <c r="D8999" s="67"/>
      <c r="E8999" s="67"/>
      <c r="F8999" s="67"/>
      <c r="G8999" s="67"/>
      <c r="H8999" s="67"/>
      <c r="I8999" s="5"/>
    </row>
    <row r="9000" spans="1:12" ht="11.15" customHeight="1">
      <c r="A9000" s="162" t="s">
        <v>12174</v>
      </c>
      <c r="B9000" s="185"/>
      <c r="C9000" s="147"/>
      <c r="D9000" s="185"/>
      <c r="E9000" s="185"/>
      <c r="F9000" s="185"/>
      <c r="G9000" s="185"/>
      <c r="H9000" s="185"/>
      <c r="I9000" s="11"/>
    </row>
    <row r="9001" spans="1:12" ht="11.15" customHeight="1">
      <c r="A9001" s="162" t="s">
        <v>12175</v>
      </c>
      <c r="B9001" s="185"/>
      <c r="C9001" s="147"/>
      <c r="D9001" s="185"/>
      <c r="E9001" s="185"/>
      <c r="F9001" s="185"/>
      <c r="G9001" s="185"/>
      <c r="H9001" s="185"/>
      <c r="I9001" s="11"/>
    </row>
    <row r="9002" spans="1:12" ht="11.15" customHeight="1">
      <c r="A9002" s="162" t="s">
        <v>12176</v>
      </c>
      <c r="B9002" s="185"/>
      <c r="C9002" s="147"/>
      <c r="D9002" s="185"/>
      <c r="E9002" s="185"/>
      <c r="F9002" s="185"/>
      <c r="G9002" s="185"/>
      <c r="H9002" s="185"/>
      <c r="I9002" s="11"/>
    </row>
    <row r="9003" spans="1:12" ht="11.15" customHeight="1">
      <c r="A9003" s="162" t="s">
        <v>12177</v>
      </c>
      <c r="B9003" s="185"/>
      <c r="C9003" s="147"/>
      <c r="D9003" s="185"/>
      <c r="E9003" s="185"/>
      <c r="F9003" s="185"/>
      <c r="G9003" s="185"/>
      <c r="H9003" s="185"/>
      <c r="I9003" s="11"/>
    </row>
    <row r="9004" spans="1:12" ht="11.15" customHeight="1">
      <c r="A9004" s="162" t="s">
        <v>12178</v>
      </c>
      <c r="B9004" s="185"/>
      <c r="C9004" s="147"/>
      <c r="D9004" s="185"/>
      <c r="E9004" s="185"/>
      <c r="F9004" s="185"/>
      <c r="G9004" s="185"/>
      <c r="H9004" s="185"/>
      <c r="I9004" s="11"/>
    </row>
    <row r="9005" spans="1:12" ht="11.15" customHeight="1">
      <c r="A9005" s="162" t="s">
        <v>12179</v>
      </c>
      <c r="B9005" s="185"/>
      <c r="C9005" s="147"/>
      <c r="D9005" s="185"/>
      <c r="E9005" s="185"/>
      <c r="F9005" s="185"/>
      <c r="G9005" s="185"/>
      <c r="H9005" s="185"/>
      <c r="I9005" s="11"/>
    </row>
    <row r="9006" spans="1:12" ht="11.15" customHeight="1">
      <c r="A9006" s="162" t="s">
        <v>12180</v>
      </c>
      <c r="B9006" s="185"/>
      <c r="C9006" s="147"/>
      <c r="D9006" s="185"/>
      <c r="E9006" s="185"/>
      <c r="F9006" s="185"/>
      <c r="G9006" s="185"/>
      <c r="H9006" s="185"/>
      <c r="I9006" s="11"/>
    </row>
    <row r="9007" spans="1:12" ht="11.15" customHeight="1">
      <c r="A9007" s="162" t="s">
        <v>12181</v>
      </c>
      <c r="B9007" s="185"/>
      <c r="C9007" s="147"/>
      <c r="D9007" s="185"/>
      <c r="E9007" s="185"/>
      <c r="F9007" s="185"/>
      <c r="G9007" s="185"/>
      <c r="H9007" s="185"/>
      <c r="I9007" s="11"/>
    </row>
    <row r="9008" spans="1:12" ht="11.15" customHeight="1">
      <c r="A9008" s="162" t="s">
        <v>12182</v>
      </c>
      <c r="B9008" s="185"/>
      <c r="C9008" s="147"/>
      <c r="D9008" s="185"/>
      <c r="E9008" s="185"/>
      <c r="F9008" s="185"/>
      <c r="G9008" s="185"/>
      <c r="H9008" s="185"/>
      <c r="I9008" s="11"/>
    </row>
    <row r="9009" spans="1:12" ht="11.15" customHeight="1">
      <c r="A9009" s="129" t="s">
        <v>903</v>
      </c>
      <c r="B9009" s="185"/>
      <c r="C9009" s="147"/>
      <c r="D9009" s="185"/>
      <c r="E9009" s="185"/>
      <c r="F9009" s="185"/>
      <c r="G9009" s="185"/>
      <c r="H9009" s="185"/>
      <c r="I9009" s="11"/>
    </row>
    <row r="9010" spans="1:12" ht="11.15" customHeight="1">
      <c r="A9010" s="162" t="s">
        <v>12183</v>
      </c>
      <c r="B9010" s="185"/>
      <c r="C9010" s="147"/>
      <c r="D9010" s="185"/>
      <c r="E9010" s="185"/>
      <c r="F9010" s="185"/>
      <c r="G9010" s="185"/>
      <c r="H9010" s="185"/>
      <c r="I9010" s="11"/>
    </row>
    <row r="9011" spans="1:12" ht="11.15" customHeight="1">
      <c r="A9011" s="162" t="s">
        <v>12184</v>
      </c>
      <c r="B9011" s="185"/>
      <c r="C9011" s="147"/>
      <c r="D9011" s="129"/>
      <c r="E9011" s="185"/>
      <c r="F9011" s="185"/>
      <c r="G9011" s="185"/>
      <c r="H9011" s="185"/>
      <c r="I9011" s="11"/>
    </row>
    <row r="9012" spans="1:12" ht="11.15" customHeight="1">
      <c r="A9012" s="162" t="s">
        <v>12185</v>
      </c>
      <c r="B9012" s="185"/>
      <c r="C9012" s="147"/>
      <c r="D9012" s="129"/>
      <c r="E9012" s="185"/>
      <c r="F9012" s="185"/>
      <c r="G9012" s="185"/>
      <c r="H9012" s="185"/>
      <c r="I9012" s="11"/>
    </row>
    <row r="9013" spans="1:12" ht="11.15" customHeight="1">
      <c r="A9013" s="162" t="s">
        <v>12186</v>
      </c>
      <c r="B9013" s="185"/>
      <c r="C9013" s="147"/>
      <c r="D9013" s="129"/>
      <c r="E9013" s="185"/>
      <c r="F9013" s="185"/>
      <c r="G9013" s="185"/>
      <c r="H9013" s="185"/>
      <c r="I9013" s="11"/>
    </row>
    <row r="9014" spans="1:12" ht="11.15" customHeight="1">
      <c r="A9014" s="199" t="s">
        <v>12187</v>
      </c>
      <c r="B9014" s="185"/>
      <c r="C9014" s="147"/>
      <c r="D9014" s="129"/>
      <c r="E9014" s="185"/>
      <c r="F9014" s="185"/>
      <c r="G9014" s="185"/>
      <c r="H9014" s="185"/>
      <c r="I9014" s="11"/>
    </row>
    <row r="9015" spans="1:12" ht="11.15" customHeight="1">
      <c r="A9015" s="199" t="s">
        <v>12188</v>
      </c>
      <c r="B9015" s="185"/>
      <c r="C9015" s="147"/>
      <c r="D9015" s="129"/>
      <c r="E9015" s="185"/>
      <c r="F9015" s="185"/>
      <c r="G9015" s="185"/>
      <c r="H9015" s="185"/>
      <c r="I9015" s="11"/>
    </row>
    <row r="9016" spans="1:12" ht="11.15" customHeight="1">
      <c r="A9016" s="129" t="s">
        <v>12189</v>
      </c>
      <c r="B9016" s="185"/>
      <c r="C9016" s="147"/>
      <c r="D9016" s="129"/>
      <c r="E9016" s="185"/>
      <c r="F9016" s="185"/>
      <c r="G9016" s="185"/>
      <c r="H9016" s="185"/>
      <c r="I9016" s="11"/>
    </row>
    <row r="9017" spans="1:12" ht="11.15" customHeight="1" thickBot="1">
      <c r="A9017" s="29"/>
      <c r="B9017" s="185"/>
      <c r="C9017" s="147"/>
      <c r="D9017" s="129"/>
      <c r="E9017" s="185"/>
      <c r="F9017" s="185"/>
      <c r="G9017" s="185"/>
      <c r="H9017" s="185"/>
      <c r="I9017" s="11"/>
    </row>
    <row r="9018" spans="1:12" ht="11.15" customHeight="1" thickBot="1">
      <c r="A9018" s="184" t="s">
        <v>12190</v>
      </c>
      <c r="B9018" s="651" t="s">
        <v>12191</v>
      </c>
      <c r="C9018" s="147"/>
      <c r="D9018" s="231"/>
      <c r="E9018" s="36"/>
      <c r="F9018" s="178"/>
      <c r="G9018" s="496"/>
      <c r="H9018" s="36"/>
      <c r="I9018" s="11"/>
    </row>
    <row r="9019" spans="1:12" ht="11.15" customHeight="1">
      <c r="A9019" s="29" t="s">
        <v>12192</v>
      </c>
      <c r="B9019" s="59" t="s">
        <v>21951</v>
      </c>
      <c r="C9019" s="147" t="s">
        <v>20221</v>
      </c>
      <c r="D9019" s="1035" t="s">
        <v>1370</v>
      </c>
      <c r="E9019" s="178">
        <v>2019</v>
      </c>
      <c r="F9019" s="178" t="s">
        <v>4520</v>
      </c>
      <c r="G9019" s="496"/>
      <c r="H9019" s="994" t="s">
        <v>20221</v>
      </c>
      <c r="I9019" s="11" t="s">
        <v>12193</v>
      </c>
      <c r="J9019" s="1285"/>
      <c r="K9019" s="1285"/>
      <c r="L9019" s="1285"/>
    </row>
    <row r="9020" spans="1:12" ht="11.15" customHeight="1">
      <c r="A9020" s="29" t="s">
        <v>12194</v>
      </c>
      <c r="B9020" s="59" t="s">
        <v>21952</v>
      </c>
      <c r="C9020" s="147" t="s">
        <v>20221</v>
      </c>
      <c r="D9020" s="1035" t="s">
        <v>1370</v>
      </c>
      <c r="E9020" s="178">
        <v>2020</v>
      </c>
      <c r="F9020" s="178" t="s">
        <v>4520</v>
      </c>
      <c r="G9020" s="496"/>
      <c r="H9020" s="994" t="s">
        <v>20221</v>
      </c>
      <c r="I9020" s="11" t="s">
        <v>12195</v>
      </c>
      <c r="J9020" s="1285"/>
      <c r="K9020" s="1285"/>
      <c r="L9020" s="1285"/>
    </row>
    <row r="9021" spans="1:12" ht="11.15" customHeight="1">
      <c r="A9021" s="218" t="s">
        <v>12196</v>
      </c>
      <c r="B9021" s="59" t="s">
        <v>21953</v>
      </c>
      <c r="C9021" s="147" t="s">
        <v>20221</v>
      </c>
      <c r="D9021" s="1035" t="s">
        <v>1370</v>
      </c>
      <c r="E9021" s="178">
        <v>2020</v>
      </c>
      <c r="F9021" s="178" t="s">
        <v>4520</v>
      </c>
      <c r="G9021" s="496"/>
      <c r="H9021" s="994" t="s">
        <v>20221</v>
      </c>
      <c r="I9021" s="11" t="s">
        <v>12197</v>
      </c>
      <c r="J9021" s="1285"/>
      <c r="K9021" s="1285"/>
      <c r="L9021" s="1285"/>
    </row>
    <row r="9022" spans="1:12" ht="11.15" customHeight="1">
      <c r="A9022" s="29" t="s">
        <v>1862</v>
      </c>
      <c r="B9022" s="59" t="s">
        <v>21954</v>
      </c>
      <c r="C9022" s="147" t="s">
        <v>20221</v>
      </c>
      <c r="D9022" s="1035" t="s">
        <v>1370</v>
      </c>
      <c r="E9022" s="178">
        <v>2020</v>
      </c>
      <c r="F9022" s="178" t="s">
        <v>4520</v>
      </c>
      <c r="G9022" s="496"/>
      <c r="H9022" s="994" t="s">
        <v>20221</v>
      </c>
      <c r="I9022" s="11" t="s">
        <v>12198</v>
      </c>
      <c r="J9022" s="1285"/>
      <c r="K9022" s="1285"/>
      <c r="L9022" s="1285"/>
    </row>
    <row r="9023" spans="1:12" ht="11.15" customHeight="1">
      <c r="A9023" s="129" t="s">
        <v>12048</v>
      </c>
      <c r="B9023" s="59" t="s">
        <v>21955</v>
      </c>
      <c r="C9023" s="147" t="s">
        <v>20221</v>
      </c>
      <c r="D9023" s="1035" t="s">
        <v>1370</v>
      </c>
      <c r="E9023" s="178">
        <v>2020</v>
      </c>
      <c r="F9023" s="178" t="s">
        <v>4520</v>
      </c>
      <c r="G9023" s="496"/>
      <c r="H9023" s="994" t="s">
        <v>20221</v>
      </c>
      <c r="I9023" s="11" t="s">
        <v>12199</v>
      </c>
      <c r="J9023" s="1285"/>
      <c r="K9023" s="1285"/>
      <c r="L9023" s="1285"/>
    </row>
    <row r="9024" spans="1:12" ht="11.15" customHeight="1">
      <c r="A9024" s="162" t="s">
        <v>12200</v>
      </c>
      <c r="B9024" s="651" t="s">
        <v>12201</v>
      </c>
      <c r="C9024" s="147"/>
      <c r="D9024" s="231"/>
      <c r="E9024" s="36"/>
      <c r="F9024" s="178"/>
      <c r="G9024" s="496"/>
      <c r="H9024" s="36"/>
      <c r="I9024" s="11"/>
    </row>
    <row r="9025" spans="1:12" ht="11.15" customHeight="1">
      <c r="A9025" s="162" t="s">
        <v>12202</v>
      </c>
      <c r="B9025" s="59" t="s">
        <v>21956</v>
      </c>
      <c r="C9025" s="147" t="s">
        <v>20221</v>
      </c>
      <c r="D9025" s="1035" t="s">
        <v>1370</v>
      </c>
      <c r="E9025" s="178">
        <v>2019</v>
      </c>
      <c r="F9025" s="178" t="s">
        <v>9678</v>
      </c>
      <c r="G9025" s="496"/>
      <c r="H9025" s="994" t="s">
        <v>20221</v>
      </c>
      <c r="I9025" s="11" t="s">
        <v>12203</v>
      </c>
      <c r="J9025" s="1285"/>
      <c r="K9025" s="1285"/>
      <c r="L9025" s="1285"/>
    </row>
    <row r="9026" spans="1:12" ht="11.15" customHeight="1">
      <c r="A9026" s="129" t="s">
        <v>12204</v>
      </c>
      <c r="B9026" s="59" t="s">
        <v>21957</v>
      </c>
      <c r="C9026" s="147" t="s">
        <v>20221</v>
      </c>
      <c r="D9026" s="1035" t="s">
        <v>1370</v>
      </c>
      <c r="E9026" s="178">
        <v>2020</v>
      </c>
      <c r="F9026" s="178" t="s">
        <v>9678</v>
      </c>
      <c r="G9026" s="496"/>
      <c r="H9026" s="994" t="s">
        <v>20221</v>
      </c>
      <c r="I9026" s="11" t="s">
        <v>12205</v>
      </c>
      <c r="J9026" s="1285"/>
      <c r="K9026" s="1285"/>
      <c r="L9026" s="1285"/>
    </row>
    <row r="9027" spans="1:12" ht="11.15" customHeight="1">
      <c r="A9027" s="162" t="s">
        <v>12206</v>
      </c>
      <c r="B9027" s="59" t="s">
        <v>21958</v>
      </c>
      <c r="C9027" s="147" t="s">
        <v>20221</v>
      </c>
      <c r="D9027" s="1035" t="s">
        <v>1370</v>
      </c>
      <c r="E9027" s="178">
        <v>2020</v>
      </c>
      <c r="F9027" s="178" t="s">
        <v>9678</v>
      </c>
      <c r="G9027" s="496"/>
      <c r="H9027" s="994" t="s">
        <v>20221</v>
      </c>
      <c r="I9027" s="11" t="s">
        <v>12207</v>
      </c>
      <c r="J9027" s="1285"/>
      <c r="K9027" s="1285"/>
      <c r="L9027" s="1285"/>
    </row>
    <row r="9028" spans="1:12" ht="11.15" customHeight="1">
      <c r="A9028" s="162" t="s">
        <v>12208</v>
      </c>
      <c r="B9028" s="651" t="s">
        <v>9634</v>
      </c>
      <c r="C9028" s="147"/>
      <c r="D9028" s="161"/>
      <c r="E9028" s="36"/>
      <c r="F9028" s="183"/>
      <c r="G9028" s="496"/>
      <c r="H9028" s="34"/>
      <c r="I9028" s="11"/>
    </row>
    <row r="9029" spans="1:12" ht="11.15" customHeight="1">
      <c r="A9029" s="162" t="s">
        <v>12209</v>
      </c>
      <c r="B9029" s="59" t="s">
        <v>21959</v>
      </c>
      <c r="C9029" s="147" t="s">
        <v>20221</v>
      </c>
      <c r="D9029" s="284" t="s">
        <v>897</v>
      </c>
      <c r="E9029" s="178">
        <v>2021</v>
      </c>
      <c r="F9029" s="178" t="s">
        <v>4520</v>
      </c>
      <c r="G9029" s="496"/>
      <c r="H9029" s="994" t="s">
        <v>20221</v>
      </c>
      <c r="I9029" s="11" t="s">
        <v>12210</v>
      </c>
      <c r="J9029" s="1285"/>
      <c r="K9029" s="1285"/>
      <c r="L9029" s="1285"/>
    </row>
    <row r="9030" spans="1:12" ht="11.15" customHeight="1">
      <c r="A9030" s="355" t="s">
        <v>12211</v>
      </c>
      <c r="B9030" s="59" t="s">
        <v>21960</v>
      </c>
      <c r="C9030" s="147" t="s">
        <v>20221</v>
      </c>
      <c r="D9030" s="284" t="s">
        <v>897</v>
      </c>
      <c r="E9030" s="178">
        <v>2020</v>
      </c>
      <c r="F9030" s="178" t="s">
        <v>4520</v>
      </c>
      <c r="G9030" s="496"/>
      <c r="H9030" s="994" t="s">
        <v>20221</v>
      </c>
      <c r="I9030" s="11" t="s">
        <v>12212</v>
      </c>
      <c r="J9030" s="1285"/>
      <c r="K9030" s="1285"/>
      <c r="L9030" s="1285"/>
    </row>
    <row r="9031" spans="1:12" ht="11.15" customHeight="1">
      <c r="A9031" s="129" t="s">
        <v>12213</v>
      </c>
      <c r="B9031" s="59" t="s">
        <v>21961</v>
      </c>
      <c r="C9031" s="147" t="s">
        <v>20221</v>
      </c>
      <c r="D9031" s="284" t="s">
        <v>897</v>
      </c>
      <c r="E9031" s="178">
        <v>2020</v>
      </c>
      <c r="F9031" s="178" t="s">
        <v>9678</v>
      </c>
      <c r="G9031" s="496"/>
      <c r="H9031" s="994" t="s">
        <v>20221</v>
      </c>
      <c r="I9031" s="11" t="s">
        <v>12214</v>
      </c>
      <c r="J9031" s="1285"/>
      <c r="K9031" s="1285"/>
      <c r="L9031" s="1285"/>
    </row>
    <row r="9032" spans="1:12" ht="11.15" customHeight="1" thickBot="1">
      <c r="A9032" s="387" t="s">
        <v>12215</v>
      </c>
      <c r="B9032" s="185"/>
      <c r="C9032" s="147"/>
      <c r="D9032" s="129"/>
      <c r="E9032" s="185"/>
      <c r="F9032" s="185"/>
      <c r="G9032" s="185"/>
      <c r="H9032" s="185"/>
      <c r="I9032" s="11"/>
    </row>
    <row r="9033" spans="1:12" ht="11.15" customHeight="1">
      <c r="A9033" s="387" t="s">
        <v>12216</v>
      </c>
      <c r="B9033" s="652" t="s">
        <v>12217</v>
      </c>
      <c r="C9033" s="191"/>
      <c r="D9033" s="307"/>
      <c r="E9033" s="31"/>
      <c r="F9033" s="1069"/>
      <c r="G9033" s="1244"/>
      <c r="H9033" s="1136"/>
      <c r="I9033" s="11"/>
    </row>
    <row r="9034" spans="1:12" ht="11.15" customHeight="1">
      <c r="A9034" s="129" t="s">
        <v>1077</v>
      </c>
      <c r="B9034" s="485" t="s">
        <v>12218</v>
      </c>
      <c r="C9034" s="147"/>
      <c r="D9034" s="122"/>
      <c r="E9034" s="185"/>
      <c r="F9034" s="185"/>
      <c r="G9034" s="185"/>
      <c r="H9034" s="552"/>
      <c r="I9034" s="11"/>
    </row>
    <row r="9035" spans="1:12" ht="11.15" customHeight="1">
      <c r="A9035" s="162" t="s">
        <v>12219</v>
      </c>
      <c r="B9035" s="485" t="s">
        <v>12220</v>
      </c>
      <c r="C9035" s="147"/>
      <c r="D9035" s="129"/>
      <c r="E9035" s="185"/>
      <c r="F9035" s="185"/>
      <c r="G9035" s="185"/>
      <c r="H9035" s="552"/>
      <c r="I9035" s="11"/>
    </row>
    <row r="9036" spans="1:12" ht="11.15" customHeight="1">
      <c r="A9036" s="162" t="s">
        <v>12221</v>
      </c>
      <c r="B9036" s="485" t="s">
        <v>12222</v>
      </c>
      <c r="C9036" s="147"/>
      <c r="D9036" s="129"/>
      <c r="E9036" s="185"/>
      <c r="F9036" s="185"/>
      <c r="G9036" s="185"/>
      <c r="H9036" s="552"/>
      <c r="I9036" s="11"/>
    </row>
    <row r="9037" spans="1:12" ht="11.15" customHeight="1">
      <c r="A9037" s="162" t="s">
        <v>12223</v>
      </c>
      <c r="B9037" s="485" t="s">
        <v>12224</v>
      </c>
      <c r="C9037" s="147"/>
      <c r="D9037" s="129"/>
      <c r="E9037" s="185"/>
      <c r="F9037" s="185"/>
      <c r="G9037" s="185"/>
      <c r="H9037" s="552"/>
      <c r="I9037" s="11"/>
    </row>
    <row r="9038" spans="1:12" ht="11.15" customHeight="1">
      <c r="A9038" s="162" t="s">
        <v>12225</v>
      </c>
      <c r="B9038" s="485" t="s">
        <v>12226</v>
      </c>
      <c r="C9038" s="147"/>
      <c r="D9038" s="122"/>
      <c r="E9038" s="36"/>
      <c r="F9038" s="183"/>
      <c r="G9038" s="453"/>
      <c r="H9038" s="1137"/>
      <c r="I9038" s="11"/>
    </row>
    <row r="9039" spans="1:12" ht="11.15" customHeight="1" thickBot="1">
      <c r="A9039" s="199" t="s">
        <v>12227</v>
      </c>
      <c r="B9039" s="487" t="s">
        <v>12228</v>
      </c>
      <c r="C9039" s="203"/>
      <c r="D9039" s="653"/>
      <c r="E9039" s="205"/>
      <c r="F9039" s="205"/>
      <c r="G9039" s="205"/>
      <c r="H9039" s="206"/>
      <c r="I9039" s="11"/>
    </row>
    <row r="9040" spans="1:12" ht="12" customHeight="1" thickBot="1">
      <c r="A9040" s="169" t="s">
        <v>12229</v>
      </c>
      <c r="B9040" s="162"/>
      <c r="C9040" s="147"/>
      <c r="D9040" s="129"/>
      <c r="E9040" s="185"/>
      <c r="F9040" s="185"/>
      <c r="G9040" s="185"/>
      <c r="H9040" s="185"/>
      <c r="I9040" s="11"/>
    </row>
    <row r="9041" spans="1:12" ht="11.15" customHeight="1">
      <c r="A9041" s="169" t="s">
        <v>12230</v>
      </c>
      <c r="B9041" s="654" t="s">
        <v>12231</v>
      </c>
      <c r="C9041" s="191"/>
      <c r="D9041" s="110"/>
      <c r="E9041" s="193"/>
      <c r="F9041" s="185"/>
      <c r="G9041" s="185"/>
      <c r="H9041" s="185"/>
      <c r="I9041" s="11"/>
    </row>
    <row r="9042" spans="1:12" ht="11.15" customHeight="1">
      <c r="A9042" s="201" t="s">
        <v>1022</v>
      </c>
      <c r="B9042" s="553" t="s">
        <v>12232</v>
      </c>
      <c r="C9042" s="147"/>
      <c r="D9042" s="129"/>
      <c r="E9042" s="552"/>
      <c r="F9042" s="185"/>
      <c r="G9042" s="185"/>
      <c r="H9042" s="185"/>
      <c r="I9042" s="11"/>
    </row>
    <row r="9043" spans="1:12" ht="11.15" customHeight="1">
      <c r="A9043" s="129" t="s">
        <v>12233</v>
      </c>
      <c r="B9043" s="553" t="s">
        <v>12234</v>
      </c>
      <c r="C9043" s="147"/>
      <c r="D9043" s="129"/>
      <c r="E9043" s="552"/>
      <c r="F9043" s="185"/>
      <c r="G9043" s="185"/>
      <c r="H9043" s="185"/>
      <c r="I9043" s="11"/>
    </row>
    <row r="9044" spans="1:12" ht="11.15" customHeight="1">
      <c r="A9044" s="129" t="s">
        <v>12235</v>
      </c>
      <c r="B9044" s="553" t="s">
        <v>12236</v>
      </c>
      <c r="C9044" s="147"/>
      <c r="D9044" s="122"/>
      <c r="E9044" s="628"/>
      <c r="F9044" s="183"/>
      <c r="G9044" s="453"/>
      <c r="H9044" s="34"/>
      <c r="I9044" s="11"/>
    </row>
    <row r="9045" spans="1:12" ht="11.15" customHeight="1">
      <c r="A9045" s="129" t="s">
        <v>12237</v>
      </c>
      <c r="B9045" s="553" t="s">
        <v>12238</v>
      </c>
      <c r="C9045" s="147"/>
      <c r="D9045" s="122"/>
      <c r="E9045" s="628"/>
      <c r="F9045" s="183"/>
      <c r="G9045" s="453"/>
      <c r="H9045" s="34"/>
      <c r="I9045" s="11"/>
    </row>
    <row r="9046" spans="1:12" ht="11.15" customHeight="1" thickBot="1">
      <c r="A9046" s="29"/>
      <c r="B9046" s="635" t="s">
        <v>12239</v>
      </c>
      <c r="C9046" s="203"/>
      <c r="D9046" s="118"/>
      <c r="E9046" s="630"/>
      <c r="F9046" s="183"/>
      <c r="G9046" s="453"/>
      <c r="H9046" s="34"/>
      <c r="I9046" s="11"/>
    </row>
    <row r="9047" spans="1:12" ht="11.15" customHeight="1" thickBot="1">
      <c r="A9047" s="272"/>
      <c r="B9047" s="90"/>
      <c r="C9047" s="147"/>
      <c r="D9047" s="122"/>
      <c r="E9047" s="36"/>
      <c r="F9047" s="183"/>
      <c r="G9047" s="453"/>
      <c r="H9047" s="34"/>
      <c r="I9047" s="11"/>
    </row>
    <row r="9048" spans="1:12" ht="11.15" customHeight="1" thickBot="1">
      <c r="A9048" s="184" t="s">
        <v>12240</v>
      </c>
      <c r="B9048" s="59" t="s">
        <v>21963</v>
      </c>
      <c r="C9048" s="147" t="s">
        <v>20221</v>
      </c>
      <c r="D9048" s="284" t="s">
        <v>897</v>
      </c>
      <c r="E9048" s="178">
        <v>2008</v>
      </c>
      <c r="F9048" s="178" t="s">
        <v>23395</v>
      </c>
      <c r="G9048" s="496"/>
      <c r="H9048" s="994" t="s">
        <v>20221</v>
      </c>
      <c r="I9048" s="11" t="s">
        <v>12241</v>
      </c>
      <c r="J9048" s="1285"/>
      <c r="K9048" s="1285"/>
      <c r="L9048" s="1285"/>
    </row>
    <row r="9049" spans="1:12" ht="11.15" customHeight="1">
      <c r="A9049" s="29" t="s">
        <v>12192</v>
      </c>
      <c r="B9049" s="59" t="s">
        <v>21964</v>
      </c>
      <c r="C9049" s="147" t="s">
        <v>20221</v>
      </c>
      <c r="D9049" s="284" t="s">
        <v>897</v>
      </c>
      <c r="E9049" s="178">
        <v>2006</v>
      </c>
      <c r="F9049" s="178" t="s">
        <v>23395</v>
      </c>
      <c r="G9049" s="496"/>
      <c r="H9049" s="994" t="s">
        <v>20221</v>
      </c>
      <c r="I9049" s="11" t="s">
        <v>12242</v>
      </c>
      <c r="J9049" s="1285"/>
      <c r="K9049" s="1285"/>
      <c r="L9049" s="1285"/>
    </row>
    <row r="9050" spans="1:12" ht="11.15" customHeight="1">
      <c r="A9050" s="29" t="s">
        <v>12243</v>
      </c>
      <c r="B9050" s="59" t="s">
        <v>21965</v>
      </c>
      <c r="C9050" s="147" t="s">
        <v>20221</v>
      </c>
      <c r="D9050" s="1038" t="s">
        <v>897</v>
      </c>
      <c r="E9050" s="178">
        <v>2005</v>
      </c>
      <c r="F9050" s="178" t="s">
        <v>23395</v>
      </c>
      <c r="G9050" s="496"/>
      <c r="H9050" s="994" t="s">
        <v>20221</v>
      </c>
      <c r="I9050" s="11" t="s">
        <v>12244</v>
      </c>
      <c r="J9050" s="1285"/>
      <c r="K9050" s="1285"/>
      <c r="L9050" s="1285"/>
    </row>
    <row r="9051" spans="1:12" ht="11.15" customHeight="1">
      <c r="A9051" s="29" t="s">
        <v>12245</v>
      </c>
      <c r="B9051" s="185"/>
      <c r="C9051" s="147"/>
      <c r="D9051" s="122"/>
      <c r="E9051" s="185"/>
      <c r="F9051" s="185"/>
      <c r="G9051" s="185"/>
      <c r="H9051" s="185"/>
      <c r="I9051" s="11"/>
    </row>
    <row r="9052" spans="1:12" ht="11.15" customHeight="1">
      <c r="A9052" s="29" t="s">
        <v>12246</v>
      </c>
      <c r="B9052" s="275"/>
      <c r="C9052" s="147"/>
      <c r="D9052" s="122"/>
      <c r="E9052" s="185"/>
      <c r="F9052" s="185"/>
      <c r="G9052" s="185"/>
      <c r="H9052" s="185"/>
      <c r="I9052" s="11"/>
    </row>
    <row r="9053" spans="1:12" ht="11.15" customHeight="1">
      <c r="A9053" s="29" t="s">
        <v>12247</v>
      </c>
      <c r="B9053" s="275"/>
      <c r="C9053" s="147"/>
      <c r="D9053" s="122"/>
      <c r="E9053" s="185"/>
      <c r="F9053" s="185"/>
      <c r="G9053" s="185"/>
      <c r="H9053" s="185"/>
      <c r="I9053" s="11"/>
    </row>
    <row r="9054" spans="1:12" ht="11.15" customHeight="1">
      <c r="A9054" s="29" t="s">
        <v>12248</v>
      </c>
      <c r="B9054" s="185"/>
      <c r="C9054" s="147"/>
      <c r="D9054" s="122"/>
      <c r="E9054" s="36"/>
      <c r="F9054" s="183"/>
      <c r="G9054" s="453"/>
      <c r="H9054" s="34"/>
      <c r="I9054" s="11"/>
    </row>
    <row r="9055" spans="1:12" ht="11.15" customHeight="1">
      <c r="A9055" s="218" t="s">
        <v>12249</v>
      </c>
      <c r="B9055" s="185"/>
      <c r="C9055" s="147"/>
      <c r="D9055" s="122"/>
      <c r="E9055" s="36"/>
      <c r="F9055" s="183"/>
      <c r="G9055" s="453"/>
      <c r="H9055" s="34"/>
      <c r="I9055" s="11"/>
    </row>
    <row r="9056" spans="1:12" ht="11.15" customHeight="1">
      <c r="A9056" s="129" t="s">
        <v>12250</v>
      </c>
      <c r="B9056" s="185"/>
      <c r="C9056" s="147"/>
      <c r="D9056" s="122"/>
      <c r="E9056" s="36"/>
      <c r="F9056" s="183"/>
      <c r="G9056" s="453"/>
      <c r="H9056" s="34"/>
      <c r="I9056" s="11"/>
    </row>
    <row r="9057" spans="1:9" ht="11.15" customHeight="1">
      <c r="A9057" s="162" t="s">
        <v>12251</v>
      </c>
      <c r="B9057" s="185"/>
      <c r="C9057" s="147"/>
      <c r="D9057" s="122"/>
      <c r="E9057" s="36"/>
      <c r="F9057" s="183"/>
      <c r="G9057" s="453"/>
      <c r="H9057" s="34"/>
      <c r="I9057" s="11"/>
    </row>
    <row r="9058" spans="1:9" ht="11.15" customHeight="1">
      <c r="A9058" s="162" t="s">
        <v>12252</v>
      </c>
      <c r="B9058" s="90"/>
      <c r="C9058" s="147"/>
      <c r="D9058" s="122"/>
      <c r="E9058" s="36"/>
      <c r="F9058" s="183"/>
      <c r="G9058" s="453"/>
      <c r="H9058" s="34"/>
      <c r="I9058" s="11"/>
    </row>
    <row r="9059" spans="1:9" ht="11.15" customHeight="1">
      <c r="A9059" s="29" t="s">
        <v>12253</v>
      </c>
      <c r="B9059" s="90"/>
      <c r="C9059" s="147"/>
      <c r="D9059" s="122"/>
      <c r="E9059" s="36"/>
      <c r="F9059" s="183"/>
      <c r="G9059" s="453"/>
      <c r="H9059" s="34"/>
      <c r="I9059" s="11"/>
    </row>
    <row r="9060" spans="1:9" ht="11.15" customHeight="1">
      <c r="A9060" s="129" t="s">
        <v>12254</v>
      </c>
      <c r="B9060" s="90"/>
      <c r="C9060" s="147"/>
      <c r="D9060" s="122"/>
      <c r="E9060" s="36"/>
      <c r="F9060" s="183"/>
      <c r="G9060" s="453"/>
      <c r="H9060" s="34"/>
      <c r="I9060" s="11"/>
    </row>
    <row r="9061" spans="1:9" ht="11.15" customHeight="1" thickBot="1">
      <c r="A9061" s="129" t="s">
        <v>12255</v>
      </c>
      <c r="B9061" s="90"/>
      <c r="C9061" s="147"/>
      <c r="D9061" s="122"/>
      <c r="E9061" s="36"/>
      <c r="F9061" s="178"/>
      <c r="G9061" s="671"/>
      <c r="H9061" s="36"/>
      <c r="I9061" s="11"/>
    </row>
    <row r="9062" spans="1:9" ht="24" customHeight="1" thickBot="1">
      <c r="A9062" s="515"/>
      <c r="B9062" s="64" t="s">
        <v>12256</v>
      </c>
      <c r="C9062" s="170"/>
      <c r="D9062" s="382"/>
      <c r="E9062" s="235"/>
      <c r="F9062" s="383"/>
      <c r="G9062" s="1249"/>
      <c r="H9062" s="1132"/>
      <c r="I9062" s="11"/>
    </row>
    <row r="9063" spans="1:9" ht="11.15" customHeight="1">
      <c r="A9063" s="185"/>
      <c r="B9063" s="146" t="s">
        <v>12257</v>
      </c>
      <c r="C9063" s="147"/>
      <c r="D9063" s="122"/>
      <c r="E9063" s="36"/>
      <c r="F9063" s="178"/>
      <c r="G9063" s="453"/>
      <c r="H9063" s="36"/>
      <c r="I9063" s="11"/>
    </row>
    <row r="9064" spans="1:9" ht="9" customHeight="1">
      <c r="A9064" s="185"/>
      <c r="B9064" s="209" t="s">
        <v>12258</v>
      </c>
      <c r="C9064" s="147"/>
      <c r="D9064" s="122"/>
      <c r="E9064" s="36"/>
      <c r="F9064" s="178"/>
      <c r="G9064" s="453"/>
      <c r="H9064" s="36"/>
      <c r="I9064" s="11"/>
    </row>
    <row r="9065" spans="1:9" ht="9" customHeight="1">
      <c r="A9065" s="185"/>
      <c r="B9065" s="209" t="s">
        <v>12259</v>
      </c>
      <c r="C9065" s="147"/>
      <c r="D9065" s="122"/>
      <c r="E9065" s="36"/>
      <c r="F9065" s="178"/>
      <c r="G9065" s="453"/>
      <c r="H9065" s="36"/>
      <c r="I9065" s="11"/>
    </row>
    <row r="9066" spans="1:9" ht="9" customHeight="1">
      <c r="A9066" s="185"/>
      <c r="B9066" s="150" t="s">
        <v>12260</v>
      </c>
      <c r="C9066" s="147"/>
      <c r="D9066" s="122"/>
      <c r="E9066" s="36"/>
      <c r="F9066" s="178"/>
      <c r="G9066" s="453"/>
      <c r="H9066" s="36"/>
      <c r="I9066" s="11"/>
    </row>
    <row r="9067" spans="1:9" ht="9" customHeight="1">
      <c r="A9067" s="185"/>
      <c r="B9067" s="150" t="s">
        <v>12261</v>
      </c>
      <c r="C9067" s="147"/>
      <c r="D9067" s="122"/>
      <c r="E9067" s="36"/>
      <c r="F9067" s="178"/>
      <c r="G9067" s="453"/>
      <c r="H9067" s="36"/>
      <c r="I9067" s="11"/>
    </row>
    <row r="9068" spans="1:9" ht="9" customHeight="1">
      <c r="A9068" s="185"/>
      <c r="B9068" s="150" t="s">
        <v>12262</v>
      </c>
      <c r="C9068" s="147"/>
      <c r="D9068" s="122"/>
      <c r="E9068" s="36"/>
      <c r="F9068" s="178"/>
      <c r="G9068" s="453"/>
      <c r="H9068" s="36"/>
      <c r="I9068" s="11"/>
    </row>
    <row r="9069" spans="1:9" ht="9" customHeight="1">
      <c r="A9069" s="185"/>
      <c r="B9069" s="209" t="s">
        <v>12263</v>
      </c>
      <c r="C9069" s="147"/>
      <c r="D9069" s="122"/>
      <c r="E9069" s="36"/>
      <c r="F9069" s="178"/>
      <c r="G9069" s="453"/>
      <c r="H9069" s="36"/>
      <c r="I9069" s="11"/>
    </row>
    <row r="9070" spans="1:9" ht="9" customHeight="1">
      <c r="A9070" s="377"/>
      <c r="B9070" s="209" t="s">
        <v>12264</v>
      </c>
      <c r="C9070" s="147"/>
      <c r="D9070" s="122"/>
      <c r="E9070" s="36"/>
      <c r="F9070" s="178"/>
      <c r="G9070" s="817"/>
      <c r="H9070" s="36"/>
      <c r="I9070" s="11"/>
    </row>
    <row r="9071" spans="1:9" ht="9" customHeight="1">
      <c r="A9071" s="59"/>
      <c r="B9071" s="209" t="s">
        <v>12265</v>
      </c>
      <c r="C9071" s="147"/>
      <c r="D9071" s="122"/>
      <c r="E9071" s="36"/>
      <c r="F9071" s="178"/>
      <c r="G9071" s="817"/>
      <c r="H9071" s="36"/>
      <c r="I9071" s="11"/>
    </row>
    <row r="9072" spans="1:9" ht="9" customHeight="1">
      <c r="A9072" s="59"/>
      <c r="B9072" s="150" t="s">
        <v>12266</v>
      </c>
      <c r="C9072" s="147"/>
      <c r="D9072" s="122"/>
      <c r="E9072" s="36"/>
      <c r="F9072" s="178"/>
      <c r="G9072" s="817"/>
      <c r="H9072" s="36"/>
      <c r="I9072" s="11"/>
    </row>
    <row r="9073" spans="1:12" ht="9" customHeight="1">
      <c r="A9073" s="377"/>
      <c r="B9073" s="209" t="s">
        <v>12267</v>
      </c>
      <c r="C9073" s="147"/>
      <c r="D9073" s="122"/>
      <c r="E9073" s="36"/>
      <c r="F9073" s="178"/>
      <c r="G9073" s="817"/>
      <c r="H9073" s="36"/>
      <c r="I9073" s="11"/>
    </row>
    <row r="9074" spans="1:12" ht="9" customHeight="1">
      <c r="A9074" s="29"/>
      <c r="B9074" s="209" t="s">
        <v>12268</v>
      </c>
      <c r="C9074" s="147"/>
      <c r="D9074" s="122"/>
      <c r="E9074" s="36"/>
      <c r="F9074" s="178"/>
      <c r="G9074" s="453"/>
      <c r="H9074" s="36"/>
      <c r="I9074" s="11"/>
    </row>
    <row r="9075" spans="1:12" ht="9" customHeight="1">
      <c r="A9075" s="29"/>
      <c r="B9075" s="209" t="s">
        <v>12269</v>
      </c>
      <c r="C9075" s="147"/>
      <c r="D9075" s="122"/>
      <c r="E9075" s="36"/>
      <c r="F9075" s="178"/>
      <c r="G9075" s="453"/>
      <c r="H9075" s="36"/>
      <c r="I9075" s="11"/>
    </row>
    <row r="9076" spans="1:12" ht="9" customHeight="1">
      <c r="A9076" s="29"/>
      <c r="B9076" s="209" t="s">
        <v>12270</v>
      </c>
      <c r="C9076" s="147"/>
      <c r="D9076" s="122"/>
      <c r="E9076" s="36"/>
      <c r="F9076" s="178"/>
      <c r="G9076" s="453"/>
      <c r="H9076" s="36"/>
      <c r="I9076" s="11"/>
    </row>
    <row r="9077" spans="1:12" ht="9" customHeight="1">
      <c r="A9077" s="29"/>
      <c r="B9077" s="209" t="s">
        <v>12271</v>
      </c>
      <c r="C9077" s="147"/>
      <c r="D9077" s="122"/>
      <c r="E9077" s="36"/>
      <c r="F9077" s="178"/>
      <c r="G9077" s="453"/>
      <c r="H9077" s="36"/>
      <c r="I9077" s="11"/>
    </row>
    <row r="9078" spans="1:12" ht="9" customHeight="1">
      <c r="A9078" s="185"/>
      <c r="B9078" s="209" t="s">
        <v>12272</v>
      </c>
      <c r="C9078" s="147"/>
      <c r="D9078" s="122"/>
      <c r="E9078" s="36"/>
      <c r="F9078" s="178"/>
      <c r="G9078" s="453"/>
      <c r="H9078" s="36"/>
      <c r="I9078" s="11"/>
    </row>
    <row r="9079" spans="1:12" ht="9" customHeight="1" thickBot="1">
      <c r="A9079" s="185"/>
      <c r="B9079" s="209" t="s">
        <v>12273</v>
      </c>
      <c r="C9079" s="147"/>
      <c r="D9079" s="122"/>
      <c r="E9079" s="36"/>
      <c r="F9079" s="178"/>
      <c r="G9079" s="453"/>
      <c r="H9079" s="36"/>
      <c r="I9079" s="11"/>
    </row>
    <row r="9080" spans="1:12" ht="11.15" customHeight="1">
      <c r="A9080" s="153" t="s">
        <v>12274</v>
      </c>
      <c r="B9080" s="154" t="s">
        <v>11372</v>
      </c>
      <c r="C9080" s="147"/>
      <c r="D9080" s="122"/>
      <c r="E9080" s="36"/>
      <c r="F9080" s="178"/>
      <c r="G9080" s="453"/>
      <c r="H9080" s="36"/>
      <c r="I9080" s="11"/>
    </row>
    <row r="9081" spans="1:12" ht="11.15" customHeight="1" thickBot="1">
      <c r="A9081" s="230" t="s">
        <v>12275</v>
      </c>
      <c r="B9081" s="59" t="s">
        <v>21966</v>
      </c>
      <c r="C9081" s="147" t="s">
        <v>20221</v>
      </c>
      <c r="D9081" s="701" t="s">
        <v>12276</v>
      </c>
      <c r="E9081" s="178" t="s">
        <v>21967</v>
      </c>
      <c r="F9081" s="178" t="s">
        <v>4520</v>
      </c>
      <c r="G9081" s="496"/>
      <c r="H9081" s="994" t="s">
        <v>20221</v>
      </c>
      <c r="I9081" s="11" t="s">
        <v>12277</v>
      </c>
      <c r="J9081" s="1285"/>
      <c r="K9081" s="1285"/>
      <c r="L9081" s="1285"/>
    </row>
    <row r="9082" spans="1:12" ht="11.15" customHeight="1">
      <c r="A9082" s="29" t="s">
        <v>12278</v>
      </c>
      <c r="B9082" s="59" t="s">
        <v>21968</v>
      </c>
      <c r="C9082" s="147" t="s">
        <v>20221</v>
      </c>
      <c r="D9082" s="701" t="s">
        <v>12276</v>
      </c>
      <c r="E9082" s="178">
        <v>2016</v>
      </c>
      <c r="F9082" s="178" t="s">
        <v>4520</v>
      </c>
      <c r="G9082" s="496"/>
      <c r="H9082" s="994" t="s">
        <v>20277</v>
      </c>
      <c r="I9082" s="11" t="s">
        <v>12279</v>
      </c>
      <c r="J9082" s="1285"/>
      <c r="K9082" s="1285"/>
      <c r="L9082" s="1285"/>
    </row>
    <row r="9083" spans="1:12" ht="11.15" customHeight="1">
      <c r="A9083" s="29" t="s">
        <v>12280</v>
      </c>
      <c r="B9083" s="154" t="s">
        <v>12281</v>
      </c>
      <c r="C9083" s="147"/>
      <c r="D9083" s="122"/>
      <c r="E9083" s="178"/>
      <c r="F9083" s="178"/>
      <c r="G9083" s="453"/>
      <c r="H9083" s="36"/>
      <c r="I9083" s="11"/>
    </row>
    <row r="9084" spans="1:12" ht="11.15" customHeight="1">
      <c r="A9084" s="29" t="s">
        <v>12282</v>
      </c>
      <c r="B9084" s="59" t="s">
        <v>21969</v>
      </c>
      <c r="C9084" s="147" t="s">
        <v>20221</v>
      </c>
      <c r="D9084" s="1034" t="s">
        <v>2573</v>
      </c>
      <c r="E9084" s="178" t="s">
        <v>20221</v>
      </c>
      <c r="F9084" s="178" t="s">
        <v>4520</v>
      </c>
      <c r="G9084" s="496" t="s">
        <v>20221</v>
      </c>
      <c r="H9084" s="994" t="s">
        <v>3907</v>
      </c>
      <c r="I9084" s="11" t="s">
        <v>12283</v>
      </c>
      <c r="J9084" s="1285"/>
      <c r="K9084" s="1285"/>
      <c r="L9084" s="1285"/>
    </row>
    <row r="9085" spans="1:12" ht="11.15" customHeight="1">
      <c r="A9085" s="29" t="s">
        <v>12284</v>
      </c>
      <c r="B9085" s="59" t="s">
        <v>21970</v>
      </c>
      <c r="C9085" s="147" t="s">
        <v>20221</v>
      </c>
      <c r="D9085" s="1034" t="s">
        <v>2573</v>
      </c>
      <c r="E9085" s="178" t="s">
        <v>20221</v>
      </c>
      <c r="F9085" s="178" t="s">
        <v>4520</v>
      </c>
      <c r="G9085" s="496" t="s">
        <v>20221</v>
      </c>
      <c r="H9085" s="994" t="s">
        <v>3907</v>
      </c>
      <c r="I9085" s="11" t="s">
        <v>12285</v>
      </c>
      <c r="J9085" s="1285"/>
      <c r="K9085" s="1285"/>
      <c r="L9085" s="1285"/>
    </row>
    <row r="9086" spans="1:12" ht="11.15" customHeight="1">
      <c r="A9086" s="181" t="s">
        <v>12286</v>
      </c>
      <c r="B9086" s="154" t="s">
        <v>11253</v>
      </c>
      <c r="C9086" s="147"/>
      <c r="D9086" s="122"/>
      <c r="E9086" s="178"/>
      <c r="F9086" s="178"/>
      <c r="G9086" s="453"/>
      <c r="H9086" s="36"/>
      <c r="I9086" s="11"/>
    </row>
    <row r="9087" spans="1:12" ht="11.15" customHeight="1">
      <c r="A9087" s="29" t="s">
        <v>12287</v>
      </c>
      <c r="B9087" s="59" t="s">
        <v>21971</v>
      </c>
      <c r="C9087" s="147" t="s">
        <v>20221</v>
      </c>
      <c r="D9087" s="284" t="s">
        <v>897</v>
      </c>
      <c r="E9087" s="178">
        <v>2019</v>
      </c>
      <c r="F9087" s="178" t="s">
        <v>4520</v>
      </c>
      <c r="G9087" s="496"/>
      <c r="H9087" s="994" t="s">
        <v>20221</v>
      </c>
      <c r="I9087" s="11" t="s">
        <v>12288</v>
      </c>
      <c r="J9087" s="1285"/>
      <c r="K9087" s="1285"/>
      <c r="L9087" s="1285"/>
    </row>
    <row r="9088" spans="1:12" ht="11.15" customHeight="1">
      <c r="A9088" s="129" t="s">
        <v>12289</v>
      </c>
      <c r="B9088" s="59" t="s">
        <v>21971</v>
      </c>
      <c r="C9088" s="147" t="s">
        <v>20221</v>
      </c>
      <c r="D9088" s="284" t="s">
        <v>897</v>
      </c>
      <c r="E9088" s="178" t="s">
        <v>21972</v>
      </c>
      <c r="F9088" s="178" t="s">
        <v>4520</v>
      </c>
      <c r="G9088" s="496"/>
      <c r="H9088" s="994" t="s">
        <v>20221</v>
      </c>
      <c r="I9088" s="11" t="s">
        <v>12290</v>
      </c>
      <c r="J9088" s="1285"/>
      <c r="K9088" s="1285"/>
      <c r="L9088" s="1285"/>
    </row>
    <row r="9089" spans="1:12" ht="11.15" customHeight="1">
      <c r="A9089" s="162" t="s">
        <v>12291</v>
      </c>
      <c r="B9089" s="59" t="s">
        <v>21971</v>
      </c>
      <c r="C9089" s="147" t="s">
        <v>20221</v>
      </c>
      <c r="D9089" s="284" t="s">
        <v>897</v>
      </c>
      <c r="E9089" s="178">
        <v>2014</v>
      </c>
      <c r="F9089" s="178" t="s">
        <v>4520</v>
      </c>
      <c r="G9089" s="496"/>
      <c r="H9089" s="994" t="s">
        <v>20277</v>
      </c>
      <c r="I9089" s="11" t="s">
        <v>12292</v>
      </c>
      <c r="J9089" s="1285"/>
      <c r="K9089" s="1285"/>
      <c r="L9089" s="1285"/>
    </row>
    <row r="9090" spans="1:12" ht="11.15" customHeight="1">
      <c r="A9090" s="162" t="s">
        <v>12293</v>
      </c>
      <c r="B9090" s="59" t="s">
        <v>21973</v>
      </c>
      <c r="C9090" s="147" t="s">
        <v>20221</v>
      </c>
      <c r="D9090" s="284" t="s">
        <v>897</v>
      </c>
      <c r="E9090" s="178">
        <v>2014</v>
      </c>
      <c r="F9090" s="178" t="s">
        <v>4520</v>
      </c>
      <c r="G9090" s="496"/>
      <c r="H9090" s="994" t="s">
        <v>20221</v>
      </c>
      <c r="I9090" s="11" t="s">
        <v>12294</v>
      </c>
      <c r="J9090" s="1285"/>
      <c r="K9090" s="1285"/>
      <c r="L9090" s="1285"/>
    </row>
    <row r="9091" spans="1:12" ht="11.15" customHeight="1">
      <c r="A9091" s="162" t="s">
        <v>12295</v>
      </c>
      <c r="B9091" s="59" t="s">
        <v>21973</v>
      </c>
      <c r="C9091" s="147" t="s">
        <v>20221</v>
      </c>
      <c r="D9091" s="284" t="s">
        <v>897</v>
      </c>
      <c r="E9091" s="178">
        <v>2013</v>
      </c>
      <c r="F9091" s="178" t="s">
        <v>4520</v>
      </c>
      <c r="G9091" s="496"/>
      <c r="H9091" s="994" t="s">
        <v>20221</v>
      </c>
      <c r="I9091" s="11" t="s">
        <v>12296</v>
      </c>
      <c r="J9091" s="1285"/>
      <c r="K9091" s="1285"/>
      <c r="L9091" s="1285"/>
    </row>
    <row r="9092" spans="1:12" ht="11.15" customHeight="1">
      <c r="A9092" s="162" t="s">
        <v>12297</v>
      </c>
      <c r="B9092" s="59" t="s">
        <v>21974</v>
      </c>
      <c r="C9092" s="147" t="s">
        <v>20221</v>
      </c>
      <c r="D9092" s="284" t="s">
        <v>897</v>
      </c>
      <c r="E9092" s="178">
        <v>2020</v>
      </c>
      <c r="F9092" s="178" t="s">
        <v>4520</v>
      </c>
      <c r="G9092" s="496"/>
      <c r="H9092" s="994" t="s">
        <v>20221</v>
      </c>
      <c r="I9092" s="11" t="s">
        <v>12298</v>
      </c>
      <c r="J9092" s="1285"/>
      <c r="K9092" s="1285"/>
      <c r="L9092" s="1285"/>
    </row>
    <row r="9093" spans="1:12" ht="11.15" customHeight="1">
      <c r="A9093" s="162" t="s">
        <v>12299</v>
      </c>
      <c r="B9093" s="59" t="s">
        <v>21975</v>
      </c>
      <c r="C9093" s="147" t="s">
        <v>20221</v>
      </c>
      <c r="D9093" s="284" t="s">
        <v>897</v>
      </c>
      <c r="E9093" s="178">
        <v>2013</v>
      </c>
      <c r="F9093" s="178" t="s">
        <v>4520</v>
      </c>
      <c r="G9093" s="496"/>
      <c r="H9093" s="994" t="s">
        <v>20221</v>
      </c>
      <c r="I9093" s="11" t="s">
        <v>12300</v>
      </c>
      <c r="J9093" s="1285"/>
      <c r="K9093" s="1285"/>
      <c r="L9093" s="1285"/>
    </row>
    <row r="9094" spans="1:12" ht="10.5" customHeight="1">
      <c r="A9094" s="162" t="s">
        <v>12301</v>
      </c>
      <c r="B9094" s="59" t="s">
        <v>21975</v>
      </c>
      <c r="C9094" s="147" t="s">
        <v>20221</v>
      </c>
      <c r="D9094" s="284" t="s">
        <v>897</v>
      </c>
      <c r="E9094" s="178">
        <v>2011</v>
      </c>
      <c r="F9094" s="178" t="s">
        <v>4520</v>
      </c>
      <c r="G9094" s="496"/>
      <c r="H9094" s="994" t="s">
        <v>20221</v>
      </c>
      <c r="I9094" s="11" t="s">
        <v>12302</v>
      </c>
      <c r="J9094" s="1285"/>
      <c r="K9094" s="1285"/>
      <c r="L9094" s="1285"/>
    </row>
    <row r="9095" spans="1:12" ht="10.5" customHeight="1">
      <c r="A9095" s="129" t="s">
        <v>951</v>
      </c>
      <c r="B9095" s="185"/>
      <c r="C9095" s="147"/>
      <c r="D9095" s="185"/>
      <c r="E9095" s="185"/>
      <c r="F9095" s="185"/>
      <c r="G9095" s="185"/>
      <c r="H9095" s="185"/>
      <c r="I9095" s="11"/>
    </row>
    <row r="9096" spans="1:12" ht="10.5" customHeight="1">
      <c r="A9096" s="162" t="s">
        <v>12303</v>
      </c>
      <c r="B9096" s="150"/>
      <c r="C9096" s="147"/>
      <c r="D9096" s="161"/>
      <c r="E9096" s="36"/>
      <c r="F9096" s="183"/>
      <c r="G9096" s="496"/>
      <c r="H9096" s="34"/>
      <c r="I9096" s="11"/>
    </row>
    <row r="9097" spans="1:12" ht="10.5" customHeight="1">
      <c r="A9097" s="162" t="s">
        <v>12304</v>
      </c>
      <c r="B9097" s="59"/>
      <c r="C9097" s="147"/>
      <c r="D9097" s="161"/>
      <c r="E9097" s="36"/>
      <c r="F9097" s="183"/>
      <c r="G9097" s="496"/>
      <c r="H9097" s="34"/>
      <c r="I9097" s="11"/>
    </row>
    <row r="9098" spans="1:12" ht="10.5" customHeight="1">
      <c r="A9098" s="162" t="s">
        <v>12305</v>
      </c>
      <c r="B9098" s="59"/>
      <c r="C9098" s="147"/>
      <c r="D9098" s="161"/>
      <c r="E9098" s="36"/>
      <c r="F9098" s="183"/>
      <c r="G9098" s="496"/>
      <c r="H9098" s="34"/>
      <c r="I9098" s="11"/>
    </row>
    <row r="9099" spans="1:12" ht="10.5" customHeight="1">
      <c r="A9099" s="162" t="s">
        <v>12306</v>
      </c>
      <c r="B9099" s="59"/>
      <c r="C9099" s="147"/>
      <c r="D9099" s="161"/>
      <c r="E9099" s="36"/>
      <c r="F9099" s="183"/>
      <c r="G9099" s="496"/>
      <c r="H9099" s="34"/>
      <c r="I9099" s="11"/>
    </row>
    <row r="9100" spans="1:12" ht="10.5" customHeight="1">
      <c r="A9100" s="162" t="s">
        <v>12307</v>
      </c>
      <c r="B9100" s="59"/>
      <c r="C9100" s="147"/>
      <c r="D9100" s="161"/>
      <c r="E9100" s="36"/>
      <c r="F9100" s="183"/>
      <c r="G9100" s="496"/>
      <c r="H9100" s="34"/>
      <c r="I9100" s="11"/>
    </row>
    <row r="9101" spans="1:12" ht="10.5" customHeight="1">
      <c r="A9101" s="162" t="s">
        <v>12308</v>
      </c>
      <c r="B9101" s="59"/>
      <c r="C9101" s="147"/>
      <c r="D9101" s="161"/>
      <c r="E9101" s="36"/>
      <c r="F9101" s="183"/>
      <c r="G9101" s="496"/>
      <c r="H9101" s="34"/>
      <c r="I9101" s="11"/>
    </row>
    <row r="9102" spans="1:12" ht="10.5" customHeight="1">
      <c r="A9102" s="129" t="s">
        <v>903</v>
      </c>
      <c r="B9102" s="59"/>
      <c r="C9102" s="147"/>
      <c r="D9102" s="161"/>
      <c r="E9102" s="36"/>
      <c r="F9102" s="183"/>
      <c r="G9102" s="496"/>
      <c r="H9102" s="34"/>
      <c r="I9102" s="11"/>
    </row>
    <row r="9103" spans="1:12" ht="10.5" customHeight="1">
      <c r="A9103" s="162" t="s">
        <v>12309</v>
      </c>
      <c r="B9103" s="59"/>
      <c r="C9103" s="147"/>
      <c r="D9103" s="161"/>
      <c r="E9103" s="36"/>
      <c r="F9103" s="183"/>
      <c r="G9103" s="496"/>
      <c r="H9103" s="34"/>
      <c r="I9103" s="11"/>
    </row>
    <row r="9104" spans="1:12" ht="10.5" customHeight="1">
      <c r="A9104" s="162" t="s">
        <v>12310</v>
      </c>
      <c r="B9104" s="59"/>
      <c r="C9104" s="147"/>
      <c r="D9104" s="161"/>
      <c r="E9104" s="36"/>
      <c r="F9104" s="183"/>
      <c r="G9104" s="496"/>
      <c r="H9104" s="34"/>
      <c r="I9104" s="11"/>
    </row>
    <row r="9105" spans="1:12" ht="10.5" customHeight="1">
      <c r="A9105" s="162" t="s">
        <v>12311</v>
      </c>
      <c r="B9105" s="59"/>
      <c r="C9105" s="147"/>
      <c r="D9105" s="161"/>
      <c r="E9105" s="36"/>
      <c r="F9105" s="183"/>
      <c r="G9105" s="496"/>
      <c r="H9105" s="34"/>
      <c r="I9105" s="11"/>
    </row>
    <row r="9106" spans="1:12" ht="10.5" customHeight="1">
      <c r="A9106" s="162" t="s">
        <v>12312</v>
      </c>
      <c r="B9106" s="59"/>
      <c r="C9106" s="147"/>
      <c r="D9106" s="161"/>
      <c r="E9106" s="36"/>
      <c r="F9106" s="183"/>
      <c r="G9106" s="496"/>
      <c r="H9106" s="34"/>
      <c r="I9106" s="11"/>
    </row>
    <row r="9107" spans="1:12" ht="10.5" customHeight="1">
      <c r="A9107" s="162" t="s">
        <v>12313</v>
      </c>
      <c r="B9107" s="59"/>
      <c r="C9107" s="147"/>
      <c r="D9107" s="161"/>
      <c r="E9107" s="36"/>
      <c r="F9107" s="183"/>
      <c r="G9107" s="496"/>
      <c r="H9107" s="34"/>
      <c r="I9107" s="11"/>
    </row>
    <row r="9108" spans="1:12" ht="10.5" customHeight="1">
      <c r="A9108" s="162" t="s">
        <v>12314</v>
      </c>
      <c r="B9108" s="59"/>
      <c r="C9108" s="147"/>
      <c r="D9108" s="161"/>
      <c r="E9108" s="36"/>
      <c r="F9108" s="183"/>
      <c r="G9108" s="496"/>
      <c r="H9108" s="34"/>
      <c r="I9108" s="11"/>
    </row>
    <row r="9109" spans="1:12" ht="10.5" customHeight="1">
      <c r="A9109" s="162" t="s">
        <v>12315</v>
      </c>
      <c r="B9109" s="59"/>
      <c r="C9109" s="147"/>
      <c r="D9109" s="161"/>
      <c r="E9109" s="36"/>
      <c r="F9109" s="183"/>
      <c r="G9109" s="496"/>
      <c r="H9109" s="34"/>
      <c r="I9109" s="11"/>
    </row>
    <row r="9110" spans="1:12" ht="10.5" customHeight="1">
      <c r="A9110" s="162" t="s">
        <v>12316</v>
      </c>
      <c r="B9110" s="59"/>
      <c r="C9110" s="147"/>
      <c r="D9110" s="161"/>
      <c r="E9110" s="36"/>
      <c r="F9110" s="183"/>
      <c r="G9110" s="496"/>
      <c r="H9110" s="34"/>
      <c r="I9110" s="11"/>
    </row>
    <row r="9111" spans="1:12" ht="10.5" customHeight="1">
      <c r="A9111" s="29" t="s">
        <v>12317</v>
      </c>
      <c r="B9111" s="59"/>
      <c r="C9111" s="147"/>
      <c r="D9111" s="161"/>
      <c r="E9111" s="36"/>
      <c r="F9111" s="183"/>
      <c r="G9111" s="496"/>
      <c r="H9111" s="34"/>
      <c r="I9111" s="11"/>
    </row>
    <row r="9112" spans="1:12" ht="11.15" customHeight="1">
      <c r="A9112" s="29" t="s">
        <v>12318</v>
      </c>
      <c r="B9112" s="589"/>
      <c r="C9112" s="147"/>
      <c r="D9112" s="122"/>
      <c r="E9112" s="36"/>
      <c r="F9112" s="178"/>
      <c r="G9112" s="453"/>
      <c r="H9112" s="36"/>
      <c r="I9112" s="11"/>
    </row>
    <row r="9113" spans="1:12" ht="11.15" customHeight="1">
      <c r="A9113" s="29" t="s">
        <v>12319</v>
      </c>
      <c r="B9113" s="90"/>
      <c r="C9113" s="147"/>
      <c r="D9113" s="161"/>
      <c r="E9113" s="36"/>
      <c r="F9113" s="178"/>
      <c r="G9113" s="671"/>
      <c r="H9113" s="36"/>
      <c r="I9113" s="11"/>
    </row>
    <row r="9114" spans="1:12" ht="11.15" customHeight="1">
      <c r="A9114" s="166" t="s">
        <v>11041</v>
      </c>
      <c r="B9114" s="90"/>
      <c r="C9114" s="147"/>
      <c r="D9114" s="122"/>
      <c r="E9114" s="36"/>
      <c r="F9114" s="178"/>
      <c r="G9114" s="671"/>
      <c r="H9114" s="36"/>
      <c r="I9114" s="11"/>
    </row>
    <row r="9115" spans="1:12" ht="11.15" customHeight="1">
      <c r="A9115" s="129" t="s">
        <v>12320</v>
      </c>
      <c r="B9115" s="589"/>
      <c r="C9115" s="147"/>
      <c r="D9115" s="122"/>
      <c r="E9115" s="36"/>
      <c r="F9115" s="178"/>
      <c r="G9115" s="453"/>
      <c r="H9115" s="36"/>
      <c r="I9115" s="11"/>
    </row>
    <row r="9116" spans="1:12" ht="11.15" customHeight="1" thickBot="1">
      <c r="A9116" s="657"/>
      <c r="B9116" s="547" t="s">
        <v>12321</v>
      </c>
      <c r="C9116" s="321"/>
      <c r="D9116" s="320"/>
      <c r="E9116" s="322"/>
      <c r="F9116" s="578"/>
      <c r="G9116" s="1234"/>
      <c r="H9116" s="322"/>
      <c r="I9116" s="11"/>
    </row>
    <row r="9117" spans="1:12" ht="11.15" customHeight="1">
      <c r="A9117" s="323" t="s">
        <v>12322</v>
      </c>
      <c r="B9117" s="344" t="s">
        <v>12323</v>
      </c>
      <c r="C9117" s="321"/>
      <c r="D9117" s="330"/>
      <c r="E9117" s="329"/>
      <c r="F9117" s="329"/>
      <c r="G9117" s="329"/>
      <c r="H9117" s="329"/>
      <c r="I9117" s="11"/>
    </row>
    <row r="9118" spans="1:12" ht="11.15" customHeight="1" thickBot="1">
      <c r="A9118" s="327" t="s">
        <v>12324</v>
      </c>
      <c r="B9118" s="324" t="s">
        <v>21977</v>
      </c>
      <c r="C9118" s="321" t="s">
        <v>20221</v>
      </c>
      <c r="D9118" s="1297" t="s">
        <v>1129</v>
      </c>
      <c r="E9118" s="578">
        <v>2022</v>
      </c>
      <c r="F9118" s="578" t="s">
        <v>4520</v>
      </c>
      <c r="G9118" s="1204"/>
      <c r="H9118" s="1296" t="s">
        <v>20465</v>
      </c>
      <c r="I9118" s="11" t="s">
        <v>12325</v>
      </c>
      <c r="J9118" s="1285"/>
      <c r="K9118" s="1285"/>
      <c r="L9118" s="1285"/>
    </row>
    <row r="9119" spans="1:12" ht="11.15" customHeight="1">
      <c r="A9119" s="319" t="s">
        <v>12326</v>
      </c>
      <c r="B9119" s="324" t="s">
        <v>21978</v>
      </c>
      <c r="C9119" s="321" t="s">
        <v>20221</v>
      </c>
      <c r="D9119" s="1297" t="s">
        <v>1129</v>
      </c>
      <c r="E9119" s="578">
        <v>2017</v>
      </c>
      <c r="F9119" s="578" t="s">
        <v>4520</v>
      </c>
      <c r="G9119" s="1204"/>
      <c r="H9119" s="322" t="s">
        <v>20221</v>
      </c>
      <c r="I9119" s="11" t="s">
        <v>12327</v>
      </c>
      <c r="J9119" s="1285"/>
      <c r="K9119" s="1285"/>
      <c r="L9119" s="1285"/>
    </row>
    <row r="9120" spans="1:12" ht="11.15" customHeight="1">
      <c r="A9120" s="319" t="s">
        <v>12328</v>
      </c>
      <c r="B9120" s="324" t="s">
        <v>21979</v>
      </c>
      <c r="C9120" s="321" t="s">
        <v>20221</v>
      </c>
      <c r="D9120" s="1297" t="s">
        <v>1129</v>
      </c>
      <c r="E9120" s="578">
        <v>2017</v>
      </c>
      <c r="F9120" s="578" t="s">
        <v>4520</v>
      </c>
      <c r="G9120" s="1204"/>
      <c r="H9120" s="1296" t="s">
        <v>20277</v>
      </c>
      <c r="I9120" s="11" t="s">
        <v>12329</v>
      </c>
      <c r="J9120" s="1285"/>
      <c r="K9120" s="1285"/>
      <c r="L9120" s="1285"/>
    </row>
    <row r="9121" spans="1:12" ht="11.15" customHeight="1">
      <c r="A9121" s="319" t="s">
        <v>12330</v>
      </c>
      <c r="B9121" s="324" t="s">
        <v>21980</v>
      </c>
      <c r="C9121" s="321" t="s">
        <v>20221</v>
      </c>
      <c r="D9121" s="1297" t="s">
        <v>1129</v>
      </c>
      <c r="E9121" s="578">
        <v>2017</v>
      </c>
      <c r="F9121" s="578" t="s">
        <v>4520</v>
      </c>
      <c r="G9121" s="1204"/>
      <c r="H9121" s="1296" t="s">
        <v>20277</v>
      </c>
      <c r="I9121" s="11" t="s">
        <v>12331</v>
      </c>
      <c r="J9121" s="1285"/>
      <c r="K9121" s="1285"/>
      <c r="L9121" s="1285"/>
    </row>
    <row r="9122" spans="1:12" ht="11.15" customHeight="1">
      <c r="A9122" s="319" t="s">
        <v>12332</v>
      </c>
      <c r="B9122" s="324" t="s">
        <v>21981</v>
      </c>
      <c r="C9122" s="321" t="s">
        <v>20221</v>
      </c>
      <c r="D9122" s="1297" t="s">
        <v>1129</v>
      </c>
      <c r="E9122" s="578">
        <v>2016</v>
      </c>
      <c r="F9122" s="578" t="s">
        <v>4520</v>
      </c>
      <c r="G9122" s="1204"/>
      <c r="H9122" s="322" t="s">
        <v>20221</v>
      </c>
      <c r="I9122" s="11" t="s">
        <v>12333</v>
      </c>
      <c r="J9122" s="1285"/>
      <c r="K9122" s="1285"/>
      <c r="L9122" s="1285"/>
    </row>
    <row r="9123" spans="1:12" ht="11.15" customHeight="1">
      <c r="A9123" s="342" t="s">
        <v>12334</v>
      </c>
      <c r="B9123" s="344" t="s">
        <v>12335</v>
      </c>
      <c r="C9123" s="321"/>
      <c r="D9123" s="330"/>
      <c r="E9123" s="329"/>
      <c r="F9123" s="329"/>
      <c r="G9123" s="329"/>
      <c r="H9123" s="329"/>
      <c r="I9123" s="11"/>
    </row>
    <row r="9124" spans="1:12" ht="11.15" customHeight="1">
      <c r="A9124" s="319" t="s">
        <v>12336</v>
      </c>
      <c r="B9124" s="324" t="s">
        <v>21982</v>
      </c>
      <c r="C9124" s="321" t="s">
        <v>20221</v>
      </c>
      <c r="D9124" s="1295" t="s">
        <v>897</v>
      </c>
      <c r="E9124" s="578">
        <v>2021</v>
      </c>
      <c r="F9124" s="578" t="s">
        <v>4520</v>
      </c>
      <c r="G9124" s="1204"/>
      <c r="H9124" s="1296" t="s">
        <v>20277</v>
      </c>
      <c r="I9124" s="11" t="s">
        <v>12337</v>
      </c>
      <c r="J9124" s="1285"/>
      <c r="K9124" s="1285"/>
      <c r="L9124" s="1285"/>
    </row>
    <row r="9125" spans="1:12" ht="11.15" customHeight="1">
      <c r="A9125" s="342" t="s">
        <v>950</v>
      </c>
      <c r="B9125" s="324" t="s">
        <v>21983</v>
      </c>
      <c r="C9125" s="321" t="s">
        <v>20221</v>
      </c>
      <c r="D9125" s="1295" t="s">
        <v>897</v>
      </c>
      <c r="E9125" s="578">
        <v>1997</v>
      </c>
      <c r="F9125" s="578" t="s">
        <v>4520</v>
      </c>
      <c r="G9125" s="1204"/>
      <c r="H9125" s="1296" t="s">
        <v>20277</v>
      </c>
      <c r="I9125" s="11" t="s">
        <v>12338</v>
      </c>
      <c r="J9125" s="1285"/>
      <c r="K9125" s="1285"/>
      <c r="L9125" s="1285"/>
    </row>
    <row r="9126" spans="1:12" ht="11.15" customHeight="1">
      <c r="A9126" s="658" t="s">
        <v>12339</v>
      </c>
      <c r="B9126" s="578"/>
      <c r="C9126" s="321"/>
      <c r="D9126" s="325"/>
      <c r="E9126" s="326"/>
      <c r="F9126" s="578"/>
      <c r="G9126" s="1204"/>
      <c r="H9126" s="322"/>
      <c r="I9126" s="11"/>
    </row>
    <row r="9127" spans="1:12" ht="11.15" customHeight="1">
      <c r="A9127" s="330" t="s">
        <v>12340</v>
      </c>
      <c r="B9127" s="578"/>
      <c r="C9127" s="321"/>
      <c r="D9127" s="325"/>
      <c r="E9127" s="326"/>
      <c r="F9127" s="578"/>
      <c r="G9127" s="1204"/>
      <c r="H9127" s="322"/>
      <c r="I9127" s="11"/>
    </row>
    <row r="9128" spans="1:12" ht="11.15" customHeight="1" thickBot="1">
      <c r="A9128" s="512"/>
      <c r="B9128" s="90"/>
      <c r="C9128" s="147"/>
      <c r="D9128" s="156"/>
      <c r="E9128" s="36"/>
      <c r="F9128" s="178"/>
      <c r="G9128" s="496"/>
      <c r="H9128" s="36"/>
      <c r="I9128" s="11"/>
    </row>
    <row r="9129" spans="1:12" ht="24" customHeight="1" thickBot="1">
      <c r="A9129" s="659"/>
      <c r="B9129" s="64" t="s">
        <v>12341</v>
      </c>
      <c r="C9129" s="170"/>
      <c r="D9129" s="382"/>
      <c r="E9129" s="235"/>
      <c r="F9129" s="383"/>
      <c r="G9129" s="1249"/>
      <c r="H9129" s="1132"/>
      <c r="I9129" s="11"/>
    </row>
    <row r="9130" spans="1:12" ht="11.15" customHeight="1">
      <c r="A9130" s="660"/>
      <c r="B9130" s="146" t="s">
        <v>12342</v>
      </c>
      <c r="C9130" s="147"/>
      <c r="D9130" s="149"/>
      <c r="E9130" s="216"/>
      <c r="F9130" s="209"/>
      <c r="G9130" s="660"/>
      <c r="H9130" s="216"/>
      <c r="I9130" s="11"/>
    </row>
    <row r="9131" spans="1:12" ht="11.15" customHeight="1" thickBot="1">
      <c r="A9131" s="660"/>
      <c r="B9131" s="150" t="s">
        <v>12343</v>
      </c>
      <c r="C9131" s="147"/>
      <c r="D9131" s="149"/>
      <c r="E9131" s="216"/>
      <c r="F9131" s="209"/>
      <c r="G9131" s="660"/>
      <c r="H9131" s="216"/>
      <c r="I9131" s="11"/>
    </row>
    <row r="9132" spans="1:12" ht="11.15" customHeight="1" thickBot="1">
      <c r="A9132" s="184" t="s">
        <v>12344</v>
      </c>
      <c r="B9132" s="59" t="s">
        <v>21389</v>
      </c>
      <c r="C9132" s="147" t="s">
        <v>20221</v>
      </c>
      <c r="D9132" s="284" t="s">
        <v>897</v>
      </c>
      <c r="E9132" s="178">
        <v>2015</v>
      </c>
      <c r="F9132" s="178" t="s">
        <v>4520</v>
      </c>
      <c r="G9132" s="496"/>
      <c r="H9132" s="994" t="s">
        <v>20221</v>
      </c>
      <c r="I9132" s="11" t="s">
        <v>12345</v>
      </c>
      <c r="J9132" s="1285"/>
      <c r="K9132" s="1285"/>
      <c r="L9132" s="1285"/>
    </row>
    <row r="9133" spans="1:12" ht="11.15" customHeight="1">
      <c r="A9133" s="29" t="s">
        <v>12346</v>
      </c>
      <c r="B9133" s="59" t="s">
        <v>21984</v>
      </c>
      <c r="C9133" s="147" t="s">
        <v>20221</v>
      </c>
      <c r="D9133" s="284" t="s">
        <v>897</v>
      </c>
      <c r="E9133" s="178">
        <v>2011</v>
      </c>
      <c r="F9133" s="178" t="s">
        <v>5257</v>
      </c>
      <c r="G9133" s="496"/>
      <c r="H9133" s="994" t="s">
        <v>20224</v>
      </c>
      <c r="I9133" s="11" t="s">
        <v>12347</v>
      </c>
      <c r="J9133" s="1285"/>
      <c r="K9133" s="1285"/>
      <c r="L9133" s="1285"/>
    </row>
    <row r="9134" spans="1:12" ht="11.15" customHeight="1">
      <c r="A9134" s="181" t="s">
        <v>12348</v>
      </c>
      <c r="B9134" s="185"/>
      <c r="C9134" s="147"/>
      <c r="D9134" s="185"/>
      <c r="E9134" s="185"/>
      <c r="F9134" s="185"/>
      <c r="G9134" s="185"/>
      <c r="H9134" s="185"/>
      <c r="I9134" s="11"/>
    </row>
    <row r="9135" spans="1:12" ht="11.15" customHeight="1">
      <c r="A9135" s="29" t="s">
        <v>12349</v>
      </c>
      <c r="B9135" s="185"/>
      <c r="C9135" s="147"/>
      <c r="D9135" s="185"/>
      <c r="E9135" s="185"/>
      <c r="F9135" s="185"/>
      <c r="G9135" s="185"/>
      <c r="H9135" s="185"/>
      <c r="I9135" s="11"/>
    </row>
    <row r="9136" spans="1:12" ht="11.15" customHeight="1">
      <c r="A9136" s="29" t="s">
        <v>12350</v>
      </c>
      <c r="B9136" s="185"/>
      <c r="C9136" s="147"/>
      <c r="D9136" s="185"/>
      <c r="E9136" s="185"/>
      <c r="F9136" s="185"/>
      <c r="G9136" s="185"/>
      <c r="H9136" s="185"/>
      <c r="I9136" s="11"/>
    </row>
    <row r="9137" spans="1:12" ht="11.15" customHeight="1">
      <c r="A9137" s="212" t="s">
        <v>12351</v>
      </c>
      <c r="B9137" s="90"/>
      <c r="C9137" s="147"/>
      <c r="D9137" s="122"/>
      <c r="E9137" s="36"/>
      <c r="F9137" s="178"/>
      <c r="G9137" s="671"/>
      <c r="H9137" s="36"/>
      <c r="I9137" s="11"/>
    </row>
    <row r="9138" spans="1:12" ht="11.15" customHeight="1">
      <c r="A9138" s="166" t="s">
        <v>11041</v>
      </c>
      <c r="B9138" s="185"/>
      <c r="C9138" s="147"/>
      <c r="D9138" s="129"/>
      <c r="E9138" s="185"/>
      <c r="F9138" s="185"/>
      <c r="G9138" s="185"/>
      <c r="H9138" s="185"/>
      <c r="I9138" s="11"/>
    </row>
    <row r="9139" spans="1:12" ht="11.15" customHeight="1">
      <c r="A9139" s="129" t="s">
        <v>12352</v>
      </c>
      <c r="B9139" s="185"/>
      <c r="C9139" s="147"/>
      <c r="D9139" s="129"/>
      <c r="E9139" s="185"/>
      <c r="F9139" s="185"/>
      <c r="G9139" s="185"/>
      <c r="H9139" s="185"/>
      <c r="I9139" s="11"/>
    </row>
    <row r="9140" spans="1:12" ht="11.15" customHeight="1" thickBot="1">
      <c r="A9140" s="29"/>
      <c r="B9140" s="90"/>
      <c r="C9140" s="147"/>
      <c r="D9140" s="161"/>
      <c r="E9140" s="36"/>
      <c r="F9140" s="183"/>
      <c r="G9140" s="496"/>
      <c r="H9140" s="34"/>
      <c r="I9140" s="11"/>
    </row>
    <row r="9141" spans="1:12" ht="24" customHeight="1" thickBot="1">
      <c r="A9141" s="542"/>
      <c r="B9141" s="64" t="s">
        <v>12353</v>
      </c>
      <c r="C9141" s="170"/>
      <c r="D9141" s="382"/>
      <c r="E9141" s="510"/>
      <c r="F9141" s="1080"/>
      <c r="G9141" s="1249"/>
      <c r="H9141" s="1132"/>
      <c r="I9141" s="11"/>
    </row>
    <row r="9142" spans="1:12" ht="11.15" customHeight="1">
      <c r="A9142" s="236" t="s">
        <v>12354</v>
      </c>
      <c r="B9142" s="177" t="s">
        <v>12355</v>
      </c>
      <c r="C9142" s="147"/>
      <c r="D9142" s="185"/>
      <c r="E9142" s="185"/>
      <c r="F9142" s="185"/>
      <c r="G9142" s="185"/>
      <c r="H9142" s="185"/>
      <c r="I9142" s="11"/>
    </row>
    <row r="9143" spans="1:12" ht="11.15" customHeight="1" thickBot="1">
      <c r="A9143" s="155" t="s">
        <v>12356</v>
      </c>
      <c r="B9143" s="59" t="s">
        <v>397</v>
      </c>
      <c r="C9143" s="147" t="s">
        <v>20221</v>
      </c>
      <c r="D9143" s="284" t="s">
        <v>897</v>
      </c>
      <c r="E9143" s="178">
        <v>2017</v>
      </c>
      <c r="F9143" s="178" t="s">
        <v>4520</v>
      </c>
      <c r="G9143" s="496"/>
      <c r="H9143" s="994" t="s">
        <v>20221</v>
      </c>
      <c r="I9143" s="11" t="s">
        <v>12357</v>
      </c>
      <c r="J9143" s="1285"/>
      <c r="K9143" s="1285"/>
      <c r="L9143" s="1285"/>
    </row>
    <row r="9144" spans="1:12" ht="11.15" customHeight="1">
      <c r="A9144" s="29" t="s">
        <v>12358</v>
      </c>
      <c r="B9144" s="59" t="s">
        <v>21985</v>
      </c>
      <c r="C9144" s="147" t="s">
        <v>20221</v>
      </c>
      <c r="D9144" s="284" t="s">
        <v>897</v>
      </c>
      <c r="E9144" s="178">
        <v>2016</v>
      </c>
      <c r="F9144" s="178" t="s">
        <v>4520</v>
      </c>
      <c r="G9144" s="496"/>
      <c r="H9144" s="994" t="s">
        <v>20277</v>
      </c>
      <c r="I9144" s="11" t="s">
        <v>12360</v>
      </c>
      <c r="J9144" s="1285"/>
      <c r="K9144" s="1285"/>
      <c r="L9144" s="1285"/>
    </row>
    <row r="9145" spans="1:12" ht="11.15" customHeight="1">
      <c r="A9145" s="29" t="s">
        <v>12359</v>
      </c>
      <c r="B9145" s="59" t="s">
        <v>21986</v>
      </c>
      <c r="C9145" s="147" t="s">
        <v>20221</v>
      </c>
      <c r="D9145" s="284" t="s">
        <v>897</v>
      </c>
      <c r="E9145" s="178">
        <v>2020</v>
      </c>
      <c r="F9145" s="178" t="s">
        <v>4520</v>
      </c>
      <c r="G9145" s="496"/>
      <c r="H9145" s="994" t="s">
        <v>20221</v>
      </c>
      <c r="I9145" s="11" t="s">
        <v>12362</v>
      </c>
      <c r="J9145" s="1285"/>
      <c r="K9145" s="1285"/>
      <c r="L9145" s="1285"/>
    </row>
    <row r="9146" spans="1:12" ht="11.15" customHeight="1">
      <c r="A9146" s="229" t="s">
        <v>12361</v>
      </c>
      <c r="B9146" s="59" t="s">
        <v>21986</v>
      </c>
      <c r="C9146" s="147" t="s">
        <v>20221</v>
      </c>
      <c r="D9146" s="284" t="s">
        <v>897</v>
      </c>
      <c r="E9146" s="178">
        <v>2018</v>
      </c>
      <c r="F9146" s="178" t="s">
        <v>4520</v>
      </c>
      <c r="G9146" s="496"/>
      <c r="H9146" s="994" t="s">
        <v>20277</v>
      </c>
      <c r="I9146" s="11" t="s">
        <v>12364</v>
      </c>
      <c r="J9146" s="1285"/>
      <c r="K9146" s="1285"/>
      <c r="L9146" s="1285"/>
    </row>
    <row r="9147" spans="1:12" ht="11.15" customHeight="1">
      <c r="A9147" s="29" t="s">
        <v>12363</v>
      </c>
      <c r="B9147" s="154" t="s">
        <v>12366</v>
      </c>
      <c r="C9147" s="147"/>
      <c r="D9147" s="185"/>
      <c r="E9147" s="185"/>
      <c r="F9147" s="185"/>
      <c r="G9147" s="185"/>
      <c r="H9147" s="185"/>
      <c r="I9147" s="11"/>
    </row>
    <row r="9148" spans="1:12" ht="11.15" customHeight="1">
      <c r="A9148" s="129" t="s">
        <v>12365</v>
      </c>
      <c r="B9148" s="59" t="s">
        <v>21987</v>
      </c>
      <c r="C9148" s="147" t="s">
        <v>20221</v>
      </c>
      <c r="D9148" s="284" t="s">
        <v>10182</v>
      </c>
      <c r="E9148" s="178">
        <v>2022</v>
      </c>
      <c r="F9148" s="178" t="s">
        <v>23398</v>
      </c>
      <c r="G9148" s="496"/>
      <c r="H9148" s="994" t="s">
        <v>20221</v>
      </c>
      <c r="I9148" s="11" t="s">
        <v>12368</v>
      </c>
      <c r="J9148" s="1285"/>
      <c r="K9148" s="1285"/>
      <c r="L9148" s="1285"/>
    </row>
    <row r="9149" spans="1:12" ht="11.15" customHeight="1">
      <c r="A9149" s="162" t="s">
        <v>12367</v>
      </c>
      <c r="B9149" s="90"/>
      <c r="C9149" s="147"/>
      <c r="D9149" s="161"/>
      <c r="E9149" s="36"/>
      <c r="F9149" s="183"/>
      <c r="G9149" s="671"/>
      <c r="H9149" s="34"/>
      <c r="I9149" s="11"/>
    </row>
    <row r="9150" spans="1:12" ht="11.15" customHeight="1">
      <c r="A9150" s="162" t="s">
        <v>12369</v>
      </c>
      <c r="B9150" s="90"/>
      <c r="C9150" s="147"/>
      <c r="D9150" s="161"/>
      <c r="E9150" s="36"/>
      <c r="F9150" s="183"/>
      <c r="G9150" s="671"/>
      <c r="H9150" s="34"/>
      <c r="I9150" s="11"/>
    </row>
    <row r="9151" spans="1:12" ht="11.15" customHeight="1">
      <c r="A9151" s="162" t="s">
        <v>12370</v>
      </c>
      <c r="B9151" s="90"/>
      <c r="C9151" s="147"/>
      <c r="D9151" s="122"/>
      <c r="E9151" s="36"/>
      <c r="F9151" s="178"/>
      <c r="G9151" s="671"/>
      <c r="H9151" s="36"/>
      <c r="I9151" s="11"/>
    </row>
    <row r="9152" spans="1:12" ht="11.15" customHeight="1">
      <c r="A9152" s="166" t="s">
        <v>12371</v>
      </c>
      <c r="B9152" s="90"/>
      <c r="C9152" s="147"/>
      <c r="D9152" s="122"/>
      <c r="E9152" s="36"/>
      <c r="F9152" s="178"/>
      <c r="G9152" s="671"/>
      <c r="H9152" s="36"/>
      <c r="I9152" s="11"/>
    </row>
    <row r="9153" spans="1:12" ht="11.15" customHeight="1">
      <c r="A9153" s="129" t="s">
        <v>12372</v>
      </c>
      <c r="B9153" s="90"/>
      <c r="C9153" s="147"/>
      <c r="D9153" s="122"/>
      <c r="E9153" s="36"/>
      <c r="F9153" s="178"/>
      <c r="G9153" s="671"/>
      <c r="H9153" s="36"/>
      <c r="I9153" s="11"/>
    </row>
    <row r="9154" spans="1:12" ht="11.15" customHeight="1">
      <c r="A9154" s="129" t="s">
        <v>12373</v>
      </c>
      <c r="B9154" s="90"/>
      <c r="C9154" s="147"/>
      <c r="D9154" s="122"/>
      <c r="E9154" s="36"/>
      <c r="F9154" s="178"/>
      <c r="G9154" s="671"/>
      <c r="H9154" s="36"/>
      <c r="I9154" s="11"/>
    </row>
    <row r="9155" spans="1:12" ht="11.15" customHeight="1" thickBot="1">
      <c r="A9155" s="29"/>
      <c r="B9155" s="90"/>
      <c r="C9155" s="147"/>
      <c r="D9155" s="122"/>
      <c r="E9155" s="36"/>
      <c r="F9155" s="178"/>
      <c r="G9155" s="671"/>
      <c r="H9155" s="36"/>
      <c r="I9155" s="11"/>
    </row>
    <row r="9156" spans="1:12" ht="11.15" customHeight="1">
      <c r="A9156" s="153" t="s">
        <v>12374</v>
      </c>
      <c r="B9156" s="177" t="s">
        <v>12375</v>
      </c>
      <c r="C9156" s="147"/>
      <c r="D9156" s="122"/>
      <c r="E9156" s="36"/>
      <c r="F9156" s="178"/>
      <c r="G9156" s="671"/>
      <c r="H9156" s="36"/>
      <c r="I9156" s="11"/>
    </row>
    <row r="9157" spans="1:12" ht="11.15" customHeight="1" thickBot="1">
      <c r="A9157" s="230" t="s">
        <v>12376</v>
      </c>
      <c r="B9157" s="59" t="s">
        <v>21989</v>
      </c>
      <c r="C9157" s="147" t="s">
        <v>20221</v>
      </c>
      <c r="D9157" s="284" t="s">
        <v>897</v>
      </c>
      <c r="E9157" s="178">
        <v>2015</v>
      </c>
      <c r="F9157" s="178" t="s">
        <v>4520</v>
      </c>
      <c r="G9157" s="496"/>
      <c r="H9157" s="994" t="s">
        <v>20221</v>
      </c>
      <c r="I9157" s="11" t="s">
        <v>12377</v>
      </c>
      <c r="J9157" s="1285"/>
      <c r="K9157" s="1285"/>
      <c r="L9157" s="1285"/>
    </row>
    <row r="9158" spans="1:12" ht="11.15" customHeight="1">
      <c r="A9158" s="29" t="s">
        <v>12378</v>
      </c>
      <c r="B9158" s="59" t="s">
        <v>21989</v>
      </c>
      <c r="C9158" s="147" t="s">
        <v>20221</v>
      </c>
      <c r="D9158" s="284" t="s">
        <v>897</v>
      </c>
      <c r="E9158" s="178">
        <v>2014</v>
      </c>
      <c r="F9158" s="178" t="s">
        <v>4520</v>
      </c>
      <c r="G9158" s="496"/>
      <c r="H9158" s="994" t="s">
        <v>20221</v>
      </c>
      <c r="I9158" s="11" t="s">
        <v>12379</v>
      </c>
      <c r="J9158" s="1285"/>
      <c r="K9158" s="1285"/>
      <c r="L9158" s="1285"/>
    </row>
    <row r="9159" spans="1:12" ht="11.15" customHeight="1">
      <c r="A9159" s="29" t="s">
        <v>12380</v>
      </c>
      <c r="B9159" s="177" t="s">
        <v>12381</v>
      </c>
      <c r="C9159" s="147"/>
      <c r="D9159" s="161"/>
      <c r="E9159" s="36"/>
      <c r="F9159" s="183"/>
      <c r="G9159" s="496"/>
      <c r="H9159" s="34"/>
      <c r="I9159" s="11"/>
    </row>
    <row r="9160" spans="1:12" ht="11.15" customHeight="1">
      <c r="A9160" s="29" t="s">
        <v>12382</v>
      </c>
      <c r="B9160" s="59" t="s">
        <v>21990</v>
      </c>
      <c r="C9160" s="147" t="s">
        <v>20221</v>
      </c>
      <c r="D9160" s="284" t="s">
        <v>897</v>
      </c>
      <c r="E9160" s="178">
        <v>2020</v>
      </c>
      <c r="F9160" s="178" t="s">
        <v>4520</v>
      </c>
      <c r="G9160" s="496"/>
      <c r="H9160" s="994" t="s">
        <v>20221</v>
      </c>
      <c r="I9160" s="11" t="s">
        <v>12383</v>
      </c>
      <c r="J9160" s="1285"/>
      <c r="K9160" s="1285"/>
      <c r="L9160" s="1285"/>
    </row>
    <row r="9161" spans="1:12" ht="11.15" customHeight="1">
      <c r="A9161" s="29" t="s">
        <v>12384</v>
      </c>
      <c r="B9161" s="185"/>
      <c r="C9161" s="147"/>
      <c r="D9161" s="185"/>
      <c r="E9161" s="185"/>
      <c r="F9161" s="185"/>
      <c r="G9161" s="185"/>
      <c r="H9161" s="185"/>
      <c r="I9161" s="11"/>
    </row>
    <row r="9162" spans="1:12" ht="11.15" customHeight="1">
      <c r="A9162" s="29" t="s">
        <v>12385</v>
      </c>
      <c r="B9162" s="90"/>
      <c r="C9162" s="147"/>
      <c r="D9162" s="161"/>
      <c r="E9162" s="36"/>
      <c r="F9162" s="178"/>
      <c r="G9162" s="496"/>
      <c r="H9162" s="36"/>
      <c r="I9162" s="11"/>
    </row>
    <row r="9163" spans="1:12" ht="11.15" customHeight="1">
      <c r="A9163" s="29" t="s">
        <v>12386</v>
      </c>
      <c r="B9163" s="90"/>
      <c r="C9163" s="147"/>
      <c r="D9163" s="161"/>
      <c r="E9163" s="36"/>
      <c r="F9163" s="178"/>
      <c r="G9163" s="496"/>
      <c r="H9163" s="36"/>
      <c r="I9163" s="11"/>
    </row>
    <row r="9164" spans="1:12" ht="11.15" customHeight="1">
      <c r="A9164" s="129" t="s">
        <v>903</v>
      </c>
      <c r="B9164" s="90"/>
      <c r="C9164" s="147"/>
      <c r="D9164" s="161"/>
      <c r="E9164" s="36"/>
      <c r="F9164" s="178"/>
      <c r="G9164" s="496"/>
      <c r="H9164" s="36"/>
      <c r="I9164" s="11"/>
    </row>
    <row r="9165" spans="1:12" ht="11.15" customHeight="1">
      <c r="A9165" s="162" t="s">
        <v>12387</v>
      </c>
      <c r="B9165" s="90"/>
      <c r="C9165" s="147"/>
      <c r="D9165" s="161"/>
      <c r="E9165" s="36"/>
      <c r="F9165" s="178"/>
      <c r="G9165" s="496"/>
      <c r="H9165" s="36"/>
      <c r="I9165" s="11"/>
    </row>
    <row r="9166" spans="1:12" ht="11.15" customHeight="1">
      <c r="A9166" s="162" t="s">
        <v>12388</v>
      </c>
      <c r="B9166" s="185"/>
      <c r="C9166" s="147"/>
      <c r="D9166" s="185"/>
      <c r="E9166" s="185"/>
      <c r="F9166" s="185"/>
      <c r="G9166" s="185"/>
      <c r="H9166" s="185"/>
      <c r="I9166" s="11"/>
    </row>
    <row r="9167" spans="1:12" ht="11.15" customHeight="1">
      <c r="A9167" s="162" t="s">
        <v>12389</v>
      </c>
      <c r="B9167" s="90"/>
      <c r="C9167" s="147"/>
      <c r="D9167" s="161"/>
      <c r="E9167" s="36"/>
      <c r="F9167" s="178"/>
      <c r="G9167" s="496"/>
      <c r="H9167" s="36"/>
      <c r="I9167" s="11"/>
    </row>
    <row r="9168" spans="1:12" ht="11.15" customHeight="1">
      <c r="A9168" s="162" t="s">
        <v>12390</v>
      </c>
      <c r="B9168" s="177"/>
      <c r="C9168" s="147"/>
      <c r="D9168" s="161"/>
      <c r="E9168" s="36"/>
      <c r="F9168" s="178"/>
      <c r="G9168" s="496"/>
      <c r="H9168" s="36"/>
      <c r="I9168" s="11"/>
    </row>
    <row r="9169" spans="1:12" ht="11.15" customHeight="1">
      <c r="A9169" s="162" t="s">
        <v>12391</v>
      </c>
      <c r="B9169" s="90"/>
      <c r="C9169" s="147"/>
      <c r="D9169" s="161"/>
      <c r="E9169" s="36"/>
      <c r="F9169" s="183"/>
      <c r="G9169" s="496"/>
      <c r="H9169" s="34"/>
      <c r="I9169" s="11"/>
    </row>
    <row r="9170" spans="1:12" ht="11.15" customHeight="1">
      <c r="A9170" s="719" t="s">
        <v>12392</v>
      </c>
      <c r="B9170" s="90"/>
      <c r="C9170" s="147"/>
      <c r="D9170" s="161"/>
      <c r="E9170" s="36"/>
      <c r="F9170" s="183"/>
      <c r="G9170" s="496"/>
      <c r="H9170" s="34"/>
      <c r="I9170" s="11"/>
    </row>
    <row r="9171" spans="1:12" ht="11.15" customHeight="1">
      <c r="A9171" s="166" t="s">
        <v>11041</v>
      </c>
      <c r="B9171" s="90"/>
      <c r="C9171" s="147"/>
      <c r="D9171" s="161"/>
      <c r="E9171" s="36"/>
      <c r="F9171" s="183"/>
      <c r="G9171" s="496"/>
      <c r="H9171" s="34"/>
      <c r="I9171" s="11"/>
    </row>
    <row r="9172" spans="1:12" ht="11.15" customHeight="1">
      <c r="A9172" s="129" t="s">
        <v>12393</v>
      </c>
      <c r="B9172" s="90"/>
      <c r="C9172" s="147"/>
      <c r="D9172" s="161"/>
      <c r="E9172" s="36"/>
      <c r="F9172" s="183"/>
      <c r="G9172" s="496"/>
      <c r="H9172" s="34"/>
      <c r="I9172" s="11"/>
    </row>
    <row r="9173" spans="1:12" ht="11.15" customHeight="1">
      <c r="A9173" s="129" t="s">
        <v>12394</v>
      </c>
      <c r="B9173" s="90"/>
      <c r="C9173" s="147"/>
      <c r="D9173" s="161"/>
      <c r="E9173" s="36"/>
      <c r="F9173" s="183"/>
      <c r="G9173" s="496"/>
      <c r="H9173" s="34"/>
      <c r="I9173" s="11"/>
    </row>
    <row r="9174" spans="1:12" ht="11.15" customHeight="1" thickBot="1">
      <c r="A9174" s="185"/>
      <c r="B9174" s="90"/>
      <c r="C9174" s="147"/>
      <c r="D9174" s="161"/>
      <c r="E9174" s="36"/>
      <c r="F9174" s="183"/>
      <c r="G9174" s="496"/>
      <c r="H9174" s="34"/>
      <c r="I9174" s="11"/>
    </row>
    <row r="9175" spans="1:12" ht="11.15" customHeight="1">
      <c r="A9175" s="153" t="s">
        <v>12395</v>
      </c>
      <c r="B9175" s="177" t="s">
        <v>12396</v>
      </c>
      <c r="C9175" s="147"/>
      <c r="D9175" s="122"/>
      <c r="E9175" s="36"/>
      <c r="F9175" s="178"/>
      <c r="G9175" s="671"/>
      <c r="H9175" s="36"/>
      <c r="I9175" s="11"/>
    </row>
    <row r="9176" spans="1:12" ht="11.15" customHeight="1" thickBot="1">
      <c r="A9176" s="230" t="s">
        <v>12397</v>
      </c>
      <c r="B9176" s="59" t="s">
        <v>21991</v>
      </c>
      <c r="C9176" s="147" t="s">
        <v>20221</v>
      </c>
      <c r="D9176" s="284" t="s">
        <v>897</v>
      </c>
      <c r="E9176" s="178">
        <v>2018</v>
      </c>
      <c r="F9176" s="178" t="s">
        <v>23400</v>
      </c>
      <c r="G9176" s="496"/>
      <c r="H9176" s="994" t="s">
        <v>20221</v>
      </c>
      <c r="I9176" s="11" t="s">
        <v>12398</v>
      </c>
      <c r="J9176" s="1285"/>
      <c r="K9176" s="1285"/>
      <c r="L9176" s="1285"/>
    </row>
    <row r="9177" spans="1:12" ht="11.15" customHeight="1">
      <c r="A9177" s="29" t="s">
        <v>12399</v>
      </c>
      <c r="B9177" s="59" t="s">
        <v>21992</v>
      </c>
      <c r="C9177" s="147" t="s">
        <v>20221</v>
      </c>
      <c r="D9177" s="284" t="s">
        <v>897</v>
      </c>
      <c r="E9177" s="178">
        <v>2018</v>
      </c>
      <c r="F9177" s="178" t="s">
        <v>23400</v>
      </c>
      <c r="G9177" s="496"/>
      <c r="H9177" s="994" t="s">
        <v>20221</v>
      </c>
      <c r="I9177" s="11" t="s">
        <v>12400</v>
      </c>
      <c r="J9177" s="1285"/>
      <c r="K9177" s="1285"/>
      <c r="L9177" s="1285"/>
    </row>
    <row r="9178" spans="1:12" ht="11.15" customHeight="1">
      <c r="A9178" s="29" t="s">
        <v>12380</v>
      </c>
      <c r="B9178" s="177" t="s">
        <v>12401</v>
      </c>
      <c r="C9178" s="147"/>
      <c r="D9178" s="161"/>
      <c r="E9178" s="36"/>
      <c r="F9178" s="183"/>
      <c r="G9178" s="496"/>
      <c r="H9178" s="34"/>
      <c r="I9178" s="11"/>
    </row>
    <row r="9179" spans="1:12" ht="11.15" customHeight="1">
      <c r="A9179" s="29" t="s">
        <v>12382</v>
      </c>
      <c r="B9179" s="59" t="s">
        <v>21993</v>
      </c>
      <c r="C9179" s="147" t="s">
        <v>20221</v>
      </c>
      <c r="D9179" s="284" t="s">
        <v>897</v>
      </c>
      <c r="E9179" s="178">
        <v>2020</v>
      </c>
      <c r="F9179" s="178" t="s">
        <v>4520</v>
      </c>
      <c r="G9179" s="496"/>
      <c r="H9179" s="994" t="s">
        <v>20221</v>
      </c>
      <c r="I9179" s="11" t="s">
        <v>12402</v>
      </c>
      <c r="J9179" s="1285"/>
      <c r="K9179" s="1285"/>
      <c r="L9179" s="1285"/>
    </row>
    <row r="9180" spans="1:12" ht="11.15" customHeight="1">
      <c r="A9180" s="29" t="s">
        <v>12384</v>
      </c>
      <c r="B9180" s="59" t="s">
        <v>21994</v>
      </c>
      <c r="C9180" s="147" t="s">
        <v>20221</v>
      </c>
      <c r="D9180" s="284" t="s">
        <v>897</v>
      </c>
      <c r="E9180" s="178">
        <v>2016</v>
      </c>
      <c r="F9180" s="178" t="s">
        <v>4520</v>
      </c>
      <c r="G9180" s="496"/>
      <c r="H9180" s="994" t="s">
        <v>20221</v>
      </c>
      <c r="I9180" s="11" t="s">
        <v>12403</v>
      </c>
      <c r="J9180" s="1285"/>
      <c r="K9180" s="1285"/>
      <c r="L9180" s="1285"/>
    </row>
    <row r="9181" spans="1:12" ht="11.15" customHeight="1">
      <c r="A9181" s="29" t="s">
        <v>12385</v>
      </c>
      <c r="B9181" s="59" t="s">
        <v>21995</v>
      </c>
      <c r="C9181" s="147" t="s">
        <v>20221</v>
      </c>
      <c r="D9181" s="284" t="s">
        <v>897</v>
      </c>
      <c r="E9181" s="178">
        <v>2018</v>
      </c>
      <c r="F9181" s="178" t="s">
        <v>4520</v>
      </c>
      <c r="G9181" s="496"/>
      <c r="H9181" s="994" t="s">
        <v>20221</v>
      </c>
      <c r="I9181" s="11" t="s">
        <v>12404</v>
      </c>
      <c r="J9181" s="1285"/>
      <c r="K9181" s="1285"/>
      <c r="L9181" s="1285"/>
    </row>
    <row r="9182" spans="1:12" ht="11.15" customHeight="1">
      <c r="A9182" s="29" t="s">
        <v>12386</v>
      </c>
      <c r="B9182" s="59" t="s">
        <v>21995</v>
      </c>
      <c r="C9182" s="147" t="s">
        <v>20221</v>
      </c>
      <c r="D9182" s="284" t="s">
        <v>897</v>
      </c>
      <c r="E9182" s="178">
        <v>2016</v>
      </c>
      <c r="F9182" s="178" t="s">
        <v>4520</v>
      </c>
      <c r="G9182" s="496"/>
      <c r="H9182" s="994" t="s">
        <v>20277</v>
      </c>
      <c r="I9182" s="11" t="s">
        <v>12405</v>
      </c>
      <c r="J9182" s="1285"/>
      <c r="K9182" s="1285"/>
      <c r="L9182" s="1285"/>
    </row>
    <row r="9183" spans="1:12" ht="11.15" customHeight="1">
      <c r="A9183" s="129" t="s">
        <v>903</v>
      </c>
      <c r="B9183" s="59" t="s">
        <v>21986</v>
      </c>
      <c r="C9183" s="147" t="s">
        <v>20221</v>
      </c>
      <c r="D9183" s="284" t="s">
        <v>897</v>
      </c>
      <c r="E9183" s="178">
        <v>2019</v>
      </c>
      <c r="F9183" s="178" t="s">
        <v>4520</v>
      </c>
      <c r="G9183" s="496"/>
      <c r="H9183" s="994" t="s">
        <v>20221</v>
      </c>
      <c r="I9183" s="11" t="s">
        <v>12406</v>
      </c>
      <c r="J9183" s="1285"/>
      <c r="K9183" s="1285"/>
      <c r="L9183" s="1285"/>
    </row>
    <row r="9184" spans="1:12" ht="11.15" customHeight="1">
      <c r="A9184" s="162" t="s">
        <v>12387</v>
      </c>
      <c r="B9184" s="177" t="s">
        <v>12407</v>
      </c>
      <c r="C9184" s="147"/>
      <c r="D9184" s="161"/>
      <c r="E9184" s="36"/>
      <c r="F9184" s="178"/>
      <c r="G9184" s="496"/>
      <c r="H9184" s="36"/>
      <c r="I9184" s="11"/>
    </row>
    <row r="9185" spans="1:12" ht="11.15" customHeight="1">
      <c r="A9185" s="162" t="s">
        <v>12388</v>
      </c>
      <c r="B9185" s="59" t="s">
        <v>21996</v>
      </c>
      <c r="C9185" s="147" t="s">
        <v>20221</v>
      </c>
      <c r="D9185" s="284" t="s">
        <v>897</v>
      </c>
      <c r="E9185" s="178">
        <v>2015</v>
      </c>
      <c r="F9185" s="178" t="s">
        <v>11931</v>
      </c>
      <c r="G9185" s="496"/>
      <c r="H9185" s="994" t="s">
        <v>20224</v>
      </c>
      <c r="I9185" s="11" t="s">
        <v>12408</v>
      </c>
      <c r="J9185" s="1285"/>
      <c r="K9185" s="1285"/>
      <c r="L9185" s="1285"/>
    </row>
    <row r="9186" spans="1:12" ht="11.15" customHeight="1">
      <c r="A9186" s="162" t="s">
        <v>12389</v>
      </c>
      <c r="B9186" s="59" t="s">
        <v>21997</v>
      </c>
      <c r="C9186" s="147" t="s">
        <v>20221</v>
      </c>
      <c r="D9186" s="284" t="s">
        <v>897</v>
      </c>
      <c r="E9186" s="178">
        <v>2014</v>
      </c>
      <c r="F9186" s="178" t="s">
        <v>11931</v>
      </c>
      <c r="G9186" s="496"/>
      <c r="H9186" s="994" t="s">
        <v>20224</v>
      </c>
      <c r="I9186" s="11" t="s">
        <v>12409</v>
      </c>
      <c r="J9186" s="1285"/>
      <c r="K9186" s="1285"/>
      <c r="L9186" s="1285"/>
    </row>
    <row r="9187" spans="1:12" ht="11.15" customHeight="1">
      <c r="A9187" s="162" t="s">
        <v>12390</v>
      </c>
      <c r="B9187" s="59" t="s">
        <v>21997</v>
      </c>
      <c r="C9187" s="147" t="s">
        <v>20221</v>
      </c>
      <c r="D9187" s="284" t="s">
        <v>897</v>
      </c>
      <c r="E9187" s="178">
        <v>2010</v>
      </c>
      <c r="F9187" s="178" t="s">
        <v>11931</v>
      </c>
      <c r="G9187" s="496"/>
      <c r="H9187" s="994" t="s">
        <v>20224</v>
      </c>
      <c r="I9187" s="11" t="s">
        <v>12410</v>
      </c>
      <c r="J9187" s="1285"/>
      <c r="K9187" s="1285"/>
      <c r="L9187" s="1285"/>
    </row>
    <row r="9188" spans="1:12" ht="11.15" customHeight="1">
      <c r="A9188" s="162" t="s">
        <v>12391</v>
      </c>
      <c r="B9188" s="59" t="s">
        <v>21998</v>
      </c>
      <c r="C9188" s="147" t="s">
        <v>20221</v>
      </c>
      <c r="D9188" s="284" t="s">
        <v>897</v>
      </c>
      <c r="E9188" s="178">
        <v>2013</v>
      </c>
      <c r="F9188" s="178" t="s">
        <v>11931</v>
      </c>
      <c r="G9188" s="496"/>
      <c r="H9188" s="994" t="s">
        <v>20224</v>
      </c>
      <c r="I9188" s="11" t="s">
        <v>12411</v>
      </c>
      <c r="J9188" s="1285"/>
      <c r="K9188" s="1285"/>
      <c r="L9188" s="1285"/>
    </row>
    <row r="9189" spans="1:12" ht="11.15" customHeight="1">
      <c r="A9189" s="719" t="s">
        <v>12392</v>
      </c>
      <c r="B9189" s="59" t="s">
        <v>21998</v>
      </c>
      <c r="C9189" s="147" t="s">
        <v>20221</v>
      </c>
      <c r="D9189" s="284" t="s">
        <v>897</v>
      </c>
      <c r="E9189" s="178">
        <v>2010</v>
      </c>
      <c r="F9189" s="178" t="s">
        <v>11931</v>
      </c>
      <c r="G9189" s="496"/>
      <c r="H9189" s="994" t="s">
        <v>20224</v>
      </c>
      <c r="I9189" s="11" t="s">
        <v>12412</v>
      </c>
      <c r="J9189" s="1285"/>
      <c r="K9189" s="1285"/>
      <c r="L9189" s="1285"/>
    </row>
    <row r="9190" spans="1:12" ht="11.15" customHeight="1">
      <c r="A9190" s="166" t="s">
        <v>11041</v>
      </c>
      <c r="B9190" s="59"/>
      <c r="C9190" s="147"/>
      <c r="D9190" s="284"/>
      <c r="E9190" s="178"/>
      <c r="F9190" s="178"/>
      <c r="G9190" s="496"/>
      <c r="H9190" s="994"/>
      <c r="I9190" s="11"/>
      <c r="J9190" s="1285"/>
      <c r="K9190" s="1285"/>
      <c r="L9190" s="1285"/>
    </row>
    <row r="9191" spans="1:12" ht="11.15" customHeight="1">
      <c r="A9191" s="129" t="s">
        <v>12393</v>
      </c>
      <c r="B9191" s="177"/>
      <c r="C9191" s="147"/>
      <c r="D9191" s="129"/>
      <c r="E9191" s="185"/>
      <c r="F9191" s="185"/>
      <c r="G9191" s="185"/>
      <c r="H9191" s="185"/>
      <c r="I9191" s="11"/>
    </row>
    <row r="9192" spans="1:12" ht="11.15" customHeight="1">
      <c r="A9192" s="129" t="s">
        <v>12413</v>
      </c>
      <c r="B9192" s="90"/>
      <c r="C9192" s="147"/>
      <c r="D9192" s="161"/>
      <c r="E9192" s="36"/>
      <c r="F9192" s="183"/>
      <c r="G9192" s="496"/>
      <c r="H9192" s="34"/>
      <c r="I9192" s="11"/>
    </row>
    <row r="9193" spans="1:12" ht="11.15" customHeight="1" thickBot="1">
      <c r="A9193" s="185"/>
      <c r="B9193" s="90"/>
      <c r="C9193" s="147"/>
      <c r="D9193" s="161"/>
      <c r="E9193" s="34"/>
      <c r="F9193" s="178"/>
      <c r="G9193" s="496"/>
      <c r="H9193" s="36"/>
      <c r="I9193" s="11"/>
    </row>
    <row r="9194" spans="1:12" ht="11.15" customHeight="1" thickBot="1">
      <c r="A9194" s="184" t="s">
        <v>12414</v>
      </c>
      <c r="B9194" s="59" t="s">
        <v>22000</v>
      </c>
      <c r="C9194" s="147" t="s">
        <v>20221</v>
      </c>
      <c r="D9194" s="284" t="s">
        <v>897</v>
      </c>
      <c r="E9194" s="178">
        <v>2007</v>
      </c>
      <c r="F9194" s="178" t="s">
        <v>11938</v>
      </c>
      <c r="G9194" s="496"/>
      <c r="H9194" s="994" t="s">
        <v>20224</v>
      </c>
      <c r="I9194" s="11" t="s">
        <v>12415</v>
      </c>
      <c r="J9194" s="1285"/>
      <c r="K9194" s="1285"/>
      <c r="L9194" s="1285"/>
    </row>
    <row r="9195" spans="1:12" ht="11.15" customHeight="1">
      <c r="A9195" s="29" t="s">
        <v>12416</v>
      </c>
      <c r="B9195" s="59" t="s">
        <v>23304</v>
      </c>
      <c r="C9195" s="147" t="s">
        <v>20221</v>
      </c>
      <c r="D9195" s="284" t="s">
        <v>897</v>
      </c>
      <c r="E9195" s="178" t="s">
        <v>22001</v>
      </c>
      <c r="F9195" s="178" t="s">
        <v>23394</v>
      </c>
      <c r="G9195" s="496"/>
      <c r="H9195" s="994" t="s">
        <v>20221</v>
      </c>
      <c r="I9195" s="11" t="s">
        <v>12417</v>
      </c>
      <c r="J9195" s="1285"/>
      <c r="K9195" s="1285"/>
      <c r="L9195" s="1285"/>
    </row>
    <row r="9196" spans="1:12" ht="11.15" customHeight="1">
      <c r="A9196" s="29" t="s">
        <v>12418</v>
      </c>
      <c r="B9196" s="59" t="s">
        <v>22002</v>
      </c>
      <c r="C9196" s="147" t="s">
        <v>20221</v>
      </c>
      <c r="D9196" s="284" t="s">
        <v>10182</v>
      </c>
      <c r="E9196" s="178">
        <v>2004</v>
      </c>
      <c r="F9196" s="178" t="s">
        <v>23400</v>
      </c>
      <c r="G9196" s="496"/>
      <c r="H9196" s="994" t="s">
        <v>20224</v>
      </c>
      <c r="I9196" s="11" t="s">
        <v>12419</v>
      </c>
      <c r="J9196" s="1285"/>
      <c r="K9196" s="1285"/>
      <c r="L9196" s="1285"/>
    </row>
    <row r="9197" spans="1:12" ht="11.15" customHeight="1">
      <c r="A9197" s="29" t="s">
        <v>12420</v>
      </c>
      <c r="B9197" s="59" t="s">
        <v>22003</v>
      </c>
      <c r="C9197" s="147" t="s">
        <v>20221</v>
      </c>
      <c r="D9197" s="284" t="s">
        <v>10182</v>
      </c>
      <c r="E9197" s="178">
        <v>1997</v>
      </c>
      <c r="F9197" s="178" t="s">
        <v>9678</v>
      </c>
      <c r="G9197" s="496"/>
      <c r="H9197" s="994" t="s">
        <v>20224</v>
      </c>
      <c r="I9197" s="11" t="s">
        <v>12421</v>
      </c>
      <c r="J9197" s="1285"/>
      <c r="K9197" s="1285"/>
      <c r="L9197" s="1285"/>
    </row>
    <row r="9198" spans="1:12" ht="11.15" customHeight="1">
      <c r="A9198" s="29" t="s">
        <v>12422</v>
      </c>
      <c r="B9198" s="185"/>
      <c r="C9198" s="147"/>
      <c r="D9198" s="185"/>
      <c r="E9198" s="185"/>
      <c r="F9198" s="185"/>
      <c r="G9198" s="185"/>
      <c r="H9198" s="185"/>
      <c r="I9198" s="11"/>
    </row>
    <row r="9199" spans="1:12" ht="11.15" customHeight="1">
      <c r="A9199" s="29" t="s">
        <v>12423</v>
      </c>
      <c r="B9199" s="185"/>
      <c r="C9199" s="147"/>
      <c r="D9199" s="185"/>
      <c r="E9199" s="185"/>
      <c r="F9199" s="185"/>
      <c r="G9199" s="185"/>
      <c r="H9199" s="185"/>
      <c r="I9199" s="11"/>
    </row>
    <row r="9200" spans="1:12" ht="11.15" customHeight="1">
      <c r="A9200" s="129" t="s">
        <v>1077</v>
      </c>
      <c r="B9200" s="185"/>
      <c r="C9200" s="147"/>
      <c r="D9200" s="185"/>
      <c r="E9200" s="185"/>
      <c r="F9200" s="185"/>
      <c r="G9200" s="185"/>
      <c r="H9200" s="185"/>
      <c r="I9200" s="11"/>
    </row>
    <row r="9201" spans="1:12" ht="11.15" customHeight="1">
      <c r="A9201" s="162" t="s">
        <v>9895</v>
      </c>
      <c r="B9201" s="185"/>
      <c r="C9201" s="147"/>
      <c r="D9201" s="185"/>
      <c r="E9201" s="185"/>
      <c r="F9201" s="185"/>
      <c r="G9201" s="185"/>
      <c r="H9201" s="185"/>
      <c r="I9201" s="11"/>
    </row>
    <row r="9202" spans="1:12" ht="11.15" customHeight="1">
      <c r="A9202" s="162" t="s">
        <v>12424</v>
      </c>
      <c r="B9202" s="185"/>
      <c r="C9202" s="147"/>
      <c r="D9202" s="129"/>
      <c r="E9202" s="185"/>
      <c r="F9202" s="185"/>
      <c r="G9202" s="185"/>
      <c r="H9202" s="185"/>
      <c r="I9202" s="11"/>
    </row>
    <row r="9203" spans="1:12" ht="11.15" customHeight="1">
      <c r="A9203" s="162" t="s">
        <v>12425</v>
      </c>
      <c r="B9203" s="185"/>
      <c r="C9203" s="147"/>
      <c r="D9203" s="129"/>
      <c r="E9203" s="185"/>
      <c r="F9203" s="185"/>
      <c r="G9203" s="185"/>
      <c r="H9203" s="185"/>
      <c r="I9203" s="11"/>
    </row>
    <row r="9204" spans="1:12" ht="11.15" customHeight="1">
      <c r="A9204" s="162" t="s">
        <v>12426</v>
      </c>
      <c r="B9204" s="185"/>
      <c r="C9204" s="147"/>
      <c r="D9204" s="129"/>
      <c r="E9204" s="185"/>
      <c r="F9204" s="185"/>
      <c r="G9204" s="185"/>
      <c r="H9204" s="185"/>
      <c r="I9204" s="11"/>
    </row>
    <row r="9205" spans="1:12" ht="11.15" customHeight="1">
      <c r="A9205" s="162" t="s">
        <v>12427</v>
      </c>
      <c r="B9205" s="185"/>
      <c r="C9205" s="147"/>
      <c r="D9205" s="129"/>
      <c r="E9205" s="185"/>
      <c r="F9205" s="185"/>
      <c r="G9205" s="185"/>
      <c r="H9205" s="185"/>
      <c r="I9205" s="11"/>
    </row>
    <row r="9206" spans="1:12" ht="11.15" customHeight="1">
      <c r="A9206" s="162" t="s">
        <v>9828</v>
      </c>
      <c r="B9206" s="185"/>
      <c r="C9206" s="147"/>
      <c r="D9206" s="129"/>
      <c r="E9206" s="185"/>
      <c r="F9206" s="185"/>
      <c r="G9206" s="185"/>
      <c r="H9206" s="185"/>
      <c r="I9206" s="11"/>
    </row>
    <row r="9207" spans="1:12" ht="11.15" customHeight="1">
      <c r="A9207" s="162" t="s">
        <v>12428</v>
      </c>
      <c r="B9207" s="90"/>
      <c r="C9207" s="147"/>
      <c r="D9207" s="161"/>
      <c r="E9207" s="36"/>
      <c r="F9207" s="178"/>
      <c r="G9207" s="496"/>
      <c r="H9207" s="36"/>
      <c r="I9207" s="11"/>
    </row>
    <row r="9208" spans="1:12" ht="11.15" customHeight="1">
      <c r="A9208" s="162" t="s">
        <v>12429</v>
      </c>
      <c r="B9208" s="185"/>
      <c r="C9208" s="147"/>
      <c r="D9208" s="129"/>
      <c r="E9208" s="185"/>
      <c r="F9208" s="185"/>
      <c r="G9208" s="185"/>
      <c r="H9208" s="185"/>
      <c r="I9208" s="11"/>
    </row>
    <row r="9209" spans="1:12" ht="11.15" customHeight="1">
      <c r="A9209" s="212" t="s">
        <v>12430</v>
      </c>
      <c r="B9209" s="185"/>
      <c r="C9209" s="147"/>
      <c r="D9209" s="129"/>
      <c r="E9209" s="185"/>
      <c r="F9209" s="185"/>
      <c r="G9209" s="185"/>
      <c r="H9209" s="185"/>
      <c r="I9209" s="11"/>
    </row>
    <row r="9210" spans="1:12" ht="11.15" customHeight="1" thickBot="1">
      <c r="A9210" s="129" t="s">
        <v>12431</v>
      </c>
      <c r="B9210" s="226"/>
      <c r="C9210" s="147"/>
      <c r="D9210" s="159"/>
      <c r="E9210" s="36"/>
      <c r="F9210" s="183"/>
      <c r="G9210" s="496"/>
      <c r="H9210" s="34"/>
      <c r="I9210" s="11"/>
    </row>
    <row r="9211" spans="1:12" ht="24.75" customHeight="1" thickBot="1">
      <c r="A9211" s="542"/>
      <c r="B9211" s="50" t="s">
        <v>12432</v>
      </c>
      <c r="C9211" s="170"/>
      <c r="D9211" s="382"/>
      <c r="E9211" s="510"/>
      <c r="F9211" s="1080"/>
      <c r="G9211" s="1249"/>
      <c r="H9211" s="1132"/>
      <c r="I9211" s="11"/>
    </row>
    <row r="9212" spans="1:12" ht="11.15" customHeight="1">
      <c r="A9212" s="29"/>
      <c r="B9212" s="293" t="s">
        <v>12433</v>
      </c>
      <c r="C9212" s="147"/>
      <c r="D9212" s="156"/>
      <c r="E9212" s="36"/>
      <c r="F9212" s="178"/>
      <c r="G9212" s="496"/>
      <c r="H9212" s="36"/>
      <c r="I9212" s="11"/>
    </row>
    <row r="9213" spans="1:12" ht="11.15" customHeight="1">
      <c r="A9213" s="29"/>
      <c r="B9213" s="150" t="s">
        <v>12434</v>
      </c>
      <c r="C9213" s="147"/>
      <c r="D9213" s="156"/>
      <c r="E9213" s="36"/>
      <c r="F9213" s="178"/>
      <c r="G9213" s="496"/>
      <c r="H9213" s="36"/>
      <c r="I9213" s="11"/>
    </row>
    <row r="9214" spans="1:12" ht="11.15" customHeight="1" thickBot="1">
      <c r="A9214" s="29"/>
      <c r="B9214" s="150" t="s">
        <v>12435</v>
      </c>
      <c r="C9214" s="147"/>
      <c r="D9214" s="156"/>
      <c r="E9214" s="36"/>
      <c r="F9214" s="178"/>
      <c r="G9214" s="496"/>
      <c r="H9214" s="36"/>
      <c r="I9214" s="11"/>
    </row>
    <row r="9215" spans="1:12" ht="11.15" customHeight="1" thickBot="1">
      <c r="A9215" s="184" t="s">
        <v>12436</v>
      </c>
      <c r="B9215" s="59" t="s">
        <v>22004</v>
      </c>
      <c r="C9215" s="147" t="s">
        <v>20221</v>
      </c>
      <c r="D9215" s="701" t="s">
        <v>1129</v>
      </c>
      <c r="E9215" s="178">
        <v>2021</v>
      </c>
      <c r="F9215" s="178" t="s">
        <v>4520</v>
      </c>
      <c r="G9215" s="496"/>
      <c r="H9215" s="994" t="s">
        <v>20221</v>
      </c>
      <c r="I9215" s="11" t="s">
        <v>12437</v>
      </c>
      <c r="J9215" s="1285"/>
      <c r="K9215" s="1285"/>
      <c r="L9215" s="1285"/>
    </row>
    <row r="9216" spans="1:12" ht="11.15" customHeight="1">
      <c r="A9216" s="29" t="s">
        <v>12438</v>
      </c>
      <c r="B9216" s="59" t="s">
        <v>22004</v>
      </c>
      <c r="C9216" s="147" t="s">
        <v>20221</v>
      </c>
      <c r="D9216" s="701" t="s">
        <v>1129</v>
      </c>
      <c r="E9216" s="178">
        <v>2019</v>
      </c>
      <c r="F9216" s="178" t="s">
        <v>4520</v>
      </c>
      <c r="G9216" s="496"/>
      <c r="H9216" s="994" t="s">
        <v>20277</v>
      </c>
      <c r="I9216" s="11" t="s">
        <v>12439</v>
      </c>
      <c r="J9216" s="1285"/>
      <c r="K9216" s="1285"/>
      <c r="L9216" s="1285"/>
    </row>
    <row r="9217" spans="1:12" ht="11.15" customHeight="1">
      <c r="A9217" s="624" t="s">
        <v>12440</v>
      </c>
      <c r="B9217" s="59" t="s">
        <v>22005</v>
      </c>
      <c r="C9217" s="147" t="s">
        <v>20221</v>
      </c>
      <c r="D9217" s="701" t="s">
        <v>1129</v>
      </c>
      <c r="E9217" s="178">
        <v>2017</v>
      </c>
      <c r="F9217" s="178" t="s">
        <v>4520</v>
      </c>
      <c r="G9217" s="496"/>
      <c r="H9217" s="994" t="s">
        <v>20221</v>
      </c>
      <c r="I9217" s="11" t="s">
        <v>12441</v>
      </c>
      <c r="J9217" s="1285"/>
      <c r="K9217" s="1285"/>
      <c r="L9217" s="1285"/>
    </row>
    <row r="9218" spans="1:12" ht="11.15" customHeight="1">
      <c r="A9218" s="624" t="s">
        <v>12442</v>
      </c>
      <c r="B9218" s="59" t="s">
        <v>22005</v>
      </c>
      <c r="C9218" s="147" t="s">
        <v>20221</v>
      </c>
      <c r="D9218" s="701" t="s">
        <v>1129</v>
      </c>
      <c r="E9218" s="178">
        <v>2015</v>
      </c>
      <c r="F9218" s="178" t="s">
        <v>4520</v>
      </c>
      <c r="G9218" s="496"/>
      <c r="H9218" s="994" t="s">
        <v>20221</v>
      </c>
      <c r="I9218" s="11" t="s">
        <v>12443</v>
      </c>
      <c r="J9218" s="1285"/>
      <c r="K9218" s="1285"/>
      <c r="L9218" s="1285"/>
    </row>
    <row r="9219" spans="1:12" ht="11.15" customHeight="1">
      <c r="A9219" s="29" t="s">
        <v>12444</v>
      </c>
      <c r="B9219" s="90"/>
      <c r="C9219" s="147"/>
      <c r="D9219" s="161"/>
      <c r="E9219" s="36"/>
      <c r="F9219" s="178"/>
      <c r="G9219" s="496"/>
      <c r="H9219" s="36"/>
      <c r="I9219" s="11"/>
    </row>
    <row r="9220" spans="1:12" ht="11.15" customHeight="1">
      <c r="A9220" s="29" t="s">
        <v>12445</v>
      </c>
      <c r="B9220" s="185"/>
      <c r="C9220" s="147"/>
      <c r="D9220" s="161"/>
      <c r="E9220" s="36"/>
      <c r="F9220" s="178"/>
      <c r="G9220" s="496"/>
      <c r="H9220" s="36"/>
      <c r="I9220" s="11"/>
    </row>
    <row r="9221" spans="1:12" ht="11.15" customHeight="1">
      <c r="A9221" s="162" t="s">
        <v>12446</v>
      </c>
      <c r="B9221" s="90"/>
      <c r="C9221" s="147"/>
      <c r="D9221" s="161"/>
      <c r="E9221" s="36"/>
      <c r="F9221" s="178"/>
      <c r="G9221" s="496"/>
      <c r="H9221" s="36"/>
      <c r="I9221" s="11"/>
    </row>
    <row r="9222" spans="1:12" ht="11.15" customHeight="1">
      <c r="A9222" s="162" t="s">
        <v>12447</v>
      </c>
      <c r="B9222" s="90"/>
      <c r="C9222" s="147"/>
      <c r="D9222" s="161"/>
      <c r="E9222" s="36"/>
      <c r="F9222" s="178"/>
      <c r="G9222" s="496"/>
      <c r="H9222" s="36"/>
      <c r="I9222" s="11"/>
    </row>
    <row r="9223" spans="1:12" ht="11.15" customHeight="1">
      <c r="A9223" s="169" t="s">
        <v>11041</v>
      </c>
      <c r="B9223" s="90"/>
      <c r="C9223" s="147"/>
      <c r="D9223" s="161"/>
      <c r="E9223" s="36"/>
      <c r="F9223" s="178"/>
      <c r="G9223" s="496"/>
      <c r="H9223" s="36"/>
      <c r="I9223" s="11"/>
    </row>
    <row r="9224" spans="1:12" ht="11.15" customHeight="1">
      <c r="A9224" s="199" t="s">
        <v>12448</v>
      </c>
      <c r="B9224" s="275"/>
      <c r="C9224" s="147"/>
      <c r="D9224" s="129"/>
      <c r="E9224" s="185"/>
      <c r="F9224" s="185"/>
      <c r="G9224" s="185"/>
      <c r="H9224" s="185"/>
      <c r="I9224" s="11"/>
    </row>
    <row r="9225" spans="1:12" ht="11.15" customHeight="1">
      <c r="A9225" s="199" t="s">
        <v>12449</v>
      </c>
      <c r="B9225" s="275"/>
      <c r="C9225" s="147"/>
      <c r="D9225" s="129"/>
      <c r="E9225" s="185"/>
      <c r="F9225" s="185"/>
      <c r="G9225" s="185"/>
      <c r="H9225" s="185"/>
      <c r="I9225" s="11"/>
    </row>
    <row r="9226" spans="1:12" ht="11.15" customHeight="1">
      <c r="A9226" s="201" t="s">
        <v>1022</v>
      </c>
      <c r="B9226" s="185"/>
      <c r="C9226" s="147"/>
      <c r="D9226" s="161"/>
      <c r="E9226" s="36"/>
      <c r="F9226" s="178"/>
      <c r="G9226" s="496"/>
      <c r="H9226" s="36"/>
      <c r="I9226" s="11"/>
    </row>
    <row r="9227" spans="1:12" ht="11.15" customHeight="1">
      <c r="A9227" s="129" t="s">
        <v>12450</v>
      </c>
      <c r="B9227" s="226"/>
      <c r="C9227" s="147"/>
      <c r="D9227" s="159"/>
      <c r="E9227" s="36"/>
      <c r="F9227" s="183"/>
      <c r="G9227" s="496"/>
      <c r="H9227" s="34"/>
      <c r="I9227" s="11"/>
    </row>
    <row r="9228" spans="1:12" ht="11.15" customHeight="1" thickBot="1">
      <c r="A9228" s="29"/>
      <c r="B9228" s="185"/>
      <c r="C9228" s="147"/>
      <c r="D9228" s="185"/>
      <c r="E9228" s="185"/>
      <c r="F9228" s="185"/>
      <c r="G9228" s="185"/>
      <c r="H9228" s="185"/>
      <c r="I9228" s="11"/>
    </row>
    <row r="9229" spans="1:12" ht="11.15" customHeight="1" thickBot="1">
      <c r="A9229" s="184" t="s">
        <v>12451</v>
      </c>
      <c r="B9229" s="177" t="s">
        <v>11372</v>
      </c>
      <c r="C9229" s="147"/>
      <c r="D9229" s="161"/>
      <c r="E9229" s="36"/>
      <c r="F9229" s="178"/>
      <c r="G9229" s="496"/>
      <c r="H9229" s="36"/>
      <c r="I9229" s="11"/>
    </row>
    <row r="9230" spans="1:12" ht="11.15" customHeight="1">
      <c r="A9230" s="29" t="s">
        <v>12452</v>
      </c>
      <c r="B9230" s="59" t="s">
        <v>22006</v>
      </c>
      <c r="C9230" s="147" t="s">
        <v>20221</v>
      </c>
      <c r="D9230" s="701" t="s">
        <v>1129</v>
      </c>
      <c r="E9230" s="178">
        <v>2023</v>
      </c>
      <c r="F9230" s="178" t="s">
        <v>4520</v>
      </c>
      <c r="G9230" s="496"/>
      <c r="H9230" s="994" t="s">
        <v>20221</v>
      </c>
      <c r="I9230" s="11" t="s">
        <v>12453</v>
      </c>
      <c r="J9230" s="1285"/>
      <c r="K9230" s="1285"/>
      <c r="L9230" s="1285"/>
    </row>
    <row r="9231" spans="1:12" ht="11.15" customHeight="1">
      <c r="A9231" s="29" t="s">
        <v>8987</v>
      </c>
      <c r="B9231" s="59" t="s">
        <v>22006</v>
      </c>
      <c r="C9231" s="147" t="s">
        <v>20221</v>
      </c>
      <c r="D9231" s="701" t="s">
        <v>1129</v>
      </c>
      <c r="E9231" s="178">
        <v>2021</v>
      </c>
      <c r="F9231" s="178" t="s">
        <v>4520</v>
      </c>
      <c r="G9231" s="496"/>
      <c r="H9231" s="994" t="s">
        <v>20277</v>
      </c>
      <c r="I9231" s="11" t="s">
        <v>12454</v>
      </c>
      <c r="J9231" s="1285"/>
      <c r="K9231" s="1285"/>
      <c r="L9231" s="1285"/>
    </row>
    <row r="9232" spans="1:12" ht="11.15" customHeight="1">
      <c r="A9232" s="212" t="s">
        <v>12455</v>
      </c>
      <c r="B9232" s="177" t="s">
        <v>12456</v>
      </c>
      <c r="C9232" s="147"/>
      <c r="D9232" s="185"/>
      <c r="E9232" s="185"/>
      <c r="F9232" s="185"/>
      <c r="G9232" s="185"/>
      <c r="H9232" s="185"/>
      <c r="I9232" s="11"/>
    </row>
    <row r="9233" spans="1:12" ht="11.15" customHeight="1">
      <c r="A9233" s="166" t="s">
        <v>12457</v>
      </c>
      <c r="B9233" s="59" t="s">
        <v>22007</v>
      </c>
      <c r="C9233" s="147" t="s">
        <v>20221</v>
      </c>
      <c r="D9233" s="1034" t="s">
        <v>2573</v>
      </c>
      <c r="E9233" s="178">
        <v>2024</v>
      </c>
      <c r="F9233" s="178" t="s">
        <v>4520</v>
      </c>
      <c r="G9233" s="496"/>
      <c r="H9233" s="994" t="s">
        <v>20221</v>
      </c>
      <c r="I9233" s="11" t="s">
        <v>23371</v>
      </c>
      <c r="J9233" s="1285"/>
      <c r="K9233" s="1285"/>
      <c r="L9233" s="1285"/>
    </row>
    <row r="9234" spans="1:12" ht="11.15" customHeight="1">
      <c r="A9234" s="129" t="s">
        <v>916</v>
      </c>
      <c r="B9234" s="59" t="s">
        <v>22007</v>
      </c>
      <c r="C9234" s="147" t="s">
        <v>20221</v>
      </c>
      <c r="D9234" s="1034" t="s">
        <v>2573</v>
      </c>
      <c r="E9234" s="178">
        <v>2023</v>
      </c>
      <c r="F9234" s="178" t="s">
        <v>4520</v>
      </c>
      <c r="G9234" s="496"/>
      <c r="H9234" s="994" t="s">
        <v>20221</v>
      </c>
      <c r="I9234" s="11" t="s">
        <v>12458</v>
      </c>
      <c r="J9234" s="1285"/>
      <c r="K9234" s="1285"/>
      <c r="L9234" s="1285"/>
    </row>
    <row r="9235" spans="1:12" ht="11.15" customHeight="1">
      <c r="A9235" s="129" t="s">
        <v>12372</v>
      </c>
      <c r="B9235" s="59" t="s">
        <v>22007</v>
      </c>
      <c r="C9235" s="147" t="s">
        <v>20221</v>
      </c>
      <c r="D9235" s="1034" t="s">
        <v>2573</v>
      </c>
      <c r="E9235" s="178">
        <v>2022</v>
      </c>
      <c r="F9235" s="178" t="s">
        <v>4520</v>
      </c>
      <c r="G9235" s="496"/>
      <c r="H9235" s="994" t="s">
        <v>20221</v>
      </c>
      <c r="I9235" s="11" t="s">
        <v>12459</v>
      </c>
      <c r="J9235" s="1285"/>
      <c r="K9235" s="1285"/>
      <c r="L9235" s="1285"/>
    </row>
    <row r="9236" spans="1:12" ht="11.15" customHeight="1">
      <c r="A9236" s="129" t="s">
        <v>12460</v>
      </c>
      <c r="B9236" s="177" t="s">
        <v>11253</v>
      </c>
      <c r="C9236" s="147"/>
      <c r="D9236" s="185"/>
      <c r="E9236" s="185"/>
      <c r="F9236" s="185"/>
      <c r="G9236" s="185"/>
      <c r="H9236" s="185"/>
      <c r="I9236" s="11"/>
    </row>
    <row r="9237" spans="1:12" ht="11.15" customHeight="1">
      <c r="A9237" s="29"/>
      <c r="B9237" s="59" t="s">
        <v>22008</v>
      </c>
      <c r="C9237" s="147" t="s">
        <v>20221</v>
      </c>
      <c r="D9237" s="284" t="s">
        <v>897</v>
      </c>
      <c r="E9237" s="178">
        <v>2024</v>
      </c>
      <c r="F9237" s="178" t="s">
        <v>4520</v>
      </c>
      <c r="G9237" s="496"/>
      <c r="H9237" s="994" t="s">
        <v>20221</v>
      </c>
      <c r="I9237" s="11" t="s">
        <v>23372</v>
      </c>
      <c r="J9237" s="1285"/>
      <c r="K9237" s="1285"/>
      <c r="L9237" s="1285"/>
    </row>
    <row r="9238" spans="1:12" ht="11.15" customHeight="1">
      <c r="A9238" s="29"/>
      <c r="B9238" s="59" t="s">
        <v>22008</v>
      </c>
      <c r="C9238" s="147" t="s">
        <v>20221</v>
      </c>
      <c r="D9238" s="284" t="s">
        <v>897</v>
      </c>
      <c r="E9238" s="178">
        <v>2023</v>
      </c>
      <c r="F9238" s="178" t="s">
        <v>4520</v>
      </c>
      <c r="G9238" s="496"/>
      <c r="H9238" s="994" t="s">
        <v>20221</v>
      </c>
      <c r="I9238" s="11" t="s">
        <v>12461</v>
      </c>
      <c r="J9238" s="1285"/>
      <c r="K9238" s="1285"/>
      <c r="L9238" s="1285"/>
    </row>
    <row r="9239" spans="1:12" ht="11.15" customHeight="1" thickBot="1">
      <c r="A9239" s="29"/>
      <c r="B9239" s="59"/>
      <c r="C9239" s="147"/>
      <c r="D9239" s="284"/>
      <c r="E9239" s="178"/>
      <c r="F9239" s="178"/>
      <c r="G9239" s="496"/>
      <c r="H9239" s="994"/>
      <c r="I9239" s="11"/>
      <c r="J9239" s="1285"/>
      <c r="K9239" s="1285"/>
      <c r="L9239" s="1285"/>
    </row>
    <row r="9240" spans="1:12" ht="11.15" customHeight="1" thickBot="1">
      <c r="A9240" s="184" t="s">
        <v>12462</v>
      </c>
      <c r="B9240" s="226"/>
      <c r="C9240" s="147"/>
      <c r="D9240" s="122"/>
      <c r="E9240" s="36"/>
      <c r="F9240" s="178"/>
      <c r="G9240" s="60"/>
      <c r="H9240" s="36"/>
      <c r="I9240" s="11"/>
    </row>
    <row r="9241" spans="1:12" ht="11.15" customHeight="1">
      <c r="A9241" s="29" t="s">
        <v>12464</v>
      </c>
      <c r="B9241" s="59" t="s">
        <v>22010</v>
      </c>
      <c r="C9241" s="147" t="s">
        <v>20221</v>
      </c>
      <c r="D9241" s="1035" t="s">
        <v>1370</v>
      </c>
      <c r="E9241" s="178">
        <v>2018</v>
      </c>
      <c r="F9241" s="178" t="s">
        <v>23395</v>
      </c>
      <c r="G9241" s="496"/>
      <c r="H9241" s="994" t="s">
        <v>20221</v>
      </c>
      <c r="I9241" s="11" t="s">
        <v>12463</v>
      </c>
      <c r="J9241" s="1285"/>
      <c r="K9241" s="1285"/>
      <c r="L9241" s="1285"/>
    </row>
    <row r="9242" spans="1:12" ht="11.15" customHeight="1">
      <c r="A9242" s="218" t="s">
        <v>12466</v>
      </c>
      <c r="B9242" s="59" t="s">
        <v>22011</v>
      </c>
      <c r="C9242" s="147" t="s">
        <v>20221</v>
      </c>
      <c r="D9242" s="701" t="s">
        <v>7355</v>
      </c>
      <c r="E9242" s="178">
        <v>2017</v>
      </c>
      <c r="F9242" s="178" t="s">
        <v>23395</v>
      </c>
      <c r="G9242" s="496"/>
      <c r="H9242" s="994" t="s">
        <v>20221</v>
      </c>
      <c r="I9242" s="11" t="s">
        <v>12465</v>
      </c>
      <c r="J9242" s="1285"/>
      <c r="K9242" s="1285"/>
      <c r="L9242" s="1285"/>
    </row>
    <row r="9243" spans="1:12" ht="11.15" customHeight="1">
      <c r="A9243" s="166" t="s">
        <v>12467</v>
      </c>
      <c r="B9243" s="90"/>
      <c r="C9243" s="147"/>
      <c r="D9243" s="122"/>
      <c r="E9243" s="36"/>
      <c r="F9243" s="178"/>
      <c r="G9243" s="671"/>
      <c r="H9243" s="36"/>
      <c r="I9243" s="11"/>
    </row>
    <row r="9244" spans="1:12" ht="11.15" customHeight="1">
      <c r="A9244" s="129" t="s">
        <v>12468</v>
      </c>
      <c r="B9244" s="90"/>
      <c r="C9244" s="147"/>
      <c r="D9244" s="122"/>
      <c r="E9244" s="36"/>
      <c r="F9244" s="178"/>
      <c r="G9244" s="671"/>
      <c r="H9244" s="36"/>
      <c r="I9244" s="11"/>
    </row>
    <row r="9245" spans="1:12" ht="11.15" customHeight="1">
      <c r="A9245" s="129" t="s">
        <v>12469</v>
      </c>
      <c r="B9245" s="90"/>
      <c r="C9245" s="147"/>
      <c r="D9245" s="122"/>
      <c r="E9245" s="36"/>
      <c r="F9245" s="178"/>
      <c r="G9245" s="671"/>
      <c r="H9245" s="36"/>
      <c r="I9245" s="11"/>
    </row>
    <row r="9246" spans="1:12" ht="11.15" customHeight="1">
      <c r="A9246" s="129" t="s">
        <v>12470</v>
      </c>
      <c r="B9246" s="226"/>
      <c r="C9246" s="147"/>
      <c r="D9246" s="159"/>
      <c r="E9246" s="36"/>
      <c r="F9246" s="183"/>
      <c r="G9246" s="496"/>
      <c r="H9246" s="34"/>
      <c r="I9246" s="11"/>
    </row>
    <row r="9247" spans="1:12" ht="11.15" customHeight="1" thickBot="1">
      <c r="A9247" s="29"/>
      <c r="B9247" s="90"/>
      <c r="C9247" s="147"/>
      <c r="D9247" s="122"/>
      <c r="E9247" s="36"/>
      <c r="F9247" s="178"/>
      <c r="G9247" s="671"/>
      <c r="H9247" s="36"/>
      <c r="I9247" s="11"/>
    </row>
    <row r="9248" spans="1:12" ht="11.15" customHeight="1" thickBot="1">
      <c r="A9248" s="184" t="s">
        <v>12471</v>
      </c>
      <c r="B9248" s="177" t="s">
        <v>11372</v>
      </c>
      <c r="C9248" s="147"/>
      <c r="D9248" s="185"/>
      <c r="E9248" s="185"/>
      <c r="F9248" s="185"/>
      <c r="G9248" s="185"/>
      <c r="H9248" s="185"/>
      <c r="I9248" s="11"/>
    </row>
    <row r="9249" spans="1:12" ht="11.15" customHeight="1">
      <c r="A9249" s="29" t="s">
        <v>12472</v>
      </c>
      <c r="B9249" s="59" t="s">
        <v>22013</v>
      </c>
      <c r="C9249" s="147" t="s">
        <v>20221</v>
      </c>
      <c r="D9249" s="701" t="s">
        <v>1129</v>
      </c>
      <c r="E9249" s="178">
        <v>2015</v>
      </c>
      <c r="F9249" s="178" t="s">
        <v>23395</v>
      </c>
      <c r="G9249" s="496"/>
      <c r="H9249" s="994" t="s">
        <v>20221</v>
      </c>
      <c r="I9249" s="11" t="s">
        <v>12473</v>
      </c>
      <c r="J9249" s="1285"/>
      <c r="K9249" s="1285"/>
      <c r="L9249" s="1285"/>
    </row>
    <row r="9250" spans="1:12" ht="11.15" customHeight="1">
      <c r="A9250" s="29" t="s">
        <v>12474</v>
      </c>
      <c r="B9250" s="59"/>
      <c r="C9250" s="147"/>
      <c r="D9250" s="701"/>
      <c r="E9250" s="178"/>
      <c r="F9250" s="178"/>
      <c r="G9250" s="496"/>
      <c r="H9250" s="994"/>
      <c r="I9250" s="11"/>
      <c r="J9250" s="1285"/>
      <c r="K9250" s="1285"/>
      <c r="L9250" s="1285"/>
    </row>
    <row r="9251" spans="1:12" ht="11.15" customHeight="1">
      <c r="A9251" s="229" t="s">
        <v>12475</v>
      </c>
      <c r="B9251" s="185"/>
      <c r="C9251" s="185"/>
      <c r="D9251" s="185"/>
      <c r="E9251" s="185"/>
      <c r="F9251" s="185"/>
      <c r="G9251" s="185"/>
      <c r="H9251" s="185"/>
      <c r="I9251" s="11"/>
    </row>
    <row r="9252" spans="1:12" ht="11.15" customHeight="1">
      <c r="A9252" s="29" t="s">
        <v>12476</v>
      </c>
      <c r="B9252" s="185"/>
      <c r="C9252" s="185"/>
      <c r="D9252" s="185"/>
      <c r="E9252" s="185"/>
      <c r="F9252" s="185"/>
      <c r="G9252" s="185"/>
      <c r="H9252" s="185"/>
      <c r="I9252" s="11"/>
    </row>
    <row r="9253" spans="1:12" ht="11.15" customHeight="1">
      <c r="A9253" s="29" t="s">
        <v>12477</v>
      </c>
      <c r="B9253" s="90"/>
      <c r="C9253" s="147"/>
      <c r="D9253" s="159"/>
      <c r="E9253" s="34"/>
      <c r="F9253" s="178"/>
      <c r="G9253" s="496"/>
      <c r="H9253" s="36"/>
      <c r="I9253" s="11"/>
    </row>
    <row r="9254" spans="1:12" ht="11.15" customHeight="1">
      <c r="A9254" s="181" t="s">
        <v>12478</v>
      </c>
      <c r="B9254" s="177"/>
      <c r="C9254" s="147"/>
      <c r="D9254" s="185"/>
      <c r="E9254" s="185"/>
      <c r="F9254" s="185"/>
      <c r="G9254" s="185"/>
      <c r="H9254" s="185"/>
      <c r="I9254" s="11"/>
    </row>
    <row r="9255" spans="1:12" ht="11.15" customHeight="1">
      <c r="A9255" s="181" t="s">
        <v>950</v>
      </c>
      <c r="B9255" s="177"/>
      <c r="C9255" s="147"/>
      <c r="D9255" s="185"/>
      <c r="E9255" s="185"/>
      <c r="F9255" s="185"/>
      <c r="G9255" s="185"/>
      <c r="H9255" s="185"/>
      <c r="I9255" s="11"/>
    </row>
    <row r="9256" spans="1:12" ht="11.15" customHeight="1">
      <c r="A9256" s="169" t="s">
        <v>12479</v>
      </c>
      <c r="B9256" s="90"/>
      <c r="C9256" s="147"/>
      <c r="D9256" s="182"/>
      <c r="E9256" s="34"/>
      <c r="F9256" s="183"/>
      <c r="G9256" s="496"/>
      <c r="H9256" s="34"/>
      <c r="I9256" s="11"/>
    </row>
    <row r="9257" spans="1:12" ht="11.15" customHeight="1">
      <c r="A9257" s="212" t="s">
        <v>12467</v>
      </c>
      <c r="B9257" s="90"/>
      <c r="C9257" s="147"/>
      <c r="D9257" s="161"/>
      <c r="E9257" s="36"/>
      <c r="F9257" s="178"/>
      <c r="G9257" s="496"/>
      <c r="H9257" s="36"/>
      <c r="I9257" s="11"/>
    </row>
    <row r="9258" spans="1:12" ht="11.15" customHeight="1">
      <c r="A9258" s="169" t="s">
        <v>11041</v>
      </c>
      <c r="B9258" s="226"/>
      <c r="C9258" s="147"/>
      <c r="D9258" s="159"/>
      <c r="E9258" s="36"/>
      <c r="F9258" s="183"/>
      <c r="G9258" s="496"/>
      <c r="H9258" s="34"/>
      <c r="I9258" s="11"/>
    </row>
    <row r="9259" spans="1:12" ht="11.15" customHeight="1">
      <c r="A9259" s="129" t="s">
        <v>12480</v>
      </c>
      <c r="B9259" s="90"/>
      <c r="C9259" s="147"/>
      <c r="D9259" s="159"/>
      <c r="E9259" s="36"/>
      <c r="F9259" s="178"/>
      <c r="G9259" s="453"/>
      <c r="H9259" s="36"/>
      <c r="I9259" s="11"/>
    </row>
    <row r="9260" spans="1:12" ht="11.15" customHeight="1" thickBot="1">
      <c r="A9260" s="185"/>
      <c r="B9260" s="185"/>
      <c r="C9260" s="147"/>
      <c r="D9260" s="185"/>
      <c r="E9260" s="185"/>
      <c r="F9260" s="185"/>
      <c r="G9260" s="185"/>
      <c r="H9260" s="185"/>
      <c r="I9260" s="11"/>
    </row>
    <row r="9261" spans="1:12" ht="11.15" customHeight="1" thickBot="1">
      <c r="A9261" s="378" t="s">
        <v>12481</v>
      </c>
      <c r="B9261" s="59" t="s">
        <v>22014</v>
      </c>
      <c r="C9261" s="147" t="s">
        <v>20221</v>
      </c>
      <c r="D9261" s="284" t="s">
        <v>897</v>
      </c>
      <c r="E9261" s="178">
        <v>2012</v>
      </c>
      <c r="F9261" s="178" t="s">
        <v>4520</v>
      </c>
      <c r="G9261" s="496"/>
      <c r="H9261" s="994" t="s">
        <v>20221</v>
      </c>
      <c r="I9261" s="11" t="s">
        <v>12482</v>
      </c>
      <c r="J9261" s="1285"/>
      <c r="K9261" s="1285"/>
      <c r="L9261" s="1285"/>
    </row>
    <row r="9262" spans="1:12" ht="11.15" customHeight="1">
      <c r="A9262" s="29" t="s">
        <v>12483</v>
      </c>
      <c r="B9262" s="59" t="s">
        <v>22015</v>
      </c>
      <c r="C9262" s="147" t="s">
        <v>20221</v>
      </c>
      <c r="D9262" s="284" t="s">
        <v>897</v>
      </c>
      <c r="E9262" s="178">
        <v>2008</v>
      </c>
      <c r="F9262" s="178" t="s">
        <v>23395</v>
      </c>
      <c r="G9262" s="496"/>
      <c r="H9262" s="994" t="s">
        <v>20224</v>
      </c>
      <c r="I9262" s="11" t="s">
        <v>12484</v>
      </c>
      <c r="J9262" s="1285"/>
      <c r="K9262" s="1285"/>
      <c r="L9262" s="1285"/>
    </row>
    <row r="9263" spans="1:12" ht="11.15" customHeight="1">
      <c r="A9263" s="29" t="s">
        <v>12485</v>
      </c>
      <c r="B9263" s="185"/>
      <c r="C9263" s="147"/>
      <c r="D9263" s="129"/>
      <c r="E9263" s="185"/>
      <c r="F9263" s="185"/>
      <c r="G9263" s="185"/>
      <c r="H9263" s="185"/>
      <c r="I9263" s="11"/>
    </row>
    <row r="9264" spans="1:12" ht="11.15" customHeight="1">
      <c r="A9264" s="29" t="s">
        <v>12486</v>
      </c>
      <c r="B9264" s="90"/>
      <c r="C9264" s="147"/>
      <c r="D9264" s="122"/>
      <c r="E9264" s="36"/>
      <c r="F9264" s="183"/>
      <c r="G9264" s="496"/>
      <c r="H9264" s="34"/>
      <c r="I9264" s="11"/>
    </row>
    <row r="9265" spans="1:12" ht="11.15" customHeight="1">
      <c r="A9265" s="29" t="s">
        <v>11359</v>
      </c>
      <c r="B9265" s="185"/>
      <c r="C9265" s="147"/>
      <c r="D9265" s="122"/>
      <c r="E9265" s="185"/>
      <c r="F9265" s="185"/>
      <c r="G9265" s="185"/>
      <c r="H9265" s="185"/>
      <c r="I9265" s="11"/>
    </row>
    <row r="9266" spans="1:12" ht="11.15" customHeight="1">
      <c r="A9266" s="218" t="s">
        <v>12466</v>
      </c>
      <c r="B9266" s="185"/>
      <c r="C9266" s="147"/>
      <c r="D9266" s="122"/>
      <c r="E9266" s="185"/>
      <c r="F9266" s="185"/>
      <c r="G9266" s="185"/>
      <c r="H9266" s="185"/>
      <c r="I9266" s="11"/>
    </row>
    <row r="9267" spans="1:12" ht="11.15" customHeight="1">
      <c r="A9267" s="212" t="s">
        <v>12487</v>
      </c>
      <c r="B9267" s="185"/>
      <c r="C9267" s="147"/>
      <c r="D9267" s="122"/>
      <c r="E9267" s="185"/>
      <c r="F9267" s="185"/>
      <c r="G9267" s="185"/>
      <c r="H9267" s="185"/>
      <c r="I9267" s="11"/>
    </row>
    <row r="9268" spans="1:12" ht="11.15" customHeight="1">
      <c r="A9268" s="212" t="s">
        <v>12488</v>
      </c>
      <c r="B9268" s="185"/>
      <c r="C9268" s="147"/>
      <c r="D9268" s="122"/>
      <c r="E9268" s="185"/>
      <c r="F9268" s="185"/>
      <c r="G9268" s="185"/>
      <c r="H9268" s="185"/>
      <c r="I9268" s="11"/>
    </row>
    <row r="9269" spans="1:12" ht="11.15" customHeight="1">
      <c r="A9269" s="169" t="s">
        <v>11041</v>
      </c>
      <c r="B9269" s="90"/>
      <c r="C9269" s="147"/>
      <c r="D9269" s="161"/>
      <c r="E9269" s="36"/>
      <c r="F9269" s="178"/>
      <c r="G9269" s="496"/>
      <c r="H9269" s="36"/>
      <c r="I9269" s="11"/>
    </row>
    <row r="9270" spans="1:12" ht="11.15" customHeight="1">
      <c r="A9270" s="129" t="s">
        <v>12489</v>
      </c>
      <c r="B9270" s="226"/>
      <c r="C9270" s="147"/>
      <c r="D9270" s="159"/>
      <c r="E9270" s="36"/>
      <c r="F9270" s="183"/>
      <c r="G9270" s="496"/>
      <c r="H9270" s="34"/>
      <c r="I9270" s="11"/>
    </row>
    <row r="9271" spans="1:12" ht="11.15" customHeight="1" thickBot="1">
      <c r="A9271" s="185"/>
      <c r="B9271" s="391"/>
      <c r="C9271" s="147"/>
      <c r="D9271" s="159"/>
      <c r="E9271" s="36"/>
      <c r="F9271" s="183"/>
      <c r="G9271" s="60"/>
      <c r="H9271" s="34"/>
      <c r="I9271" s="11"/>
    </row>
    <row r="9272" spans="1:12" ht="11.15" customHeight="1" thickBot="1">
      <c r="A9272" s="184" t="s">
        <v>12490</v>
      </c>
      <c r="B9272" s="59" t="s">
        <v>412</v>
      </c>
      <c r="C9272" s="147" t="s">
        <v>20221</v>
      </c>
      <c r="D9272" s="701" t="s">
        <v>1129</v>
      </c>
      <c r="E9272" s="178">
        <v>2016</v>
      </c>
      <c r="F9272" s="178" t="s">
        <v>4520</v>
      </c>
      <c r="G9272" s="496"/>
      <c r="H9272" s="994" t="s">
        <v>20221</v>
      </c>
      <c r="I9272" s="11" t="s">
        <v>12491</v>
      </c>
      <c r="J9272" s="1285"/>
      <c r="K9272" s="1285"/>
      <c r="L9272" s="1285"/>
    </row>
    <row r="9273" spans="1:12" ht="11.15" customHeight="1">
      <c r="A9273" s="29" t="s">
        <v>12492</v>
      </c>
      <c r="B9273" s="59" t="s">
        <v>412</v>
      </c>
      <c r="C9273" s="147" t="s">
        <v>20221</v>
      </c>
      <c r="D9273" s="701" t="s">
        <v>1129</v>
      </c>
      <c r="E9273" s="178">
        <v>2015</v>
      </c>
      <c r="F9273" s="178" t="s">
        <v>4520</v>
      </c>
      <c r="G9273" s="496"/>
      <c r="H9273" s="994" t="s">
        <v>20221</v>
      </c>
      <c r="I9273" s="11" t="s">
        <v>12493</v>
      </c>
      <c r="J9273" s="1285"/>
      <c r="K9273" s="1285"/>
      <c r="L9273" s="1285"/>
    </row>
    <row r="9274" spans="1:12" ht="11.15" customHeight="1">
      <c r="A9274" s="29" t="s">
        <v>12494</v>
      </c>
      <c r="B9274" s="59" t="s">
        <v>22016</v>
      </c>
      <c r="C9274" s="147" t="s">
        <v>20221</v>
      </c>
      <c r="D9274" s="701" t="s">
        <v>1129</v>
      </c>
      <c r="E9274" s="178">
        <v>2014</v>
      </c>
      <c r="F9274" s="178" t="s">
        <v>11938</v>
      </c>
      <c r="G9274" s="496"/>
      <c r="H9274" s="994" t="s">
        <v>20224</v>
      </c>
      <c r="I9274" s="11" t="s">
        <v>12495</v>
      </c>
      <c r="J9274" s="1285"/>
      <c r="K9274" s="1285"/>
      <c r="L9274" s="1285"/>
    </row>
    <row r="9275" spans="1:12" ht="11.15" customHeight="1">
      <c r="A9275" s="29" t="s">
        <v>12496</v>
      </c>
      <c r="B9275" s="185"/>
      <c r="C9275" s="147"/>
      <c r="D9275" s="185"/>
      <c r="E9275" s="185"/>
      <c r="F9275" s="185"/>
      <c r="G9275" s="185"/>
      <c r="H9275" s="185"/>
      <c r="I9275" s="11"/>
    </row>
    <row r="9276" spans="1:12" ht="11.15" customHeight="1">
      <c r="A9276" s="29" t="s">
        <v>12497</v>
      </c>
      <c r="B9276" s="185"/>
      <c r="C9276" s="147"/>
      <c r="D9276" s="185"/>
      <c r="E9276" s="185"/>
      <c r="F9276" s="185"/>
      <c r="G9276" s="185"/>
      <c r="H9276" s="185"/>
      <c r="I9276" s="11"/>
    </row>
    <row r="9277" spans="1:12" ht="11.15" customHeight="1">
      <c r="A9277" s="181" t="s">
        <v>3908</v>
      </c>
      <c r="B9277" s="185"/>
      <c r="C9277" s="147"/>
      <c r="D9277" s="185"/>
      <c r="E9277" s="185"/>
      <c r="F9277" s="185"/>
      <c r="G9277" s="185"/>
      <c r="H9277" s="185"/>
      <c r="I9277" s="11"/>
    </row>
    <row r="9278" spans="1:12" ht="11.15" customHeight="1">
      <c r="A9278" s="212" t="s">
        <v>12498</v>
      </c>
      <c r="B9278" s="185"/>
      <c r="C9278" s="147"/>
      <c r="D9278" s="129"/>
      <c r="E9278" s="185"/>
      <c r="F9278" s="185"/>
      <c r="G9278" s="185"/>
      <c r="H9278" s="185"/>
      <c r="I9278" s="11"/>
    </row>
    <row r="9279" spans="1:12" ht="11.15" customHeight="1" thickBot="1">
      <c r="A9279" s="129" t="s">
        <v>12499</v>
      </c>
      <c r="B9279" s="226"/>
      <c r="C9279" s="147"/>
      <c r="D9279" s="159"/>
      <c r="E9279" s="36"/>
      <c r="F9279" s="183"/>
      <c r="G9279" s="496"/>
      <c r="H9279" s="34"/>
      <c r="I9279" s="11"/>
    </row>
    <row r="9280" spans="1:12" ht="24" customHeight="1" thickBot="1">
      <c r="A9280" s="542"/>
      <c r="B9280" s="64" t="s">
        <v>12500</v>
      </c>
      <c r="C9280" s="170"/>
      <c r="D9280" s="382"/>
      <c r="E9280" s="510"/>
      <c r="F9280" s="1080"/>
      <c r="G9280" s="1249"/>
      <c r="H9280" s="1132"/>
      <c r="I9280" s="11"/>
    </row>
    <row r="9281" spans="1:12" ht="11.15" customHeight="1" thickBot="1">
      <c r="A9281" s="349" t="s">
        <v>12501</v>
      </c>
      <c r="B9281" s="59" t="s">
        <v>22018</v>
      </c>
      <c r="C9281" s="147" t="s">
        <v>20221</v>
      </c>
      <c r="D9281" s="701" t="s">
        <v>884</v>
      </c>
      <c r="E9281" s="178" t="s">
        <v>19060</v>
      </c>
      <c r="F9281" s="178" t="s">
        <v>4520</v>
      </c>
      <c r="G9281" s="496"/>
      <c r="H9281" s="994" t="s">
        <v>20221</v>
      </c>
      <c r="I9281" s="11" t="s">
        <v>12502</v>
      </c>
      <c r="J9281" s="1285"/>
      <c r="K9281" s="1285"/>
      <c r="L9281" s="1285"/>
    </row>
    <row r="9282" spans="1:12" ht="11.15" customHeight="1">
      <c r="A9282" s="29" t="s">
        <v>12503</v>
      </c>
      <c r="B9282" s="59" t="s">
        <v>22019</v>
      </c>
      <c r="C9282" s="147" t="s">
        <v>23393</v>
      </c>
      <c r="D9282" s="701" t="s">
        <v>884</v>
      </c>
      <c r="E9282" s="178" t="s">
        <v>19060</v>
      </c>
      <c r="F9282" s="178" t="s">
        <v>4520</v>
      </c>
      <c r="G9282" s="496"/>
      <c r="H9282" s="994" t="s">
        <v>20221</v>
      </c>
      <c r="I9282" s="11" t="s">
        <v>12504</v>
      </c>
      <c r="J9282" s="1285"/>
      <c r="K9282" s="1285"/>
      <c r="L9282" s="1285"/>
    </row>
    <row r="9283" spans="1:12" ht="11.15" customHeight="1">
      <c r="A9283" s="181" t="s">
        <v>12505</v>
      </c>
      <c r="B9283" s="90"/>
      <c r="C9283" s="147"/>
      <c r="D9283" s="159"/>
      <c r="E9283" s="36"/>
      <c r="F9283" s="178"/>
      <c r="G9283" s="497"/>
      <c r="H9283" s="36"/>
      <c r="I9283" s="11"/>
    </row>
    <row r="9284" spans="1:12" ht="11.15" customHeight="1">
      <c r="A9284" s="181" t="s">
        <v>12506</v>
      </c>
      <c r="B9284" s="90"/>
      <c r="C9284" s="147"/>
      <c r="D9284" s="159"/>
      <c r="E9284" s="36"/>
      <c r="F9284" s="178"/>
      <c r="G9284" s="497"/>
      <c r="H9284" s="36"/>
      <c r="I9284" s="11"/>
    </row>
    <row r="9285" spans="1:12" ht="11.15" customHeight="1">
      <c r="A9285" s="129" t="s">
        <v>1077</v>
      </c>
      <c r="B9285" s="185"/>
      <c r="C9285" s="147"/>
      <c r="D9285" s="185"/>
      <c r="E9285" s="185"/>
      <c r="F9285" s="185"/>
      <c r="G9285" s="185"/>
      <c r="H9285" s="185"/>
      <c r="I9285" s="11"/>
    </row>
    <row r="9286" spans="1:12" ht="11.15" customHeight="1">
      <c r="A9286" s="162" t="s">
        <v>12507</v>
      </c>
      <c r="B9286" s="226"/>
      <c r="C9286" s="147"/>
      <c r="D9286" s="122"/>
      <c r="E9286" s="36"/>
      <c r="F9286" s="183"/>
      <c r="G9286" s="60"/>
      <c r="H9286" s="34"/>
      <c r="I9286" s="11"/>
    </row>
    <row r="9287" spans="1:12" ht="11.15" customHeight="1">
      <c r="A9287" s="162" t="s">
        <v>12508</v>
      </c>
      <c r="B9287" s="226"/>
      <c r="C9287" s="147"/>
      <c r="D9287" s="122"/>
      <c r="E9287" s="36"/>
      <c r="F9287" s="183"/>
      <c r="G9287" s="60"/>
      <c r="H9287" s="34"/>
      <c r="I9287" s="11"/>
    </row>
    <row r="9288" spans="1:12" ht="11.15" customHeight="1">
      <c r="A9288" s="162" t="s">
        <v>12509</v>
      </c>
      <c r="B9288" s="226"/>
      <c r="C9288" s="147"/>
      <c r="D9288" s="122"/>
      <c r="E9288" s="36"/>
      <c r="F9288" s="183"/>
      <c r="G9288" s="60"/>
      <c r="H9288" s="34"/>
      <c r="I9288" s="11"/>
    </row>
    <row r="9289" spans="1:12" ht="11.15" customHeight="1">
      <c r="A9289" s="29" t="s">
        <v>12510</v>
      </c>
      <c r="B9289" s="226"/>
      <c r="C9289" s="147"/>
      <c r="D9289" s="122"/>
      <c r="E9289" s="36"/>
      <c r="F9289" s="183"/>
      <c r="G9289" s="60"/>
      <c r="H9289" s="34"/>
      <c r="I9289" s="11"/>
    </row>
    <row r="9290" spans="1:12" ht="11.15" customHeight="1">
      <c r="A9290" s="212" t="s">
        <v>12511</v>
      </c>
      <c r="B9290" s="226"/>
      <c r="C9290" s="147"/>
      <c r="D9290" s="122"/>
      <c r="E9290" s="36"/>
      <c r="F9290" s="183"/>
      <c r="G9290" s="60"/>
      <c r="H9290" s="34"/>
      <c r="I9290" s="11"/>
    </row>
    <row r="9291" spans="1:12" ht="11.15" customHeight="1">
      <c r="A9291" s="129" t="s">
        <v>12512</v>
      </c>
      <c r="B9291" s="226"/>
      <c r="C9291" s="147"/>
      <c r="D9291" s="159"/>
      <c r="E9291" s="36"/>
      <c r="F9291" s="183"/>
      <c r="G9291" s="496"/>
      <c r="H9291" s="34"/>
      <c r="I9291" s="11"/>
    </row>
    <row r="9292" spans="1:12" ht="11.15" customHeight="1">
      <c r="A9292" s="212"/>
      <c r="B9292" s="413" t="s">
        <v>12513</v>
      </c>
      <c r="C9292" s="147"/>
      <c r="D9292" s="122"/>
      <c r="E9292" s="36"/>
      <c r="F9292" s="183"/>
      <c r="G9292" s="60"/>
      <c r="H9292" s="34"/>
      <c r="I9292" s="11"/>
    </row>
    <row r="9293" spans="1:12" ht="9" customHeight="1">
      <c r="A9293" s="290"/>
      <c r="B9293" s="209" t="s">
        <v>12514</v>
      </c>
      <c r="C9293" s="147"/>
      <c r="D9293" s="122"/>
      <c r="E9293" s="36"/>
      <c r="F9293" s="183"/>
      <c r="G9293" s="1221"/>
      <c r="H9293" s="34"/>
      <c r="I9293" s="11"/>
    </row>
    <row r="9294" spans="1:12" ht="9" customHeight="1" thickBot="1">
      <c r="A9294" s="290"/>
      <c r="B9294" s="209" t="s">
        <v>12515</v>
      </c>
      <c r="C9294" s="147"/>
      <c r="D9294" s="122"/>
      <c r="E9294" s="36"/>
      <c r="F9294" s="183"/>
      <c r="G9294" s="1221"/>
      <c r="H9294" s="34"/>
      <c r="I9294" s="11"/>
    </row>
    <row r="9295" spans="1:12" ht="11.15" customHeight="1" thickBot="1">
      <c r="A9295" s="184" t="s">
        <v>12516</v>
      </c>
      <c r="B9295" s="154" t="s">
        <v>12517</v>
      </c>
      <c r="C9295" s="147"/>
      <c r="D9295" s="129"/>
      <c r="E9295" s="185"/>
      <c r="F9295" s="185"/>
      <c r="G9295" s="185"/>
      <c r="H9295" s="185"/>
      <c r="I9295" s="11"/>
    </row>
    <row r="9296" spans="1:12" ht="11.15" customHeight="1">
      <c r="A9296" s="29" t="s">
        <v>12518</v>
      </c>
      <c r="B9296" s="59" t="s">
        <v>22021</v>
      </c>
      <c r="C9296" s="147" t="s">
        <v>20221</v>
      </c>
      <c r="D9296" s="701" t="s">
        <v>884</v>
      </c>
      <c r="E9296" s="178">
        <v>2018</v>
      </c>
      <c r="F9296" s="178" t="s">
        <v>4520</v>
      </c>
      <c r="G9296" s="496"/>
      <c r="H9296" s="994" t="s">
        <v>20221</v>
      </c>
      <c r="I9296" s="11" t="s">
        <v>12519</v>
      </c>
      <c r="J9296" s="1285"/>
      <c r="K9296" s="1285"/>
      <c r="L9296" s="1285"/>
    </row>
    <row r="9297" spans="1:12" ht="11.15" customHeight="1">
      <c r="A9297" s="29" t="s">
        <v>12520</v>
      </c>
      <c r="B9297" s="59" t="s">
        <v>22021</v>
      </c>
      <c r="C9297" s="147" t="s">
        <v>20221</v>
      </c>
      <c r="D9297" s="701" t="s">
        <v>884</v>
      </c>
      <c r="E9297" s="178">
        <v>2017</v>
      </c>
      <c r="F9297" s="178" t="s">
        <v>23395</v>
      </c>
      <c r="G9297" s="496"/>
      <c r="H9297" s="994" t="s">
        <v>20277</v>
      </c>
      <c r="I9297" s="11" t="s">
        <v>12521</v>
      </c>
      <c r="J9297" s="1285"/>
      <c r="K9297" s="1285"/>
      <c r="L9297" s="1285"/>
    </row>
    <row r="9298" spans="1:12" ht="11.15" customHeight="1">
      <c r="A9298" s="29" t="s">
        <v>12522</v>
      </c>
      <c r="B9298" s="59" t="s">
        <v>22022</v>
      </c>
      <c r="C9298" s="147" t="s">
        <v>20221</v>
      </c>
      <c r="D9298" s="701" t="s">
        <v>884</v>
      </c>
      <c r="E9298" s="178">
        <v>2017</v>
      </c>
      <c r="F9298" s="178" t="s">
        <v>11931</v>
      </c>
      <c r="G9298" s="496"/>
      <c r="H9298" s="994" t="s">
        <v>20221</v>
      </c>
      <c r="I9298" s="11" t="s">
        <v>12523</v>
      </c>
      <c r="J9298" s="1285"/>
      <c r="K9298" s="1285"/>
      <c r="L9298" s="1285"/>
    </row>
    <row r="9299" spans="1:12" ht="11.15" customHeight="1">
      <c r="A9299" s="29" t="s">
        <v>12524</v>
      </c>
      <c r="B9299" s="154"/>
      <c r="C9299" s="147"/>
      <c r="D9299" s="129"/>
      <c r="E9299" s="185"/>
      <c r="F9299" s="185"/>
      <c r="G9299" s="185"/>
      <c r="H9299" s="185"/>
      <c r="I9299" s="11"/>
    </row>
    <row r="9300" spans="1:12" ht="11.15" customHeight="1">
      <c r="A9300" s="29" t="s">
        <v>12525</v>
      </c>
      <c r="B9300" s="59"/>
      <c r="C9300" s="147"/>
      <c r="D9300" s="701"/>
      <c r="E9300" s="178"/>
      <c r="F9300" s="178"/>
      <c r="G9300" s="496"/>
      <c r="H9300" s="994"/>
      <c r="I9300" s="11"/>
      <c r="J9300" s="1285"/>
      <c r="K9300" s="1285"/>
      <c r="L9300" s="1285"/>
    </row>
    <row r="9301" spans="1:12" ht="11.15" customHeight="1">
      <c r="A9301" s="29" t="s">
        <v>12526</v>
      </c>
      <c r="B9301" s="185"/>
      <c r="C9301" s="147"/>
      <c r="D9301" s="159"/>
      <c r="E9301" s="185"/>
      <c r="F9301" s="185"/>
      <c r="G9301" s="416"/>
      <c r="H9301" s="185"/>
      <c r="I9301" s="11"/>
    </row>
    <row r="9302" spans="1:12" ht="11.15" customHeight="1">
      <c r="A9302" s="129" t="s">
        <v>2435</v>
      </c>
      <c r="B9302" s="185"/>
      <c r="C9302" s="147"/>
      <c r="D9302" s="159"/>
      <c r="E9302" s="185"/>
      <c r="F9302" s="185"/>
      <c r="G9302" s="416"/>
      <c r="H9302" s="185"/>
      <c r="I9302" s="11"/>
    </row>
    <row r="9303" spans="1:12" ht="11.15" customHeight="1">
      <c r="A9303" s="162" t="s">
        <v>12527</v>
      </c>
      <c r="B9303" s="185"/>
      <c r="C9303" s="147"/>
      <c r="D9303" s="129"/>
      <c r="E9303" s="185"/>
      <c r="F9303" s="185"/>
      <c r="G9303" s="185"/>
      <c r="H9303" s="185"/>
      <c r="I9303" s="11"/>
    </row>
    <row r="9304" spans="1:12" ht="11.15" customHeight="1">
      <c r="A9304" s="162" t="s">
        <v>12528</v>
      </c>
      <c r="B9304" s="185"/>
      <c r="C9304" s="147"/>
      <c r="D9304" s="159"/>
      <c r="E9304" s="185"/>
      <c r="F9304" s="185"/>
      <c r="G9304" s="416"/>
      <c r="H9304" s="185"/>
      <c r="I9304" s="11"/>
    </row>
    <row r="9305" spans="1:12" ht="11.15" customHeight="1">
      <c r="A9305" s="162" t="s">
        <v>12529</v>
      </c>
      <c r="B9305" s="90"/>
      <c r="C9305" s="147"/>
      <c r="D9305" s="159"/>
      <c r="E9305" s="36"/>
      <c r="F9305" s="183"/>
      <c r="G9305" s="1221"/>
      <c r="H9305" s="34"/>
      <c r="I9305" s="11"/>
    </row>
    <row r="9306" spans="1:12" ht="11.15" customHeight="1">
      <c r="A9306" s="162" t="s">
        <v>12530</v>
      </c>
      <c r="B9306" s="90"/>
      <c r="C9306" s="147"/>
      <c r="D9306" s="159"/>
      <c r="E9306" s="36"/>
      <c r="F9306" s="183"/>
      <c r="G9306" s="1221"/>
      <c r="H9306" s="34"/>
      <c r="I9306" s="11"/>
    </row>
    <row r="9307" spans="1:12" ht="11.15" customHeight="1">
      <c r="A9307" s="162" t="s">
        <v>12531</v>
      </c>
      <c r="B9307" s="90"/>
      <c r="C9307" s="147"/>
      <c r="D9307" s="159"/>
      <c r="E9307" s="36"/>
      <c r="F9307" s="183"/>
      <c r="G9307" s="1221"/>
      <c r="H9307" s="34"/>
      <c r="I9307" s="11"/>
    </row>
    <row r="9308" spans="1:12" ht="11.15" customHeight="1">
      <c r="A9308" s="29" t="s">
        <v>12532</v>
      </c>
      <c r="B9308" s="90"/>
      <c r="C9308" s="147"/>
      <c r="D9308" s="159"/>
      <c r="E9308" s="36"/>
      <c r="F9308" s="183"/>
      <c r="G9308" s="1221"/>
      <c r="H9308" s="34"/>
      <c r="I9308" s="11"/>
    </row>
    <row r="9309" spans="1:12" ht="11.15" customHeight="1">
      <c r="A9309" s="166" t="s">
        <v>12533</v>
      </c>
      <c r="B9309" s="90"/>
      <c r="C9309" s="147"/>
      <c r="D9309" s="159"/>
      <c r="E9309" s="36"/>
      <c r="F9309" s="183"/>
      <c r="G9309" s="1221"/>
      <c r="H9309" s="34"/>
      <c r="I9309" s="11"/>
    </row>
    <row r="9310" spans="1:12" ht="11.15" customHeight="1">
      <c r="A9310" s="129" t="s">
        <v>12534</v>
      </c>
      <c r="B9310" s="226"/>
      <c r="C9310" s="147"/>
      <c r="D9310" s="159"/>
      <c r="E9310" s="36"/>
      <c r="F9310" s="183"/>
      <c r="G9310" s="496"/>
      <c r="H9310" s="34"/>
      <c r="I9310" s="11"/>
    </row>
    <row r="9311" spans="1:12" ht="11.15" customHeight="1" thickBot="1">
      <c r="A9311" s="29"/>
      <c r="B9311" s="226"/>
      <c r="C9311" s="147"/>
      <c r="D9311" s="159"/>
      <c r="E9311" s="36"/>
      <c r="F9311" s="183"/>
      <c r="G9311" s="453"/>
      <c r="H9311" s="34"/>
      <c r="I9311" s="11"/>
    </row>
    <row r="9312" spans="1:12" ht="11.15" customHeight="1" thickBot="1">
      <c r="A9312" s="184" t="s">
        <v>12535</v>
      </c>
      <c r="B9312" s="59" t="s">
        <v>22023</v>
      </c>
      <c r="C9312" s="147" t="s">
        <v>20221</v>
      </c>
      <c r="D9312" s="701" t="s">
        <v>884</v>
      </c>
      <c r="E9312" s="178" t="s">
        <v>19060</v>
      </c>
      <c r="F9312" s="178" t="s">
        <v>23395</v>
      </c>
      <c r="G9312" s="496"/>
      <c r="H9312" s="994" t="s">
        <v>20343</v>
      </c>
      <c r="I9312" s="11" t="s">
        <v>12536</v>
      </c>
      <c r="J9312" s="1285"/>
      <c r="K9312" s="1285"/>
      <c r="L9312" s="1285"/>
    </row>
    <row r="9313" spans="1:12" ht="11.15" customHeight="1">
      <c r="A9313" s="29" t="s">
        <v>12537</v>
      </c>
      <c r="B9313" s="59" t="s">
        <v>22024</v>
      </c>
      <c r="C9313" s="147" t="s">
        <v>20221</v>
      </c>
      <c r="D9313" s="701" t="s">
        <v>884</v>
      </c>
      <c r="E9313" s="178" t="s">
        <v>19060</v>
      </c>
      <c r="F9313" s="178" t="s">
        <v>11938</v>
      </c>
      <c r="G9313" s="496"/>
      <c r="H9313" s="994" t="s">
        <v>3907</v>
      </c>
      <c r="I9313" s="11" t="s">
        <v>12538</v>
      </c>
      <c r="J9313" s="1285"/>
      <c r="K9313" s="1285"/>
      <c r="L9313" s="1285"/>
    </row>
    <row r="9314" spans="1:12" ht="11.15" customHeight="1">
      <c r="A9314" s="29" t="s">
        <v>12539</v>
      </c>
      <c r="B9314" s="90"/>
      <c r="C9314" s="147"/>
      <c r="D9314" s="122"/>
      <c r="E9314" s="36"/>
      <c r="F9314" s="183"/>
      <c r="G9314" s="453"/>
      <c r="H9314" s="34"/>
      <c r="I9314" s="11"/>
    </row>
    <row r="9315" spans="1:12" ht="11.15" customHeight="1">
      <c r="A9315" s="29" t="s">
        <v>12540</v>
      </c>
      <c r="B9315" s="90"/>
      <c r="C9315" s="147"/>
      <c r="D9315" s="122"/>
      <c r="E9315" s="36"/>
      <c r="F9315" s="183"/>
      <c r="G9315" s="453"/>
      <c r="H9315" s="34"/>
      <c r="I9315" s="11"/>
    </row>
    <row r="9316" spans="1:12" ht="10.5" customHeight="1">
      <c r="A9316" s="29" t="s">
        <v>12541</v>
      </c>
      <c r="B9316" s="90"/>
      <c r="C9316" s="147"/>
      <c r="D9316" s="122"/>
      <c r="E9316" s="36"/>
      <c r="F9316" s="183"/>
      <c r="G9316" s="453"/>
      <c r="H9316" s="34"/>
      <c r="I9316" s="11"/>
    </row>
    <row r="9317" spans="1:12" ht="11.15" customHeight="1">
      <c r="A9317" s="29" t="s">
        <v>12542</v>
      </c>
      <c r="B9317" s="90"/>
      <c r="C9317" s="147"/>
      <c r="D9317" s="122"/>
      <c r="E9317" s="36"/>
      <c r="F9317" s="183"/>
      <c r="G9317" s="453"/>
      <c r="H9317" s="34"/>
      <c r="I9317" s="11"/>
    </row>
    <row r="9318" spans="1:12" ht="11.15" customHeight="1">
      <c r="A9318" s="29" t="s">
        <v>12543</v>
      </c>
      <c r="B9318" s="90"/>
      <c r="C9318" s="147"/>
      <c r="D9318" s="122"/>
      <c r="E9318" s="36"/>
      <c r="F9318" s="183"/>
      <c r="G9318" s="453"/>
      <c r="H9318" s="34"/>
      <c r="I9318" s="11"/>
    </row>
    <row r="9319" spans="1:12" ht="11.15" customHeight="1">
      <c r="A9319" s="129" t="s">
        <v>12544</v>
      </c>
      <c r="B9319" s="90"/>
      <c r="C9319" s="147"/>
      <c r="D9319" s="122"/>
      <c r="E9319" s="36"/>
      <c r="F9319" s="178"/>
      <c r="G9319" s="453"/>
      <c r="H9319" s="36"/>
      <c r="I9319" s="11"/>
    </row>
    <row r="9320" spans="1:12" ht="11.15" customHeight="1">
      <c r="A9320" s="212" t="s">
        <v>11361</v>
      </c>
      <c r="B9320" s="226"/>
      <c r="C9320" s="147"/>
      <c r="D9320" s="122"/>
      <c r="E9320" s="36"/>
      <c r="F9320" s="183"/>
      <c r="G9320" s="453"/>
      <c r="H9320" s="34"/>
      <c r="I9320" s="11"/>
    </row>
    <row r="9321" spans="1:12" ht="11.15" customHeight="1" thickBot="1">
      <c r="A9321" s="129" t="s">
        <v>12545</v>
      </c>
      <c r="B9321" s="226"/>
      <c r="C9321" s="147"/>
      <c r="D9321" s="159"/>
      <c r="E9321" s="36"/>
      <c r="F9321" s="183"/>
      <c r="G9321" s="496"/>
      <c r="H9321" s="34"/>
      <c r="I9321" s="11"/>
    </row>
    <row r="9322" spans="1:12" ht="24" customHeight="1" thickBot="1">
      <c r="A9322" s="381"/>
      <c r="B9322" s="64" t="s">
        <v>12546</v>
      </c>
      <c r="C9322" s="170"/>
      <c r="D9322" s="382"/>
      <c r="E9322" s="235"/>
      <c r="F9322" s="383"/>
      <c r="G9322" s="1249"/>
      <c r="H9322" s="1132"/>
      <c r="I9322" s="11"/>
    </row>
    <row r="9323" spans="1:12" ht="11.15" customHeight="1">
      <c r="A9323" s="662"/>
      <c r="B9323" s="663" t="s">
        <v>12547</v>
      </c>
      <c r="C9323" s="191"/>
      <c r="D9323" s="306"/>
      <c r="E9323" s="571"/>
      <c r="F9323" s="306"/>
      <c r="G9323" s="1156"/>
      <c r="H9323" s="1133"/>
      <c r="I9323" s="11"/>
    </row>
    <row r="9324" spans="1:12" ht="9" customHeight="1">
      <c r="A9324" s="445"/>
      <c r="B9324" s="209" t="s">
        <v>12548</v>
      </c>
      <c r="C9324" s="147"/>
      <c r="D9324" s="122"/>
      <c r="E9324" s="226"/>
      <c r="F9324" s="122"/>
      <c r="G9324" s="68"/>
      <c r="H9324" s="1134"/>
      <c r="I9324" s="11"/>
    </row>
    <row r="9325" spans="1:12" ht="9" customHeight="1">
      <c r="A9325" s="445"/>
      <c r="B9325" s="209" t="s">
        <v>12549</v>
      </c>
      <c r="C9325" s="147"/>
      <c r="D9325" s="122"/>
      <c r="E9325" s="226"/>
      <c r="F9325" s="122"/>
      <c r="G9325" s="68"/>
      <c r="H9325" s="1134"/>
      <c r="I9325" s="11"/>
    </row>
    <row r="9326" spans="1:12" ht="9" customHeight="1">
      <c r="A9326" s="445"/>
      <c r="B9326" s="209" t="s">
        <v>12550</v>
      </c>
      <c r="C9326" s="147"/>
      <c r="D9326" s="122"/>
      <c r="E9326" s="226"/>
      <c r="F9326" s="122"/>
      <c r="G9326" s="68"/>
      <c r="H9326" s="1134"/>
      <c r="I9326" s="11"/>
    </row>
    <row r="9327" spans="1:12" ht="9" customHeight="1">
      <c r="A9327" s="445"/>
      <c r="B9327" s="150" t="s">
        <v>12551</v>
      </c>
      <c r="C9327" s="147"/>
      <c r="D9327" s="122"/>
      <c r="E9327" s="226"/>
      <c r="F9327" s="122"/>
      <c r="G9327" s="68"/>
      <c r="H9327" s="1134"/>
      <c r="I9327" s="11"/>
    </row>
    <row r="9328" spans="1:12" ht="9" customHeight="1">
      <c r="A9328" s="445"/>
      <c r="B9328" s="209" t="s">
        <v>12552</v>
      </c>
      <c r="C9328" s="147"/>
      <c r="D9328" s="122"/>
      <c r="E9328" s="226"/>
      <c r="F9328" s="122"/>
      <c r="G9328" s="68"/>
      <c r="H9328" s="1134"/>
      <c r="I9328" s="11"/>
    </row>
    <row r="9329" spans="1:9" ht="9" customHeight="1">
      <c r="A9329" s="445"/>
      <c r="B9329" s="209" t="s">
        <v>12553</v>
      </c>
      <c r="C9329" s="147"/>
      <c r="D9329" s="122"/>
      <c r="E9329" s="226"/>
      <c r="F9329" s="122"/>
      <c r="G9329" s="68"/>
      <c r="H9329" s="1134"/>
      <c r="I9329" s="11"/>
    </row>
    <row r="9330" spans="1:9" ht="9" customHeight="1">
      <c r="A9330" s="445"/>
      <c r="B9330" s="209" t="s">
        <v>12554</v>
      </c>
      <c r="C9330" s="147"/>
      <c r="D9330" s="122"/>
      <c r="E9330" s="226"/>
      <c r="F9330" s="122"/>
      <c r="G9330" s="68"/>
      <c r="H9330" s="1134"/>
      <c r="I9330" s="11"/>
    </row>
    <row r="9331" spans="1:9" ht="9" customHeight="1">
      <c r="A9331" s="445"/>
      <c r="B9331" s="150" t="s">
        <v>12555</v>
      </c>
      <c r="C9331" s="147"/>
      <c r="D9331" s="122"/>
      <c r="E9331" s="226"/>
      <c r="F9331" s="122"/>
      <c r="G9331" s="68"/>
      <c r="H9331" s="1134"/>
      <c r="I9331" s="11"/>
    </row>
    <row r="9332" spans="1:9" ht="11.15" customHeight="1">
      <c r="A9332" s="445"/>
      <c r="B9332" s="146" t="s">
        <v>12556</v>
      </c>
      <c r="C9332" s="147"/>
      <c r="D9332" s="122"/>
      <c r="E9332" s="226"/>
      <c r="F9332" s="122"/>
      <c r="G9332" s="68"/>
      <c r="H9332" s="1134"/>
      <c r="I9332" s="11"/>
    </row>
    <row r="9333" spans="1:9" ht="9" customHeight="1">
      <c r="A9333" s="445"/>
      <c r="B9333" s="150" t="s">
        <v>12557</v>
      </c>
      <c r="C9333" s="147"/>
      <c r="D9333" s="122"/>
      <c r="E9333" s="226"/>
      <c r="F9333" s="122"/>
      <c r="G9333" s="68"/>
      <c r="H9333" s="1134"/>
      <c r="I9333" s="11"/>
    </row>
    <row r="9334" spans="1:9" ht="9" customHeight="1">
      <c r="A9334" s="445"/>
      <c r="B9334" s="150" t="s">
        <v>12558</v>
      </c>
      <c r="C9334" s="147"/>
      <c r="D9334" s="122"/>
      <c r="E9334" s="226"/>
      <c r="F9334" s="122"/>
      <c r="G9334" s="68"/>
      <c r="H9334" s="1134"/>
      <c r="I9334" s="11"/>
    </row>
    <row r="9335" spans="1:9" ht="9" customHeight="1">
      <c r="A9335" s="664"/>
      <c r="B9335" s="152" t="s">
        <v>12559</v>
      </c>
      <c r="C9335" s="147"/>
      <c r="D9335" s="122"/>
      <c r="E9335" s="226"/>
      <c r="F9335" s="122"/>
      <c r="G9335" s="68"/>
      <c r="H9335" s="1134"/>
      <c r="I9335" s="11"/>
    </row>
    <row r="9336" spans="1:9" ht="9" customHeight="1">
      <c r="A9336" s="445"/>
      <c r="B9336" s="150" t="s">
        <v>12560</v>
      </c>
      <c r="C9336" s="147"/>
      <c r="D9336" s="122"/>
      <c r="E9336" s="226"/>
      <c r="F9336" s="122"/>
      <c r="G9336" s="68"/>
      <c r="H9336" s="1134"/>
      <c r="I9336" s="11"/>
    </row>
    <row r="9337" spans="1:9" ht="9" customHeight="1">
      <c r="A9337" s="445"/>
      <c r="B9337" s="150" t="s">
        <v>12561</v>
      </c>
      <c r="C9337" s="147"/>
      <c r="D9337" s="122"/>
      <c r="E9337" s="226"/>
      <c r="F9337" s="122"/>
      <c r="G9337" s="68"/>
      <c r="H9337" s="1134"/>
      <c r="I9337" s="11"/>
    </row>
    <row r="9338" spans="1:9" ht="9" customHeight="1">
      <c r="A9338" s="445"/>
      <c r="B9338" s="150" t="s">
        <v>12562</v>
      </c>
      <c r="C9338" s="147"/>
      <c r="D9338" s="122"/>
      <c r="E9338" s="226"/>
      <c r="F9338" s="122"/>
      <c r="G9338" s="68"/>
      <c r="H9338" s="1134"/>
      <c r="I9338" s="11"/>
    </row>
    <row r="9339" spans="1:9" ht="9" customHeight="1">
      <c r="A9339" s="445"/>
      <c r="B9339" s="150" t="s">
        <v>12563</v>
      </c>
      <c r="C9339" s="147"/>
      <c r="D9339" s="122"/>
      <c r="E9339" s="226"/>
      <c r="F9339" s="122"/>
      <c r="G9339" s="68"/>
      <c r="H9339" s="1134"/>
      <c r="I9339" s="11"/>
    </row>
    <row r="9340" spans="1:9" ht="9" customHeight="1">
      <c r="A9340" s="445"/>
      <c r="B9340" s="150" t="s">
        <v>12564</v>
      </c>
      <c r="C9340" s="147"/>
      <c r="D9340" s="122"/>
      <c r="E9340" s="226"/>
      <c r="F9340" s="122"/>
      <c r="G9340" s="68"/>
      <c r="H9340" s="1134"/>
      <c r="I9340" s="11"/>
    </row>
    <row r="9341" spans="1:9" ht="9" customHeight="1">
      <c r="A9341" s="445"/>
      <c r="B9341" s="150" t="s">
        <v>12565</v>
      </c>
      <c r="C9341" s="147"/>
      <c r="D9341" s="122"/>
      <c r="E9341" s="226"/>
      <c r="F9341" s="122"/>
      <c r="G9341" s="68"/>
      <c r="H9341" s="1134"/>
      <c r="I9341" s="11"/>
    </row>
    <row r="9342" spans="1:9" ht="9" customHeight="1">
      <c r="A9342" s="445"/>
      <c r="B9342" s="150" t="s">
        <v>12566</v>
      </c>
      <c r="C9342" s="147"/>
      <c r="D9342" s="122"/>
      <c r="E9342" s="226"/>
      <c r="F9342" s="122"/>
      <c r="G9342" s="68"/>
      <c r="H9342" s="1134"/>
      <c r="I9342" s="11"/>
    </row>
    <row r="9343" spans="1:9" ht="9" customHeight="1">
      <c r="A9343" s="445"/>
      <c r="B9343" s="150" t="s">
        <v>12567</v>
      </c>
      <c r="C9343" s="147"/>
      <c r="D9343" s="122"/>
      <c r="E9343" s="226"/>
      <c r="F9343" s="122"/>
      <c r="G9343" s="68"/>
      <c r="H9343" s="1134"/>
      <c r="I9343" s="11"/>
    </row>
    <row r="9344" spans="1:9" ht="9" customHeight="1">
      <c r="A9344" s="445"/>
      <c r="B9344" s="150" t="s">
        <v>12568</v>
      </c>
      <c r="C9344" s="147"/>
      <c r="D9344" s="122"/>
      <c r="E9344" s="226"/>
      <c r="F9344" s="122"/>
      <c r="G9344" s="68"/>
      <c r="H9344" s="1134"/>
      <c r="I9344" s="11"/>
    </row>
    <row r="9345" spans="1:12" ht="9" customHeight="1" thickBot="1">
      <c r="A9345" s="665"/>
      <c r="B9345" s="666" t="s">
        <v>12569</v>
      </c>
      <c r="C9345" s="203"/>
      <c r="D9345" s="118"/>
      <c r="E9345" s="572"/>
      <c r="F9345" s="118"/>
      <c r="G9345" s="1250"/>
      <c r="H9345" s="1135"/>
      <c r="I9345" s="11"/>
    </row>
    <row r="9346" spans="1:12" ht="11.15" customHeight="1">
      <c r="A9346" s="153" t="s">
        <v>12570</v>
      </c>
      <c r="B9346" s="240" t="s">
        <v>12571</v>
      </c>
      <c r="C9346" s="147"/>
      <c r="D9346" s="122"/>
      <c r="E9346" s="226"/>
      <c r="F9346" s="122"/>
      <c r="G9346" s="68"/>
      <c r="H9346" s="226"/>
      <c r="I9346" s="11"/>
    </row>
    <row r="9347" spans="1:12" ht="11.15" customHeight="1">
      <c r="A9347" s="668" t="s">
        <v>12572</v>
      </c>
      <c r="B9347" s="669" t="s">
        <v>12573</v>
      </c>
      <c r="C9347" s="147"/>
      <c r="D9347" s="122"/>
      <c r="E9347" s="226"/>
      <c r="F9347" s="122"/>
      <c r="G9347" s="68"/>
      <c r="H9347" s="226"/>
      <c r="I9347" s="11"/>
    </row>
    <row r="9348" spans="1:12" ht="11.15" customHeight="1" thickBot="1">
      <c r="A9348" s="670" t="s">
        <v>12574</v>
      </c>
      <c r="B9348" s="59" t="s">
        <v>22025</v>
      </c>
      <c r="C9348" s="147" t="s">
        <v>20221</v>
      </c>
      <c r="D9348" s="701" t="s">
        <v>1129</v>
      </c>
      <c r="E9348" s="178">
        <v>2022</v>
      </c>
      <c r="F9348" s="178" t="s">
        <v>4520</v>
      </c>
      <c r="G9348" s="496"/>
      <c r="H9348" s="994" t="s">
        <v>20221</v>
      </c>
      <c r="I9348" s="11" t="s">
        <v>12575</v>
      </c>
      <c r="J9348" s="1285"/>
      <c r="K9348" s="1285"/>
      <c r="L9348" s="1285"/>
    </row>
    <row r="9349" spans="1:12" ht="11.15" customHeight="1">
      <c r="A9349" s="424" t="s">
        <v>12576</v>
      </c>
      <c r="B9349" s="59" t="s">
        <v>22025</v>
      </c>
      <c r="C9349" s="147" t="s">
        <v>20221</v>
      </c>
      <c r="D9349" s="701" t="s">
        <v>1129</v>
      </c>
      <c r="E9349" s="178">
        <v>2021</v>
      </c>
      <c r="F9349" s="178" t="s">
        <v>4520</v>
      </c>
      <c r="G9349" s="496"/>
      <c r="H9349" s="994" t="s">
        <v>20221</v>
      </c>
      <c r="I9349" s="11" t="s">
        <v>12577</v>
      </c>
      <c r="J9349" s="1285"/>
      <c r="K9349" s="1285"/>
      <c r="L9349" s="1285"/>
    </row>
    <row r="9350" spans="1:12" ht="11.15" customHeight="1">
      <c r="A9350" s="29" t="s">
        <v>12578</v>
      </c>
      <c r="B9350" s="59" t="s">
        <v>22025</v>
      </c>
      <c r="C9350" s="147" t="s">
        <v>20221</v>
      </c>
      <c r="D9350" s="701" t="s">
        <v>1129</v>
      </c>
      <c r="E9350" s="178">
        <v>2020</v>
      </c>
      <c r="F9350" s="178" t="s">
        <v>4520</v>
      </c>
      <c r="G9350" s="496"/>
      <c r="H9350" s="994" t="s">
        <v>20221</v>
      </c>
      <c r="I9350" s="11" t="s">
        <v>12579</v>
      </c>
      <c r="J9350" s="1285"/>
      <c r="K9350" s="1285"/>
      <c r="L9350" s="1285"/>
    </row>
    <row r="9351" spans="1:12" ht="11.15" customHeight="1">
      <c r="A9351" s="29" t="s">
        <v>12580</v>
      </c>
      <c r="B9351" s="59" t="s">
        <v>22025</v>
      </c>
      <c r="C9351" s="147" t="s">
        <v>20221</v>
      </c>
      <c r="D9351" s="701" t="s">
        <v>1129</v>
      </c>
      <c r="E9351" s="178">
        <v>2019</v>
      </c>
      <c r="F9351" s="178" t="s">
        <v>4520</v>
      </c>
      <c r="G9351" s="496"/>
      <c r="H9351" s="994" t="s">
        <v>20224</v>
      </c>
      <c r="I9351" s="11" t="s">
        <v>12581</v>
      </c>
      <c r="J9351" s="1285"/>
      <c r="K9351" s="1285"/>
      <c r="L9351" s="1285"/>
    </row>
    <row r="9352" spans="1:12" ht="11.15" customHeight="1">
      <c r="A9352" s="29" t="s">
        <v>12582</v>
      </c>
      <c r="B9352" s="59" t="s">
        <v>22025</v>
      </c>
      <c r="C9352" s="147" t="s">
        <v>20221</v>
      </c>
      <c r="D9352" s="701" t="s">
        <v>1129</v>
      </c>
      <c r="E9352" s="178">
        <v>2018</v>
      </c>
      <c r="F9352" s="178" t="s">
        <v>4520</v>
      </c>
      <c r="G9352" s="496"/>
      <c r="H9352" s="994" t="s">
        <v>20221</v>
      </c>
      <c r="I9352" s="11" t="s">
        <v>12583</v>
      </c>
      <c r="J9352" s="1285"/>
      <c r="K9352" s="1285"/>
      <c r="L9352" s="1285"/>
    </row>
    <row r="9353" spans="1:12" ht="11.15" customHeight="1">
      <c r="A9353" s="229" t="s">
        <v>12584</v>
      </c>
      <c r="B9353" s="240" t="s">
        <v>12585</v>
      </c>
      <c r="C9353" s="147"/>
      <c r="D9353" s="122"/>
      <c r="E9353" s="226"/>
      <c r="F9353" s="122"/>
      <c r="G9353" s="68"/>
      <c r="H9353" s="226"/>
      <c r="I9353" s="11"/>
    </row>
    <row r="9354" spans="1:12" ht="11.15" customHeight="1">
      <c r="A9354" s="218" t="s">
        <v>12586</v>
      </c>
      <c r="B9354" s="669" t="s">
        <v>12587</v>
      </c>
      <c r="C9354" s="147"/>
      <c r="D9354" s="122"/>
      <c r="E9354" s="226"/>
      <c r="F9354" s="122"/>
      <c r="G9354" s="68"/>
      <c r="H9354" s="226"/>
      <c r="I9354" s="11"/>
    </row>
    <row r="9355" spans="1:12" ht="11.15" customHeight="1">
      <c r="A9355" s="181" t="s">
        <v>12588</v>
      </c>
      <c r="B9355" s="669" t="s">
        <v>12589</v>
      </c>
      <c r="C9355" s="147"/>
      <c r="D9355" s="122"/>
      <c r="E9355" s="226"/>
      <c r="F9355" s="122"/>
      <c r="G9355" s="68"/>
      <c r="H9355" s="226"/>
      <c r="I9355" s="11"/>
    </row>
    <row r="9356" spans="1:12" ht="11.15" customHeight="1">
      <c r="A9356" s="181" t="s">
        <v>950</v>
      </c>
      <c r="B9356" s="59" t="s">
        <v>22026</v>
      </c>
      <c r="C9356" s="147" t="s">
        <v>20221</v>
      </c>
      <c r="D9356" s="701" t="s">
        <v>1129</v>
      </c>
      <c r="E9356" s="178">
        <v>2022</v>
      </c>
      <c r="F9356" s="178" t="s">
        <v>4520</v>
      </c>
      <c r="G9356" s="496"/>
      <c r="H9356" s="994" t="s">
        <v>20221</v>
      </c>
      <c r="I9356" s="11" t="s">
        <v>12590</v>
      </c>
      <c r="J9356" s="1285"/>
      <c r="K9356" s="1285"/>
      <c r="L9356" s="1285"/>
    </row>
    <row r="9357" spans="1:12" ht="11.15" customHeight="1">
      <c r="A9357" s="129" t="s">
        <v>12591</v>
      </c>
      <c r="B9357" s="59" t="s">
        <v>22026</v>
      </c>
      <c r="C9357" s="147" t="s">
        <v>20221</v>
      </c>
      <c r="D9357" s="701" t="s">
        <v>1129</v>
      </c>
      <c r="E9357" s="178">
        <v>2021</v>
      </c>
      <c r="F9357" s="178" t="s">
        <v>4520</v>
      </c>
      <c r="G9357" s="496"/>
      <c r="H9357" s="994" t="s">
        <v>20221</v>
      </c>
      <c r="I9357" s="11" t="s">
        <v>12592</v>
      </c>
      <c r="J9357" s="1285"/>
      <c r="K9357" s="1285"/>
      <c r="L9357" s="1285"/>
    </row>
    <row r="9358" spans="1:12" ht="11.15" customHeight="1">
      <c r="A9358" s="162" t="s">
        <v>12593</v>
      </c>
      <c r="B9358" s="59" t="s">
        <v>22026</v>
      </c>
      <c r="C9358" s="147" t="s">
        <v>20221</v>
      </c>
      <c r="D9358" s="701" t="s">
        <v>1129</v>
      </c>
      <c r="E9358" s="178">
        <v>2016</v>
      </c>
      <c r="F9358" s="178" t="s">
        <v>4520</v>
      </c>
      <c r="G9358" s="496"/>
      <c r="H9358" s="994" t="s">
        <v>20221</v>
      </c>
      <c r="I9358" s="11" t="s">
        <v>12594</v>
      </c>
      <c r="J9358" s="1285"/>
      <c r="K9358" s="1285"/>
      <c r="L9358" s="1285"/>
    </row>
    <row r="9359" spans="1:12" ht="11.15" customHeight="1">
      <c r="A9359" s="162" t="s">
        <v>12595</v>
      </c>
      <c r="B9359" s="59" t="s">
        <v>22026</v>
      </c>
      <c r="C9359" s="147" t="s">
        <v>20221</v>
      </c>
      <c r="D9359" s="701" t="s">
        <v>1129</v>
      </c>
      <c r="E9359" s="178">
        <v>2015</v>
      </c>
      <c r="F9359" s="178" t="s">
        <v>4520</v>
      </c>
      <c r="G9359" s="496"/>
      <c r="H9359" s="994" t="s">
        <v>20224</v>
      </c>
      <c r="I9359" s="11" t="s">
        <v>12596</v>
      </c>
      <c r="J9359" s="1285"/>
      <c r="K9359" s="1285"/>
      <c r="L9359" s="1285"/>
    </row>
    <row r="9360" spans="1:12" ht="11.15" customHeight="1">
      <c r="A9360" s="291" t="s">
        <v>12597</v>
      </c>
      <c r="B9360" s="240" t="s">
        <v>12598</v>
      </c>
      <c r="C9360" s="147"/>
      <c r="D9360" s="122"/>
      <c r="E9360" s="226"/>
      <c r="F9360" s="122"/>
      <c r="G9360" s="68"/>
      <c r="H9360" s="226"/>
      <c r="I9360" s="11"/>
    </row>
    <row r="9361" spans="1:12" ht="11.15" customHeight="1">
      <c r="A9361" s="291" t="s">
        <v>12599</v>
      </c>
      <c r="B9361" s="240" t="s">
        <v>12600</v>
      </c>
      <c r="C9361" s="147"/>
      <c r="D9361" s="122"/>
      <c r="E9361" s="226"/>
      <c r="F9361" s="122"/>
      <c r="G9361" s="68"/>
      <c r="H9361" s="226"/>
      <c r="I9361" s="11"/>
    </row>
    <row r="9362" spans="1:12" ht="11.15" customHeight="1">
      <c r="A9362" s="162" t="s">
        <v>12601</v>
      </c>
      <c r="B9362" s="59" t="s">
        <v>22027</v>
      </c>
      <c r="C9362" s="147" t="s">
        <v>20221</v>
      </c>
      <c r="D9362" s="701" t="s">
        <v>1129</v>
      </c>
      <c r="E9362" s="178">
        <v>2022</v>
      </c>
      <c r="F9362" s="178" t="s">
        <v>4520</v>
      </c>
      <c r="G9362" s="496"/>
      <c r="H9362" s="994" t="s">
        <v>20221</v>
      </c>
      <c r="I9362" s="11" t="s">
        <v>12602</v>
      </c>
      <c r="J9362" s="1285"/>
      <c r="K9362" s="1285"/>
      <c r="L9362" s="1285"/>
    </row>
    <row r="9363" spans="1:12" ht="11.15" customHeight="1">
      <c r="A9363" s="162" t="s">
        <v>12603</v>
      </c>
      <c r="B9363" s="59" t="s">
        <v>22027</v>
      </c>
      <c r="C9363" s="147" t="s">
        <v>20221</v>
      </c>
      <c r="D9363" s="701" t="s">
        <v>1129</v>
      </c>
      <c r="E9363" s="178">
        <v>2021</v>
      </c>
      <c r="F9363" s="178" t="s">
        <v>4520</v>
      </c>
      <c r="G9363" s="496"/>
      <c r="H9363" s="994" t="s">
        <v>20221</v>
      </c>
      <c r="I9363" s="11" t="s">
        <v>12604</v>
      </c>
      <c r="J9363" s="1285"/>
      <c r="K9363" s="1285"/>
      <c r="L9363" s="1285"/>
    </row>
    <row r="9364" spans="1:12" ht="11.15" customHeight="1">
      <c r="A9364" s="162" t="s">
        <v>12605</v>
      </c>
      <c r="B9364" s="59" t="s">
        <v>22027</v>
      </c>
      <c r="C9364" s="147" t="s">
        <v>20221</v>
      </c>
      <c r="D9364" s="701" t="s">
        <v>1129</v>
      </c>
      <c r="E9364" s="178">
        <v>2020</v>
      </c>
      <c r="F9364" s="178" t="s">
        <v>4520</v>
      </c>
      <c r="G9364" s="496"/>
      <c r="H9364" s="994" t="s">
        <v>20221</v>
      </c>
      <c r="I9364" s="11" t="s">
        <v>12606</v>
      </c>
      <c r="J9364" s="1285"/>
      <c r="K9364" s="1285"/>
      <c r="L9364" s="1285"/>
    </row>
    <row r="9365" spans="1:12" ht="11.15" customHeight="1">
      <c r="A9365" s="129" t="s">
        <v>12607</v>
      </c>
      <c r="B9365" s="59" t="s">
        <v>22027</v>
      </c>
      <c r="C9365" s="147" t="s">
        <v>20221</v>
      </c>
      <c r="D9365" s="701" t="s">
        <v>1129</v>
      </c>
      <c r="E9365" s="178">
        <v>2018</v>
      </c>
      <c r="F9365" s="178" t="s">
        <v>4520</v>
      </c>
      <c r="G9365" s="496"/>
      <c r="H9365" s="994" t="s">
        <v>20221</v>
      </c>
      <c r="I9365" s="11" t="s">
        <v>12608</v>
      </c>
      <c r="J9365" s="1285"/>
      <c r="K9365" s="1285"/>
      <c r="L9365" s="1285"/>
    </row>
    <row r="9366" spans="1:12" ht="11.15" customHeight="1">
      <c r="A9366" s="162" t="s">
        <v>12609</v>
      </c>
      <c r="B9366" s="59" t="s">
        <v>22027</v>
      </c>
      <c r="C9366" s="147" t="s">
        <v>20221</v>
      </c>
      <c r="D9366" s="701" t="s">
        <v>1129</v>
      </c>
      <c r="E9366" s="178">
        <v>2017</v>
      </c>
      <c r="F9366" s="178" t="s">
        <v>4520</v>
      </c>
      <c r="G9366" s="496"/>
      <c r="H9366" s="994" t="s">
        <v>20221</v>
      </c>
      <c r="I9366" s="11" t="s">
        <v>12610</v>
      </c>
      <c r="J9366" s="1285"/>
      <c r="K9366" s="1285"/>
      <c r="L9366" s="1285"/>
    </row>
    <row r="9367" spans="1:12" ht="11.15" customHeight="1">
      <c r="A9367" s="162" t="s">
        <v>12611</v>
      </c>
      <c r="B9367" s="59" t="s">
        <v>22027</v>
      </c>
      <c r="C9367" s="147" t="s">
        <v>20221</v>
      </c>
      <c r="D9367" s="701" t="s">
        <v>1129</v>
      </c>
      <c r="E9367" s="178">
        <v>2016</v>
      </c>
      <c r="F9367" s="178" t="s">
        <v>4520</v>
      </c>
      <c r="G9367" s="496"/>
      <c r="H9367" s="994" t="s">
        <v>20221</v>
      </c>
      <c r="I9367" s="11" t="s">
        <v>12612</v>
      </c>
      <c r="J9367" s="1285"/>
      <c r="K9367" s="1285"/>
      <c r="L9367" s="1285"/>
    </row>
    <row r="9368" spans="1:12" ht="11.15" customHeight="1">
      <c r="A9368" s="162" t="s">
        <v>12613</v>
      </c>
      <c r="B9368" s="59" t="s">
        <v>22027</v>
      </c>
      <c r="C9368" s="147" t="s">
        <v>20221</v>
      </c>
      <c r="D9368" s="701" t="s">
        <v>1129</v>
      </c>
      <c r="E9368" s="178">
        <v>2015</v>
      </c>
      <c r="F9368" s="178" t="s">
        <v>4520</v>
      </c>
      <c r="G9368" s="496"/>
      <c r="H9368" s="994" t="s">
        <v>20221</v>
      </c>
      <c r="I9368" s="11" t="s">
        <v>12614</v>
      </c>
      <c r="J9368" s="1285"/>
      <c r="K9368" s="1285"/>
      <c r="L9368" s="1285"/>
    </row>
    <row r="9369" spans="1:12" ht="11.15" customHeight="1">
      <c r="A9369" s="162" t="s">
        <v>12615</v>
      </c>
      <c r="B9369" s="59" t="s">
        <v>22027</v>
      </c>
      <c r="C9369" s="147" t="s">
        <v>20221</v>
      </c>
      <c r="D9369" s="701" t="s">
        <v>1129</v>
      </c>
      <c r="E9369" s="178">
        <v>2014</v>
      </c>
      <c r="F9369" s="178" t="s">
        <v>4520</v>
      </c>
      <c r="G9369" s="496"/>
      <c r="H9369" s="994" t="s">
        <v>20221</v>
      </c>
      <c r="I9369" s="11" t="s">
        <v>12616</v>
      </c>
      <c r="J9369" s="1285"/>
      <c r="K9369" s="1285"/>
      <c r="L9369" s="1285"/>
    </row>
    <row r="9370" spans="1:12" ht="11.15" customHeight="1">
      <c r="A9370" s="162" t="s">
        <v>12617</v>
      </c>
      <c r="B9370" s="59" t="s">
        <v>22027</v>
      </c>
      <c r="C9370" s="147" t="s">
        <v>20221</v>
      </c>
      <c r="D9370" s="701" t="s">
        <v>1129</v>
      </c>
      <c r="E9370" s="178">
        <v>2013</v>
      </c>
      <c r="F9370" s="178" t="s">
        <v>4520</v>
      </c>
      <c r="G9370" s="496"/>
      <c r="H9370" s="994" t="s">
        <v>20221</v>
      </c>
      <c r="I9370" s="11" t="s">
        <v>12618</v>
      </c>
      <c r="J9370" s="1285"/>
      <c r="K9370" s="1285"/>
      <c r="L9370" s="1285"/>
    </row>
    <row r="9371" spans="1:12" ht="11.15" customHeight="1">
      <c r="A9371" s="162" t="s">
        <v>12619</v>
      </c>
      <c r="B9371" s="59" t="s">
        <v>22027</v>
      </c>
      <c r="C9371" s="147" t="s">
        <v>20221</v>
      </c>
      <c r="D9371" s="701" t="s">
        <v>1129</v>
      </c>
      <c r="E9371" s="178">
        <v>2011</v>
      </c>
      <c r="F9371" s="178" t="s">
        <v>4520</v>
      </c>
      <c r="G9371" s="496"/>
      <c r="H9371" s="994" t="s">
        <v>20224</v>
      </c>
      <c r="I9371" s="11" t="s">
        <v>12620</v>
      </c>
      <c r="J9371" s="1285"/>
      <c r="K9371" s="1285"/>
      <c r="L9371" s="1285"/>
    </row>
    <row r="9372" spans="1:12" ht="11.15" customHeight="1">
      <c r="A9372" s="162" t="s">
        <v>12621</v>
      </c>
      <c r="B9372" s="240" t="s">
        <v>12622</v>
      </c>
      <c r="C9372" s="147"/>
      <c r="D9372" s="122"/>
      <c r="E9372" s="226"/>
      <c r="F9372" s="122"/>
      <c r="G9372" s="68"/>
      <c r="H9372" s="226"/>
      <c r="I9372" s="11"/>
    </row>
    <row r="9373" spans="1:12" ht="11.15" customHeight="1">
      <c r="A9373" s="129" t="s">
        <v>12623</v>
      </c>
      <c r="B9373" s="240" t="s">
        <v>12624</v>
      </c>
      <c r="C9373" s="147"/>
      <c r="D9373" s="122"/>
      <c r="E9373" s="226"/>
      <c r="F9373" s="122"/>
      <c r="G9373" s="68"/>
      <c r="H9373" s="226"/>
      <c r="I9373" s="11"/>
    </row>
    <row r="9374" spans="1:12" ht="11.15" customHeight="1">
      <c r="A9374" s="162" t="s">
        <v>12625</v>
      </c>
      <c r="B9374" s="59" t="s">
        <v>22028</v>
      </c>
      <c r="C9374" s="147" t="s">
        <v>20221</v>
      </c>
      <c r="D9374" s="701" t="s">
        <v>1129</v>
      </c>
      <c r="E9374" s="178">
        <v>2021</v>
      </c>
      <c r="F9374" s="178" t="s">
        <v>4520</v>
      </c>
      <c r="G9374" s="496"/>
      <c r="H9374" s="994" t="s">
        <v>20221</v>
      </c>
      <c r="I9374" s="11" t="s">
        <v>12626</v>
      </c>
      <c r="J9374" s="1285"/>
      <c r="K9374" s="1285"/>
      <c r="L9374" s="1285"/>
    </row>
    <row r="9375" spans="1:12" ht="11.15" customHeight="1">
      <c r="A9375" s="162" t="s">
        <v>12627</v>
      </c>
      <c r="B9375" s="59" t="s">
        <v>22028</v>
      </c>
      <c r="C9375" s="147" t="s">
        <v>20221</v>
      </c>
      <c r="D9375" s="701" t="s">
        <v>1129</v>
      </c>
      <c r="E9375" s="178">
        <v>2020</v>
      </c>
      <c r="F9375" s="178" t="s">
        <v>4520</v>
      </c>
      <c r="G9375" s="496"/>
      <c r="H9375" s="994" t="s">
        <v>20221</v>
      </c>
      <c r="I9375" s="11" t="s">
        <v>12628</v>
      </c>
      <c r="J9375" s="1285"/>
      <c r="K9375" s="1285"/>
      <c r="L9375" s="1285"/>
    </row>
    <row r="9376" spans="1:12" ht="11.15" customHeight="1">
      <c r="A9376" s="162" t="s">
        <v>12629</v>
      </c>
      <c r="B9376" s="59" t="s">
        <v>22028</v>
      </c>
      <c r="C9376" s="147" t="s">
        <v>20221</v>
      </c>
      <c r="D9376" s="701" t="s">
        <v>1129</v>
      </c>
      <c r="E9376" s="178">
        <v>2019</v>
      </c>
      <c r="F9376" s="178" t="s">
        <v>4520</v>
      </c>
      <c r="G9376" s="496"/>
      <c r="H9376" s="994" t="s">
        <v>20221</v>
      </c>
      <c r="I9376" s="11" t="s">
        <v>12630</v>
      </c>
      <c r="J9376" s="1285"/>
      <c r="K9376" s="1285"/>
      <c r="L9376" s="1285"/>
    </row>
    <row r="9377" spans="1:12" ht="11.15" customHeight="1">
      <c r="A9377" s="162" t="s">
        <v>12631</v>
      </c>
      <c r="B9377" s="59" t="s">
        <v>22028</v>
      </c>
      <c r="C9377" s="147" t="s">
        <v>20221</v>
      </c>
      <c r="D9377" s="701" t="s">
        <v>1129</v>
      </c>
      <c r="E9377" s="178">
        <v>2017</v>
      </c>
      <c r="F9377" s="178" t="s">
        <v>4520</v>
      </c>
      <c r="G9377" s="496"/>
      <c r="H9377" s="994" t="s">
        <v>20221</v>
      </c>
      <c r="I9377" s="11" t="s">
        <v>12632</v>
      </c>
      <c r="J9377" s="1285"/>
      <c r="K9377" s="1285"/>
      <c r="L9377" s="1285"/>
    </row>
    <row r="9378" spans="1:12" ht="11.15" customHeight="1">
      <c r="A9378" s="162" t="s">
        <v>12633</v>
      </c>
      <c r="B9378" s="59" t="s">
        <v>22028</v>
      </c>
      <c r="C9378" s="147" t="s">
        <v>20221</v>
      </c>
      <c r="D9378" s="701" t="s">
        <v>1129</v>
      </c>
      <c r="E9378" s="178">
        <v>2016</v>
      </c>
      <c r="F9378" s="178" t="s">
        <v>4520</v>
      </c>
      <c r="G9378" s="496"/>
      <c r="H9378" s="994" t="s">
        <v>20221</v>
      </c>
      <c r="I9378" s="11" t="s">
        <v>12634</v>
      </c>
      <c r="J9378" s="1285"/>
      <c r="K9378" s="1285"/>
      <c r="L9378" s="1285"/>
    </row>
    <row r="9379" spans="1:12" ht="11.15" customHeight="1">
      <c r="A9379" s="162" t="s">
        <v>12635</v>
      </c>
      <c r="B9379" s="59" t="s">
        <v>22028</v>
      </c>
      <c r="C9379" s="147" t="s">
        <v>20221</v>
      </c>
      <c r="D9379" s="701" t="s">
        <v>1129</v>
      </c>
      <c r="E9379" s="178">
        <v>2015</v>
      </c>
      <c r="F9379" s="178" t="s">
        <v>4520</v>
      </c>
      <c r="G9379" s="496"/>
      <c r="H9379" s="994" t="s">
        <v>20221</v>
      </c>
      <c r="I9379" s="11" t="s">
        <v>12636</v>
      </c>
      <c r="J9379" s="1285"/>
      <c r="K9379" s="1285"/>
      <c r="L9379" s="1285"/>
    </row>
    <row r="9380" spans="1:12" ht="11.15" customHeight="1">
      <c r="A9380" s="162" t="s">
        <v>12637</v>
      </c>
      <c r="B9380" s="59" t="s">
        <v>22028</v>
      </c>
      <c r="C9380" s="147" t="s">
        <v>20221</v>
      </c>
      <c r="D9380" s="701" t="s">
        <v>1129</v>
      </c>
      <c r="E9380" s="178">
        <v>2014</v>
      </c>
      <c r="F9380" s="178" t="s">
        <v>4520</v>
      </c>
      <c r="G9380" s="496"/>
      <c r="H9380" s="994" t="s">
        <v>20277</v>
      </c>
      <c r="I9380" s="11" t="s">
        <v>12638</v>
      </c>
      <c r="J9380" s="1285"/>
      <c r="K9380" s="1285"/>
      <c r="L9380" s="1285"/>
    </row>
    <row r="9381" spans="1:12" ht="11.15" customHeight="1">
      <c r="A9381" s="129" t="s">
        <v>1077</v>
      </c>
      <c r="B9381" s="240" t="s">
        <v>12639</v>
      </c>
      <c r="C9381" s="147"/>
      <c r="D9381" s="122"/>
      <c r="E9381" s="226"/>
      <c r="F9381" s="122"/>
      <c r="G9381" s="68"/>
      <c r="H9381" s="226"/>
      <c r="I9381" s="11"/>
    </row>
    <row r="9382" spans="1:12" ht="11.15" customHeight="1">
      <c r="A9382" s="162" t="s">
        <v>12640</v>
      </c>
      <c r="B9382" s="240" t="s">
        <v>12641</v>
      </c>
      <c r="C9382" s="147"/>
      <c r="D9382" s="122"/>
      <c r="E9382" s="226"/>
      <c r="F9382" s="122"/>
      <c r="G9382" s="68"/>
      <c r="H9382" s="226"/>
      <c r="I9382" s="11"/>
    </row>
    <row r="9383" spans="1:12" ht="11.15" customHeight="1">
      <c r="A9383" s="162" t="s">
        <v>12642</v>
      </c>
      <c r="B9383" s="240" t="s">
        <v>12643</v>
      </c>
      <c r="C9383" s="147"/>
      <c r="D9383" s="122"/>
      <c r="E9383" s="226"/>
      <c r="F9383" s="122"/>
      <c r="G9383" s="68"/>
      <c r="H9383" s="226"/>
      <c r="I9383" s="11"/>
    </row>
    <row r="9384" spans="1:12" ht="11.15" customHeight="1">
      <c r="A9384" s="162" t="s">
        <v>12644</v>
      </c>
      <c r="B9384" s="59" t="s">
        <v>22029</v>
      </c>
      <c r="C9384" s="147" t="s">
        <v>20221</v>
      </c>
      <c r="D9384" s="701" t="s">
        <v>1129</v>
      </c>
      <c r="E9384" s="178">
        <v>2020</v>
      </c>
      <c r="F9384" s="178" t="s">
        <v>4520</v>
      </c>
      <c r="G9384" s="496"/>
      <c r="H9384" s="994" t="s">
        <v>20221</v>
      </c>
      <c r="I9384" s="11" t="s">
        <v>12645</v>
      </c>
      <c r="J9384" s="1285"/>
      <c r="K9384" s="1285"/>
      <c r="L9384" s="1285"/>
    </row>
    <row r="9385" spans="1:12" ht="11.15" customHeight="1">
      <c r="A9385" s="162" t="s">
        <v>12646</v>
      </c>
      <c r="B9385" s="59" t="s">
        <v>22029</v>
      </c>
      <c r="C9385" s="147" t="s">
        <v>20221</v>
      </c>
      <c r="D9385" s="701" t="s">
        <v>1129</v>
      </c>
      <c r="E9385" s="178">
        <v>2019</v>
      </c>
      <c r="F9385" s="178" t="s">
        <v>4520</v>
      </c>
      <c r="G9385" s="496"/>
      <c r="H9385" s="994" t="s">
        <v>20221</v>
      </c>
      <c r="I9385" s="11" t="s">
        <v>12647</v>
      </c>
      <c r="J9385" s="1285"/>
      <c r="K9385" s="1285"/>
      <c r="L9385" s="1285"/>
    </row>
    <row r="9386" spans="1:12" ht="11.15" customHeight="1">
      <c r="A9386" s="361" t="s">
        <v>12648</v>
      </c>
      <c r="B9386" s="59" t="s">
        <v>22029</v>
      </c>
      <c r="C9386" s="147" t="s">
        <v>20221</v>
      </c>
      <c r="D9386" s="701" t="s">
        <v>1129</v>
      </c>
      <c r="E9386" s="178">
        <v>2018</v>
      </c>
      <c r="F9386" s="178" t="s">
        <v>4520</v>
      </c>
      <c r="G9386" s="496"/>
      <c r="H9386" s="994" t="s">
        <v>20221</v>
      </c>
      <c r="I9386" s="11" t="s">
        <v>12649</v>
      </c>
      <c r="J9386" s="1285"/>
      <c r="K9386" s="1285"/>
      <c r="L9386" s="1285"/>
    </row>
    <row r="9387" spans="1:12" ht="11.15" customHeight="1">
      <c r="A9387" s="162" t="s">
        <v>12650</v>
      </c>
      <c r="B9387" s="59" t="s">
        <v>22029</v>
      </c>
      <c r="C9387" s="147" t="s">
        <v>20221</v>
      </c>
      <c r="D9387" s="701" t="s">
        <v>1129</v>
      </c>
      <c r="E9387" s="178">
        <v>2017</v>
      </c>
      <c r="F9387" s="178" t="s">
        <v>4520</v>
      </c>
      <c r="G9387" s="496"/>
      <c r="H9387" s="994" t="s">
        <v>20221</v>
      </c>
      <c r="I9387" s="11" t="s">
        <v>12651</v>
      </c>
      <c r="J9387" s="1285"/>
      <c r="K9387" s="1285"/>
      <c r="L9387" s="1285"/>
    </row>
    <row r="9388" spans="1:12" ht="11.15" customHeight="1">
      <c r="A9388" s="162" t="s">
        <v>12652</v>
      </c>
      <c r="B9388" s="59" t="s">
        <v>22029</v>
      </c>
      <c r="C9388" s="147" t="s">
        <v>20221</v>
      </c>
      <c r="D9388" s="701" t="s">
        <v>1129</v>
      </c>
      <c r="E9388" s="178">
        <v>2016</v>
      </c>
      <c r="F9388" s="178" t="s">
        <v>4520</v>
      </c>
      <c r="G9388" s="496"/>
      <c r="H9388" s="994" t="s">
        <v>20221</v>
      </c>
      <c r="I9388" s="11" t="s">
        <v>12653</v>
      </c>
      <c r="J9388" s="1285"/>
      <c r="K9388" s="1285"/>
      <c r="L9388" s="1285"/>
    </row>
    <row r="9389" spans="1:12" ht="11.15" customHeight="1">
      <c r="A9389" s="162" t="s">
        <v>12654</v>
      </c>
      <c r="B9389" s="59" t="s">
        <v>22029</v>
      </c>
      <c r="C9389" s="147" t="s">
        <v>20221</v>
      </c>
      <c r="D9389" s="701" t="s">
        <v>1129</v>
      </c>
      <c r="E9389" s="178">
        <v>2015</v>
      </c>
      <c r="F9389" s="178" t="s">
        <v>4520</v>
      </c>
      <c r="G9389" s="496"/>
      <c r="H9389" s="994" t="s">
        <v>20224</v>
      </c>
      <c r="I9389" s="11" t="s">
        <v>12655</v>
      </c>
      <c r="J9389" s="1285"/>
      <c r="K9389" s="1285"/>
      <c r="L9389" s="1285"/>
    </row>
    <row r="9390" spans="1:12" ht="11.15" customHeight="1">
      <c r="A9390" s="162" t="s">
        <v>12656</v>
      </c>
      <c r="B9390" s="59" t="s">
        <v>22029</v>
      </c>
      <c r="C9390" s="147" t="s">
        <v>20221</v>
      </c>
      <c r="D9390" s="701" t="s">
        <v>1129</v>
      </c>
      <c r="E9390" s="178">
        <v>2014</v>
      </c>
      <c r="F9390" s="178" t="s">
        <v>4520</v>
      </c>
      <c r="G9390" s="496"/>
      <c r="H9390" s="994" t="s">
        <v>20221</v>
      </c>
      <c r="I9390" s="11" t="s">
        <v>12657</v>
      </c>
      <c r="J9390" s="1285"/>
      <c r="K9390" s="1285"/>
      <c r="L9390" s="1285"/>
    </row>
    <row r="9391" spans="1:12" ht="11.15" customHeight="1">
      <c r="A9391" s="162" t="s">
        <v>12658</v>
      </c>
      <c r="B9391" s="240" t="s">
        <v>12659</v>
      </c>
      <c r="C9391" s="147"/>
      <c r="D9391" s="122"/>
      <c r="E9391" s="226"/>
      <c r="F9391" s="122"/>
      <c r="G9391" s="68"/>
      <c r="H9391" s="226"/>
      <c r="I9391" s="11"/>
    </row>
    <row r="9392" spans="1:12" ht="11.15" customHeight="1">
      <c r="A9392" s="162" t="s">
        <v>12660</v>
      </c>
      <c r="B9392" s="240" t="s">
        <v>12661</v>
      </c>
      <c r="C9392" s="147"/>
      <c r="D9392" s="122"/>
      <c r="E9392" s="226"/>
      <c r="F9392" s="122"/>
      <c r="G9392" s="68"/>
      <c r="H9392" s="226"/>
      <c r="I9392" s="11"/>
    </row>
    <row r="9393" spans="1:12" ht="11.15" customHeight="1">
      <c r="A9393" s="162" t="s">
        <v>12662</v>
      </c>
      <c r="B9393" s="240" t="s">
        <v>12663</v>
      </c>
      <c r="C9393" s="147"/>
      <c r="D9393" s="122"/>
      <c r="E9393" s="226"/>
      <c r="F9393" s="122"/>
      <c r="G9393" s="68"/>
      <c r="H9393" s="226"/>
      <c r="I9393" s="11"/>
    </row>
    <row r="9394" spans="1:12" ht="11.15" customHeight="1">
      <c r="A9394" s="162" t="s">
        <v>12664</v>
      </c>
      <c r="B9394" s="59" t="s">
        <v>22030</v>
      </c>
      <c r="C9394" s="147" t="s">
        <v>20221</v>
      </c>
      <c r="D9394" s="701" t="s">
        <v>1129</v>
      </c>
      <c r="E9394" s="178">
        <v>2019</v>
      </c>
      <c r="F9394" s="178" t="s">
        <v>4520</v>
      </c>
      <c r="G9394" s="496"/>
      <c r="H9394" s="994" t="s">
        <v>20224</v>
      </c>
      <c r="I9394" s="11" t="s">
        <v>12665</v>
      </c>
      <c r="J9394" s="1285"/>
      <c r="K9394" s="1285"/>
      <c r="L9394" s="1285"/>
    </row>
    <row r="9395" spans="1:12" ht="11.15" customHeight="1">
      <c r="A9395" s="162" t="s">
        <v>12666</v>
      </c>
      <c r="B9395" s="59" t="s">
        <v>22030</v>
      </c>
      <c r="C9395" s="147" t="s">
        <v>20221</v>
      </c>
      <c r="D9395" s="701" t="s">
        <v>1129</v>
      </c>
      <c r="E9395" s="178">
        <v>2016</v>
      </c>
      <c r="F9395" s="178" t="s">
        <v>4520</v>
      </c>
      <c r="G9395" s="496"/>
      <c r="H9395" s="994" t="s">
        <v>20224</v>
      </c>
      <c r="I9395" s="11" t="s">
        <v>12667</v>
      </c>
      <c r="J9395" s="1285"/>
      <c r="K9395" s="1285"/>
      <c r="L9395" s="1285"/>
    </row>
    <row r="9396" spans="1:12" ht="11.15" customHeight="1">
      <c r="A9396" s="162" t="s">
        <v>12668</v>
      </c>
      <c r="B9396" s="154" t="s">
        <v>12669</v>
      </c>
      <c r="C9396" s="147"/>
      <c r="D9396" s="159"/>
      <c r="E9396" s="36"/>
      <c r="F9396" s="178"/>
      <c r="G9396" s="496"/>
      <c r="H9396" s="36"/>
      <c r="I9396" s="11"/>
    </row>
    <row r="9397" spans="1:12" ht="11.15" customHeight="1">
      <c r="A9397" s="162" t="s">
        <v>12670</v>
      </c>
      <c r="B9397" s="154" t="s">
        <v>12671</v>
      </c>
      <c r="C9397" s="147"/>
      <c r="D9397" s="159"/>
      <c r="E9397" s="36"/>
      <c r="F9397" s="178"/>
      <c r="G9397" s="496"/>
      <c r="H9397" s="36"/>
      <c r="I9397" s="11"/>
    </row>
    <row r="9398" spans="1:12" ht="11.15" customHeight="1">
      <c r="A9398" s="162" t="s">
        <v>12672</v>
      </c>
      <c r="B9398" s="154" t="s">
        <v>12673</v>
      </c>
      <c r="C9398" s="147"/>
      <c r="D9398" s="159"/>
      <c r="E9398" s="36"/>
      <c r="F9398" s="178"/>
      <c r="G9398" s="496"/>
      <c r="H9398" s="36"/>
      <c r="I9398" s="11"/>
    </row>
    <row r="9399" spans="1:12" ht="11.15" customHeight="1">
      <c r="A9399" s="162" t="s">
        <v>12674</v>
      </c>
      <c r="B9399" s="59" t="s">
        <v>22031</v>
      </c>
      <c r="C9399" s="147" t="s">
        <v>20221</v>
      </c>
      <c r="D9399" s="701" t="s">
        <v>1129</v>
      </c>
      <c r="E9399" s="178">
        <v>2022</v>
      </c>
      <c r="F9399" s="178" t="s">
        <v>11931</v>
      </c>
      <c r="G9399" s="496"/>
      <c r="H9399" s="994" t="s">
        <v>20224</v>
      </c>
      <c r="I9399" s="11" t="s">
        <v>12675</v>
      </c>
      <c r="J9399" s="1285"/>
      <c r="K9399" s="1285"/>
      <c r="L9399" s="1285"/>
    </row>
    <row r="9400" spans="1:12" ht="11.15" customHeight="1">
      <c r="A9400" s="162" t="s">
        <v>12676</v>
      </c>
      <c r="B9400" s="59" t="s">
        <v>22031</v>
      </c>
      <c r="C9400" s="147" t="s">
        <v>20221</v>
      </c>
      <c r="D9400" s="701" t="s">
        <v>1129</v>
      </c>
      <c r="E9400" s="178">
        <v>2021</v>
      </c>
      <c r="F9400" s="178" t="s">
        <v>11931</v>
      </c>
      <c r="G9400" s="496"/>
      <c r="H9400" s="994" t="s">
        <v>20221</v>
      </c>
      <c r="I9400" s="11" t="s">
        <v>12677</v>
      </c>
      <c r="J9400" s="1285"/>
      <c r="K9400" s="1285"/>
      <c r="L9400" s="1285"/>
    </row>
    <row r="9401" spans="1:12" ht="11.15" customHeight="1">
      <c r="A9401" s="129" t="s">
        <v>12678</v>
      </c>
      <c r="B9401" s="59" t="s">
        <v>22031</v>
      </c>
      <c r="C9401" s="147" t="s">
        <v>20221</v>
      </c>
      <c r="D9401" s="701" t="s">
        <v>1129</v>
      </c>
      <c r="E9401" s="178">
        <v>2020</v>
      </c>
      <c r="F9401" s="178" t="s">
        <v>11931</v>
      </c>
      <c r="G9401" s="496"/>
      <c r="H9401" s="994" t="s">
        <v>20221</v>
      </c>
      <c r="I9401" s="11" t="s">
        <v>12679</v>
      </c>
      <c r="J9401" s="1285"/>
      <c r="K9401" s="1285"/>
      <c r="L9401" s="1285"/>
    </row>
    <row r="9402" spans="1:12" ht="11.15" customHeight="1">
      <c r="A9402" s="29" t="s">
        <v>12543</v>
      </c>
      <c r="B9402" s="59" t="s">
        <v>22031</v>
      </c>
      <c r="C9402" s="147" t="s">
        <v>20221</v>
      </c>
      <c r="D9402" s="701" t="s">
        <v>1129</v>
      </c>
      <c r="E9402" s="178">
        <v>2019</v>
      </c>
      <c r="F9402" s="178" t="s">
        <v>11931</v>
      </c>
      <c r="G9402" s="496"/>
      <c r="H9402" s="994" t="s">
        <v>20221</v>
      </c>
      <c r="I9402" s="11" t="s">
        <v>12680</v>
      </c>
      <c r="J9402" s="1285"/>
      <c r="K9402" s="1285"/>
      <c r="L9402" s="1285"/>
    </row>
    <row r="9403" spans="1:12" ht="11.15" customHeight="1">
      <c r="A9403" s="169" t="s">
        <v>12681</v>
      </c>
      <c r="B9403" s="59" t="s">
        <v>22031</v>
      </c>
      <c r="C9403" s="147" t="s">
        <v>20221</v>
      </c>
      <c r="D9403" s="701" t="s">
        <v>1129</v>
      </c>
      <c r="E9403" s="178">
        <v>2018</v>
      </c>
      <c r="F9403" s="178" t="s">
        <v>11931</v>
      </c>
      <c r="G9403" s="496"/>
      <c r="H9403" s="994" t="s">
        <v>20221</v>
      </c>
      <c r="I9403" s="11" t="s">
        <v>12682</v>
      </c>
      <c r="J9403" s="1285"/>
      <c r="K9403" s="1285"/>
      <c r="L9403" s="1285"/>
    </row>
    <row r="9404" spans="1:12" ht="11.15" customHeight="1">
      <c r="A9404" s="166" t="s">
        <v>12683</v>
      </c>
      <c r="B9404" s="59" t="s">
        <v>22031</v>
      </c>
      <c r="C9404" s="147" t="s">
        <v>20221</v>
      </c>
      <c r="D9404" s="701" t="s">
        <v>1129</v>
      </c>
      <c r="E9404" s="178">
        <v>2016</v>
      </c>
      <c r="F9404" s="178" t="s">
        <v>11931</v>
      </c>
      <c r="G9404" s="496"/>
      <c r="H9404" s="994" t="s">
        <v>20221</v>
      </c>
      <c r="I9404" s="11" t="s">
        <v>12684</v>
      </c>
      <c r="J9404" s="1285"/>
      <c r="K9404" s="1285"/>
      <c r="L9404" s="1285"/>
    </row>
    <row r="9405" spans="1:12" ht="11.15" customHeight="1">
      <c r="A9405" s="169" t="s">
        <v>11041</v>
      </c>
      <c r="B9405" s="59" t="s">
        <v>22031</v>
      </c>
      <c r="C9405" s="147" t="s">
        <v>20221</v>
      </c>
      <c r="D9405" s="701" t="s">
        <v>1129</v>
      </c>
      <c r="E9405" s="178">
        <v>2015</v>
      </c>
      <c r="F9405" s="178" t="s">
        <v>11931</v>
      </c>
      <c r="G9405" s="496"/>
      <c r="H9405" s="994" t="s">
        <v>20221</v>
      </c>
      <c r="I9405" s="11" t="s">
        <v>12685</v>
      </c>
      <c r="J9405" s="1285"/>
      <c r="K9405" s="1285"/>
      <c r="L9405" s="1285"/>
    </row>
    <row r="9406" spans="1:12" ht="11.15" customHeight="1">
      <c r="A9406" s="169" t="s">
        <v>12686</v>
      </c>
      <c r="B9406" s="59" t="s">
        <v>22031</v>
      </c>
      <c r="C9406" s="147" t="s">
        <v>20221</v>
      </c>
      <c r="D9406" s="701" t="s">
        <v>1129</v>
      </c>
      <c r="E9406" s="178">
        <v>2013</v>
      </c>
      <c r="F9406" s="178" t="s">
        <v>11931</v>
      </c>
      <c r="G9406" s="496"/>
      <c r="H9406" s="994" t="s">
        <v>20221</v>
      </c>
      <c r="I9406" s="11" t="s">
        <v>12687</v>
      </c>
      <c r="J9406" s="1285"/>
      <c r="K9406" s="1285"/>
      <c r="L9406" s="1285"/>
    </row>
    <row r="9407" spans="1:12" ht="11.15" customHeight="1">
      <c r="A9407" s="129" t="s">
        <v>12688</v>
      </c>
      <c r="B9407" s="59" t="s">
        <v>22031</v>
      </c>
      <c r="C9407" s="147" t="s">
        <v>20221</v>
      </c>
      <c r="D9407" s="701" t="s">
        <v>1129</v>
      </c>
      <c r="E9407" s="178">
        <v>2012</v>
      </c>
      <c r="F9407" s="178" t="s">
        <v>11931</v>
      </c>
      <c r="G9407" s="496"/>
      <c r="H9407" s="994" t="s">
        <v>20224</v>
      </c>
      <c r="I9407" s="11" t="s">
        <v>12689</v>
      </c>
      <c r="J9407" s="1285"/>
      <c r="K9407" s="1285"/>
      <c r="L9407" s="1285"/>
    </row>
    <row r="9408" spans="1:12" ht="11.15" customHeight="1">
      <c r="A9408" s="29"/>
      <c r="B9408" s="59" t="s">
        <v>22031</v>
      </c>
      <c r="C9408" s="147" t="s">
        <v>20221</v>
      </c>
      <c r="D9408" s="701" t="s">
        <v>1129</v>
      </c>
      <c r="E9408" s="178">
        <v>2011</v>
      </c>
      <c r="F9408" s="178" t="s">
        <v>11931</v>
      </c>
      <c r="G9408" s="496"/>
      <c r="H9408" s="994" t="s">
        <v>20224</v>
      </c>
      <c r="I9408" s="11" t="s">
        <v>12690</v>
      </c>
      <c r="J9408" s="1285"/>
      <c r="K9408" s="1285"/>
      <c r="L9408" s="1285"/>
    </row>
    <row r="9409" spans="1:12" ht="11.15" customHeight="1">
      <c r="A9409" s="185"/>
      <c r="B9409" s="154" t="s">
        <v>12691</v>
      </c>
      <c r="C9409" s="147"/>
      <c r="D9409" s="122"/>
      <c r="E9409" s="36"/>
      <c r="F9409" s="183"/>
      <c r="G9409" s="60"/>
      <c r="H9409" s="34"/>
      <c r="I9409" s="11"/>
    </row>
    <row r="9410" spans="1:12" ht="11.15" customHeight="1">
      <c r="A9410" s="185"/>
      <c r="B9410" s="154" t="s">
        <v>12692</v>
      </c>
      <c r="C9410" s="147"/>
      <c r="D9410" s="122"/>
      <c r="E9410" s="36"/>
      <c r="F9410" s="183"/>
      <c r="G9410" s="60"/>
      <c r="H9410" s="34"/>
      <c r="I9410" s="11"/>
    </row>
    <row r="9411" spans="1:12" ht="11.15" customHeight="1">
      <c r="A9411" s="185"/>
      <c r="B9411" s="59" t="s">
        <v>22032</v>
      </c>
      <c r="C9411" s="147" t="s">
        <v>20221</v>
      </c>
      <c r="D9411" s="284" t="s">
        <v>897</v>
      </c>
      <c r="E9411" s="178">
        <v>2022</v>
      </c>
      <c r="F9411" s="178" t="s">
        <v>4520</v>
      </c>
      <c r="G9411" s="496"/>
      <c r="H9411" s="994" t="s">
        <v>20221</v>
      </c>
      <c r="I9411" s="11" t="s">
        <v>12693</v>
      </c>
      <c r="J9411" s="1285"/>
      <c r="K9411" s="1285"/>
      <c r="L9411" s="1285"/>
    </row>
    <row r="9412" spans="1:12" ht="11.15" customHeight="1">
      <c r="A9412" s="185"/>
      <c r="B9412" s="59" t="s">
        <v>22032</v>
      </c>
      <c r="C9412" s="147" t="s">
        <v>20221</v>
      </c>
      <c r="D9412" s="284" t="s">
        <v>897</v>
      </c>
      <c r="E9412" s="178">
        <v>2021</v>
      </c>
      <c r="F9412" s="178" t="s">
        <v>4520</v>
      </c>
      <c r="G9412" s="496"/>
      <c r="H9412" s="994" t="s">
        <v>20221</v>
      </c>
      <c r="I9412" s="11" t="s">
        <v>12694</v>
      </c>
      <c r="J9412" s="1285"/>
      <c r="K9412" s="1285"/>
      <c r="L9412" s="1285"/>
    </row>
    <row r="9413" spans="1:12" ht="11.15" customHeight="1">
      <c r="A9413" s="185"/>
      <c r="B9413" s="59" t="s">
        <v>22032</v>
      </c>
      <c r="C9413" s="147" t="s">
        <v>20221</v>
      </c>
      <c r="D9413" s="284" t="s">
        <v>897</v>
      </c>
      <c r="E9413" s="178">
        <v>2020</v>
      </c>
      <c r="F9413" s="178" t="s">
        <v>4520</v>
      </c>
      <c r="G9413" s="496"/>
      <c r="H9413" s="994" t="s">
        <v>20277</v>
      </c>
      <c r="I9413" s="11" t="s">
        <v>12695</v>
      </c>
      <c r="J9413" s="1285"/>
      <c r="K9413" s="1285"/>
      <c r="L9413" s="1285"/>
    </row>
    <row r="9414" spans="1:12" ht="11.15" customHeight="1">
      <c r="A9414" s="185"/>
      <c r="B9414" s="240" t="s">
        <v>12696</v>
      </c>
      <c r="C9414" s="147"/>
      <c r="D9414" s="122"/>
      <c r="E9414" s="226"/>
      <c r="F9414" s="122"/>
      <c r="G9414" s="68"/>
      <c r="H9414" s="226"/>
      <c r="I9414" s="11"/>
    </row>
    <row r="9415" spans="1:12" ht="11.15" customHeight="1">
      <c r="A9415" s="185"/>
      <c r="B9415" s="240" t="s">
        <v>12697</v>
      </c>
      <c r="C9415" s="147"/>
      <c r="D9415" s="122"/>
      <c r="E9415" s="226"/>
      <c r="F9415" s="122"/>
      <c r="G9415" s="68"/>
      <c r="H9415" s="226"/>
      <c r="I9415" s="11"/>
    </row>
    <row r="9416" spans="1:12" ht="11.15" customHeight="1">
      <c r="A9416" s="185"/>
      <c r="B9416" s="240" t="s">
        <v>12698</v>
      </c>
      <c r="C9416" s="147"/>
      <c r="D9416" s="122"/>
      <c r="E9416" s="226"/>
      <c r="F9416" s="122"/>
      <c r="G9416" s="68"/>
      <c r="H9416" s="226"/>
      <c r="I9416" s="11"/>
    </row>
    <row r="9417" spans="1:12" ht="11.15" customHeight="1">
      <c r="A9417" s="185"/>
      <c r="B9417" s="240" t="s">
        <v>12699</v>
      </c>
      <c r="C9417" s="147"/>
      <c r="D9417" s="122"/>
      <c r="E9417" s="226"/>
      <c r="F9417" s="122"/>
      <c r="G9417" s="68"/>
      <c r="H9417" s="226"/>
      <c r="I9417" s="11"/>
    </row>
    <row r="9418" spans="1:12" ht="11.15" customHeight="1">
      <c r="A9418" s="185"/>
      <c r="B9418" s="59" t="s">
        <v>22033</v>
      </c>
      <c r="C9418" s="147" t="s">
        <v>20221</v>
      </c>
      <c r="D9418" s="284" t="s">
        <v>897</v>
      </c>
      <c r="E9418" s="178">
        <v>2021</v>
      </c>
      <c r="F9418" s="178" t="s">
        <v>4520</v>
      </c>
      <c r="G9418" s="496"/>
      <c r="H9418" s="994" t="s">
        <v>20221</v>
      </c>
      <c r="I9418" s="11" t="s">
        <v>12700</v>
      </c>
      <c r="J9418" s="1285"/>
      <c r="K9418" s="1285"/>
      <c r="L9418" s="1285"/>
    </row>
    <row r="9419" spans="1:12" ht="11.15" customHeight="1">
      <c r="A9419" s="185"/>
      <c r="B9419" s="59" t="s">
        <v>22033</v>
      </c>
      <c r="C9419" s="147" t="s">
        <v>20221</v>
      </c>
      <c r="D9419" s="284" t="s">
        <v>897</v>
      </c>
      <c r="E9419" s="178">
        <v>2019</v>
      </c>
      <c r="F9419" s="178" t="s">
        <v>4520</v>
      </c>
      <c r="G9419" s="496"/>
      <c r="H9419" s="994" t="s">
        <v>20221</v>
      </c>
      <c r="I9419" s="11" t="s">
        <v>12701</v>
      </c>
      <c r="J9419" s="1285"/>
      <c r="K9419" s="1285"/>
      <c r="L9419" s="1285"/>
    </row>
    <row r="9420" spans="1:12" ht="11.15" customHeight="1">
      <c r="A9420" s="185"/>
      <c r="B9420" s="59" t="s">
        <v>22033</v>
      </c>
      <c r="C9420" s="147" t="s">
        <v>20221</v>
      </c>
      <c r="D9420" s="284" t="s">
        <v>897</v>
      </c>
      <c r="E9420" s="178">
        <v>2018</v>
      </c>
      <c r="F9420" s="178" t="s">
        <v>4520</v>
      </c>
      <c r="G9420" s="496"/>
      <c r="H9420" s="994" t="s">
        <v>20221</v>
      </c>
      <c r="I9420" s="11" t="s">
        <v>12702</v>
      </c>
      <c r="J9420" s="1285"/>
      <c r="K9420" s="1285"/>
      <c r="L9420" s="1285"/>
    </row>
    <row r="9421" spans="1:12" ht="11.15" customHeight="1">
      <c r="A9421" s="424"/>
      <c r="B9421" s="59" t="s">
        <v>22033</v>
      </c>
      <c r="C9421" s="147" t="s">
        <v>20221</v>
      </c>
      <c r="D9421" s="284" t="s">
        <v>897</v>
      </c>
      <c r="E9421" s="178">
        <v>2017</v>
      </c>
      <c r="F9421" s="178" t="s">
        <v>4520</v>
      </c>
      <c r="G9421" s="496"/>
      <c r="H9421" s="994" t="s">
        <v>20221</v>
      </c>
      <c r="I9421" s="11" t="s">
        <v>12703</v>
      </c>
      <c r="J9421" s="1285"/>
      <c r="K9421" s="1285"/>
      <c r="L9421" s="1285"/>
    </row>
    <row r="9422" spans="1:12" ht="11.15" customHeight="1">
      <c r="A9422" s="424"/>
      <c r="B9422" s="59" t="s">
        <v>22033</v>
      </c>
      <c r="C9422" s="147" t="s">
        <v>20221</v>
      </c>
      <c r="D9422" s="284" t="s">
        <v>897</v>
      </c>
      <c r="E9422" s="178">
        <v>2016</v>
      </c>
      <c r="F9422" s="178" t="s">
        <v>4520</v>
      </c>
      <c r="G9422" s="496"/>
      <c r="H9422" s="994" t="s">
        <v>20221</v>
      </c>
      <c r="I9422" s="11" t="s">
        <v>12704</v>
      </c>
      <c r="J9422" s="1285"/>
      <c r="K9422" s="1285"/>
      <c r="L9422" s="1285"/>
    </row>
    <row r="9423" spans="1:12" ht="11.15" customHeight="1">
      <c r="A9423" s="424"/>
      <c r="B9423" s="59" t="s">
        <v>22033</v>
      </c>
      <c r="C9423" s="147" t="s">
        <v>20221</v>
      </c>
      <c r="D9423" s="284" t="s">
        <v>897</v>
      </c>
      <c r="E9423" s="178">
        <v>2015</v>
      </c>
      <c r="F9423" s="178" t="s">
        <v>4520</v>
      </c>
      <c r="G9423" s="496"/>
      <c r="H9423" s="994" t="s">
        <v>20221</v>
      </c>
      <c r="I9423" s="11" t="s">
        <v>12705</v>
      </c>
      <c r="J9423" s="1285"/>
      <c r="K9423" s="1285"/>
      <c r="L9423" s="1285"/>
    </row>
    <row r="9424" spans="1:12" ht="11.15" customHeight="1">
      <c r="A9424" s="424"/>
      <c r="B9424" s="59" t="s">
        <v>22033</v>
      </c>
      <c r="C9424" s="147" t="s">
        <v>20221</v>
      </c>
      <c r="D9424" s="284" t="s">
        <v>897</v>
      </c>
      <c r="E9424" s="178">
        <v>2013</v>
      </c>
      <c r="F9424" s="178" t="s">
        <v>4520</v>
      </c>
      <c r="G9424" s="496"/>
      <c r="H9424" s="994" t="s">
        <v>20221</v>
      </c>
      <c r="I9424" s="11" t="s">
        <v>12706</v>
      </c>
      <c r="J9424" s="1285"/>
      <c r="K9424" s="1285"/>
      <c r="L9424" s="1285"/>
    </row>
    <row r="9425" spans="1:12" ht="11.15" customHeight="1">
      <c r="A9425" s="424"/>
      <c r="B9425" s="59" t="s">
        <v>22033</v>
      </c>
      <c r="C9425" s="147" t="s">
        <v>20221</v>
      </c>
      <c r="D9425" s="284" t="s">
        <v>897</v>
      </c>
      <c r="E9425" s="178">
        <v>2012</v>
      </c>
      <c r="F9425" s="178" t="s">
        <v>4520</v>
      </c>
      <c r="G9425" s="496"/>
      <c r="H9425" s="994" t="s">
        <v>20221</v>
      </c>
      <c r="I9425" s="11" t="s">
        <v>12707</v>
      </c>
      <c r="J9425" s="1285"/>
      <c r="K9425" s="1285"/>
      <c r="L9425" s="1285"/>
    </row>
    <row r="9426" spans="1:12" ht="11.15" customHeight="1">
      <c r="A9426" s="185"/>
      <c r="B9426" s="59" t="s">
        <v>22033</v>
      </c>
      <c r="C9426" s="147" t="s">
        <v>20221</v>
      </c>
      <c r="D9426" s="284" t="s">
        <v>897</v>
      </c>
      <c r="E9426" s="178">
        <v>2011</v>
      </c>
      <c r="F9426" s="178" t="s">
        <v>4520</v>
      </c>
      <c r="G9426" s="496"/>
      <c r="H9426" s="994" t="s">
        <v>20221</v>
      </c>
      <c r="I9426" s="11" t="s">
        <v>12708</v>
      </c>
      <c r="J9426" s="1285"/>
      <c r="K9426" s="1285"/>
      <c r="L9426" s="1285"/>
    </row>
    <row r="9427" spans="1:12" ht="11.15" customHeight="1">
      <c r="A9427" s="185"/>
      <c r="B9427" s="59" t="s">
        <v>22033</v>
      </c>
      <c r="C9427" s="147" t="s">
        <v>20221</v>
      </c>
      <c r="D9427" s="284" t="s">
        <v>897</v>
      </c>
      <c r="E9427" s="178">
        <v>2010</v>
      </c>
      <c r="F9427" s="178" t="s">
        <v>4520</v>
      </c>
      <c r="G9427" s="496"/>
      <c r="H9427" s="994" t="s">
        <v>20221</v>
      </c>
      <c r="I9427" s="11" t="s">
        <v>12709</v>
      </c>
      <c r="J9427" s="1285"/>
      <c r="K9427" s="1285"/>
      <c r="L9427" s="1285"/>
    </row>
    <row r="9428" spans="1:12" ht="11.15" customHeight="1">
      <c r="A9428" s="185"/>
      <c r="B9428" s="59" t="s">
        <v>22033</v>
      </c>
      <c r="C9428" s="147" t="s">
        <v>20221</v>
      </c>
      <c r="D9428" s="284" t="s">
        <v>897</v>
      </c>
      <c r="E9428" s="178">
        <v>2009</v>
      </c>
      <c r="F9428" s="178" t="s">
        <v>4520</v>
      </c>
      <c r="G9428" s="496"/>
      <c r="H9428" s="994" t="s">
        <v>20277</v>
      </c>
      <c r="I9428" s="11" t="s">
        <v>12710</v>
      </c>
      <c r="J9428" s="1285"/>
      <c r="K9428" s="1285"/>
      <c r="L9428" s="1285"/>
    </row>
    <row r="9429" spans="1:12" ht="11.15" customHeight="1">
      <c r="A9429" s="185"/>
      <c r="B9429" s="240" t="s">
        <v>12711</v>
      </c>
      <c r="C9429" s="147"/>
      <c r="D9429" s="122"/>
      <c r="E9429" s="226"/>
      <c r="F9429" s="122"/>
      <c r="G9429" s="68"/>
      <c r="H9429" s="226"/>
      <c r="I9429" s="11"/>
    </row>
    <row r="9430" spans="1:12" ht="11.15" customHeight="1">
      <c r="A9430" s="185"/>
      <c r="B9430" s="240" t="s">
        <v>12712</v>
      </c>
      <c r="C9430" s="147"/>
      <c r="D9430" s="122"/>
      <c r="E9430" s="226"/>
      <c r="F9430" s="122"/>
      <c r="G9430" s="68"/>
      <c r="H9430" s="226"/>
      <c r="I9430" s="11"/>
    </row>
    <row r="9431" spans="1:12" ht="11.15" customHeight="1">
      <c r="A9431" s="185"/>
      <c r="B9431" s="59" t="s">
        <v>22034</v>
      </c>
      <c r="C9431" s="147" t="s">
        <v>20221</v>
      </c>
      <c r="D9431" s="284" t="s">
        <v>897</v>
      </c>
      <c r="E9431" s="178">
        <v>2020</v>
      </c>
      <c r="F9431" s="178" t="s">
        <v>4520</v>
      </c>
      <c r="G9431" s="496"/>
      <c r="H9431" s="994" t="s">
        <v>20221</v>
      </c>
      <c r="I9431" s="11" t="s">
        <v>12713</v>
      </c>
      <c r="J9431" s="1285"/>
      <c r="K9431" s="1285"/>
      <c r="L9431" s="1285"/>
    </row>
    <row r="9432" spans="1:12" ht="11.15" customHeight="1">
      <c r="A9432" s="185"/>
      <c r="B9432" s="59" t="s">
        <v>22034</v>
      </c>
      <c r="C9432" s="147" t="s">
        <v>20221</v>
      </c>
      <c r="D9432" s="284" t="s">
        <v>897</v>
      </c>
      <c r="E9432" s="178">
        <v>2019</v>
      </c>
      <c r="F9432" s="178" t="s">
        <v>4520</v>
      </c>
      <c r="G9432" s="496"/>
      <c r="H9432" s="994" t="s">
        <v>20221</v>
      </c>
      <c r="I9432" s="11" t="s">
        <v>12714</v>
      </c>
      <c r="J9432" s="1285"/>
      <c r="K9432" s="1285"/>
      <c r="L9432" s="1285"/>
    </row>
    <row r="9433" spans="1:12" ht="11.15" customHeight="1">
      <c r="A9433" s="185"/>
      <c r="B9433" s="59" t="s">
        <v>22034</v>
      </c>
      <c r="C9433" s="147" t="s">
        <v>20221</v>
      </c>
      <c r="D9433" s="284" t="s">
        <v>897</v>
      </c>
      <c r="E9433" s="178">
        <v>2018</v>
      </c>
      <c r="F9433" s="178" t="s">
        <v>4520</v>
      </c>
      <c r="G9433" s="496"/>
      <c r="H9433" s="994" t="s">
        <v>20221</v>
      </c>
      <c r="I9433" s="11" t="s">
        <v>12715</v>
      </c>
      <c r="J9433" s="1285"/>
      <c r="K9433" s="1285"/>
      <c r="L9433" s="1285"/>
    </row>
    <row r="9434" spans="1:12" ht="11.15" customHeight="1">
      <c r="A9434" s="185"/>
      <c r="B9434" s="59" t="s">
        <v>22034</v>
      </c>
      <c r="C9434" s="147" t="s">
        <v>20221</v>
      </c>
      <c r="D9434" s="284" t="s">
        <v>897</v>
      </c>
      <c r="E9434" s="178">
        <v>2016</v>
      </c>
      <c r="F9434" s="178" t="s">
        <v>4520</v>
      </c>
      <c r="G9434" s="496"/>
      <c r="H9434" s="994" t="s">
        <v>20221</v>
      </c>
      <c r="I9434" s="11" t="s">
        <v>12716</v>
      </c>
      <c r="J9434" s="1285"/>
      <c r="K9434" s="1285"/>
      <c r="L9434" s="1285"/>
    </row>
    <row r="9435" spans="1:12" ht="11.15" customHeight="1">
      <c r="A9435" s="185"/>
      <c r="B9435" s="59" t="s">
        <v>22034</v>
      </c>
      <c r="C9435" s="147" t="s">
        <v>20221</v>
      </c>
      <c r="D9435" s="284" t="s">
        <v>897</v>
      </c>
      <c r="E9435" s="178">
        <v>2015</v>
      </c>
      <c r="F9435" s="178" t="s">
        <v>4520</v>
      </c>
      <c r="G9435" s="496"/>
      <c r="H9435" s="994" t="s">
        <v>20221</v>
      </c>
      <c r="I9435" s="11" t="s">
        <v>12717</v>
      </c>
      <c r="J9435" s="1285"/>
      <c r="K9435" s="1285"/>
      <c r="L9435" s="1285"/>
    </row>
    <row r="9436" spans="1:12" ht="11.15" customHeight="1">
      <c r="A9436" s="424"/>
      <c r="B9436" s="59" t="s">
        <v>22034</v>
      </c>
      <c r="C9436" s="147" t="s">
        <v>20221</v>
      </c>
      <c r="D9436" s="284" t="s">
        <v>897</v>
      </c>
      <c r="E9436" s="178">
        <v>2013</v>
      </c>
      <c r="F9436" s="178" t="s">
        <v>4520</v>
      </c>
      <c r="G9436" s="496"/>
      <c r="H9436" s="994" t="s">
        <v>20221</v>
      </c>
      <c r="I9436" s="11" t="s">
        <v>12718</v>
      </c>
      <c r="J9436" s="1285"/>
      <c r="K9436" s="1285"/>
      <c r="L9436" s="1285"/>
    </row>
    <row r="9437" spans="1:12" ht="11.15" customHeight="1">
      <c r="A9437" s="424"/>
      <c r="B9437" s="59" t="s">
        <v>22034</v>
      </c>
      <c r="C9437" s="147" t="s">
        <v>20221</v>
      </c>
      <c r="D9437" s="284" t="s">
        <v>897</v>
      </c>
      <c r="E9437" s="178">
        <v>2012</v>
      </c>
      <c r="F9437" s="178" t="s">
        <v>4520</v>
      </c>
      <c r="G9437" s="496"/>
      <c r="H9437" s="994" t="s">
        <v>20277</v>
      </c>
      <c r="I9437" s="11" t="s">
        <v>12719</v>
      </c>
      <c r="J9437" s="1285"/>
      <c r="K9437" s="1285"/>
      <c r="L9437" s="1285"/>
    </row>
    <row r="9438" spans="1:12" ht="11.15" customHeight="1">
      <c r="A9438" s="424"/>
      <c r="B9438" s="221" t="s">
        <v>12720</v>
      </c>
      <c r="C9438" s="147"/>
      <c r="D9438" s="161"/>
      <c r="E9438" s="36"/>
      <c r="F9438" s="178"/>
      <c r="G9438" s="496"/>
      <c r="H9438" s="36"/>
      <c r="I9438" s="11"/>
    </row>
    <row r="9439" spans="1:12" ht="11.15" customHeight="1">
      <c r="A9439" s="185"/>
      <c r="B9439" s="154" t="s">
        <v>12721</v>
      </c>
      <c r="C9439" s="147"/>
      <c r="D9439" s="161"/>
      <c r="E9439" s="36"/>
      <c r="F9439" s="178"/>
      <c r="G9439" s="496"/>
      <c r="H9439" s="36"/>
      <c r="I9439" s="11"/>
    </row>
    <row r="9440" spans="1:12" ht="11.15" customHeight="1">
      <c r="A9440" s="185"/>
      <c r="B9440" s="154" t="s">
        <v>12722</v>
      </c>
      <c r="C9440" s="147"/>
      <c r="D9440" s="161"/>
      <c r="E9440" s="36"/>
      <c r="F9440" s="178"/>
      <c r="G9440" s="496"/>
      <c r="H9440" s="36"/>
      <c r="I9440" s="11"/>
    </row>
    <row r="9441" spans="1:12" ht="11.15" customHeight="1">
      <c r="A9441" s="185"/>
      <c r="B9441" s="59" t="s">
        <v>22035</v>
      </c>
      <c r="C9441" s="147" t="s">
        <v>20221</v>
      </c>
      <c r="D9441" s="284" t="s">
        <v>897</v>
      </c>
      <c r="E9441" s="178">
        <v>2020</v>
      </c>
      <c r="F9441" s="178" t="s">
        <v>11931</v>
      </c>
      <c r="G9441" s="496"/>
      <c r="H9441" s="994" t="s">
        <v>20221</v>
      </c>
      <c r="I9441" s="11" t="s">
        <v>12723</v>
      </c>
      <c r="J9441" s="1285"/>
      <c r="K9441" s="1285"/>
      <c r="L9441" s="1285"/>
    </row>
    <row r="9442" spans="1:12" ht="11.15" customHeight="1">
      <c r="A9442" s="185"/>
      <c r="B9442" s="59" t="s">
        <v>22035</v>
      </c>
      <c r="C9442" s="147" t="s">
        <v>20221</v>
      </c>
      <c r="D9442" s="284" t="s">
        <v>897</v>
      </c>
      <c r="E9442" s="178">
        <v>2019</v>
      </c>
      <c r="F9442" s="178" t="s">
        <v>11931</v>
      </c>
      <c r="G9442" s="496"/>
      <c r="H9442" s="994" t="s">
        <v>20224</v>
      </c>
      <c r="I9442" s="11" t="s">
        <v>12724</v>
      </c>
      <c r="J9442" s="1285"/>
      <c r="K9442" s="1285"/>
      <c r="L9442" s="1285"/>
    </row>
    <row r="9443" spans="1:12" ht="11.15" customHeight="1">
      <c r="A9443" s="185"/>
      <c r="B9443" s="59" t="s">
        <v>22035</v>
      </c>
      <c r="C9443" s="147" t="s">
        <v>20221</v>
      </c>
      <c r="D9443" s="284" t="s">
        <v>897</v>
      </c>
      <c r="E9443" s="178">
        <v>2018</v>
      </c>
      <c r="F9443" s="178" t="s">
        <v>11931</v>
      </c>
      <c r="G9443" s="496"/>
      <c r="H9443" s="994" t="s">
        <v>20277</v>
      </c>
      <c r="I9443" s="11" t="s">
        <v>12725</v>
      </c>
      <c r="J9443" s="1285"/>
      <c r="K9443" s="1285"/>
      <c r="L9443" s="1285"/>
    </row>
    <row r="9444" spans="1:12" ht="11.15" customHeight="1">
      <c r="A9444" s="29"/>
      <c r="B9444" s="59"/>
      <c r="C9444" s="147"/>
      <c r="D9444" s="284"/>
      <c r="E9444" s="178"/>
      <c r="F9444" s="178"/>
      <c r="G9444" s="496"/>
      <c r="H9444" s="994"/>
      <c r="I9444" s="11"/>
      <c r="J9444" s="1285"/>
      <c r="K9444" s="1285"/>
      <c r="L9444" s="1285"/>
    </row>
    <row r="9445" spans="1:12" ht="11.15" customHeight="1">
      <c r="A9445" s="29"/>
      <c r="B9445" s="59"/>
      <c r="C9445" s="147"/>
      <c r="D9445" s="284"/>
      <c r="E9445" s="178"/>
      <c r="F9445" s="178"/>
      <c r="G9445" s="496"/>
      <c r="H9445" s="994"/>
      <c r="I9445" s="11"/>
      <c r="J9445" s="1285"/>
      <c r="K9445" s="1285"/>
      <c r="L9445" s="1285"/>
    </row>
    <row r="9446" spans="1:12" ht="11.15" customHeight="1">
      <c r="A9446" s="217"/>
      <c r="B9446" s="413" t="s">
        <v>12726</v>
      </c>
      <c r="C9446" s="147"/>
      <c r="D9446" s="122"/>
      <c r="E9446" s="36"/>
      <c r="F9446" s="183"/>
      <c r="G9446" s="60"/>
      <c r="H9446" s="34"/>
      <c r="I9446" s="11"/>
    </row>
    <row r="9447" spans="1:12" ht="9" customHeight="1">
      <c r="A9447" s="217"/>
      <c r="B9447" s="150" t="s">
        <v>12727</v>
      </c>
      <c r="C9447" s="147"/>
      <c r="D9447" s="122"/>
      <c r="E9447" s="36"/>
      <c r="F9447" s="183"/>
      <c r="G9447" s="60"/>
      <c r="H9447" s="34"/>
      <c r="I9447" s="11"/>
    </row>
    <row r="9448" spans="1:12" ht="9" customHeight="1">
      <c r="A9448" s="217"/>
      <c r="B9448" s="150" t="s">
        <v>12728</v>
      </c>
      <c r="C9448" s="147"/>
      <c r="D9448" s="122"/>
      <c r="E9448" s="36"/>
      <c r="F9448" s="183"/>
      <c r="G9448" s="60"/>
      <c r="H9448" s="34"/>
      <c r="I9448" s="11"/>
    </row>
    <row r="9449" spans="1:12" ht="9" customHeight="1">
      <c r="A9449" s="217"/>
      <c r="B9449" s="150" t="s">
        <v>12729</v>
      </c>
      <c r="C9449" s="147"/>
      <c r="D9449" s="122"/>
      <c r="E9449" s="36"/>
      <c r="F9449" s="183"/>
      <c r="G9449" s="60"/>
      <c r="H9449" s="34"/>
      <c r="I9449" s="11"/>
    </row>
    <row r="9450" spans="1:12" ht="9" customHeight="1">
      <c r="A9450" s="217"/>
      <c r="B9450" s="209" t="s">
        <v>12730</v>
      </c>
      <c r="C9450" s="147"/>
      <c r="D9450" s="122"/>
      <c r="E9450" s="36"/>
      <c r="F9450" s="183"/>
      <c r="G9450" s="60"/>
      <c r="H9450" s="34"/>
      <c r="I9450" s="11"/>
    </row>
    <row r="9451" spans="1:12" ht="9" customHeight="1">
      <c r="A9451" s="217"/>
      <c r="B9451" s="209" t="s">
        <v>12731</v>
      </c>
      <c r="C9451" s="147"/>
      <c r="D9451" s="122"/>
      <c r="E9451" s="36"/>
      <c r="F9451" s="183"/>
      <c r="G9451" s="60"/>
      <c r="H9451" s="34"/>
      <c r="I9451" s="11"/>
    </row>
    <row r="9452" spans="1:12" ht="9" customHeight="1">
      <c r="A9452" s="217"/>
      <c r="B9452" s="150" t="s">
        <v>12732</v>
      </c>
      <c r="C9452" s="147"/>
      <c r="D9452" s="122"/>
      <c r="E9452" s="36"/>
      <c r="F9452" s="183"/>
      <c r="G9452" s="60"/>
      <c r="H9452" s="34"/>
      <c r="I9452" s="11"/>
    </row>
    <row r="9453" spans="1:12" ht="9" customHeight="1">
      <c r="A9453" s="217"/>
      <c r="B9453" s="150" t="s">
        <v>12733</v>
      </c>
      <c r="C9453" s="147"/>
      <c r="D9453" s="122"/>
      <c r="E9453" s="36"/>
      <c r="F9453" s="183"/>
      <c r="G9453" s="60"/>
      <c r="H9453" s="34"/>
      <c r="I9453" s="11"/>
    </row>
    <row r="9454" spans="1:12" ht="9" customHeight="1">
      <c r="A9454" s="217"/>
      <c r="B9454" s="150" t="s">
        <v>12734</v>
      </c>
      <c r="C9454" s="147"/>
      <c r="D9454" s="122"/>
      <c r="E9454" s="36"/>
      <c r="F9454" s="183"/>
      <c r="G9454" s="60"/>
      <c r="H9454" s="34"/>
      <c r="I9454" s="11"/>
    </row>
    <row r="9455" spans="1:12" ht="9" customHeight="1">
      <c r="A9455" s="217"/>
      <c r="B9455" s="150" t="s">
        <v>12735</v>
      </c>
      <c r="C9455" s="147"/>
      <c r="D9455" s="122"/>
      <c r="E9455" s="36"/>
      <c r="F9455" s="183"/>
      <c r="G9455" s="60"/>
      <c r="H9455" s="34"/>
      <c r="I9455" s="11"/>
    </row>
    <row r="9456" spans="1:12" ht="9" customHeight="1">
      <c r="A9456" s="217"/>
      <c r="B9456" s="150" t="s">
        <v>12736</v>
      </c>
      <c r="C9456" s="147"/>
      <c r="D9456" s="122"/>
      <c r="E9456" s="36"/>
      <c r="F9456" s="183"/>
      <c r="G9456" s="60"/>
      <c r="H9456" s="34"/>
      <c r="I9456" s="11"/>
    </row>
    <row r="9457" spans="1:9" ht="9" customHeight="1">
      <c r="A9457" s="217"/>
      <c r="B9457" s="150" t="s">
        <v>12737</v>
      </c>
      <c r="C9457" s="147"/>
      <c r="D9457" s="122"/>
      <c r="E9457" s="36"/>
      <c r="F9457" s="183"/>
      <c r="G9457" s="60"/>
      <c r="H9457" s="34"/>
      <c r="I9457" s="11"/>
    </row>
    <row r="9458" spans="1:9" ht="9" customHeight="1">
      <c r="A9458" s="217"/>
      <c r="B9458" s="150" t="s">
        <v>12738</v>
      </c>
      <c r="C9458" s="147"/>
      <c r="D9458" s="122"/>
      <c r="E9458" s="36"/>
      <c r="F9458" s="183"/>
      <c r="G9458" s="60"/>
      <c r="H9458" s="34"/>
      <c r="I9458" s="11"/>
    </row>
    <row r="9459" spans="1:9" ht="9" customHeight="1">
      <c r="A9459" s="217"/>
      <c r="B9459" s="150" t="s">
        <v>12739</v>
      </c>
      <c r="C9459" s="147"/>
      <c r="D9459" s="122"/>
      <c r="E9459" s="36"/>
      <c r="F9459" s="183"/>
      <c r="G9459" s="60"/>
      <c r="H9459" s="34"/>
      <c r="I9459" s="11"/>
    </row>
    <row r="9460" spans="1:9" ht="9" customHeight="1">
      <c r="A9460" s="217"/>
      <c r="B9460" s="150" t="s">
        <v>12740</v>
      </c>
      <c r="C9460" s="147"/>
      <c r="D9460" s="122"/>
      <c r="E9460" s="36"/>
      <c r="F9460" s="183"/>
      <c r="G9460" s="60"/>
      <c r="H9460" s="34"/>
      <c r="I9460" s="11"/>
    </row>
    <row r="9461" spans="1:9" ht="9" customHeight="1">
      <c r="A9461" s="217"/>
      <c r="B9461" s="150" t="s">
        <v>12741</v>
      </c>
      <c r="C9461" s="147"/>
      <c r="D9461" s="122"/>
      <c r="E9461" s="36"/>
      <c r="F9461" s="183"/>
      <c r="G9461" s="60"/>
      <c r="H9461" s="34"/>
      <c r="I9461" s="11"/>
    </row>
    <row r="9462" spans="1:9" ht="9" customHeight="1">
      <c r="A9462" s="217"/>
      <c r="B9462" s="150" t="s">
        <v>12742</v>
      </c>
      <c r="C9462" s="147"/>
      <c r="D9462" s="122"/>
      <c r="E9462" s="36"/>
      <c r="F9462" s="183"/>
      <c r="G9462" s="60"/>
      <c r="H9462" s="34"/>
      <c r="I9462" s="11"/>
    </row>
    <row r="9463" spans="1:9" ht="9" customHeight="1">
      <c r="A9463" s="217"/>
      <c r="B9463" s="150" t="s">
        <v>12743</v>
      </c>
      <c r="C9463" s="147"/>
      <c r="D9463" s="122"/>
      <c r="E9463" s="36"/>
      <c r="F9463" s="183"/>
      <c r="G9463" s="60"/>
      <c r="H9463" s="34"/>
      <c r="I9463" s="11"/>
    </row>
    <row r="9464" spans="1:9" ht="9" customHeight="1">
      <c r="A9464" s="217"/>
      <c r="B9464" s="150" t="s">
        <v>12744</v>
      </c>
      <c r="C9464" s="147"/>
      <c r="D9464" s="122"/>
      <c r="E9464" s="36"/>
      <c r="F9464" s="183"/>
      <c r="G9464" s="60"/>
      <c r="H9464" s="34"/>
      <c r="I9464" s="11"/>
    </row>
    <row r="9465" spans="1:9" ht="9" customHeight="1">
      <c r="A9465" s="217"/>
      <c r="B9465" s="150" t="s">
        <v>12745</v>
      </c>
      <c r="C9465" s="147"/>
      <c r="D9465" s="122"/>
      <c r="E9465" s="36"/>
      <c r="F9465" s="183"/>
      <c r="G9465" s="60"/>
      <c r="H9465" s="34"/>
      <c r="I9465" s="11"/>
    </row>
    <row r="9466" spans="1:9" ht="9" customHeight="1">
      <c r="A9466" s="217"/>
      <c r="B9466" s="150" t="s">
        <v>12746</v>
      </c>
      <c r="C9466" s="147"/>
      <c r="D9466" s="122"/>
      <c r="E9466" s="36"/>
      <c r="F9466" s="183"/>
      <c r="G9466" s="60"/>
      <c r="H9466" s="34"/>
      <c r="I9466" s="11"/>
    </row>
    <row r="9467" spans="1:9" ht="9" customHeight="1">
      <c r="A9467" s="217"/>
      <c r="B9467" s="150" t="s">
        <v>12747</v>
      </c>
      <c r="C9467" s="147"/>
      <c r="D9467" s="122"/>
      <c r="E9467" s="36"/>
      <c r="F9467" s="183"/>
      <c r="G9467" s="60"/>
      <c r="H9467" s="34"/>
      <c r="I9467" s="11"/>
    </row>
    <row r="9468" spans="1:9" ht="9" customHeight="1">
      <c r="A9468" s="217"/>
      <c r="B9468" s="150" t="s">
        <v>12748</v>
      </c>
      <c r="C9468" s="147"/>
      <c r="D9468" s="122"/>
      <c r="E9468" s="36"/>
      <c r="F9468" s="183"/>
      <c r="G9468" s="60"/>
      <c r="H9468" s="34"/>
      <c r="I9468" s="11"/>
    </row>
    <row r="9469" spans="1:9" ht="9" customHeight="1">
      <c r="A9469" s="217"/>
      <c r="B9469" s="150" t="s">
        <v>12749</v>
      </c>
      <c r="C9469" s="147"/>
      <c r="D9469" s="122"/>
      <c r="E9469" s="36"/>
      <c r="F9469" s="183"/>
      <c r="G9469" s="60"/>
      <c r="H9469" s="34"/>
      <c r="I9469" s="11"/>
    </row>
    <row r="9470" spans="1:9" ht="9" customHeight="1">
      <c r="A9470" s="217"/>
      <c r="B9470" s="150" t="s">
        <v>12750</v>
      </c>
      <c r="C9470" s="147"/>
      <c r="D9470" s="122"/>
      <c r="E9470" s="36"/>
      <c r="F9470" s="183"/>
      <c r="G9470" s="60"/>
      <c r="H9470" s="34"/>
      <c r="I9470" s="11"/>
    </row>
    <row r="9471" spans="1:9" ht="9" customHeight="1">
      <c r="A9471" s="217"/>
      <c r="B9471" s="150" t="s">
        <v>12751</v>
      </c>
      <c r="C9471" s="147"/>
      <c r="D9471" s="122"/>
      <c r="E9471" s="36"/>
      <c r="F9471" s="183"/>
      <c r="G9471" s="60"/>
      <c r="H9471" s="34"/>
      <c r="I9471" s="11"/>
    </row>
    <row r="9472" spans="1:9" ht="9" customHeight="1">
      <c r="A9472" s="217"/>
      <c r="B9472" s="150" t="s">
        <v>12752</v>
      </c>
      <c r="C9472" s="147"/>
      <c r="D9472" s="122"/>
      <c r="E9472" s="36"/>
      <c r="F9472" s="183"/>
      <c r="G9472" s="60"/>
      <c r="H9472" s="34"/>
      <c r="I9472" s="11"/>
    </row>
    <row r="9473" spans="1:9" ht="9" customHeight="1">
      <c r="A9473" s="217"/>
      <c r="B9473" s="150" t="s">
        <v>12753</v>
      </c>
      <c r="C9473" s="147"/>
      <c r="D9473" s="122"/>
      <c r="E9473" s="36"/>
      <c r="F9473" s="183"/>
      <c r="G9473" s="60"/>
      <c r="H9473" s="34"/>
      <c r="I9473" s="11"/>
    </row>
    <row r="9474" spans="1:9" ht="9" customHeight="1">
      <c r="A9474" s="217"/>
      <c r="B9474" s="150" t="s">
        <v>12754</v>
      </c>
      <c r="C9474" s="147"/>
      <c r="D9474" s="122"/>
      <c r="E9474" s="36"/>
      <c r="F9474" s="183"/>
      <c r="G9474" s="60"/>
      <c r="H9474" s="34"/>
      <c r="I9474" s="11"/>
    </row>
    <row r="9475" spans="1:9" ht="9" customHeight="1">
      <c r="A9475" s="217"/>
      <c r="B9475" s="150" t="s">
        <v>12755</v>
      </c>
      <c r="C9475" s="147"/>
      <c r="D9475" s="122"/>
      <c r="E9475" s="36"/>
      <c r="F9475" s="183"/>
      <c r="G9475" s="60"/>
      <c r="H9475" s="34"/>
      <c r="I9475" s="11"/>
    </row>
    <row r="9476" spans="1:9" ht="9" customHeight="1">
      <c r="A9476" s="217"/>
      <c r="B9476" s="150" t="s">
        <v>12756</v>
      </c>
      <c r="C9476" s="147"/>
      <c r="D9476" s="122"/>
      <c r="E9476" s="36"/>
      <c r="F9476" s="183"/>
      <c r="G9476" s="60"/>
      <c r="H9476" s="34"/>
      <c r="I9476" s="11"/>
    </row>
    <row r="9477" spans="1:9" ht="9" customHeight="1">
      <c r="A9477" s="217"/>
      <c r="B9477" s="150" t="s">
        <v>12757</v>
      </c>
      <c r="C9477" s="147"/>
      <c r="D9477" s="122"/>
      <c r="E9477" s="36"/>
      <c r="F9477" s="183"/>
      <c r="G9477" s="60"/>
      <c r="H9477" s="34"/>
      <c r="I9477" s="11"/>
    </row>
    <row r="9478" spans="1:9" ht="9" customHeight="1">
      <c r="A9478" s="217"/>
      <c r="B9478" s="150" t="s">
        <v>12758</v>
      </c>
      <c r="C9478" s="147"/>
      <c r="D9478" s="122"/>
      <c r="E9478" s="36"/>
      <c r="F9478" s="183"/>
      <c r="G9478" s="60"/>
      <c r="H9478" s="34"/>
      <c r="I9478" s="11"/>
    </row>
    <row r="9479" spans="1:9" ht="9" customHeight="1">
      <c r="A9479" s="217"/>
      <c r="B9479" s="150" t="s">
        <v>12759</v>
      </c>
      <c r="C9479" s="147"/>
      <c r="D9479" s="122"/>
      <c r="E9479" s="36"/>
      <c r="F9479" s="183"/>
      <c r="G9479" s="60"/>
      <c r="H9479" s="34"/>
      <c r="I9479" s="11"/>
    </row>
    <row r="9480" spans="1:9" ht="9" customHeight="1">
      <c r="A9480" s="217"/>
      <c r="B9480" s="150" t="s">
        <v>12760</v>
      </c>
      <c r="C9480" s="147"/>
      <c r="D9480" s="122"/>
      <c r="E9480" s="36"/>
      <c r="F9480" s="183"/>
      <c r="G9480" s="60"/>
      <c r="H9480" s="34"/>
      <c r="I9480" s="11"/>
    </row>
    <row r="9481" spans="1:9" ht="9" customHeight="1">
      <c r="A9481" s="217"/>
      <c r="B9481" s="150" t="s">
        <v>12761</v>
      </c>
      <c r="C9481" s="147"/>
      <c r="D9481" s="122"/>
      <c r="E9481" s="36"/>
      <c r="F9481" s="183"/>
      <c r="G9481" s="60"/>
      <c r="H9481" s="34"/>
      <c r="I9481" s="11"/>
    </row>
    <row r="9482" spans="1:9" ht="9" customHeight="1">
      <c r="A9482" s="217"/>
      <c r="B9482" s="150" t="s">
        <v>12762</v>
      </c>
      <c r="C9482" s="147"/>
      <c r="D9482" s="122"/>
      <c r="E9482" s="36"/>
      <c r="F9482" s="183"/>
      <c r="G9482" s="60"/>
      <c r="H9482" s="34"/>
      <c r="I9482" s="11"/>
    </row>
    <row r="9483" spans="1:9" ht="9" customHeight="1">
      <c r="A9483" s="217"/>
      <c r="B9483" s="150" t="s">
        <v>12763</v>
      </c>
      <c r="C9483" s="147"/>
      <c r="D9483" s="122"/>
      <c r="E9483" s="36"/>
      <c r="F9483" s="183"/>
      <c r="G9483" s="60"/>
      <c r="H9483" s="34"/>
      <c r="I9483" s="11"/>
    </row>
    <row r="9484" spans="1:9" ht="9" customHeight="1">
      <c r="A9484" s="217"/>
      <c r="B9484" s="150" t="s">
        <v>12764</v>
      </c>
      <c r="C9484" s="147"/>
      <c r="D9484" s="122"/>
      <c r="E9484" s="36"/>
      <c r="F9484" s="183"/>
      <c r="G9484" s="60"/>
      <c r="H9484" s="34"/>
      <c r="I9484" s="11"/>
    </row>
    <row r="9485" spans="1:9" ht="9" customHeight="1">
      <c r="A9485" s="217"/>
      <c r="B9485" s="150" t="s">
        <v>12765</v>
      </c>
      <c r="C9485" s="147"/>
      <c r="D9485" s="122"/>
      <c r="E9485" s="36"/>
      <c r="F9485" s="183"/>
      <c r="G9485" s="60"/>
      <c r="H9485" s="34"/>
      <c r="I9485" s="11"/>
    </row>
    <row r="9486" spans="1:9" ht="9" customHeight="1">
      <c r="A9486" s="217"/>
      <c r="B9486" s="150" t="s">
        <v>12766</v>
      </c>
      <c r="C9486" s="147"/>
      <c r="D9486" s="122"/>
      <c r="E9486" s="36"/>
      <c r="F9486" s="183"/>
      <c r="G9486" s="60"/>
      <c r="H9486" s="34"/>
      <c r="I9486" s="11"/>
    </row>
    <row r="9487" spans="1:9" ht="9" customHeight="1">
      <c r="A9487" s="217"/>
      <c r="B9487" s="150" t="s">
        <v>12767</v>
      </c>
      <c r="C9487" s="147"/>
      <c r="D9487" s="122"/>
      <c r="E9487" s="36"/>
      <c r="F9487" s="183"/>
      <c r="G9487" s="60"/>
      <c r="H9487" s="34"/>
      <c r="I9487" s="11"/>
    </row>
    <row r="9488" spans="1:9" ht="9" customHeight="1">
      <c r="A9488" s="217"/>
      <c r="B9488" s="150" t="s">
        <v>12768</v>
      </c>
      <c r="C9488" s="147"/>
      <c r="D9488" s="122"/>
      <c r="E9488" s="36"/>
      <c r="F9488" s="183"/>
      <c r="G9488" s="60"/>
      <c r="H9488" s="34"/>
      <c r="I9488" s="11"/>
    </row>
    <row r="9489" spans="1:12" ht="9" customHeight="1">
      <c r="A9489" s="217"/>
      <c r="B9489" s="150" t="s">
        <v>12769</v>
      </c>
      <c r="C9489" s="147"/>
      <c r="D9489" s="122"/>
      <c r="E9489" s="36"/>
      <c r="F9489" s="183"/>
      <c r="G9489" s="60"/>
      <c r="H9489" s="34"/>
      <c r="I9489" s="11"/>
    </row>
    <row r="9490" spans="1:12" ht="9" customHeight="1" thickBot="1">
      <c r="A9490" s="217" t="s">
        <v>12770</v>
      </c>
      <c r="B9490" s="150" t="s">
        <v>12771</v>
      </c>
      <c r="C9490" s="147"/>
      <c r="D9490" s="122"/>
      <c r="E9490" s="36"/>
      <c r="F9490" s="183"/>
      <c r="G9490" s="60"/>
      <c r="H9490" s="34"/>
      <c r="I9490" s="11"/>
    </row>
    <row r="9491" spans="1:12" ht="11.15" customHeight="1" thickBot="1">
      <c r="A9491" s="184" t="s">
        <v>12772</v>
      </c>
      <c r="B9491" s="221" t="s">
        <v>12773</v>
      </c>
      <c r="C9491" s="147"/>
      <c r="D9491" s="122"/>
      <c r="E9491" s="36"/>
      <c r="F9491" s="183"/>
      <c r="G9491" s="60"/>
      <c r="H9491" s="34"/>
      <c r="I9491" s="11"/>
    </row>
    <row r="9492" spans="1:12" ht="11.15" customHeight="1">
      <c r="A9492" s="29" t="s">
        <v>12774</v>
      </c>
      <c r="B9492" s="59" t="s">
        <v>22036</v>
      </c>
      <c r="C9492" s="147" t="s">
        <v>20221</v>
      </c>
      <c r="D9492" s="1035" t="s">
        <v>1370</v>
      </c>
      <c r="E9492" s="178">
        <v>2016</v>
      </c>
      <c r="F9492" s="178" t="s">
        <v>23408</v>
      </c>
      <c r="G9492" s="496"/>
      <c r="H9492" s="994" t="s">
        <v>20221</v>
      </c>
      <c r="I9492" s="11" t="s">
        <v>12775</v>
      </c>
      <c r="J9492" s="1285"/>
      <c r="K9492" s="1285"/>
      <c r="L9492" s="1285"/>
    </row>
    <row r="9493" spans="1:12" ht="11.15" customHeight="1">
      <c r="A9493" s="29" t="s">
        <v>12776</v>
      </c>
      <c r="B9493" s="59" t="s">
        <v>22037</v>
      </c>
      <c r="C9493" s="147" t="s">
        <v>20221</v>
      </c>
      <c r="D9493" s="1035" t="s">
        <v>1370</v>
      </c>
      <c r="E9493" s="178">
        <v>2015</v>
      </c>
      <c r="F9493" s="178" t="s">
        <v>5257</v>
      </c>
      <c r="G9493" s="496"/>
      <c r="H9493" s="994" t="s">
        <v>20221</v>
      </c>
      <c r="I9493" s="11" t="s">
        <v>12777</v>
      </c>
      <c r="J9493" s="1285"/>
      <c r="K9493" s="1285"/>
      <c r="L9493" s="1285"/>
    </row>
    <row r="9494" spans="1:12" ht="11.15" customHeight="1">
      <c r="A9494" s="29" t="s">
        <v>12778</v>
      </c>
      <c r="B9494" s="185"/>
      <c r="C9494" s="147"/>
      <c r="D9494" s="185"/>
      <c r="E9494" s="185"/>
      <c r="F9494" s="185"/>
      <c r="G9494" s="185"/>
      <c r="H9494" s="185"/>
      <c r="I9494" s="11"/>
    </row>
    <row r="9495" spans="1:12" ht="11.15" customHeight="1">
      <c r="A9495" s="29" t="s">
        <v>12779</v>
      </c>
      <c r="B9495" s="154" t="s">
        <v>12780</v>
      </c>
      <c r="C9495" s="147"/>
      <c r="D9495" s="231"/>
      <c r="E9495" s="36"/>
      <c r="F9495" s="178"/>
      <c r="G9495" s="496"/>
      <c r="H9495" s="36"/>
      <c r="I9495" s="11"/>
    </row>
    <row r="9496" spans="1:12" ht="11.15" customHeight="1">
      <c r="A9496" s="29" t="s">
        <v>12781</v>
      </c>
      <c r="B9496" s="59" t="s">
        <v>22038</v>
      </c>
      <c r="C9496" s="147" t="s">
        <v>20221</v>
      </c>
      <c r="D9496" s="1034" t="s">
        <v>2573</v>
      </c>
      <c r="E9496" s="178">
        <v>2009</v>
      </c>
      <c r="F9496" s="178" t="s">
        <v>23394</v>
      </c>
      <c r="G9496" s="496"/>
      <c r="H9496" s="994" t="s">
        <v>20221</v>
      </c>
      <c r="I9496" s="11" t="s">
        <v>12782</v>
      </c>
      <c r="J9496" s="1285"/>
      <c r="K9496" s="1285"/>
      <c r="L9496" s="1285"/>
    </row>
    <row r="9497" spans="1:12" ht="11.15" customHeight="1">
      <c r="A9497" s="29" t="s">
        <v>12783</v>
      </c>
      <c r="B9497" s="185"/>
      <c r="C9497" s="147"/>
      <c r="D9497" s="185"/>
      <c r="E9497" s="61"/>
      <c r="F9497" s="185"/>
      <c r="G9497" s="185"/>
      <c r="H9497" s="185"/>
      <c r="I9497" s="11"/>
    </row>
    <row r="9498" spans="1:12" ht="11.15" customHeight="1">
      <c r="A9498" s="29" t="s">
        <v>12784</v>
      </c>
      <c r="B9498" s="154" t="s">
        <v>11253</v>
      </c>
      <c r="C9498" s="147"/>
      <c r="D9498" s="122"/>
      <c r="E9498" s="61"/>
      <c r="F9498" s="185"/>
      <c r="G9498" s="185"/>
      <c r="H9498" s="185"/>
      <c r="I9498" s="11"/>
    </row>
    <row r="9499" spans="1:12" ht="11.15" customHeight="1">
      <c r="A9499" s="218" t="s">
        <v>1595</v>
      </c>
      <c r="B9499" s="59" t="s">
        <v>22039</v>
      </c>
      <c r="C9499" s="147" t="s">
        <v>20221</v>
      </c>
      <c r="D9499" s="284" t="s">
        <v>897</v>
      </c>
      <c r="E9499" s="178">
        <v>2007</v>
      </c>
      <c r="F9499" s="178" t="s">
        <v>4520</v>
      </c>
      <c r="G9499" s="496"/>
      <c r="H9499" s="994" t="s">
        <v>20221</v>
      </c>
      <c r="I9499" s="11" t="s">
        <v>12785</v>
      </c>
      <c r="J9499" s="1285"/>
      <c r="K9499" s="1285"/>
      <c r="L9499" s="1285"/>
    </row>
    <row r="9500" spans="1:12" ht="11.15" customHeight="1">
      <c r="A9500" s="218" t="s">
        <v>950</v>
      </c>
      <c r="B9500" s="59" t="s">
        <v>22040</v>
      </c>
      <c r="C9500" s="147" t="s">
        <v>20221</v>
      </c>
      <c r="D9500" s="284" t="s">
        <v>897</v>
      </c>
      <c r="E9500" s="178">
        <v>2008</v>
      </c>
      <c r="F9500" s="178" t="s">
        <v>4520</v>
      </c>
      <c r="G9500" s="496"/>
      <c r="H9500" s="994" t="s">
        <v>20221</v>
      </c>
      <c r="I9500" s="11" t="s">
        <v>12786</v>
      </c>
      <c r="J9500" s="1285"/>
      <c r="K9500" s="1285"/>
      <c r="L9500" s="1285"/>
    </row>
    <row r="9501" spans="1:12" ht="11.15" customHeight="1">
      <c r="A9501" s="129" t="s">
        <v>1308</v>
      </c>
      <c r="B9501" s="59" t="s">
        <v>22040</v>
      </c>
      <c r="C9501" s="147" t="s">
        <v>20221</v>
      </c>
      <c r="D9501" s="284" t="s">
        <v>897</v>
      </c>
      <c r="E9501" s="178">
        <v>2007</v>
      </c>
      <c r="F9501" s="178" t="s">
        <v>23394</v>
      </c>
      <c r="G9501" s="496"/>
      <c r="H9501" s="994" t="s">
        <v>20221</v>
      </c>
      <c r="I9501" s="11" t="s">
        <v>12787</v>
      </c>
      <c r="J9501" s="1285"/>
      <c r="K9501" s="1285"/>
      <c r="L9501" s="1285"/>
    </row>
    <row r="9502" spans="1:12" ht="11.15" customHeight="1">
      <c r="A9502" s="162" t="s">
        <v>12788</v>
      </c>
      <c r="B9502" s="59" t="s">
        <v>22041</v>
      </c>
      <c r="C9502" s="147" t="s">
        <v>20221</v>
      </c>
      <c r="D9502" s="284" t="s">
        <v>897</v>
      </c>
      <c r="E9502" s="178">
        <v>2006</v>
      </c>
      <c r="F9502" s="178" t="s">
        <v>23416</v>
      </c>
      <c r="G9502" s="496"/>
      <c r="H9502" s="994" t="s">
        <v>20224</v>
      </c>
      <c r="I9502" s="11" t="s">
        <v>12789</v>
      </c>
      <c r="J9502" s="1285"/>
      <c r="K9502" s="1285"/>
      <c r="L9502" s="1285"/>
    </row>
    <row r="9503" spans="1:12" ht="11.15" customHeight="1">
      <c r="A9503" s="162" t="s">
        <v>12790</v>
      </c>
      <c r="B9503" s="185"/>
      <c r="C9503" s="185"/>
      <c r="D9503" s="185"/>
      <c r="E9503" s="185"/>
      <c r="F9503" s="185"/>
      <c r="G9503" s="185"/>
      <c r="H9503" s="185"/>
      <c r="I9503" s="11"/>
    </row>
    <row r="9504" spans="1:12" ht="11.15" customHeight="1">
      <c r="A9504" s="162" t="s">
        <v>12791</v>
      </c>
      <c r="B9504" s="185"/>
      <c r="C9504" s="185"/>
      <c r="D9504" s="185"/>
      <c r="E9504" s="185"/>
      <c r="F9504" s="185"/>
      <c r="G9504" s="185"/>
      <c r="H9504" s="185"/>
      <c r="I9504" s="11"/>
    </row>
    <row r="9505" spans="1:9" ht="11.15" customHeight="1">
      <c r="A9505" s="162" t="s">
        <v>12427</v>
      </c>
      <c r="B9505" s="185"/>
      <c r="C9505" s="147"/>
      <c r="D9505" s="185"/>
      <c r="E9505" s="185"/>
      <c r="F9505" s="185"/>
      <c r="G9505" s="185"/>
      <c r="H9505" s="185"/>
      <c r="I9505" s="11"/>
    </row>
    <row r="9506" spans="1:9" ht="11.15" customHeight="1">
      <c r="A9506" s="162" t="s">
        <v>12792</v>
      </c>
      <c r="B9506" s="185"/>
      <c r="C9506" s="147"/>
      <c r="D9506" s="185"/>
      <c r="E9506" s="185"/>
      <c r="F9506" s="185"/>
      <c r="G9506" s="185"/>
      <c r="H9506" s="185"/>
      <c r="I9506" s="11"/>
    </row>
    <row r="9507" spans="1:9" ht="11.15" customHeight="1">
      <c r="A9507" s="162" t="s">
        <v>12793</v>
      </c>
      <c r="B9507" s="185"/>
      <c r="C9507" s="147"/>
      <c r="D9507" s="185"/>
      <c r="E9507" s="185"/>
      <c r="F9507" s="185"/>
      <c r="G9507" s="185"/>
      <c r="H9507" s="185"/>
      <c r="I9507" s="11"/>
    </row>
    <row r="9508" spans="1:9" ht="11.15" customHeight="1">
      <c r="A9508" s="162" t="s">
        <v>12794</v>
      </c>
      <c r="B9508" s="90"/>
      <c r="C9508" s="147"/>
      <c r="D9508" s="161"/>
      <c r="E9508" s="36"/>
      <c r="F9508" s="183"/>
      <c r="G9508" s="496"/>
      <c r="H9508" s="34"/>
      <c r="I9508" s="11"/>
    </row>
    <row r="9509" spans="1:9" ht="11.15" customHeight="1">
      <c r="A9509" s="162" t="s">
        <v>12795</v>
      </c>
      <c r="B9509" s="185"/>
      <c r="C9509" s="147"/>
      <c r="D9509" s="185"/>
      <c r="E9509" s="185"/>
      <c r="F9509" s="185"/>
      <c r="G9509" s="185"/>
      <c r="H9509" s="185"/>
      <c r="I9509" s="11"/>
    </row>
    <row r="9510" spans="1:9" ht="11.15" customHeight="1">
      <c r="A9510" s="162" t="s">
        <v>12796</v>
      </c>
      <c r="B9510" s="185"/>
      <c r="C9510" s="147"/>
      <c r="D9510" s="185"/>
      <c r="E9510" s="185"/>
      <c r="F9510" s="185"/>
      <c r="G9510" s="185"/>
      <c r="H9510" s="185"/>
      <c r="I9510" s="11"/>
    </row>
    <row r="9511" spans="1:9" ht="11.15" customHeight="1">
      <c r="A9511" s="162" t="s">
        <v>12797</v>
      </c>
      <c r="B9511" s="185"/>
      <c r="C9511" s="147"/>
      <c r="D9511" s="129"/>
      <c r="E9511" s="185"/>
      <c r="F9511" s="185"/>
      <c r="G9511" s="185"/>
      <c r="H9511" s="185"/>
      <c r="I9511" s="11"/>
    </row>
    <row r="9512" spans="1:9" ht="11.15" customHeight="1">
      <c r="A9512" s="162" t="s">
        <v>12798</v>
      </c>
      <c r="B9512" s="162"/>
      <c r="C9512" s="147"/>
      <c r="D9512" s="129"/>
      <c r="E9512" s="185"/>
      <c r="F9512" s="185"/>
      <c r="G9512" s="185"/>
      <c r="H9512" s="185"/>
      <c r="I9512" s="11"/>
    </row>
    <row r="9513" spans="1:9" ht="11.15" customHeight="1">
      <c r="A9513" s="162" t="s">
        <v>12799</v>
      </c>
      <c r="B9513" s="185"/>
      <c r="C9513" s="147"/>
      <c r="D9513" s="129"/>
      <c r="E9513" s="185"/>
      <c r="F9513" s="185"/>
      <c r="G9513" s="185"/>
      <c r="H9513" s="185"/>
      <c r="I9513" s="11"/>
    </row>
    <row r="9514" spans="1:9" ht="11.15" customHeight="1">
      <c r="A9514" s="162" t="s">
        <v>12800</v>
      </c>
      <c r="B9514" s="185"/>
      <c r="C9514" s="147"/>
      <c r="D9514" s="129"/>
      <c r="E9514" s="185"/>
      <c r="F9514" s="185"/>
      <c r="G9514" s="185"/>
      <c r="H9514" s="185"/>
      <c r="I9514" s="11"/>
    </row>
    <row r="9515" spans="1:9" ht="11.15" customHeight="1">
      <c r="A9515" s="162" t="s">
        <v>12801</v>
      </c>
      <c r="B9515" s="185"/>
      <c r="C9515" s="147"/>
      <c r="D9515" s="129"/>
      <c r="E9515" s="185"/>
      <c r="F9515" s="185"/>
      <c r="G9515" s="185"/>
      <c r="H9515" s="185"/>
      <c r="I9515" s="11"/>
    </row>
    <row r="9516" spans="1:9" ht="11.15" customHeight="1">
      <c r="A9516" s="162" t="s">
        <v>12802</v>
      </c>
      <c r="B9516" s="185"/>
      <c r="C9516" s="147"/>
      <c r="D9516" s="129"/>
      <c r="E9516" s="185"/>
      <c r="F9516" s="185"/>
      <c r="G9516" s="185"/>
      <c r="H9516" s="185"/>
      <c r="I9516" s="11"/>
    </row>
    <row r="9517" spans="1:9" ht="11.25" customHeight="1">
      <c r="A9517" s="129" t="s">
        <v>12803</v>
      </c>
      <c r="B9517" s="185"/>
      <c r="C9517" s="147"/>
      <c r="D9517" s="129"/>
      <c r="E9517" s="185"/>
      <c r="F9517" s="185"/>
      <c r="G9517" s="185"/>
      <c r="H9517" s="185"/>
      <c r="I9517" s="11"/>
    </row>
    <row r="9518" spans="1:9" ht="9" customHeight="1">
      <c r="A9518" s="162" t="s">
        <v>12804</v>
      </c>
      <c r="B9518" s="185"/>
      <c r="C9518" s="147"/>
      <c r="D9518" s="129"/>
      <c r="E9518" s="185"/>
      <c r="F9518" s="185"/>
      <c r="G9518" s="185"/>
      <c r="H9518" s="185"/>
      <c r="I9518" s="11"/>
    </row>
    <row r="9519" spans="1:9" ht="9" customHeight="1">
      <c r="A9519" s="162" t="s">
        <v>12805</v>
      </c>
      <c r="B9519" s="185"/>
      <c r="C9519" s="147"/>
      <c r="D9519" s="129"/>
      <c r="E9519" s="185"/>
      <c r="F9519" s="185"/>
      <c r="G9519" s="185"/>
      <c r="H9519" s="185"/>
      <c r="I9519" s="11"/>
    </row>
    <row r="9520" spans="1:9" ht="9" customHeight="1">
      <c r="A9520" s="162" t="s">
        <v>12806</v>
      </c>
      <c r="B9520" s="185"/>
      <c r="C9520" s="147"/>
      <c r="D9520" s="129"/>
      <c r="E9520" s="185"/>
      <c r="F9520" s="185"/>
      <c r="G9520" s="185"/>
      <c r="H9520" s="185"/>
      <c r="I9520" s="11"/>
    </row>
    <row r="9521" spans="1:9" ht="9" customHeight="1">
      <c r="A9521" s="162" t="s">
        <v>12807</v>
      </c>
      <c r="B9521" s="185"/>
      <c r="C9521" s="147"/>
      <c r="D9521" s="129"/>
      <c r="E9521" s="185"/>
      <c r="F9521" s="185"/>
      <c r="G9521" s="185"/>
      <c r="H9521" s="185"/>
      <c r="I9521" s="11"/>
    </row>
    <row r="9522" spans="1:9" ht="9" customHeight="1">
      <c r="A9522" s="162" t="s">
        <v>12808</v>
      </c>
      <c r="B9522" s="185"/>
      <c r="C9522" s="147"/>
      <c r="D9522" s="129"/>
      <c r="E9522" s="185"/>
      <c r="F9522" s="185"/>
      <c r="G9522" s="185"/>
      <c r="H9522" s="185"/>
      <c r="I9522" s="11"/>
    </row>
    <row r="9523" spans="1:9" ht="9" customHeight="1">
      <c r="A9523" s="162" t="s">
        <v>12809</v>
      </c>
      <c r="B9523" s="185"/>
      <c r="C9523" s="147"/>
      <c r="D9523" s="129"/>
      <c r="E9523" s="185"/>
      <c r="F9523" s="185"/>
      <c r="G9523" s="185"/>
      <c r="H9523" s="185"/>
      <c r="I9523" s="11"/>
    </row>
    <row r="9524" spans="1:9" ht="9" customHeight="1">
      <c r="A9524" s="162" t="s">
        <v>12810</v>
      </c>
      <c r="B9524" s="185"/>
      <c r="C9524" s="147"/>
      <c r="D9524" s="129"/>
      <c r="E9524" s="185"/>
      <c r="F9524" s="185"/>
      <c r="G9524" s="185"/>
      <c r="H9524" s="185"/>
      <c r="I9524" s="11"/>
    </row>
    <row r="9525" spans="1:9" ht="9" customHeight="1">
      <c r="A9525" s="162" t="s">
        <v>12811</v>
      </c>
      <c r="B9525" s="185"/>
      <c r="C9525" s="147"/>
      <c r="D9525" s="122"/>
      <c r="E9525" s="36"/>
      <c r="F9525" s="178"/>
      <c r="G9525" s="185"/>
      <c r="H9525" s="36"/>
      <c r="I9525" s="11"/>
    </row>
    <row r="9526" spans="1:9" ht="11.15" customHeight="1">
      <c r="A9526" s="29" t="s">
        <v>11359</v>
      </c>
      <c r="B9526" s="185"/>
      <c r="C9526" s="147"/>
      <c r="D9526" s="122"/>
      <c r="E9526" s="36"/>
      <c r="F9526" s="178"/>
      <c r="G9526" s="185"/>
      <c r="H9526" s="36"/>
      <c r="I9526" s="11"/>
    </row>
    <row r="9527" spans="1:9" ht="11.15" customHeight="1">
      <c r="A9527" s="166" t="s">
        <v>12812</v>
      </c>
      <c r="B9527" s="185"/>
      <c r="C9527" s="147"/>
      <c r="D9527" s="122"/>
      <c r="E9527" s="36"/>
      <c r="F9527" s="178"/>
      <c r="G9527" s="185"/>
      <c r="H9527" s="36"/>
      <c r="I9527" s="11"/>
    </row>
    <row r="9528" spans="1:9" ht="11.15" customHeight="1">
      <c r="A9528" s="129" t="s">
        <v>12813</v>
      </c>
      <c r="B9528" s="185"/>
      <c r="C9528" s="147"/>
      <c r="D9528" s="122"/>
      <c r="E9528" s="36"/>
      <c r="F9528" s="178"/>
      <c r="G9528" s="185"/>
      <c r="H9528" s="36"/>
      <c r="I9528" s="11"/>
    </row>
    <row r="9529" spans="1:9" ht="11.15" customHeight="1">
      <c r="A9529" s="129" t="s">
        <v>12814</v>
      </c>
      <c r="B9529" s="90"/>
      <c r="C9529" s="147"/>
      <c r="D9529" s="159"/>
      <c r="E9529" s="36"/>
      <c r="F9529" s="178"/>
      <c r="G9529" s="496"/>
      <c r="H9529" s="36"/>
      <c r="I9529" s="11"/>
    </row>
    <row r="9530" spans="1:9" ht="11.15" customHeight="1">
      <c r="A9530" s="29"/>
      <c r="B9530" s="413" t="s">
        <v>12815</v>
      </c>
      <c r="C9530" s="147"/>
      <c r="D9530" s="122"/>
      <c r="E9530" s="36"/>
      <c r="F9530" s="178"/>
      <c r="G9530" s="185"/>
      <c r="H9530" s="36"/>
      <c r="I9530" s="11"/>
    </row>
    <row r="9531" spans="1:9" ht="11.15" customHeight="1">
      <c r="A9531" s="29"/>
      <c r="B9531" s="216" t="s">
        <v>12816</v>
      </c>
      <c r="C9531" s="147"/>
      <c r="D9531" s="122"/>
      <c r="E9531" s="36"/>
      <c r="F9531" s="178"/>
      <c r="G9531" s="185"/>
      <c r="H9531" s="36"/>
      <c r="I9531" s="11"/>
    </row>
    <row r="9532" spans="1:9" ht="9" customHeight="1">
      <c r="A9532" s="185"/>
      <c r="B9532" s="150" t="s">
        <v>12817</v>
      </c>
      <c r="C9532" s="147"/>
      <c r="D9532" s="122"/>
      <c r="E9532" s="36"/>
      <c r="F9532" s="178"/>
      <c r="G9532" s="185"/>
      <c r="H9532" s="36"/>
      <c r="I9532" s="11"/>
    </row>
    <row r="9533" spans="1:9" ht="9" customHeight="1">
      <c r="A9533" s="185"/>
      <c r="B9533" s="150" t="s">
        <v>12818</v>
      </c>
      <c r="C9533" s="147"/>
      <c r="D9533" s="122"/>
      <c r="E9533" s="36"/>
      <c r="F9533" s="178"/>
      <c r="G9533" s="185"/>
      <c r="H9533" s="36"/>
      <c r="I9533" s="11"/>
    </row>
    <row r="9534" spans="1:9" ht="9" customHeight="1">
      <c r="A9534" s="185"/>
      <c r="B9534" s="150" t="s">
        <v>12819</v>
      </c>
      <c r="C9534" s="147"/>
      <c r="D9534" s="122"/>
      <c r="E9534" s="36"/>
      <c r="F9534" s="178"/>
      <c r="G9534" s="185"/>
      <c r="H9534" s="36"/>
      <c r="I9534" s="11"/>
    </row>
    <row r="9535" spans="1:9" ht="9" customHeight="1">
      <c r="A9535" s="185"/>
      <c r="B9535" s="150" t="s">
        <v>12820</v>
      </c>
      <c r="C9535" s="147"/>
      <c r="D9535" s="122"/>
      <c r="E9535" s="36"/>
      <c r="F9535" s="178"/>
      <c r="G9535" s="185"/>
      <c r="H9535" s="36"/>
      <c r="I9535" s="11"/>
    </row>
    <row r="9536" spans="1:9" ht="9" customHeight="1">
      <c r="A9536" s="288"/>
      <c r="B9536" s="150" t="s">
        <v>12821</v>
      </c>
      <c r="C9536" s="147"/>
      <c r="D9536" s="122"/>
      <c r="E9536" s="36"/>
      <c r="F9536" s="178"/>
      <c r="G9536" s="185"/>
      <c r="H9536" s="36"/>
      <c r="I9536" s="11"/>
    </row>
    <row r="9537" spans="1:12" ht="9" customHeight="1">
      <c r="A9537" s="185"/>
      <c r="B9537" s="150" t="s">
        <v>12822</v>
      </c>
      <c r="C9537" s="147"/>
      <c r="D9537" s="122"/>
      <c r="E9537" s="36"/>
      <c r="F9537" s="178"/>
      <c r="G9537" s="185"/>
      <c r="H9537" s="36"/>
      <c r="I9537" s="11"/>
    </row>
    <row r="9538" spans="1:12" ht="9" customHeight="1">
      <c r="A9538" s="185"/>
      <c r="B9538" s="150" t="s">
        <v>12823</v>
      </c>
      <c r="C9538" s="147"/>
      <c r="D9538" s="122"/>
      <c r="E9538" s="36"/>
      <c r="F9538" s="178"/>
      <c r="G9538" s="185"/>
      <c r="H9538" s="36"/>
      <c r="I9538" s="11"/>
    </row>
    <row r="9539" spans="1:12" ht="9" customHeight="1">
      <c r="A9539" s="288"/>
      <c r="B9539" s="150" t="s">
        <v>12824</v>
      </c>
      <c r="C9539" s="147"/>
      <c r="D9539" s="122"/>
      <c r="E9539" s="36"/>
      <c r="F9539" s="178"/>
      <c r="G9539" s="185"/>
      <c r="H9539" s="36"/>
      <c r="I9539" s="11"/>
    </row>
    <row r="9540" spans="1:12" ht="9" customHeight="1">
      <c r="A9540" s="29"/>
      <c r="B9540" s="150" t="s">
        <v>12825</v>
      </c>
      <c r="C9540" s="147"/>
      <c r="D9540" s="122"/>
      <c r="E9540" s="36"/>
      <c r="F9540" s="178"/>
      <c r="G9540" s="185"/>
      <c r="H9540" s="36"/>
      <c r="I9540" s="11"/>
    </row>
    <row r="9541" spans="1:12" ht="9" customHeight="1">
      <c r="A9541" s="185"/>
      <c r="B9541" s="150" t="s">
        <v>12826</v>
      </c>
      <c r="C9541" s="147"/>
      <c r="D9541" s="122"/>
      <c r="E9541" s="36"/>
      <c r="F9541" s="178"/>
      <c r="G9541" s="185"/>
      <c r="H9541" s="36"/>
      <c r="I9541" s="11"/>
    </row>
    <row r="9542" spans="1:12" ht="9" customHeight="1">
      <c r="A9542" s="29"/>
      <c r="B9542" s="150" t="s">
        <v>12827</v>
      </c>
      <c r="C9542" s="147"/>
      <c r="D9542" s="122"/>
      <c r="E9542" s="36"/>
      <c r="F9542" s="178"/>
      <c r="G9542" s="185"/>
      <c r="H9542" s="36"/>
      <c r="I9542" s="11"/>
    </row>
    <row r="9543" spans="1:12" ht="9" customHeight="1" thickBot="1">
      <c r="A9543" s="29"/>
      <c r="B9543" s="150" t="s">
        <v>12828</v>
      </c>
      <c r="C9543" s="147"/>
      <c r="D9543" s="122"/>
      <c r="E9543" s="36"/>
      <c r="F9543" s="178"/>
      <c r="G9543" s="185"/>
      <c r="H9543" s="36"/>
      <c r="I9543" s="11"/>
    </row>
    <row r="9544" spans="1:12" ht="11.15" customHeight="1" thickBot="1">
      <c r="A9544" s="184" t="s">
        <v>12829</v>
      </c>
      <c r="B9544" s="702" t="s">
        <v>12830</v>
      </c>
      <c r="C9544" s="147"/>
      <c r="D9544" s="122"/>
      <c r="E9544" s="36"/>
      <c r="F9544" s="178"/>
      <c r="G9544" s="185"/>
      <c r="H9544" s="36"/>
      <c r="I9544" s="11"/>
    </row>
    <row r="9545" spans="1:12" ht="11.15" customHeight="1">
      <c r="A9545" s="29" t="s">
        <v>12831</v>
      </c>
      <c r="B9545" s="59" t="s">
        <v>22042</v>
      </c>
      <c r="C9545" s="147" t="s">
        <v>20221</v>
      </c>
      <c r="D9545" s="1034" t="s">
        <v>879</v>
      </c>
      <c r="E9545" s="178" t="s">
        <v>22043</v>
      </c>
      <c r="F9545" s="178" t="s">
        <v>4520</v>
      </c>
      <c r="G9545" s="496"/>
      <c r="H9545" s="994" t="s">
        <v>20221</v>
      </c>
      <c r="I9545" s="11" t="s">
        <v>12832</v>
      </c>
      <c r="J9545" s="1285"/>
      <c r="K9545" s="1285"/>
      <c r="L9545" s="1285"/>
    </row>
    <row r="9546" spans="1:12" ht="11.15" customHeight="1">
      <c r="A9546" s="29" t="s">
        <v>12833</v>
      </c>
      <c r="B9546" s="221" t="s">
        <v>12834</v>
      </c>
      <c r="C9546" s="147"/>
      <c r="D9546" s="122"/>
      <c r="E9546" s="36"/>
      <c r="F9546" s="178"/>
      <c r="G9546" s="185"/>
      <c r="H9546" s="36"/>
      <c r="I9546" s="11"/>
    </row>
    <row r="9547" spans="1:12" ht="11.15" customHeight="1">
      <c r="A9547" s="29" t="s">
        <v>12835</v>
      </c>
      <c r="B9547" s="59" t="s">
        <v>22044</v>
      </c>
      <c r="C9547" s="147" t="s">
        <v>20221</v>
      </c>
      <c r="D9547" s="701" t="s">
        <v>1129</v>
      </c>
      <c r="E9547" s="178">
        <v>2022</v>
      </c>
      <c r="F9547" s="178" t="s">
        <v>4520</v>
      </c>
      <c r="G9547" s="496"/>
      <c r="H9547" s="994" t="s">
        <v>20221</v>
      </c>
      <c r="I9547" s="11" t="s">
        <v>12836</v>
      </c>
      <c r="J9547" s="1285"/>
      <c r="K9547" s="1285"/>
      <c r="L9547" s="1285"/>
    </row>
    <row r="9548" spans="1:12" ht="11.15" customHeight="1">
      <c r="A9548" s="29" t="s">
        <v>12837</v>
      </c>
      <c r="B9548" s="59" t="s">
        <v>22044</v>
      </c>
      <c r="C9548" s="147" t="s">
        <v>20221</v>
      </c>
      <c r="D9548" s="701" t="s">
        <v>1129</v>
      </c>
      <c r="E9548" s="178">
        <v>2017</v>
      </c>
      <c r="F9548" s="178" t="s">
        <v>4520</v>
      </c>
      <c r="G9548" s="496"/>
      <c r="H9548" s="994" t="s">
        <v>20224</v>
      </c>
      <c r="I9548" s="11" t="s">
        <v>12838</v>
      </c>
      <c r="J9548" s="1285"/>
      <c r="K9548" s="1285"/>
      <c r="L9548" s="1285"/>
    </row>
    <row r="9549" spans="1:12" ht="11.15" customHeight="1">
      <c r="A9549" s="29" t="s">
        <v>12839</v>
      </c>
      <c r="B9549" s="59" t="s">
        <v>22045</v>
      </c>
      <c r="C9549" s="147" t="s">
        <v>20221</v>
      </c>
      <c r="D9549" s="701" t="s">
        <v>1129</v>
      </c>
      <c r="E9549" s="178">
        <v>2018</v>
      </c>
      <c r="F9549" s="178" t="s">
        <v>4520</v>
      </c>
      <c r="G9549" s="496"/>
      <c r="H9549" s="994" t="s">
        <v>20277</v>
      </c>
      <c r="I9549" s="11" t="s">
        <v>12840</v>
      </c>
      <c r="J9549" s="1285"/>
      <c r="K9549" s="1285"/>
      <c r="L9549" s="1285"/>
    </row>
    <row r="9550" spans="1:12" ht="11.15" customHeight="1">
      <c r="A9550" s="181" t="s">
        <v>12841</v>
      </c>
      <c r="B9550" s="651" t="s">
        <v>12842</v>
      </c>
      <c r="C9550" s="147"/>
      <c r="D9550" s="185"/>
      <c r="E9550" s="185"/>
      <c r="F9550" s="185"/>
      <c r="G9550" s="185"/>
      <c r="H9550" s="185"/>
      <c r="I9550" s="11"/>
    </row>
    <row r="9551" spans="1:12" ht="11.15" customHeight="1">
      <c r="A9551" s="29" t="s">
        <v>12843</v>
      </c>
      <c r="B9551" s="59" t="s">
        <v>22046</v>
      </c>
      <c r="C9551" s="147" t="s">
        <v>20221</v>
      </c>
      <c r="D9551" s="701" t="s">
        <v>1129</v>
      </c>
      <c r="E9551" s="178">
        <v>2021</v>
      </c>
      <c r="F9551" s="178" t="s">
        <v>4520</v>
      </c>
      <c r="G9551" s="496"/>
      <c r="H9551" s="994" t="s">
        <v>20221</v>
      </c>
      <c r="I9551" s="11" t="s">
        <v>12844</v>
      </c>
      <c r="J9551" s="1285"/>
      <c r="K9551" s="1285"/>
      <c r="L9551" s="1285"/>
    </row>
    <row r="9552" spans="1:12" ht="11.15" customHeight="1">
      <c r="A9552" s="129" t="s">
        <v>1077</v>
      </c>
      <c r="B9552" s="59" t="s">
        <v>22047</v>
      </c>
      <c r="C9552" s="147" t="s">
        <v>20221</v>
      </c>
      <c r="D9552" s="701" t="s">
        <v>1129</v>
      </c>
      <c r="E9552" s="178">
        <v>2018</v>
      </c>
      <c r="F9552" s="178" t="s">
        <v>4520</v>
      </c>
      <c r="G9552" s="496"/>
      <c r="H9552" s="994" t="s">
        <v>20221</v>
      </c>
      <c r="I9552" s="11" t="s">
        <v>12845</v>
      </c>
      <c r="J9552" s="1285"/>
      <c r="K9552" s="1285"/>
      <c r="L9552" s="1285"/>
    </row>
    <row r="9553" spans="1:12" ht="11.15" customHeight="1">
      <c r="A9553" s="162" t="s">
        <v>12846</v>
      </c>
      <c r="B9553" s="59" t="s">
        <v>22047</v>
      </c>
      <c r="C9553" s="147" t="s">
        <v>20221</v>
      </c>
      <c r="D9553" s="701" t="s">
        <v>1129</v>
      </c>
      <c r="E9553" s="178">
        <v>2014</v>
      </c>
      <c r="F9553" s="178" t="s">
        <v>4520</v>
      </c>
      <c r="G9553" s="496"/>
      <c r="H9553" s="994" t="s">
        <v>20221</v>
      </c>
      <c r="I9553" s="11" t="s">
        <v>12848</v>
      </c>
      <c r="J9553" s="1285"/>
      <c r="K9553" s="1285"/>
      <c r="L9553" s="1285"/>
    </row>
    <row r="9554" spans="1:12" ht="11.15" customHeight="1">
      <c r="A9554" s="162" t="s">
        <v>12847</v>
      </c>
      <c r="B9554" s="59" t="s">
        <v>22048</v>
      </c>
      <c r="C9554" s="147" t="s">
        <v>20221</v>
      </c>
      <c r="D9554" s="701" t="s">
        <v>1129</v>
      </c>
      <c r="E9554" s="178">
        <v>2022</v>
      </c>
      <c r="F9554" s="178" t="s">
        <v>4520</v>
      </c>
      <c r="G9554" s="496"/>
      <c r="H9554" s="994" t="s">
        <v>20221</v>
      </c>
      <c r="I9554" s="11" t="s">
        <v>12850</v>
      </c>
      <c r="J9554" s="1285"/>
      <c r="K9554" s="1285"/>
      <c r="L9554" s="1285"/>
    </row>
    <row r="9555" spans="1:12" ht="11.15" customHeight="1">
      <c r="A9555" s="162" t="s">
        <v>12849</v>
      </c>
      <c r="B9555" s="59" t="s">
        <v>22048</v>
      </c>
      <c r="C9555" s="147" t="s">
        <v>20221</v>
      </c>
      <c r="D9555" s="701" t="s">
        <v>1129</v>
      </c>
      <c r="E9555" s="178">
        <v>2021</v>
      </c>
      <c r="F9555" s="178" t="s">
        <v>4520</v>
      </c>
      <c r="G9555" s="496"/>
      <c r="H9555" s="994" t="s">
        <v>20277</v>
      </c>
      <c r="I9555" s="11" t="s">
        <v>12852</v>
      </c>
      <c r="J9555" s="1285"/>
      <c r="K9555" s="1285"/>
      <c r="L9555" s="1285"/>
    </row>
    <row r="9556" spans="1:12" ht="11.15" customHeight="1">
      <c r="A9556" s="162" t="s">
        <v>12851</v>
      </c>
      <c r="B9556" s="59" t="s">
        <v>22049</v>
      </c>
      <c r="C9556" s="147" t="s">
        <v>20221</v>
      </c>
      <c r="D9556" s="701" t="s">
        <v>1129</v>
      </c>
      <c r="E9556" s="178">
        <v>2020</v>
      </c>
      <c r="F9556" s="178" t="s">
        <v>4520</v>
      </c>
      <c r="G9556" s="496"/>
      <c r="H9556" s="994" t="s">
        <v>20221</v>
      </c>
      <c r="I9556" s="11" t="s">
        <v>12854</v>
      </c>
      <c r="J9556" s="1285"/>
      <c r="K9556" s="1285"/>
      <c r="L9556" s="1285"/>
    </row>
    <row r="9557" spans="1:12" ht="11.15" customHeight="1">
      <c r="A9557" s="129" t="s">
        <v>12853</v>
      </c>
      <c r="B9557" s="651" t="s">
        <v>12856</v>
      </c>
      <c r="C9557" s="147"/>
      <c r="D9557" s="161"/>
      <c r="E9557" s="36"/>
      <c r="F9557" s="178"/>
      <c r="G9557" s="496"/>
      <c r="H9557" s="36"/>
      <c r="I9557" s="11"/>
    </row>
    <row r="9558" spans="1:12" ht="11.15" customHeight="1">
      <c r="A9558" s="162" t="s">
        <v>12855</v>
      </c>
      <c r="B9558" s="59" t="s">
        <v>22050</v>
      </c>
      <c r="C9558" s="147" t="s">
        <v>20221</v>
      </c>
      <c r="D9558" s="701" t="s">
        <v>1129</v>
      </c>
      <c r="E9558" s="178">
        <v>2016</v>
      </c>
      <c r="F9558" s="178" t="s">
        <v>4520</v>
      </c>
      <c r="G9558" s="496"/>
      <c r="H9558" s="994" t="s">
        <v>20224</v>
      </c>
      <c r="I9558" s="11" t="s">
        <v>12858</v>
      </c>
      <c r="J9558" s="1285"/>
      <c r="K9558" s="1285"/>
      <c r="L9558" s="1285"/>
    </row>
    <row r="9559" spans="1:12" ht="11.15" customHeight="1">
      <c r="A9559" s="162" t="s">
        <v>12857</v>
      </c>
      <c r="B9559" s="59" t="s">
        <v>22051</v>
      </c>
      <c r="C9559" s="147" t="s">
        <v>20221</v>
      </c>
      <c r="D9559" s="701" t="s">
        <v>1129</v>
      </c>
      <c r="E9559" s="178">
        <v>2018</v>
      </c>
      <c r="F9559" s="178" t="s">
        <v>4520</v>
      </c>
      <c r="G9559" s="496"/>
      <c r="H9559" s="994" t="s">
        <v>20221</v>
      </c>
      <c r="I9559" s="11" t="s">
        <v>12860</v>
      </c>
      <c r="J9559" s="1285"/>
      <c r="K9559" s="1285"/>
      <c r="L9559" s="1285"/>
    </row>
    <row r="9560" spans="1:12" ht="11.15" customHeight="1">
      <c r="A9560" s="162" t="s">
        <v>12859</v>
      </c>
      <c r="B9560" s="59" t="s">
        <v>22052</v>
      </c>
      <c r="C9560" s="147" t="s">
        <v>20221</v>
      </c>
      <c r="D9560" s="701" t="s">
        <v>1129</v>
      </c>
      <c r="E9560" s="178">
        <v>2015</v>
      </c>
      <c r="F9560" s="178" t="s">
        <v>4520</v>
      </c>
      <c r="G9560" s="496"/>
      <c r="H9560" s="994" t="s">
        <v>20221</v>
      </c>
      <c r="I9560" s="11" t="s">
        <v>12862</v>
      </c>
      <c r="J9560" s="1285"/>
      <c r="K9560" s="1285"/>
      <c r="L9560" s="1285"/>
    </row>
    <row r="9561" spans="1:12" ht="11.15" customHeight="1">
      <c r="A9561" s="162" t="s">
        <v>12861</v>
      </c>
      <c r="B9561" s="651" t="s">
        <v>12864</v>
      </c>
      <c r="C9561" s="147"/>
      <c r="D9561" s="161"/>
      <c r="E9561" s="36"/>
      <c r="F9561" s="178"/>
      <c r="G9561" s="496"/>
      <c r="H9561" s="36"/>
      <c r="I9561" s="11"/>
    </row>
    <row r="9562" spans="1:12" ht="11.15" customHeight="1">
      <c r="A9562" s="129" t="s">
        <v>12863</v>
      </c>
      <c r="B9562" s="59" t="s">
        <v>22053</v>
      </c>
      <c r="C9562" s="147" t="s">
        <v>20221</v>
      </c>
      <c r="D9562" s="701" t="s">
        <v>1129</v>
      </c>
      <c r="E9562" s="178">
        <v>2018</v>
      </c>
      <c r="F9562" s="178" t="s">
        <v>5257</v>
      </c>
      <c r="G9562" s="496"/>
      <c r="H9562" s="994" t="s">
        <v>20224</v>
      </c>
      <c r="I9562" s="11" t="s">
        <v>12866</v>
      </c>
      <c r="J9562" s="1285"/>
      <c r="K9562" s="1285"/>
      <c r="L9562" s="1285"/>
    </row>
    <row r="9563" spans="1:12" ht="11.15" customHeight="1">
      <c r="A9563" s="162" t="s">
        <v>12865</v>
      </c>
      <c r="B9563" s="59" t="s">
        <v>22053</v>
      </c>
      <c r="C9563" s="147" t="s">
        <v>20221</v>
      </c>
      <c r="D9563" s="701" t="s">
        <v>1129</v>
      </c>
      <c r="E9563" s="178">
        <v>2016</v>
      </c>
      <c r="F9563" s="178" t="s">
        <v>5257</v>
      </c>
      <c r="G9563" s="496"/>
      <c r="H9563" s="994" t="s">
        <v>20224</v>
      </c>
      <c r="I9563" s="11" t="s">
        <v>12868</v>
      </c>
      <c r="J9563" s="1285"/>
      <c r="K9563" s="1285"/>
      <c r="L9563" s="1285"/>
    </row>
    <row r="9564" spans="1:12" ht="11.15" customHeight="1">
      <c r="A9564" s="162" t="s">
        <v>12867</v>
      </c>
      <c r="B9564" s="59" t="s">
        <v>22054</v>
      </c>
      <c r="C9564" s="147" t="s">
        <v>20221</v>
      </c>
      <c r="D9564" s="701" t="s">
        <v>1129</v>
      </c>
      <c r="E9564" s="178">
        <v>2015</v>
      </c>
      <c r="F9564" s="178" t="s">
        <v>5257</v>
      </c>
      <c r="G9564" s="496"/>
      <c r="H9564" s="994" t="s">
        <v>20224</v>
      </c>
      <c r="I9564" s="11" t="s">
        <v>12870</v>
      </c>
      <c r="J9564" s="1285"/>
      <c r="K9564" s="1285"/>
      <c r="L9564" s="1285"/>
    </row>
    <row r="9565" spans="1:12" ht="11.15" customHeight="1">
      <c r="A9565" s="162" t="s">
        <v>12869</v>
      </c>
      <c r="B9565" s="59" t="s">
        <v>22054</v>
      </c>
      <c r="C9565" s="147" t="s">
        <v>20221</v>
      </c>
      <c r="D9565" s="701" t="s">
        <v>1129</v>
      </c>
      <c r="E9565" s="178">
        <v>2009</v>
      </c>
      <c r="F9565" s="178" t="s">
        <v>5257</v>
      </c>
      <c r="G9565" s="496"/>
      <c r="H9565" s="994" t="s">
        <v>20224</v>
      </c>
      <c r="I9565" s="11" t="s">
        <v>12872</v>
      </c>
      <c r="J9565" s="1285"/>
      <c r="K9565" s="1285"/>
      <c r="L9565" s="1285"/>
    </row>
    <row r="9566" spans="1:12" ht="11.15" customHeight="1">
      <c r="A9566" s="162" t="s">
        <v>12871</v>
      </c>
      <c r="B9566" s="177" t="s">
        <v>12874</v>
      </c>
      <c r="C9566" s="147"/>
      <c r="D9566" s="159"/>
      <c r="E9566" s="36"/>
      <c r="F9566" s="183"/>
      <c r="G9566" s="496"/>
      <c r="H9566" s="34"/>
      <c r="I9566" s="11"/>
    </row>
    <row r="9567" spans="1:12" ht="11.15" customHeight="1">
      <c r="A9567" s="162" t="s">
        <v>12873</v>
      </c>
      <c r="B9567" s="59" t="s">
        <v>22055</v>
      </c>
      <c r="C9567" s="147" t="s">
        <v>20221</v>
      </c>
      <c r="D9567" s="284" t="s">
        <v>897</v>
      </c>
      <c r="E9567" s="178">
        <v>2018</v>
      </c>
      <c r="F9567" s="178" t="s">
        <v>4520</v>
      </c>
      <c r="G9567" s="496"/>
      <c r="H9567" s="994" t="s">
        <v>20221</v>
      </c>
      <c r="I9567" s="11" t="s">
        <v>12876</v>
      </c>
      <c r="J9567" s="1285"/>
      <c r="K9567" s="1285"/>
      <c r="L9567" s="1285"/>
    </row>
    <row r="9568" spans="1:12" ht="11.25" customHeight="1">
      <c r="A9568" s="162" t="s">
        <v>12875</v>
      </c>
      <c r="B9568" s="59" t="s">
        <v>22055</v>
      </c>
      <c r="C9568" s="147" t="s">
        <v>20221</v>
      </c>
      <c r="D9568" s="284" t="s">
        <v>897</v>
      </c>
      <c r="E9568" s="178">
        <v>2016</v>
      </c>
      <c r="F9568" s="178" t="s">
        <v>4520</v>
      </c>
      <c r="G9568" s="496"/>
      <c r="H9568" s="994" t="s">
        <v>20221</v>
      </c>
      <c r="I9568" s="11" t="s">
        <v>12878</v>
      </c>
      <c r="J9568" s="1285"/>
      <c r="K9568" s="1285"/>
      <c r="L9568" s="1285"/>
    </row>
    <row r="9569" spans="1:12" ht="11.15" customHeight="1">
      <c r="A9569" s="162" t="s">
        <v>12877</v>
      </c>
      <c r="B9569" s="185"/>
      <c r="C9569" s="147"/>
      <c r="D9569" s="185"/>
      <c r="E9569" s="185"/>
      <c r="F9569" s="185"/>
      <c r="G9569" s="185"/>
      <c r="H9569" s="185"/>
      <c r="I9569" s="11"/>
    </row>
    <row r="9570" spans="1:12" ht="11.15" customHeight="1">
      <c r="A9570" s="162" t="s">
        <v>12879</v>
      </c>
      <c r="B9570" s="185"/>
      <c r="C9570" s="147"/>
      <c r="D9570" s="185"/>
      <c r="E9570" s="185"/>
      <c r="F9570" s="185"/>
      <c r="G9570" s="185"/>
      <c r="H9570" s="185"/>
      <c r="I9570" s="11"/>
    </row>
    <row r="9571" spans="1:12" ht="11.15" customHeight="1">
      <c r="A9571" s="162" t="s">
        <v>12880</v>
      </c>
      <c r="B9571" s="185"/>
      <c r="C9571" s="147"/>
      <c r="D9571" s="185"/>
      <c r="E9571" s="185"/>
      <c r="F9571" s="185"/>
      <c r="G9571" s="185"/>
      <c r="H9571" s="185"/>
      <c r="I9571" s="11"/>
    </row>
    <row r="9572" spans="1:12" ht="11.15" customHeight="1">
      <c r="A9572" s="162" t="s">
        <v>12881</v>
      </c>
      <c r="B9572" s="185"/>
      <c r="C9572" s="147"/>
      <c r="D9572" s="185"/>
      <c r="E9572" s="185"/>
      <c r="F9572" s="185"/>
      <c r="G9572" s="185"/>
      <c r="H9572" s="185"/>
      <c r="I9572" s="11"/>
    </row>
    <row r="9573" spans="1:12" ht="11.15" customHeight="1">
      <c r="A9573" s="162" t="s">
        <v>12882</v>
      </c>
      <c r="B9573" s="185"/>
      <c r="C9573" s="147"/>
      <c r="D9573" s="185"/>
      <c r="E9573" s="185"/>
      <c r="F9573" s="185"/>
      <c r="G9573" s="185"/>
      <c r="H9573" s="185"/>
      <c r="I9573" s="11"/>
    </row>
    <row r="9574" spans="1:12" ht="11.15" customHeight="1">
      <c r="A9574" s="162" t="s">
        <v>12883</v>
      </c>
      <c r="B9574" s="185"/>
      <c r="C9574" s="147"/>
      <c r="D9574" s="185"/>
      <c r="E9574" s="185"/>
      <c r="F9574" s="185"/>
      <c r="G9574" s="185"/>
      <c r="H9574" s="185"/>
      <c r="I9574" s="11"/>
    </row>
    <row r="9575" spans="1:12" ht="11.15" customHeight="1">
      <c r="A9575" s="162" t="s">
        <v>12884</v>
      </c>
      <c r="B9575" s="185"/>
      <c r="C9575" s="147"/>
      <c r="D9575" s="185"/>
      <c r="E9575" s="185"/>
      <c r="F9575" s="185"/>
      <c r="G9575" s="185"/>
      <c r="H9575" s="185"/>
      <c r="I9575" s="11"/>
    </row>
    <row r="9576" spans="1:12" ht="11.15" customHeight="1">
      <c r="A9576" s="29" t="s">
        <v>12885</v>
      </c>
      <c r="B9576" s="185"/>
      <c r="C9576" s="147"/>
      <c r="D9576" s="185"/>
      <c r="E9576" s="185"/>
      <c r="F9576" s="185"/>
      <c r="G9576" s="185"/>
      <c r="H9576" s="185"/>
      <c r="I9576" s="11"/>
    </row>
    <row r="9577" spans="1:12" ht="11.15" customHeight="1">
      <c r="A9577" s="29" t="s">
        <v>12886</v>
      </c>
      <c r="B9577" s="185"/>
      <c r="C9577" s="147"/>
      <c r="D9577" s="185"/>
      <c r="E9577" s="185"/>
      <c r="F9577" s="185"/>
      <c r="G9577" s="185"/>
      <c r="H9577" s="185"/>
      <c r="I9577" s="11"/>
    </row>
    <row r="9578" spans="1:12" ht="11.15" customHeight="1">
      <c r="A9578" s="29" t="s">
        <v>12887</v>
      </c>
      <c r="B9578" s="185"/>
      <c r="C9578" s="147"/>
      <c r="D9578" s="185"/>
      <c r="E9578" s="185"/>
      <c r="F9578" s="185"/>
      <c r="G9578" s="185"/>
      <c r="H9578" s="185"/>
      <c r="I9578" s="11"/>
    </row>
    <row r="9579" spans="1:12" ht="11.15" customHeight="1">
      <c r="A9579" s="169" t="s">
        <v>12888</v>
      </c>
      <c r="B9579" s="185"/>
      <c r="C9579" s="147"/>
      <c r="D9579" s="185"/>
      <c r="E9579" s="185"/>
      <c r="F9579" s="185"/>
      <c r="G9579" s="185"/>
      <c r="H9579" s="185"/>
      <c r="I9579" s="11"/>
    </row>
    <row r="9580" spans="1:12" ht="11.15" customHeight="1">
      <c r="A9580" s="129" t="s">
        <v>12889</v>
      </c>
      <c r="B9580" s="185"/>
      <c r="C9580" s="147"/>
      <c r="D9580" s="185"/>
      <c r="E9580" s="185"/>
      <c r="F9580" s="185"/>
      <c r="G9580" s="185"/>
      <c r="H9580" s="185"/>
      <c r="I9580" s="11"/>
    </row>
    <row r="9581" spans="1:12" ht="11.15" customHeight="1" thickBot="1">
      <c r="A9581" s="29"/>
      <c r="B9581" s="377"/>
      <c r="C9581" s="147"/>
      <c r="D9581" s="122"/>
      <c r="E9581" s="178"/>
      <c r="F9581" s="178"/>
      <c r="G9581" s="60"/>
      <c r="H9581" s="178"/>
      <c r="I9581" s="11"/>
    </row>
    <row r="9582" spans="1:12" ht="11.15" customHeight="1" thickBot="1">
      <c r="A9582" s="184" t="s">
        <v>12890</v>
      </c>
      <c r="B9582" s="59" t="s">
        <v>22056</v>
      </c>
      <c r="C9582" s="147" t="s">
        <v>20221</v>
      </c>
      <c r="D9582" s="701" t="s">
        <v>1129</v>
      </c>
      <c r="E9582" s="178">
        <v>2015</v>
      </c>
      <c r="F9582" s="178" t="s">
        <v>23395</v>
      </c>
      <c r="G9582" s="496"/>
      <c r="H9582" s="994" t="s">
        <v>20221</v>
      </c>
      <c r="I9582" s="11" t="s">
        <v>12891</v>
      </c>
      <c r="J9582" s="1285"/>
      <c r="K9582" s="1285"/>
      <c r="L9582" s="1285"/>
    </row>
    <row r="9583" spans="1:12" ht="11.15" customHeight="1">
      <c r="A9583" s="29" t="s">
        <v>12892</v>
      </c>
      <c r="B9583" s="59" t="s">
        <v>22057</v>
      </c>
      <c r="C9583" s="147" t="s">
        <v>20221</v>
      </c>
      <c r="D9583" s="701" t="s">
        <v>1129</v>
      </c>
      <c r="E9583" s="178">
        <v>2015</v>
      </c>
      <c r="F9583" s="178" t="s">
        <v>23395</v>
      </c>
      <c r="G9583" s="496"/>
      <c r="H9583" s="994" t="s">
        <v>20221</v>
      </c>
      <c r="I9583" s="11" t="s">
        <v>12893</v>
      </c>
      <c r="J9583" s="1285"/>
      <c r="K9583" s="1285"/>
      <c r="L9583" s="1285"/>
    </row>
    <row r="9584" spans="1:12" ht="11.15" customHeight="1">
      <c r="A9584" s="29" t="s">
        <v>12894</v>
      </c>
      <c r="B9584" s="59"/>
      <c r="C9584" s="147"/>
      <c r="D9584" s="159"/>
      <c r="E9584" s="178"/>
      <c r="F9584" s="178"/>
      <c r="G9584" s="671"/>
      <c r="H9584" s="36"/>
      <c r="I9584" s="11"/>
    </row>
    <row r="9585" spans="1:12" ht="11.15" customHeight="1">
      <c r="A9585" s="29" t="s">
        <v>12895</v>
      </c>
      <c r="B9585" s="59"/>
      <c r="C9585" s="147"/>
      <c r="D9585" s="159"/>
      <c r="E9585" s="178"/>
      <c r="F9585" s="178"/>
      <c r="G9585" s="671"/>
      <c r="H9585" s="36"/>
      <c r="I9585" s="11"/>
    </row>
    <row r="9586" spans="1:12" ht="11.15" customHeight="1">
      <c r="A9586" s="29" t="s">
        <v>12896</v>
      </c>
      <c r="B9586" s="59"/>
      <c r="C9586" s="147"/>
      <c r="D9586" s="122"/>
      <c r="E9586" s="178"/>
      <c r="F9586" s="178"/>
      <c r="G9586" s="60"/>
      <c r="H9586" s="178"/>
      <c r="I9586" s="11"/>
    </row>
    <row r="9587" spans="1:12" ht="11.15" customHeight="1">
      <c r="A9587" s="181" t="s">
        <v>12466</v>
      </c>
      <c r="B9587" s="59"/>
      <c r="C9587" s="147"/>
      <c r="D9587" s="122"/>
      <c r="E9587" s="178"/>
      <c r="F9587" s="178"/>
      <c r="G9587" s="60"/>
      <c r="H9587" s="178"/>
      <c r="I9587" s="11"/>
    </row>
    <row r="9588" spans="1:12" ht="11.15" customHeight="1">
      <c r="A9588" s="129" t="s">
        <v>903</v>
      </c>
      <c r="B9588" s="181"/>
      <c r="C9588" s="147"/>
      <c r="D9588" s="122"/>
      <c r="E9588" s="178"/>
      <c r="F9588" s="178"/>
      <c r="G9588" s="60"/>
      <c r="H9588" s="178"/>
      <c r="I9588" s="11"/>
    </row>
    <row r="9589" spans="1:12" ht="11.15" customHeight="1">
      <c r="A9589" s="162" t="s">
        <v>12897</v>
      </c>
      <c r="B9589" s="185"/>
      <c r="C9589" s="147"/>
      <c r="D9589" s="122"/>
      <c r="E9589" s="178"/>
      <c r="F9589" s="178"/>
      <c r="G9589" s="60"/>
      <c r="H9589" s="178"/>
      <c r="I9589" s="11"/>
    </row>
    <row r="9590" spans="1:12" ht="11.15" customHeight="1">
      <c r="A9590" s="162" t="s">
        <v>12898</v>
      </c>
      <c r="B9590" s="181"/>
      <c r="C9590" s="147"/>
      <c r="D9590" s="122"/>
      <c r="E9590" s="178"/>
      <c r="F9590" s="178"/>
      <c r="G9590" s="60"/>
      <c r="H9590" s="178"/>
      <c r="I9590" s="11"/>
    </row>
    <row r="9591" spans="1:12" ht="11.15" customHeight="1">
      <c r="A9591" s="162" t="s">
        <v>12899</v>
      </c>
      <c r="B9591" s="181"/>
      <c r="C9591" s="147"/>
      <c r="D9591" s="122"/>
      <c r="E9591" s="178"/>
      <c r="F9591" s="178"/>
      <c r="G9591" s="60"/>
      <c r="H9591" s="178"/>
      <c r="I9591" s="11"/>
    </row>
    <row r="9592" spans="1:12" ht="11.15" customHeight="1">
      <c r="A9592" s="212" t="s">
        <v>12900</v>
      </c>
      <c r="B9592" s="59"/>
      <c r="C9592" s="147"/>
      <c r="D9592" s="122"/>
      <c r="E9592" s="178"/>
      <c r="F9592" s="178"/>
      <c r="G9592" s="60"/>
      <c r="H9592" s="178"/>
      <c r="I9592" s="11"/>
    </row>
    <row r="9593" spans="1:12" ht="11.15" customHeight="1">
      <c r="A9593" s="129" t="s">
        <v>12901</v>
      </c>
      <c r="B9593" s="90"/>
      <c r="C9593" s="147"/>
      <c r="D9593" s="159"/>
      <c r="E9593" s="36"/>
      <c r="F9593" s="178"/>
      <c r="G9593" s="496"/>
      <c r="H9593" s="36"/>
      <c r="I9593" s="11"/>
    </row>
    <row r="9594" spans="1:12" ht="11.15" customHeight="1">
      <c r="A9594" s="29"/>
      <c r="B9594" s="59"/>
      <c r="C9594" s="147"/>
      <c r="D9594" s="122"/>
      <c r="E9594" s="178"/>
      <c r="F9594" s="178"/>
      <c r="G9594" s="60"/>
      <c r="H9594" s="178"/>
      <c r="I9594" s="11"/>
    </row>
    <row r="9595" spans="1:12" ht="11.15" customHeight="1" thickBot="1">
      <c r="A9595" s="29"/>
      <c r="B9595" s="59"/>
      <c r="C9595" s="147"/>
      <c r="D9595" s="122"/>
      <c r="E9595" s="178"/>
      <c r="F9595" s="178"/>
      <c r="G9595" s="60"/>
      <c r="H9595" s="178"/>
      <c r="I9595" s="11"/>
    </row>
    <row r="9596" spans="1:12" ht="11.15" customHeight="1">
      <c r="A9596" s="153" t="s">
        <v>12902</v>
      </c>
      <c r="B9596" s="154" t="s">
        <v>11372</v>
      </c>
      <c r="C9596" s="147"/>
      <c r="D9596" s="122"/>
      <c r="E9596" s="178"/>
      <c r="F9596" s="178"/>
      <c r="G9596" s="60"/>
      <c r="H9596" s="178"/>
      <c r="I9596" s="11"/>
    </row>
    <row r="9597" spans="1:12" ht="11.15" customHeight="1" thickBot="1">
      <c r="A9597" s="230" t="s">
        <v>12903</v>
      </c>
      <c r="B9597" s="59" t="s">
        <v>22058</v>
      </c>
      <c r="C9597" s="147" t="s">
        <v>20221</v>
      </c>
      <c r="D9597" s="701" t="s">
        <v>1129</v>
      </c>
      <c r="E9597" s="178" t="s">
        <v>20221</v>
      </c>
      <c r="F9597" s="178" t="s">
        <v>23395</v>
      </c>
      <c r="G9597" s="496" t="s">
        <v>20221</v>
      </c>
      <c r="H9597" s="994" t="s">
        <v>3907</v>
      </c>
      <c r="I9597" s="11" t="s">
        <v>12904</v>
      </c>
      <c r="J9597" s="1285"/>
      <c r="K9597" s="1285"/>
      <c r="L9597" s="1285"/>
    </row>
    <row r="9598" spans="1:12" ht="11.15" customHeight="1">
      <c r="A9598" s="29" t="s">
        <v>12905</v>
      </c>
      <c r="B9598" s="59" t="s">
        <v>21977</v>
      </c>
      <c r="C9598" s="147" t="s">
        <v>20221</v>
      </c>
      <c r="D9598" s="701" t="s">
        <v>1129</v>
      </c>
      <c r="E9598" s="178">
        <v>2021</v>
      </c>
      <c r="F9598" s="178" t="s">
        <v>4520</v>
      </c>
      <c r="G9598" s="496"/>
      <c r="H9598" s="994" t="s">
        <v>20221</v>
      </c>
      <c r="I9598" s="11" t="s">
        <v>12906</v>
      </c>
      <c r="J9598" s="1285"/>
      <c r="K9598" s="1285"/>
      <c r="L9598" s="1285"/>
    </row>
    <row r="9599" spans="1:12" ht="11.15" customHeight="1">
      <c r="A9599" s="29" t="s">
        <v>12907</v>
      </c>
      <c r="B9599" s="59" t="s">
        <v>22059</v>
      </c>
      <c r="C9599" s="147" t="s">
        <v>20221</v>
      </c>
      <c r="D9599" s="701" t="s">
        <v>1129</v>
      </c>
      <c r="E9599" s="178">
        <v>2021</v>
      </c>
      <c r="F9599" s="178" t="s">
        <v>4520</v>
      </c>
      <c r="G9599" s="496"/>
      <c r="H9599" s="994" t="s">
        <v>20221</v>
      </c>
      <c r="I9599" s="11" t="s">
        <v>12908</v>
      </c>
      <c r="J9599" s="1285"/>
      <c r="K9599" s="1285"/>
      <c r="L9599" s="1285"/>
    </row>
    <row r="9600" spans="1:12" ht="11.15" customHeight="1">
      <c r="A9600" s="29" t="s">
        <v>12909</v>
      </c>
      <c r="B9600" s="59" t="s">
        <v>22059</v>
      </c>
      <c r="C9600" s="147" t="s">
        <v>20221</v>
      </c>
      <c r="D9600" s="701" t="s">
        <v>1129</v>
      </c>
      <c r="E9600" s="178">
        <v>2016</v>
      </c>
      <c r="F9600" s="178" t="s">
        <v>4520</v>
      </c>
      <c r="G9600" s="496"/>
      <c r="H9600" s="994" t="s">
        <v>20277</v>
      </c>
      <c r="I9600" s="11" t="s">
        <v>12910</v>
      </c>
      <c r="J9600" s="1285"/>
      <c r="K9600" s="1285"/>
      <c r="L9600" s="1285"/>
    </row>
    <row r="9601" spans="1:12" ht="11.15" customHeight="1">
      <c r="A9601" s="29" t="s">
        <v>12911</v>
      </c>
      <c r="B9601" s="59" t="s">
        <v>22060</v>
      </c>
      <c r="C9601" s="147" t="s">
        <v>20221</v>
      </c>
      <c r="D9601" s="701" t="s">
        <v>1129</v>
      </c>
      <c r="E9601" s="178">
        <v>2018</v>
      </c>
      <c r="F9601" s="178" t="s">
        <v>4520</v>
      </c>
      <c r="G9601" s="496"/>
      <c r="H9601" s="994" t="s">
        <v>20221</v>
      </c>
      <c r="I9601" s="11" t="s">
        <v>12912</v>
      </c>
      <c r="J9601" s="1285"/>
      <c r="K9601" s="1285"/>
      <c r="L9601" s="1285"/>
    </row>
    <row r="9602" spans="1:12" ht="11.15" customHeight="1">
      <c r="A9602" s="29" t="s">
        <v>12913</v>
      </c>
      <c r="B9602" s="59" t="s">
        <v>22061</v>
      </c>
      <c r="C9602" s="147" t="s">
        <v>20221</v>
      </c>
      <c r="D9602" s="701" t="s">
        <v>1129</v>
      </c>
      <c r="E9602" s="178">
        <v>2015</v>
      </c>
      <c r="F9602" s="178" t="s">
        <v>4520</v>
      </c>
      <c r="G9602" s="496"/>
      <c r="H9602" s="994" t="s">
        <v>20221</v>
      </c>
      <c r="I9602" s="11" t="s">
        <v>12914</v>
      </c>
      <c r="J9602" s="1285"/>
      <c r="K9602" s="1285"/>
      <c r="L9602" s="1285"/>
    </row>
    <row r="9603" spans="1:12" ht="11.15" customHeight="1">
      <c r="A9603" s="129" t="s">
        <v>12915</v>
      </c>
      <c r="B9603" s="59" t="s">
        <v>22062</v>
      </c>
      <c r="C9603" s="147" t="s">
        <v>20221</v>
      </c>
      <c r="D9603" s="701" t="s">
        <v>1129</v>
      </c>
      <c r="E9603" s="178">
        <v>2021</v>
      </c>
      <c r="F9603" s="178" t="s">
        <v>4520</v>
      </c>
      <c r="G9603" s="496"/>
      <c r="H9603" s="994" t="s">
        <v>20221</v>
      </c>
      <c r="I9603" s="11" t="s">
        <v>12916</v>
      </c>
      <c r="J9603" s="1285"/>
      <c r="K9603" s="1285"/>
      <c r="L9603" s="1285"/>
    </row>
    <row r="9604" spans="1:12" ht="11.15" customHeight="1">
      <c r="B9604" s="59" t="s">
        <v>22062</v>
      </c>
      <c r="C9604" s="147" t="s">
        <v>20221</v>
      </c>
      <c r="D9604" s="701" t="s">
        <v>1129</v>
      </c>
      <c r="E9604" s="178">
        <v>2016</v>
      </c>
      <c r="F9604" s="178" t="s">
        <v>4520</v>
      </c>
      <c r="G9604" s="496"/>
      <c r="H9604" s="994" t="s">
        <v>20221</v>
      </c>
      <c r="I9604" s="11" t="s">
        <v>12917</v>
      </c>
      <c r="J9604" s="1285"/>
      <c r="K9604" s="1285"/>
      <c r="L9604" s="1285"/>
    </row>
    <row r="9605" spans="1:12" ht="11.15" customHeight="1">
      <c r="A9605" s="29"/>
      <c r="B9605" s="59" t="s">
        <v>21980</v>
      </c>
      <c r="C9605" s="147" t="s">
        <v>20221</v>
      </c>
      <c r="D9605" s="701" t="s">
        <v>1129</v>
      </c>
      <c r="E9605" s="178">
        <v>2016</v>
      </c>
      <c r="F9605" s="178" t="s">
        <v>4520</v>
      </c>
      <c r="G9605" s="496"/>
      <c r="H9605" s="994" t="s">
        <v>20221</v>
      </c>
      <c r="I9605" s="11" t="s">
        <v>12918</v>
      </c>
      <c r="J9605" s="1285"/>
      <c r="K9605" s="1285"/>
      <c r="L9605" s="1285"/>
    </row>
    <row r="9606" spans="1:12" ht="11.15" customHeight="1">
      <c r="A9606" s="185"/>
      <c r="B9606" s="154" t="s">
        <v>11253</v>
      </c>
      <c r="C9606" s="147"/>
      <c r="D9606" s="122"/>
      <c r="E9606" s="178"/>
      <c r="F9606" s="178"/>
      <c r="G9606" s="60"/>
      <c r="H9606" s="178"/>
      <c r="I9606" s="11"/>
    </row>
    <row r="9607" spans="1:12" ht="11.15" customHeight="1">
      <c r="A9607" s="185"/>
      <c r="B9607" s="59" t="s">
        <v>22063</v>
      </c>
      <c r="C9607" s="147" t="s">
        <v>20221</v>
      </c>
      <c r="D9607" s="284" t="s">
        <v>897</v>
      </c>
      <c r="E9607" s="178">
        <v>2021</v>
      </c>
      <c r="F9607" s="178" t="s">
        <v>23395</v>
      </c>
      <c r="G9607" s="496"/>
      <c r="H9607" s="994" t="s">
        <v>20221</v>
      </c>
      <c r="I9607" s="11" t="s">
        <v>12919</v>
      </c>
      <c r="J9607" s="1285"/>
      <c r="K9607" s="1285"/>
      <c r="L9607" s="1285"/>
    </row>
    <row r="9608" spans="1:12" ht="11.15" customHeight="1">
      <c r="A9608" s="185"/>
      <c r="B9608" s="59" t="s">
        <v>22064</v>
      </c>
      <c r="C9608" s="147" t="s">
        <v>20221</v>
      </c>
      <c r="D9608" s="284" t="s">
        <v>897</v>
      </c>
      <c r="E9608" s="178">
        <v>2019</v>
      </c>
      <c r="F9608" s="178" t="s">
        <v>4520</v>
      </c>
      <c r="G9608" s="496"/>
      <c r="H9608" s="994" t="s">
        <v>20221</v>
      </c>
      <c r="I9608" s="11" t="s">
        <v>12920</v>
      </c>
      <c r="J9608" s="1285"/>
      <c r="K9608" s="1285"/>
      <c r="L9608" s="1285"/>
    </row>
    <row r="9609" spans="1:12" ht="11.15" customHeight="1">
      <c r="A9609" s="29"/>
      <c r="B9609" s="59" t="s">
        <v>22064</v>
      </c>
      <c r="C9609" s="147" t="s">
        <v>20221</v>
      </c>
      <c r="D9609" s="284" t="s">
        <v>897</v>
      </c>
      <c r="E9609" s="178">
        <v>2015</v>
      </c>
      <c r="F9609" s="178" t="s">
        <v>4520</v>
      </c>
      <c r="G9609" s="496"/>
      <c r="H9609" s="994" t="s">
        <v>20221</v>
      </c>
      <c r="I9609" s="11" t="s">
        <v>12921</v>
      </c>
      <c r="J9609" s="1285"/>
      <c r="K9609" s="1285"/>
      <c r="L9609" s="1285"/>
    </row>
    <row r="9610" spans="1:12" ht="11.15" customHeight="1">
      <c r="A9610" s="185"/>
      <c r="B9610" s="59" t="s">
        <v>22065</v>
      </c>
      <c r="C9610" s="147" t="s">
        <v>20221</v>
      </c>
      <c r="D9610" s="284" t="s">
        <v>897</v>
      </c>
      <c r="E9610" s="178">
        <v>2021</v>
      </c>
      <c r="F9610" s="178" t="s">
        <v>4520</v>
      </c>
      <c r="G9610" s="496"/>
      <c r="H9610" s="994" t="s">
        <v>20221</v>
      </c>
      <c r="I9610" s="11" t="s">
        <v>12922</v>
      </c>
      <c r="J9610" s="1285"/>
      <c r="K9610" s="1285"/>
      <c r="L9610" s="1285"/>
    </row>
    <row r="9611" spans="1:12" ht="11.15" customHeight="1">
      <c r="A9611" s="271"/>
      <c r="B9611" s="59" t="s">
        <v>21389</v>
      </c>
      <c r="C9611" s="147" t="s">
        <v>20221</v>
      </c>
      <c r="D9611" s="284" t="s">
        <v>897</v>
      </c>
      <c r="E9611" s="178">
        <v>2012</v>
      </c>
      <c r="F9611" s="178" t="s">
        <v>4520</v>
      </c>
      <c r="G9611" s="496"/>
      <c r="H9611" s="994" t="s">
        <v>20221</v>
      </c>
      <c r="I9611" s="11" t="s">
        <v>12923</v>
      </c>
      <c r="J9611" s="1285"/>
      <c r="K9611" s="1285"/>
      <c r="L9611" s="1285"/>
    </row>
    <row r="9612" spans="1:12" ht="11.15" customHeight="1" thickBot="1">
      <c r="A9612" s="185"/>
      <c r="B9612" s="90"/>
      <c r="C9612" s="147"/>
      <c r="D9612" s="122"/>
      <c r="E9612" s="36"/>
      <c r="F9612" s="178"/>
      <c r="G9612" s="453"/>
      <c r="H9612" s="36"/>
      <c r="I9612" s="11"/>
    </row>
    <row r="9613" spans="1:12" ht="24" customHeight="1" thickBot="1">
      <c r="A9613" s="647"/>
      <c r="B9613" s="64" t="s">
        <v>12924</v>
      </c>
      <c r="C9613" s="170"/>
      <c r="D9613" s="382"/>
      <c r="E9613" s="235"/>
      <c r="F9613" s="383"/>
      <c r="G9613" s="1249"/>
      <c r="H9613" s="1132"/>
      <c r="I9613" s="11"/>
    </row>
    <row r="9614" spans="1:12" ht="11.15" customHeight="1">
      <c r="A9614" s="29"/>
      <c r="B9614" s="413" t="s">
        <v>12925</v>
      </c>
      <c r="C9614" s="147"/>
      <c r="D9614" s="182"/>
      <c r="E9614" s="36"/>
      <c r="F9614" s="178"/>
      <c r="G9614" s="496"/>
      <c r="H9614" s="36"/>
      <c r="I9614" s="11"/>
    </row>
    <row r="9615" spans="1:12" ht="9" customHeight="1">
      <c r="A9615" s="29"/>
      <c r="B9615" s="672" t="s">
        <v>12926</v>
      </c>
      <c r="C9615" s="147"/>
      <c r="D9615" s="182"/>
      <c r="E9615" s="36"/>
      <c r="F9615" s="178"/>
      <c r="G9615" s="496"/>
      <c r="H9615" s="36"/>
      <c r="I9615" s="11"/>
    </row>
    <row r="9616" spans="1:12" ht="9" customHeight="1">
      <c r="A9616" s="29"/>
      <c r="B9616" s="209" t="s">
        <v>12927</v>
      </c>
      <c r="C9616" s="147"/>
      <c r="D9616" s="182"/>
      <c r="E9616" s="36"/>
      <c r="F9616" s="178"/>
      <c r="G9616" s="496"/>
      <c r="H9616" s="36"/>
      <c r="I9616" s="11"/>
    </row>
    <row r="9617" spans="1:12" ht="9" customHeight="1">
      <c r="A9617" s="29"/>
      <c r="B9617" s="209" t="s">
        <v>12928</v>
      </c>
      <c r="C9617" s="147"/>
      <c r="D9617" s="182"/>
      <c r="E9617" s="36"/>
      <c r="F9617" s="178"/>
      <c r="G9617" s="496"/>
      <c r="H9617" s="36"/>
      <c r="I9617" s="11"/>
    </row>
    <row r="9618" spans="1:12" ht="9" customHeight="1">
      <c r="A9618" s="29"/>
      <c r="B9618" s="150" t="s">
        <v>12929</v>
      </c>
      <c r="C9618" s="147"/>
      <c r="D9618" s="182"/>
      <c r="E9618" s="36"/>
      <c r="F9618" s="178"/>
      <c r="G9618" s="496"/>
      <c r="H9618" s="36"/>
      <c r="I9618" s="11"/>
    </row>
    <row r="9619" spans="1:12" ht="9" customHeight="1">
      <c r="A9619" s="29"/>
      <c r="B9619" s="150" t="s">
        <v>12930</v>
      </c>
      <c r="C9619" s="147"/>
      <c r="D9619" s="182"/>
      <c r="E9619" s="36"/>
      <c r="F9619" s="178"/>
      <c r="G9619" s="496"/>
      <c r="H9619" s="36"/>
      <c r="I9619" s="11"/>
    </row>
    <row r="9620" spans="1:12" ht="9" customHeight="1">
      <c r="A9620" s="29"/>
      <c r="B9620" s="209" t="s">
        <v>12931</v>
      </c>
      <c r="C9620" s="147"/>
      <c r="D9620" s="182"/>
      <c r="E9620" s="36"/>
      <c r="F9620" s="178"/>
      <c r="G9620" s="496"/>
      <c r="H9620" s="36"/>
      <c r="I9620" s="11"/>
    </row>
    <row r="9621" spans="1:12" ht="9" customHeight="1">
      <c r="A9621" s="29"/>
      <c r="B9621" s="209" t="s">
        <v>12932</v>
      </c>
      <c r="C9621" s="147"/>
      <c r="D9621" s="182"/>
      <c r="E9621" s="36"/>
      <c r="F9621" s="178"/>
      <c r="G9621" s="496"/>
      <c r="H9621" s="36"/>
      <c r="I9621" s="11"/>
    </row>
    <row r="9622" spans="1:12" ht="9" customHeight="1">
      <c r="A9622" s="29"/>
      <c r="B9622" s="209" t="s">
        <v>12933</v>
      </c>
      <c r="C9622" s="147"/>
      <c r="D9622" s="182"/>
      <c r="E9622" s="36"/>
      <c r="F9622" s="178"/>
      <c r="G9622" s="496"/>
      <c r="H9622" s="36"/>
      <c r="I9622" s="11"/>
    </row>
    <row r="9623" spans="1:12" ht="9" customHeight="1">
      <c r="A9623" s="29"/>
      <c r="B9623" s="209" t="s">
        <v>12934</v>
      </c>
      <c r="C9623" s="147"/>
      <c r="D9623" s="182"/>
      <c r="E9623" s="36"/>
      <c r="F9623" s="178"/>
      <c r="G9623" s="496"/>
      <c r="H9623" s="36"/>
      <c r="I9623" s="11"/>
    </row>
    <row r="9624" spans="1:12" ht="9" customHeight="1">
      <c r="A9624" s="29"/>
      <c r="B9624" s="209" t="s">
        <v>12935</v>
      </c>
      <c r="C9624" s="147"/>
      <c r="D9624" s="182"/>
      <c r="E9624" s="36"/>
      <c r="F9624" s="178"/>
      <c r="G9624" s="496"/>
      <c r="H9624" s="36"/>
      <c r="I9624" s="11"/>
    </row>
    <row r="9625" spans="1:12" ht="9" customHeight="1">
      <c r="A9625" s="29"/>
      <c r="B9625" s="209" t="s">
        <v>12936</v>
      </c>
      <c r="C9625" s="147"/>
      <c r="D9625" s="161"/>
      <c r="E9625" s="36"/>
      <c r="F9625" s="178"/>
      <c r="G9625" s="496"/>
      <c r="H9625" s="36"/>
      <c r="I9625" s="11"/>
    </row>
    <row r="9626" spans="1:12" ht="9" customHeight="1">
      <c r="A9626" s="29"/>
      <c r="B9626" s="209" t="s">
        <v>12937</v>
      </c>
      <c r="C9626" s="147"/>
      <c r="D9626" s="161"/>
      <c r="E9626" s="36"/>
      <c r="F9626" s="178"/>
      <c r="G9626" s="496"/>
      <c r="H9626" s="36"/>
      <c r="I9626" s="11"/>
    </row>
    <row r="9627" spans="1:12" ht="9" customHeight="1">
      <c r="A9627" s="29"/>
      <c r="B9627" s="209" t="s">
        <v>12938</v>
      </c>
      <c r="C9627" s="147"/>
      <c r="D9627" s="161"/>
      <c r="E9627" s="36"/>
      <c r="F9627" s="178"/>
      <c r="G9627" s="496"/>
      <c r="H9627" s="36"/>
      <c r="I9627" s="11"/>
    </row>
    <row r="9628" spans="1:12" ht="9" customHeight="1">
      <c r="A9628" s="29"/>
      <c r="B9628" s="209" t="s">
        <v>12939</v>
      </c>
      <c r="C9628" s="147"/>
      <c r="D9628" s="182"/>
      <c r="E9628" s="36"/>
      <c r="F9628" s="178"/>
      <c r="G9628" s="496"/>
      <c r="H9628" s="36"/>
      <c r="I9628" s="11"/>
    </row>
    <row r="9629" spans="1:12" ht="9" customHeight="1">
      <c r="A9629" s="29"/>
      <c r="B9629" s="209" t="s">
        <v>12940</v>
      </c>
      <c r="C9629" s="147"/>
      <c r="D9629" s="182"/>
      <c r="E9629" s="36"/>
      <c r="F9629" s="178"/>
      <c r="G9629" s="496"/>
      <c r="H9629" s="36"/>
      <c r="I9629" s="11"/>
    </row>
    <row r="9630" spans="1:12" ht="9" customHeight="1" thickBot="1">
      <c r="A9630" s="29"/>
      <c r="B9630" s="209" t="s">
        <v>12941</v>
      </c>
      <c r="C9630" s="147"/>
      <c r="D9630" s="161"/>
      <c r="E9630" s="36"/>
      <c r="F9630" s="178"/>
      <c r="G9630" s="497"/>
      <c r="H9630" s="36"/>
      <c r="I9630" s="11"/>
    </row>
    <row r="9631" spans="1:12" ht="11.15" customHeight="1">
      <c r="A9631" s="153" t="s">
        <v>12942</v>
      </c>
      <c r="B9631" s="154" t="s">
        <v>12943</v>
      </c>
      <c r="C9631" s="147"/>
      <c r="D9631" s="129"/>
      <c r="E9631" s="185"/>
      <c r="F9631" s="185"/>
      <c r="G9631" s="185"/>
      <c r="H9631" s="185"/>
      <c r="I9631" s="11"/>
    </row>
    <row r="9632" spans="1:12" ht="11.15" customHeight="1" thickBot="1">
      <c r="A9632" s="230" t="s">
        <v>12944</v>
      </c>
      <c r="B9632" s="59" t="s">
        <v>22067</v>
      </c>
      <c r="C9632" s="147" t="s">
        <v>20221</v>
      </c>
      <c r="D9632" s="284" t="s">
        <v>897</v>
      </c>
      <c r="E9632" s="178">
        <v>2022</v>
      </c>
      <c r="F9632" s="178" t="s">
        <v>4520</v>
      </c>
      <c r="G9632" s="496"/>
      <c r="H9632" s="994" t="s">
        <v>20221</v>
      </c>
      <c r="I9632" s="11" t="s">
        <v>12945</v>
      </c>
      <c r="J9632" s="1285"/>
      <c r="K9632" s="1285"/>
      <c r="L9632" s="1285"/>
    </row>
    <row r="9633" spans="1:12" ht="11.15" customHeight="1">
      <c r="A9633" s="29" t="s">
        <v>12946</v>
      </c>
      <c r="B9633" s="59" t="s">
        <v>22067</v>
      </c>
      <c r="C9633" s="147" t="s">
        <v>20221</v>
      </c>
      <c r="D9633" s="284" t="s">
        <v>897</v>
      </c>
      <c r="E9633" s="178">
        <v>2018</v>
      </c>
      <c r="F9633" s="178" t="s">
        <v>4520</v>
      </c>
      <c r="G9633" s="496"/>
      <c r="H9633" s="994" t="s">
        <v>20224</v>
      </c>
      <c r="I9633" s="11" t="s">
        <v>12947</v>
      </c>
      <c r="J9633" s="1285"/>
      <c r="K9633" s="1285"/>
      <c r="L9633" s="1285"/>
    </row>
    <row r="9634" spans="1:12" ht="11.15" customHeight="1">
      <c r="A9634" s="29" t="s">
        <v>12948</v>
      </c>
      <c r="B9634" s="154" t="s">
        <v>12949</v>
      </c>
      <c r="C9634" s="147"/>
      <c r="D9634" s="129"/>
      <c r="E9634" s="185"/>
      <c r="F9634" s="185"/>
      <c r="G9634" s="185"/>
      <c r="H9634" s="185"/>
      <c r="I9634" s="11"/>
    </row>
    <row r="9635" spans="1:12" ht="11.15" customHeight="1">
      <c r="A9635" s="29" t="s">
        <v>12950</v>
      </c>
      <c r="B9635" s="59" t="s">
        <v>22068</v>
      </c>
      <c r="C9635" s="147" t="s">
        <v>20221</v>
      </c>
      <c r="D9635" s="284" t="s">
        <v>897</v>
      </c>
      <c r="E9635" s="178">
        <v>2021</v>
      </c>
      <c r="F9635" s="178" t="s">
        <v>4520</v>
      </c>
      <c r="G9635" s="496"/>
      <c r="H9635" s="994" t="s">
        <v>20221</v>
      </c>
      <c r="I9635" s="11" t="s">
        <v>12951</v>
      </c>
      <c r="J9635" s="1285"/>
      <c r="K9635" s="1285"/>
      <c r="L9635" s="1285"/>
    </row>
    <row r="9636" spans="1:12" ht="11.15" customHeight="1">
      <c r="A9636" s="29" t="s">
        <v>12952</v>
      </c>
      <c r="B9636" s="59" t="s">
        <v>22068</v>
      </c>
      <c r="C9636" s="147" t="s">
        <v>20221</v>
      </c>
      <c r="D9636" s="284" t="s">
        <v>897</v>
      </c>
      <c r="E9636" s="178">
        <v>2020</v>
      </c>
      <c r="F9636" s="178" t="s">
        <v>4520</v>
      </c>
      <c r="G9636" s="496"/>
      <c r="H9636" s="994" t="s">
        <v>20221</v>
      </c>
      <c r="I9636" s="11" t="s">
        <v>12953</v>
      </c>
      <c r="J9636" s="1285"/>
      <c r="K9636" s="1285"/>
      <c r="L9636" s="1285"/>
    </row>
    <row r="9637" spans="1:12" ht="11.15" customHeight="1">
      <c r="A9637" s="195" t="s">
        <v>12954</v>
      </c>
      <c r="B9637" s="59" t="s">
        <v>22068</v>
      </c>
      <c r="C9637" s="147" t="s">
        <v>20221</v>
      </c>
      <c r="D9637" s="284" t="s">
        <v>897</v>
      </c>
      <c r="E9637" s="178">
        <v>2019</v>
      </c>
      <c r="F9637" s="178" t="s">
        <v>4520</v>
      </c>
      <c r="G9637" s="496"/>
      <c r="H9637" s="994" t="s">
        <v>20221</v>
      </c>
      <c r="I9637" s="11" t="s">
        <v>12955</v>
      </c>
      <c r="J9637" s="1285"/>
      <c r="K9637" s="1285"/>
      <c r="L9637" s="1285"/>
    </row>
    <row r="9638" spans="1:12" ht="11.15" customHeight="1">
      <c r="A9638" s="29" t="s">
        <v>12956</v>
      </c>
      <c r="B9638" s="59" t="s">
        <v>22068</v>
      </c>
      <c r="C9638" s="147" t="s">
        <v>20221</v>
      </c>
      <c r="D9638" s="284" t="s">
        <v>897</v>
      </c>
      <c r="E9638" s="178">
        <v>2018</v>
      </c>
      <c r="F9638" s="178" t="s">
        <v>4520</v>
      </c>
      <c r="G9638" s="496"/>
      <c r="H9638" s="994" t="s">
        <v>20224</v>
      </c>
      <c r="I9638" s="11" t="s">
        <v>12957</v>
      </c>
      <c r="J9638" s="1285"/>
      <c r="K9638" s="1285"/>
      <c r="L9638" s="1285"/>
    </row>
    <row r="9639" spans="1:12" ht="11.15" customHeight="1">
      <c r="A9639" s="218" t="s">
        <v>12958</v>
      </c>
      <c r="B9639" s="59" t="s">
        <v>22068</v>
      </c>
      <c r="C9639" s="147" t="s">
        <v>20221</v>
      </c>
      <c r="D9639" s="284" t="s">
        <v>897</v>
      </c>
      <c r="E9639" s="178">
        <v>2017</v>
      </c>
      <c r="F9639" s="178" t="s">
        <v>4520</v>
      </c>
      <c r="G9639" s="496"/>
      <c r="H9639" s="994" t="s">
        <v>20221</v>
      </c>
      <c r="I9639" s="11" t="s">
        <v>12959</v>
      </c>
      <c r="J9639" s="1285"/>
      <c r="K9639" s="1285"/>
      <c r="L9639" s="1285"/>
    </row>
    <row r="9640" spans="1:12" ht="11.15" customHeight="1">
      <c r="A9640" s="181" t="s">
        <v>950</v>
      </c>
      <c r="B9640" s="59" t="s">
        <v>22068</v>
      </c>
      <c r="C9640" s="147" t="s">
        <v>20221</v>
      </c>
      <c r="D9640" s="284" t="s">
        <v>897</v>
      </c>
      <c r="E9640" s="178">
        <v>2016</v>
      </c>
      <c r="F9640" s="178" t="s">
        <v>4520</v>
      </c>
      <c r="G9640" s="496"/>
      <c r="H9640" s="994" t="s">
        <v>20221</v>
      </c>
      <c r="I9640" s="11" t="s">
        <v>12960</v>
      </c>
      <c r="J9640" s="1285"/>
      <c r="K9640" s="1285"/>
      <c r="L9640" s="1285"/>
    </row>
    <row r="9641" spans="1:12" ht="11.15" customHeight="1">
      <c r="A9641" s="129" t="s">
        <v>1308</v>
      </c>
      <c r="B9641" s="59" t="s">
        <v>22068</v>
      </c>
      <c r="C9641" s="147" t="s">
        <v>20221</v>
      </c>
      <c r="D9641" s="284" t="s">
        <v>897</v>
      </c>
      <c r="E9641" s="178">
        <v>2014</v>
      </c>
      <c r="F9641" s="178" t="s">
        <v>4520</v>
      </c>
      <c r="G9641" s="496"/>
      <c r="H9641" s="994" t="s">
        <v>20221</v>
      </c>
      <c r="I9641" s="11" t="s">
        <v>12961</v>
      </c>
      <c r="J9641" s="1285"/>
      <c r="K9641" s="1285"/>
      <c r="L9641" s="1285"/>
    </row>
    <row r="9642" spans="1:12" ht="11.15" customHeight="1">
      <c r="A9642" s="162" t="s">
        <v>12962</v>
      </c>
      <c r="B9642" s="59" t="s">
        <v>22068</v>
      </c>
      <c r="C9642" s="147" t="s">
        <v>20221</v>
      </c>
      <c r="D9642" s="284" t="s">
        <v>897</v>
      </c>
      <c r="E9642" s="178">
        <v>2013</v>
      </c>
      <c r="F9642" s="178" t="s">
        <v>4520</v>
      </c>
      <c r="G9642" s="496"/>
      <c r="H9642" s="994" t="s">
        <v>20221</v>
      </c>
      <c r="I9642" s="11" t="s">
        <v>12963</v>
      </c>
      <c r="J9642" s="1285"/>
      <c r="K9642" s="1285"/>
      <c r="L9642" s="1285"/>
    </row>
    <row r="9643" spans="1:12" ht="11.15" customHeight="1">
      <c r="A9643" s="162" t="s">
        <v>12964</v>
      </c>
      <c r="B9643" s="59" t="s">
        <v>22068</v>
      </c>
      <c r="C9643" s="147" t="s">
        <v>20221</v>
      </c>
      <c r="D9643" s="284" t="s">
        <v>897</v>
      </c>
      <c r="E9643" s="178">
        <v>2012</v>
      </c>
      <c r="F9643" s="178" t="s">
        <v>4520</v>
      </c>
      <c r="G9643" s="496"/>
      <c r="H9643" s="994" t="s">
        <v>20221</v>
      </c>
      <c r="I9643" s="11" t="s">
        <v>12965</v>
      </c>
      <c r="J9643" s="1285"/>
      <c r="K9643" s="1285"/>
      <c r="L9643" s="1285"/>
    </row>
    <row r="9644" spans="1:12" ht="11.15" customHeight="1">
      <c r="A9644" s="162" t="s">
        <v>12966</v>
      </c>
      <c r="B9644" s="574" t="s">
        <v>12967</v>
      </c>
      <c r="C9644" s="147"/>
      <c r="D9644" s="673"/>
      <c r="E9644" s="178"/>
      <c r="F9644" s="178"/>
      <c r="G9644" s="60"/>
      <c r="H9644" s="178"/>
      <c r="I9644" s="11"/>
    </row>
    <row r="9645" spans="1:12" ht="11.15" customHeight="1">
      <c r="A9645" s="162" t="s">
        <v>12968</v>
      </c>
      <c r="B9645" s="59" t="s">
        <v>22069</v>
      </c>
      <c r="C9645" s="147" t="s">
        <v>20221</v>
      </c>
      <c r="D9645" s="284" t="s">
        <v>897</v>
      </c>
      <c r="E9645" s="178">
        <v>2020</v>
      </c>
      <c r="F9645" s="178" t="s">
        <v>4520</v>
      </c>
      <c r="G9645" s="496"/>
      <c r="H9645" s="994" t="s">
        <v>20221</v>
      </c>
      <c r="I9645" s="11" t="s">
        <v>12969</v>
      </c>
      <c r="J9645" s="1285"/>
      <c r="K9645" s="1285"/>
      <c r="L9645" s="1285"/>
    </row>
    <row r="9646" spans="1:12" ht="11.15" customHeight="1">
      <c r="A9646" s="162" t="s">
        <v>12970</v>
      </c>
      <c r="B9646" s="59" t="s">
        <v>22069</v>
      </c>
      <c r="C9646" s="147" t="s">
        <v>20221</v>
      </c>
      <c r="D9646" s="284" t="s">
        <v>897</v>
      </c>
      <c r="E9646" s="178">
        <v>2019</v>
      </c>
      <c r="F9646" s="178" t="s">
        <v>4520</v>
      </c>
      <c r="G9646" s="496"/>
      <c r="H9646" s="994" t="s">
        <v>20224</v>
      </c>
      <c r="I9646" s="11" t="s">
        <v>12971</v>
      </c>
      <c r="J9646" s="1285"/>
      <c r="K9646" s="1285"/>
      <c r="L9646" s="1285"/>
    </row>
    <row r="9647" spans="1:12" ht="11.15" customHeight="1">
      <c r="A9647" s="162" t="s">
        <v>12972</v>
      </c>
      <c r="B9647" s="59" t="s">
        <v>22069</v>
      </c>
      <c r="C9647" s="147" t="s">
        <v>20221</v>
      </c>
      <c r="D9647" s="284" t="s">
        <v>897</v>
      </c>
      <c r="E9647" s="178">
        <v>2018</v>
      </c>
      <c r="F9647" s="178" t="s">
        <v>4520</v>
      </c>
      <c r="G9647" s="496"/>
      <c r="H9647" s="994" t="s">
        <v>20224</v>
      </c>
      <c r="I9647" s="11" t="s">
        <v>12973</v>
      </c>
      <c r="J9647" s="1285"/>
      <c r="K9647" s="1285"/>
      <c r="L9647" s="1285"/>
    </row>
    <row r="9648" spans="1:12" ht="11.15" customHeight="1">
      <c r="A9648" s="162" t="s">
        <v>12974</v>
      </c>
      <c r="B9648" s="59" t="s">
        <v>22069</v>
      </c>
      <c r="C9648" s="147" t="s">
        <v>20221</v>
      </c>
      <c r="D9648" s="284" t="s">
        <v>897</v>
      </c>
      <c r="E9648" s="178">
        <v>2017</v>
      </c>
      <c r="F9648" s="178" t="s">
        <v>4520</v>
      </c>
      <c r="G9648" s="496"/>
      <c r="H9648" s="994" t="s">
        <v>20221</v>
      </c>
      <c r="I9648" s="11" t="s">
        <v>12975</v>
      </c>
      <c r="J9648" s="1285"/>
      <c r="K9648" s="1285"/>
      <c r="L9648" s="1285"/>
    </row>
    <row r="9649" spans="1:12" ht="11.15" customHeight="1">
      <c r="A9649" s="162" t="s">
        <v>12976</v>
      </c>
      <c r="B9649" s="59" t="s">
        <v>22069</v>
      </c>
      <c r="C9649" s="147" t="s">
        <v>20221</v>
      </c>
      <c r="D9649" s="284" t="s">
        <v>897</v>
      </c>
      <c r="E9649" s="178">
        <v>2015</v>
      </c>
      <c r="F9649" s="178" t="s">
        <v>4520</v>
      </c>
      <c r="G9649" s="496"/>
      <c r="H9649" s="994" t="s">
        <v>20221</v>
      </c>
      <c r="I9649" s="11" t="s">
        <v>12977</v>
      </c>
      <c r="J9649" s="1285"/>
      <c r="K9649" s="1285"/>
      <c r="L9649" s="1285"/>
    </row>
    <row r="9650" spans="1:12" ht="11.15" customHeight="1">
      <c r="A9650" s="162" t="s">
        <v>12978</v>
      </c>
      <c r="B9650" s="59" t="s">
        <v>22069</v>
      </c>
      <c r="C9650" s="147" t="s">
        <v>20221</v>
      </c>
      <c r="D9650" s="284" t="s">
        <v>897</v>
      </c>
      <c r="E9650" s="178">
        <v>2014</v>
      </c>
      <c r="F9650" s="178" t="s">
        <v>4520</v>
      </c>
      <c r="G9650" s="496"/>
      <c r="H9650" s="994" t="s">
        <v>20221</v>
      </c>
      <c r="I9650" s="11" t="s">
        <v>12979</v>
      </c>
      <c r="J9650" s="1285"/>
      <c r="K9650" s="1285"/>
      <c r="L9650" s="1285"/>
    </row>
    <row r="9651" spans="1:12" ht="11.15" customHeight="1">
      <c r="A9651" s="162" t="s">
        <v>12980</v>
      </c>
      <c r="B9651" s="59" t="s">
        <v>22069</v>
      </c>
      <c r="C9651" s="147" t="s">
        <v>20221</v>
      </c>
      <c r="D9651" s="284" t="s">
        <v>897</v>
      </c>
      <c r="E9651" s="178">
        <v>2013</v>
      </c>
      <c r="F9651" s="178" t="s">
        <v>4520</v>
      </c>
      <c r="G9651" s="496"/>
      <c r="H9651" s="994" t="s">
        <v>20224</v>
      </c>
      <c r="I9651" s="11" t="s">
        <v>12981</v>
      </c>
      <c r="J9651" s="1285"/>
      <c r="K9651" s="1285"/>
      <c r="L9651" s="1285"/>
    </row>
    <row r="9652" spans="1:12" ht="11.15" customHeight="1">
      <c r="A9652" s="162" t="s">
        <v>12982</v>
      </c>
      <c r="B9652" s="154" t="s">
        <v>1691</v>
      </c>
      <c r="C9652" s="147"/>
      <c r="D9652" s="161"/>
      <c r="E9652" s="36"/>
      <c r="F9652" s="178"/>
      <c r="G9652" s="671"/>
      <c r="H9652" s="36"/>
      <c r="I9652" s="11"/>
    </row>
    <row r="9653" spans="1:12" ht="11.15" customHeight="1">
      <c r="A9653" s="162" t="s">
        <v>12983</v>
      </c>
      <c r="B9653" s="59" t="s">
        <v>22070</v>
      </c>
      <c r="C9653" s="147" t="s">
        <v>20221</v>
      </c>
      <c r="D9653" s="284" t="s">
        <v>897</v>
      </c>
      <c r="E9653" s="178">
        <v>2020</v>
      </c>
      <c r="F9653" s="178" t="s">
        <v>5257</v>
      </c>
      <c r="G9653" s="496"/>
      <c r="H9653" s="994" t="s">
        <v>20221</v>
      </c>
      <c r="I9653" s="11" t="s">
        <v>12984</v>
      </c>
      <c r="J9653" s="1285"/>
      <c r="K9653" s="1285"/>
      <c r="L9653" s="1285"/>
    </row>
    <row r="9654" spans="1:12" ht="11.15" customHeight="1">
      <c r="A9654" s="162" t="s">
        <v>12985</v>
      </c>
      <c r="B9654" s="59" t="s">
        <v>22070</v>
      </c>
      <c r="C9654" s="147" t="s">
        <v>20221</v>
      </c>
      <c r="D9654" s="284" t="s">
        <v>897</v>
      </c>
      <c r="E9654" s="178">
        <v>2019</v>
      </c>
      <c r="F9654" s="178" t="s">
        <v>5257</v>
      </c>
      <c r="G9654" s="496"/>
      <c r="H9654" s="994" t="s">
        <v>20221</v>
      </c>
      <c r="I9654" s="11" t="s">
        <v>12986</v>
      </c>
      <c r="J9654" s="1285"/>
      <c r="K9654" s="1285"/>
      <c r="L9654" s="1285"/>
    </row>
    <row r="9655" spans="1:12" ht="11.15" customHeight="1">
      <c r="A9655" s="162" t="s">
        <v>12987</v>
      </c>
      <c r="B9655" s="59" t="s">
        <v>22070</v>
      </c>
      <c r="C9655" s="147" t="s">
        <v>20221</v>
      </c>
      <c r="D9655" s="284" t="s">
        <v>897</v>
      </c>
      <c r="E9655" s="178">
        <v>2017</v>
      </c>
      <c r="F9655" s="178" t="s">
        <v>5257</v>
      </c>
      <c r="G9655" s="496"/>
      <c r="H9655" s="994" t="s">
        <v>20221</v>
      </c>
      <c r="I9655" s="11" t="s">
        <v>12988</v>
      </c>
      <c r="J9655" s="1285"/>
      <c r="K9655" s="1285"/>
      <c r="L9655" s="1285"/>
    </row>
    <row r="9656" spans="1:12" ht="11.15" customHeight="1">
      <c r="A9656" s="162" t="s">
        <v>12989</v>
      </c>
      <c r="B9656" s="59" t="s">
        <v>22070</v>
      </c>
      <c r="C9656" s="147" t="s">
        <v>20221</v>
      </c>
      <c r="D9656" s="284" t="s">
        <v>897</v>
      </c>
      <c r="E9656" s="178">
        <v>2015</v>
      </c>
      <c r="F9656" s="178" t="s">
        <v>5257</v>
      </c>
      <c r="G9656" s="496"/>
      <c r="H9656" s="994" t="s">
        <v>20224</v>
      </c>
      <c r="I9656" s="11" t="s">
        <v>12990</v>
      </c>
      <c r="J9656" s="1285"/>
      <c r="K9656" s="1285"/>
      <c r="L9656" s="1285"/>
    </row>
    <row r="9657" spans="1:12" ht="11.15" customHeight="1">
      <c r="A9657" s="162" t="s">
        <v>12991</v>
      </c>
      <c r="B9657" s="59" t="s">
        <v>22070</v>
      </c>
      <c r="C9657" s="147" t="s">
        <v>20221</v>
      </c>
      <c r="D9657" s="284" t="s">
        <v>897</v>
      </c>
      <c r="E9657" s="178">
        <v>2014</v>
      </c>
      <c r="F9657" s="178" t="s">
        <v>5257</v>
      </c>
      <c r="G9657" s="496"/>
      <c r="H9657" s="994" t="s">
        <v>20221</v>
      </c>
      <c r="I9657" s="11" t="s">
        <v>12992</v>
      </c>
      <c r="J9657" s="1285"/>
      <c r="K9657" s="1285"/>
      <c r="L9657" s="1285"/>
    </row>
    <row r="9658" spans="1:12" ht="11.15" customHeight="1">
      <c r="A9658" s="162" t="s">
        <v>12993</v>
      </c>
      <c r="B9658" s="59" t="s">
        <v>22070</v>
      </c>
      <c r="C9658" s="147" t="s">
        <v>20221</v>
      </c>
      <c r="D9658" s="284" t="s">
        <v>897</v>
      </c>
      <c r="E9658" s="178">
        <v>2013</v>
      </c>
      <c r="F9658" s="178" t="s">
        <v>5257</v>
      </c>
      <c r="G9658" s="496"/>
      <c r="H9658" s="994" t="s">
        <v>20221</v>
      </c>
      <c r="I9658" s="11" t="s">
        <v>12994</v>
      </c>
      <c r="J9658" s="1285"/>
      <c r="K9658" s="1285"/>
      <c r="L9658" s="1285"/>
    </row>
    <row r="9659" spans="1:12" ht="11.15" customHeight="1">
      <c r="A9659" s="29" t="s">
        <v>12995</v>
      </c>
      <c r="B9659" s="59" t="s">
        <v>22070</v>
      </c>
      <c r="C9659" s="147" t="s">
        <v>20221</v>
      </c>
      <c r="D9659" s="284" t="s">
        <v>897</v>
      </c>
      <c r="E9659" s="178">
        <v>2012</v>
      </c>
      <c r="F9659" s="178" t="s">
        <v>5257</v>
      </c>
      <c r="G9659" s="496"/>
      <c r="H9659" s="994" t="s">
        <v>20221</v>
      </c>
      <c r="I9659" s="11" t="s">
        <v>12996</v>
      </c>
      <c r="J9659" s="1285"/>
      <c r="K9659" s="1285"/>
      <c r="L9659" s="1285"/>
    </row>
    <row r="9660" spans="1:12" ht="11.15" customHeight="1">
      <c r="A9660" s="29" t="s">
        <v>12997</v>
      </c>
      <c r="B9660" s="59" t="s">
        <v>22070</v>
      </c>
      <c r="C9660" s="147" t="s">
        <v>20221</v>
      </c>
      <c r="D9660" s="284" t="s">
        <v>897</v>
      </c>
      <c r="E9660" s="178">
        <v>2011</v>
      </c>
      <c r="F9660" s="178" t="s">
        <v>5257</v>
      </c>
      <c r="G9660" s="496"/>
      <c r="H9660" s="994" t="s">
        <v>20221</v>
      </c>
      <c r="I9660" s="11" t="s">
        <v>12998</v>
      </c>
      <c r="J9660" s="1285"/>
      <c r="K9660" s="1285"/>
      <c r="L9660" s="1285"/>
    </row>
    <row r="9661" spans="1:12" ht="11.15" customHeight="1">
      <c r="A9661" s="29" t="s">
        <v>12999</v>
      </c>
      <c r="B9661" s="59" t="s">
        <v>22070</v>
      </c>
      <c r="C9661" s="147" t="s">
        <v>20221</v>
      </c>
      <c r="D9661" s="284" t="s">
        <v>897</v>
      </c>
      <c r="E9661" s="178">
        <v>2010</v>
      </c>
      <c r="F9661" s="178" t="s">
        <v>5257</v>
      </c>
      <c r="G9661" s="496"/>
      <c r="H9661" s="994" t="s">
        <v>20224</v>
      </c>
      <c r="I9661" s="11" t="s">
        <v>13000</v>
      </c>
      <c r="J9661" s="1285"/>
      <c r="K9661" s="1285"/>
      <c r="L9661" s="1285"/>
    </row>
    <row r="9662" spans="1:12" ht="11.15" customHeight="1">
      <c r="A9662" s="169" t="s">
        <v>13001</v>
      </c>
      <c r="B9662" s="59" t="s">
        <v>22070</v>
      </c>
      <c r="C9662" s="147" t="s">
        <v>20221</v>
      </c>
      <c r="D9662" s="284" t="s">
        <v>897</v>
      </c>
      <c r="E9662" s="178">
        <v>2009</v>
      </c>
      <c r="F9662" s="178" t="s">
        <v>5257</v>
      </c>
      <c r="G9662" s="496"/>
      <c r="H9662" s="994" t="s">
        <v>20224</v>
      </c>
      <c r="I9662" s="11" t="s">
        <v>13002</v>
      </c>
      <c r="J9662" s="1285"/>
      <c r="K9662" s="1285"/>
      <c r="L9662" s="1285"/>
    </row>
    <row r="9663" spans="1:12" ht="11.15" customHeight="1">
      <c r="A9663" s="129" t="s">
        <v>13003</v>
      </c>
      <c r="B9663" s="154" t="s">
        <v>13004</v>
      </c>
      <c r="C9663" s="147"/>
      <c r="D9663" s="161"/>
      <c r="E9663" s="36"/>
      <c r="F9663" s="178"/>
      <c r="G9663" s="671"/>
      <c r="H9663" s="36"/>
      <c r="I9663" s="11"/>
    </row>
    <row r="9664" spans="1:12" ht="11.15" customHeight="1">
      <c r="A9664" s="29"/>
      <c r="B9664" s="59" t="s">
        <v>22071</v>
      </c>
      <c r="C9664" s="147" t="s">
        <v>20221</v>
      </c>
      <c r="D9664" s="284" t="s">
        <v>897</v>
      </c>
      <c r="E9664" s="178">
        <v>2019</v>
      </c>
      <c r="F9664" s="178" t="s">
        <v>9678</v>
      </c>
      <c r="G9664" s="496"/>
      <c r="H9664" s="994" t="s">
        <v>20224</v>
      </c>
      <c r="I9664" s="11" t="s">
        <v>13005</v>
      </c>
      <c r="J9664" s="1285"/>
      <c r="K9664" s="1285"/>
      <c r="L9664" s="1285"/>
    </row>
    <row r="9665" spans="1:12" ht="11.15" customHeight="1">
      <c r="A9665" s="185"/>
      <c r="B9665" s="59" t="s">
        <v>22071</v>
      </c>
      <c r="C9665" s="147" t="s">
        <v>20221</v>
      </c>
      <c r="D9665" s="284" t="s">
        <v>897</v>
      </c>
      <c r="E9665" s="178">
        <v>2016</v>
      </c>
      <c r="F9665" s="178" t="s">
        <v>9678</v>
      </c>
      <c r="G9665" s="496"/>
      <c r="H9665" s="994" t="s">
        <v>20224</v>
      </c>
      <c r="I9665" s="11" t="s">
        <v>13006</v>
      </c>
      <c r="J9665" s="1285"/>
      <c r="K9665" s="1285"/>
      <c r="L9665" s="1285"/>
    </row>
    <row r="9666" spans="1:12" ht="11.15" customHeight="1">
      <c r="A9666" s="185"/>
      <c r="B9666" s="154" t="s">
        <v>13007</v>
      </c>
      <c r="C9666" s="147"/>
      <c r="D9666" s="161"/>
      <c r="E9666" s="36"/>
      <c r="F9666" s="183"/>
      <c r="G9666" s="671"/>
      <c r="H9666" s="34"/>
      <c r="I9666" s="11"/>
    </row>
    <row r="9667" spans="1:12" ht="11.15" customHeight="1">
      <c r="A9667" s="185"/>
      <c r="B9667" s="59" t="s">
        <v>22072</v>
      </c>
      <c r="C9667" s="147" t="s">
        <v>20221</v>
      </c>
      <c r="D9667" s="284" t="s">
        <v>897</v>
      </c>
      <c r="E9667" s="178">
        <v>2020</v>
      </c>
      <c r="F9667" s="178" t="s">
        <v>11938</v>
      </c>
      <c r="G9667" s="496"/>
      <c r="H9667" s="994" t="s">
        <v>20224</v>
      </c>
      <c r="I9667" s="11" t="s">
        <v>13008</v>
      </c>
      <c r="J9667" s="1285"/>
      <c r="K9667" s="1285"/>
      <c r="L9667" s="1285"/>
    </row>
    <row r="9668" spans="1:12" ht="11.15" customHeight="1">
      <c r="A9668" s="185"/>
      <c r="B9668" s="59" t="s">
        <v>22072</v>
      </c>
      <c r="C9668" s="147" t="s">
        <v>20221</v>
      </c>
      <c r="D9668" s="284" t="s">
        <v>897</v>
      </c>
      <c r="E9668" s="178">
        <v>2019</v>
      </c>
      <c r="F9668" s="178" t="s">
        <v>11938</v>
      </c>
      <c r="G9668" s="496"/>
      <c r="H9668" s="994" t="s">
        <v>20224</v>
      </c>
      <c r="I9668" s="11" t="s">
        <v>13009</v>
      </c>
      <c r="J9668" s="1285"/>
      <c r="K9668" s="1285"/>
      <c r="L9668" s="1285"/>
    </row>
    <row r="9669" spans="1:12" ht="11.15" customHeight="1">
      <c r="A9669" s="185"/>
      <c r="B9669" s="59" t="s">
        <v>22072</v>
      </c>
      <c r="C9669" s="147" t="s">
        <v>20221</v>
      </c>
      <c r="D9669" s="284" t="s">
        <v>897</v>
      </c>
      <c r="E9669" s="178">
        <v>2017</v>
      </c>
      <c r="F9669" s="178" t="s">
        <v>11938</v>
      </c>
      <c r="G9669" s="496"/>
      <c r="H9669" s="994" t="s">
        <v>20224</v>
      </c>
      <c r="I9669" s="11" t="s">
        <v>13010</v>
      </c>
      <c r="J9669" s="1285"/>
      <c r="K9669" s="1285"/>
      <c r="L9669" s="1285"/>
    </row>
    <row r="9670" spans="1:12" ht="11.15" customHeight="1">
      <c r="A9670" s="185"/>
      <c r="B9670" s="59" t="s">
        <v>22072</v>
      </c>
      <c r="C9670" s="147" t="s">
        <v>20221</v>
      </c>
      <c r="D9670" s="284" t="s">
        <v>897</v>
      </c>
      <c r="E9670" s="178">
        <v>2016</v>
      </c>
      <c r="F9670" s="178" t="s">
        <v>11938</v>
      </c>
      <c r="G9670" s="496"/>
      <c r="H9670" s="994" t="s">
        <v>20224</v>
      </c>
      <c r="I9670" s="11" t="s">
        <v>13011</v>
      </c>
      <c r="J9670" s="1285"/>
      <c r="K9670" s="1285"/>
      <c r="L9670" s="1285"/>
    </row>
    <row r="9671" spans="1:12" ht="11.15" customHeight="1">
      <c r="A9671" s="185"/>
      <c r="B9671" s="59" t="s">
        <v>22072</v>
      </c>
      <c r="C9671" s="147" t="s">
        <v>20221</v>
      </c>
      <c r="D9671" s="284" t="s">
        <v>897</v>
      </c>
      <c r="E9671" s="178">
        <v>2015</v>
      </c>
      <c r="F9671" s="178" t="s">
        <v>11938</v>
      </c>
      <c r="G9671" s="496"/>
      <c r="H9671" s="994" t="s">
        <v>20224</v>
      </c>
      <c r="I9671" s="11" t="s">
        <v>13012</v>
      </c>
      <c r="J9671" s="1285"/>
      <c r="K9671" s="1285"/>
      <c r="L9671" s="1285"/>
    </row>
    <row r="9672" spans="1:12" ht="11.15" customHeight="1">
      <c r="A9672" s="185"/>
      <c r="B9672" s="59" t="s">
        <v>22072</v>
      </c>
      <c r="C9672" s="147" t="s">
        <v>20221</v>
      </c>
      <c r="D9672" s="284" t="s">
        <v>897</v>
      </c>
      <c r="E9672" s="178">
        <v>2014</v>
      </c>
      <c r="F9672" s="178" t="s">
        <v>11938</v>
      </c>
      <c r="G9672" s="496"/>
      <c r="H9672" s="994" t="s">
        <v>20224</v>
      </c>
      <c r="I9672" s="11" t="s">
        <v>13013</v>
      </c>
      <c r="J9672" s="1285"/>
      <c r="K9672" s="1285"/>
      <c r="L9672" s="1285"/>
    </row>
    <row r="9673" spans="1:12" ht="11.15" customHeight="1">
      <c r="A9673" s="185"/>
      <c r="B9673" s="59" t="s">
        <v>22072</v>
      </c>
      <c r="C9673" s="147" t="s">
        <v>20221</v>
      </c>
      <c r="D9673" s="284" t="s">
        <v>897</v>
      </c>
      <c r="E9673" s="178">
        <v>2013</v>
      </c>
      <c r="F9673" s="178" t="s">
        <v>23417</v>
      </c>
      <c r="G9673" s="496"/>
      <c r="H9673" s="994" t="s">
        <v>20224</v>
      </c>
      <c r="I9673" s="11" t="s">
        <v>13014</v>
      </c>
      <c r="J9673" s="1285"/>
      <c r="K9673" s="1285"/>
      <c r="L9673" s="1285"/>
    </row>
    <row r="9674" spans="1:12" ht="11.15" customHeight="1">
      <c r="A9674" s="185"/>
      <c r="B9674" s="59" t="s">
        <v>22072</v>
      </c>
      <c r="C9674" s="147" t="s">
        <v>20221</v>
      </c>
      <c r="D9674" s="284" t="s">
        <v>897</v>
      </c>
      <c r="E9674" s="178">
        <v>2012</v>
      </c>
      <c r="F9674" s="178" t="s">
        <v>11938</v>
      </c>
      <c r="G9674" s="496"/>
      <c r="H9674" s="994" t="s">
        <v>20224</v>
      </c>
      <c r="I9674" s="11" t="s">
        <v>13015</v>
      </c>
      <c r="J9674" s="1285"/>
      <c r="K9674" s="1285"/>
      <c r="L9674" s="1285"/>
    </row>
    <row r="9675" spans="1:12" ht="11.15" customHeight="1">
      <c r="A9675" s="185"/>
      <c r="B9675" s="59" t="s">
        <v>22072</v>
      </c>
      <c r="C9675" s="147" t="s">
        <v>20221</v>
      </c>
      <c r="D9675" s="284" t="s">
        <v>897</v>
      </c>
      <c r="E9675" s="178">
        <v>2011</v>
      </c>
      <c r="F9675" s="178" t="s">
        <v>11938</v>
      </c>
      <c r="G9675" s="496"/>
      <c r="H9675" s="994" t="s">
        <v>20224</v>
      </c>
      <c r="I9675" s="11" t="s">
        <v>13016</v>
      </c>
      <c r="J9675" s="1285"/>
      <c r="K9675" s="1285"/>
      <c r="L9675" s="1285"/>
    </row>
    <row r="9676" spans="1:12" ht="11.15" customHeight="1" thickBot="1">
      <c r="A9676" s="185"/>
      <c r="B9676" s="185"/>
      <c r="C9676" s="147"/>
      <c r="D9676" s="129"/>
      <c r="E9676" s="185"/>
      <c r="F9676" s="185"/>
      <c r="G9676" s="185"/>
      <c r="H9676" s="185"/>
      <c r="I9676" s="11"/>
    </row>
    <row r="9677" spans="1:12" ht="24" customHeight="1" thickBot="1">
      <c r="A9677" s="647"/>
      <c r="B9677" s="64" t="s">
        <v>13017</v>
      </c>
      <c r="C9677" s="170"/>
      <c r="D9677" s="382"/>
      <c r="E9677" s="235"/>
      <c r="F9677" s="383"/>
      <c r="G9677" s="1249"/>
      <c r="H9677" s="1132"/>
      <c r="I9677" s="11"/>
    </row>
    <row r="9678" spans="1:12" ht="11.15" customHeight="1" thickBot="1">
      <c r="A9678" s="29"/>
      <c r="B9678" s="210" t="s">
        <v>13018</v>
      </c>
      <c r="C9678" s="147"/>
      <c r="D9678" s="122"/>
      <c r="E9678" s="36"/>
      <c r="F9678" s="178"/>
      <c r="G9678" s="453"/>
      <c r="H9678" s="36"/>
      <c r="I9678" s="11"/>
    </row>
    <row r="9679" spans="1:12" ht="11.15" customHeight="1" thickBot="1">
      <c r="A9679" s="349" t="s">
        <v>13019</v>
      </c>
      <c r="B9679" s="154" t="s">
        <v>13020</v>
      </c>
      <c r="C9679" s="147"/>
      <c r="D9679" s="129"/>
      <c r="E9679" s="185"/>
      <c r="F9679" s="185"/>
      <c r="G9679" s="185"/>
      <c r="H9679" s="185"/>
      <c r="I9679" s="11"/>
    </row>
    <row r="9680" spans="1:12" ht="11.15" customHeight="1">
      <c r="A9680" s="29" t="s">
        <v>13021</v>
      </c>
      <c r="B9680" s="59" t="s">
        <v>22073</v>
      </c>
      <c r="C9680" s="147" t="s">
        <v>20221</v>
      </c>
      <c r="D9680" s="701" t="s">
        <v>1129</v>
      </c>
      <c r="E9680" s="178">
        <v>2022</v>
      </c>
      <c r="F9680" s="178" t="s">
        <v>23395</v>
      </c>
      <c r="G9680" s="496"/>
      <c r="H9680" s="994" t="s">
        <v>20277</v>
      </c>
      <c r="I9680" s="16" t="s">
        <v>13022</v>
      </c>
      <c r="J9680" s="1285"/>
      <c r="K9680" s="1285"/>
      <c r="L9680" s="1285"/>
    </row>
    <row r="9681" spans="1:12" ht="11.15" customHeight="1">
      <c r="A9681" s="29" t="s">
        <v>13023</v>
      </c>
      <c r="B9681" s="154" t="s">
        <v>13024</v>
      </c>
      <c r="C9681" s="147"/>
      <c r="D9681" s="159"/>
      <c r="E9681" s="36"/>
      <c r="F9681" s="178"/>
      <c r="G9681" s="496"/>
      <c r="H9681" s="36"/>
    </row>
    <row r="9682" spans="1:12" ht="11.15" customHeight="1">
      <c r="A9682" s="29" t="s">
        <v>13025</v>
      </c>
      <c r="B9682" s="59" t="s">
        <v>22074</v>
      </c>
      <c r="C9682" s="147" t="s">
        <v>20221</v>
      </c>
      <c r="D9682" s="701" t="s">
        <v>1129</v>
      </c>
      <c r="E9682" s="178">
        <v>2012</v>
      </c>
      <c r="F9682" s="178" t="s">
        <v>4520</v>
      </c>
      <c r="G9682" s="496"/>
      <c r="H9682" s="994" t="s">
        <v>20221</v>
      </c>
      <c r="I9682" s="16" t="s">
        <v>13026</v>
      </c>
      <c r="J9682" s="1285"/>
      <c r="K9682" s="1285"/>
      <c r="L9682" s="1285"/>
    </row>
    <row r="9683" spans="1:12" ht="11.15" customHeight="1">
      <c r="A9683" s="129" t="s">
        <v>1077</v>
      </c>
      <c r="B9683" s="59" t="s">
        <v>22074</v>
      </c>
      <c r="C9683" s="147" t="s">
        <v>20221</v>
      </c>
      <c r="D9683" s="701" t="s">
        <v>1129</v>
      </c>
      <c r="E9683" s="178">
        <v>2011</v>
      </c>
      <c r="F9683" s="178" t="s">
        <v>4520</v>
      </c>
      <c r="G9683" s="496"/>
      <c r="H9683" s="994" t="s">
        <v>20277</v>
      </c>
      <c r="I9683" s="16" t="s">
        <v>13027</v>
      </c>
      <c r="J9683" s="1285"/>
      <c r="K9683" s="1285"/>
      <c r="L9683" s="1285"/>
    </row>
    <row r="9684" spans="1:12" ht="11.15" customHeight="1">
      <c r="A9684" s="291" t="s">
        <v>13028</v>
      </c>
      <c r="B9684" s="154" t="s">
        <v>11253</v>
      </c>
      <c r="C9684" s="147"/>
      <c r="D9684" s="129"/>
      <c r="E9684" s="185"/>
      <c r="F9684" s="185"/>
      <c r="G9684" s="185"/>
      <c r="H9684" s="185"/>
    </row>
    <row r="9685" spans="1:12" ht="11.15" customHeight="1">
      <c r="A9685" s="162" t="s">
        <v>13029</v>
      </c>
      <c r="B9685" s="59" t="s">
        <v>22075</v>
      </c>
      <c r="C9685" s="147" t="s">
        <v>20221</v>
      </c>
      <c r="D9685" s="284" t="s">
        <v>897</v>
      </c>
      <c r="E9685" s="178">
        <v>2013</v>
      </c>
      <c r="F9685" s="178" t="s">
        <v>4520</v>
      </c>
      <c r="G9685" s="496"/>
      <c r="H9685" s="994" t="s">
        <v>20221</v>
      </c>
      <c r="I9685" s="16" t="s">
        <v>13030</v>
      </c>
      <c r="J9685" s="1285"/>
      <c r="K9685" s="1285"/>
      <c r="L9685" s="1285"/>
    </row>
    <row r="9686" spans="1:12" ht="11.15" customHeight="1">
      <c r="A9686" s="291" t="s">
        <v>13031</v>
      </c>
      <c r="B9686" s="59" t="s">
        <v>22075</v>
      </c>
      <c r="C9686" s="147" t="s">
        <v>20221</v>
      </c>
      <c r="D9686" s="284" t="s">
        <v>897</v>
      </c>
      <c r="E9686" s="178">
        <v>2007</v>
      </c>
      <c r="F9686" s="178" t="s">
        <v>4520</v>
      </c>
      <c r="G9686" s="496"/>
      <c r="H9686" s="994" t="s">
        <v>20221</v>
      </c>
      <c r="I9686" s="16" t="s">
        <v>13032</v>
      </c>
      <c r="J9686" s="1285"/>
      <c r="K9686" s="1285"/>
      <c r="L9686" s="1285"/>
    </row>
    <row r="9687" spans="1:12" ht="11.15" customHeight="1">
      <c r="A9687" s="291" t="s">
        <v>13033</v>
      </c>
      <c r="B9687" s="59" t="s">
        <v>22076</v>
      </c>
      <c r="C9687" s="147" t="s">
        <v>20221</v>
      </c>
      <c r="D9687" s="284" t="s">
        <v>897</v>
      </c>
      <c r="E9687" s="178">
        <v>2011</v>
      </c>
      <c r="F9687" s="178" t="s">
        <v>4520</v>
      </c>
      <c r="G9687" s="496"/>
      <c r="H9687" s="994" t="s">
        <v>20221</v>
      </c>
      <c r="I9687" s="16" t="s">
        <v>13034</v>
      </c>
      <c r="J9687" s="1285"/>
      <c r="K9687" s="1285"/>
      <c r="L9687" s="1285"/>
    </row>
    <row r="9688" spans="1:12" ht="11.15" customHeight="1">
      <c r="A9688" s="291" t="s">
        <v>13035</v>
      </c>
      <c r="B9688" s="59" t="s">
        <v>22076</v>
      </c>
      <c r="C9688" s="147" t="s">
        <v>20221</v>
      </c>
      <c r="D9688" s="284" t="s">
        <v>897</v>
      </c>
      <c r="E9688" s="178">
        <v>1999</v>
      </c>
      <c r="F9688" s="178" t="s">
        <v>4520</v>
      </c>
      <c r="G9688" s="496"/>
      <c r="H9688" s="994" t="s">
        <v>20221</v>
      </c>
      <c r="I9688" s="16" t="s">
        <v>13036</v>
      </c>
      <c r="J9688" s="1285"/>
      <c r="K9688" s="1285"/>
      <c r="L9688" s="1285"/>
    </row>
    <row r="9689" spans="1:12" ht="11.15" customHeight="1">
      <c r="A9689" s="292" t="s">
        <v>13037</v>
      </c>
      <c r="B9689" s="59" t="s">
        <v>22076</v>
      </c>
      <c r="C9689" s="147" t="s">
        <v>20221</v>
      </c>
      <c r="D9689" s="284" t="s">
        <v>897</v>
      </c>
      <c r="E9689" s="178">
        <v>1998</v>
      </c>
      <c r="F9689" s="178" t="s">
        <v>4520</v>
      </c>
      <c r="G9689" s="496"/>
      <c r="H9689" s="994" t="s">
        <v>20224</v>
      </c>
      <c r="I9689" s="16" t="s">
        <v>13038</v>
      </c>
      <c r="J9689" s="1285"/>
      <c r="K9689" s="1285"/>
      <c r="L9689" s="1285"/>
    </row>
    <row r="9690" spans="1:12" ht="11.15" customHeight="1">
      <c r="A9690" s="292" t="s">
        <v>13039</v>
      </c>
      <c r="B9690" s="59" t="s">
        <v>22076</v>
      </c>
      <c r="C9690" s="147" t="s">
        <v>20221</v>
      </c>
      <c r="D9690" s="284" t="s">
        <v>897</v>
      </c>
      <c r="E9690" s="178">
        <v>1996</v>
      </c>
      <c r="F9690" s="178" t="s">
        <v>4520</v>
      </c>
      <c r="G9690" s="496"/>
      <c r="H9690" s="994" t="s">
        <v>20221</v>
      </c>
      <c r="I9690" s="16" t="s">
        <v>13040</v>
      </c>
      <c r="J9690" s="1285"/>
      <c r="K9690" s="1285"/>
      <c r="L9690" s="1285"/>
    </row>
    <row r="9691" spans="1:12" ht="11.15" customHeight="1">
      <c r="A9691" s="212" t="s">
        <v>13041</v>
      </c>
      <c r="B9691" s="154" t="s">
        <v>13042</v>
      </c>
      <c r="C9691" s="147"/>
      <c r="D9691" s="129"/>
      <c r="E9691" s="185"/>
      <c r="F9691" s="185"/>
      <c r="G9691" s="185"/>
      <c r="H9691" s="185"/>
    </row>
    <row r="9692" spans="1:12" ht="11.15" customHeight="1">
      <c r="A9692" s="129" t="s">
        <v>13043</v>
      </c>
      <c r="B9692" s="59" t="s">
        <v>22077</v>
      </c>
      <c r="C9692" s="147" t="s">
        <v>20221</v>
      </c>
      <c r="D9692" s="284" t="s">
        <v>897</v>
      </c>
      <c r="E9692" s="178">
        <v>2013</v>
      </c>
      <c r="F9692" s="178" t="s">
        <v>9678</v>
      </c>
      <c r="G9692" s="496"/>
      <c r="H9692" s="994" t="s">
        <v>20221</v>
      </c>
      <c r="I9692" s="16" t="s">
        <v>13044</v>
      </c>
      <c r="J9692" s="1285"/>
      <c r="K9692" s="1285"/>
      <c r="L9692" s="1285"/>
    </row>
    <row r="9693" spans="1:12" ht="11.15" customHeight="1">
      <c r="A9693" s="29"/>
      <c r="B9693" s="59" t="s">
        <v>22078</v>
      </c>
      <c r="C9693" s="147" t="s">
        <v>20221</v>
      </c>
      <c r="D9693" s="284" t="s">
        <v>897</v>
      </c>
      <c r="E9693" s="178">
        <v>1996</v>
      </c>
      <c r="F9693" s="178" t="s">
        <v>11931</v>
      </c>
      <c r="G9693" s="496"/>
      <c r="H9693" s="994" t="s">
        <v>20224</v>
      </c>
      <c r="I9693" s="16" t="s">
        <v>13045</v>
      </c>
      <c r="J9693" s="1285"/>
      <c r="K9693" s="1285"/>
      <c r="L9693" s="1285"/>
    </row>
    <row r="9694" spans="1:12" ht="11.15" customHeight="1">
      <c r="A9694" s="185"/>
      <c r="B9694" s="185"/>
      <c r="C9694" s="147"/>
      <c r="D9694" s="185"/>
      <c r="E9694" s="185"/>
      <c r="F9694" s="185"/>
      <c r="G9694" s="185"/>
      <c r="H9694" s="185"/>
      <c r="I9694" s="11"/>
    </row>
    <row r="9695" spans="1:12" ht="11.15" customHeight="1" thickBot="1">
      <c r="A9695" s="185"/>
      <c r="B9695" s="177" t="s">
        <v>13046</v>
      </c>
      <c r="C9695" s="147"/>
      <c r="D9695" s="122"/>
      <c r="E9695" s="36"/>
      <c r="F9695" s="178"/>
      <c r="G9695" s="60"/>
      <c r="H9695" s="36"/>
      <c r="I9695" s="11"/>
    </row>
    <row r="9696" spans="1:12" ht="11.15" customHeight="1">
      <c r="A9696" s="153" t="s">
        <v>13047</v>
      </c>
      <c r="B9696" s="59" t="s">
        <v>22080</v>
      </c>
      <c r="C9696" s="147" t="s">
        <v>20221</v>
      </c>
      <c r="D9696" s="739" t="s">
        <v>1410</v>
      </c>
      <c r="E9696" s="178">
        <v>2019</v>
      </c>
      <c r="F9696" s="178" t="s">
        <v>23398</v>
      </c>
      <c r="G9696" s="496"/>
      <c r="H9696" s="994" t="s">
        <v>20221</v>
      </c>
      <c r="I9696" s="11" t="s">
        <v>13048</v>
      </c>
      <c r="J9696" s="1285"/>
      <c r="K9696" s="1285"/>
      <c r="L9696" s="1285"/>
    </row>
    <row r="9697" spans="1:12" ht="11.15" customHeight="1">
      <c r="A9697" s="493" t="s">
        <v>13049</v>
      </c>
      <c r="B9697" s="59" t="s">
        <v>22081</v>
      </c>
      <c r="C9697" s="147" t="s">
        <v>20221</v>
      </c>
      <c r="D9697" s="739" t="s">
        <v>1410</v>
      </c>
      <c r="E9697" s="178">
        <v>2017</v>
      </c>
      <c r="F9697" s="178" t="s">
        <v>23398</v>
      </c>
      <c r="G9697" s="496"/>
      <c r="H9697" s="994" t="s">
        <v>20224</v>
      </c>
      <c r="I9697" s="11" t="s">
        <v>13050</v>
      </c>
      <c r="J9697" s="1285"/>
      <c r="K9697" s="1285"/>
      <c r="L9697" s="1285"/>
    </row>
    <row r="9698" spans="1:12" ht="11.15" customHeight="1" thickBot="1">
      <c r="A9698" s="502" t="s">
        <v>13051</v>
      </c>
      <c r="B9698" s="59" t="s">
        <v>22081</v>
      </c>
      <c r="C9698" s="147" t="s">
        <v>20221</v>
      </c>
      <c r="D9698" s="739" t="s">
        <v>1410</v>
      </c>
      <c r="E9698" s="178">
        <v>2016</v>
      </c>
      <c r="F9698" s="178" t="s">
        <v>23398</v>
      </c>
      <c r="G9698" s="496"/>
      <c r="H9698" s="994" t="s">
        <v>20221</v>
      </c>
      <c r="I9698" s="11" t="s">
        <v>13052</v>
      </c>
      <c r="J9698" s="1285"/>
      <c r="K9698" s="1285"/>
      <c r="L9698" s="1285"/>
    </row>
    <row r="9699" spans="1:12" ht="11.15" customHeight="1">
      <c r="A9699" s="29" t="s">
        <v>13053</v>
      </c>
      <c r="B9699" s="59" t="s">
        <v>22081</v>
      </c>
      <c r="C9699" s="147" t="s">
        <v>20221</v>
      </c>
      <c r="D9699" s="739" t="s">
        <v>1410</v>
      </c>
      <c r="E9699" s="178">
        <v>2015</v>
      </c>
      <c r="F9699" s="178" t="s">
        <v>23398</v>
      </c>
      <c r="G9699" s="496"/>
      <c r="H9699" s="994" t="s">
        <v>20221</v>
      </c>
      <c r="I9699" s="11" t="s">
        <v>13054</v>
      </c>
      <c r="J9699" s="1285"/>
      <c r="K9699" s="1285"/>
      <c r="L9699" s="1285"/>
    </row>
    <row r="9700" spans="1:12" ht="11.15" customHeight="1">
      <c r="A9700" s="29" t="s">
        <v>13055</v>
      </c>
      <c r="B9700" s="59" t="s">
        <v>22081</v>
      </c>
      <c r="C9700" s="147" t="s">
        <v>20221</v>
      </c>
      <c r="D9700" s="739" t="s">
        <v>1410</v>
      </c>
      <c r="E9700" s="178">
        <v>2014</v>
      </c>
      <c r="F9700" s="178" t="s">
        <v>23398</v>
      </c>
      <c r="G9700" s="496"/>
      <c r="H9700" s="994" t="s">
        <v>20221</v>
      </c>
      <c r="I9700" s="11" t="s">
        <v>13056</v>
      </c>
      <c r="J9700" s="1285"/>
      <c r="K9700" s="1285"/>
      <c r="L9700" s="1285"/>
    </row>
    <row r="9701" spans="1:12" ht="11.15" customHeight="1">
      <c r="A9701" s="29" t="s">
        <v>13057</v>
      </c>
      <c r="B9701" s="59" t="s">
        <v>22082</v>
      </c>
      <c r="C9701" s="147" t="s">
        <v>20221</v>
      </c>
      <c r="D9701" s="739" t="s">
        <v>1410</v>
      </c>
      <c r="E9701" s="178">
        <v>2012</v>
      </c>
      <c r="F9701" s="178" t="s">
        <v>23398</v>
      </c>
      <c r="G9701" s="496"/>
      <c r="H9701" s="994" t="s">
        <v>20221</v>
      </c>
      <c r="I9701" s="11" t="s">
        <v>13058</v>
      </c>
      <c r="J9701" s="1285"/>
      <c r="K9701" s="1285"/>
      <c r="L9701" s="1285"/>
    </row>
    <row r="9702" spans="1:12" ht="11.15" customHeight="1">
      <c r="A9702" s="29" t="s">
        <v>13059</v>
      </c>
      <c r="B9702" s="177" t="s">
        <v>13061</v>
      </c>
      <c r="C9702" s="147"/>
      <c r="D9702" s="182"/>
      <c r="E9702" s="36"/>
      <c r="F9702" s="183"/>
      <c r="G9702" s="496"/>
      <c r="H9702" s="34"/>
      <c r="I9702" s="11"/>
    </row>
    <row r="9703" spans="1:12" ht="11.15" customHeight="1">
      <c r="A9703" s="29" t="s">
        <v>13060</v>
      </c>
      <c r="B9703" s="59" t="s">
        <v>22083</v>
      </c>
      <c r="C9703" s="147" t="s">
        <v>20221</v>
      </c>
      <c r="D9703" s="739" t="s">
        <v>1410</v>
      </c>
      <c r="E9703" s="178">
        <v>2018</v>
      </c>
      <c r="F9703" s="178" t="s">
        <v>23398</v>
      </c>
      <c r="G9703" s="496"/>
      <c r="H9703" s="994" t="s">
        <v>20221</v>
      </c>
      <c r="I9703" s="11" t="s">
        <v>13063</v>
      </c>
      <c r="J9703" s="1285"/>
      <c r="K9703" s="1285"/>
      <c r="L9703" s="1285"/>
    </row>
    <row r="9704" spans="1:12" ht="11.15" customHeight="1">
      <c r="A9704" s="29" t="s">
        <v>13062</v>
      </c>
      <c r="B9704" s="59" t="s">
        <v>22084</v>
      </c>
      <c r="C9704" s="147" t="s">
        <v>20221</v>
      </c>
      <c r="D9704" s="739" t="s">
        <v>1410</v>
      </c>
      <c r="E9704" s="178">
        <v>2012</v>
      </c>
      <c r="F9704" s="178" t="s">
        <v>23398</v>
      </c>
      <c r="G9704" s="496"/>
      <c r="H9704" s="994" t="s">
        <v>20221</v>
      </c>
      <c r="I9704" s="11" t="s">
        <v>13065</v>
      </c>
      <c r="J9704" s="1285"/>
      <c r="K9704" s="1285"/>
      <c r="L9704" s="1285"/>
    </row>
    <row r="9705" spans="1:12" ht="11.15" customHeight="1">
      <c r="A9705" s="29" t="s">
        <v>13064</v>
      </c>
      <c r="B9705" s="59" t="s">
        <v>22084</v>
      </c>
      <c r="C9705" s="147" t="s">
        <v>20221</v>
      </c>
      <c r="D9705" s="739" t="s">
        <v>1410</v>
      </c>
      <c r="E9705" s="178">
        <v>2011</v>
      </c>
      <c r="F9705" s="178" t="s">
        <v>23398</v>
      </c>
      <c r="G9705" s="496"/>
      <c r="H9705" s="994" t="s">
        <v>20224</v>
      </c>
      <c r="I9705" s="11" t="s">
        <v>13067</v>
      </c>
      <c r="J9705" s="1285"/>
      <c r="K9705" s="1285"/>
      <c r="L9705" s="1285"/>
    </row>
    <row r="9706" spans="1:12" ht="11.15" customHeight="1">
      <c r="A9706" s="169" t="s">
        <v>13066</v>
      </c>
      <c r="B9706" s="90"/>
      <c r="C9706" s="147"/>
      <c r="D9706" s="122"/>
      <c r="E9706" s="36"/>
      <c r="F9706" s="178"/>
      <c r="G9706" s="453"/>
      <c r="H9706" s="36"/>
      <c r="I9706" s="11"/>
    </row>
    <row r="9707" spans="1:12" ht="11.15" customHeight="1" thickBot="1">
      <c r="A9707" s="129" t="s">
        <v>13068</v>
      </c>
      <c r="B9707" s="90"/>
      <c r="C9707" s="147"/>
      <c r="D9707" s="122"/>
      <c r="E9707" s="36"/>
      <c r="F9707" s="178"/>
      <c r="G9707" s="453"/>
      <c r="H9707" s="36"/>
      <c r="I9707" s="11"/>
    </row>
    <row r="9708" spans="1:12" ht="24" customHeight="1" thickBot="1">
      <c r="A9708" s="647"/>
      <c r="B9708" s="64" t="s">
        <v>13069</v>
      </c>
      <c r="C9708" s="170"/>
      <c r="D9708" s="382"/>
      <c r="E9708" s="235"/>
      <c r="F9708" s="383"/>
      <c r="G9708" s="1249"/>
      <c r="H9708" s="1132"/>
      <c r="I9708" s="11"/>
    </row>
    <row r="9709" spans="1:12" ht="11.15" customHeight="1" thickBot="1">
      <c r="A9709" s="29"/>
      <c r="B9709" s="150" t="s">
        <v>13070</v>
      </c>
      <c r="C9709" s="147"/>
      <c r="D9709" s="585"/>
      <c r="E9709" s="36"/>
      <c r="F9709" s="178"/>
      <c r="G9709" s="1230"/>
      <c r="H9709" s="36"/>
      <c r="I9709" s="11"/>
    </row>
    <row r="9710" spans="1:12" ht="11.15" customHeight="1">
      <c r="A9710" s="674" t="s">
        <v>13071</v>
      </c>
      <c r="B9710" s="59" t="s">
        <v>18748</v>
      </c>
      <c r="C9710" s="147" t="s">
        <v>23393</v>
      </c>
      <c r="D9710" s="284" t="s">
        <v>897</v>
      </c>
      <c r="E9710" s="178">
        <v>2021</v>
      </c>
      <c r="F9710" s="178" t="s">
        <v>4520</v>
      </c>
      <c r="G9710" s="496"/>
      <c r="H9710" s="994" t="s">
        <v>20221</v>
      </c>
      <c r="I9710" s="11" t="s">
        <v>13072</v>
      </c>
      <c r="J9710" s="1285"/>
      <c r="K9710" s="1285"/>
      <c r="L9710" s="1285"/>
    </row>
    <row r="9711" spans="1:12" ht="11.15" customHeight="1" thickBot="1">
      <c r="A9711" s="675" t="s">
        <v>13073</v>
      </c>
      <c r="B9711" s="90"/>
      <c r="C9711" s="147"/>
      <c r="D9711" s="676"/>
      <c r="E9711" s="36"/>
      <c r="F9711" s="178"/>
      <c r="G9711" s="1230"/>
      <c r="H9711" s="36"/>
      <c r="I9711" s="11"/>
    </row>
    <row r="9712" spans="1:12" ht="11.15" customHeight="1">
      <c r="A9712" s="451" t="s">
        <v>13074</v>
      </c>
      <c r="B9712" s="154"/>
      <c r="C9712" s="147"/>
      <c r="D9712" s="585"/>
      <c r="E9712" s="36"/>
      <c r="F9712" s="183"/>
      <c r="G9712" s="1239"/>
      <c r="H9712" s="34"/>
      <c r="I9712" s="11"/>
    </row>
    <row r="9713" spans="1:12" ht="11.15" customHeight="1">
      <c r="A9713" s="451" t="s">
        <v>13075</v>
      </c>
      <c r="B9713" s="154"/>
      <c r="C9713" s="147"/>
      <c r="D9713" s="585"/>
      <c r="E9713" s="36"/>
      <c r="F9713" s="183"/>
      <c r="G9713" s="1239"/>
      <c r="H9713" s="34"/>
      <c r="I9713" s="11"/>
    </row>
    <row r="9714" spans="1:12" ht="11.15" customHeight="1">
      <c r="A9714" s="451" t="s">
        <v>13076</v>
      </c>
      <c r="B9714" s="154"/>
      <c r="C9714" s="147"/>
      <c r="D9714" s="585"/>
      <c r="E9714" s="36"/>
      <c r="F9714" s="183"/>
      <c r="G9714" s="1239"/>
      <c r="H9714" s="34"/>
      <c r="I9714" s="11"/>
    </row>
    <row r="9715" spans="1:12" ht="11.15" customHeight="1">
      <c r="A9715" s="451" t="s">
        <v>13077</v>
      </c>
      <c r="B9715" s="177"/>
      <c r="C9715" s="147"/>
      <c r="D9715" s="585"/>
      <c r="E9715" s="36"/>
      <c r="F9715" s="183"/>
      <c r="G9715" s="1239"/>
      <c r="H9715" s="34"/>
      <c r="I9715" s="11"/>
    </row>
    <row r="9716" spans="1:12" ht="11.15" customHeight="1">
      <c r="A9716" s="451" t="s">
        <v>13078</v>
      </c>
      <c r="B9716" s="90"/>
      <c r="C9716" s="147"/>
      <c r="D9716" s="676"/>
      <c r="E9716" s="36"/>
      <c r="F9716" s="178"/>
      <c r="G9716" s="1230"/>
      <c r="H9716" s="36"/>
      <c r="I9716" s="11"/>
    </row>
    <row r="9717" spans="1:12" ht="11.15" customHeight="1">
      <c r="A9717" s="451" t="s">
        <v>13079</v>
      </c>
      <c r="B9717" s="90"/>
      <c r="C9717" s="147"/>
      <c r="D9717" s="676"/>
      <c r="E9717" s="36"/>
      <c r="F9717" s="178"/>
      <c r="G9717" s="1230"/>
      <c r="H9717" s="36"/>
      <c r="I9717" s="11"/>
    </row>
    <row r="9718" spans="1:12" ht="11.15" customHeight="1">
      <c r="A9718" s="29" t="s">
        <v>13080</v>
      </c>
      <c r="B9718" s="90"/>
      <c r="C9718" s="147"/>
      <c r="D9718" s="676"/>
      <c r="E9718" s="36"/>
      <c r="F9718" s="178"/>
      <c r="G9718" s="1230"/>
      <c r="H9718" s="36"/>
      <c r="I9718" s="11"/>
    </row>
    <row r="9719" spans="1:12" ht="11.15" customHeight="1">
      <c r="A9719" s="29" t="s">
        <v>13081</v>
      </c>
      <c r="B9719" s="90"/>
      <c r="C9719" s="147"/>
      <c r="D9719" s="676"/>
      <c r="E9719" s="36"/>
      <c r="F9719" s="178"/>
      <c r="G9719" s="1230"/>
      <c r="H9719" s="36"/>
      <c r="I9719" s="11"/>
    </row>
    <row r="9720" spans="1:12" ht="11.15" customHeight="1">
      <c r="A9720" s="29" t="s">
        <v>13082</v>
      </c>
      <c r="B9720" s="90"/>
      <c r="C9720" s="147"/>
      <c r="D9720" s="676"/>
      <c r="E9720" s="36"/>
      <c r="F9720" s="178"/>
      <c r="G9720" s="1230"/>
      <c r="H9720" s="36"/>
      <c r="I9720" s="11"/>
    </row>
    <row r="9721" spans="1:12" ht="11.15" customHeight="1">
      <c r="A9721" s="451" t="s">
        <v>13083</v>
      </c>
      <c r="B9721" s="177"/>
      <c r="C9721" s="147"/>
      <c r="D9721" s="585"/>
      <c r="E9721" s="36"/>
      <c r="F9721" s="183"/>
      <c r="G9721" s="1239"/>
      <c r="H9721" s="34"/>
      <c r="I9721" s="11"/>
    </row>
    <row r="9722" spans="1:12" ht="11.15" customHeight="1">
      <c r="A9722" s="181" t="s">
        <v>13084</v>
      </c>
      <c r="B9722" s="185"/>
      <c r="C9722" s="147"/>
      <c r="D9722" s="129"/>
      <c r="E9722" s="185"/>
      <c r="F9722" s="185"/>
      <c r="G9722" s="185"/>
      <c r="H9722" s="185"/>
      <c r="I9722" s="11"/>
    </row>
    <row r="9723" spans="1:12" ht="11.25" customHeight="1">
      <c r="A9723" s="363" t="s">
        <v>1327</v>
      </c>
      <c r="B9723" s="177"/>
      <c r="C9723" s="147"/>
      <c r="D9723" s="585"/>
      <c r="E9723" s="36"/>
      <c r="F9723" s="183"/>
      <c r="G9723" s="1239"/>
      <c r="H9723" s="34"/>
      <c r="I9723" s="11"/>
    </row>
    <row r="9724" spans="1:12" ht="11.15" customHeight="1">
      <c r="A9724" s="129" t="s">
        <v>13085</v>
      </c>
      <c r="B9724" s="226"/>
      <c r="C9724" s="147"/>
      <c r="D9724" s="585"/>
      <c r="E9724" s="36"/>
      <c r="F9724" s="183"/>
      <c r="G9724" s="1230"/>
      <c r="H9724" s="34"/>
      <c r="I9724" s="11"/>
    </row>
    <row r="9725" spans="1:12" ht="11.15" customHeight="1" thickBot="1">
      <c r="A9725" s="185"/>
      <c r="B9725" s="150" t="s">
        <v>13086</v>
      </c>
      <c r="C9725" s="147"/>
      <c r="D9725" s="122"/>
      <c r="E9725" s="36"/>
      <c r="F9725" s="178"/>
      <c r="G9725" s="60"/>
      <c r="H9725" s="36"/>
      <c r="I9725" s="11"/>
    </row>
    <row r="9726" spans="1:12" ht="11.15" customHeight="1" thickBot="1">
      <c r="A9726" s="184" t="s">
        <v>13087</v>
      </c>
      <c r="B9726" s="154" t="s">
        <v>13088</v>
      </c>
      <c r="C9726" s="147"/>
      <c r="D9726" s="185"/>
      <c r="E9726" s="185"/>
      <c r="F9726" s="185"/>
      <c r="G9726" s="185"/>
      <c r="H9726" s="185"/>
      <c r="I9726" s="11"/>
    </row>
    <row r="9727" spans="1:12" ht="11.15" customHeight="1">
      <c r="A9727" s="29" t="s">
        <v>13089</v>
      </c>
      <c r="B9727" s="59" t="s">
        <v>22086</v>
      </c>
      <c r="C9727" s="147" t="s">
        <v>20221</v>
      </c>
      <c r="D9727" s="284" t="s">
        <v>897</v>
      </c>
      <c r="E9727" s="178">
        <v>2016</v>
      </c>
      <c r="F9727" s="178" t="s">
        <v>4520</v>
      </c>
      <c r="G9727" s="496"/>
      <c r="H9727" s="994" t="s">
        <v>20221</v>
      </c>
      <c r="I9727" s="11" t="s">
        <v>13090</v>
      </c>
      <c r="J9727" s="1285"/>
      <c r="K9727" s="1285"/>
      <c r="L9727" s="1285"/>
    </row>
    <row r="9728" spans="1:12" ht="11.15" customHeight="1">
      <c r="A9728" s="58" t="s">
        <v>13091</v>
      </c>
      <c r="B9728" s="59" t="s">
        <v>22087</v>
      </c>
      <c r="C9728" s="147" t="s">
        <v>20221</v>
      </c>
      <c r="D9728" s="284" t="s">
        <v>897</v>
      </c>
      <c r="E9728" s="178">
        <v>2013</v>
      </c>
      <c r="F9728" s="178" t="s">
        <v>11931</v>
      </c>
      <c r="G9728" s="496"/>
      <c r="H9728" s="994" t="s">
        <v>20224</v>
      </c>
      <c r="I9728" s="11" t="s">
        <v>13092</v>
      </c>
      <c r="J9728" s="1285"/>
      <c r="K9728" s="1285"/>
      <c r="L9728" s="1285"/>
    </row>
    <row r="9729" spans="1:12" ht="11.15" customHeight="1">
      <c r="A9729" s="29" t="s">
        <v>13093</v>
      </c>
      <c r="B9729" s="154" t="s">
        <v>13094</v>
      </c>
      <c r="C9729" s="147"/>
      <c r="D9729" s="185"/>
      <c r="E9729" s="61"/>
      <c r="F9729" s="185"/>
      <c r="G9729" s="185"/>
      <c r="H9729" s="185"/>
      <c r="I9729" s="11"/>
    </row>
    <row r="9730" spans="1:12" ht="11.15" customHeight="1">
      <c r="A9730" s="29" t="s">
        <v>13095</v>
      </c>
      <c r="B9730" s="59" t="s">
        <v>22088</v>
      </c>
      <c r="C9730" s="147" t="s">
        <v>20221</v>
      </c>
      <c r="D9730" s="284" t="s">
        <v>897</v>
      </c>
      <c r="E9730" s="178">
        <v>2013</v>
      </c>
      <c r="F9730" s="178" t="s">
        <v>4520</v>
      </c>
      <c r="G9730" s="496"/>
      <c r="H9730" s="994" t="s">
        <v>20221</v>
      </c>
      <c r="I9730" s="11" t="s">
        <v>13096</v>
      </c>
      <c r="J9730" s="1285"/>
      <c r="K9730" s="1285"/>
      <c r="L9730" s="1285"/>
    </row>
    <row r="9731" spans="1:12" ht="11.15" customHeight="1">
      <c r="A9731" s="181" t="s">
        <v>13097</v>
      </c>
      <c r="B9731" s="59" t="s">
        <v>22089</v>
      </c>
      <c r="C9731" s="147" t="s">
        <v>20221</v>
      </c>
      <c r="D9731" s="284" t="s">
        <v>897</v>
      </c>
      <c r="E9731" s="178">
        <v>2012</v>
      </c>
      <c r="F9731" s="178" t="s">
        <v>11931</v>
      </c>
      <c r="G9731" s="496"/>
      <c r="H9731" s="994" t="s">
        <v>20224</v>
      </c>
      <c r="I9731" s="11" t="s">
        <v>13098</v>
      </c>
      <c r="J9731" s="1285"/>
      <c r="K9731" s="1285"/>
      <c r="L9731" s="1285"/>
    </row>
    <row r="9732" spans="1:12" ht="11.15" customHeight="1">
      <c r="A9732" s="29" t="s">
        <v>13099</v>
      </c>
      <c r="B9732" s="154"/>
      <c r="C9732" s="147"/>
      <c r="D9732" s="129"/>
      <c r="E9732" s="185"/>
      <c r="F9732" s="185"/>
      <c r="G9732" s="185"/>
      <c r="H9732" s="185"/>
      <c r="I9732" s="11"/>
    </row>
    <row r="9733" spans="1:12" ht="9.75" customHeight="1">
      <c r="A9733" s="29" t="s">
        <v>13100</v>
      </c>
      <c r="B9733" s="59"/>
      <c r="C9733" s="147"/>
      <c r="D9733" s="677"/>
      <c r="E9733" s="178"/>
      <c r="F9733" s="183"/>
      <c r="G9733" s="671"/>
      <c r="H9733" s="183"/>
      <c r="I9733" s="11"/>
    </row>
    <row r="9734" spans="1:12" ht="11.15" customHeight="1">
      <c r="A9734" s="29" t="s">
        <v>13101</v>
      </c>
      <c r="B9734" s="185"/>
      <c r="C9734" s="147"/>
      <c r="D9734" s="129"/>
      <c r="E9734" s="185"/>
      <c r="F9734" s="185"/>
      <c r="G9734" s="185"/>
      <c r="H9734" s="185"/>
      <c r="I9734" s="11"/>
    </row>
    <row r="9735" spans="1:12" ht="11.15" customHeight="1">
      <c r="A9735" s="29" t="s">
        <v>13102</v>
      </c>
      <c r="B9735" s="185"/>
      <c r="C9735" s="147"/>
      <c r="D9735" s="129"/>
      <c r="E9735" s="185"/>
      <c r="F9735" s="185"/>
      <c r="G9735" s="185"/>
      <c r="H9735" s="185"/>
      <c r="I9735" s="11"/>
    </row>
    <row r="9736" spans="1:12" ht="11.15" customHeight="1">
      <c r="A9736" s="29" t="s">
        <v>13103</v>
      </c>
      <c r="B9736" s="185"/>
      <c r="C9736" s="147"/>
      <c r="D9736" s="161"/>
      <c r="E9736" s="36"/>
      <c r="F9736" s="183"/>
      <c r="G9736" s="496"/>
      <c r="H9736" s="34"/>
      <c r="I9736" s="11"/>
    </row>
    <row r="9737" spans="1:12" ht="11.15" customHeight="1">
      <c r="A9737" s="129" t="s">
        <v>13104</v>
      </c>
      <c r="B9737" s="90"/>
      <c r="C9737" s="147"/>
      <c r="D9737" s="161"/>
      <c r="E9737" s="36"/>
      <c r="F9737" s="183"/>
      <c r="G9737" s="496"/>
      <c r="H9737" s="34"/>
      <c r="I9737" s="11"/>
    </row>
    <row r="9738" spans="1:12" ht="11.15" customHeight="1" thickBot="1">
      <c r="A9738" s="29"/>
      <c r="B9738" s="185"/>
      <c r="C9738" s="147"/>
      <c r="D9738" s="122"/>
      <c r="E9738" s="36"/>
      <c r="F9738" s="178"/>
      <c r="G9738" s="453"/>
      <c r="H9738" s="36"/>
      <c r="I9738" s="11"/>
    </row>
    <row r="9739" spans="1:12" ht="11.15" customHeight="1" thickBot="1">
      <c r="A9739" s="184" t="s">
        <v>13105</v>
      </c>
      <c r="B9739" s="59" t="s">
        <v>22091</v>
      </c>
      <c r="C9739" s="147" t="s">
        <v>20221</v>
      </c>
      <c r="D9739" s="284" t="s">
        <v>897</v>
      </c>
      <c r="E9739" s="178">
        <v>2013</v>
      </c>
      <c r="F9739" s="178" t="s">
        <v>23395</v>
      </c>
      <c r="G9739" s="496"/>
      <c r="H9739" s="994" t="s">
        <v>20221</v>
      </c>
      <c r="I9739" s="11" t="s">
        <v>13106</v>
      </c>
      <c r="J9739" s="1285"/>
      <c r="K9739" s="1285"/>
      <c r="L9739" s="1285"/>
    </row>
    <row r="9740" spans="1:12" ht="11.15" customHeight="1">
      <c r="A9740" s="29" t="s">
        <v>13107</v>
      </c>
      <c r="B9740" s="59"/>
      <c r="C9740" s="147"/>
      <c r="D9740" s="739"/>
      <c r="E9740" s="178"/>
      <c r="F9740" s="178"/>
      <c r="G9740" s="496"/>
      <c r="H9740" s="994"/>
      <c r="I9740" s="11"/>
      <c r="J9740" s="1285"/>
      <c r="K9740" s="1285"/>
      <c r="L9740" s="1285"/>
    </row>
    <row r="9741" spans="1:12" ht="11.15" customHeight="1">
      <c r="A9741" s="29" t="s">
        <v>13108</v>
      </c>
      <c r="B9741" s="59"/>
      <c r="C9741" s="147"/>
      <c r="D9741" s="739"/>
      <c r="E9741" s="178"/>
      <c r="F9741" s="178"/>
      <c r="G9741" s="496"/>
      <c r="H9741" s="994"/>
      <c r="I9741" s="11"/>
      <c r="J9741" s="1285"/>
      <c r="K9741" s="1285"/>
      <c r="L9741" s="1285"/>
    </row>
    <row r="9742" spans="1:12" ht="11.15" customHeight="1">
      <c r="A9742" s="29" t="s">
        <v>1862</v>
      </c>
      <c r="B9742" s="185"/>
      <c r="C9742" s="147"/>
      <c r="D9742" s="129"/>
      <c r="E9742" s="185"/>
      <c r="F9742" s="185"/>
      <c r="G9742" s="185"/>
      <c r="H9742" s="185"/>
      <c r="I9742" s="11"/>
    </row>
    <row r="9743" spans="1:12" ht="11.15" customHeight="1">
      <c r="A9743" s="29" t="s">
        <v>13109</v>
      </c>
      <c r="B9743" s="226"/>
      <c r="C9743" s="147"/>
      <c r="D9743" s="122"/>
      <c r="E9743" s="36"/>
      <c r="F9743" s="178"/>
      <c r="G9743" s="60"/>
      <c r="H9743" s="36"/>
      <c r="I9743" s="11"/>
    </row>
    <row r="9744" spans="1:12" ht="11.15" customHeight="1">
      <c r="A9744" s="181" t="s">
        <v>2536</v>
      </c>
      <c r="B9744" s="226"/>
      <c r="C9744" s="147"/>
      <c r="D9744" s="122"/>
      <c r="E9744" s="36"/>
      <c r="F9744" s="178"/>
      <c r="G9744" s="453"/>
      <c r="H9744" s="36"/>
      <c r="I9744" s="11"/>
    </row>
    <row r="9745" spans="1:12" ht="11.15" customHeight="1">
      <c r="A9745" s="212" t="s">
        <v>13110</v>
      </c>
      <c r="B9745" s="226"/>
      <c r="C9745" s="147"/>
      <c r="D9745" s="122"/>
      <c r="E9745" s="36"/>
      <c r="F9745" s="178"/>
      <c r="G9745" s="453"/>
      <c r="H9745" s="36"/>
      <c r="I9745" s="11"/>
    </row>
    <row r="9746" spans="1:12" ht="11.15" customHeight="1">
      <c r="A9746" s="129" t="s">
        <v>13111</v>
      </c>
      <c r="B9746" s="90"/>
      <c r="C9746" s="147"/>
      <c r="D9746" s="161"/>
      <c r="E9746" s="36"/>
      <c r="F9746" s="183"/>
      <c r="G9746" s="496"/>
      <c r="H9746" s="34"/>
      <c r="I9746" s="11"/>
    </row>
    <row r="9747" spans="1:12" ht="11.15" customHeight="1">
      <c r="A9747" s="678"/>
      <c r="B9747" s="413" t="s">
        <v>13112</v>
      </c>
      <c r="C9747" s="147"/>
      <c r="D9747" s="182"/>
      <c r="E9747" s="36"/>
      <c r="F9747" s="183"/>
      <c r="G9747" s="496"/>
      <c r="H9747" s="34"/>
      <c r="I9747" s="11"/>
    </row>
    <row r="9748" spans="1:12" ht="9" customHeight="1">
      <c r="A9748" s="29"/>
      <c r="B9748" s="209" t="s">
        <v>13113</v>
      </c>
      <c r="C9748" s="147"/>
      <c r="D9748" s="161"/>
      <c r="E9748" s="36"/>
      <c r="F9748" s="178"/>
      <c r="G9748" s="496"/>
      <c r="H9748" s="36"/>
      <c r="I9748" s="11"/>
    </row>
    <row r="9749" spans="1:12" ht="9" customHeight="1" thickBot="1">
      <c r="A9749" s="185"/>
      <c r="B9749" s="209" t="s">
        <v>13114</v>
      </c>
      <c r="C9749" s="147"/>
      <c r="D9749" s="161"/>
      <c r="E9749" s="36"/>
      <c r="F9749" s="178"/>
      <c r="G9749" s="496"/>
      <c r="H9749" s="36"/>
      <c r="I9749" s="11"/>
    </row>
    <row r="9750" spans="1:12" ht="11.15" customHeight="1" thickBot="1">
      <c r="A9750" s="184" t="s">
        <v>13115</v>
      </c>
      <c r="B9750" s="177" t="s">
        <v>13116</v>
      </c>
      <c r="C9750" s="147"/>
      <c r="D9750" s="156"/>
      <c r="E9750" s="36"/>
      <c r="F9750" s="178"/>
      <c r="G9750" s="497"/>
      <c r="H9750" s="36"/>
      <c r="I9750" s="11"/>
    </row>
    <row r="9751" spans="1:12" ht="11.15" customHeight="1">
      <c r="A9751" s="229" t="s">
        <v>13117</v>
      </c>
      <c r="B9751" s="59" t="s">
        <v>19000</v>
      </c>
      <c r="C9751" s="147" t="s">
        <v>20221</v>
      </c>
      <c r="D9751" s="284" t="s">
        <v>897</v>
      </c>
      <c r="E9751" s="178">
        <v>2012</v>
      </c>
      <c r="F9751" s="178" t="s">
        <v>4520</v>
      </c>
      <c r="G9751" s="496"/>
      <c r="H9751" s="994" t="s">
        <v>20221</v>
      </c>
      <c r="I9751" s="11" t="s">
        <v>13118</v>
      </c>
      <c r="J9751" s="1285"/>
      <c r="K9751" s="1285"/>
      <c r="L9751" s="1285"/>
    </row>
    <row r="9752" spans="1:12" ht="11.15" customHeight="1">
      <c r="A9752" s="229" t="s">
        <v>13119</v>
      </c>
      <c r="B9752" s="59" t="s">
        <v>22092</v>
      </c>
      <c r="C9752" s="147" t="s">
        <v>20221</v>
      </c>
      <c r="D9752" s="284" t="s">
        <v>897</v>
      </c>
      <c r="E9752" s="178">
        <v>2010</v>
      </c>
      <c r="F9752" s="178" t="s">
        <v>4520</v>
      </c>
      <c r="G9752" s="496"/>
      <c r="H9752" s="994" t="s">
        <v>20221</v>
      </c>
      <c r="I9752" s="11" t="s">
        <v>13120</v>
      </c>
      <c r="J9752" s="1285"/>
      <c r="K9752" s="1285"/>
      <c r="L9752" s="1285"/>
    </row>
    <row r="9753" spans="1:12" ht="11.15" customHeight="1">
      <c r="A9753" s="29" t="s">
        <v>13121</v>
      </c>
      <c r="B9753" s="59" t="s">
        <v>22093</v>
      </c>
      <c r="C9753" s="147" t="s">
        <v>20221</v>
      </c>
      <c r="D9753" s="284" t="s">
        <v>897</v>
      </c>
      <c r="E9753" s="178">
        <v>2010</v>
      </c>
      <c r="F9753" s="178" t="s">
        <v>9678</v>
      </c>
      <c r="G9753" s="496"/>
      <c r="H9753" s="994" t="s">
        <v>20224</v>
      </c>
      <c r="I9753" s="11" t="s">
        <v>13122</v>
      </c>
      <c r="J9753" s="1285"/>
      <c r="K9753" s="1285"/>
      <c r="L9753" s="1285"/>
    </row>
    <row r="9754" spans="1:12" ht="11.15" customHeight="1">
      <c r="A9754" s="29" t="s">
        <v>13123</v>
      </c>
      <c r="B9754" s="59" t="s">
        <v>22093</v>
      </c>
      <c r="C9754" s="147" t="s">
        <v>20221</v>
      </c>
      <c r="D9754" s="284" t="s">
        <v>897</v>
      </c>
      <c r="E9754" s="178">
        <v>2009</v>
      </c>
      <c r="F9754" s="178" t="s">
        <v>9678</v>
      </c>
      <c r="G9754" s="496"/>
      <c r="H9754" s="994" t="s">
        <v>20224</v>
      </c>
      <c r="I9754" s="11" t="s">
        <v>13124</v>
      </c>
      <c r="J9754" s="1285"/>
      <c r="K9754" s="1285"/>
      <c r="L9754" s="1285"/>
    </row>
    <row r="9755" spans="1:12" ht="11.15" customHeight="1">
      <c r="A9755" s="181" t="s">
        <v>13125</v>
      </c>
      <c r="B9755" s="59" t="s">
        <v>22094</v>
      </c>
      <c r="C9755" s="147" t="s">
        <v>20221</v>
      </c>
      <c r="D9755" s="284" t="s">
        <v>897</v>
      </c>
      <c r="E9755" s="178">
        <v>2009</v>
      </c>
      <c r="F9755" s="178" t="s">
        <v>11938</v>
      </c>
      <c r="G9755" s="496"/>
      <c r="H9755" s="994" t="s">
        <v>20224</v>
      </c>
      <c r="I9755" s="11" t="s">
        <v>13126</v>
      </c>
      <c r="J9755" s="1285"/>
      <c r="K9755" s="1285"/>
      <c r="L9755" s="1285"/>
    </row>
    <row r="9756" spans="1:12" ht="11.15" customHeight="1">
      <c r="A9756" s="129" t="s">
        <v>2047</v>
      </c>
      <c r="B9756" s="154" t="s">
        <v>13127</v>
      </c>
      <c r="C9756" s="147"/>
      <c r="D9756" s="161"/>
      <c r="E9756" s="178"/>
      <c r="F9756" s="183"/>
      <c r="G9756" s="671"/>
      <c r="H9756" s="34"/>
      <c r="I9756" s="11"/>
    </row>
    <row r="9757" spans="1:12" ht="11.15" customHeight="1">
      <c r="A9757" s="162" t="s">
        <v>13128</v>
      </c>
      <c r="B9757" s="59" t="s">
        <v>22095</v>
      </c>
      <c r="C9757" s="147" t="s">
        <v>20221</v>
      </c>
      <c r="D9757" s="284" t="s">
        <v>897</v>
      </c>
      <c r="E9757" s="178">
        <v>2013</v>
      </c>
      <c r="F9757" s="178" t="s">
        <v>4520</v>
      </c>
      <c r="G9757" s="496"/>
      <c r="H9757" s="994" t="s">
        <v>20221</v>
      </c>
      <c r="I9757" s="11" t="s">
        <v>13129</v>
      </c>
      <c r="J9757" s="1285"/>
      <c r="K9757" s="1285"/>
      <c r="L9757" s="1285"/>
    </row>
    <row r="9758" spans="1:12" ht="11.15" customHeight="1">
      <c r="A9758" s="162" t="s">
        <v>13130</v>
      </c>
      <c r="B9758" s="59" t="s">
        <v>22095</v>
      </c>
      <c r="C9758" s="147" t="s">
        <v>20221</v>
      </c>
      <c r="D9758" s="284" t="s">
        <v>897</v>
      </c>
      <c r="E9758" s="178">
        <v>2012</v>
      </c>
      <c r="F9758" s="178" t="s">
        <v>4520</v>
      </c>
      <c r="G9758" s="496"/>
      <c r="H9758" s="994" t="s">
        <v>20221</v>
      </c>
      <c r="I9758" s="11" t="s">
        <v>13131</v>
      </c>
      <c r="J9758" s="1285"/>
      <c r="K9758" s="1285"/>
      <c r="L9758" s="1285"/>
    </row>
    <row r="9759" spans="1:12" ht="11.15" customHeight="1">
      <c r="A9759" s="162" t="s">
        <v>13132</v>
      </c>
      <c r="B9759" s="59" t="s">
        <v>22096</v>
      </c>
      <c r="C9759" s="147" t="s">
        <v>20221</v>
      </c>
      <c r="D9759" s="284" t="s">
        <v>897</v>
      </c>
      <c r="E9759" s="178">
        <v>2012</v>
      </c>
      <c r="F9759" s="178" t="s">
        <v>9678</v>
      </c>
      <c r="G9759" s="496"/>
      <c r="H9759" s="994" t="s">
        <v>20224</v>
      </c>
      <c r="I9759" s="11" t="s">
        <v>13133</v>
      </c>
      <c r="J9759" s="1285"/>
      <c r="K9759" s="1285"/>
      <c r="L9759" s="1285"/>
    </row>
    <row r="9760" spans="1:12" ht="11.15" customHeight="1">
      <c r="A9760" s="162" t="s">
        <v>13134</v>
      </c>
      <c r="B9760" s="59" t="s">
        <v>22096</v>
      </c>
      <c r="C9760" s="147" t="s">
        <v>20221</v>
      </c>
      <c r="D9760" s="284" t="s">
        <v>897</v>
      </c>
      <c r="E9760" s="178">
        <v>2010</v>
      </c>
      <c r="F9760" s="178" t="s">
        <v>9678</v>
      </c>
      <c r="G9760" s="496"/>
      <c r="H9760" s="994" t="s">
        <v>20221</v>
      </c>
      <c r="I9760" s="11" t="s">
        <v>13135</v>
      </c>
      <c r="J9760" s="1285"/>
      <c r="K9760" s="1285"/>
      <c r="L9760" s="1285"/>
    </row>
    <row r="9761" spans="1:12" ht="11.15" customHeight="1">
      <c r="A9761" s="129" t="s">
        <v>903</v>
      </c>
      <c r="B9761" s="59" t="s">
        <v>22097</v>
      </c>
      <c r="C9761" s="147" t="s">
        <v>20221</v>
      </c>
      <c r="D9761" s="284" t="s">
        <v>897</v>
      </c>
      <c r="E9761" s="178">
        <v>2012</v>
      </c>
      <c r="F9761" s="178" t="s">
        <v>11938</v>
      </c>
      <c r="G9761" s="496"/>
      <c r="H9761" s="994" t="s">
        <v>20224</v>
      </c>
      <c r="I9761" s="11" t="s">
        <v>13136</v>
      </c>
      <c r="J9761" s="1285"/>
      <c r="K9761" s="1285"/>
      <c r="L9761" s="1285"/>
    </row>
    <row r="9762" spans="1:12" ht="11.15" customHeight="1">
      <c r="A9762" s="162" t="s">
        <v>13137</v>
      </c>
      <c r="B9762" s="59" t="s">
        <v>22097</v>
      </c>
      <c r="C9762" s="147" t="s">
        <v>20221</v>
      </c>
      <c r="D9762" s="284" t="s">
        <v>897</v>
      </c>
      <c r="E9762" s="178">
        <v>2010</v>
      </c>
      <c r="F9762" s="178" t="s">
        <v>11938</v>
      </c>
      <c r="G9762" s="496"/>
      <c r="H9762" s="994" t="s">
        <v>20224</v>
      </c>
      <c r="I9762" s="11" t="s">
        <v>13138</v>
      </c>
      <c r="J9762" s="1285"/>
      <c r="K9762" s="1285"/>
      <c r="L9762" s="1285"/>
    </row>
    <row r="9763" spans="1:12" ht="11.15" customHeight="1">
      <c r="A9763" s="162" t="s">
        <v>13139</v>
      </c>
      <c r="B9763" s="185"/>
      <c r="C9763" s="147"/>
      <c r="D9763" s="129"/>
      <c r="E9763" s="185"/>
      <c r="F9763" s="185"/>
      <c r="G9763" s="185"/>
      <c r="H9763" s="185"/>
      <c r="I9763" s="11"/>
    </row>
    <row r="9764" spans="1:12" ht="11.15" customHeight="1">
      <c r="A9764" s="162" t="s">
        <v>13140</v>
      </c>
      <c r="B9764" s="185"/>
      <c r="C9764" s="147"/>
      <c r="D9764" s="129"/>
      <c r="E9764" s="185"/>
      <c r="F9764" s="185"/>
      <c r="G9764" s="185"/>
      <c r="H9764" s="185"/>
      <c r="I9764" s="11"/>
    </row>
    <row r="9765" spans="1:12" ht="11.15" customHeight="1">
      <c r="A9765" s="162" t="s">
        <v>13141</v>
      </c>
      <c r="B9765" s="185"/>
      <c r="C9765" s="147"/>
      <c r="D9765" s="129"/>
      <c r="E9765" s="185"/>
      <c r="F9765" s="185"/>
      <c r="G9765" s="185"/>
      <c r="H9765" s="185"/>
      <c r="I9765" s="11"/>
    </row>
    <row r="9766" spans="1:12" ht="11.15" customHeight="1">
      <c r="A9766" s="162" t="s">
        <v>13142</v>
      </c>
      <c r="B9766" s="90"/>
      <c r="C9766" s="147"/>
      <c r="D9766" s="161"/>
      <c r="E9766" s="36"/>
      <c r="F9766" s="183"/>
      <c r="G9766" s="496"/>
      <c r="H9766" s="34"/>
      <c r="I9766" s="11"/>
    </row>
    <row r="9767" spans="1:12" ht="11.15" customHeight="1">
      <c r="A9767" s="166" t="s">
        <v>13143</v>
      </c>
      <c r="B9767" s="90"/>
      <c r="C9767" s="147"/>
      <c r="D9767" s="161"/>
      <c r="E9767" s="36"/>
      <c r="F9767" s="183"/>
      <c r="G9767" s="496"/>
      <c r="H9767" s="34"/>
      <c r="I9767" s="11"/>
    </row>
    <row r="9768" spans="1:12" ht="11.15" customHeight="1">
      <c r="A9768" s="129" t="s">
        <v>13144</v>
      </c>
      <c r="B9768" s="90"/>
      <c r="C9768" s="147"/>
      <c r="D9768" s="161"/>
      <c r="E9768" s="36"/>
      <c r="F9768" s="183"/>
      <c r="G9768" s="496"/>
      <c r="H9768" s="34"/>
      <c r="I9768" s="11"/>
    </row>
    <row r="9769" spans="1:12" ht="11.15" customHeight="1">
      <c r="A9769" s="129" t="s">
        <v>13145</v>
      </c>
      <c r="B9769" s="90"/>
      <c r="C9769" s="147"/>
      <c r="D9769" s="161"/>
      <c r="E9769" s="36"/>
      <c r="F9769" s="183"/>
      <c r="G9769" s="496"/>
      <c r="H9769" s="34"/>
      <c r="I9769" s="11"/>
    </row>
    <row r="9770" spans="1:12" ht="11.15" customHeight="1" thickBot="1">
      <c r="A9770" s="129"/>
      <c r="B9770" s="185"/>
      <c r="C9770" s="147"/>
      <c r="D9770" s="185"/>
      <c r="E9770" s="185"/>
      <c r="F9770" s="185"/>
      <c r="G9770" s="185"/>
      <c r="H9770" s="185"/>
      <c r="I9770" s="11"/>
    </row>
    <row r="9771" spans="1:12" ht="11.15" customHeight="1" thickBot="1">
      <c r="A9771" s="184" t="s">
        <v>13146</v>
      </c>
      <c r="B9771" s="59" t="s">
        <v>18796</v>
      </c>
      <c r="C9771" s="147" t="s">
        <v>20221</v>
      </c>
      <c r="D9771" s="284" t="s">
        <v>897</v>
      </c>
      <c r="E9771" s="178">
        <v>2021</v>
      </c>
      <c r="F9771" s="178" t="s">
        <v>4520</v>
      </c>
      <c r="G9771" s="496"/>
      <c r="H9771" s="994" t="s">
        <v>20221</v>
      </c>
      <c r="I9771" s="11" t="s">
        <v>13147</v>
      </c>
      <c r="J9771" s="1285"/>
      <c r="K9771" s="1285"/>
      <c r="L9771" s="1285"/>
    </row>
    <row r="9772" spans="1:12" ht="11.15" customHeight="1">
      <c r="A9772" s="29" t="s">
        <v>13148</v>
      </c>
      <c r="B9772" s="59" t="s">
        <v>18796</v>
      </c>
      <c r="C9772" s="147" t="s">
        <v>20221</v>
      </c>
      <c r="D9772" s="284" t="s">
        <v>897</v>
      </c>
      <c r="E9772" s="178">
        <v>2018</v>
      </c>
      <c r="F9772" s="178" t="s">
        <v>4520</v>
      </c>
      <c r="G9772" s="496"/>
      <c r="H9772" s="994" t="s">
        <v>20224</v>
      </c>
      <c r="I9772" s="11" t="s">
        <v>13149</v>
      </c>
      <c r="J9772" s="1285"/>
      <c r="K9772" s="1285"/>
      <c r="L9772" s="1285"/>
    </row>
    <row r="9773" spans="1:12" ht="11.15" customHeight="1">
      <c r="A9773" s="29" t="s">
        <v>13150</v>
      </c>
      <c r="B9773" s="59" t="s">
        <v>22099</v>
      </c>
      <c r="C9773" s="147" t="s">
        <v>20221</v>
      </c>
      <c r="D9773" s="284" t="s">
        <v>897</v>
      </c>
      <c r="E9773" s="178">
        <v>2018</v>
      </c>
      <c r="F9773" s="178" t="s">
        <v>4520</v>
      </c>
      <c r="G9773" s="496"/>
      <c r="H9773" s="994" t="s">
        <v>20221</v>
      </c>
      <c r="I9773" s="11" t="s">
        <v>13151</v>
      </c>
      <c r="J9773" s="1285"/>
      <c r="K9773" s="1285"/>
      <c r="L9773" s="1285"/>
    </row>
    <row r="9774" spans="1:12" ht="11.15" customHeight="1">
      <c r="A9774" s="29" t="s">
        <v>13152</v>
      </c>
      <c r="B9774" s="90"/>
      <c r="C9774" s="147"/>
      <c r="D9774" s="182"/>
      <c r="E9774" s="36"/>
      <c r="F9774" s="183"/>
      <c r="G9774" s="496"/>
      <c r="H9774" s="34"/>
      <c r="I9774" s="11"/>
    </row>
    <row r="9775" spans="1:12" ht="11.15" customHeight="1">
      <c r="A9775" s="29" t="s">
        <v>13153</v>
      </c>
      <c r="B9775" s="90"/>
      <c r="C9775" s="147"/>
      <c r="D9775" s="182"/>
      <c r="E9775" s="36"/>
      <c r="F9775" s="183"/>
      <c r="G9775" s="496"/>
      <c r="H9775" s="34"/>
      <c r="I9775" s="11"/>
    </row>
    <row r="9776" spans="1:12" ht="11.15" customHeight="1">
      <c r="A9776" s="181" t="s">
        <v>13154</v>
      </c>
      <c r="B9776" s="90"/>
      <c r="C9776" s="147"/>
      <c r="D9776" s="182"/>
      <c r="E9776" s="36"/>
      <c r="F9776" s="183"/>
      <c r="G9776" s="496"/>
      <c r="H9776" s="34"/>
      <c r="I9776" s="11"/>
    </row>
    <row r="9777" spans="1:9" ht="11.15" customHeight="1">
      <c r="A9777" s="181" t="s">
        <v>13155</v>
      </c>
      <c r="B9777" s="90"/>
      <c r="C9777" s="147"/>
      <c r="D9777" s="182"/>
      <c r="E9777" s="36"/>
      <c r="F9777" s="183"/>
      <c r="G9777" s="496"/>
      <c r="H9777" s="34"/>
      <c r="I9777" s="11"/>
    </row>
    <row r="9778" spans="1:9" ht="11.15" customHeight="1">
      <c r="A9778" s="181" t="s">
        <v>2536</v>
      </c>
      <c r="B9778" s="90"/>
      <c r="C9778" s="147"/>
      <c r="D9778" s="182"/>
      <c r="E9778" s="36"/>
      <c r="F9778" s="183"/>
      <c r="G9778" s="496"/>
      <c r="H9778" s="34"/>
      <c r="I9778" s="11"/>
    </row>
    <row r="9779" spans="1:9" ht="11.15" customHeight="1">
      <c r="A9779" s="29" t="s">
        <v>13156</v>
      </c>
      <c r="B9779" s="90"/>
      <c r="C9779" s="147"/>
      <c r="D9779" s="182"/>
      <c r="E9779" s="36"/>
      <c r="F9779" s="183"/>
      <c r="G9779" s="496"/>
      <c r="H9779" s="34"/>
      <c r="I9779" s="11"/>
    </row>
    <row r="9780" spans="1:9" ht="11.15" customHeight="1">
      <c r="A9780" s="129" t="s">
        <v>13157</v>
      </c>
      <c r="B9780" s="90"/>
      <c r="C9780" s="147"/>
      <c r="D9780" s="182"/>
      <c r="E9780" s="36"/>
      <c r="F9780" s="183"/>
      <c r="G9780" s="496"/>
      <c r="H9780" s="34"/>
      <c r="I9780" s="11"/>
    </row>
    <row r="9781" spans="1:9" ht="11.15" customHeight="1">
      <c r="A9781" s="162" t="s">
        <v>13158</v>
      </c>
      <c r="B9781" s="90"/>
      <c r="C9781" s="147"/>
      <c r="D9781" s="182"/>
      <c r="E9781" s="36"/>
      <c r="F9781" s="183"/>
      <c r="G9781" s="496"/>
      <c r="H9781" s="34"/>
      <c r="I9781" s="11"/>
    </row>
    <row r="9782" spans="1:9" ht="11.15" customHeight="1">
      <c r="A9782" s="162" t="s">
        <v>13159</v>
      </c>
      <c r="B9782" s="90"/>
      <c r="C9782" s="147"/>
      <c r="D9782" s="182"/>
      <c r="E9782" s="36"/>
      <c r="F9782" s="183"/>
      <c r="G9782" s="496"/>
      <c r="H9782" s="34"/>
      <c r="I9782" s="11"/>
    </row>
    <row r="9783" spans="1:9" ht="11.15" customHeight="1">
      <c r="A9783" s="162" t="s">
        <v>13160</v>
      </c>
      <c r="B9783" s="90"/>
      <c r="C9783" s="147"/>
      <c r="D9783" s="182"/>
      <c r="E9783" s="36"/>
      <c r="F9783" s="183"/>
      <c r="G9783" s="496"/>
      <c r="H9783" s="34"/>
      <c r="I9783" s="11"/>
    </row>
    <row r="9784" spans="1:9" ht="11.15" customHeight="1">
      <c r="A9784" s="162" t="s">
        <v>13161</v>
      </c>
      <c r="B9784" s="90"/>
      <c r="C9784" s="147"/>
      <c r="D9784" s="182"/>
      <c r="E9784" s="36"/>
      <c r="F9784" s="183"/>
      <c r="G9784" s="496"/>
      <c r="H9784" s="34"/>
      <c r="I9784" s="11"/>
    </row>
    <row r="9785" spans="1:9" ht="11.15" customHeight="1">
      <c r="A9785" s="129" t="s">
        <v>1077</v>
      </c>
      <c r="B9785" s="90"/>
      <c r="C9785" s="147"/>
      <c r="D9785" s="182"/>
      <c r="E9785" s="36"/>
      <c r="F9785" s="183"/>
      <c r="G9785" s="496"/>
      <c r="H9785" s="34"/>
      <c r="I9785" s="11"/>
    </row>
    <row r="9786" spans="1:9" ht="11.15" customHeight="1">
      <c r="A9786" s="162" t="s">
        <v>13162</v>
      </c>
      <c r="B9786" s="90"/>
      <c r="C9786" s="147"/>
      <c r="D9786" s="182"/>
      <c r="E9786" s="36"/>
      <c r="F9786" s="183"/>
      <c r="G9786" s="496"/>
      <c r="H9786" s="34"/>
      <c r="I9786" s="11"/>
    </row>
    <row r="9787" spans="1:9" ht="11.15" customHeight="1">
      <c r="A9787" s="162" t="s">
        <v>13163</v>
      </c>
      <c r="B9787" s="90"/>
      <c r="C9787" s="147"/>
      <c r="D9787" s="182"/>
      <c r="E9787" s="36"/>
      <c r="F9787" s="183"/>
      <c r="G9787" s="496"/>
      <c r="H9787" s="34"/>
      <c r="I9787" s="11"/>
    </row>
    <row r="9788" spans="1:9" ht="11.15" customHeight="1">
      <c r="A9788" s="162" t="s">
        <v>13164</v>
      </c>
      <c r="B9788" s="90"/>
      <c r="C9788" s="147"/>
      <c r="D9788" s="182"/>
      <c r="E9788" s="36"/>
      <c r="F9788" s="183"/>
      <c r="G9788" s="496"/>
      <c r="H9788" s="34"/>
      <c r="I9788" s="11"/>
    </row>
    <row r="9789" spans="1:9" ht="11.15" customHeight="1">
      <c r="A9789" s="162" t="s">
        <v>13165</v>
      </c>
      <c r="B9789" s="90"/>
      <c r="C9789" s="147"/>
      <c r="D9789" s="182"/>
      <c r="E9789" s="36"/>
      <c r="F9789" s="183"/>
      <c r="G9789" s="496"/>
      <c r="H9789" s="34"/>
      <c r="I9789" s="11"/>
    </row>
    <row r="9790" spans="1:9" ht="11.15" customHeight="1">
      <c r="A9790" s="162" t="s">
        <v>13166</v>
      </c>
      <c r="B9790" s="90"/>
      <c r="C9790" s="147"/>
      <c r="D9790" s="182"/>
      <c r="E9790" s="36"/>
      <c r="F9790" s="183"/>
      <c r="G9790" s="496"/>
      <c r="H9790" s="34"/>
      <c r="I9790" s="11"/>
    </row>
    <row r="9791" spans="1:9" ht="11.15" customHeight="1">
      <c r="A9791" s="162" t="s">
        <v>13167</v>
      </c>
      <c r="B9791" s="90"/>
      <c r="C9791" s="147"/>
      <c r="D9791" s="182"/>
      <c r="E9791" s="36"/>
      <c r="F9791" s="183"/>
      <c r="G9791" s="496"/>
      <c r="H9791" s="34"/>
      <c r="I9791" s="11"/>
    </row>
    <row r="9792" spans="1:9" ht="11.15" customHeight="1">
      <c r="A9792" s="162" t="s">
        <v>13168</v>
      </c>
      <c r="B9792" s="90"/>
      <c r="C9792" s="147"/>
      <c r="D9792" s="182"/>
      <c r="E9792" s="36"/>
      <c r="F9792" s="183"/>
      <c r="G9792" s="496"/>
      <c r="H9792" s="34"/>
      <c r="I9792" s="11"/>
    </row>
    <row r="9793" spans="1:12" ht="11.15" customHeight="1">
      <c r="A9793" s="162" t="s">
        <v>13169</v>
      </c>
      <c r="B9793" s="90"/>
      <c r="C9793" s="147"/>
      <c r="D9793" s="182"/>
      <c r="E9793" s="36"/>
      <c r="F9793" s="183"/>
      <c r="G9793" s="496"/>
      <c r="H9793" s="34"/>
      <c r="I9793" s="11"/>
    </row>
    <row r="9794" spans="1:12" ht="11.15" customHeight="1">
      <c r="A9794" s="162" t="s">
        <v>13170</v>
      </c>
      <c r="B9794" s="90"/>
      <c r="C9794" s="147"/>
      <c r="D9794" s="182"/>
      <c r="E9794" s="36"/>
      <c r="F9794" s="183"/>
      <c r="G9794" s="496"/>
      <c r="H9794" s="34"/>
      <c r="I9794" s="11"/>
    </row>
    <row r="9795" spans="1:12" ht="11.15" customHeight="1">
      <c r="A9795" s="162" t="s">
        <v>13171</v>
      </c>
      <c r="B9795" s="90"/>
      <c r="C9795" s="147"/>
      <c r="D9795" s="182"/>
      <c r="E9795" s="36"/>
      <c r="F9795" s="183"/>
      <c r="G9795" s="496"/>
      <c r="H9795" s="34"/>
      <c r="I9795" s="11"/>
    </row>
    <row r="9796" spans="1:12" ht="11.15" customHeight="1">
      <c r="A9796" s="168" t="s">
        <v>13172</v>
      </c>
      <c r="B9796" s="90"/>
      <c r="C9796" s="147"/>
      <c r="D9796" s="182"/>
      <c r="E9796" s="36"/>
      <c r="F9796" s="183"/>
      <c r="G9796" s="496"/>
      <c r="H9796" s="34"/>
      <c r="I9796" s="11"/>
    </row>
    <row r="9797" spans="1:12" ht="11.15" customHeight="1">
      <c r="A9797" s="168" t="s">
        <v>13173</v>
      </c>
      <c r="B9797" s="90"/>
      <c r="C9797" s="147"/>
      <c r="D9797" s="182"/>
      <c r="E9797" s="36"/>
      <c r="F9797" s="183"/>
      <c r="G9797" s="496"/>
      <c r="H9797" s="34"/>
      <c r="I9797" s="11"/>
    </row>
    <row r="9798" spans="1:12" ht="11.15" customHeight="1">
      <c r="A9798" s="169" t="s">
        <v>11041</v>
      </c>
      <c r="B9798" s="90"/>
      <c r="C9798" s="147"/>
      <c r="D9798" s="182"/>
      <c r="E9798" s="36"/>
      <c r="F9798" s="183"/>
      <c r="G9798" s="496"/>
      <c r="H9798" s="34"/>
      <c r="I9798" s="11"/>
    </row>
    <row r="9799" spans="1:12" ht="11.15" customHeight="1">
      <c r="A9799" s="357" t="s">
        <v>5463</v>
      </c>
      <c r="B9799" s="90"/>
      <c r="C9799" s="147"/>
      <c r="D9799" s="182"/>
      <c r="E9799" s="36"/>
      <c r="F9799" s="183"/>
      <c r="G9799" s="496"/>
      <c r="H9799" s="34"/>
      <c r="I9799" s="11"/>
    </row>
    <row r="9800" spans="1:12" ht="11.15" customHeight="1">
      <c r="A9800" s="129" t="s">
        <v>2579</v>
      </c>
      <c r="B9800" s="90"/>
      <c r="C9800" s="147"/>
      <c r="D9800" s="182"/>
      <c r="E9800" s="36"/>
      <c r="F9800" s="183"/>
      <c r="G9800" s="496"/>
      <c r="H9800" s="34"/>
      <c r="I9800" s="11"/>
    </row>
    <row r="9801" spans="1:12" ht="11.15" customHeight="1">
      <c r="A9801" s="129" t="s">
        <v>13174</v>
      </c>
      <c r="B9801" s="90"/>
      <c r="C9801" s="147"/>
      <c r="D9801" s="182"/>
      <c r="E9801" s="36"/>
      <c r="F9801" s="183"/>
      <c r="G9801" s="496"/>
      <c r="H9801" s="34"/>
      <c r="I9801" s="11"/>
    </row>
    <row r="9802" spans="1:12" ht="11.15" customHeight="1" thickBot="1">
      <c r="A9802" s="185"/>
      <c r="B9802" s="150" t="s">
        <v>13175</v>
      </c>
      <c r="C9802" s="147"/>
      <c r="D9802" s="129"/>
      <c r="E9802" s="185"/>
      <c r="F9802" s="185"/>
      <c r="G9802" s="185"/>
      <c r="H9802" s="185"/>
      <c r="I9802" s="11"/>
    </row>
    <row r="9803" spans="1:12" ht="11.15" customHeight="1" thickBot="1">
      <c r="A9803" s="184" t="s">
        <v>13176</v>
      </c>
      <c r="B9803" s="59" t="s">
        <v>19000</v>
      </c>
      <c r="C9803" s="147" t="s">
        <v>20221</v>
      </c>
      <c r="D9803" s="284" t="s">
        <v>897</v>
      </c>
      <c r="E9803" s="178">
        <v>2022</v>
      </c>
      <c r="F9803" s="178" t="s">
        <v>4520</v>
      </c>
      <c r="G9803" s="496"/>
      <c r="H9803" s="994" t="s">
        <v>20221</v>
      </c>
      <c r="I9803" s="11" t="s">
        <v>23373</v>
      </c>
      <c r="J9803" s="1285"/>
      <c r="K9803" s="1285"/>
      <c r="L9803" s="1285"/>
    </row>
    <row r="9804" spans="1:12" ht="11.15" customHeight="1">
      <c r="A9804" s="29" t="s">
        <v>13178</v>
      </c>
      <c r="B9804" s="59" t="s">
        <v>19000</v>
      </c>
      <c r="C9804" s="147" t="s">
        <v>20221</v>
      </c>
      <c r="D9804" s="284" t="s">
        <v>897</v>
      </c>
      <c r="E9804" s="178">
        <v>2020</v>
      </c>
      <c r="F9804" s="178" t="s">
        <v>4520</v>
      </c>
      <c r="G9804" s="496"/>
      <c r="H9804" s="994" t="s">
        <v>20224</v>
      </c>
      <c r="I9804" s="11" t="s">
        <v>13177</v>
      </c>
      <c r="J9804" s="1285"/>
      <c r="K9804" s="1285"/>
      <c r="L9804" s="1285"/>
    </row>
    <row r="9805" spans="1:12" ht="11.15" customHeight="1">
      <c r="A9805" s="219" t="s">
        <v>13180</v>
      </c>
      <c r="B9805" s="59" t="s">
        <v>22100</v>
      </c>
      <c r="C9805" s="147" t="s">
        <v>20221</v>
      </c>
      <c r="D9805" s="284" t="s">
        <v>897</v>
      </c>
      <c r="E9805" s="178">
        <v>2018</v>
      </c>
      <c r="F9805" s="178" t="s">
        <v>4520</v>
      </c>
      <c r="G9805" s="496"/>
      <c r="H9805" s="994" t="s">
        <v>20221</v>
      </c>
      <c r="I9805" s="11" t="s">
        <v>13179</v>
      </c>
      <c r="J9805" s="1285"/>
      <c r="K9805" s="1285"/>
      <c r="L9805" s="1285"/>
    </row>
    <row r="9806" spans="1:12" ht="11.15" customHeight="1">
      <c r="A9806" s="29" t="s">
        <v>13182</v>
      </c>
      <c r="B9806" s="59" t="s">
        <v>22100</v>
      </c>
      <c r="C9806" s="147" t="s">
        <v>20221</v>
      </c>
      <c r="D9806" s="284" t="s">
        <v>897</v>
      </c>
      <c r="E9806" s="178">
        <v>2016</v>
      </c>
      <c r="F9806" s="178" t="s">
        <v>4520</v>
      </c>
      <c r="G9806" s="496"/>
      <c r="H9806" s="994" t="s">
        <v>20221</v>
      </c>
      <c r="I9806" s="11" t="s">
        <v>13181</v>
      </c>
      <c r="J9806" s="1285"/>
      <c r="K9806" s="1285"/>
      <c r="L9806" s="1285"/>
    </row>
    <row r="9807" spans="1:12" ht="11.15" customHeight="1">
      <c r="A9807" s="29" t="s">
        <v>13184</v>
      </c>
      <c r="B9807" s="59" t="s">
        <v>22101</v>
      </c>
      <c r="C9807" s="147" t="s">
        <v>20221</v>
      </c>
      <c r="D9807" s="284" t="s">
        <v>897</v>
      </c>
      <c r="E9807" s="178">
        <v>2018</v>
      </c>
      <c r="F9807" s="178" t="s">
        <v>4520</v>
      </c>
      <c r="G9807" s="496"/>
      <c r="H9807" s="994" t="s">
        <v>20221</v>
      </c>
      <c r="I9807" s="11" t="s">
        <v>13183</v>
      </c>
      <c r="J9807" s="1285"/>
      <c r="K9807" s="1285"/>
      <c r="L9807" s="1285"/>
    </row>
    <row r="9808" spans="1:12" ht="11.15" customHeight="1">
      <c r="A9808" s="129" t="s">
        <v>896</v>
      </c>
      <c r="B9808" s="59" t="s">
        <v>22101</v>
      </c>
      <c r="C9808" s="147" t="s">
        <v>20221</v>
      </c>
      <c r="D9808" s="284" t="s">
        <v>897</v>
      </c>
      <c r="E9808" s="178">
        <v>2017</v>
      </c>
      <c r="F9808" s="178" t="s">
        <v>4520</v>
      </c>
      <c r="G9808" s="496"/>
      <c r="H9808" s="994" t="s">
        <v>20221</v>
      </c>
      <c r="I9808" s="11" t="s">
        <v>13185</v>
      </c>
      <c r="J9808" s="1285"/>
      <c r="K9808" s="1285"/>
      <c r="L9808" s="1285"/>
    </row>
    <row r="9809" spans="1:12" ht="11.15" customHeight="1">
      <c r="A9809" s="355" t="s">
        <v>13187</v>
      </c>
      <c r="B9809" s="59" t="s">
        <v>22102</v>
      </c>
      <c r="C9809" s="147" t="s">
        <v>20221</v>
      </c>
      <c r="D9809" s="284" t="s">
        <v>897</v>
      </c>
      <c r="E9809" s="178">
        <v>2016</v>
      </c>
      <c r="F9809" s="178" t="s">
        <v>4520</v>
      </c>
      <c r="G9809" s="496"/>
      <c r="H9809" s="994" t="s">
        <v>20224</v>
      </c>
      <c r="I9809" s="11" t="s">
        <v>13186</v>
      </c>
      <c r="J9809" s="1285"/>
      <c r="K9809" s="1285"/>
      <c r="L9809" s="1285"/>
    </row>
    <row r="9810" spans="1:12" ht="11.15" customHeight="1">
      <c r="A9810" s="162" t="s">
        <v>13188</v>
      </c>
      <c r="B9810" s="185"/>
      <c r="C9810" s="147"/>
      <c r="D9810" s="185"/>
      <c r="E9810" s="185"/>
      <c r="F9810" s="185"/>
      <c r="G9810" s="185"/>
      <c r="H9810" s="185"/>
      <c r="I9810" s="11"/>
    </row>
    <row r="9811" spans="1:12" ht="11.15" customHeight="1">
      <c r="A9811" s="162" t="s">
        <v>13189</v>
      </c>
      <c r="B9811" s="185"/>
      <c r="C9811" s="147"/>
      <c r="D9811" s="185"/>
      <c r="E9811" s="185"/>
      <c r="F9811" s="185"/>
      <c r="G9811" s="185"/>
      <c r="H9811" s="185"/>
      <c r="I9811" s="11"/>
    </row>
    <row r="9812" spans="1:12" ht="11.15" customHeight="1">
      <c r="A9812" s="162" t="s">
        <v>13190</v>
      </c>
      <c r="B9812" s="90"/>
      <c r="C9812" s="147"/>
      <c r="D9812" s="161"/>
      <c r="E9812" s="36"/>
      <c r="F9812" s="178"/>
      <c r="G9812" s="496"/>
      <c r="H9812" s="36"/>
      <c r="I9812" s="11"/>
    </row>
    <row r="9813" spans="1:12" ht="11.15" customHeight="1">
      <c r="A9813" s="162" t="s">
        <v>13191</v>
      </c>
      <c r="B9813" s="90"/>
      <c r="C9813" s="147"/>
      <c r="D9813" s="161"/>
      <c r="E9813" s="36"/>
      <c r="F9813" s="178"/>
      <c r="G9813" s="496"/>
      <c r="H9813" s="36"/>
      <c r="I9813" s="11"/>
    </row>
    <row r="9814" spans="1:12" ht="11.15" customHeight="1">
      <c r="A9814" s="162" t="s">
        <v>13192</v>
      </c>
      <c r="B9814" s="90"/>
      <c r="C9814" s="147"/>
      <c r="D9814" s="161"/>
      <c r="E9814" s="36"/>
      <c r="F9814" s="178"/>
      <c r="G9814" s="496"/>
      <c r="H9814" s="36"/>
      <c r="I9814" s="11"/>
    </row>
    <row r="9815" spans="1:12" ht="11.15" customHeight="1">
      <c r="A9815" s="181" t="s">
        <v>13193</v>
      </c>
      <c r="B9815" s="226"/>
      <c r="C9815" s="147"/>
      <c r="D9815" s="159"/>
      <c r="E9815" s="36"/>
      <c r="F9815" s="183"/>
      <c r="G9815" s="496"/>
      <c r="H9815" s="34"/>
      <c r="I9815" s="11"/>
    </row>
    <row r="9816" spans="1:12" ht="11.15" customHeight="1">
      <c r="A9816" s="166" t="s">
        <v>13194</v>
      </c>
      <c r="B9816" s="226"/>
      <c r="C9816" s="147"/>
      <c r="D9816" s="159"/>
      <c r="E9816" s="36"/>
      <c r="F9816" s="183"/>
      <c r="G9816" s="496"/>
      <c r="H9816" s="34"/>
      <c r="I9816" s="11"/>
    </row>
    <row r="9817" spans="1:12" ht="11.15" customHeight="1">
      <c r="A9817" s="169" t="s">
        <v>11041</v>
      </c>
      <c r="B9817" s="226"/>
      <c r="C9817" s="147"/>
      <c r="D9817" s="159"/>
      <c r="E9817" s="36"/>
      <c r="F9817" s="183"/>
      <c r="G9817" s="496"/>
      <c r="H9817" s="34"/>
      <c r="I9817" s="11"/>
    </row>
    <row r="9818" spans="1:12" ht="11.15" customHeight="1">
      <c r="A9818" s="679" t="s">
        <v>2579</v>
      </c>
      <c r="B9818" s="185"/>
      <c r="C9818" s="147"/>
      <c r="D9818" s="129"/>
      <c r="E9818" s="185"/>
      <c r="F9818" s="185"/>
      <c r="G9818" s="185"/>
      <c r="H9818" s="185"/>
      <c r="I9818" s="11"/>
    </row>
    <row r="9819" spans="1:12" ht="11.15" customHeight="1">
      <c r="A9819" s="129" t="s">
        <v>13195</v>
      </c>
      <c r="B9819" s="90"/>
      <c r="C9819" s="147"/>
      <c r="D9819" s="161"/>
      <c r="E9819" s="36"/>
      <c r="F9819" s="183"/>
      <c r="G9819" s="496"/>
      <c r="H9819" s="34"/>
      <c r="I9819" s="11"/>
    </row>
    <row r="9820" spans="1:12" ht="11.15" customHeight="1" thickBot="1">
      <c r="A9820" s="29"/>
      <c r="B9820" s="185"/>
      <c r="C9820" s="147"/>
      <c r="D9820" s="129"/>
      <c r="E9820" s="185"/>
      <c r="F9820" s="185"/>
      <c r="G9820" s="185"/>
      <c r="H9820" s="185"/>
      <c r="I9820" s="11"/>
    </row>
    <row r="9821" spans="1:12" ht="24" customHeight="1" thickBot="1">
      <c r="A9821" s="549"/>
      <c r="B9821" s="64" t="s">
        <v>13196</v>
      </c>
      <c r="C9821" s="170"/>
      <c r="D9821" s="382"/>
      <c r="E9821" s="235"/>
      <c r="F9821" s="383"/>
      <c r="G9821" s="1249"/>
      <c r="H9821" s="1132"/>
      <c r="I9821" s="11"/>
    </row>
    <row r="9822" spans="1:12" ht="11.15" customHeight="1">
      <c r="A9822" s="680" t="s">
        <v>13197</v>
      </c>
      <c r="B9822" s="90" t="s">
        <v>13198</v>
      </c>
      <c r="C9822" s="147"/>
      <c r="D9822" s="284" t="s">
        <v>897</v>
      </c>
      <c r="E9822" s="36"/>
      <c r="F9822" s="178"/>
      <c r="G9822" s="496"/>
      <c r="H9822" s="36"/>
      <c r="I9822" s="11"/>
    </row>
    <row r="9823" spans="1:12" ht="11.15" customHeight="1">
      <c r="A9823" s="680" t="s">
        <v>13199</v>
      </c>
      <c r="B9823" s="90" t="s">
        <v>13198</v>
      </c>
      <c r="C9823" s="147"/>
      <c r="D9823" s="284" t="s">
        <v>897</v>
      </c>
      <c r="E9823" s="36"/>
      <c r="F9823" s="178"/>
      <c r="G9823" s="496"/>
      <c r="H9823" s="36"/>
      <c r="I9823" s="11"/>
    </row>
    <row r="9824" spans="1:12" ht="11.15" customHeight="1">
      <c r="A9824" s="185"/>
      <c r="B9824" s="90"/>
      <c r="C9824" s="147"/>
      <c r="D9824" s="161"/>
      <c r="E9824" s="36"/>
      <c r="F9824" s="178"/>
      <c r="G9824" s="1181"/>
      <c r="H9824" s="36"/>
      <c r="I9824" s="11"/>
    </row>
    <row r="9825" spans="1:12" ht="11.15" customHeight="1" thickBot="1">
      <c r="A9825" s="185"/>
      <c r="B9825" s="150" t="s">
        <v>13200</v>
      </c>
      <c r="C9825" s="147"/>
      <c r="D9825" s="161"/>
      <c r="E9825" s="36"/>
      <c r="F9825" s="178"/>
      <c r="G9825" s="1181"/>
      <c r="H9825" s="36"/>
      <c r="I9825" s="11"/>
    </row>
    <row r="9826" spans="1:12" ht="11.15" customHeight="1">
      <c r="A9826" s="153" t="s">
        <v>13201</v>
      </c>
      <c r="B9826" s="154" t="s">
        <v>11253</v>
      </c>
      <c r="C9826" s="147"/>
      <c r="D9826" s="185"/>
      <c r="E9826" s="185"/>
      <c r="F9826" s="185"/>
      <c r="G9826" s="185"/>
      <c r="H9826" s="185"/>
      <c r="I9826" s="11"/>
    </row>
    <row r="9827" spans="1:12" ht="11.15" customHeight="1" thickBot="1">
      <c r="A9827" s="354" t="s">
        <v>13202</v>
      </c>
      <c r="B9827" s="59" t="s">
        <v>18997</v>
      </c>
      <c r="C9827" s="147" t="s">
        <v>20221</v>
      </c>
      <c r="D9827" s="284" t="s">
        <v>897</v>
      </c>
      <c r="E9827" s="178">
        <v>2022</v>
      </c>
      <c r="F9827" s="178" t="s">
        <v>4520</v>
      </c>
      <c r="G9827" s="496"/>
      <c r="H9827" s="994" t="s">
        <v>20221</v>
      </c>
      <c r="I9827" s="11" t="s">
        <v>13203</v>
      </c>
      <c r="J9827" s="1285"/>
      <c r="K9827" s="1285"/>
      <c r="L9827" s="1285"/>
    </row>
    <row r="9828" spans="1:12" ht="11.15" customHeight="1">
      <c r="A9828" s="29" t="s">
        <v>13204</v>
      </c>
      <c r="B9828" s="59" t="s">
        <v>18997</v>
      </c>
      <c r="C9828" s="147" t="s">
        <v>20221</v>
      </c>
      <c r="D9828" s="284" t="s">
        <v>897</v>
      </c>
      <c r="E9828" s="178">
        <v>2021</v>
      </c>
      <c r="F9828" s="178" t="s">
        <v>4520</v>
      </c>
      <c r="G9828" s="496"/>
      <c r="H9828" s="994" t="s">
        <v>20221</v>
      </c>
      <c r="I9828" s="11" t="s">
        <v>13205</v>
      </c>
      <c r="J9828" s="1285"/>
      <c r="K9828" s="1285"/>
      <c r="L9828" s="1285"/>
    </row>
    <row r="9829" spans="1:12" ht="11.15" customHeight="1">
      <c r="A9829" s="29" t="s">
        <v>13206</v>
      </c>
      <c r="B9829" s="154" t="s">
        <v>13208</v>
      </c>
      <c r="C9829" s="147"/>
      <c r="D9829" s="185"/>
      <c r="E9829" s="185"/>
      <c r="F9829" s="185"/>
      <c r="G9829" s="185"/>
      <c r="H9829" s="185"/>
      <c r="I9829" s="11"/>
    </row>
    <row r="9830" spans="1:12" ht="11.15" customHeight="1">
      <c r="A9830" s="29" t="s">
        <v>13207</v>
      </c>
      <c r="B9830" s="59" t="s">
        <v>22104</v>
      </c>
      <c r="C9830" s="147" t="s">
        <v>20221</v>
      </c>
      <c r="D9830" s="284" t="s">
        <v>897</v>
      </c>
      <c r="E9830" s="178">
        <v>2018</v>
      </c>
      <c r="F9830" s="178" t="s">
        <v>4520</v>
      </c>
      <c r="G9830" s="496"/>
      <c r="H9830" s="994" t="s">
        <v>20221</v>
      </c>
      <c r="I9830" s="11" t="s">
        <v>13210</v>
      </c>
      <c r="J9830" s="1285"/>
      <c r="K9830" s="1285"/>
      <c r="L9830" s="1285"/>
    </row>
    <row r="9831" spans="1:12" ht="11.15" customHeight="1">
      <c r="A9831" s="29" t="s">
        <v>13209</v>
      </c>
      <c r="B9831" s="59" t="s">
        <v>22104</v>
      </c>
      <c r="C9831" s="147" t="s">
        <v>20221</v>
      </c>
      <c r="D9831" s="284" t="s">
        <v>897</v>
      </c>
      <c r="E9831" s="178">
        <v>2016</v>
      </c>
      <c r="F9831" s="178" t="s">
        <v>4520</v>
      </c>
      <c r="G9831" s="496"/>
      <c r="H9831" s="994" t="s">
        <v>20224</v>
      </c>
      <c r="I9831" s="11" t="s">
        <v>13212</v>
      </c>
      <c r="J9831" s="1285"/>
      <c r="K9831" s="1285"/>
      <c r="L9831" s="1285"/>
    </row>
    <row r="9832" spans="1:12" ht="11.15" customHeight="1">
      <c r="A9832" s="29" t="s">
        <v>13211</v>
      </c>
      <c r="B9832" s="154" t="s">
        <v>13214</v>
      </c>
      <c r="C9832" s="147"/>
      <c r="D9832" s="185"/>
      <c r="E9832" s="185"/>
      <c r="F9832" s="185"/>
      <c r="G9832" s="185"/>
      <c r="H9832" s="185"/>
      <c r="I9832" s="11"/>
    </row>
    <row r="9833" spans="1:12" ht="11.15" customHeight="1">
      <c r="A9833" s="29" t="s">
        <v>13213</v>
      </c>
      <c r="B9833" s="59" t="s">
        <v>22105</v>
      </c>
      <c r="C9833" s="147" t="s">
        <v>20221</v>
      </c>
      <c r="D9833" s="284" t="s">
        <v>897</v>
      </c>
      <c r="E9833" s="178">
        <v>2016</v>
      </c>
      <c r="F9833" s="178" t="s">
        <v>4520</v>
      </c>
      <c r="G9833" s="496"/>
      <c r="H9833" s="994" t="s">
        <v>20224</v>
      </c>
      <c r="I9833" s="11" t="s">
        <v>13216</v>
      </c>
      <c r="J9833" s="1285"/>
      <c r="K9833" s="1285"/>
      <c r="L9833" s="1285"/>
    </row>
    <row r="9834" spans="1:12" ht="11.15" customHeight="1">
      <c r="A9834" s="29" t="s">
        <v>13215</v>
      </c>
      <c r="B9834" s="59" t="s">
        <v>22105</v>
      </c>
      <c r="C9834" s="147" t="s">
        <v>20221</v>
      </c>
      <c r="D9834" s="284" t="s">
        <v>897</v>
      </c>
      <c r="E9834" s="178">
        <v>2015</v>
      </c>
      <c r="F9834" s="178" t="s">
        <v>4520</v>
      </c>
      <c r="G9834" s="496"/>
      <c r="H9834" s="994" t="s">
        <v>20224</v>
      </c>
      <c r="I9834" s="11" t="s">
        <v>13218</v>
      </c>
      <c r="J9834" s="1285"/>
      <c r="K9834" s="1285"/>
      <c r="L9834" s="1285"/>
    </row>
    <row r="9835" spans="1:12" ht="11.15" customHeight="1">
      <c r="A9835" s="29" t="s">
        <v>13217</v>
      </c>
      <c r="B9835" s="59" t="s">
        <v>22106</v>
      </c>
      <c r="C9835" s="147" t="s">
        <v>20221</v>
      </c>
      <c r="D9835" s="284" t="s">
        <v>897</v>
      </c>
      <c r="E9835" s="178">
        <v>2010</v>
      </c>
      <c r="F9835" s="178" t="s">
        <v>23394</v>
      </c>
      <c r="G9835" s="496"/>
      <c r="H9835" s="994" t="s">
        <v>20224</v>
      </c>
      <c r="I9835" s="11" t="s">
        <v>13220</v>
      </c>
      <c r="J9835" s="1285"/>
      <c r="K9835" s="1285"/>
      <c r="L9835" s="1285"/>
    </row>
    <row r="9836" spans="1:12" ht="11.15" customHeight="1">
      <c r="A9836" s="29" t="s">
        <v>13219</v>
      </c>
      <c r="B9836" s="154" t="s">
        <v>13222</v>
      </c>
      <c r="C9836" s="147"/>
      <c r="D9836" s="185"/>
      <c r="E9836" s="185"/>
      <c r="F9836" s="185"/>
      <c r="G9836" s="185"/>
      <c r="H9836" s="185"/>
      <c r="I9836" s="11"/>
    </row>
    <row r="9837" spans="1:12" ht="11.15" customHeight="1">
      <c r="A9837" s="181" t="s">
        <v>13221</v>
      </c>
      <c r="B9837" s="59" t="s">
        <v>22107</v>
      </c>
      <c r="C9837" s="147" t="s">
        <v>20221</v>
      </c>
      <c r="D9837" s="284" t="s">
        <v>897</v>
      </c>
      <c r="E9837" s="178">
        <v>2018</v>
      </c>
      <c r="F9837" s="178" t="s">
        <v>11931</v>
      </c>
      <c r="G9837" s="496"/>
      <c r="H9837" s="994" t="s">
        <v>20224</v>
      </c>
      <c r="I9837" s="11" t="s">
        <v>13224</v>
      </c>
      <c r="J9837" s="1285"/>
      <c r="K9837" s="1285"/>
      <c r="L9837" s="1285"/>
    </row>
    <row r="9838" spans="1:12" ht="11.15" customHeight="1">
      <c r="A9838" s="29" t="s">
        <v>13223</v>
      </c>
      <c r="B9838" s="59" t="s">
        <v>22108</v>
      </c>
      <c r="C9838" s="147" t="s">
        <v>20221</v>
      </c>
      <c r="D9838" s="284" t="s">
        <v>897</v>
      </c>
      <c r="E9838" s="178">
        <v>2017</v>
      </c>
      <c r="F9838" s="178" t="s">
        <v>11931</v>
      </c>
      <c r="G9838" s="496"/>
      <c r="H9838" s="994" t="s">
        <v>20221</v>
      </c>
      <c r="I9838" s="11" t="s">
        <v>13226</v>
      </c>
      <c r="J9838" s="1285"/>
      <c r="K9838" s="1285"/>
      <c r="L9838" s="1285"/>
    </row>
    <row r="9839" spans="1:12" ht="11.15" customHeight="1">
      <c r="A9839" s="29" t="s">
        <v>13225</v>
      </c>
      <c r="B9839" s="185"/>
      <c r="C9839" s="147"/>
      <c r="D9839" s="129"/>
      <c r="E9839" s="185"/>
      <c r="F9839" s="185"/>
      <c r="G9839" s="185"/>
      <c r="H9839" s="185"/>
      <c r="I9839" s="11"/>
    </row>
    <row r="9840" spans="1:12" ht="11.15" customHeight="1">
      <c r="A9840" s="129" t="s">
        <v>903</v>
      </c>
      <c r="B9840" s="185"/>
      <c r="C9840" s="147"/>
      <c r="D9840" s="129"/>
      <c r="E9840" s="185"/>
      <c r="F9840" s="185"/>
      <c r="G9840" s="185"/>
      <c r="H9840" s="185"/>
      <c r="I9840" s="11"/>
    </row>
    <row r="9841" spans="1:12" ht="9" customHeight="1">
      <c r="A9841" s="162" t="s">
        <v>13227</v>
      </c>
      <c r="B9841" s="185"/>
      <c r="C9841" s="147"/>
      <c r="D9841" s="129"/>
      <c r="E9841" s="185"/>
      <c r="F9841" s="185"/>
      <c r="G9841" s="185"/>
      <c r="H9841" s="185"/>
      <c r="I9841" s="11"/>
    </row>
    <row r="9842" spans="1:12" ht="9" customHeight="1">
      <c r="A9842" s="162" t="s">
        <v>13228</v>
      </c>
      <c r="B9842" s="185"/>
      <c r="C9842" s="147"/>
      <c r="D9842" s="129"/>
      <c r="E9842" s="185"/>
      <c r="F9842" s="185"/>
      <c r="G9842" s="185"/>
      <c r="H9842" s="185"/>
      <c r="I9842" s="11"/>
    </row>
    <row r="9843" spans="1:12" ht="9" customHeight="1">
      <c r="A9843" s="162" t="s">
        <v>13229</v>
      </c>
      <c r="B9843" s="185"/>
      <c r="C9843" s="147"/>
      <c r="D9843" s="129"/>
      <c r="E9843" s="185"/>
      <c r="F9843" s="185"/>
      <c r="G9843" s="185"/>
      <c r="H9843" s="185"/>
      <c r="I9843" s="11"/>
    </row>
    <row r="9844" spans="1:12" ht="9" customHeight="1">
      <c r="A9844" s="162" t="s">
        <v>13230</v>
      </c>
      <c r="B9844" s="185"/>
      <c r="C9844" s="147"/>
      <c r="D9844" s="129"/>
      <c r="E9844" s="185"/>
      <c r="F9844" s="185"/>
      <c r="G9844" s="185"/>
      <c r="H9844" s="185"/>
      <c r="I9844" s="11"/>
    </row>
    <row r="9845" spans="1:12" ht="9" customHeight="1">
      <c r="A9845" s="162" t="s">
        <v>13231</v>
      </c>
      <c r="B9845" s="185"/>
      <c r="C9845" s="147"/>
      <c r="D9845" s="129"/>
      <c r="E9845" s="185"/>
      <c r="F9845" s="185"/>
      <c r="G9845" s="185"/>
      <c r="H9845" s="185"/>
      <c r="I9845" s="11"/>
    </row>
    <row r="9846" spans="1:12" ht="9" customHeight="1">
      <c r="A9846" s="162" t="s">
        <v>13232</v>
      </c>
      <c r="B9846" s="90"/>
      <c r="C9846" s="147"/>
      <c r="D9846" s="161"/>
      <c r="E9846" s="36"/>
      <c r="F9846" s="178"/>
      <c r="G9846" s="497"/>
      <c r="H9846" s="36"/>
      <c r="I9846" s="11"/>
    </row>
    <row r="9847" spans="1:12" ht="9" customHeight="1">
      <c r="A9847" s="162" t="s">
        <v>13233</v>
      </c>
      <c r="B9847" s="90"/>
      <c r="C9847" s="147"/>
      <c r="D9847" s="161"/>
      <c r="E9847" s="36"/>
      <c r="F9847" s="178"/>
      <c r="G9847" s="497"/>
      <c r="H9847" s="36"/>
      <c r="I9847" s="11"/>
    </row>
    <row r="9848" spans="1:12" ht="11.15" customHeight="1">
      <c r="A9848" s="129" t="s">
        <v>3659</v>
      </c>
      <c r="B9848" s="226"/>
      <c r="C9848" s="147"/>
      <c r="D9848" s="122"/>
      <c r="E9848" s="36"/>
      <c r="F9848" s="178"/>
      <c r="G9848" s="60"/>
      <c r="H9848" s="36"/>
      <c r="I9848" s="11"/>
    </row>
    <row r="9849" spans="1:12" ht="9" customHeight="1">
      <c r="A9849" s="162" t="s">
        <v>11359</v>
      </c>
      <c r="B9849" s="226"/>
      <c r="C9849" s="147"/>
      <c r="D9849" s="122"/>
      <c r="E9849" s="36"/>
      <c r="F9849" s="178"/>
      <c r="G9849" s="60"/>
      <c r="H9849" s="36"/>
      <c r="I9849" s="11"/>
    </row>
    <row r="9850" spans="1:12" ht="9" customHeight="1">
      <c r="A9850" s="162" t="s">
        <v>13234</v>
      </c>
      <c r="B9850" s="226"/>
      <c r="C9850" s="147"/>
      <c r="D9850" s="122"/>
      <c r="E9850" s="36"/>
      <c r="F9850" s="178"/>
      <c r="G9850" s="60"/>
      <c r="H9850" s="36"/>
      <c r="I9850" s="11"/>
    </row>
    <row r="9851" spans="1:12" ht="9" customHeight="1">
      <c r="A9851" s="162" t="s">
        <v>13235</v>
      </c>
      <c r="B9851" s="226"/>
      <c r="C9851" s="147"/>
      <c r="D9851" s="122"/>
      <c r="E9851" s="36"/>
      <c r="F9851" s="178"/>
      <c r="G9851" s="60"/>
      <c r="H9851" s="36"/>
      <c r="I9851" s="11"/>
    </row>
    <row r="9852" spans="1:12" ht="11.15" customHeight="1">
      <c r="A9852" s="129" t="s">
        <v>13236</v>
      </c>
      <c r="B9852" s="226"/>
      <c r="C9852" s="147"/>
      <c r="D9852" s="122"/>
      <c r="E9852" s="36"/>
      <c r="F9852" s="178"/>
      <c r="G9852" s="60"/>
      <c r="H9852" s="36"/>
      <c r="I9852" s="11"/>
    </row>
    <row r="9853" spans="1:12" ht="11.15" customHeight="1">
      <c r="A9853" s="169" t="s">
        <v>13237</v>
      </c>
      <c r="B9853" s="226"/>
      <c r="C9853" s="147"/>
      <c r="D9853" s="122"/>
      <c r="E9853" s="36"/>
      <c r="F9853" s="178"/>
      <c r="G9853" s="60"/>
      <c r="H9853" s="36"/>
      <c r="I9853" s="11"/>
    </row>
    <row r="9854" spans="1:12" ht="11.15" customHeight="1">
      <c r="A9854" s="129" t="s">
        <v>13238</v>
      </c>
      <c r="B9854" s="90"/>
      <c r="C9854" s="147"/>
      <c r="D9854" s="161"/>
      <c r="E9854" s="36"/>
      <c r="F9854" s="183"/>
      <c r="G9854" s="496"/>
      <c r="H9854" s="34"/>
      <c r="I9854" s="11"/>
    </row>
    <row r="9855" spans="1:12" ht="11.15" customHeight="1" thickBot="1">
      <c r="A9855" s="185"/>
      <c r="B9855" s="226"/>
      <c r="C9855" s="147"/>
      <c r="D9855" s="122"/>
      <c r="E9855" s="36"/>
      <c r="F9855" s="178"/>
      <c r="G9855" s="60"/>
      <c r="H9855" s="36"/>
      <c r="I9855" s="11"/>
    </row>
    <row r="9856" spans="1:12" ht="11.15" customHeight="1">
      <c r="A9856" s="281" t="s">
        <v>13239</v>
      </c>
      <c r="B9856" s="59" t="s">
        <v>13240</v>
      </c>
      <c r="C9856" s="147" t="s">
        <v>20221</v>
      </c>
      <c r="D9856" s="284" t="s">
        <v>897</v>
      </c>
      <c r="E9856" s="178" t="s">
        <v>19075</v>
      </c>
      <c r="F9856" s="178" t="s">
        <v>23394</v>
      </c>
      <c r="G9856" s="496"/>
      <c r="H9856" s="994" t="s">
        <v>20224</v>
      </c>
      <c r="I9856" s="11" t="s">
        <v>23342</v>
      </c>
      <c r="J9856" s="1285"/>
      <c r="K9856" s="1285"/>
      <c r="L9856" s="1285"/>
    </row>
    <row r="9857" spans="1:12" ht="11.15" customHeight="1" thickBot="1">
      <c r="A9857" s="480" t="s">
        <v>13241</v>
      </c>
      <c r="B9857" s="59" t="s">
        <v>22110</v>
      </c>
      <c r="C9857" s="147" t="s">
        <v>20221</v>
      </c>
      <c r="D9857" s="122"/>
      <c r="E9857" s="178" t="s">
        <v>22111</v>
      </c>
      <c r="F9857" s="178" t="s">
        <v>23418</v>
      </c>
      <c r="G9857" s="496"/>
      <c r="H9857" s="994" t="s">
        <v>20277</v>
      </c>
      <c r="I9857" s="11" t="s">
        <v>13242</v>
      </c>
      <c r="J9857" s="1285"/>
      <c r="K9857" s="1285"/>
      <c r="L9857" s="1285"/>
    </row>
    <row r="9858" spans="1:12" ht="11.15" customHeight="1">
      <c r="A9858" s="29" t="s">
        <v>13243</v>
      </c>
      <c r="B9858" s="185"/>
      <c r="C9858" s="147"/>
      <c r="D9858" s="122"/>
      <c r="E9858" s="36"/>
      <c r="F9858" s="183"/>
      <c r="G9858" s="1221"/>
      <c r="H9858" s="34"/>
      <c r="I9858" s="11"/>
    </row>
    <row r="9859" spans="1:12" ht="11.15" customHeight="1">
      <c r="A9859" s="29" t="s">
        <v>13244</v>
      </c>
      <c r="B9859" s="185"/>
      <c r="C9859" s="147"/>
      <c r="D9859" s="122"/>
      <c r="E9859" s="36"/>
      <c r="F9859" s="183"/>
      <c r="G9859" s="1221"/>
      <c r="H9859" s="34"/>
      <c r="I9859" s="11"/>
    </row>
    <row r="9860" spans="1:12" ht="11.15" customHeight="1">
      <c r="A9860" s="29" t="s">
        <v>13245</v>
      </c>
      <c r="B9860" s="185"/>
      <c r="C9860" s="147"/>
      <c r="D9860" s="122"/>
      <c r="E9860" s="36"/>
      <c r="F9860" s="183"/>
      <c r="G9860" s="1221"/>
      <c r="H9860" s="34"/>
      <c r="I9860" s="11"/>
    </row>
    <row r="9861" spans="1:12" ht="11.15" customHeight="1">
      <c r="A9861" s="29" t="s">
        <v>13246</v>
      </c>
      <c r="B9861" s="185"/>
      <c r="C9861" s="147"/>
      <c r="D9861" s="122"/>
      <c r="E9861" s="36"/>
      <c r="F9861" s="183"/>
      <c r="G9861" s="1221"/>
      <c r="H9861" s="34"/>
      <c r="I9861" s="11"/>
    </row>
    <row r="9862" spans="1:12" ht="11.15" customHeight="1">
      <c r="A9862" s="29" t="s">
        <v>13247</v>
      </c>
      <c r="B9862" s="185"/>
      <c r="C9862" s="147"/>
      <c r="D9862" s="122"/>
      <c r="E9862" s="36"/>
      <c r="F9862" s="183"/>
      <c r="G9862" s="1221"/>
      <c r="H9862" s="34"/>
      <c r="I9862" s="11"/>
    </row>
    <row r="9863" spans="1:12" ht="11.15" customHeight="1">
      <c r="A9863" s="29" t="s">
        <v>13248</v>
      </c>
      <c r="B9863" s="185"/>
      <c r="C9863" s="147"/>
      <c r="D9863" s="122"/>
      <c r="E9863" s="36"/>
      <c r="F9863" s="183"/>
      <c r="G9863" s="1221"/>
      <c r="H9863" s="34"/>
      <c r="I9863" s="11"/>
    </row>
    <row r="9864" spans="1:12" ht="11.15" customHeight="1">
      <c r="A9864" s="29" t="s">
        <v>13249</v>
      </c>
      <c r="B9864" s="185"/>
      <c r="C9864" s="147"/>
      <c r="D9864" s="122"/>
      <c r="E9864" s="36"/>
      <c r="F9864" s="183"/>
      <c r="G9864" s="1221"/>
      <c r="H9864" s="34"/>
      <c r="I9864" s="11"/>
    </row>
    <row r="9865" spans="1:12" ht="11.15" customHeight="1">
      <c r="A9865" s="29" t="s">
        <v>13250</v>
      </c>
      <c r="B9865" s="185"/>
      <c r="C9865" s="147"/>
      <c r="D9865" s="122"/>
      <c r="E9865" s="36"/>
      <c r="F9865" s="183"/>
      <c r="G9865" s="1221"/>
      <c r="H9865" s="34"/>
      <c r="I9865" s="11"/>
    </row>
    <row r="9866" spans="1:12" ht="11.15" customHeight="1">
      <c r="A9866" s="29" t="s">
        <v>13251</v>
      </c>
      <c r="B9866" s="185"/>
      <c r="C9866" s="147"/>
      <c r="D9866" s="122"/>
      <c r="E9866" s="36"/>
      <c r="F9866" s="183"/>
      <c r="G9866" s="1221"/>
      <c r="H9866" s="34"/>
      <c r="I9866" s="11"/>
    </row>
    <row r="9867" spans="1:12" ht="11.15" customHeight="1">
      <c r="A9867" s="29" t="s">
        <v>13252</v>
      </c>
      <c r="B9867" s="379"/>
      <c r="C9867" s="147"/>
      <c r="D9867" s="122"/>
      <c r="E9867" s="36"/>
      <c r="F9867" s="183"/>
      <c r="G9867" s="1221"/>
      <c r="H9867" s="34"/>
      <c r="I9867" s="11"/>
    </row>
    <row r="9868" spans="1:12" ht="11.15" customHeight="1">
      <c r="A9868" s="29" t="s">
        <v>13253</v>
      </c>
      <c r="B9868" s="90"/>
      <c r="C9868" s="147"/>
      <c r="D9868" s="122"/>
      <c r="E9868" s="36"/>
      <c r="F9868" s="178"/>
      <c r="G9868" s="453"/>
      <c r="H9868" s="36"/>
      <c r="I9868" s="11"/>
    </row>
    <row r="9869" spans="1:12" ht="11.15" customHeight="1">
      <c r="A9869" s="181" t="s">
        <v>12466</v>
      </c>
      <c r="B9869" s="414"/>
      <c r="C9869" s="147"/>
      <c r="D9869" s="122"/>
      <c r="E9869" s="36"/>
      <c r="F9869" s="178"/>
      <c r="G9869" s="453"/>
      <c r="H9869" s="36"/>
      <c r="I9869" s="11"/>
    </row>
    <row r="9870" spans="1:12" ht="11.15" customHeight="1">
      <c r="A9870" s="129" t="s">
        <v>1308</v>
      </c>
      <c r="B9870" s="414"/>
      <c r="C9870" s="147"/>
      <c r="D9870" s="122"/>
      <c r="E9870" s="36"/>
      <c r="F9870" s="178"/>
      <c r="G9870" s="453"/>
      <c r="H9870" s="36"/>
      <c r="I9870" s="11"/>
    </row>
    <row r="9871" spans="1:12" ht="9" customHeight="1">
      <c r="A9871" s="162" t="s">
        <v>13254</v>
      </c>
      <c r="B9871" s="681"/>
      <c r="C9871" s="147"/>
      <c r="D9871" s="150"/>
      <c r="E9871" s="210"/>
      <c r="F9871" s="150"/>
      <c r="G9871" s="1243"/>
      <c r="H9871" s="210"/>
      <c r="I9871" s="11"/>
    </row>
    <row r="9872" spans="1:12" ht="9" customHeight="1">
      <c r="A9872" s="162" t="s">
        <v>13255</v>
      </c>
      <c r="B9872" s="681"/>
      <c r="C9872" s="147"/>
      <c r="D9872" s="150"/>
      <c r="E9872" s="210"/>
      <c r="F9872" s="150"/>
      <c r="G9872" s="1243"/>
      <c r="H9872" s="210"/>
      <c r="I9872" s="11"/>
    </row>
    <row r="9873" spans="1:9" ht="9" customHeight="1">
      <c r="A9873" s="162" t="s">
        <v>13256</v>
      </c>
      <c r="B9873" s="681"/>
      <c r="C9873" s="147"/>
      <c r="D9873" s="150"/>
      <c r="E9873" s="210"/>
      <c r="F9873" s="150"/>
      <c r="G9873" s="1243"/>
      <c r="H9873" s="210"/>
      <c r="I9873" s="11"/>
    </row>
    <row r="9874" spans="1:9" ht="9" customHeight="1">
      <c r="A9874" s="162" t="s">
        <v>13257</v>
      </c>
      <c r="B9874" s="681"/>
      <c r="C9874" s="147"/>
      <c r="D9874" s="150"/>
      <c r="E9874" s="210"/>
      <c r="F9874" s="150"/>
      <c r="G9874" s="1243"/>
      <c r="H9874" s="210"/>
      <c r="I9874" s="11"/>
    </row>
    <row r="9875" spans="1:9" ht="9" customHeight="1">
      <c r="A9875" s="162" t="s">
        <v>13258</v>
      </c>
      <c r="B9875" s="681"/>
      <c r="C9875" s="147"/>
      <c r="D9875" s="150"/>
      <c r="E9875" s="210"/>
      <c r="F9875" s="150"/>
      <c r="G9875" s="1243"/>
      <c r="H9875" s="210"/>
      <c r="I9875" s="11"/>
    </row>
    <row r="9876" spans="1:9" ht="9" customHeight="1">
      <c r="A9876" s="162" t="s">
        <v>13259</v>
      </c>
      <c r="B9876" s="681"/>
      <c r="C9876" s="147"/>
      <c r="D9876" s="150"/>
      <c r="E9876" s="210"/>
      <c r="F9876" s="150"/>
      <c r="G9876" s="1243"/>
      <c r="H9876" s="210"/>
      <c r="I9876" s="11"/>
    </row>
    <row r="9877" spans="1:9" ht="9" customHeight="1">
      <c r="A9877" s="162" t="s">
        <v>13260</v>
      </c>
      <c r="B9877" s="681"/>
      <c r="C9877" s="147"/>
      <c r="D9877" s="150"/>
      <c r="E9877" s="210"/>
      <c r="F9877" s="150"/>
      <c r="G9877" s="1243"/>
      <c r="H9877" s="210"/>
      <c r="I9877" s="11"/>
    </row>
    <row r="9878" spans="1:9" ht="9" customHeight="1">
      <c r="A9878" s="162" t="s">
        <v>13261</v>
      </c>
      <c r="B9878" s="681"/>
      <c r="C9878" s="147"/>
      <c r="D9878" s="150"/>
      <c r="E9878" s="210"/>
      <c r="F9878" s="150"/>
      <c r="G9878" s="1243"/>
      <c r="H9878" s="210"/>
      <c r="I9878" s="11"/>
    </row>
    <row r="9879" spans="1:9" ht="9" customHeight="1">
      <c r="A9879" s="162" t="s">
        <v>13262</v>
      </c>
      <c r="B9879" s="681"/>
      <c r="C9879" s="147"/>
      <c r="D9879" s="150"/>
      <c r="E9879" s="210"/>
      <c r="F9879" s="150"/>
      <c r="G9879" s="1243"/>
      <c r="H9879" s="210"/>
      <c r="I9879" s="11"/>
    </row>
    <row r="9880" spans="1:9" ht="9" customHeight="1">
      <c r="A9880" s="162" t="s">
        <v>13263</v>
      </c>
      <c r="B9880" s="681"/>
      <c r="C9880" s="147"/>
      <c r="D9880" s="150"/>
      <c r="E9880" s="210"/>
      <c r="F9880" s="150"/>
      <c r="G9880" s="1243"/>
      <c r="H9880" s="210"/>
      <c r="I9880" s="11"/>
    </row>
    <row r="9881" spans="1:9" ht="9" customHeight="1">
      <c r="A9881" s="162" t="s">
        <v>13264</v>
      </c>
      <c r="B9881" s="681"/>
      <c r="C9881" s="147"/>
      <c r="D9881" s="150"/>
      <c r="E9881" s="210"/>
      <c r="F9881" s="150"/>
      <c r="G9881" s="1243"/>
      <c r="H9881" s="210"/>
      <c r="I9881" s="11"/>
    </row>
    <row r="9882" spans="1:9" ht="9" customHeight="1">
      <c r="A9882" s="162" t="s">
        <v>13265</v>
      </c>
      <c r="B9882" s="681"/>
      <c r="C9882" s="147"/>
      <c r="D9882" s="150"/>
      <c r="E9882" s="210"/>
      <c r="F9882" s="150"/>
      <c r="G9882" s="1243"/>
      <c r="H9882" s="210"/>
      <c r="I9882" s="11"/>
    </row>
    <row r="9883" spans="1:9" ht="9" customHeight="1">
      <c r="A9883" s="162" t="s">
        <v>13266</v>
      </c>
      <c r="B9883" s="681"/>
      <c r="C9883" s="147"/>
      <c r="D9883" s="150"/>
      <c r="E9883" s="210"/>
      <c r="F9883" s="150"/>
      <c r="G9883" s="1243"/>
      <c r="H9883" s="210"/>
      <c r="I9883" s="11"/>
    </row>
    <row r="9884" spans="1:9" ht="9.75" customHeight="1">
      <c r="A9884" s="162" t="s">
        <v>13267</v>
      </c>
      <c r="B9884" s="681"/>
      <c r="C9884" s="147"/>
      <c r="D9884" s="150"/>
      <c r="E9884" s="210"/>
      <c r="F9884" s="150"/>
      <c r="G9884" s="1243"/>
      <c r="H9884" s="210"/>
      <c r="I9884" s="11"/>
    </row>
    <row r="9885" spans="1:9" ht="9" customHeight="1">
      <c r="A9885" s="162" t="s">
        <v>13268</v>
      </c>
      <c r="B9885" s="681"/>
      <c r="C9885" s="147"/>
      <c r="D9885" s="150"/>
      <c r="E9885" s="210"/>
      <c r="F9885" s="150"/>
      <c r="G9885" s="1243"/>
      <c r="H9885" s="210"/>
      <c r="I9885" s="11"/>
    </row>
    <row r="9886" spans="1:9" ht="9" customHeight="1">
      <c r="A9886" s="162" t="s">
        <v>13269</v>
      </c>
      <c r="B9886" s="681"/>
      <c r="C9886" s="147"/>
      <c r="D9886" s="150"/>
      <c r="E9886" s="210"/>
      <c r="F9886" s="150"/>
      <c r="G9886" s="1243"/>
      <c r="H9886" s="210"/>
      <c r="I9886" s="11"/>
    </row>
    <row r="9887" spans="1:9" ht="9" customHeight="1">
      <c r="A9887" s="162" t="s">
        <v>13270</v>
      </c>
      <c r="B9887" s="681"/>
      <c r="C9887" s="147"/>
      <c r="D9887" s="150"/>
      <c r="E9887" s="210"/>
      <c r="F9887" s="150"/>
      <c r="G9887" s="1243"/>
      <c r="H9887" s="210"/>
      <c r="I9887" s="11"/>
    </row>
    <row r="9888" spans="1:9" ht="9" customHeight="1">
      <c r="A9888" s="162" t="s">
        <v>13271</v>
      </c>
      <c r="B9888" s="681"/>
      <c r="C9888" s="147"/>
      <c r="D9888" s="150"/>
      <c r="E9888" s="210"/>
      <c r="F9888" s="150"/>
      <c r="G9888" s="1243"/>
      <c r="H9888" s="210"/>
      <c r="I9888" s="11"/>
    </row>
    <row r="9889" spans="1:9" ht="9" customHeight="1">
      <c r="A9889" s="162" t="s">
        <v>13272</v>
      </c>
      <c r="B9889" s="681"/>
      <c r="C9889" s="147"/>
      <c r="D9889" s="150"/>
      <c r="E9889" s="210"/>
      <c r="F9889" s="150"/>
      <c r="G9889" s="1243"/>
      <c r="H9889" s="210"/>
      <c r="I9889" s="11"/>
    </row>
    <row r="9890" spans="1:9" ht="9" customHeight="1">
      <c r="A9890" s="162" t="s">
        <v>13273</v>
      </c>
      <c r="B9890" s="681"/>
      <c r="C9890" s="147"/>
      <c r="D9890" s="150"/>
      <c r="E9890" s="210"/>
      <c r="F9890" s="150"/>
      <c r="G9890" s="1243"/>
      <c r="H9890" s="210"/>
      <c r="I9890" s="11"/>
    </row>
    <row r="9891" spans="1:9" ht="9" customHeight="1">
      <c r="A9891" s="162" t="s">
        <v>13274</v>
      </c>
      <c r="B9891" s="681"/>
      <c r="C9891" s="147"/>
      <c r="D9891" s="150"/>
      <c r="E9891" s="210"/>
      <c r="F9891" s="150"/>
      <c r="G9891" s="1243"/>
      <c r="H9891" s="210"/>
      <c r="I9891" s="11"/>
    </row>
    <row r="9892" spans="1:9" ht="9" customHeight="1">
      <c r="A9892" s="162" t="s">
        <v>13275</v>
      </c>
      <c r="B9892" s="681"/>
      <c r="C9892" s="147"/>
      <c r="D9892" s="150"/>
      <c r="E9892" s="210"/>
      <c r="F9892" s="150"/>
      <c r="G9892" s="1243"/>
      <c r="H9892" s="210"/>
      <c r="I9892" s="11"/>
    </row>
    <row r="9893" spans="1:9" ht="9" customHeight="1">
      <c r="A9893" s="162" t="s">
        <v>13276</v>
      </c>
      <c r="B9893" s="681"/>
      <c r="C9893" s="147"/>
      <c r="D9893" s="150"/>
      <c r="E9893" s="210"/>
      <c r="F9893" s="150"/>
      <c r="G9893" s="1243"/>
      <c r="H9893" s="210"/>
      <c r="I9893" s="11"/>
    </row>
    <row r="9894" spans="1:9" ht="9" customHeight="1">
      <c r="A9894" s="162" t="s">
        <v>13277</v>
      </c>
      <c r="B9894" s="681"/>
      <c r="C9894" s="147"/>
      <c r="D9894" s="150"/>
      <c r="E9894" s="210"/>
      <c r="F9894" s="150"/>
      <c r="G9894" s="1243"/>
      <c r="H9894" s="210"/>
      <c r="I9894" s="11"/>
    </row>
    <row r="9895" spans="1:9" ht="9" customHeight="1">
      <c r="A9895" s="162" t="s">
        <v>13278</v>
      </c>
      <c r="B9895" s="681"/>
      <c r="C9895" s="147"/>
      <c r="D9895" s="150"/>
      <c r="E9895" s="210"/>
      <c r="F9895" s="150"/>
      <c r="G9895" s="1243"/>
      <c r="H9895" s="210"/>
      <c r="I9895" s="11"/>
    </row>
    <row r="9896" spans="1:9" ht="9" customHeight="1">
      <c r="A9896" s="162" t="s">
        <v>13279</v>
      </c>
      <c r="B9896" s="681"/>
      <c r="C9896" s="147"/>
      <c r="D9896" s="150"/>
      <c r="E9896" s="210"/>
      <c r="F9896" s="150"/>
      <c r="G9896" s="1243"/>
      <c r="H9896" s="210"/>
      <c r="I9896" s="11"/>
    </row>
    <row r="9897" spans="1:9" ht="9" customHeight="1">
      <c r="A9897" s="162" t="s">
        <v>13280</v>
      </c>
      <c r="B9897" s="681"/>
      <c r="C9897" s="147"/>
      <c r="D9897" s="150"/>
      <c r="E9897" s="210"/>
      <c r="F9897" s="150"/>
      <c r="G9897" s="1243"/>
      <c r="H9897" s="210"/>
      <c r="I9897" s="11"/>
    </row>
    <row r="9898" spans="1:9" ht="9" customHeight="1">
      <c r="A9898" s="162" t="s">
        <v>13281</v>
      </c>
      <c r="B9898" s="681"/>
      <c r="C9898" s="147"/>
      <c r="D9898" s="150"/>
      <c r="E9898" s="210"/>
      <c r="F9898" s="150"/>
      <c r="G9898" s="1243"/>
      <c r="H9898" s="210"/>
      <c r="I9898" s="11"/>
    </row>
    <row r="9899" spans="1:9" ht="9" customHeight="1">
      <c r="A9899" s="162" t="s">
        <v>13282</v>
      </c>
      <c r="B9899" s="681"/>
      <c r="C9899" s="147"/>
      <c r="D9899" s="150"/>
      <c r="E9899" s="210"/>
      <c r="F9899" s="150"/>
      <c r="G9899" s="1243"/>
      <c r="H9899" s="210"/>
      <c r="I9899" s="11"/>
    </row>
    <row r="9900" spans="1:9" ht="9" customHeight="1">
      <c r="A9900" s="162" t="s">
        <v>13283</v>
      </c>
      <c r="B9900" s="681"/>
      <c r="C9900" s="147"/>
      <c r="D9900" s="150"/>
      <c r="E9900" s="210"/>
      <c r="F9900" s="150"/>
      <c r="G9900" s="1243"/>
      <c r="H9900" s="210"/>
      <c r="I9900" s="11"/>
    </row>
    <row r="9901" spans="1:9" ht="11.15" customHeight="1">
      <c r="A9901" s="495" t="s">
        <v>13284</v>
      </c>
      <c r="B9901" s="414"/>
      <c r="C9901" s="147"/>
      <c r="D9901" s="122"/>
      <c r="E9901" s="36"/>
      <c r="F9901" s="178"/>
      <c r="G9901" s="453"/>
      <c r="H9901" s="36"/>
      <c r="I9901" s="11"/>
    </row>
    <row r="9902" spans="1:9" ht="11.15" customHeight="1">
      <c r="A9902" s="166" t="s">
        <v>13285</v>
      </c>
      <c r="B9902" s="226"/>
      <c r="C9902" s="147"/>
      <c r="D9902" s="122"/>
      <c r="E9902" s="36"/>
      <c r="F9902" s="178"/>
      <c r="G9902" s="60"/>
      <c r="H9902" s="36"/>
      <c r="I9902" s="11"/>
    </row>
    <row r="9903" spans="1:9" ht="11.15" customHeight="1">
      <c r="A9903" s="129" t="s">
        <v>13286</v>
      </c>
      <c r="B9903" s="414"/>
      <c r="C9903" s="147"/>
      <c r="D9903" s="122"/>
      <c r="E9903" s="36"/>
      <c r="F9903" s="178"/>
      <c r="G9903" s="453"/>
      <c r="H9903" s="36"/>
      <c r="I9903" s="11"/>
    </row>
    <row r="9904" spans="1:9" ht="11.15" customHeight="1">
      <c r="A9904" s="129" t="s">
        <v>1245</v>
      </c>
      <c r="B9904" s="414"/>
      <c r="C9904" s="147"/>
      <c r="D9904" s="122"/>
      <c r="E9904" s="36"/>
      <c r="F9904" s="178"/>
      <c r="G9904" s="453"/>
      <c r="H9904" s="36"/>
      <c r="I9904" s="11"/>
    </row>
    <row r="9905" spans="1:12" ht="11.15" customHeight="1">
      <c r="A9905" s="129" t="s">
        <v>13287</v>
      </c>
      <c r="B9905" s="90"/>
      <c r="C9905" s="147"/>
      <c r="D9905" s="161"/>
      <c r="E9905" s="36"/>
      <c r="F9905" s="183"/>
      <c r="G9905" s="496"/>
      <c r="H9905" s="34"/>
      <c r="I9905" s="11"/>
    </row>
    <row r="9906" spans="1:12" ht="11.15" customHeight="1">
      <c r="A9906" s="129" t="s">
        <v>13288</v>
      </c>
      <c r="B9906" s="185"/>
      <c r="C9906" s="147"/>
      <c r="D9906" s="161"/>
      <c r="E9906" s="36"/>
      <c r="F9906" s="183"/>
      <c r="G9906" s="496"/>
      <c r="H9906" s="34"/>
      <c r="I9906" s="11"/>
    </row>
    <row r="9907" spans="1:12" ht="9" customHeight="1">
      <c r="A9907" s="129"/>
      <c r="B9907" s="316" t="s">
        <v>13289</v>
      </c>
      <c r="C9907" s="147"/>
      <c r="D9907" s="161"/>
      <c r="E9907" s="36"/>
      <c r="F9907" s="183"/>
      <c r="G9907" s="496"/>
      <c r="H9907" s="34"/>
      <c r="I9907" s="11"/>
    </row>
    <row r="9908" spans="1:12" ht="9" customHeight="1" thickBot="1">
      <c r="A9908" s="129"/>
      <c r="B9908" s="150" t="s">
        <v>13290</v>
      </c>
      <c r="C9908" s="147"/>
      <c r="D9908" s="161"/>
      <c r="E9908" s="36"/>
      <c r="F9908" s="183"/>
      <c r="G9908" s="496"/>
      <c r="H9908" s="34"/>
      <c r="I9908" s="11"/>
    </row>
    <row r="9909" spans="1:12" ht="11.15" customHeight="1" thickBot="1">
      <c r="A9909" s="184" t="s">
        <v>13291</v>
      </c>
      <c r="B9909" s="59" t="s">
        <v>22114</v>
      </c>
      <c r="C9909" s="147" t="s">
        <v>20221</v>
      </c>
      <c r="D9909" s="284" t="s">
        <v>897</v>
      </c>
      <c r="E9909" s="178" t="s">
        <v>20221</v>
      </c>
      <c r="F9909" s="178" t="s">
        <v>4520</v>
      </c>
      <c r="G9909" s="496" t="s">
        <v>20221</v>
      </c>
      <c r="H9909" s="994" t="s">
        <v>3907</v>
      </c>
      <c r="I9909" s="11" t="s">
        <v>13292</v>
      </c>
      <c r="J9909" s="1285"/>
      <c r="K9909" s="1285"/>
      <c r="L9909" s="1285"/>
    </row>
    <row r="9910" spans="1:12" ht="11.15" customHeight="1">
      <c r="A9910" s="29" t="s">
        <v>13293</v>
      </c>
      <c r="B9910" s="59" t="s">
        <v>22115</v>
      </c>
      <c r="C9910" s="147" t="s">
        <v>20221</v>
      </c>
      <c r="D9910" s="284" t="s">
        <v>897</v>
      </c>
      <c r="E9910" s="178">
        <v>2022</v>
      </c>
      <c r="F9910" s="178" t="s">
        <v>9678</v>
      </c>
      <c r="G9910" s="496" t="s">
        <v>20221</v>
      </c>
      <c r="H9910" s="994" t="s">
        <v>3907</v>
      </c>
      <c r="I9910" s="11" t="s">
        <v>13294</v>
      </c>
      <c r="J9910" s="1285"/>
      <c r="K9910" s="1285"/>
      <c r="L9910" s="1285"/>
    </row>
    <row r="9911" spans="1:12" ht="11.15" customHeight="1">
      <c r="A9911" s="29" t="s">
        <v>13295</v>
      </c>
      <c r="B9911" s="185"/>
      <c r="C9911" s="147"/>
      <c r="D9911" s="185"/>
      <c r="E9911" s="185"/>
      <c r="F9911" s="185"/>
      <c r="G9911" s="185"/>
      <c r="H9911" s="185"/>
      <c r="I9911" s="11"/>
    </row>
    <row r="9912" spans="1:12" ht="11.15" customHeight="1">
      <c r="A9912" s="29" t="s">
        <v>13296</v>
      </c>
      <c r="B9912" s="185"/>
      <c r="C9912" s="147"/>
      <c r="D9912" s="185"/>
      <c r="E9912" s="185"/>
      <c r="F9912" s="185"/>
      <c r="G9912" s="185"/>
      <c r="H9912" s="185"/>
      <c r="I9912" s="11"/>
    </row>
    <row r="9913" spans="1:12" ht="11.15" customHeight="1">
      <c r="A9913" s="29" t="s">
        <v>13297</v>
      </c>
      <c r="B9913" s="185"/>
      <c r="C9913" s="147"/>
      <c r="D9913" s="185"/>
      <c r="E9913" s="185"/>
      <c r="F9913" s="185"/>
      <c r="G9913" s="185"/>
      <c r="H9913" s="185"/>
      <c r="I9913" s="11"/>
    </row>
    <row r="9914" spans="1:12" ht="11.15" customHeight="1">
      <c r="A9914" s="29" t="s">
        <v>13298</v>
      </c>
      <c r="B9914" s="185"/>
      <c r="C9914" s="147"/>
      <c r="D9914" s="185"/>
      <c r="E9914" s="185"/>
      <c r="F9914" s="185"/>
      <c r="G9914" s="185"/>
      <c r="H9914" s="185"/>
      <c r="I9914" s="11"/>
    </row>
    <row r="9915" spans="1:12" ht="11.15" customHeight="1">
      <c r="A9915" s="29" t="s">
        <v>13299</v>
      </c>
      <c r="B9915" s="185"/>
      <c r="C9915" s="147"/>
      <c r="D9915" s="185"/>
      <c r="E9915" s="185"/>
      <c r="F9915" s="185"/>
      <c r="G9915" s="185"/>
      <c r="H9915" s="185"/>
      <c r="I9915" s="11"/>
    </row>
    <row r="9916" spans="1:12" ht="11.15" customHeight="1">
      <c r="A9916" s="29" t="s">
        <v>13300</v>
      </c>
      <c r="B9916" s="185"/>
      <c r="C9916" s="147"/>
      <c r="D9916" s="185"/>
      <c r="E9916" s="185"/>
      <c r="F9916" s="185"/>
      <c r="G9916" s="185"/>
      <c r="H9916" s="185"/>
      <c r="I9916" s="11"/>
    </row>
    <row r="9917" spans="1:12" ht="11.15" customHeight="1">
      <c r="A9917" s="29" t="s">
        <v>13301</v>
      </c>
      <c r="B9917" s="185"/>
      <c r="C9917" s="147"/>
      <c r="D9917" s="185"/>
      <c r="E9917" s="185"/>
      <c r="F9917" s="185"/>
      <c r="G9917" s="185"/>
      <c r="H9917" s="185"/>
      <c r="I9917" s="11"/>
    </row>
    <row r="9918" spans="1:12" ht="11.15" customHeight="1">
      <c r="A9918" s="129" t="s">
        <v>2539</v>
      </c>
      <c r="B9918" s="185"/>
      <c r="C9918" s="147"/>
      <c r="D9918" s="185"/>
      <c r="E9918" s="185"/>
      <c r="F9918" s="185"/>
      <c r="G9918" s="185"/>
      <c r="H9918" s="185"/>
      <c r="I9918" s="11"/>
    </row>
    <row r="9919" spans="1:12" ht="11.15" customHeight="1">
      <c r="A9919" s="162" t="s">
        <v>13302</v>
      </c>
      <c r="B9919" s="185"/>
      <c r="C9919" s="147"/>
      <c r="D9919" s="185"/>
      <c r="E9919" s="185"/>
      <c r="F9919" s="185"/>
      <c r="G9919" s="185"/>
      <c r="H9919" s="185"/>
      <c r="I9919" s="11"/>
    </row>
    <row r="9920" spans="1:12" ht="11.15" customHeight="1">
      <c r="A9920" s="162" t="s">
        <v>13303</v>
      </c>
      <c r="B9920" s="185"/>
      <c r="C9920" s="147"/>
      <c r="D9920" s="185"/>
      <c r="E9920" s="185"/>
      <c r="F9920" s="185"/>
      <c r="G9920" s="185"/>
      <c r="H9920" s="185"/>
      <c r="I9920" s="11"/>
    </row>
    <row r="9921" spans="1:9" ht="11.15" customHeight="1">
      <c r="A9921" s="162" t="s">
        <v>13304</v>
      </c>
      <c r="B9921" s="185"/>
      <c r="C9921" s="147"/>
      <c r="D9921" s="185"/>
      <c r="E9921" s="185"/>
      <c r="F9921" s="185"/>
      <c r="G9921" s="185"/>
      <c r="H9921" s="185"/>
      <c r="I9921" s="11"/>
    </row>
    <row r="9922" spans="1:9" ht="11.15" customHeight="1">
      <c r="A9922" s="162" t="s">
        <v>13305</v>
      </c>
      <c r="B9922" s="185"/>
      <c r="C9922" s="147"/>
      <c r="D9922" s="185"/>
      <c r="E9922" s="185"/>
      <c r="F9922" s="185"/>
      <c r="G9922" s="185"/>
      <c r="H9922" s="185"/>
      <c r="I9922" s="11"/>
    </row>
    <row r="9923" spans="1:9" ht="11.15" customHeight="1">
      <c r="A9923" s="162" t="s">
        <v>13306</v>
      </c>
      <c r="B9923" s="185"/>
      <c r="C9923" s="147"/>
      <c r="D9923" s="185"/>
      <c r="E9923" s="185"/>
      <c r="F9923" s="185"/>
      <c r="G9923" s="185"/>
      <c r="H9923" s="185"/>
      <c r="I9923" s="11"/>
    </row>
    <row r="9924" spans="1:9" ht="11.15" customHeight="1">
      <c r="A9924" s="162" t="s">
        <v>13307</v>
      </c>
      <c r="B9924" s="185"/>
      <c r="C9924" s="147"/>
      <c r="D9924" s="185"/>
      <c r="E9924" s="185"/>
      <c r="F9924" s="185"/>
      <c r="G9924" s="185"/>
      <c r="H9924" s="185"/>
      <c r="I9924" s="11"/>
    </row>
    <row r="9925" spans="1:9" ht="11.15" customHeight="1">
      <c r="A9925" s="162" t="s">
        <v>13308</v>
      </c>
      <c r="B9925" s="185"/>
      <c r="C9925" s="147"/>
      <c r="D9925" s="185"/>
      <c r="E9925" s="185"/>
      <c r="F9925" s="185"/>
      <c r="G9925" s="185"/>
      <c r="H9925" s="185"/>
      <c r="I9925" s="11"/>
    </row>
    <row r="9926" spans="1:9" ht="11.15" customHeight="1">
      <c r="A9926" s="169" t="s">
        <v>13309</v>
      </c>
      <c r="B9926" s="90"/>
      <c r="C9926" s="147"/>
      <c r="D9926" s="161"/>
      <c r="E9926" s="36"/>
      <c r="F9926" s="178"/>
      <c r="G9926" s="496"/>
      <c r="H9926" s="36"/>
      <c r="I9926" s="11"/>
    </row>
    <row r="9927" spans="1:9" ht="11.15" customHeight="1">
      <c r="A9927" s="232" t="s">
        <v>1327</v>
      </c>
      <c r="B9927" s="90"/>
      <c r="C9927" s="147"/>
      <c r="D9927" s="159"/>
      <c r="E9927" s="36"/>
      <c r="F9927" s="183"/>
      <c r="G9927" s="496"/>
      <c r="H9927" s="34"/>
      <c r="I9927" s="11"/>
    </row>
    <row r="9928" spans="1:9" ht="11.15" customHeight="1">
      <c r="A9928" s="129" t="s">
        <v>13310</v>
      </c>
      <c r="B9928" s="185"/>
      <c r="C9928" s="147"/>
      <c r="D9928" s="161"/>
      <c r="E9928" s="36"/>
      <c r="F9928" s="183"/>
      <c r="G9928" s="496"/>
      <c r="H9928" s="34"/>
      <c r="I9928" s="11"/>
    </row>
    <row r="9929" spans="1:9" ht="11.15" customHeight="1">
      <c r="A9929" s="129"/>
      <c r="B9929" s="413" t="s">
        <v>13311</v>
      </c>
      <c r="C9929" s="147"/>
      <c r="D9929" s="122"/>
      <c r="E9929" s="36"/>
      <c r="F9929" s="178"/>
      <c r="G9929" s="453"/>
      <c r="H9929" s="36"/>
      <c r="I9929" s="11"/>
    </row>
    <row r="9930" spans="1:9" ht="9" customHeight="1">
      <c r="A9930" s="185"/>
      <c r="B9930" s="209" t="s">
        <v>13312</v>
      </c>
      <c r="C9930" s="147"/>
      <c r="D9930" s="122"/>
      <c r="E9930" s="36"/>
      <c r="F9930" s="178"/>
      <c r="G9930" s="60"/>
      <c r="H9930" s="36"/>
      <c r="I9930" s="11"/>
    </row>
    <row r="9931" spans="1:9" ht="9" customHeight="1">
      <c r="A9931" s="185"/>
      <c r="B9931" s="209" t="s">
        <v>13313</v>
      </c>
      <c r="C9931" s="147"/>
      <c r="D9931" s="122"/>
      <c r="E9931" s="36"/>
      <c r="F9931" s="178"/>
      <c r="G9931" s="60"/>
      <c r="H9931" s="36"/>
      <c r="I9931" s="11"/>
    </row>
    <row r="9932" spans="1:9" ht="9" customHeight="1">
      <c r="A9932" s="185"/>
      <c r="B9932" s="209" t="s">
        <v>13314</v>
      </c>
      <c r="C9932" s="147"/>
      <c r="D9932" s="122"/>
      <c r="E9932" s="36"/>
      <c r="F9932" s="178"/>
      <c r="G9932" s="60"/>
      <c r="H9932" s="36"/>
      <c r="I9932" s="11"/>
    </row>
    <row r="9933" spans="1:9" ht="9" customHeight="1">
      <c r="A9933" s="185"/>
      <c r="B9933" s="209" t="s">
        <v>13315</v>
      </c>
      <c r="C9933" s="147"/>
      <c r="D9933" s="122"/>
      <c r="E9933" s="36"/>
      <c r="F9933" s="178"/>
      <c r="G9933" s="60"/>
      <c r="H9933" s="36"/>
      <c r="I9933" s="11"/>
    </row>
    <row r="9934" spans="1:9" ht="9" customHeight="1">
      <c r="A9934" s="185"/>
      <c r="B9934" s="209" t="s">
        <v>13316</v>
      </c>
      <c r="C9934" s="147"/>
      <c r="D9934" s="122"/>
      <c r="E9934" s="36"/>
      <c r="F9934" s="178"/>
      <c r="G9934" s="60"/>
      <c r="H9934" s="36"/>
      <c r="I9934" s="11"/>
    </row>
    <row r="9935" spans="1:9" ht="9" customHeight="1" thickBot="1">
      <c r="A9935" s="185"/>
      <c r="B9935" s="209" t="s">
        <v>13317</v>
      </c>
      <c r="C9935" s="147"/>
      <c r="D9935" s="122"/>
      <c r="E9935" s="36"/>
      <c r="F9935" s="178"/>
      <c r="G9935" s="60"/>
      <c r="H9935" s="36"/>
      <c r="I9935" s="11"/>
    </row>
    <row r="9936" spans="1:9" ht="11.15" customHeight="1" thickBot="1">
      <c r="A9936" s="184" t="s">
        <v>13318</v>
      </c>
      <c r="B9936" s="154" t="s">
        <v>11253</v>
      </c>
      <c r="C9936" s="147"/>
      <c r="D9936" s="129"/>
      <c r="E9936" s="185"/>
      <c r="F9936" s="185"/>
      <c r="G9936" s="185"/>
      <c r="H9936" s="185"/>
      <c r="I9936" s="11"/>
    </row>
    <row r="9937" spans="1:12" ht="11.15" customHeight="1">
      <c r="A9937" s="29" t="s">
        <v>13319</v>
      </c>
      <c r="B9937" s="59" t="s">
        <v>18997</v>
      </c>
      <c r="C9937" s="147" t="s">
        <v>23393</v>
      </c>
      <c r="D9937" s="284" t="s">
        <v>897</v>
      </c>
      <c r="E9937" s="178">
        <v>2023</v>
      </c>
      <c r="F9937" s="178" t="s">
        <v>4520</v>
      </c>
      <c r="G9937" s="496"/>
      <c r="H9937" s="994" t="s">
        <v>20221</v>
      </c>
      <c r="I9937" s="11" t="s">
        <v>23281</v>
      </c>
      <c r="J9937" s="1285"/>
      <c r="K9937" s="1285"/>
      <c r="L9937" s="1285"/>
    </row>
    <row r="9938" spans="1:12" ht="11.15" customHeight="1">
      <c r="A9938" s="29" t="s">
        <v>13321</v>
      </c>
      <c r="B9938" s="59" t="s">
        <v>18997</v>
      </c>
      <c r="C9938" s="147" t="s">
        <v>23393</v>
      </c>
      <c r="D9938" s="284" t="s">
        <v>897</v>
      </c>
      <c r="E9938" s="178">
        <v>2022</v>
      </c>
      <c r="F9938" s="178" t="s">
        <v>4520</v>
      </c>
      <c r="G9938" s="496"/>
      <c r="H9938" s="994" t="s">
        <v>20221</v>
      </c>
      <c r="I9938" s="11" t="s">
        <v>13320</v>
      </c>
      <c r="J9938" s="1285"/>
      <c r="K9938" s="1285"/>
      <c r="L9938" s="1285"/>
    </row>
    <row r="9939" spans="1:12" ht="11.15" customHeight="1">
      <c r="A9939" s="29" t="s">
        <v>13323</v>
      </c>
      <c r="B9939" s="59" t="s">
        <v>18997</v>
      </c>
      <c r="C9939" s="147" t="s">
        <v>20221</v>
      </c>
      <c r="D9939" s="284" t="s">
        <v>897</v>
      </c>
      <c r="E9939" s="178">
        <v>2021</v>
      </c>
      <c r="F9939" s="178" t="s">
        <v>4520</v>
      </c>
      <c r="G9939" s="496"/>
      <c r="H9939" s="994" t="s">
        <v>20277</v>
      </c>
      <c r="I9939" s="11" t="s">
        <v>13322</v>
      </c>
      <c r="J9939" s="1285"/>
      <c r="K9939" s="1285"/>
      <c r="L9939" s="1285"/>
    </row>
    <row r="9940" spans="1:12" ht="11.15" customHeight="1">
      <c r="A9940" s="29" t="s">
        <v>13324</v>
      </c>
      <c r="B9940" s="154" t="s">
        <v>13208</v>
      </c>
      <c r="C9940" s="147"/>
      <c r="D9940" s="161"/>
      <c r="E9940" s="36"/>
      <c r="F9940" s="178"/>
      <c r="G9940" s="496"/>
      <c r="H9940" s="36"/>
      <c r="I9940" s="11"/>
    </row>
    <row r="9941" spans="1:12" ht="11.15" customHeight="1">
      <c r="A9941" s="29" t="s">
        <v>13326</v>
      </c>
      <c r="B9941" s="59" t="s">
        <v>22104</v>
      </c>
      <c r="C9941" s="147" t="s">
        <v>23393</v>
      </c>
      <c r="D9941" s="284" t="s">
        <v>897</v>
      </c>
      <c r="E9941" s="178">
        <v>2020</v>
      </c>
      <c r="F9941" s="178" t="s">
        <v>4520</v>
      </c>
      <c r="G9941" s="496"/>
      <c r="H9941" s="994" t="s">
        <v>20221</v>
      </c>
      <c r="I9941" s="11" t="s">
        <v>23282</v>
      </c>
      <c r="J9941" s="1285"/>
      <c r="K9941" s="1285"/>
      <c r="L9941" s="1285"/>
    </row>
    <row r="9942" spans="1:12" ht="11.15" customHeight="1">
      <c r="A9942" s="29" t="s">
        <v>13327</v>
      </c>
      <c r="B9942" s="59" t="s">
        <v>22104</v>
      </c>
      <c r="C9942" s="147" t="s">
        <v>23393</v>
      </c>
      <c r="D9942" s="284" t="s">
        <v>897</v>
      </c>
      <c r="E9942" s="178">
        <v>2019</v>
      </c>
      <c r="F9942" s="178" t="s">
        <v>4520</v>
      </c>
      <c r="G9942" s="496"/>
      <c r="H9942" s="994" t="s">
        <v>20277</v>
      </c>
      <c r="I9942" s="11" t="s">
        <v>13325</v>
      </c>
      <c r="J9942" s="1285"/>
      <c r="K9942" s="1285"/>
      <c r="L9942" s="1285"/>
    </row>
    <row r="9943" spans="1:12" ht="11.15" customHeight="1">
      <c r="A9943" s="29" t="s">
        <v>13329</v>
      </c>
      <c r="B9943" s="59" t="s">
        <v>22107</v>
      </c>
      <c r="C9943" s="147" t="s">
        <v>23393</v>
      </c>
      <c r="D9943" s="284" t="s">
        <v>897</v>
      </c>
      <c r="E9943" s="178">
        <v>2020</v>
      </c>
      <c r="F9943" s="178" t="s">
        <v>9678</v>
      </c>
      <c r="G9943" s="496"/>
      <c r="H9943" s="994" t="s">
        <v>20224</v>
      </c>
      <c r="I9943" s="11" t="s">
        <v>23283</v>
      </c>
      <c r="J9943" s="1285"/>
      <c r="K9943" s="1285"/>
      <c r="L9943" s="1285"/>
    </row>
    <row r="9944" spans="1:12" ht="11.15" customHeight="1">
      <c r="A9944" s="181" t="s">
        <v>13330</v>
      </c>
      <c r="B9944" s="59" t="s">
        <v>22116</v>
      </c>
      <c r="C9944" s="147" t="s">
        <v>20221</v>
      </c>
      <c r="D9944" s="284" t="s">
        <v>897</v>
      </c>
      <c r="E9944" s="178">
        <v>2007</v>
      </c>
      <c r="F9944" s="178" t="s">
        <v>11938</v>
      </c>
      <c r="G9944" s="496"/>
      <c r="H9944" s="994" t="s">
        <v>20224</v>
      </c>
      <c r="I9944" s="11" t="s">
        <v>13328</v>
      </c>
      <c r="J9944" s="1285"/>
      <c r="K9944" s="1285"/>
      <c r="L9944" s="1285"/>
    </row>
    <row r="9945" spans="1:12" ht="11.15" customHeight="1">
      <c r="A9945" s="181" t="s">
        <v>950</v>
      </c>
      <c r="B9945" s="59" t="s">
        <v>22116</v>
      </c>
      <c r="C9945" s="147" t="s">
        <v>20221</v>
      </c>
      <c r="D9945" s="284" t="s">
        <v>897</v>
      </c>
      <c r="E9945" s="178">
        <v>2020</v>
      </c>
      <c r="F9945" s="178" t="s">
        <v>11938</v>
      </c>
      <c r="G9945" s="496"/>
      <c r="H9945" s="994" t="s">
        <v>20224</v>
      </c>
      <c r="I9945" s="11" t="s">
        <v>23284</v>
      </c>
      <c r="J9945" s="1285"/>
      <c r="K9945" s="1285"/>
      <c r="L9945" s="1285"/>
    </row>
    <row r="9946" spans="1:12" ht="11.15" customHeight="1">
      <c r="A9946" s="129" t="s">
        <v>896</v>
      </c>
      <c r="B9946" s="154" t="s">
        <v>13214</v>
      </c>
      <c r="C9946" s="147"/>
      <c r="D9946" s="129"/>
      <c r="E9946" s="185"/>
      <c r="F9946" s="185"/>
      <c r="G9946" s="185"/>
      <c r="H9946" s="185"/>
      <c r="I9946" s="11"/>
    </row>
    <row r="9947" spans="1:12" ht="11.15" customHeight="1">
      <c r="A9947" s="162" t="s">
        <v>13333</v>
      </c>
      <c r="B9947" s="59" t="s">
        <v>22117</v>
      </c>
      <c r="C9947" s="147" t="s">
        <v>20221</v>
      </c>
      <c r="D9947" s="284" t="s">
        <v>897</v>
      </c>
      <c r="E9947" s="178">
        <v>2015</v>
      </c>
      <c r="F9947" s="178" t="s">
        <v>23394</v>
      </c>
      <c r="G9947" s="496"/>
      <c r="H9947" s="994" t="s">
        <v>20221</v>
      </c>
      <c r="I9947" s="11" t="s">
        <v>23285</v>
      </c>
      <c r="J9947" s="1285"/>
      <c r="K9947" s="1285"/>
      <c r="L9947" s="1285"/>
    </row>
    <row r="9948" spans="1:12" ht="11.15" customHeight="1">
      <c r="A9948" s="162" t="s">
        <v>13334</v>
      </c>
      <c r="B9948" s="59" t="s">
        <v>22117</v>
      </c>
      <c r="C9948" s="147" t="s">
        <v>20221</v>
      </c>
      <c r="D9948" s="284" t="s">
        <v>897</v>
      </c>
      <c r="E9948" s="178">
        <v>2012</v>
      </c>
      <c r="F9948" s="178" t="s">
        <v>23394</v>
      </c>
      <c r="G9948" s="496"/>
      <c r="H9948" s="994" t="s">
        <v>20224</v>
      </c>
      <c r="I9948" s="11" t="s">
        <v>13331</v>
      </c>
      <c r="J9948" s="1285"/>
      <c r="K9948" s="1285"/>
      <c r="L9948" s="1285"/>
    </row>
    <row r="9949" spans="1:12" ht="11.15" customHeight="1">
      <c r="A9949" s="162" t="s">
        <v>13335</v>
      </c>
      <c r="B9949" s="59" t="s">
        <v>22118</v>
      </c>
      <c r="C9949" s="147" t="s">
        <v>20221</v>
      </c>
      <c r="D9949" s="284" t="s">
        <v>897</v>
      </c>
      <c r="E9949" s="178">
        <v>2015</v>
      </c>
      <c r="F9949" s="178" t="s">
        <v>9678</v>
      </c>
      <c r="G9949" s="496"/>
      <c r="H9949" s="994" t="s">
        <v>20224</v>
      </c>
      <c r="I9949" s="11" t="s">
        <v>23286</v>
      </c>
      <c r="J9949" s="1285"/>
      <c r="K9949" s="1285"/>
      <c r="L9949" s="1285"/>
    </row>
    <row r="9950" spans="1:12" ht="11.15" customHeight="1">
      <c r="A9950" s="162" t="s">
        <v>13336</v>
      </c>
      <c r="B9950" s="59" t="s">
        <v>22118</v>
      </c>
      <c r="C9950" s="147" t="s">
        <v>20221</v>
      </c>
      <c r="D9950" s="284" t="s">
        <v>897</v>
      </c>
      <c r="E9950" s="178">
        <v>2010</v>
      </c>
      <c r="F9950" s="178" t="s">
        <v>9678</v>
      </c>
      <c r="G9950" s="496"/>
      <c r="H9950" s="994" t="s">
        <v>20224</v>
      </c>
      <c r="I9950" s="11" t="s">
        <v>13332</v>
      </c>
      <c r="J9950" s="1285"/>
      <c r="K9950" s="1285"/>
      <c r="L9950" s="1285"/>
    </row>
    <row r="9951" spans="1:12" ht="11.15" customHeight="1">
      <c r="A9951" s="129" t="s">
        <v>903</v>
      </c>
      <c r="B9951" s="185"/>
      <c r="C9951" s="147"/>
      <c r="D9951" s="185"/>
      <c r="E9951" s="185"/>
      <c r="F9951" s="185"/>
      <c r="G9951" s="185"/>
      <c r="H9951" s="185"/>
      <c r="I9951" s="11"/>
    </row>
    <row r="9952" spans="1:12" ht="11.15" customHeight="1">
      <c r="A9952" s="162" t="s">
        <v>13337</v>
      </c>
      <c r="B9952" s="90"/>
      <c r="C9952" s="147"/>
      <c r="D9952" s="161"/>
      <c r="E9952" s="36"/>
      <c r="F9952" s="178"/>
      <c r="G9952" s="496"/>
      <c r="H9952" s="36"/>
      <c r="I9952" s="11"/>
    </row>
    <row r="9953" spans="1:9" ht="11.15" customHeight="1">
      <c r="A9953" s="162" t="s">
        <v>13338</v>
      </c>
      <c r="B9953" s="90"/>
      <c r="C9953" s="147"/>
      <c r="D9953" s="122"/>
      <c r="E9953" s="36"/>
      <c r="F9953" s="178"/>
      <c r="G9953" s="453"/>
      <c r="H9953" s="36"/>
      <c r="I9953" s="11"/>
    </row>
    <row r="9954" spans="1:9" ht="11.15" customHeight="1">
      <c r="A9954" s="162" t="s">
        <v>13339</v>
      </c>
      <c r="B9954" s="90"/>
      <c r="C9954" s="147"/>
      <c r="D9954" s="161"/>
      <c r="E9954" s="36"/>
      <c r="F9954" s="178"/>
      <c r="G9954" s="496"/>
      <c r="H9954" s="36"/>
      <c r="I9954" s="11"/>
    </row>
    <row r="9955" spans="1:9" ht="11.15" customHeight="1">
      <c r="A9955" s="162" t="s">
        <v>13340</v>
      </c>
      <c r="B9955" s="90" t="s">
        <v>13341</v>
      </c>
      <c r="C9955" s="147"/>
      <c r="D9955" s="161"/>
      <c r="E9955" s="36"/>
      <c r="F9955" s="178"/>
      <c r="G9955" s="496"/>
      <c r="H9955" s="36"/>
      <c r="I9955" s="11"/>
    </row>
    <row r="9956" spans="1:9" ht="11.15" customHeight="1">
      <c r="A9956" s="162" t="s">
        <v>13342</v>
      </c>
      <c r="B9956" s="90"/>
      <c r="C9956" s="147"/>
      <c r="D9956" s="161"/>
      <c r="E9956" s="36"/>
      <c r="F9956" s="178"/>
      <c r="G9956" s="496"/>
      <c r="H9956" s="36"/>
      <c r="I9956" s="11"/>
    </row>
    <row r="9957" spans="1:9" ht="11.15" customHeight="1">
      <c r="A9957" s="162" t="s">
        <v>13343</v>
      </c>
      <c r="B9957" s="90"/>
      <c r="C9957" s="147"/>
      <c r="D9957" s="161"/>
      <c r="E9957" s="36"/>
      <c r="F9957" s="178"/>
      <c r="G9957" s="496"/>
      <c r="H9957" s="36"/>
      <c r="I9957" s="11"/>
    </row>
    <row r="9958" spans="1:9" ht="11.15" customHeight="1">
      <c r="A9958" s="162" t="s">
        <v>13344</v>
      </c>
      <c r="B9958" s="90"/>
      <c r="C9958" s="147"/>
      <c r="D9958" s="122"/>
      <c r="E9958" s="36"/>
      <c r="F9958" s="178"/>
      <c r="G9958" s="496"/>
      <c r="H9958" s="36"/>
      <c r="I9958" s="11"/>
    </row>
    <row r="9959" spans="1:9" ht="11.15" customHeight="1">
      <c r="A9959" s="162" t="s">
        <v>13345</v>
      </c>
      <c r="B9959" s="90"/>
      <c r="C9959" s="147"/>
      <c r="D9959" s="122"/>
      <c r="E9959" s="36"/>
      <c r="F9959" s="178"/>
      <c r="G9959" s="453"/>
      <c r="H9959" s="36"/>
      <c r="I9959" s="11"/>
    </row>
    <row r="9960" spans="1:9" ht="11.15" customHeight="1">
      <c r="A9960" s="29" t="s">
        <v>13346</v>
      </c>
      <c r="B9960" s="90"/>
      <c r="C9960" s="147"/>
      <c r="D9960" s="122"/>
      <c r="E9960" s="36"/>
      <c r="F9960" s="178"/>
      <c r="G9960" s="453"/>
      <c r="H9960" s="36"/>
      <c r="I9960" s="11"/>
    </row>
    <row r="9961" spans="1:9" ht="11.15" customHeight="1">
      <c r="A9961" s="29" t="s">
        <v>12886</v>
      </c>
      <c r="B9961" s="90"/>
      <c r="C9961" s="147"/>
      <c r="D9961" s="122"/>
      <c r="E9961" s="36"/>
      <c r="F9961" s="178"/>
      <c r="G9961" s="453"/>
      <c r="H9961" s="36"/>
      <c r="I9961" s="11"/>
    </row>
    <row r="9962" spans="1:9" ht="11.15" customHeight="1">
      <c r="A9962" s="166" t="s">
        <v>13347</v>
      </c>
      <c r="B9962" s="90"/>
      <c r="C9962" s="147"/>
      <c r="D9962" s="161"/>
      <c r="E9962" s="36"/>
      <c r="F9962" s="183"/>
      <c r="G9962" s="496"/>
      <c r="H9962" s="34"/>
      <c r="I9962" s="11"/>
    </row>
    <row r="9963" spans="1:9" ht="11.15" customHeight="1">
      <c r="A9963" s="129" t="s">
        <v>13348</v>
      </c>
      <c r="B9963" s="90"/>
      <c r="C9963" s="147"/>
      <c r="D9963" s="122"/>
      <c r="E9963" s="36"/>
      <c r="F9963" s="178"/>
      <c r="G9963" s="453"/>
      <c r="H9963" s="36"/>
      <c r="I9963" s="11"/>
    </row>
    <row r="9964" spans="1:9" ht="11.15" customHeight="1">
      <c r="A9964" s="129"/>
      <c r="B9964" s="413" t="s">
        <v>13349</v>
      </c>
      <c r="C9964" s="147"/>
      <c r="D9964" s="122"/>
      <c r="E9964" s="36"/>
      <c r="F9964" s="178"/>
      <c r="G9964" s="453"/>
      <c r="H9964" s="36"/>
      <c r="I9964" s="11"/>
    </row>
    <row r="9965" spans="1:9" ht="9" customHeight="1">
      <c r="A9965" s="29"/>
      <c r="B9965" s="150" t="s">
        <v>13350</v>
      </c>
      <c r="C9965" s="147"/>
      <c r="D9965" s="122"/>
      <c r="E9965" s="36"/>
      <c r="F9965" s="178"/>
      <c r="G9965" s="453"/>
      <c r="H9965" s="36"/>
      <c r="I9965" s="11"/>
    </row>
    <row r="9966" spans="1:9" ht="9" customHeight="1">
      <c r="A9966" s="29"/>
      <c r="B9966" s="150" t="s">
        <v>13351</v>
      </c>
      <c r="C9966" s="147"/>
      <c r="D9966" s="122"/>
      <c r="E9966" s="36"/>
      <c r="F9966" s="178"/>
      <c r="G9966" s="453"/>
      <c r="H9966" s="36"/>
      <c r="I9966" s="11"/>
    </row>
    <row r="9967" spans="1:9" ht="9" customHeight="1">
      <c r="A9967" s="29"/>
      <c r="B9967" s="209" t="s">
        <v>13352</v>
      </c>
      <c r="C9967" s="147"/>
      <c r="D9967" s="122"/>
      <c r="E9967" s="36"/>
      <c r="F9967" s="178"/>
      <c r="G9967" s="453"/>
      <c r="H9967" s="36"/>
      <c r="I9967" s="11"/>
    </row>
    <row r="9968" spans="1:9" ht="9" customHeight="1">
      <c r="A9968" s="29"/>
      <c r="B9968" s="209" t="s">
        <v>13353</v>
      </c>
      <c r="C9968" s="147"/>
      <c r="D9968" s="122"/>
      <c r="E9968" s="36"/>
      <c r="F9968" s="178"/>
      <c r="G9968" s="453"/>
      <c r="H9968" s="36"/>
      <c r="I9968" s="11"/>
    </row>
    <row r="9969" spans="1:12" ht="9" customHeight="1" thickBot="1">
      <c r="A9969" s="29"/>
      <c r="B9969" s="209" t="s">
        <v>13354</v>
      </c>
      <c r="C9969" s="147"/>
      <c r="D9969" s="122"/>
      <c r="E9969" s="36"/>
      <c r="F9969" s="178"/>
      <c r="G9969" s="453"/>
      <c r="H9969" s="36"/>
      <c r="I9969" s="11"/>
    </row>
    <row r="9970" spans="1:12" ht="11.15" customHeight="1">
      <c r="A9970" s="153" t="s">
        <v>13355</v>
      </c>
      <c r="B9970" s="154" t="s">
        <v>13356</v>
      </c>
      <c r="C9970" s="147"/>
      <c r="D9970" s="185"/>
      <c r="E9970" s="185"/>
      <c r="F9970" s="185"/>
      <c r="G9970" s="185"/>
      <c r="H9970" s="185"/>
      <c r="I9970" s="11"/>
    </row>
    <row r="9971" spans="1:12" ht="11.15" customHeight="1" thickBot="1">
      <c r="A9971" s="230" t="s">
        <v>13357</v>
      </c>
      <c r="B9971" s="59" t="s">
        <v>22119</v>
      </c>
      <c r="C9971" s="147" t="s">
        <v>20221</v>
      </c>
      <c r="D9971" s="284" t="s">
        <v>897</v>
      </c>
      <c r="E9971" s="178">
        <v>2021</v>
      </c>
      <c r="F9971" s="178" t="s">
        <v>4520</v>
      </c>
      <c r="G9971" s="496"/>
      <c r="H9971" s="994" t="s">
        <v>20221</v>
      </c>
      <c r="I9971" s="11" t="s">
        <v>13358</v>
      </c>
      <c r="J9971" s="1285"/>
      <c r="K9971" s="1285"/>
      <c r="L9971" s="1285"/>
    </row>
    <row r="9972" spans="1:12" ht="11.15" customHeight="1">
      <c r="A9972" s="29" t="s">
        <v>13359</v>
      </c>
      <c r="B9972" s="59" t="s">
        <v>22119</v>
      </c>
      <c r="C9972" s="147" t="s">
        <v>20221</v>
      </c>
      <c r="D9972" s="284" t="s">
        <v>897</v>
      </c>
      <c r="E9972" s="178">
        <v>2020</v>
      </c>
      <c r="F9972" s="178" t="s">
        <v>4520</v>
      </c>
      <c r="G9972" s="496"/>
      <c r="H9972" s="994" t="s">
        <v>20221</v>
      </c>
      <c r="I9972" s="11" t="s">
        <v>13360</v>
      </c>
      <c r="J9972" s="1285"/>
      <c r="K9972" s="1285"/>
      <c r="L9972" s="1285"/>
    </row>
    <row r="9973" spans="1:12" ht="11.15" customHeight="1">
      <c r="A9973" s="58" t="s">
        <v>13361</v>
      </c>
      <c r="B9973" s="59" t="s">
        <v>22120</v>
      </c>
      <c r="C9973" s="147" t="s">
        <v>20221</v>
      </c>
      <c r="D9973" s="284" t="s">
        <v>897</v>
      </c>
      <c r="E9973" s="178">
        <v>2021</v>
      </c>
      <c r="F9973" s="178" t="s">
        <v>4520</v>
      </c>
      <c r="G9973" s="496"/>
      <c r="H9973" s="994" t="s">
        <v>20221</v>
      </c>
      <c r="I9973" s="11" t="s">
        <v>13362</v>
      </c>
      <c r="J9973" s="1285"/>
      <c r="K9973" s="1285"/>
      <c r="L9973" s="1285"/>
    </row>
    <row r="9974" spans="1:12" ht="11.15" customHeight="1">
      <c r="A9974" s="29" t="s">
        <v>13363</v>
      </c>
      <c r="B9974" s="59" t="s">
        <v>22120</v>
      </c>
      <c r="C9974" s="147" t="s">
        <v>20221</v>
      </c>
      <c r="D9974" s="284" t="s">
        <v>897</v>
      </c>
      <c r="E9974" s="178">
        <v>2020</v>
      </c>
      <c r="F9974" s="178" t="s">
        <v>4520</v>
      </c>
      <c r="G9974" s="496"/>
      <c r="H9974" s="994" t="s">
        <v>20277</v>
      </c>
      <c r="I9974" s="11" t="s">
        <v>13364</v>
      </c>
      <c r="J9974" s="1285"/>
      <c r="K9974" s="1285"/>
      <c r="L9974" s="1285"/>
    </row>
    <row r="9975" spans="1:12" ht="11.15" customHeight="1">
      <c r="A9975" s="29" t="s">
        <v>13365</v>
      </c>
      <c r="B9975" s="59" t="s">
        <v>22121</v>
      </c>
      <c r="C9975" s="147" t="s">
        <v>20221</v>
      </c>
      <c r="D9975" s="284" t="s">
        <v>897</v>
      </c>
      <c r="E9975" s="178">
        <v>2020</v>
      </c>
      <c r="F9975" s="178" t="s">
        <v>11931</v>
      </c>
      <c r="G9975" s="496"/>
      <c r="H9975" s="994" t="s">
        <v>20221</v>
      </c>
      <c r="I9975" s="11" t="s">
        <v>13366</v>
      </c>
      <c r="J9975" s="1285"/>
      <c r="K9975" s="1285"/>
      <c r="L9975" s="1285"/>
    </row>
    <row r="9976" spans="1:12" ht="11.15" customHeight="1">
      <c r="A9976" s="29" t="s">
        <v>1862</v>
      </c>
      <c r="B9976" s="154" t="s">
        <v>13208</v>
      </c>
      <c r="C9976" s="147"/>
      <c r="D9976" s="185"/>
      <c r="E9976" s="185"/>
      <c r="F9976" s="185"/>
      <c r="G9976" s="185"/>
      <c r="H9976" s="185"/>
      <c r="I9976" s="11"/>
    </row>
    <row r="9977" spans="1:12" ht="11.15" customHeight="1">
      <c r="A9977" s="29" t="s">
        <v>13367</v>
      </c>
      <c r="B9977" s="59" t="s">
        <v>22104</v>
      </c>
      <c r="C9977" s="147" t="s">
        <v>20221</v>
      </c>
      <c r="D9977" s="284" t="s">
        <v>897</v>
      </c>
      <c r="E9977" s="178">
        <v>2019</v>
      </c>
      <c r="F9977" s="178" t="s">
        <v>4520</v>
      </c>
      <c r="G9977" s="496"/>
      <c r="H9977" s="994" t="s">
        <v>20221</v>
      </c>
      <c r="I9977" s="11" t="s">
        <v>13368</v>
      </c>
      <c r="J9977" s="1285"/>
      <c r="K9977" s="1285"/>
      <c r="L9977" s="1285"/>
    </row>
    <row r="9978" spans="1:12" ht="11.15" customHeight="1">
      <c r="A9978" s="29" t="s">
        <v>13369</v>
      </c>
      <c r="B9978" s="59" t="s">
        <v>22104</v>
      </c>
      <c r="C9978" s="147" t="s">
        <v>20221</v>
      </c>
      <c r="D9978" s="284" t="s">
        <v>897</v>
      </c>
      <c r="E9978" s="178">
        <v>2018</v>
      </c>
      <c r="F9978" s="178" t="s">
        <v>4520</v>
      </c>
      <c r="G9978" s="496"/>
      <c r="H9978" s="994" t="s">
        <v>20221</v>
      </c>
      <c r="I9978" s="11" t="s">
        <v>13370</v>
      </c>
      <c r="J9978" s="1285"/>
      <c r="K9978" s="1285"/>
      <c r="L9978" s="1285"/>
    </row>
    <row r="9979" spans="1:12" ht="11.15" customHeight="1">
      <c r="A9979" s="129" t="s">
        <v>3591</v>
      </c>
      <c r="B9979" s="59" t="s">
        <v>22107</v>
      </c>
      <c r="C9979" s="147" t="s">
        <v>20221</v>
      </c>
      <c r="D9979" s="284" t="s">
        <v>897</v>
      </c>
      <c r="E9979" s="178">
        <v>2019</v>
      </c>
      <c r="F9979" s="178" t="s">
        <v>11931</v>
      </c>
      <c r="G9979" s="496"/>
      <c r="H9979" s="994" t="s">
        <v>20224</v>
      </c>
      <c r="I9979" s="11" t="s">
        <v>13371</v>
      </c>
      <c r="J9979" s="1285"/>
      <c r="K9979" s="1285"/>
      <c r="L9979" s="1285"/>
    </row>
    <row r="9980" spans="1:12" ht="11.15" customHeight="1">
      <c r="A9980" s="162" t="s">
        <v>13372</v>
      </c>
      <c r="B9980" s="274"/>
      <c r="C9980" s="147"/>
      <c r="D9980" s="149"/>
      <c r="E9980" s="210"/>
      <c r="F9980" s="150"/>
      <c r="G9980" s="1190"/>
      <c r="H9980" s="210"/>
      <c r="I9980" s="11"/>
    </row>
    <row r="9981" spans="1:12" ht="11.15" customHeight="1">
      <c r="A9981" s="162" t="s">
        <v>13373</v>
      </c>
      <c r="B9981" s="274"/>
      <c r="C9981" s="147"/>
      <c r="D9981" s="149"/>
      <c r="E9981" s="210"/>
      <c r="F9981" s="150"/>
      <c r="G9981" s="1190"/>
      <c r="H9981" s="210"/>
      <c r="I9981" s="11"/>
    </row>
    <row r="9982" spans="1:12" ht="11.15" customHeight="1">
      <c r="A9982" s="162" t="s">
        <v>13374</v>
      </c>
      <c r="B9982" s="274"/>
      <c r="C9982" s="147"/>
      <c r="D9982" s="149"/>
      <c r="E9982" s="210"/>
      <c r="F9982" s="150"/>
      <c r="G9982" s="1190"/>
      <c r="H9982" s="210"/>
      <c r="I9982" s="11"/>
    </row>
    <row r="9983" spans="1:12" ht="11.15" customHeight="1">
      <c r="A9983" s="162" t="s">
        <v>13375</v>
      </c>
      <c r="B9983" s="274"/>
      <c r="C9983" s="147"/>
      <c r="D9983" s="149"/>
      <c r="E9983" s="210"/>
      <c r="F9983" s="150"/>
      <c r="G9983" s="1190"/>
      <c r="H9983" s="210"/>
      <c r="I9983" s="11"/>
    </row>
    <row r="9984" spans="1:12" ht="11.15" customHeight="1">
      <c r="A9984" s="162" t="s">
        <v>13376</v>
      </c>
      <c r="B9984" s="274"/>
      <c r="C9984" s="147"/>
      <c r="D9984" s="149"/>
      <c r="E9984" s="210"/>
      <c r="F9984" s="150"/>
      <c r="G9984" s="1190"/>
      <c r="H9984" s="210"/>
      <c r="I9984" s="11"/>
    </row>
    <row r="9985" spans="1:12" ht="11.15" customHeight="1">
      <c r="A9985" s="162" t="s">
        <v>13377</v>
      </c>
      <c r="B9985" s="274"/>
      <c r="C9985" s="147"/>
      <c r="D9985" s="149"/>
      <c r="E9985" s="210"/>
      <c r="F9985" s="150"/>
      <c r="G9985" s="1190"/>
      <c r="H9985" s="210"/>
      <c r="I9985" s="11"/>
    </row>
    <row r="9986" spans="1:12" ht="11.15" customHeight="1">
      <c r="A9986" s="169" t="s">
        <v>13378</v>
      </c>
      <c r="B9986" s="90"/>
      <c r="C9986" s="147"/>
      <c r="D9986" s="161"/>
      <c r="E9986" s="36"/>
      <c r="F9986" s="178"/>
      <c r="G9986" s="496"/>
      <c r="H9986" s="36"/>
      <c r="I9986" s="11"/>
    </row>
    <row r="9987" spans="1:12" ht="11.15" customHeight="1">
      <c r="A9987" s="168" t="s">
        <v>13379</v>
      </c>
      <c r="B9987" s="90"/>
      <c r="C9987" s="147"/>
      <c r="D9987" s="161"/>
      <c r="E9987" s="36"/>
      <c r="F9987" s="178"/>
      <c r="G9987" s="496"/>
      <c r="H9987" s="36"/>
      <c r="I9987" s="11"/>
    </row>
    <row r="9988" spans="1:12" ht="11.15" customHeight="1">
      <c r="A9988" s="357" t="s">
        <v>5463</v>
      </c>
      <c r="B9988" s="90"/>
      <c r="C9988" s="147"/>
      <c r="D9988" s="161"/>
      <c r="E9988" s="36"/>
      <c r="F9988" s="178"/>
      <c r="G9988" s="496"/>
      <c r="H9988" s="36"/>
      <c r="I9988" s="11"/>
    </row>
    <row r="9989" spans="1:12" ht="11.15" customHeight="1">
      <c r="A9989" s="129" t="s">
        <v>13380</v>
      </c>
      <c r="B9989" s="90"/>
      <c r="C9989" s="147"/>
      <c r="D9989" s="161"/>
      <c r="E9989" s="36"/>
      <c r="F9989" s="183"/>
      <c r="G9989" s="496"/>
      <c r="H9989" s="34"/>
      <c r="I9989" s="11"/>
    </row>
    <row r="9990" spans="1:12" ht="11.15" customHeight="1" thickBot="1">
      <c r="A9990" s="29"/>
      <c r="B9990" s="90"/>
      <c r="C9990" s="147"/>
      <c r="D9990" s="161"/>
      <c r="E9990" s="36"/>
      <c r="F9990" s="178"/>
      <c r="G9990" s="496"/>
      <c r="H9990" s="36"/>
      <c r="I9990" s="11"/>
    </row>
    <row r="9991" spans="1:12" ht="11.15" customHeight="1">
      <c r="A9991" s="682" t="s">
        <v>13381</v>
      </c>
      <c r="B9991" s="154" t="s">
        <v>13208</v>
      </c>
      <c r="C9991" s="147"/>
      <c r="D9991" s="185"/>
      <c r="E9991" s="185"/>
      <c r="F9991" s="185"/>
      <c r="G9991" s="185"/>
      <c r="H9991" s="185"/>
      <c r="I9991" s="11"/>
    </row>
    <row r="9992" spans="1:12" ht="11.15" customHeight="1" thickBot="1">
      <c r="A9992" s="683" t="s">
        <v>13382</v>
      </c>
      <c r="B9992" s="59" t="s">
        <v>22104</v>
      </c>
      <c r="C9992" s="147" t="s">
        <v>20221</v>
      </c>
      <c r="D9992" s="284" t="s">
        <v>897</v>
      </c>
      <c r="E9992" s="178">
        <v>2020</v>
      </c>
      <c r="F9992" s="178" t="s">
        <v>4520</v>
      </c>
      <c r="G9992" s="496"/>
      <c r="H9992" s="994" t="s">
        <v>20221</v>
      </c>
      <c r="I9992" s="11" t="s">
        <v>23287</v>
      </c>
      <c r="J9992" s="1285"/>
      <c r="K9992" s="1285"/>
      <c r="L9992" s="1285"/>
    </row>
    <row r="9993" spans="1:12" ht="11.15" customHeight="1">
      <c r="A9993" s="29" t="s">
        <v>13384</v>
      </c>
      <c r="B9993" s="59" t="s">
        <v>22104</v>
      </c>
      <c r="C9993" s="147" t="s">
        <v>20221</v>
      </c>
      <c r="D9993" s="284" t="s">
        <v>897</v>
      </c>
      <c r="E9993" s="178">
        <v>2019</v>
      </c>
      <c r="F9993" s="178" t="s">
        <v>4520</v>
      </c>
      <c r="G9993" s="496"/>
      <c r="H9993" s="994" t="s">
        <v>20221</v>
      </c>
      <c r="I9993" s="11" t="s">
        <v>13383</v>
      </c>
      <c r="J9993" s="1285"/>
      <c r="K9993" s="1285"/>
      <c r="L9993" s="1285"/>
    </row>
    <row r="9994" spans="1:12" ht="11.15" customHeight="1">
      <c r="A9994" s="29" t="s">
        <v>13386</v>
      </c>
      <c r="B9994" s="59" t="s">
        <v>22104</v>
      </c>
      <c r="C9994" s="147" t="s">
        <v>20221</v>
      </c>
      <c r="D9994" s="284" t="s">
        <v>897</v>
      </c>
      <c r="E9994" s="178">
        <v>2017</v>
      </c>
      <c r="F9994" s="178" t="s">
        <v>4520</v>
      </c>
      <c r="G9994" s="496"/>
      <c r="H9994" s="994" t="s">
        <v>20277</v>
      </c>
      <c r="I9994" s="11" t="s">
        <v>13385</v>
      </c>
      <c r="J9994" s="1285"/>
      <c r="K9994" s="1285"/>
      <c r="L9994" s="1285"/>
    </row>
    <row r="9995" spans="1:12" ht="11.15" customHeight="1">
      <c r="A9995" s="29" t="s">
        <v>13388</v>
      </c>
      <c r="B9995" s="59" t="s">
        <v>22123</v>
      </c>
      <c r="C9995" s="147" t="s">
        <v>20221</v>
      </c>
      <c r="D9995" s="284" t="s">
        <v>897</v>
      </c>
      <c r="E9995" s="178">
        <v>2017</v>
      </c>
      <c r="F9995" s="178" t="s">
        <v>4520</v>
      </c>
      <c r="G9995" s="496"/>
      <c r="H9995" s="994" t="s">
        <v>20224</v>
      </c>
      <c r="I9995" s="11" t="s">
        <v>13387</v>
      </c>
      <c r="J9995" s="1285"/>
      <c r="K9995" s="1285"/>
      <c r="L9995" s="1285"/>
    </row>
    <row r="9996" spans="1:12" ht="11.15" customHeight="1">
      <c r="A9996" s="29" t="s">
        <v>13389</v>
      </c>
      <c r="B9996" s="59" t="s">
        <v>22126</v>
      </c>
      <c r="C9996" s="147" t="s">
        <v>20221</v>
      </c>
      <c r="D9996" s="284" t="s">
        <v>897</v>
      </c>
      <c r="E9996" s="178">
        <v>2019</v>
      </c>
      <c r="F9996" s="178" t="s">
        <v>4520</v>
      </c>
      <c r="G9996" s="496"/>
      <c r="H9996" s="994" t="s">
        <v>20221</v>
      </c>
      <c r="I9996" s="11" t="s">
        <v>23288</v>
      </c>
      <c r="J9996" s="1285"/>
      <c r="K9996" s="1285"/>
      <c r="L9996" s="1285"/>
    </row>
    <row r="9997" spans="1:12" ht="11.15" customHeight="1">
      <c r="A9997" s="181" t="s">
        <v>3908</v>
      </c>
      <c r="B9997" s="154" t="s">
        <v>13222</v>
      </c>
      <c r="C9997" s="147"/>
      <c r="D9997" s="185"/>
      <c r="E9997" s="185"/>
      <c r="F9997" s="185"/>
      <c r="G9997" s="185"/>
      <c r="H9997" s="185"/>
      <c r="I9997" s="11"/>
    </row>
    <row r="9998" spans="1:12" ht="11.15" customHeight="1">
      <c r="A9998" s="162" t="s">
        <v>13392</v>
      </c>
      <c r="B9998" s="59" t="s">
        <v>22107</v>
      </c>
      <c r="C9998" s="147" t="s">
        <v>20221</v>
      </c>
      <c r="D9998" s="284" t="s">
        <v>897</v>
      </c>
      <c r="E9998" s="178">
        <v>2019</v>
      </c>
      <c r="F9998" s="178" t="s">
        <v>9678</v>
      </c>
      <c r="G9998" s="496"/>
      <c r="H9998" s="994" t="s">
        <v>20224</v>
      </c>
      <c r="I9998" s="11" t="s">
        <v>13390</v>
      </c>
      <c r="J9998" s="1285"/>
      <c r="K9998" s="1285"/>
      <c r="L9998" s="1285"/>
    </row>
    <row r="9999" spans="1:12" ht="11.15" customHeight="1">
      <c r="A9999" s="162" t="s">
        <v>9889</v>
      </c>
      <c r="B9999" s="59" t="s">
        <v>22124</v>
      </c>
      <c r="C9999" s="147" t="s">
        <v>20221</v>
      </c>
      <c r="D9999" s="284" t="s">
        <v>897</v>
      </c>
      <c r="E9999" s="178">
        <v>2017</v>
      </c>
      <c r="F9999" s="178" t="s">
        <v>9678</v>
      </c>
      <c r="G9999" s="496"/>
      <c r="H9999" s="994" t="s">
        <v>20224</v>
      </c>
      <c r="I9999" s="11" t="s">
        <v>13391</v>
      </c>
      <c r="J9999" s="1285"/>
      <c r="K9999" s="1285"/>
      <c r="L9999" s="1285"/>
    </row>
    <row r="10000" spans="1:12" ht="11.15" customHeight="1">
      <c r="A10000" s="162" t="s">
        <v>13395</v>
      </c>
      <c r="B10000" s="59" t="s">
        <v>22124</v>
      </c>
      <c r="C10000" s="147" t="s">
        <v>20221</v>
      </c>
      <c r="D10000" s="284" t="s">
        <v>897</v>
      </c>
      <c r="E10000" s="178">
        <v>2016</v>
      </c>
      <c r="F10000" s="178" t="s">
        <v>9678</v>
      </c>
      <c r="G10000" s="496"/>
      <c r="H10000" s="994" t="s">
        <v>20224</v>
      </c>
      <c r="I10000" s="11" t="s">
        <v>13393</v>
      </c>
      <c r="J10000" s="1285"/>
      <c r="K10000" s="1285"/>
      <c r="L10000" s="1285"/>
    </row>
    <row r="10001" spans="1:12" ht="11.15" customHeight="1">
      <c r="A10001" s="166" t="s">
        <v>13397</v>
      </c>
      <c r="B10001" s="59" t="s">
        <v>22124</v>
      </c>
      <c r="C10001" s="147" t="s">
        <v>20221</v>
      </c>
      <c r="D10001" s="284" t="s">
        <v>897</v>
      </c>
      <c r="E10001" s="178">
        <v>2015</v>
      </c>
      <c r="F10001" s="178" t="s">
        <v>9678</v>
      </c>
      <c r="G10001" s="496"/>
      <c r="H10001" s="994" t="s">
        <v>20224</v>
      </c>
      <c r="I10001" s="11" t="s">
        <v>13394</v>
      </c>
      <c r="J10001" s="1285"/>
      <c r="K10001" s="1285"/>
      <c r="L10001" s="1285"/>
    </row>
    <row r="10002" spans="1:12" ht="11.15" customHeight="1">
      <c r="A10002" s="129" t="s">
        <v>13398</v>
      </c>
      <c r="B10002" s="59" t="s">
        <v>22124</v>
      </c>
      <c r="C10002" s="147" t="s">
        <v>20221</v>
      </c>
      <c r="D10002" s="284" t="s">
        <v>897</v>
      </c>
      <c r="E10002" s="178">
        <v>2009</v>
      </c>
      <c r="F10002" s="178" t="s">
        <v>9678</v>
      </c>
      <c r="G10002" s="496"/>
      <c r="H10002" s="994" t="s">
        <v>20224</v>
      </c>
      <c r="I10002" s="11" t="s">
        <v>13396</v>
      </c>
      <c r="J10002" s="1285"/>
      <c r="K10002" s="1285"/>
      <c r="L10002" s="1285"/>
    </row>
    <row r="10003" spans="1:12" ht="11.15" customHeight="1">
      <c r="A10003" s="219"/>
      <c r="B10003" s="185"/>
      <c r="C10003" s="147"/>
      <c r="D10003" s="185"/>
      <c r="E10003" s="185"/>
      <c r="F10003" s="185"/>
      <c r="G10003" s="185"/>
      <c r="H10003" s="185"/>
      <c r="I10003" s="11"/>
    </row>
    <row r="10004" spans="1:12" ht="11.15" customHeight="1">
      <c r="A10004" s="684"/>
      <c r="B10004" s="146" t="s">
        <v>13399</v>
      </c>
      <c r="C10004" s="147"/>
      <c r="D10004" s="161"/>
      <c r="E10004" s="36"/>
      <c r="F10004" s="178"/>
      <c r="G10004" s="496"/>
      <c r="H10004" s="36"/>
      <c r="I10004" s="11"/>
    </row>
    <row r="10005" spans="1:12" ht="9" customHeight="1">
      <c r="A10005" s="684"/>
      <c r="B10005" s="209" t="s">
        <v>13400</v>
      </c>
      <c r="C10005" s="147"/>
      <c r="D10005" s="161"/>
      <c r="E10005" s="36"/>
      <c r="F10005" s="178"/>
      <c r="G10005" s="496"/>
      <c r="H10005" s="36"/>
      <c r="I10005" s="11"/>
    </row>
    <row r="10006" spans="1:12" ht="9" customHeight="1">
      <c r="A10006" s="684"/>
      <c r="B10006" s="209" t="s">
        <v>13401</v>
      </c>
      <c r="C10006" s="147"/>
      <c r="D10006" s="161"/>
      <c r="E10006" s="36"/>
      <c r="F10006" s="178"/>
      <c r="G10006" s="496"/>
      <c r="H10006" s="36"/>
      <c r="I10006" s="11"/>
    </row>
    <row r="10007" spans="1:12" ht="9" customHeight="1">
      <c r="A10007" s="684"/>
      <c r="B10007" s="209" t="s">
        <v>13402</v>
      </c>
      <c r="C10007" s="147"/>
      <c r="D10007" s="161"/>
      <c r="E10007" s="36"/>
      <c r="F10007" s="178"/>
      <c r="G10007" s="496"/>
      <c r="H10007" s="36"/>
      <c r="I10007" s="11"/>
    </row>
    <row r="10008" spans="1:12" ht="9" customHeight="1">
      <c r="A10008" s="684"/>
      <c r="B10008" s="209" t="s">
        <v>13403</v>
      </c>
      <c r="C10008" s="147"/>
      <c r="D10008" s="161"/>
      <c r="E10008" s="36"/>
      <c r="F10008" s="178"/>
      <c r="G10008" s="496"/>
      <c r="H10008" s="36"/>
      <c r="I10008" s="11"/>
    </row>
    <row r="10009" spans="1:12" ht="9" customHeight="1">
      <c r="A10009" s="684"/>
      <c r="B10009" s="150" t="s">
        <v>13404</v>
      </c>
      <c r="C10009" s="147"/>
      <c r="D10009" s="161"/>
      <c r="E10009" s="36"/>
      <c r="F10009" s="178"/>
      <c r="G10009" s="496"/>
      <c r="H10009" s="36"/>
      <c r="I10009" s="11"/>
    </row>
    <row r="10010" spans="1:12" ht="9" customHeight="1">
      <c r="A10010" s="684"/>
      <c r="B10010" s="150" t="s">
        <v>13405</v>
      </c>
      <c r="C10010" s="147"/>
      <c r="D10010" s="161"/>
      <c r="E10010" s="36"/>
      <c r="F10010" s="178"/>
      <c r="G10010" s="496"/>
      <c r="H10010" s="36"/>
      <c r="I10010" s="11"/>
    </row>
    <row r="10011" spans="1:12" ht="9" customHeight="1">
      <c r="A10011" s="684"/>
      <c r="B10011" s="150" t="s">
        <v>13406</v>
      </c>
      <c r="C10011" s="147"/>
      <c r="D10011" s="161"/>
      <c r="E10011" s="36"/>
      <c r="F10011" s="178"/>
      <c r="G10011" s="496"/>
      <c r="H10011" s="36"/>
      <c r="I10011" s="11"/>
    </row>
    <row r="10012" spans="1:12" ht="9" customHeight="1">
      <c r="A10012" s="684"/>
      <c r="B10012" s="152" t="s">
        <v>13407</v>
      </c>
      <c r="C10012" s="147"/>
      <c r="D10012" s="161"/>
      <c r="E10012" s="36"/>
      <c r="F10012" s="178"/>
      <c r="G10012" s="496"/>
      <c r="H10012" s="36"/>
      <c r="I10012" s="11"/>
    </row>
    <row r="10013" spans="1:12" ht="9" customHeight="1">
      <c r="A10013" s="684"/>
      <c r="B10013" s="209" t="s">
        <v>13408</v>
      </c>
      <c r="C10013" s="147"/>
      <c r="D10013" s="161"/>
      <c r="E10013" s="36"/>
      <c r="F10013" s="178"/>
      <c r="G10013" s="496"/>
      <c r="H10013" s="36"/>
      <c r="I10013" s="11"/>
    </row>
    <row r="10014" spans="1:12" ht="9" customHeight="1">
      <c r="A10014" s="684"/>
      <c r="B10014" s="216" t="s">
        <v>13409</v>
      </c>
      <c r="C10014" s="147"/>
      <c r="D10014" s="161"/>
      <c r="E10014" s="36"/>
      <c r="F10014" s="178"/>
      <c r="G10014" s="496"/>
      <c r="H10014" s="36"/>
      <c r="I10014" s="11"/>
    </row>
    <row r="10015" spans="1:12" ht="9" customHeight="1">
      <c r="A10015" s="684"/>
      <c r="B10015" s="209" t="s">
        <v>13410</v>
      </c>
      <c r="C10015" s="147"/>
      <c r="D10015" s="161"/>
      <c r="E10015" s="36"/>
      <c r="F10015" s="178"/>
      <c r="G10015" s="496"/>
      <c r="H10015" s="36"/>
      <c r="I10015" s="11"/>
    </row>
    <row r="10016" spans="1:12" ht="9" customHeight="1">
      <c r="A10016" s="684"/>
      <c r="B10016" s="150" t="s">
        <v>13411</v>
      </c>
      <c r="C10016" s="147"/>
      <c r="D10016" s="161"/>
      <c r="E10016" s="36"/>
      <c r="F10016" s="178"/>
      <c r="G10016" s="496"/>
      <c r="H10016" s="36"/>
      <c r="I10016" s="11"/>
    </row>
    <row r="10017" spans="1:12" ht="9" customHeight="1">
      <c r="A10017" s="684"/>
      <c r="B10017" s="150" t="s">
        <v>13412</v>
      </c>
      <c r="C10017" s="147"/>
      <c r="D10017" s="161"/>
      <c r="E10017" s="36"/>
      <c r="F10017" s="178"/>
      <c r="G10017" s="496"/>
      <c r="H10017" s="36"/>
      <c r="I10017" s="11"/>
    </row>
    <row r="10018" spans="1:12" ht="9" customHeight="1">
      <c r="A10018" s="684"/>
      <c r="B10018" s="150" t="s">
        <v>13413</v>
      </c>
      <c r="C10018" s="147"/>
      <c r="D10018" s="161"/>
      <c r="E10018" s="36"/>
      <c r="F10018" s="178"/>
      <c r="G10018" s="496"/>
      <c r="H10018" s="36"/>
      <c r="I10018" s="11"/>
    </row>
    <row r="10019" spans="1:12" ht="9" customHeight="1">
      <c r="A10019" s="684"/>
      <c r="B10019" s="150" t="s">
        <v>13414</v>
      </c>
      <c r="C10019" s="147"/>
      <c r="D10019" s="161"/>
      <c r="E10019" s="36"/>
      <c r="F10019" s="178"/>
      <c r="G10019" s="496"/>
      <c r="H10019" s="36"/>
      <c r="I10019" s="11"/>
    </row>
    <row r="10020" spans="1:12" ht="9" customHeight="1" thickBot="1">
      <c r="A10020" s="684"/>
      <c r="B10020" s="209" t="s">
        <v>13415</v>
      </c>
      <c r="C10020" s="147"/>
      <c r="D10020" s="161"/>
      <c r="E10020" s="36"/>
      <c r="F10020" s="178"/>
      <c r="G10020" s="496"/>
      <c r="H10020" s="36"/>
      <c r="I10020" s="11"/>
    </row>
    <row r="10021" spans="1:12" ht="11.15" customHeight="1">
      <c r="A10021" s="798" t="s">
        <v>13416</v>
      </c>
      <c r="B10021" s="154" t="s">
        <v>13208</v>
      </c>
      <c r="C10021" s="147"/>
      <c r="D10021" s="161"/>
      <c r="E10021" s="36"/>
      <c r="F10021" s="178"/>
      <c r="G10021" s="497"/>
      <c r="H10021" s="36"/>
      <c r="I10021" s="11"/>
    </row>
    <row r="10022" spans="1:12" ht="11.15" customHeight="1">
      <c r="A10022" s="1052" t="s">
        <v>13417</v>
      </c>
      <c r="B10022" s="59" t="s">
        <v>22125</v>
      </c>
      <c r="C10022" s="147" t="s">
        <v>20221</v>
      </c>
      <c r="D10022" s="284" t="s">
        <v>897</v>
      </c>
      <c r="E10022" s="178">
        <v>2019</v>
      </c>
      <c r="F10022" s="178" t="s">
        <v>4520</v>
      </c>
      <c r="G10022" s="496"/>
      <c r="H10022" s="994" t="s">
        <v>20221</v>
      </c>
      <c r="I10022" s="11" t="s">
        <v>13418</v>
      </c>
      <c r="J10022" s="1285"/>
      <c r="K10022" s="1285"/>
      <c r="L10022" s="1285"/>
    </row>
    <row r="10023" spans="1:12" ht="11.15" customHeight="1" thickBot="1">
      <c r="A10023" s="799" t="s">
        <v>13419</v>
      </c>
      <c r="B10023" s="59" t="s">
        <v>22126</v>
      </c>
      <c r="C10023" s="147" t="s">
        <v>20221</v>
      </c>
      <c r="D10023" s="284" t="s">
        <v>897</v>
      </c>
      <c r="E10023" s="178" t="s">
        <v>20221</v>
      </c>
      <c r="F10023" s="178" t="s">
        <v>4520</v>
      </c>
      <c r="G10023" s="496" t="s">
        <v>20221</v>
      </c>
      <c r="H10023" s="994" t="s">
        <v>3907</v>
      </c>
      <c r="I10023" s="11" t="s">
        <v>13421</v>
      </c>
      <c r="J10023" s="1285"/>
      <c r="K10023" s="1285"/>
      <c r="L10023" s="1285"/>
    </row>
    <row r="10024" spans="1:12" ht="11.15" customHeight="1">
      <c r="A10024" s="219" t="s">
        <v>13420</v>
      </c>
      <c r="B10024" s="154" t="s">
        <v>13423</v>
      </c>
      <c r="C10024" s="147"/>
      <c r="D10024" s="185"/>
      <c r="E10024" s="178" t="s">
        <v>20221</v>
      </c>
      <c r="F10024" s="185"/>
      <c r="G10024" s="185"/>
      <c r="H10024" s="185"/>
      <c r="I10024" s="11"/>
    </row>
    <row r="10025" spans="1:12" ht="11.15" customHeight="1">
      <c r="A10025" s="219" t="s">
        <v>13422</v>
      </c>
      <c r="B10025" s="59" t="s">
        <v>22107</v>
      </c>
      <c r="C10025" s="147" t="s">
        <v>20221</v>
      </c>
      <c r="D10025" s="284" t="s">
        <v>897</v>
      </c>
      <c r="E10025" s="178" t="s">
        <v>20221</v>
      </c>
      <c r="F10025" s="178" t="s">
        <v>11931</v>
      </c>
      <c r="G10025" s="496"/>
      <c r="H10025" s="994" t="s">
        <v>20224</v>
      </c>
      <c r="I10025" s="11" t="s">
        <v>13425</v>
      </c>
      <c r="J10025" s="1285"/>
      <c r="K10025" s="1285"/>
      <c r="L10025" s="1285"/>
    </row>
    <row r="10026" spans="1:12" ht="11.15" customHeight="1">
      <c r="A10026" s="219" t="s">
        <v>13424</v>
      </c>
      <c r="B10026" s="59" t="s">
        <v>13427</v>
      </c>
      <c r="C10026" s="147" t="s">
        <v>20221</v>
      </c>
      <c r="D10026" s="284" t="s">
        <v>897</v>
      </c>
      <c r="E10026" s="178">
        <v>2016</v>
      </c>
      <c r="F10026" s="178">
        <v>300</v>
      </c>
      <c r="G10026" s="496"/>
      <c r="H10026" s="994" t="s">
        <v>20224</v>
      </c>
      <c r="I10026" s="11" t="s">
        <v>23343</v>
      </c>
      <c r="J10026" s="1285"/>
      <c r="K10026" s="1285"/>
      <c r="L10026" s="1285"/>
    </row>
    <row r="10027" spans="1:12" ht="11.15" customHeight="1">
      <c r="A10027" s="219" t="s">
        <v>13426</v>
      </c>
      <c r="B10027" s="59" t="s">
        <v>22127</v>
      </c>
      <c r="C10027" s="147" t="s">
        <v>20221</v>
      </c>
      <c r="D10027" s="284" t="s">
        <v>897</v>
      </c>
      <c r="E10027" s="178" t="s">
        <v>20221</v>
      </c>
      <c r="F10027" s="178" t="s">
        <v>23419</v>
      </c>
      <c r="G10027" s="496"/>
      <c r="H10027" s="994" t="s">
        <v>20224</v>
      </c>
      <c r="I10027" s="11" t="s">
        <v>13428</v>
      </c>
      <c r="J10027" s="1285"/>
      <c r="K10027" s="1285"/>
      <c r="L10027" s="1285"/>
    </row>
    <row r="10028" spans="1:12" ht="11.25" customHeight="1">
      <c r="A10028" s="181" t="s">
        <v>7271</v>
      </c>
      <c r="B10028" s="154" t="s">
        <v>13430</v>
      </c>
      <c r="C10028" s="147"/>
      <c r="D10028" s="185"/>
      <c r="E10028" s="178" t="s">
        <v>20221</v>
      </c>
      <c r="F10028" s="185"/>
      <c r="G10028" s="185"/>
      <c r="H10028" s="185"/>
      <c r="I10028" s="11"/>
    </row>
    <row r="10029" spans="1:12" ht="11.25" customHeight="1">
      <c r="A10029" s="181" t="s">
        <v>13429</v>
      </c>
      <c r="B10029" s="59" t="s">
        <v>23183</v>
      </c>
      <c r="C10029" s="147" t="s">
        <v>20221</v>
      </c>
      <c r="D10029" s="1039" t="s">
        <v>6904</v>
      </c>
      <c r="E10029" s="178" t="s">
        <v>19060</v>
      </c>
      <c r="F10029" s="178" t="s">
        <v>23398</v>
      </c>
      <c r="G10029" s="496"/>
      <c r="H10029" s="994" t="s">
        <v>20224</v>
      </c>
      <c r="I10029" s="11" t="s">
        <v>13432</v>
      </c>
      <c r="J10029" s="1285"/>
      <c r="K10029" s="1285"/>
      <c r="L10029" s="1285"/>
    </row>
    <row r="10030" spans="1:12" ht="11.25" customHeight="1" thickBot="1">
      <c r="A10030" s="219" t="s">
        <v>13431</v>
      </c>
      <c r="B10030" s="185"/>
      <c r="C10030" s="147"/>
      <c r="D10030" s="129"/>
      <c r="E10030" s="185"/>
      <c r="F10030" s="185"/>
      <c r="G10030" s="185"/>
      <c r="H10030" s="185"/>
      <c r="I10030" s="11"/>
    </row>
    <row r="10031" spans="1:12" ht="11.25" customHeight="1">
      <c r="A10031" s="129" t="s">
        <v>13433</v>
      </c>
      <c r="B10031" s="685" t="s">
        <v>13435</v>
      </c>
      <c r="C10031" s="686"/>
      <c r="D10031" s="129"/>
      <c r="E10031" s="185"/>
      <c r="F10031" s="185"/>
      <c r="G10031" s="185"/>
      <c r="H10031" s="185"/>
      <c r="I10031" s="11"/>
    </row>
    <row r="10032" spans="1:12" ht="11.25" customHeight="1">
      <c r="A10032" s="162" t="s">
        <v>13434</v>
      </c>
      <c r="B10032" s="553" t="s">
        <v>13437</v>
      </c>
      <c r="C10032" s="687"/>
      <c r="D10032" s="129"/>
      <c r="E10032" s="185"/>
      <c r="F10032" s="185"/>
      <c r="G10032" s="185"/>
      <c r="H10032" s="185"/>
      <c r="I10032" s="11"/>
    </row>
    <row r="10033" spans="1:9" ht="11.25" customHeight="1">
      <c r="A10033" s="162" t="s">
        <v>13436</v>
      </c>
      <c r="B10033" s="553" t="s">
        <v>13439</v>
      </c>
      <c r="C10033" s="687"/>
      <c r="D10033" s="129"/>
      <c r="E10033" s="185"/>
      <c r="F10033" s="185"/>
      <c r="G10033" s="185"/>
      <c r="H10033" s="185"/>
      <c r="I10033" s="11"/>
    </row>
    <row r="10034" spans="1:9" ht="9" customHeight="1">
      <c r="A10034" s="428" t="s">
        <v>13438</v>
      </c>
      <c r="B10034" s="553" t="s">
        <v>13441</v>
      </c>
      <c r="C10034" s="687"/>
      <c r="D10034" s="129"/>
      <c r="E10034" s="185"/>
      <c r="F10034" s="185"/>
      <c r="G10034" s="185"/>
      <c r="H10034" s="185"/>
      <c r="I10034" s="11"/>
    </row>
    <row r="10035" spans="1:9" ht="9" customHeight="1">
      <c r="A10035" s="162" t="s">
        <v>13440</v>
      </c>
      <c r="B10035" s="553" t="s">
        <v>13443</v>
      </c>
      <c r="C10035" s="687"/>
      <c r="D10035" s="129"/>
      <c r="E10035" s="185"/>
      <c r="F10035" s="185"/>
      <c r="G10035" s="185"/>
      <c r="H10035" s="185"/>
      <c r="I10035" s="11"/>
    </row>
    <row r="10036" spans="1:9" ht="11.15" customHeight="1">
      <c r="A10036" s="162" t="s">
        <v>13442</v>
      </c>
      <c r="B10036" s="553" t="s">
        <v>13445</v>
      </c>
      <c r="C10036" s="687"/>
      <c r="D10036" s="129"/>
      <c r="E10036" s="185"/>
      <c r="F10036" s="185"/>
      <c r="G10036" s="185"/>
      <c r="H10036" s="185"/>
      <c r="I10036" s="11"/>
    </row>
    <row r="10037" spans="1:9" ht="9" customHeight="1">
      <c r="A10037" s="162" t="s">
        <v>13444</v>
      </c>
      <c r="B10037" s="553" t="s">
        <v>13446</v>
      </c>
      <c r="C10037" s="687"/>
      <c r="D10037" s="129"/>
      <c r="E10037" s="185"/>
      <c r="F10037" s="185"/>
      <c r="G10037" s="185"/>
      <c r="H10037" s="185"/>
      <c r="I10037" s="11"/>
    </row>
    <row r="10038" spans="1:9" ht="9" customHeight="1">
      <c r="A10038" s="129" t="s">
        <v>13430</v>
      </c>
      <c r="B10038" s="553" t="s">
        <v>13448</v>
      </c>
      <c r="C10038" s="687"/>
      <c r="D10038" s="129"/>
      <c r="E10038" s="185"/>
      <c r="F10038" s="185"/>
      <c r="G10038" s="185"/>
      <c r="H10038" s="185"/>
      <c r="I10038" s="11"/>
    </row>
    <row r="10039" spans="1:9" ht="9" customHeight="1">
      <c r="A10039" s="162" t="s">
        <v>13447</v>
      </c>
      <c r="B10039" s="553" t="s">
        <v>13450</v>
      </c>
      <c r="C10039" s="687"/>
      <c r="D10039" s="129"/>
      <c r="E10039" s="185"/>
      <c r="F10039" s="185"/>
      <c r="G10039" s="185"/>
      <c r="H10039" s="185"/>
      <c r="I10039" s="11"/>
    </row>
    <row r="10040" spans="1:9" ht="11.15" customHeight="1" thickBot="1">
      <c r="A10040" s="162" t="s">
        <v>13449</v>
      </c>
      <c r="B10040" s="635" t="s">
        <v>13452</v>
      </c>
      <c r="C10040" s="688"/>
      <c r="D10040" s="129"/>
      <c r="E10040" s="185"/>
      <c r="F10040" s="185"/>
      <c r="G10040" s="185"/>
      <c r="H10040" s="185"/>
      <c r="I10040" s="11"/>
    </row>
    <row r="10041" spans="1:9" ht="9" customHeight="1">
      <c r="A10041" s="162" t="s">
        <v>13451</v>
      </c>
      <c r="B10041" s="185"/>
      <c r="C10041" s="147"/>
      <c r="D10041" s="129"/>
      <c r="E10041" s="185"/>
      <c r="F10041" s="185"/>
      <c r="G10041" s="185"/>
      <c r="H10041" s="185"/>
      <c r="I10041" s="11"/>
    </row>
    <row r="10042" spans="1:9" ht="9" customHeight="1">
      <c r="A10042" s="129" t="s">
        <v>13453</v>
      </c>
      <c r="B10042" s="185"/>
      <c r="C10042" s="147"/>
      <c r="D10042" s="129"/>
      <c r="E10042" s="185"/>
      <c r="F10042" s="185"/>
      <c r="G10042" s="185"/>
      <c r="H10042" s="185"/>
      <c r="I10042" s="11"/>
    </row>
    <row r="10043" spans="1:9" ht="9" customHeight="1">
      <c r="A10043" s="162" t="s">
        <v>13454</v>
      </c>
      <c r="B10043" s="185"/>
      <c r="C10043" s="147"/>
      <c r="D10043" s="129"/>
      <c r="E10043" s="185"/>
      <c r="F10043" s="185"/>
      <c r="G10043" s="185"/>
      <c r="H10043" s="185"/>
      <c r="I10043" s="11"/>
    </row>
    <row r="10044" spans="1:9" ht="9" customHeight="1">
      <c r="A10044" s="162" t="s">
        <v>13455</v>
      </c>
      <c r="B10044" s="185"/>
      <c r="C10044" s="147"/>
      <c r="D10044" s="129"/>
      <c r="E10044" s="185"/>
      <c r="F10044" s="185"/>
      <c r="G10044" s="185"/>
      <c r="H10044" s="185"/>
      <c r="I10044" s="11"/>
    </row>
    <row r="10045" spans="1:9" ht="9" customHeight="1">
      <c r="A10045" s="162" t="s">
        <v>13456</v>
      </c>
      <c r="B10045" s="185"/>
      <c r="C10045" s="147"/>
      <c r="D10045" s="129"/>
      <c r="E10045" s="185"/>
      <c r="F10045" s="185"/>
      <c r="G10045" s="185"/>
      <c r="H10045" s="185"/>
      <c r="I10045" s="11"/>
    </row>
    <row r="10046" spans="1:9" ht="9" customHeight="1">
      <c r="A10046" s="162" t="s">
        <v>13457</v>
      </c>
      <c r="B10046" s="185"/>
      <c r="C10046" s="147"/>
      <c r="D10046" s="129"/>
      <c r="E10046" s="185"/>
      <c r="F10046" s="185"/>
      <c r="G10046" s="185"/>
      <c r="H10046" s="185"/>
      <c r="I10046" s="11"/>
    </row>
    <row r="10047" spans="1:9" ht="9" customHeight="1">
      <c r="A10047" s="220" t="s">
        <v>1308</v>
      </c>
      <c r="B10047" s="185"/>
      <c r="C10047" s="147"/>
      <c r="D10047" s="129"/>
      <c r="E10047" s="185"/>
      <c r="F10047" s="185"/>
      <c r="G10047" s="185"/>
      <c r="H10047" s="185"/>
      <c r="I10047" s="11"/>
    </row>
    <row r="10048" spans="1:9" ht="9" customHeight="1">
      <c r="A10048" s="422" t="s">
        <v>13458</v>
      </c>
      <c r="B10048" s="185"/>
      <c r="C10048" s="147"/>
      <c r="D10048" s="129"/>
      <c r="E10048" s="185"/>
      <c r="F10048" s="185"/>
      <c r="G10048" s="185"/>
      <c r="H10048" s="185"/>
      <c r="I10048" s="11"/>
    </row>
    <row r="10049" spans="1:9" ht="9" customHeight="1">
      <c r="A10049" s="422" t="s">
        <v>13459</v>
      </c>
      <c r="B10049" s="185"/>
      <c r="C10049" s="147"/>
      <c r="D10049" s="122"/>
      <c r="E10049" s="36"/>
      <c r="F10049" s="178"/>
      <c r="G10049" s="496"/>
      <c r="H10049" s="36"/>
      <c r="I10049" s="11"/>
    </row>
    <row r="10050" spans="1:9" ht="9" customHeight="1">
      <c r="A10050" s="422" t="s">
        <v>13460</v>
      </c>
      <c r="B10050" s="185"/>
      <c r="C10050" s="147"/>
      <c r="D10050" s="122"/>
      <c r="E10050" s="36"/>
      <c r="F10050" s="178"/>
      <c r="G10050" s="496"/>
      <c r="H10050" s="36"/>
      <c r="I10050" s="11"/>
    </row>
    <row r="10051" spans="1:9" ht="9" customHeight="1">
      <c r="A10051" s="162" t="s">
        <v>13461</v>
      </c>
      <c r="B10051" s="185"/>
      <c r="C10051" s="147"/>
      <c r="D10051" s="122"/>
      <c r="E10051" s="36"/>
      <c r="F10051" s="178"/>
      <c r="G10051" s="496"/>
      <c r="H10051" s="36"/>
      <c r="I10051" s="11"/>
    </row>
    <row r="10052" spans="1:9" ht="9" customHeight="1">
      <c r="A10052" s="162" t="s">
        <v>13462</v>
      </c>
      <c r="B10052" s="185"/>
      <c r="C10052" s="147"/>
      <c r="D10052" s="122"/>
      <c r="E10052" s="36"/>
      <c r="F10052" s="178"/>
      <c r="G10052" s="496"/>
      <c r="H10052" s="36"/>
      <c r="I10052" s="11"/>
    </row>
    <row r="10053" spans="1:9" ht="9" customHeight="1">
      <c r="A10053" s="422" t="s">
        <v>13463</v>
      </c>
      <c r="B10053" s="185"/>
      <c r="C10053" s="147"/>
      <c r="D10053" s="122"/>
      <c r="E10053" s="36"/>
      <c r="F10053" s="178"/>
      <c r="G10053" s="496"/>
      <c r="H10053" s="36"/>
      <c r="I10053" s="11"/>
    </row>
    <row r="10054" spans="1:9" ht="9" customHeight="1">
      <c r="A10054" s="162" t="s">
        <v>13464</v>
      </c>
      <c r="B10054" s="185"/>
      <c r="C10054" s="147"/>
      <c r="D10054" s="122"/>
      <c r="E10054" s="36"/>
      <c r="F10054" s="178"/>
      <c r="G10054" s="496"/>
      <c r="H10054" s="36"/>
      <c r="I10054" s="11"/>
    </row>
    <row r="10055" spans="1:9" ht="9" customHeight="1">
      <c r="A10055" s="422" t="s">
        <v>13465</v>
      </c>
      <c r="B10055" s="185"/>
      <c r="C10055" s="147"/>
      <c r="D10055" s="161"/>
      <c r="E10055" s="36"/>
      <c r="F10055" s="178"/>
      <c r="G10055" s="60"/>
      <c r="H10055" s="36"/>
      <c r="I10055" s="11"/>
    </row>
    <row r="10056" spans="1:9" ht="9" customHeight="1">
      <c r="A10056" s="422" t="s">
        <v>13466</v>
      </c>
      <c r="B10056" s="185"/>
      <c r="C10056" s="147"/>
      <c r="D10056" s="161"/>
      <c r="E10056" s="36"/>
      <c r="F10056" s="178"/>
      <c r="G10056" s="60"/>
      <c r="H10056" s="36"/>
      <c r="I10056" s="11"/>
    </row>
    <row r="10057" spans="1:9" ht="9" customHeight="1">
      <c r="A10057" s="422" t="s">
        <v>13467</v>
      </c>
      <c r="B10057" s="185"/>
      <c r="C10057" s="147"/>
      <c r="D10057" s="161"/>
      <c r="E10057" s="36"/>
      <c r="F10057" s="178"/>
      <c r="G10057" s="60"/>
      <c r="H10057" s="36"/>
      <c r="I10057" s="11"/>
    </row>
    <row r="10058" spans="1:9" ht="9" customHeight="1">
      <c r="A10058" s="422" t="s">
        <v>13468</v>
      </c>
      <c r="B10058" s="185"/>
      <c r="C10058" s="147"/>
      <c r="D10058" s="122"/>
      <c r="E10058" s="36"/>
      <c r="F10058" s="178"/>
      <c r="G10058" s="496"/>
      <c r="H10058" s="36"/>
      <c r="I10058" s="11"/>
    </row>
    <row r="10059" spans="1:9" ht="9" customHeight="1">
      <c r="A10059" s="422" t="s">
        <v>13469</v>
      </c>
      <c r="B10059" s="185"/>
      <c r="C10059" s="147"/>
      <c r="D10059" s="122"/>
      <c r="E10059" s="36"/>
      <c r="F10059" s="178"/>
      <c r="G10059" s="496"/>
      <c r="H10059" s="36"/>
      <c r="I10059" s="11"/>
    </row>
    <row r="10060" spans="1:9" ht="9" customHeight="1">
      <c r="A10060" s="162" t="s">
        <v>13470</v>
      </c>
      <c r="B10060" s="185"/>
      <c r="C10060" s="147"/>
      <c r="D10060" s="122"/>
      <c r="E10060" s="36"/>
      <c r="F10060" s="178"/>
      <c r="G10060" s="496"/>
      <c r="H10060" s="36"/>
      <c r="I10060" s="11"/>
    </row>
    <row r="10061" spans="1:9" ht="9" customHeight="1">
      <c r="A10061" s="162" t="s">
        <v>13471</v>
      </c>
      <c r="B10061" s="185"/>
      <c r="C10061" s="147"/>
      <c r="D10061" s="122"/>
      <c r="E10061" s="36"/>
      <c r="F10061" s="178"/>
      <c r="G10061" s="496"/>
      <c r="H10061" s="36"/>
      <c r="I10061" s="11"/>
    </row>
    <row r="10062" spans="1:9" ht="11.15" customHeight="1">
      <c r="A10062" s="422" t="s">
        <v>13472</v>
      </c>
      <c r="B10062" s="185"/>
      <c r="C10062" s="147"/>
      <c r="D10062" s="122"/>
      <c r="E10062" s="36"/>
      <c r="F10062" s="178"/>
      <c r="G10062" s="496"/>
      <c r="H10062" s="36"/>
      <c r="I10062" s="11"/>
    </row>
    <row r="10063" spans="1:9" ht="11.15" customHeight="1">
      <c r="A10063" s="422" t="s">
        <v>13473</v>
      </c>
      <c r="B10063" s="90"/>
      <c r="C10063" s="147"/>
      <c r="D10063" s="122"/>
      <c r="E10063" s="36"/>
      <c r="F10063" s="178"/>
      <c r="G10063" s="496"/>
      <c r="H10063" s="36"/>
      <c r="I10063" s="11"/>
    </row>
    <row r="10064" spans="1:9" ht="11.15" customHeight="1">
      <c r="A10064" s="422" t="s">
        <v>13474</v>
      </c>
      <c r="B10064" s="90"/>
      <c r="C10064" s="147"/>
      <c r="D10064" s="122"/>
      <c r="E10064" s="36"/>
      <c r="F10064" s="178"/>
      <c r="G10064" s="496"/>
      <c r="H10064" s="36"/>
      <c r="I10064" s="11"/>
    </row>
    <row r="10065" spans="1:9" ht="11.15" customHeight="1">
      <c r="A10065" s="219" t="s">
        <v>13475</v>
      </c>
      <c r="B10065" s="185"/>
      <c r="C10065" s="147"/>
      <c r="D10065" s="122"/>
      <c r="E10065" s="36"/>
      <c r="F10065" s="178"/>
      <c r="G10065" s="496"/>
      <c r="H10065" s="36"/>
      <c r="I10065" s="11"/>
    </row>
    <row r="10066" spans="1:9" ht="11.15" customHeight="1">
      <c r="A10066" s="166" t="s">
        <v>13476</v>
      </c>
      <c r="B10066" s="185"/>
      <c r="C10066" s="147"/>
      <c r="D10066" s="185"/>
      <c r="E10066" s="185"/>
      <c r="F10066" s="185"/>
      <c r="G10066" s="185"/>
      <c r="H10066" s="185"/>
      <c r="I10066" s="11"/>
    </row>
    <row r="10067" spans="1:9" ht="11.15" customHeight="1">
      <c r="A10067" s="239" t="s">
        <v>916</v>
      </c>
      <c r="B10067" s="185"/>
      <c r="C10067" s="147"/>
      <c r="D10067" s="122"/>
      <c r="E10067" s="36"/>
      <c r="F10067" s="178"/>
      <c r="G10067" s="496"/>
      <c r="H10067" s="36"/>
      <c r="I10067" s="11"/>
    </row>
    <row r="10068" spans="1:9" ht="11.15" customHeight="1">
      <c r="A10068" s="129" t="s">
        <v>13477</v>
      </c>
      <c r="B10068" s="185"/>
      <c r="C10068" s="147"/>
      <c r="D10068" s="122"/>
      <c r="E10068" s="36"/>
      <c r="F10068" s="178"/>
      <c r="G10068" s="496"/>
      <c r="H10068" s="36"/>
      <c r="I10068" s="11"/>
    </row>
    <row r="10069" spans="1:9" ht="11.15" customHeight="1" thickBot="1">
      <c r="A10069" s="29"/>
      <c r="B10069" s="185"/>
      <c r="C10069" s="147"/>
      <c r="D10069" s="122"/>
      <c r="E10069" s="36"/>
      <c r="F10069" s="178"/>
      <c r="G10069" s="496"/>
      <c r="H10069" s="36"/>
      <c r="I10069" s="11"/>
    </row>
    <row r="10070" spans="1:9" ht="24" customHeight="1" thickBot="1">
      <c r="A10070" s="549"/>
      <c r="B10070" s="64" t="s">
        <v>13478</v>
      </c>
      <c r="C10070" s="170"/>
      <c r="D10070" s="382"/>
      <c r="E10070" s="235"/>
      <c r="F10070" s="383"/>
      <c r="G10070" s="1249"/>
      <c r="H10070" s="1132"/>
      <c r="I10070" s="11"/>
    </row>
    <row r="10071" spans="1:9" ht="11.15" customHeight="1">
      <c r="A10071" s="512"/>
      <c r="B10071" s="413" t="s">
        <v>13479</v>
      </c>
      <c r="C10071" s="147"/>
      <c r="D10071" s="122"/>
      <c r="E10071" s="36"/>
      <c r="F10071" s="178"/>
      <c r="G10071" s="496"/>
      <c r="H10071" s="36"/>
      <c r="I10071" s="11"/>
    </row>
    <row r="10072" spans="1:9" ht="9" customHeight="1">
      <c r="A10072" s="185"/>
      <c r="B10072" s="150" t="s">
        <v>13480</v>
      </c>
      <c r="C10072" s="147"/>
      <c r="D10072" s="161"/>
      <c r="E10072" s="36"/>
      <c r="F10072" s="178"/>
      <c r="G10072" s="496"/>
      <c r="H10072" s="36"/>
      <c r="I10072" s="11"/>
    </row>
    <row r="10073" spans="1:9" ht="9" customHeight="1">
      <c r="A10073" s="185"/>
      <c r="B10073" s="150" t="s">
        <v>13481</v>
      </c>
      <c r="C10073" s="147"/>
      <c r="D10073" s="161"/>
      <c r="E10073" s="36"/>
      <c r="F10073" s="178"/>
      <c r="G10073" s="496"/>
      <c r="H10073" s="36"/>
      <c r="I10073" s="11"/>
    </row>
    <row r="10074" spans="1:9" ht="9" customHeight="1">
      <c r="A10074" s="185"/>
      <c r="B10074" s="150" t="s">
        <v>13482</v>
      </c>
      <c r="C10074" s="147"/>
      <c r="D10074" s="161"/>
      <c r="E10074" s="36"/>
      <c r="F10074" s="178"/>
      <c r="G10074" s="496"/>
      <c r="H10074" s="36"/>
      <c r="I10074" s="11"/>
    </row>
    <row r="10075" spans="1:9" ht="9" customHeight="1">
      <c r="A10075" s="185"/>
      <c r="B10075" s="150" t="s">
        <v>13483</v>
      </c>
      <c r="C10075" s="147"/>
      <c r="D10075" s="161"/>
      <c r="E10075" s="36"/>
      <c r="F10075" s="178"/>
      <c r="G10075" s="496"/>
      <c r="H10075" s="36"/>
      <c r="I10075" s="11"/>
    </row>
    <row r="10076" spans="1:9" ht="9" customHeight="1">
      <c r="A10076" s="185"/>
      <c r="B10076" s="150" t="s">
        <v>13484</v>
      </c>
      <c r="C10076" s="147"/>
      <c r="D10076" s="161"/>
      <c r="E10076" s="36"/>
      <c r="F10076" s="178"/>
      <c r="G10076" s="496"/>
      <c r="H10076" s="36"/>
      <c r="I10076" s="11"/>
    </row>
    <row r="10077" spans="1:9" ht="9" customHeight="1">
      <c r="A10077" s="185"/>
      <c r="B10077" s="150" t="s">
        <v>13485</v>
      </c>
      <c r="C10077" s="147"/>
      <c r="D10077" s="161"/>
      <c r="E10077" s="36"/>
      <c r="F10077" s="178"/>
      <c r="G10077" s="496"/>
      <c r="H10077" s="36"/>
      <c r="I10077" s="11"/>
    </row>
    <row r="10078" spans="1:9" ht="9" customHeight="1">
      <c r="A10078" s="185"/>
      <c r="B10078" s="209" t="s">
        <v>13486</v>
      </c>
      <c r="C10078" s="147"/>
      <c r="D10078" s="161"/>
      <c r="E10078" s="36"/>
      <c r="F10078" s="178"/>
      <c r="G10078" s="496"/>
      <c r="H10078" s="36"/>
      <c r="I10078" s="11"/>
    </row>
    <row r="10079" spans="1:9" ht="9" customHeight="1">
      <c r="A10079" s="185"/>
      <c r="B10079" s="209" t="s">
        <v>13487</v>
      </c>
      <c r="C10079" s="147"/>
      <c r="D10079" s="161"/>
      <c r="E10079" s="36"/>
      <c r="F10079" s="178"/>
      <c r="G10079" s="496"/>
      <c r="H10079" s="36"/>
      <c r="I10079" s="11"/>
    </row>
    <row r="10080" spans="1:9" ht="9" customHeight="1">
      <c r="A10080" s="185"/>
      <c r="B10080" s="209" t="s">
        <v>13488</v>
      </c>
      <c r="C10080" s="147"/>
      <c r="D10080" s="161"/>
      <c r="E10080" s="36"/>
      <c r="F10080" s="178"/>
      <c r="G10080" s="496"/>
      <c r="H10080" s="36"/>
      <c r="I10080" s="11"/>
    </row>
    <row r="10081" spans="1:12" ht="9" customHeight="1">
      <c r="A10081" s="185"/>
      <c r="B10081" s="209" t="s">
        <v>13489</v>
      </c>
      <c r="C10081" s="147"/>
      <c r="D10081" s="161"/>
      <c r="E10081" s="36"/>
      <c r="F10081" s="178"/>
      <c r="G10081" s="496"/>
      <c r="H10081" s="36"/>
      <c r="I10081" s="11"/>
    </row>
    <row r="10082" spans="1:12" ht="9" customHeight="1">
      <c r="A10082" s="185"/>
      <c r="B10082" s="209" t="s">
        <v>13490</v>
      </c>
      <c r="C10082" s="147"/>
      <c r="D10082" s="161"/>
      <c r="E10082" s="36"/>
      <c r="F10082" s="178"/>
      <c r="G10082" s="496"/>
      <c r="H10082" s="36"/>
      <c r="I10082" s="11"/>
    </row>
    <row r="10083" spans="1:12" ht="9" customHeight="1" thickBot="1">
      <c r="A10083" s="185"/>
      <c r="B10083" s="209" t="s">
        <v>13491</v>
      </c>
      <c r="C10083" s="147"/>
      <c r="D10083" s="161"/>
      <c r="E10083" s="36"/>
      <c r="F10083" s="178"/>
      <c r="G10083" s="496"/>
      <c r="H10083" s="36"/>
      <c r="I10083" s="11"/>
    </row>
    <row r="10084" spans="1:12" ht="11.15" customHeight="1" thickBot="1">
      <c r="A10084" s="349" t="s">
        <v>13492</v>
      </c>
      <c r="B10084" s="154" t="s">
        <v>13493</v>
      </c>
      <c r="C10084" s="147"/>
      <c r="D10084" s="185"/>
      <c r="E10084" s="185"/>
      <c r="F10084" s="185"/>
      <c r="G10084" s="185"/>
      <c r="H10084" s="185"/>
      <c r="I10084" s="11"/>
    </row>
    <row r="10085" spans="1:12" ht="11.15" customHeight="1">
      <c r="A10085" s="29" t="s">
        <v>13494</v>
      </c>
      <c r="B10085" s="59" t="s">
        <v>22130</v>
      </c>
      <c r="C10085" s="147" t="s">
        <v>20221</v>
      </c>
      <c r="D10085" s="284" t="s">
        <v>897</v>
      </c>
      <c r="E10085" s="178" t="s">
        <v>20221</v>
      </c>
      <c r="F10085" s="178" t="s">
        <v>23395</v>
      </c>
      <c r="G10085" s="496" t="s">
        <v>20221</v>
      </c>
      <c r="H10085" s="994" t="s">
        <v>3907</v>
      </c>
      <c r="I10085" s="11" t="s">
        <v>13495</v>
      </c>
      <c r="J10085" s="1285"/>
      <c r="K10085" s="1285"/>
      <c r="L10085" s="1285"/>
    </row>
    <row r="10086" spans="1:12" ht="11.15" customHeight="1">
      <c r="A10086" s="29" t="s">
        <v>13496</v>
      </c>
      <c r="B10086" s="154" t="s">
        <v>13497</v>
      </c>
      <c r="C10086" s="147"/>
      <c r="D10086" s="185"/>
      <c r="E10086" s="185"/>
      <c r="F10086" s="185"/>
      <c r="G10086" s="185"/>
      <c r="H10086" s="185"/>
      <c r="I10086" s="11"/>
    </row>
    <row r="10087" spans="1:12" ht="11.15" customHeight="1">
      <c r="A10087" s="29" t="s">
        <v>13498</v>
      </c>
      <c r="B10087" s="59" t="s">
        <v>22131</v>
      </c>
      <c r="C10087" s="147" t="s">
        <v>20221</v>
      </c>
      <c r="D10087" s="284" t="s">
        <v>897</v>
      </c>
      <c r="E10087" s="178">
        <v>2020</v>
      </c>
      <c r="F10087" s="178" t="s">
        <v>23395</v>
      </c>
      <c r="G10087" s="496"/>
      <c r="H10087" s="994" t="s">
        <v>20221</v>
      </c>
      <c r="I10087" s="11" t="s">
        <v>13499</v>
      </c>
      <c r="J10087" s="1285"/>
      <c r="K10087" s="1285"/>
      <c r="L10087" s="1285"/>
    </row>
    <row r="10088" spans="1:12" ht="11.15" customHeight="1">
      <c r="A10088" s="29" t="s">
        <v>13500</v>
      </c>
      <c r="B10088" s="59" t="s">
        <v>22131</v>
      </c>
      <c r="C10088" s="147" t="s">
        <v>20221</v>
      </c>
      <c r="D10088" s="284" t="s">
        <v>897</v>
      </c>
      <c r="E10088" s="178">
        <v>2015</v>
      </c>
      <c r="F10088" s="178" t="s">
        <v>23395</v>
      </c>
      <c r="G10088" s="496"/>
      <c r="H10088" s="994" t="s">
        <v>20221</v>
      </c>
      <c r="I10088" s="11" t="s">
        <v>13501</v>
      </c>
      <c r="J10088" s="1285"/>
      <c r="K10088" s="1285"/>
      <c r="L10088" s="1285"/>
    </row>
    <row r="10089" spans="1:12" ht="11.15" customHeight="1">
      <c r="A10089" s="29" t="s">
        <v>13502</v>
      </c>
      <c r="B10089" s="59" t="s">
        <v>22131</v>
      </c>
      <c r="C10089" s="147" t="s">
        <v>20221</v>
      </c>
      <c r="D10089" s="284" t="s">
        <v>897</v>
      </c>
      <c r="E10089" s="178">
        <v>2013</v>
      </c>
      <c r="F10089" s="178" t="s">
        <v>23395</v>
      </c>
      <c r="G10089" s="496"/>
      <c r="H10089" s="994" t="s">
        <v>20224</v>
      </c>
      <c r="I10089" s="11" t="s">
        <v>13503</v>
      </c>
      <c r="J10089" s="1285"/>
      <c r="K10089" s="1285"/>
      <c r="L10089" s="1285"/>
    </row>
    <row r="10090" spans="1:12" ht="11.15" customHeight="1">
      <c r="A10090" s="29" t="s">
        <v>13504</v>
      </c>
      <c r="B10090" s="574" t="s">
        <v>13505</v>
      </c>
      <c r="C10090" s="147"/>
      <c r="D10090" s="185"/>
      <c r="E10090" s="185"/>
      <c r="F10090" s="185"/>
      <c r="G10090" s="185"/>
      <c r="H10090" s="185"/>
      <c r="I10090" s="11"/>
    </row>
    <row r="10091" spans="1:12" ht="11.15" customHeight="1">
      <c r="A10091" s="218" t="s">
        <v>13506</v>
      </c>
      <c r="B10091" s="59" t="s">
        <v>22132</v>
      </c>
      <c r="C10091" s="147" t="s">
        <v>20221</v>
      </c>
      <c r="D10091" s="284" t="s">
        <v>897</v>
      </c>
      <c r="E10091" s="178">
        <v>2019</v>
      </c>
      <c r="F10091" s="178" t="s">
        <v>23395</v>
      </c>
      <c r="G10091" s="496"/>
      <c r="H10091" s="994" t="s">
        <v>20224</v>
      </c>
      <c r="I10091" s="11" t="s">
        <v>13507</v>
      </c>
      <c r="J10091" s="1285"/>
      <c r="K10091" s="1285"/>
      <c r="L10091" s="1285"/>
    </row>
    <row r="10092" spans="1:12" ht="11.15" customHeight="1">
      <c r="A10092" s="129" t="s">
        <v>903</v>
      </c>
      <c r="B10092" s="185"/>
      <c r="C10092" s="147"/>
      <c r="D10092" s="185"/>
      <c r="E10092" s="185"/>
      <c r="F10092" s="185"/>
      <c r="G10092" s="185"/>
      <c r="H10092" s="185"/>
      <c r="I10092" s="11"/>
    </row>
    <row r="10093" spans="1:12" ht="11.15" customHeight="1">
      <c r="A10093" s="162" t="s">
        <v>13508</v>
      </c>
      <c r="B10093" s="185"/>
      <c r="C10093" s="147"/>
      <c r="D10093" s="185"/>
      <c r="E10093" s="185"/>
      <c r="F10093" s="185"/>
      <c r="G10093" s="185"/>
      <c r="H10093" s="185"/>
      <c r="I10093" s="11"/>
    </row>
    <row r="10094" spans="1:12" ht="11.15" customHeight="1">
      <c r="A10094" s="162" t="s">
        <v>13509</v>
      </c>
      <c r="B10094" s="90"/>
      <c r="C10094" s="147"/>
      <c r="D10094" s="161"/>
      <c r="E10094" s="36"/>
      <c r="F10094" s="178"/>
      <c r="G10094" s="496"/>
      <c r="H10094" s="36"/>
      <c r="I10094" s="11"/>
    </row>
    <row r="10095" spans="1:12" ht="11.15" customHeight="1">
      <c r="A10095" s="162" t="s">
        <v>13510</v>
      </c>
      <c r="B10095" s="185"/>
      <c r="C10095" s="147"/>
      <c r="D10095" s="185"/>
      <c r="E10095" s="185"/>
      <c r="F10095" s="185"/>
      <c r="G10095" s="185"/>
      <c r="H10095" s="185"/>
      <c r="I10095" s="11"/>
    </row>
    <row r="10096" spans="1:12" ht="11.15" customHeight="1">
      <c r="A10096" s="162" t="s">
        <v>13511</v>
      </c>
      <c r="B10096" s="185"/>
      <c r="C10096" s="147"/>
      <c r="D10096" s="185"/>
      <c r="E10096" s="185"/>
      <c r="F10096" s="185"/>
      <c r="G10096" s="185"/>
      <c r="H10096" s="185"/>
      <c r="I10096" s="11"/>
    </row>
    <row r="10097" spans="1:12" ht="11.15" customHeight="1">
      <c r="A10097" s="162" t="s">
        <v>13512</v>
      </c>
      <c r="B10097" s="90"/>
      <c r="C10097" s="147"/>
      <c r="D10097" s="122"/>
      <c r="E10097" s="36"/>
      <c r="F10097" s="178"/>
      <c r="G10097" s="60"/>
      <c r="H10097" s="36"/>
      <c r="I10097" s="11"/>
    </row>
    <row r="10098" spans="1:12" ht="11.15" customHeight="1">
      <c r="A10098" s="129" t="s">
        <v>13513</v>
      </c>
      <c r="B10098" s="90"/>
      <c r="C10098" s="147"/>
      <c r="D10098" s="161"/>
      <c r="E10098" s="36"/>
      <c r="F10098" s="178"/>
      <c r="G10098" s="496"/>
      <c r="H10098" s="36"/>
      <c r="I10098" s="11"/>
    </row>
    <row r="10099" spans="1:12" ht="11.15" customHeight="1">
      <c r="A10099" s="162" t="s">
        <v>13514</v>
      </c>
      <c r="B10099" s="90"/>
      <c r="C10099" s="147"/>
      <c r="D10099" s="161"/>
      <c r="E10099" s="36"/>
      <c r="F10099" s="178"/>
      <c r="G10099" s="496"/>
      <c r="H10099" s="36"/>
      <c r="I10099" s="11"/>
    </row>
    <row r="10100" spans="1:12" ht="11.15" customHeight="1">
      <c r="A10100" s="162" t="s">
        <v>13515</v>
      </c>
      <c r="B10100" s="90"/>
      <c r="C10100" s="147"/>
      <c r="D10100" s="161"/>
      <c r="E10100" s="36"/>
      <c r="F10100" s="178"/>
      <c r="G10100" s="496"/>
      <c r="H10100" s="36"/>
      <c r="I10100" s="11"/>
    </row>
    <row r="10101" spans="1:12" ht="11.15" customHeight="1">
      <c r="A10101" s="162" t="s">
        <v>13516</v>
      </c>
      <c r="B10101" s="90"/>
      <c r="C10101" s="147"/>
      <c r="D10101" s="161"/>
      <c r="E10101" s="36"/>
      <c r="F10101" s="178"/>
      <c r="G10101" s="496"/>
      <c r="H10101" s="36"/>
      <c r="I10101" s="11"/>
    </row>
    <row r="10102" spans="1:12" ht="11.15" customHeight="1">
      <c r="A10102" s="29" t="s">
        <v>11862</v>
      </c>
      <c r="B10102" s="90"/>
      <c r="C10102" s="147"/>
      <c r="D10102" s="122"/>
      <c r="E10102" s="36"/>
      <c r="F10102" s="178"/>
      <c r="G10102" s="60"/>
      <c r="H10102" s="36"/>
      <c r="I10102" s="11"/>
    </row>
    <row r="10103" spans="1:12" ht="11.15" customHeight="1">
      <c r="A10103" s="166" t="s">
        <v>13517</v>
      </c>
      <c r="B10103" s="90"/>
      <c r="C10103" s="147"/>
      <c r="D10103" s="122"/>
      <c r="E10103" s="36"/>
      <c r="F10103" s="178"/>
      <c r="G10103" s="60"/>
      <c r="H10103" s="36"/>
      <c r="I10103" s="11"/>
    </row>
    <row r="10104" spans="1:12" ht="11.15" customHeight="1">
      <c r="A10104" s="129" t="s">
        <v>13518</v>
      </c>
      <c r="B10104" s="185"/>
      <c r="C10104" s="147"/>
      <c r="D10104" s="185"/>
      <c r="E10104" s="185"/>
      <c r="F10104" s="185"/>
      <c r="G10104" s="185"/>
      <c r="H10104" s="185"/>
      <c r="I10104" s="11"/>
    </row>
    <row r="10105" spans="1:12" ht="11.15" customHeight="1" thickBot="1">
      <c r="A10105" s="29"/>
      <c r="B10105" s="90"/>
      <c r="C10105" s="147"/>
      <c r="D10105" s="122"/>
      <c r="E10105" s="36"/>
      <c r="F10105" s="178"/>
      <c r="G10105" s="60"/>
      <c r="H10105" s="36"/>
      <c r="I10105" s="11"/>
    </row>
    <row r="10106" spans="1:12" ht="12" customHeight="1" thickBot="1">
      <c r="A10106" s="1176" t="s">
        <v>13519</v>
      </c>
      <c r="B10106" s="59" t="s">
        <v>22133</v>
      </c>
      <c r="C10106" s="147" t="s">
        <v>20221</v>
      </c>
      <c r="D10106" s="284" t="s">
        <v>897</v>
      </c>
      <c r="E10106" s="178">
        <v>2010</v>
      </c>
      <c r="F10106" s="178" t="s">
        <v>4520</v>
      </c>
      <c r="G10106" s="496"/>
      <c r="H10106" s="994" t="s">
        <v>20224</v>
      </c>
      <c r="I10106" s="11" t="s">
        <v>13520</v>
      </c>
      <c r="J10106" s="1285"/>
      <c r="K10106" s="1285"/>
      <c r="L10106" s="1285"/>
    </row>
    <row r="10107" spans="1:12" ht="11.15" customHeight="1">
      <c r="A10107" s="29" t="s">
        <v>13521</v>
      </c>
      <c r="B10107" s="59" t="s">
        <v>22134</v>
      </c>
      <c r="C10107" s="147" t="s">
        <v>20221</v>
      </c>
      <c r="D10107" s="284" t="s">
        <v>897</v>
      </c>
      <c r="E10107" s="178">
        <v>2010</v>
      </c>
      <c r="F10107" s="178" t="s">
        <v>4520</v>
      </c>
      <c r="G10107" s="496"/>
      <c r="H10107" s="994" t="s">
        <v>20221</v>
      </c>
      <c r="I10107" s="11" t="s">
        <v>13522</v>
      </c>
      <c r="J10107" s="1285"/>
      <c r="K10107" s="1285"/>
      <c r="L10107" s="1285"/>
    </row>
    <row r="10108" spans="1:12" ht="11.15" customHeight="1">
      <c r="A10108" s="29" t="s">
        <v>13523</v>
      </c>
      <c r="B10108" s="90"/>
      <c r="C10108" s="147"/>
      <c r="D10108" s="122"/>
      <c r="E10108" s="36"/>
      <c r="F10108" s="178"/>
      <c r="G10108" s="60"/>
      <c r="H10108" s="36"/>
      <c r="I10108" s="11"/>
    </row>
    <row r="10109" spans="1:12" ht="11.15" customHeight="1">
      <c r="A10109" s="29" t="s">
        <v>13524</v>
      </c>
      <c r="B10109" s="90"/>
      <c r="C10109" s="147"/>
      <c r="D10109" s="122"/>
      <c r="E10109" s="36"/>
      <c r="F10109" s="178"/>
      <c r="G10109" s="60"/>
      <c r="H10109" s="36"/>
      <c r="I10109" s="11"/>
    </row>
    <row r="10110" spans="1:12" ht="11.15" customHeight="1">
      <c r="A10110" s="29" t="s">
        <v>13525</v>
      </c>
      <c r="B10110" s="90"/>
      <c r="C10110" s="147"/>
      <c r="D10110" s="122"/>
      <c r="E10110" s="36"/>
      <c r="F10110" s="178"/>
      <c r="G10110" s="60"/>
      <c r="H10110" s="36"/>
      <c r="I10110" s="11"/>
    </row>
    <row r="10111" spans="1:12" ht="11.15" customHeight="1">
      <c r="A10111" s="29" t="s">
        <v>13526</v>
      </c>
      <c r="B10111" s="90"/>
      <c r="C10111" s="147"/>
      <c r="D10111" s="122"/>
      <c r="E10111" s="36"/>
      <c r="F10111" s="178"/>
      <c r="G10111" s="60"/>
      <c r="H10111" s="36"/>
      <c r="I10111" s="11"/>
    </row>
    <row r="10112" spans="1:12" ht="11.15" customHeight="1">
      <c r="A10112" s="29" t="s">
        <v>13527</v>
      </c>
      <c r="B10112" s="90"/>
      <c r="C10112" s="147"/>
      <c r="D10112" s="122"/>
      <c r="E10112" s="36"/>
      <c r="F10112" s="178"/>
      <c r="G10112" s="60"/>
      <c r="H10112" s="36"/>
      <c r="I10112" s="11"/>
    </row>
    <row r="10113" spans="1:12" ht="11.15" customHeight="1">
      <c r="A10113" s="166" t="s">
        <v>13528</v>
      </c>
      <c r="B10113" s="90"/>
      <c r="C10113" s="147"/>
      <c r="D10113" s="122"/>
      <c r="E10113" s="36"/>
      <c r="F10113" s="178"/>
      <c r="G10113" s="60"/>
      <c r="H10113" s="36"/>
      <c r="I10113" s="11"/>
    </row>
    <row r="10114" spans="1:12" ht="11.15" customHeight="1">
      <c r="A10114" s="129" t="s">
        <v>13529</v>
      </c>
      <c r="B10114" s="185"/>
      <c r="C10114" s="147"/>
      <c r="D10114" s="185"/>
      <c r="E10114" s="185"/>
      <c r="F10114" s="185"/>
      <c r="G10114" s="185"/>
      <c r="H10114" s="185"/>
      <c r="I10114" s="11"/>
    </row>
    <row r="10115" spans="1:12" ht="11.15" customHeight="1" thickBot="1">
      <c r="A10115" s="29"/>
      <c r="B10115" s="90"/>
      <c r="C10115" s="147"/>
      <c r="D10115" s="122"/>
      <c r="E10115" s="36"/>
      <c r="F10115" s="178"/>
      <c r="G10115" s="60"/>
      <c r="H10115" s="36"/>
      <c r="I10115" s="11"/>
    </row>
    <row r="10116" spans="1:12" ht="24" customHeight="1" thickBot="1">
      <c r="A10116" s="381"/>
      <c r="B10116" s="64" t="s">
        <v>13530</v>
      </c>
      <c r="C10116" s="170"/>
      <c r="D10116" s="382"/>
      <c r="E10116" s="235"/>
      <c r="F10116" s="383"/>
      <c r="G10116" s="1249"/>
      <c r="H10116" s="1132"/>
      <c r="I10116" s="11"/>
    </row>
    <row r="10117" spans="1:12" ht="11.15" customHeight="1" thickBot="1">
      <c r="A10117" s="184" t="s">
        <v>13531</v>
      </c>
      <c r="B10117" s="59" t="s">
        <v>22135</v>
      </c>
      <c r="C10117" s="147" t="s">
        <v>20221</v>
      </c>
      <c r="D10117" s="701" t="s">
        <v>884</v>
      </c>
      <c r="E10117" s="178">
        <v>2014</v>
      </c>
      <c r="F10117" s="178" t="s">
        <v>4520</v>
      </c>
      <c r="G10117" s="496"/>
      <c r="H10117" s="994" t="s">
        <v>20221</v>
      </c>
      <c r="I10117" s="11" t="s">
        <v>13532</v>
      </c>
      <c r="J10117" s="1285"/>
      <c r="K10117" s="1285"/>
      <c r="L10117" s="1285"/>
    </row>
    <row r="10118" spans="1:12" ht="11.15" customHeight="1">
      <c r="A10118" s="29" t="s">
        <v>13533</v>
      </c>
      <c r="B10118" s="59" t="s">
        <v>22136</v>
      </c>
      <c r="C10118" s="147" t="s">
        <v>20221</v>
      </c>
      <c r="D10118" s="284" t="s">
        <v>897</v>
      </c>
      <c r="E10118" s="178">
        <v>2012</v>
      </c>
      <c r="F10118" s="178" t="s">
        <v>23409</v>
      </c>
      <c r="G10118" s="496"/>
      <c r="H10118" s="994" t="s">
        <v>20221</v>
      </c>
      <c r="I10118" s="11" t="s">
        <v>13534</v>
      </c>
      <c r="J10118" s="1285"/>
      <c r="K10118" s="1285"/>
      <c r="L10118" s="1285"/>
    </row>
    <row r="10119" spans="1:12" ht="11.15" customHeight="1">
      <c r="A10119" s="29" t="s">
        <v>13535</v>
      </c>
      <c r="B10119" s="185"/>
      <c r="C10119" s="147"/>
      <c r="D10119" s="185"/>
      <c r="E10119" s="185"/>
      <c r="F10119" s="185"/>
      <c r="G10119" s="185"/>
      <c r="H10119" s="185"/>
      <c r="I10119" s="11"/>
    </row>
    <row r="10120" spans="1:12" ht="11.15" customHeight="1">
      <c r="A10120" s="181" t="s">
        <v>1595</v>
      </c>
      <c r="B10120" s="185"/>
      <c r="C10120" s="147"/>
      <c r="D10120" s="185"/>
      <c r="E10120" s="185"/>
      <c r="F10120" s="185"/>
      <c r="G10120" s="185"/>
      <c r="H10120" s="185"/>
      <c r="I10120" s="11"/>
    </row>
    <row r="10121" spans="1:12" ht="11.15" customHeight="1">
      <c r="A10121" s="29" t="s">
        <v>13536</v>
      </c>
      <c r="B10121" s="185"/>
      <c r="C10121" s="147"/>
      <c r="D10121" s="129"/>
      <c r="E10121" s="185"/>
      <c r="F10121" s="185"/>
      <c r="G10121" s="185"/>
      <c r="H10121" s="185"/>
      <c r="I10121" s="11"/>
    </row>
    <row r="10122" spans="1:12" ht="11.15" customHeight="1">
      <c r="A10122" s="212" t="s">
        <v>13537</v>
      </c>
      <c r="B10122" s="185"/>
      <c r="C10122" s="147"/>
      <c r="D10122" s="129"/>
      <c r="E10122" s="185"/>
      <c r="F10122" s="185"/>
      <c r="G10122" s="185"/>
      <c r="H10122" s="185"/>
      <c r="I10122" s="11"/>
    </row>
    <row r="10123" spans="1:12" ht="11.15" customHeight="1">
      <c r="A10123" s="129" t="s">
        <v>13538</v>
      </c>
      <c r="B10123" s="185"/>
      <c r="C10123" s="147"/>
      <c r="D10123" s="185"/>
      <c r="E10123" s="185"/>
      <c r="F10123" s="185"/>
      <c r="G10123" s="185"/>
      <c r="H10123" s="185"/>
      <c r="I10123" s="11"/>
    </row>
    <row r="10124" spans="1:12" ht="11.15" customHeight="1" thickBot="1">
      <c r="A10124" s="29"/>
      <c r="B10124" s="226"/>
      <c r="C10124" s="147"/>
      <c r="D10124" s="122"/>
      <c r="E10124" s="36"/>
      <c r="F10124" s="178"/>
      <c r="G10124" s="453"/>
      <c r="H10124" s="36"/>
      <c r="I10124" s="11"/>
    </row>
    <row r="10125" spans="1:12" ht="11.15" customHeight="1" thickBot="1">
      <c r="A10125" s="184" t="s">
        <v>13539</v>
      </c>
      <c r="B10125" s="59" t="s">
        <v>22137</v>
      </c>
      <c r="C10125" s="147" t="s">
        <v>20221</v>
      </c>
      <c r="D10125" s="284" t="s">
        <v>897</v>
      </c>
      <c r="E10125" s="178">
        <v>2015</v>
      </c>
      <c r="F10125" s="178" t="s">
        <v>4520</v>
      </c>
      <c r="G10125" s="496"/>
      <c r="H10125" s="994" t="s">
        <v>20221</v>
      </c>
      <c r="I10125" s="11" t="s">
        <v>13540</v>
      </c>
      <c r="J10125" s="1285"/>
      <c r="K10125" s="1285"/>
      <c r="L10125" s="1285"/>
    </row>
    <row r="10126" spans="1:12" ht="11.15" customHeight="1">
      <c r="A10126" s="29" t="s">
        <v>13541</v>
      </c>
      <c r="B10126" s="59" t="s">
        <v>22137</v>
      </c>
      <c r="C10126" s="147" t="s">
        <v>20221</v>
      </c>
      <c r="D10126" s="284" t="s">
        <v>897</v>
      </c>
      <c r="E10126" s="178">
        <v>2014</v>
      </c>
      <c r="F10126" s="178" t="s">
        <v>4520</v>
      </c>
      <c r="G10126" s="496"/>
      <c r="H10126" s="994" t="s">
        <v>20221</v>
      </c>
      <c r="I10126" s="11" t="s">
        <v>13542</v>
      </c>
      <c r="J10126" s="1285"/>
      <c r="K10126" s="1285"/>
      <c r="L10126" s="1285"/>
    </row>
    <row r="10127" spans="1:12" ht="11.15" customHeight="1">
      <c r="A10127" s="29" t="s">
        <v>13543</v>
      </c>
      <c r="B10127" s="90"/>
      <c r="C10127" s="147"/>
      <c r="D10127" s="161"/>
      <c r="E10127" s="36"/>
      <c r="F10127" s="178"/>
      <c r="G10127" s="496"/>
      <c r="H10127" s="36"/>
      <c r="I10127" s="11"/>
    </row>
    <row r="10128" spans="1:12" ht="11.15" customHeight="1">
      <c r="A10128" s="181" t="s">
        <v>13544</v>
      </c>
      <c r="B10128" s="90"/>
      <c r="C10128" s="147"/>
      <c r="D10128" s="161"/>
      <c r="E10128" s="36"/>
      <c r="F10128" s="178"/>
      <c r="G10128" s="496"/>
      <c r="H10128" s="36"/>
      <c r="I10128" s="11"/>
    </row>
    <row r="10129" spans="1:12" ht="11.15" customHeight="1">
      <c r="A10129" s="129" t="s">
        <v>1308</v>
      </c>
      <c r="B10129" s="90"/>
      <c r="C10129" s="147"/>
      <c r="D10129" s="161"/>
      <c r="E10129" s="36"/>
      <c r="F10129" s="178"/>
      <c r="G10129" s="496"/>
      <c r="H10129" s="36"/>
      <c r="I10129" s="11"/>
    </row>
    <row r="10130" spans="1:12" ht="11.15" customHeight="1">
      <c r="A10130" s="162" t="s">
        <v>13545</v>
      </c>
      <c r="B10130" s="90"/>
      <c r="C10130" s="147"/>
      <c r="D10130" s="161"/>
      <c r="E10130" s="36"/>
      <c r="F10130" s="178"/>
      <c r="G10130" s="496"/>
      <c r="H10130" s="36"/>
      <c r="I10130" s="11"/>
    </row>
    <row r="10131" spans="1:12" ht="11.15" customHeight="1">
      <c r="A10131" s="162" t="s">
        <v>13546</v>
      </c>
      <c r="B10131" s="90"/>
      <c r="C10131" s="147"/>
      <c r="D10131" s="161"/>
      <c r="E10131" s="36"/>
      <c r="F10131" s="178"/>
      <c r="G10131" s="496"/>
      <c r="H10131" s="36"/>
      <c r="I10131" s="11"/>
    </row>
    <row r="10132" spans="1:12" ht="11.15" customHeight="1">
      <c r="A10132" s="162" t="s">
        <v>13547</v>
      </c>
      <c r="B10132" s="90"/>
      <c r="C10132" s="147"/>
      <c r="D10132" s="161"/>
      <c r="E10132" s="36"/>
      <c r="F10132" s="178"/>
      <c r="G10132" s="496"/>
      <c r="H10132" s="36"/>
      <c r="I10132" s="11"/>
    </row>
    <row r="10133" spans="1:12" ht="11.15" customHeight="1">
      <c r="A10133" s="162" t="s">
        <v>13548</v>
      </c>
      <c r="B10133" s="90"/>
      <c r="C10133" s="147"/>
      <c r="D10133" s="161"/>
      <c r="E10133" s="36"/>
      <c r="F10133" s="178"/>
      <c r="G10133" s="496"/>
      <c r="H10133" s="36"/>
      <c r="I10133" s="11"/>
    </row>
    <row r="10134" spans="1:12" ht="11.15" customHeight="1">
      <c r="A10134" s="166" t="s">
        <v>13549</v>
      </c>
      <c r="B10134" s="90"/>
      <c r="C10134" s="147"/>
      <c r="D10134" s="122"/>
      <c r="E10134" s="36"/>
      <c r="F10134" s="178"/>
      <c r="G10134" s="60"/>
      <c r="H10134" s="36"/>
      <c r="I10134" s="11"/>
    </row>
    <row r="10135" spans="1:12" ht="11.15" customHeight="1">
      <c r="A10135" s="169" t="s">
        <v>11041</v>
      </c>
      <c r="B10135" s="226"/>
      <c r="C10135" s="147"/>
      <c r="D10135" s="159"/>
      <c r="E10135" s="36"/>
      <c r="F10135" s="183"/>
      <c r="G10135" s="496"/>
      <c r="H10135" s="34"/>
      <c r="I10135" s="11"/>
    </row>
    <row r="10136" spans="1:12" ht="11.15" customHeight="1">
      <c r="A10136" s="129" t="s">
        <v>13550</v>
      </c>
      <c r="B10136" s="185"/>
      <c r="C10136" s="147"/>
      <c r="D10136" s="185"/>
      <c r="E10136" s="185"/>
      <c r="F10136" s="185"/>
      <c r="G10136" s="185"/>
      <c r="H10136" s="185"/>
      <c r="I10136" s="11"/>
    </row>
    <row r="10137" spans="1:12" ht="11.15" customHeight="1">
      <c r="A10137" s="29"/>
      <c r="B10137" s="90"/>
      <c r="C10137" s="147"/>
      <c r="D10137" s="122"/>
      <c r="E10137" s="36"/>
      <c r="F10137" s="178"/>
      <c r="G10137" s="60"/>
      <c r="H10137" s="36"/>
      <c r="I10137" s="11"/>
    </row>
    <row r="10138" spans="1:12" ht="9" customHeight="1">
      <c r="A10138" s="185"/>
      <c r="B10138" s="150" t="s">
        <v>13551</v>
      </c>
      <c r="C10138" s="147"/>
      <c r="D10138" s="122"/>
      <c r="E10138" s="36"/>
      <c r="F10138" s="178"/>
      <c r="G10138" s="453"/>
      <c r="H10138" s="36"/>
      <c r="I10138" s="11"/>
    </row>
    <row r="10139" spans="1:12" ht="9" customHeight="1">
      <c r="A10139" s="185"/>
      <c r="B10139" s="150" t="s">
        <v>13552</v>
      </c>
      <c r="C10139" s="147"/>
      <c r="D10139" s="122"/>
      <c r="E10139" s="36"/>
      <c r="F10139" s="178"/>
      <c r="G10139" s="453"/>
      <c r="H10139" s="36"/>
      <c r="I10139" s="11"/>
    </row>
    <row r="10140" spans="1:12" ht="9" customHeight="1" thickBot="1">
      <c r="A10140" s="279"/>
      <c r="B10140" s="152" t="s">
        <v>13553</v>
      </c>
      <c r="C10140" s="147"/>
      <c r="D10140" s="122"/>
      <c r="E10140" s="36"/>
      <c r="F10140" s="178"/>
      <c r="G10140" s="453"/>
      <c r="H10140" s="36"/>
      <c r="I10140" s="11"/>
    </row>
    <row r="10141" spans="1:12" ht="11.15" customHeight="1">
      <c r="A10141" s="153" t="s">
        <v>13554</v>
      </c>
      <c r="B10141" s="154" t="s">
        <v>13555</v>
      </c>
      <c r="C10141" s="147"/>
      <c r="D10141" s="129"/>
      <c r="E10141" s="36"/>
      <c r="F10141" s="178"/>
      <c r="G10141" s="671"/>
      <c r="H10141" s="36"/>
      <c r="I10141" s="11"/>
    </row>
    <row r="10142" spans="1:12" ht="11.15" customHeight="1" thickBot="1">
      <c r="A10142" s="230" t="s">
        <v>13556</v>
      </c>
      <c r="B10142" s="59" t="s">
        <v>22139</v>
      </c>
      <c r="C10142" s="147" t="s">
        <v>20221</v>
      </c>
      <c r="D10142" s="701" t="s">
        <v>1129</v>
      </c>
      <c r="E10142" s="178">
        <v>2019</v>
      </c>
      <c r="F10142" s="178" t="s">
        <v>4520</v>
      </c>
      <c r="G10142" s="496"/>
      <c r="H10142" s="994" t="s">
        <v>20221</v>
      </c>
      <c r="I10142" s="11" t="s">
        <v>13557</v>
      </c>
      <c r="J10142" s="1285"/>
      <c r="K10142" s="1285"/>
      <c r="L10142" s="1285"/>
    </row>
    <row r="10143" spans="1:12" ht="11.15" customHeight="1">
      <c r="A10143" s="29" t="s">
        <v>13558</v>
      </c>
      <c r="B10143" s="59" t="s">
        <v>22140</v>
      </c>
      <c r="C10143" s="147" t="s">
        <v>20221</v>
      </c>
      <c r="D10143" s="284" t="s">
        <v>897</v>
      </c>
      <c r="E10143" s="178">
        <v>2019</v>
      </c>
      <c r="F10143" s="178" t="s">
        <v>4520</v>
      </c>
      <c r="G10143" s="496"/>
      <c r="H10143" s="994" t="s">
        <v>20221</v>
      </c>
      <c r="I10143" s="11" t="s">
        <v>13559</v>
      </c>
      <c r="J10143" s="1285"/>
      <c r="K10143" s="1285"/>
      <c r="L10143" s="1285"/>
    </row>
    <row r="10144" spans="1:12" ht="11.15" customHeight="1">
      <c r="A10144" s="29" t="s">
        <v>13560</v>
      </c>
      <c r="B10144" s="154" t="s">
        <v>13561</v>
      </c>
      <c r="C10144" s="147"/>
      <c r="D10144" s="129"/>
      <c r="E10144" s="185"/>
      <c r="F10144" s="185"/>
      <c r="G10144" s="185"/>
      <c r="H10144" s="185"/>
      <c r="I10144" s="11"/>
    </row>
    <row r="10145" spans="1:12" ht="11.15" customHeight="1">
      <c r="A10145" s="29" t="s">
        <v>13562</v>
      </c>
      <c r="B10145" s="59" t="s">
        <v>22141</v>
      </c>
      <c r="C10145" s="147" t="s">
        <v>20221</v>
      </c>
      <c r="D10145" s="284" t="s">
        <v>897</v>
      </c>
      <c r="E10145" s="178">
        <v>2014</v>
      </c>
      <c r="F10145" s="178" t="s">
        <v>4520</v>
      </c>
      <c r="G10145" s="496"/>
      <c r="H10145" s="994" t="s">
        <v>20221</v>
      </c>
      <c r="I10145" s="11" t="s">
        <v>13563</v>
      </c>
      <c r="J10145" s="1285"/>
      <c r="K10145" s="1285"/>
      <c r="L10145" s="1285"/>
    </row>
    <row r="10146" spans="1:12" ht="11.15" customHeight="1">
      <c r="A10146" s="29" t="s">
        <v>13564</v>
      </c>
      <c r="B10146" s="59" t="s">
        <v>22142</v>
      </c>
      <c r="C10146" s="147" t="s">
        <v>20221</v>
      </c>
      <c r="D10146" s="284" t="s">
        <v>897</v>
      </c>
      <c r="E10146" s="178">
        <v>2014</v>
      </c>
      <c r="F10146" s="178" t="s">
        <v>4520</v>
      </c>
      <c r="G10146" s="496"/>
      <c r="H10146" s="994" t="s">
        <v>20221</v>
      </c>
      <c r="I10146" s="11" t="s">
        <v>13565</v>
      </c>
      <c r="J10146" s="1285"/>
      <c r="K10146" s="1285"/>
      <c r="L10146" s="1285"/>
    </row>
    <row r="10147" spans="1:12" ht="11.15" customHeight="1">
      <c r="A10147" s="218" t="s">
        <v>1595</v>
      </c>
      <c r="B10147" s="90"/>
      <c r="C10147" s="147"/>
      <c r="D10147" s="161"/>
      <c r="E10147" s="36"/>
      <c r="F10147" s="183"/>
      <c r="G10147" s="671"/>
      <c r="H10147" s="34"/>
      <c r="I10147" s="11"/>
    </row>
    <row r="10148" spans="1:12" ht="11.15" customHeight="1">
      <c r="A10148" s="29" t="s">
        <v>12525</v>
      </c>
      <c r="B10148" s="90"/>
      <c r="C10148" s="147"/>
      <c r="D10148" s="161"/>
      <c r="E10148" s="36"/>
      <c r="F10148" s="183"/>
      <c r="G10148" s="671"/>
      <c r="H10148" s="34"/>
      <c r="I10148" s="11"/>
    </row>
    <row r="10149" spans="1:12" ht="11.15" customHeight="1">
      <c r="A10149" s="129" t="s">
        <v>1077</v>
      </c>
      <c r="B10149" s="90"/>
      <c r="C10149" s="147"/>
      <c r="D10149" s="161"/>
      <c r="E10149" s="36"/>
      <c r="F10149" s="183"/>
      <c r="G10149" s="671"/>
      <c r="H10149" s="34"/>
      <c r="I10149" s="11"/>
    </row>
    <row r="10150" spans="1:12" ht="11.15" customHeight="1">
      <c r="A10150" s="162" t="s">
        <v>13566</v>
      </c>
      <c r="B10150" s="689"/>
      <c r="C10150" s="147"/>
      <c r="D10150" s="161"/>
      <c r="E10150" s="36"/>
      <c r="F10150" s="183"/>
      <c r="G10150" s="671"/>
      <c r="H10150" s="34"/>
      <c r="I10150" s="11"/>
    </row>
    <row r="10151" spans="1:12" ht="11.15" customHeight="1">
      <c r="A10151" s="162" t="s">
        <v>13567</v>
      </c>
      <c r="B10151" s="185"/>
      <c r="C10151" s="147"/>
      <c r="D10151" s="129"/>
      <c r="E10151" s="185"/>
      <c r="F10151" s="185"/>
      <c r="G10151" s="185"/>
      <c r="H10151" s="185"/>
      <c r="I10151" s="11"/>
    </row>
    <row r="10152" spans="1:12" ht="11.15" customHeight="1">
      <c r="A10152" s="129" t="s">
        <v>13568</v>
      </c>
      <c r="B10152" s="177"/>
      <c r="C10152" s="147"/>
      <c r="D10152" s="129"/>
      <c r="E10152" s="185"/>
      <c r="F10152" s="185"/>
      <c r="G10152" s="185"/>
      <c r="H10152" s="185"/>
      <c r="I10152" s="11"/>
    </row>
    <row r="10153" spans="1:12" ht="11.15" customHeight="1" thickBot="1">
      <c r="A10153" s="219"/>
      <c r="B10153" s="185"/>
      <c r="C10153" s="147"/>
      <c r="D10153" s="129"/>
      <c r="E10153" s="185"/>
      <c r="F10153" s="185"/>
      <c r="G10153" s="185"/>
      <c r="H10153" s="185"/>
      <c r="I10153" s="11"/>
    </row>
    <row r="10154" spans="1:12" ht="11.15" customHeight="1" thickBot="1">
      <c r="A10154" s="184" t="s">
        <v>13569</v>
      </c>
      <c r="B10154" s="177" t="s">
        <v>13570</v>
      </c>
      <c r="C10154" s="147"/>
      <c r="D10154" s="185"/>
      <c r="E10154" s="185"/>
      <c r="F10154" s="185"/>
      <c r="G10154" s="185"/>
      <c r="H10154" s="185"/>
      <c r="I10154" s="11"/>
    </row>
    <row r="10155" spans="1:12" ht="11.15" customHeight="1">
      <c r="A10155" s="29" t="s">
        <v>13571</v>
      </c>
      <c r="B10155" s="59" t="s">
        <v>22143</v>
      </c>
      <c r="C10155" s="147" t="s">
        <v>20221</v>
      </c>
      <c r="D10155" s="701" t="s">
        <v>1129</v>
      </c>
      <c r="E10155" s="178">
        <v>2018</v>
      </c>
      <c r="F10155" s="178" t="s">
        <v>23395</v>
      </c>
      <c r="G10155" s="496"/>
      <c r="H10155" s="994" t="s">
        <v>20221</v>
      </c>
      <c r="I10155" s="11" t="s">
        <v>13572</v>
      </c>
      <c r="J10155" s="1285"/>
      <c r="K10155" s="1285"/>
      <c r="L10155" s="1285"/>
    </row>
    <row r="10156" spans="1:12" ht="11.15" customHeight="1">
      <c r="A10156" s="29" t="s">
        <v>13573</v>
      </c>
      <c r="B10156" s="59" t="s">
        <v>22143</v>
      </c>
      <c r="C10156" s="147" t="s">
        <v>20221</v>
      </c>
      <c r="D10156" s="701" t="s">
        <v>1129</v>
      </c>
      <c r="E10156" s="178">
        <v>2017</v>
      </c>
      <c r="F10156" s="178" t="s">
        <v>23395</v>
      </c>
      <c r="G10156" s="496"/>
      <c r="H10156" s="994" t="s">
        <v>20221</v>
      </c>
      <c r="I10156" s="11" t="s">
        <v>13574</v>
      </c>
      <c r="J10156" s="1285"/>
      <c r="K10156" s="1285"/>
      <c r="L10156" s="1285"/>
    </row>
    <row r="10157" spans="1:12" ht="11.15" customHeight="1">
      <c r="A10157" s="29" t="s">
        <v>13575</v>
      </c>
      <c r="B10157" s="59" t="s">
        <v>22144</v>
      </c>
      <c r="C10157" s="147" t="s">
        <v>20221</v>
      </c>
      <c r="D10157" s="701" t="s">
        <v>1129</v>
      </c>
      <c r="E10157" s="178">
        <v>2011</v>
      </c>
      <c r="F10157" s="178" t="s">
        <v>4520</v>
      </c>
      <c r="G10157" s="496"/>
      <c r="H10157" s="994" t="s">
        <v>20277</v>
      </c>
      <c r="I10157" s="11" t="s">
        <v>13577</v>
      </c>
      <c r="J10157" s="1285"/>
      <c r="K10157" s="1285"/>
      <c r="L10157" s="1285"/>
    </row>
    <row r="10158" spans="1:12" ht="11.15" customHeight="1">
      <c r="A10158" s="181" t="s">
        <v>13576</v>
      </c>
      <c r="B10158" s="177" t="s">
        <v>11253</v>
      </c>
      <c r="C10158" s="147"/>
      <c r="D10158" s="122"/>
      <c r="E10158" s="36"/>
      <c r="F10158" s="178"/>
      <c r="G10158" s="453"/>
      <c r="H10158" s="36"/>
      <c r="I10158" s="11"/>
    </row>
    <row r="10159" spans="1:12" ht="11.15" customHeight="1">
      <c r="A10159" s="29" t="s">
        <v>13578</v>
      </c>
      <c r="B10159" s="59" t="s">
        <v>22145</v>
      </c>
      <c r="C10159" s="147" t="s">
        <v>20221</v>
      </c>
      <c r="D10159" s="284" t="s">
        <v>897</v>
      </c>
      <c r="E10159" s="178">
        <v>2016</v>
      </c>
      <c r="F10159" s="178" t="s">
        <v>23395</v>
      </c>
      <c r="G10159" s="496"/>
      <c r="H10159" s="994" t="s">
        <v>20221</v>
      </c>
      <c r="I10159" s="11" t="s">
        <v>13580</v>
      </c>
      <c r="J10159" s="1285"/>
      <c r="K10159" s="1285"/>
      <c r="L10159" s="1285"/>
    </row>
    <row r="10160" spans="1:12" ht="11.15" customHeight="1">
      <c r="A10160" s="29" t="s">
        <v>13579</v>
      </c>
      <c r="B10160" s="185"/>
      <c r="C10160" s="147"/>
      <c r="D10160" s="185"/>
      <c r="E10160" s="185"/>
      <c r="F10160" s="185"/>
      <c r="G10160" s="185"/>
      <c r="H10160" s="185"/>
      <c r="I10160" s="11"/>
    </row>
    <row r="10161" spans="1:12" ht="11.15" customHeight="1">
      <c r="A10161" s="162" t="s">
        <v>13581</v>
      </c>
      <c r="B10161" s="185"/>
      <c r="C10161" s="147"/>
      <c r="D10161" s="185"/>
      <c r="E10161" s="185"/>
      <c r="F10161" s="185"/>
      <c r="G10161" s="185"/>
      <c r="H10161" s="185"/>
      <c r="I10161" s="11"/>
    </row>
    <row r="10162" spans="1:12" ht="11.15" customHeight="1">
      <c r="A10162" s="162" t="s">
        <v>13582</v>
      </c>
      <c r="B10162" s="185"/>
      <c r="C10162" s="147"/>
      <c r="D10162" s="185"/>
      <c r="E10162" s="185"/>
      <c r="F10162" s="185"/>
      <c r="G10162" s="185"/>
      <c r="H10162" s="185"/>
      <c r="I10162" s="11"/>
    </row>
    <row r="10163" spans="1:12" ht="11.15" customHeight="1">
      <c r="A10163" s="162" t="s">
        <v>13583</v>
      </c>
      <c r="B10163" s="185"/>
      <c r="C10163" s="147"/>
      <c r="D10163" s="129"/>
      <c r="E10163" s="185"/>
      <c r="F10163" s="185"/>
      <c r="G10163" s="185"/>
      <c r="H10163" s="185"/>
      <c r="I10163" s="11"/>
    </row>
    <row r="10164" spans="1:12" ht="11.15" customHeight="1">
      <c r="A10164" s="29" t="s">
        <v>13584</v>
      </c>
      <c r="B10164" s="690"/>
      <c r="C10164" s="147"/>
      <c r="D10164" s="122"/>
      <c r="E10164" s="36"/>
      <c r="F10164" s="178"/>
      <c r="G10164" s="453"/>
      <c r="H10164" s="36"/>
      <c r="I10164" s="11"/>
    </row>
    <row r="10165" spans="1:12" ht="11.15" customHeight="1">
      <c r="A10165" s="181" t="s">
        <v>950</v>
      </c>
      <c r="B10165" s="690"/>
      <c r="C10165" s="147"/>
      <c r="D10165" s="122"/>
      <c r="E10165" s="36"/>
      <c r="F10165" s="178"/>
      <c r="G10165" s="453"/>
      <c r="H10165" s="36"/>
      <c r="I10165" s="11"/>
    </row>
    <row r="10166" spans="1:12" ht="11.15" customHeight="1">
      <c r="A10166" s="212" t="s">
        <v>13585</v>
      </c>
      <c r="B10166" s="226"/>
      <c r="C10166" s="147"/>
      <c r="D10166" s="159"/>
      <c r="E10166" s="36"/>
      <c r="F10166" s="183"/>
      <c r="G10166" s="496"/>
      <c r="H10166" s="34"/>
      <c r="I10166" s="11"/>
    </row>
    <row r="10167" spans="1:12" ht="11.15" customHeight="1">
      <c r="A10167" s="169" t="s">
        <v>11041</v>
      </c>
      <c r="B10167" s="177"/>
      <c r="C10167" s="147"/>
      <c r="D10167" s="129"/>
      <c r="E10167" s="185"/>
      <c r="F10167" s="185"/>
      <c r="G10167" s="185"/>
      <c r="H10167" s="185"/>
      <c r="I10167" s="11"/>
    </row>
    <row r="10168" spans="1:12" ht="11.15" customHeight="1">
      <c r="A10168" s="129" t="s">
        <v>13586</v>
      </c>
      <c r="B10168" s="690"/>
      <c r="C10168" s="147"/>
      <c r="D10168" s="122"/>
      <c r="E10168" s="36"/>
      <c r="F10168" s="178"/>
      <c r="G10168" s="453"/>
      <c r="H10168" s="36"/>
      <c r="I10168" s="11"/>
    </row>
    <row r="10169" spans="1:12" ht="11.15" customHeight="1" thickBot="1">
      <c r="A10169" s="29"/>
      <c r="B10169" s="690"/>
      <c r="C10169" s="147"/>
      <c r="D10169" s="122"/>
      <c r="E10169" s="36"/>
      <c r="F10169" s="178"/>
      <c r="G10169" s="453"/>
      <c r="H10169" s="36"/>
      <c r="I10169" s="11"/>
    </row>
    <row r="10170" spans="1:12" ht="11.15" customHeight="1">
      <c r="A10170" s="153" t="s">
        <v>13587</v>
      </c>
      <c r="B10170" s="154" t="s">
        <v>11372</v>
      </c>
      <c r="C10170" s="147"/>
      <c r="D10170" s="185"/>
      <c r="E10170" s="185"/>
      <c r="F10170" s="185"/>
      <c r="G10170" s="185"/>
      <c r="H10170" s="185"/>
      <c r="I10170" s="11"/>
    </row>
    <row r="10171" spans="1:12" ht="11.15" customHeight="1" thickBot="1">
      <c r="A10171" s="230" t="s">
        <v>13588</v>
      </c>
      <c r="B10171" s="59" t="s">
        <v>22147</v>
      </c>
      <c r="C10171" s="147" t="s">
        <v>20221</v>
      </c>
      <c r="D10171" s="701" t="s">
        <v>1129</v>
      </c>
      <c r="E10171" s="178">
        <v>2015</v>
      </c>
      <c r="F10171" s="178" t="s">
        <v>4520</v>
      </c>
      <c r="G10171" s="496"/>
      <c r="H10171" s="994" t="s">
        <v>20221</v>
      </c>
      <c r="I10171" s="11" t="s">
        <v>13589</v>
      </c>
      <c r="J10171" s="1285"/>
      <c r="K10171" s="1285"/>
      <c r="L10171" s="1285"/>
    </row>
    <row r="10172" spans="1:12" ht="11.15" customHeight="1">
      <c r="A10172" s="29" t="s">
        <v>13590</v>
      </c>
      <c r="B10172" s="59" t="s">
        <v>22148</v>
      </c>
      <c r="C10172" s="147" t="s">
        <v>20221</v>
      </c>
      <c r="D10172" s="701" t="s">
        <v>1129</v>
      </c>
      <c r="E10172" s="178">
        <v>2015</v>
      </c>
      <c r="F10172" s="178" t="s">
        <v>9678</v>
      </c>
      <c r="G10172" s="496"/>
      <c r="H10172" s="994" t="s">
        <v>20224</v>
      </c>
      <c r="I10172" s="11" t="s">
        <v>13591</v>
      </c>
      <c r="J10172" s="1285"/>
      <c r="K10172" s="1285"/>
      <c r="L10172" s="1285"/>
    </row>
    <row r="10173" spans="1:12" ht="11.15" customHeight="1">
      <c r="A10173" s="29" t="s">
        <v>13592</v>
      </c>
      <c r="B10173" s="59" t="s">
        <v>22148</v>
      </c>
      <c r="C10173" s="147" t="s">
        <v>20221</v>
      </c>
      <c r="D10173" s="701" t="s">
        <v>1129</v>
      </c>
      <c r="E10173" s="178">
        <v>2013</v>
      </c>
      <c r="F10173" s="178" t="s">
        <v>9678</v>
      </c>
      <c r="G10173" s="496"/>
      <c r="H10173" s="994" t="s">
        <v>20224</v>
      </c>
      <c r="I10173" s="11" t="s">
        <v>13593</v>
      </c>
      <c r="J10173" s="1285"/>
      <c r="K10173" s="1285"/>
      <c r="L10173" s="1285"/>
    </row>
    <row r="10174" spans="1:12" ht="11.15" customHeight="1">
      <c r="A10174" s="29" t="s">
        <v>13594</v>
      </c>
      <c r="B10174" s="154" t="s">
        <v>13595</v>
      </c>
      <c r="C10174" s="147"/>
      <c r="D10174" s="185"/>
      <c r="E10174" s="185"/>
      <c r="F10174" s="185"/>
      <c r="G10174" s="185"/>
      <c r="H10174" s="185"/>
      <c r="I10174" s="11"/>
    </row>
    <row r="10175" spans="1:12" ht="11.15" customHeight="1">
      <c r="A10175" s="29" t="s">
        <v>13596</v>
      </c>
      <c r="B10175" s="59" t="s">
        <v>22149</v>
      </c>
      <c r="C10175" s="147" t="s">
        <v>20221</v>
      </c>
      <c r="D10175" s="284" t="s">
        <v>897</v>
      </c>
      <c r="E10175" s="178">
        <v>2015</v>
      </c>
      <c r="F10175" s="178" t="s">
        <v>4520</v>
      </c>
      <c r="G10175" s="496"/>
      <c r="H10175" s="994" t="s">
        <v>20221</v>
      </c>
      <c r="I10175" s="11" t="s">
        <v>13597</v>
      </c>
      <c r="J10175" s="1285"/>
      <c r="K10175" s="1285"/>
      <c r="L10175" s="1285"/>
    </row>
    <row r="10176" spans="1:12" ht="11.15" customHeight="1">
      <c r="A10176" s="129" t="s">
        <v>13598</v>
      </c>
      <c r="B10176" s="286"/>
      <c r="C10176" s="590"/>
      <c r="D10176" s="590"/>
      <c r="E10176" s="178"/>
      <c r="F10176" s="178"/>
      <c r="G10176" s="496"/>
      <c r="H10176" s="36"/>
    </row>
    <row r="10177" spans="1:9" ht="9" customHeight="1">
      <c r="A10177" s="162" t="s">
        <v>13599</v>
      </c>
      <c r="B10177" s="90"/>
      <c r="C10177" s="147"/>
      <c r="D10177" s="161"/>
      <c r="E10177" s="36"/>
      <c r="F10177" s="178"/>
      <c r="G10177" s="496"/>
      <c r="H10177" s="36"/>
      <c r="I10177" s="11"/>
    </row>
    <row r="10178" spans="1:9" ht="9" customHeight="1">
      <c r="A10178" s="162" t="s">
        <v>13600</v>
      </c>
      <c r="B10178" s="90"/>
      <c r="C10178" s="147"/>
      <c r="D10178" s="161"/>
      <c r="E10178" s="36"/>
      <c r="F10178" s="178"/>
      <c r="G10178" s="496"/>
      <c r="H10178" s="36"/>
      <c r="I10178" s="11"/>
    </row>
    <row r="10179" spans="1:9" ht="9" customHeight="1">
      <c r="A10179" s="162" t="s">
        <v>13601</v>
      </c>
      <c r="B10179" s="90"/>
      <c r="C10179" s="147"/>
      <c r="D10179" s="161"/>
      <c r="E10179" s="36"/>
      <c r="F10179" s="178"/>
      <c r="G10179" s="496"/>
      <c r="H10179" s="36"/>
      <c r="I10179" s="11"/>
    </row>
    <row r="10180" spans="1:9" ht="9" customHeight="1">
      <c r="A10180" s="162" t="s">
        <v>13602</v>
      </c>
      <c r="B10180" s="90"/>
      <c r="C10180" s="147"/>
      <c r="D10180" s="161"/>
      <c r="E10180" s="36"/>
      <c r="F10180" s="178"/>
      <c r="G10180" s="496"/>
      <c r="H10180" s="36"/>
      <c r="I10180" s="11"/>
    </row>
    <row r="10181" spans="1:9" ht="11.25" customHeight="1">
      <c r="A10181" s="162" t="s">
        <v>13603</v>
      </c>
      <c r="B10181" s="90"/>
      <c r="C10181" s="147"/>
      <c r="D10181" s="161"/>
      <c r="E10181" s="36"/>
      <c r="F10181" s="178"/>
      <c r="G10181" s="496"/>
      <c r="H10181" s="36"/>
      <c r="I10181" s="11"/>
    </row>
    <row r="10182" spans="1:9" ht="11.25" customHeight="1">
      <c r="A10182" s="162" t="s">
        <v>13604</v>
      </c>
      <c r="B10182" s="90"/>
      <c r="C10182" s="147"/>
      <c r="D10182" s="161"/>
      <c r="E10182" s="36"/>
      <c r="F10182" s="178"/>
      <c r="G10182" s="496"/>
      <c r="H10182" s="36"/>
      <c r="I10182" s="11"/>
    </row>
    <row r="10183" spans="1:9" ht="11.15" customHeight="1">
      <c r="A10183" s="129" t="s">
        <v>13605</v>
      </c>
      <c r="B10183" s="90"/>
      <c r="C10183" s="147"/>
      <c r="D10183" s="161"/>
      <c r="E10183" s="36"/>
      <c r="F10183" s="178"/>
      <c r="G10183" s="496"/>
      <c r="H10183" s="36"/>
      <c r="I10183" s="11"/>
    </row>
    <row r="10184" spans="1:9" ht="11.15" customHeight="1">
      <c r="A10184" s="162" t="s">
        <v>13606</v>
      </c>
      <c r="B10184" s="90"/>
      <c r="C10184" s="147"/>
      <c r="D10184" s="161"/>
      <c r="E10184" s="36"/>
      <c r="F10184" s="178"/>
      <c r="G10184" s="496"/>
      <c r="H10184" s="36"/>
      <c r="I10184" s="11"/>
    </row>
    <row r="10185" spans="1:9" ht="11.15" customHeight="1">
      <c r="A10185" s="162" t="s">
        <v>13607</v>
      </c>
      <c r="B10185" s="90"/>
      <c r="C10185" s="147"/>
      <c r="D10185" s="161"/>
      <c r="E10185" s="36"/>
      <c r="F10185" s="178"/>
      <c r="G10185" s="496"/>
      <c r="H10185" s="36"/>
      <c r="I10185" s="11"/>
    </row>
    <row r="10186" spans="1:9" ht="11.15" customHeight="1">
      <c r="A10186" s="181" t="s">
        <v>12348</v>
      </c>
      <c r="B10186" s="185"/>
      <c r="C10186" s="147"/>
      <c r="D10186" s="185"/>
      <c r="E10186" s="185"/>
      <c r="F10186" s="185"/>
      <c r="G10186" s="185"/>
      <c r="H10186" s="185"/>
      <c r="I10186" s="11"/>
    </row>
    <row r="10187" spans="1:9" ht="11.15" customHeight="1">
      <c r="A10187" s="166" t="s">
        <v>13608</v>
      </c>
      <c r="B10187" s="90"/>
      <c r="C10187" s="147"/>
      <c r="D10187" s="161"/>
      <c r="E10187" s="36"/>
      <c r="F10187" s="178"/>
      <c r="G10187" s="496"/>
      <c r="H10187" s="36"/>
      <c r="I10187" s="11"/>
    </row>
    <row r="10188" spans="1:9" ht="11.15" customHeight="1">
      <c r="A10188" s="333" t="s">
        <v>2482</v>
      </c>
      <c r="B10188" s="90"/>
      <c r="C10188" s="147"/>
      <c r="D10188" s="161"/>
      <c r="E10188" s="36"/>
      <c r="F10188" s="178"/>
      <c r="G10188" s="496"/>
      <c r="H10188" s="36"/>
      <c r="I10188" s="11"/>
    </row>
    <row r="10189" spans="1:9" ht="11.15" customHeight="1">
      <c r="A10189" s="129" t="s">
        <v>13609</v>
      </c>
      <c r="B10189" s="177"/>
      <c r="C10189" s="147"/>
      <c r="D10189" s="129"/>
      <c r="E10189" s="185"/>
      <c r="F10189" s="185"/>
      <c r="G10189" s="185"/>
      <c r="H10189" s="185"/>
      <c r="I10189" s="11"/>
    </row>
    <row r="10190" spans="1:9" ht="11.15" customHeight="1">
      <c r="A10190" s="86"/>
      <c r="B10190" s="413" t="s">
        <v>13610</v>
      </c>
      <c r="C10190" s="147"/>
      <c r="D10190" s="122"/>
      <c r="E10190" s="36"/>
      <c r="F10190" s="178"/>
      <c r="G10190" s="453"/>
      <c r="H10190" s="36"/>
      <c r="I10190" s="11"/>
    </row>
    <row r="10191" spans="1:9" ht="9" customHeight="1">
      <c r="A10191" s="86"/>
      <c r="B10191" s="209" t="s">
        <v>13611</v>
      </c>
      <c r="C10191" s="147"/>
      <c r="D10191" s="122"/>
      <c r="E10191" s="36"/>
      <c r="F10191" s="178"/>
      <c r="G10191" s="453"/>
      <c r="H10191" s="36"/>
      <c r="I10191" s="11"/>
    </row>
    <row r="10192" spans="1:9" ht="9" customHeight="1">
      <c r="A10192" s="86"/>
      <c r="B10192" s="209" t="s">
        <v>13612</v>
      </c>
      <c r="C10192" s="147"/>
      <c r="D10192" s="122"/>
      <c r="E10192" s="36"/>
      <c r="F10192" s="178"/>
      <c r="G10192" s="453"/>
      <c r="H10192" s="36"/>
      <c r="I10192" s="11"/>
    </row>
    <row r="10193" spans="1:12" ht="9" customHeight="1" thickBot="1">
      <c r="A10193" s="86"/>
      <c r="B10193" s="216" t="s">
        <v>13613</v>
      </c>
      <c r="C10193" s="147"/>
      <c r="D10193" s="122"/>
      <c r="E10193" s="36"/>
      <c r="F10193" s="178"/>
      <c r="G10193" s="453"/>
      <c r="H10193" s="36"/>
      <c r="I10193" s="11"/>
    </row>
    <row r="10194" spans="1:12" ht="11.15" customHeight="1">
      <c r="A10194" s="153" t="s">
        <v>13614</v>
      </c>
      <c r="B10194" s="154" t="s">
        <v>13615</v>
      </c>
      <c r="C10194" s="147"/>
      <c r="D10194" s="185"/>
      <c r="E10194" s="185"/>
      <c r="F10194" s="185"/>
      <c r="G10194" s="185"/>
      <c r="H10194" s="185"/>
      <c r="I10194" s="11"/>
    </row>
    <row r="10195" spans="1:12" ht="11.15" customHeight="1" thickBot="1">
      <c r="A10195" s="230" t="s">
        <v>13616</v>
      </c>
      <c r="B10195" s="59" t="s">
        <v>22150</v>
      </c>
      <c r="C10195" s="147" t="s">
        <v>20221</v>
      </c>
      <c r="D10195" s="701" t="s">
        <v>1129</v>
      </c>
      <c r="E10195" s="178">
        <v>2020</v>
      </c>
      <c r="F10195" s="178" t="s">
        <v>4520</v>
      </c>
      <c r="G10195" s="496"/>
      <c r="H10195" s="994" t="s">
        <v>20221</v>
      </c>
      <c r="I10195" s="11" t="s">
        <v>13617</v>
      </c>
      <c r="J10195" s="1285"/>
      <c r="K10195" s="1285"/>
      <c r="L10195" s="1285"/>
    </row>
    <row r="10196" spans="1:12" ht="11.15" customHeight="1">
      <c r="A10196" s="29" t="s">
        <v>13618</v>
      </c>
      <c r="B10196" s="59" t="s">
        <v>22150</v>
      </c>
      <c r="C10196" s="147" t="s">
        <v>20221</v>
      </c>
      <c r="D10196" s="701" t="s">
        <v>1129</v>
      </c>
      <c r="E10196" s="178">
        <v>2019</v>
      </c>
      <c r="F10196" s="178" t="s">
        <v>4520</v>
      </c>
      <c r="G10196" s="496"/>
      <c r="H10196" s="994" t="s">
        <v>20224</v>
      </c>
      <c r="I10196" s="11" t="s">
        <v>13619</v>
      </c>
      <c r="J10196" s="1285"/>
      <c r="K10196" s="1285"/>
      <c r="L10196" s="1285"/>
    </row>
    <row r="10197" spans="1:12" ht="11.15" customHeight="1">
      <c r="A10197" s="29" t="s">
        <v>13620</v>
      </c>
      <c r="B10197" s="154" t="s">
        <v>13621</v>
      </c>
      <c r="C10197" s="147"/>
      <c r="D10197" s="156"/>
      <c r="E10197" s="36"/>
      <c r="F10197" s="178"/>
      <c r="G10197" s="497"/>
      <c r="H10197" s="36"/>
      <c r="I10197" s="11"/>
    </row>
    <row r="10198" spans="1:12" ht="11.15" customHeight="1">
      <c r="A10198" s="29" t="s">
        <v>13622</v>
      </c>
      <c r="B10198" s="59" t="s">
        <v>22151</v>
      </c>
      <c r="C10198" s="147" t="s">
        <v>20221</v>
      </c>
      <c r="D10198" s="284" t="s">
        <v>897</v>
      </c>
      <c r="E10198" s="178">
        <v>2020</v>
      </c>
      <c r="F10198" s="178" t="s">
        <v>4520</v>
      </c>
      <c r="G10198" s="496"/>
      <c r="H10198" s="994" t="s">
        <v>20221</v>
      </c>
      <c r="I10198" s="11" t="s">
        <v>13623</v>
      </c>
      <c r="J10198" s="1285"/>
      <c r="K10198" s="1285"/>
      <c r="L10198" s="1285"/>
    </row>
    <row r="10199" spans="1:12" ht="11.15" customHeight="1">
      <c r="A10199" s="29" t="s">
        <v>13624</v>
      </c>
      <c r="B10199" s="59" t="s">
        <v>22151</v>
      </c>
      <c r="C10199" s="147" t="s">
        <v>20221</v>
      </c>
      <c r="D10199" s="284" t="s">
        <v>897</v>
      </c>
      <c r="E10199" s="178">
        <v>2019</v>
      </c>
      <c r="F10199" s="178" t="s">
        <v>4520</v>
      </c>
      <c r="G10199" s="496"/>
      <c r="H10199" s="994" t="s">
        <v>20221</v>
      </c>
      <c r="I10199" s="11" t="s">
        <v>13625</v>
      </c>
      <c r="J10199" s="1285"/>
      <c r="K10199" s="1285"/>
      <c r="L10199" s="1285"/>
    </row>
    <row r="10200" spans="1:12" ht="11.15" customHeight="1">
      <c r="A10200" s="29" t="s">
        <v>13626</v>
      </c>
      <c r="B10200" s="59" t="s">
        <v>22152</v>
      </c>
      <c r="C10200" s="147" t="s">
        <v>20221</v>
      </c>
      <c r="D10200" s="284" t="s">
        <v>897</v>
      </c>
      <c r="E10200" s="178">
        <v>2015</v>
      </c>
      <c r="F10200" s="178" t="s">
        <v>4520</v>
      </c>
      <c r="G10200" s="496"/>
      <c r="H10200" s="994" t="s">
        <v>20224</v>
      </c>
      <c r="I10200" s="11" t="s">
        <v>13627</v>
      </c>
      <c r="J10200" s="1285"/>
      <c r="K10200" s="1285"/>
      <c r="L10200" s="1285"/>
    </row>
    <row r="10201" spans="1:12" ht="11.15" customHeight="1">
      <c r="A10201" s="181" t="s">
        <v>13628</v>
      </c>
      <c r="B10201" s="59" t="s">
        <v>22152</v>
      </c>
      <c r="C10201" s="147" t="s">
        <v>20221</v>
      </c>
      <c r="D10201" s="284" t="s">
        <v>897</v>
      </c>
      <c r="E10201" s="178">
        <v>2012</v>
      </c>
      <c r="F10201" s="178" t="s">
        <v>4520</v>
      </c>
      <c r="G10201" s="496"/>
      <c r="H10201" s="994" t="s">
        <v>20221</v>
      </c>
      <c r="I10201" s="11" t="s">
        <v>13629</v>
      </c>
      <c r="J10201" s="1285"/>
      <c r="K10201" s="1285"/>
      <c r="L10201" s="1285"/>
    </row>
    <row r="10202" spans="1:12" ht="11.15" customHeight="1">
      <c r="A10202" s="29" t="s">
        <v>13630</v>
      </c>
      <c r="B10202" s="154" t="s">
        <v>1278</v>
      </c>
      <c r="C10202" s="147"/>
      <c r="D10202" s="185"/>
      <c r="E10202" s="185"/>
      <c r="F10202" s="185"/>
      <c r="G10202" s="185"/>
      <c r="H10202" s="185"/>
      <c r="I10202" s="11"/>
    </row>
    <row r="10203" spans="1:12" ht="11.15" customHeight="1">
      <c r="A10203" s="29" t="s">
        <v>13631</v>
      </c>
      <c r="B10203" s="59" t="s">
        <v>22153</v>
      </c>
      <c r="C10203" s="147" t="s">
        <v>20221</v>
      </c>
      <c r="D10203" s="183" t="s">
        <v>6904</v>
      </c>
      <c r="E10203" s="178" t="s">
        <v>20221</v>
      </c>
      <c r="F10203" s="178" t="s">
        <v>23398</v>
      </c>
      <c r="G10203" s="496"/>
      <c r="H10203" s="994" t="s">
        <v>20221</v>
      </c>
      <c r="I10203" s="11" t="s">
        <v>13632</v>
      </c>
      <c r="J10203" s="1285"/>
      <c r="K10203" s="1285"/>
      <c r="L10203" s="1285"/>
    </row>
    <row r="10204" spans="1:12" ht="11.15" customHeight="1">
      <c r="A10204" s="129" t="s">
        <v>896</v>
      </c>
      <c r="B10204" s="59"/>
      <c r="C10204" s="147"/>
      <c r="D10204" s="122"/>
      <c r="E10204" s="36"/>
      <c r="F10204" s="183"/>
      <c r="G10204" s="497"/>
      <c r="H10204" s="34"/>
      <c r="I10204" s="11"/>
    </row>
    <row r="10205" spans="1:12" ht="11.15" customHeight="1">
      <c r="A10205" s="162" t="s">
        <v>13633</v>
      </c>
      <c r="B10205" s="59"/>
      <c r="C10205" s="147"/>
      <c r="D10205" s="122"/>
      <c r="E10205" s="36"/>
      <c r="F10205" s="183"/>
      <c r="G10205" s="497"/>
      <c r="H10205" s="34"/>
      <c r="I10205" s="11"/>
    </row>
    <row r="10206" spans="1:12" ht="11.15" customHeight="1">
      <c r="A10206" s="162" t="s">
        <v>13634</v>
      </c>
      <c r="B10206" s="59"/>
      <c r="C10206" s="147"/>
      <c r="D10206" s="122"/>
      <c r="E10206" s="36"/>
      <c r="F10206" s="183"/>
      <c r="G10206" s="497"/>
      <c r="H10206" s="34"/>
      <c r="I10206" s="11"/>
    </row>
    <row r="10207" spans="1:12" ht="11.15" customHeight="1">
      <c r="A10207" s="162" t="s">
        <v>13635</v>
      </c>
      <c r="B10207" s="59"/>
      <c r="C10207" s="147"/>
      <c r="D10207" s="122"/>
      <c r="E10207" s="36"/>
      <c r="F10207" s="183"/>
      <c r="G10207" s="497"/>
      <c r="H10207" s="34"/>
      <c r="I10207" s="11"/>
    </row>
    <row r="10208" spans="1:12" ht="11.15" customHeight="1">
      <c r="A10208" s="162" t="s">
        <v>13636</v>
      </c>
      <c r="B10208" s="226"/>
      <c r="C10208" s="147"/>
      <c r="D10208" s="122"/>
      <c r="E10208" s="36"/>
      <c r="F10208" s="178"/>
      <c r="G10208" s="453"/>
      <c r="H10208" s="36"/>
      <c r="I10208" s="11"/>
    </row>
    <row r="10209" spans="1:12" ht="11.15" customHeight="1">
      <c r="A10209" s="162" t="s">
        <v>13637</v>
      </c>
      <c r="B10209" s="226"/>
      <c r="C10209" s="147"/>
      <c r="D10209" s="122"/>
      <c r="E10209" s="36"/>
      <c r="F10209" s="178"/>
      <c r="G10209" s="453"/>
      <c r="H10209" s="36"/>
      <c r="I10209" s="11"/>
    </row>
    <row r="10210" spans="1:12" ht="11.15" customHeight="1">
      <c r="A10210" s="162" t="s">
        <v>13638</v>
      </c>
      <c r="B10210" s="226"/>
      <c r="C10210" s="147"/>
      <c r="D10210" s="122"/>
      <c r="E10210" s="36"/>
      <c r="F10210" s="178"/>
      <c r="G10210" s="453"/>
      <c r="H10210" s="36"/>
      <c r="I10210" s="11"/>
    </row>
    <row r="10211" spans="1:12" ht="11.15" customHeight="1">
      <c r="A10211" s="129" t="s">
        <v>1077</v>
      </c>
      <c r="B10211" s="226"/>
      <c r="C10211" s="147"/>
      <c r="D10211" s="122"/>
      <c r="E10211" s="36"/>
      <c r="F10211" s="178"/>
      <c r="G10211" s="453"/>
      <c r="H10211" s="36"/>
      <c r="I10211" s="11"/>
    </row>
    <row r="10212" spans="1:12" ht="11.15" customHeight="1">
      <c r="A10212" s="162" t="s">
        <v>13639</v>
      </c>
      <c r="B10212" s="226"/>
      <c r="C10212" s="147"/>
      <c r="D10212" s="122"/>
      <c r="E10212" s="36"/>
      <c r="F10212" s="178"/>
      <c r="G10212" s="453"/>
      <c r="H10212" s="36"/>
      <c r="I10212" s="11"/>
    </row>
    <row r="10213" spans="1:12" ht="11.15" customHeight="1">
      <c r="A10213" s="162" t="s">
        <v>13640</v>
      </c>
      <c r="B10213" s="226"/>
      <c r="C10213" s="147"/>
      <c r="D10213" s="122"/>
      <c r="E10213" s="36"/>
      <c r="F10213" s="178"/>
      <c r="G10213" s="453"/>
      <c r="H10213" s="36"/>
      <c r="I10213" s="11"/>
    </row>
    <row r="10214" spans="1:12" ht="11.15" customHeight="1">
      <c r="A10214" s="162" t="s">
        <v>13641</v>
      </c>
      <c r="B10214" s="226"/>
      <c r="C10214" s="147"/>
      <c r="D10214" s="122"/>
      <c r="E10214" s="36"/>
      <c r="F10214" s="178"/>
      <c r="G10214" s="453"/>
      <c r="H10214" s="36"/>
      <c r="I10214" s="11"/>
    </row>
    <row r="10215" spans="1:12" ht="11.15" customHeight="1">
      <c r="A10215" s="29" t="s">
        <v>13642</v>
      </c>
      <c r="B10215" s="226"/>
      <c r="C10215" s="147"/>
      <c r="D10215" s="122"/>
      <c r="E10215" s="36"/>
      <c r="F10215" s="178"/>
      <c r="G10215" s="453"/>
      <c r="H10215" s="36"/>
      <c r="I10215" s="11"/>
    </row>
    <row r="10216" spans="1:12" ht="11.15" customHeight="1">
      <c r="A10216" s="29" t="s">
        <v>13643</v>
      </c>
      <c r="B10216" s="185"/>
      <c r="C10216" s="147"/>
      <c r="D10216" s="122"/>
      <c r="E10216" s="36"/>
      <c r="F10216" s="178"/>
      <c r="G10216" s="453"/>
      <c r="H10216" s="36"/>
      <c r="I10216" s="11"/>
    </row>
    <row r="10217" spans="1:12" ht="11.15" customHeight="1">
      <c r="A10217" s="166" t="s">
        <v>11361</v>
      </c>
      <c r="B10217" s="226"/>
      <c r="C10217" s="147"/>
      <c r="D10217" s="122"/>
      <c r="E10217" s="36"/>
      <c r="F10217" s="178"/>
      <c r="G10217" s="60"/>
      <c r="H10217" s="36"/>
      <c r="I10217" s="11"/>
    </row>
    <row r="10218" spans="1:12" ht="11.15" customHeight="1">
      <c r="A10218" s="166" t="s">
        <v>13644</v>
      </c>
      <c r="B10218" s="177"/>
      <c r="C10218" s="147"/>
      <c r="D10218" s="129"/>
      <c r="E10218" s="185"/>
      <c r="F10218" s="185"/>
      <c r="G10218" s="185"/>
      <c r="H10218" s="185"/>
      <c r="I10218" s="11"/>
    </row>
    <row r="10219" spans="1:12" ht="11.15" customHeight="1">
      <c r="A10219" s="129" t="s">
        <v>13645</v>
      </c>
      <c r="B10219" s="177"/>
      <c r="C10219" s="147"/>
      <c r="D10219" s="129"/>
      <c r="E10219" s="185"/>
      <c r="F10219" s="185"/>
      <c r="G10219" s="185"/>
      <c r="H10219" s="185"/>
      <c r="I10219" s="11"/>
    </row>
    <row r="10220" spans="1:12" ht="11.15" customHeight="1" thickBot="1">
      <c r="A10220" s="29"/>
      <c r="B10220" s="177"/>
      <c r="C10220" s="147"/>
      <c r="D10220" s="129"/>
      <c r="E10220" s="185"/>
      <c r="F10220" s="185"/>
      <c r="G10220" s="185"/>
      <c r="H10220" s="185"/>
      <c r="I10220" s="11"/>
    </row>
    <row r="10221" spans="1:12" ht="11.15" customHeight="1" thickBot="1">
      <c r="A10221" s="184" t="s">
        <v>13646</v>
      </c>
      <c r="B10221" s="177" t="s">
        <v>11372</v>
      </c>
      <c r="C10221" s="147"/>
      <c r="D10221" s="159"/>
      <c r="E10221" s="36"/>
      <c r="F10221" s="178"/>
      <c r="G10221" s="430"/>
      <c r="H10221" s="36"/>
      <c r="I10221" s="11"/>
    </row>
    <row r="10222" spans="1:12" ht="11.15" customHeight="1">
      <c r="A10222" s="29" t="s">
        <v>13647</v>
      </c>
      <c r="B10222" s="59" t="s">
        <v>22154</v>
      </c>
      <c r="C10222" s="147" t="s">
        <v>20221</v>
      </c>
      <c r="D10222" s="701" t="s">
        <v>1129</v>
      </c>
      <c r="E10222" s="178">
        <v>2022</v>
      </c>
      <c r="F10222" s="178" t="s">
        <v>4520</v>
      </c>
      <c r="G10222" s="496"/>
      <c r="H10222" s="994" t="s">
        <v>20221</v>
      </c>
      <c r="I10222" s="11" t="s">
        <v>13648</v>
      </c>
      <c r="J10222" s="1285"/>
      <c r="K10222" s="1285"/>
      <c r="L10222" s="1285"/>
    </row>
    <row r="10223" spans="1:12" ht="11.15" customHeight="1">
      <c r="A10223" s="29" t="s">
        <v>13649</v>
      </c>
      <c r="B10223" s="59" t="s">
        <v>22155</v>
      </c>
      <c r="C10223" s="147" t="s">
        <v>20221</v>
      </c>
      <c r="D10223" s="701" t="s">
        <v>1129</v>
      </c>
      <c r="E10223" s="178">
        <v>2022</v>
      </c>
      <c r="F10223" s="178" t="s">
        <v>4520</v>
      </c>
      <c r="G10223" s="496"/>
      <c r="H10223" s="994" t="s">
        <v>20221</v>
      </c>
      <c r="I10223" s="11" t="s">
        <v>13650</v>
      </c>
      <c r="J10223" s="1285"/>
      <c r="K10223" s="1285"/>
      <c r="L10223" s="1285"/>
    </row>
    <row r="10224" spans="1:12" ht="11.15" customHeight="1">
      <c r="A10224" s="29" t="s">
        <v>13651</v>
      </c>
      <c r="B10224" s="177" t="s">
        <v>13652</v>
      </c>
      <c r="C10224" s="147"/>
      <c r="D10224" s="185"/>
      <c r="E10224" s="185"/>
      <c r="F10224" s="185"/>
      <c r="G10224" s="185"/>
      <c r="H10224" s="185"/>
      <c r="I10224" s="11"/>
    </row>
    <row r="10225" spans="1:12" ht="11.15" customHeight="1">
      <c r="A10225" s="29" t="s">
        <v>13653</v>
      </c>
      <c r="B10225" s="59" t="s">
        <v>22156</v>
      </c>
      <c r="C10225" s="147" t="s">
        <v>20221</v>
      </c>
      <c r="D10225" s="739" t="s">
        <v>1410</v>
      </c>
      <c r="E10225" s="178">
        <v>2022</v>
      </c>
      <c r="F10225" s="178" t="s">
        <v>23398</v>
      </c>
      <c r="G10225" s="496"/>
      <c r="H10225" s="994" t="s">
        <v>20221</v>
      </c>
      <c r="I10225" s="11" t="s">
        <v>13654</v>
      </c>
      <c r="J10225" s="1285"/>
      <c r="K10225" s="1285"/>
      <c r="L10225" s="1285"/>
    </row>
    <row r="10226" spans="1:12" ht="11.15" customHeight="1">
      <c r="A10226" s="29" t="s">
        <v>13655</v>
      </c>
      <c r="B10226" s="90"/>
      <c r="C10226" s="147"/>
      <c r="D10226" s="159"/>
      <c r="E10226" s="36"/>
      <c r="F10226" s="178"/>
      <c r="G10226" s="430"/>
      <c r="H10226" s="36"/>
      <c r="I10226" s="11"/>
    </row>
    <row r="10227" spans="1:12" ht="11.15" customHeight="1">
      <c r="A10227" s="29" t="s">
        <v>13656</v>
      </c>
      <c r="B10227" s="185"/>
      <c r="C10227" s="147"/>
      <c r="D10227" s="182"/>
      <c r="E10227" s="36"/>
      <c r="F10227" s="183"/>
      <c r="G10227" s="430"/>
      <c r="H10227" s="34"/>
      <c r="I10227" s="11"/>
    </row>
    <row r="10228" spans="1:12" ht="11.15" customHeight="1">
      <c r="A10228" s="29" t="s">
        <v>13657</v>
      </c>
      <c r="B10228" s="177"/>
      <c r="C10228" s="147"/>
      <c r="D10228" s="182"/>
      <c r="E10228" s="36"/>
      <c r="F10228" s="183"/>
      <c r="G10228" s="430"/>
      <c r="H10228" s="34"/>
      <c r="I10228" s="11"/>
    </row>
    <row r="10229" spans="1:12" ht="11.15" customHeight="1">
      <c r="A10229" s="129" t="s">
        <v>896</v>
      </c>
      <c r="B10229" s="185"/>
      <c r="C10229" s="147"/>
      <c r="D10229" s="185"/>
      <c r="E10229" s="185"/>
      <c r="F10229" s="185"/>
      <c r="G10229" s="185"/>
      <c r="H10229" s="185"/>
      <c r="I10229" s="11"/>
    </row>
    <row r="10230" spans="1:12" ht="11.15" customHeight="1">
      <c r="A10230" s="162" t="s">
        <v>13658</v>
      </c>
      <c r="B10230" s="90"/>
      <c r="C10230" s="147"/>
      <c r="D10230" s="182"/>
      <c r="E10230" s="36"/>
      <c r="F10230" s="183"/>
      <c r="G10230" s="430"/>
      <c r="H10230" s="34"/>
      <c r="I10230" s="11"/>
    </row>
    <row r="10231" spans="1:12" ht="11.15" customHeight="1">
      <c r="A10231" s="162" t="s">
        <v>13659</v>
      </c>
      <c r="B10231" s="90"/>
      <c r="C10231" s="147"/>
      <c r="D10231" s="182"/>
      <c r="E10231" s="36"/>
      <c r="F10231" s="183"/>
      <c r="G10231" s="430"/>
      <c r="H10231" s="34"/>
      <c r="I10231" s="11"/>
    </row>
    <row r="10232" spans="1:12" ht="11.15" customHeight="1">
      <c r="A10232" s="162" t="s">
        <v>13660</v>
      </c>
      <c r="B10232" s="90"/>
      <c r="C10232" s="147"/>
      <c r="D10232" s="182"/>
      <c r="E10232" s="36"/>
      <c r="F10232" s="183"/>
      <c r="G10232" s="430"/>
      <c r="H10232" s="34"/>
      <c r="I10232" s="11"/>
    </row>
    <row r="10233" spans="1:12" ht="11.15" customHeight="1">
      <c r="A10233" s="181" t="s">
        <v>13661</v>
      </c>
      <c r="B10233" s="90"/>
      <c r="C10233" s="147"/>
      <c r="D10233" s="182"/>
      <c r="E10233" s="36"/>
      <c r="F10233" s="183"/>
      <c r="G10233" s="430"/>
      <c r="H10233" s="34"/>
      <c r="I10233" s="11"/>
    </row>
    <row r="10234" spans="1:12" ht="11.15" customHeight="1">
      <c r="A10234" s="166" t="s">
        <v>11041</v>
      </c>
      <c r="B10234" s="90"/>
      <c r="C10234" s="147"/>
      <c r="D10234" s="182"/>
      <c r="E10234" s="36"/>
      <c r="F10234" s="183"/>
      <c r="G10234" s="430"/>
      <c r="H10234" s="34"/>
      <c r="I10234" s="11"/>
    </row>
    <row r="10235" spans="1:12" ht="11.15" customHeight="1">
      <c r="A10235" s="166" t="s">
        <v>13662</v>
      </c>
      <c r="B10235" s="90"/>
      <c r="C10235" s="147"/>
      <c r="D10235" s="182"/>
      <c r="E10235" s="36"/>
      <c r="F10235" s="183"/>
      <c r="G10235" s="430"/>
      <c r="H10235" s="34"/>
      <c r="I10235" s="11"/>
    </row>
    <row r="10236" spans="1:12" ht="11.15" customHeight="1">
      <c r="A10236" s="691" t="s">
        <v>1327</v>
      </c>
      <c r="B10236" s="185"/>
      <c r="C10236" s="147"/>
      <c r="D10236" s="185"/>
      <c r="E10236" s="185"/>
      <c r="F10236" s="185"/>
      <c r="G10236" s="185"/>
      <c r="H10236" s="185"/>
      <c r="I10236" s="11"/>
    </row>
    <row r="10237" spans="1:12" ht="11.15" customHeight="1">
      <c r="A10237" s="129" t="s">
        <v>13663</v>
      </c>
      <c r="B10237" s="177"/>
      <c r="C10237" s="147"/>
      <c r="D10237" s="129"/>
      <c r="E10237" s="185"/>
      <c r="F10237" s="185"/>
      <c r="G10237" s="185"/>
      <c r="H10237" s="185"/>
      <c r="I10237" s="11"/>
    </row>
    <row r="10238" spans="1:12" ht="11.15" customHeight="1" thickBot="1">
      <c r="A10238" s="29"/>
      <c r="B10238" s="177"/>
      <c r="C10238" s="147"/>
      <c r="D10238" s="129"/>
      <c r="E10238" s="185"/>
      <c r="F10238" s="185"/>
      <c r="G10238" s="185"/>
      <c r="H10238" s="185"/>
      <c r="I10238" s="11"/>
    </row>
    <row r="10239" spans="1:12" ht="11.15" customHeight="1" thickBot="1">
      <c r="A10239" s="184" t="s">
        <v>13664</v>
      </c>
      <c r="B10239" s="177" t="s">
        <v>11372</v>
      </c>
      <c r="C10239" s="147"/>
      <c r="D10239" s="122"/>
      <c r="E10239" s="36"/>
      <c r="F10239" s="178"/>
      <c r="G10239" s="60"/>
      <c r="H10239" s="36"/>
      <c r="I10239" s="11"/>
    </row>
    <row r="10240" spans="1:12" ht="11.15" customHeight="1">
      <c r="A10240" s="29" t="s">
        <v>13665</v>
      </c>
      <c r="B10240" s="59" t="s">
        <v>22157</v>
      </c>
      <c r="C10240" s="147" t="s">
        <v>20221</v>
      </c>
      <c r="D10240" s="701" t="s">
        <v>1129</v>
      </c>
      <c r="E10240" s="178">
        <v>2016</v>
      </c>
      <c r="F10240" s="178" t="s">
        <v>4520</v>
      </c>
      <c r="G10240" s="496"/>
      <c r="H10240" s="994" t="s">
        <v>20221</v>
      </c>
      <c r="I10240" s="11" t="s">
        <v>13666</v>
      </c>
      <c r="J10240" s="1285"/>
      <c r="K10240" s="1285"/>
      <c r="L10240" s="1285"/>
    </row>
    <row r="10241" spans="1:12" ht="11.15" customHeight="1">
      <c r="A10241" s="29" t="s">
        <v>13667</v>
      </c>
      <c r="B10241" s="59" t="s">
        <v>22158</v>
      </c>
      <c r="C10241" s="147" t="s">
        <v>20221</v>
      </c>
      <c r="D10241" s="701" t="s">
        <v>1129</v>
      </c>
      <c r="E10241" s="178">
        <v>2019</v>
      </c>
      <c r="F10241" s="178" t="s">
        <v>4520</v>
      </c>
      <c r="G10241" s="496"/>
      <c r="H10241" s="994" t="s">
        <v>20221</v>
      </c>
      <c r="I10241" s="11" t="s">
        <v>13668</v>
      </c>
      <c r="J10241" s="1285"/>
      <c r="K10241" s="1285"/>
      <c r="L10241" s="1285"/>
    </row>
    <row r="10242" spans="1:12" ht="11.15" customHeight="1">
      <c r="A10242" s="29" t="s">
        <v>13669</v>
      </c>
      <c r="B10242" s="177" t="s">
        <v>11253</v>
      </c>
      <c r="C10242" s="147"/>
      <c r="D10242" s="159"/>
      <c r="E10242" s="36"/>
      <c r="F10242" s="178"/>
      <c r="G10242" s="430"/>
      <c r="H10242" s="36"/>
      <c r="I10242" s="11"/>
    </row>
    <row r="10243" spans="1:12" ht="11.15" customHeight="1">
      <c r="A10243" s="229" t="s">
        <v>13670</v>
      </c>
      <c r="B10243" s="59" t="s">
        <v>22159</v>
      </c>
      <c r="C10243" s="147" t="s">
        <v>20221</v>
      </c>
      <c r="D10243" s="284" t="s">
        <v>897</v>
      </c>
      <c r="E10243" s="178">
        <v>2015</v>
      </c>
      <c r="F10243" s="178" t="s">
        <v>4520</v>
      </c>
      <c r="G10243" s="496"/>
      <c r="H10243" s="994" t="s">
        <v>20277</v>
      </c>
      <c r="I10243" s="11" t="s">
        <v>13671</v>
      </c>
      <c r="J10243" s="1285"/>
      <c r="K10243" s="1285"/>
      <c r="L10243" s="1285"/>
    </row>
    <row r="10244" spans="1:12" ht="11.15" customHeight="1">
      <c r="A10244" s="181" t="s">
        <v>13672</v>
      </c>
      <c r="B10244" s="59" t="s">
        <v>22160</v>
      </c>
      <c r="C10244" s="147" t="s">
        <v>20221</v>
      </c>
      <c r="D10244" s="284" t="s">
        <v>897</v>
      </c>
      <c r="E10244" s="178">
        <v>2015</v>
      </c>
      <c r="F10244" s="178" t="s">
        <v>4520</v>
      </c>
      <c r="G10244" s="496"/>
      <c r="H10244" s="994" t="s">
        <v>20221</v>
      </c>
      <c r="I10244" s="11" t="s">
        <v>13673</v>
      </c>
      <c r="J10244" s="1285"/>
      <c r="K10244" s="1285"/>
      <c r="L10244" s="1285"/>
    </row>
    <row r="10245" spans="1:12" ht="11.15" customHeight="1">
      <c r="A10245" s="181" t="s">
        <v>13674</v>
      </c>
      <c r="B10245" s="59" t="s">
        <v>22161</v>
      </c>
      <c r="C10245" s="147" t="s">
        <v>20221</v>
      </c>
      <c r="D10245" s="284" t="s">
        <v>897</v>
      </c>
      <c r="E10245" s="178">
        <v>2010</v>
      </c>
      <c r="F10245" s="178" t="s">
        <v>4520</v>
      </c>
      <c r="G10245" s="496"/>
      <c r="H10245" s="994" t="s">
        <v>20221</v>
      </c>
      <c r="I10245" s="11" t="s">
        <v>13675</v>
      </c>
      <c r="J10245" s="1285"/>
      <c r="K10245" s="1285"/>
      <c r="L10245" s="1285"/>
    </row>
    <row r="10246" spans="1:12" ht="11.15" customHeight="1">
      <c r="A10246" s="181" t="s">
        <v>950</v>
      </c>
      <c r="B10246" s="177" t="s">
        <v>13042</v>
      </c>
      <c r="C10246" s="147"/>
      <c r="D10246" s="159"/>
      <c r="E10246" s="36"/>
      <c r="F10246" s="178"/>
      <c r="G10246" s="430"/>
      <c r="H10246" s="36"/>
      <c r="I10246" s="11"/>
    </row>
    <row r="10247" spans="1:12" ht="11.15" customHeight="1">
      <c r="A10247" s="58" t="s">
        <v>13676</v>
      </c>
      <c r="B10247" s="59" t="s">
        <v>22162</v>
      </c>
      <c r="C10247" s="147" t="s">
        <v>20221</v>
      </c>
      <c r="D10247" s="284" t="s">
        <v>897</v>
      </c>
      <c r="E10247" s="178">
        <v>2018</v>
      </c>
      <c r="F10247" s="178" t="s">
        <v>11931</v>
      </c>
      <c r="G10247" s="496"/>
      <c r="H10247" s="994" t="s">
        <v>20221</v>
      </c>
      <c r="I10247" s="11" t="s">
        <v>13677</v>
      </c>
      <c r="J10247" s="1285"/>
      <c r="K10247" s="1285"/>
      <c r="L10247" s="1285"/>
    </row>
    <row r="10248" spans="1:12" ht="11.15" customHeight="1">
      <c r="A10248" s="29" t="s">
        <v>13678</v>
      </c>
      <c r="B10248" s="59"/>
      <c r="C10248" s="147"/>
      <c r="D10248" s="284"/>
      <c r="E10248" s="178"/>
      <c r="F10248" s="178"/>
      <c r="G10248" s="496"/>
      <c r="H10248" s="994"/>
      <c r="I10248" s="11"/>
      <c r="J10248" s="1285"/>
      <c r="K10248" s="1285"/>
      <c r="L10248" s="1285"/>
    </row>
    <row r="10249" spans="1:12" ht="11.15" customHeight="1">
      <c r="A10249" s="212" t="s">
        <v>13679</v>
      </c>
      <c r="B10249" s="59"/>
      <c r="C10249" s="147"/>
      <c r="D10249" s="284"/>
      <c r="E10249" s="178"/>
      <c r="F10249" s="178"/>
      <c r="G10249" s="496"/>
      <c r="H10249" s="994"/>
      <c r="I10249" s="11"/>
      <c r="J10249" s="1285"/>
      <c r="K10249" s="1285"/>
      <c r="L10249" s="1285"/>
    </row>
    <row r="10250" spans="1:12" ht="11.15" customHeight="1">
      <c r="A10250" s="129" t="s">
        <v>13680</v>
      </c>
      <c r="B10250" s="59"/>
      <c r="C10250" s="147"/>
      <c r="D10250" s="284"/>
      <c r="E10250" s="178"/>
      <c r="F10250" s="178"/>
      <c r="G10250" s="496"/>
      <c r="H10250" s="994"/>
      <c r="I10250" s="11"/>
      <c r="J10250" s="1285"/>
      <c r="K10250" s="1285"/>
      <c r="L10250" s="1285"/>
    </row>
    <row r="10251" spans="1:12" ht="11.15" customHeight="1">
      <c r="A10251" s="129" t="s">
        <v>13681</v>
      </c>
      <c r="B10251" s="59"/>
      <c r="C10251" s="147"/>
      <c r="D10251" s="284"/>
      <c r="E10251" s="178"/>
      <c r="F10251" s="178"/>
      <c r="G10251" s="496"/>
      <c r="H10251" s="994"/>
      <c r="I10251" s="11"/>
      <c r="J10251" s="1285"/>
      <c r="K10251" s="1285"/>
      <c r="L10251" s="1285"/>
    </row>
    <row r="10252" spans="1:12" ht="11.15" customHeight="1">
      <c r="A10252" s="129"/>
      <c r="B10252" s="59"/>
      <c r="C10252" s="147"/>
      <c r="D10252" s="284"/>
      <c r="E10252" s="178"/>
      <c r="F10252" s="178"/>
      <c r="G10252" s="496"/>
      <c r="H10252" s="994"/>
      <c r="I10252" s="11"/>
      <c r="J10252" s="1285"/>
      <c r="K10252" s="1285"/>
      <c r="L10252" s="1285"/>
    </row>
    <row r="10253" spans="1:12" ht="11.15" customHeight="1">
      <c r="A10253" s="185"/>
      <c r="B10253" s="413" t="s">
        <v>13682</v>
      </c>
      <c r="C10253" s="147"/>
      <c r="D10253" s="161"/>
      <c r="E10253" s="36"/>
      <c r="F10253" s="178"/>
      <c r="G10253" s="671"/>
      <c r="H10253" s="36"/>
      <c r="I10253" s="11"/>
    </row>
    <row r="10254" spans="1:12" ht="9" customHeight="1">
      <c r="A10254" s="185"/>
      <c r="B10254" s="150" t="s">
        <v>13683</v>
      </c>
      <c r="C10254" s="147"/>
      <c r="D10254" s="161"/>
      <c r="E10254" s="36"/>
      <c r="F10254" s="178"/>
      <c r="G10254" s="671"/>
      <c r="H10254" s="36"/>
      <c r="I10254" s="11"/>
    </row>
    <row r="10255" spans="1:12" ht="9" customHeight="1">
      <c r="A10255" s="185"/>
      <c r="B10255" s="150" t="s">
        <v>13684</v>
      </c>
      <c r="C10255" s="147"/>
      <c r="D10255" s="161"/>
      <c r="E10255" s="36"/>
      <c r="F10255" s="178"/>
      <c r="G10255" s="671"/>
      <c r="H10255" s="36"/>
      <c r="I10255" s="11"/>
    </row>
    <row r="10256" spans="1:12" ht="9" customHeight="1">
      <c r="A10256" s="185"/>
      <c r="B10256" s="150" t="s">
        <v>13685</v>
      </c>
      <c r="C10256" s="147"/>
      <c r="D10256" s="161"/>
      <c r="E10256" s="36"/>
      <c r="F10256" s="178"/>
      <c r="G10256" s="671"/>
      <c r="H10256" s="36"/>
      <c r="I10256" s="11"/>
    </row>
    <row r="10257" spans="1:12" ht="9" customHeight="1">
      <c r="A10257" s="185"/>
      <c r="B10257" s="150" t="s">
        <v>13686</v>
      </c>
      <c r="C10257" s="147"/>
      <c r="D10257" s="161"/>
      <c r="E10257" s="36"/>
      <c r="F10257" s="178"/>
      <c r="G10257" s="671"/>
      <c r="H10257" s="36"/>
      <c r="I10257" s="11"/>
    </row>
    <row r="10258" spans="1:12" ht="9" customHeight="1">
      <c r="A10258" s="185"/>
      <c r="B10258" s="150" t="s">
        <v>13687</v>
      </c>
      <c r="C10258" s="147"/>
      <c r="D10258" s="161"/>
      <c r="E10258" s="36"/>
      <c r="F10258" s="178"/>
      <c r="G10258" s="671"/>
      <c r="H10258" s="36"/>
      <c r="I10258" s="11"/>
    </row>
    <row r="10259" spans="1:12" ht="9" customHeight="1">
      <c r="A10259" s="185"/>
      <c r="B10259" s="150" t="s">
        <v>13688</v>
      </c>
      <c r="C10259" s="147"/>
      <c r="D10259" s="161"/>
      <c r="E10259" s="36"/>
      <c r="F10259" s="178"/>
      <c r="G10259" s="671"/>
      <c r="H10259" s="36"/>
      <c r="I10259" s="11"/>
    </row>
    <row r="10260" spans="1:12" ht="9" customHeight="1">
      <c r="A10260" s="185"/>
      <c r="B10260" s="209" t="s">
        <v>13689</v>
      </c>
      <c r="C10260" s="147"/>
      <c r="D10260" s="161"/>
      <c r="E10260" s="36"/>
      <c r="F10260" s="178"/>
      <c r="G10260" s="671"/>
      <c r="H10260" s="36"/>
      <c r="I10260" s="11"/>
    </row>
    <row r="10261" spans="1:12" ht="9" customHeight="1">
      <c r="A10261" s="185"/>
      <c r="B10261" s="150" t="s">
        <v>13690</v>
      </c>
      <c r="C10261" s="147"/>
      <c r="D10261" s="161"/>
      <c r="E10261" s="36"/>
      <c r="F10261" s="178"/>
      <c r="G10261" s="671"/>
      <c r="H10261" s="36"/>
      <c r="I10261" s="11"/>
    </row>
    <row r="10262" spans="1:12" ht="9" customHeight="1">
      <c r="A10262" s="185"/>
      <c r="B10262" s="209" t="s">
        <v>13691</v>
      </c>
      <c r="C10262" s="147"/>
      <c r="D10262" s="161"/>
      <c r="E10262" s="36"/>
      <c r="F10262" s="178"/>
      <c r="G10262" s="671"/>
      <c r="H10262" s="36"/>
      <c r="I10262" s="11"/>
    </row>
    <row r="10263" spans="1:12" ht="9" customHeight="1">
      <c r="A10263" s="185"/>
      <c r="B10263" s="150" t="s">
        <v>13692</v>
      </c>
      <c r="C10263" s="147"/>
      <c r="D10263" s="161"/>
      <c r="E10263" s="36"/>
      <c r="F10263" s="178"/>
      <c r="G10263" s="671"/>
      <c r="H10263" s="36"/>
      <c r="I10263" s="11"/>
    </row>
    <row r="10264" spans="1:12" ht="9" customHeight="1" thickBot="1">
      <c r="A10264" s="185"/>
      <c r="B10264" s="150" t="s">
        <v>13693</v>
      </c>
      <c r="C10264" s="147"/>
      <c r="D10264" s="161"/>
      <c r="E10264" s="36"/>
      <c r="F10264" s="178"/>
      <c r="G10264" s="671"/>
      <c r="H10264" s="36"/>
      <c r="I10264" s="11"/>
    </row>
    <row r="10265" spans="1:12" ht="11.15" customHeight="1" thickBot="1">
      <c r="A10265" s="184" t="s">
        <v>13694</v>
      </c>
      <c r="B10265" s="177" t="s">
        <v>11372</v>
      </c>
      <c r="C10265" s="147"/>
      <c r="D10265" s="161"/>
      <c r="E10265" s="36"/>
      <c r="F10265" s="178"/>
      <c r="G10265" s="671"/>
      <c r="H10265" s="36"/>
      <c r="I10265" s="11"/>
    </row>
    <row r="10266" spans="1:12" ht="11.15" customHeight="1">
      <c r="A10266" s="29" t="s">
        <v>13695</v>
      </c>
      <c r="B10266" s="59" t="s">
        <v>22164</v>
      </c>
      <c r="C10266" s="147" t="s">
        <v>20221</v>
      </c>
      <c r="D10266" s="701" t="s">
        <v>1129</v>
      </c>
      <c r="E10266" s="178">
        <v>2023</v>
      </c>
      <c r="F10266" s="178" t="s">
        <v>4520</v>
      </c>
      <c r="G10266" s="496"/>
      <c r="H10266" s="994" t="s">
        <v>20221</v>
      </c>
      <c r="I10266" s="11" t="s">
        <v>13696</v>
      </c>
      <c r="J10266" s="1285"/>
      <c r="K10266" s="1285"/>
      <c r="L10266" s="1285"/>
    </row>
    <row r="10267" spans="1:12" ht="11.15" customHeight="1">
      <c r="A10267" s="29" t="s">
        <v>13697</v>
      </c>
      <c r="B10267" s="59" t="s">
        <v>22164</v>
      </c>
      <c r="C10267" s="147" t="s">
        <v>20221</v>
      </c>
      <c r="D10267" s="701" t="s">
        <v>1129</v>
      </c>
      <c r="E10267" s="178">
        <v>2016</v>
      </c>
      <c r="F10267" s="178" t="s">
        <v>4520</v>
      </c>
      <c r="G10267" s="496"/>
      <c r="H10267" s="994" t="s">
        <v>20277</v>
      </c>
      <c r="I10267" s="11" t="s">
        <v>13698</v>
      </c>
      <c r="J10267" s="1285"/>
      <c r="K10267" s="1285"/>
      <c r="L10267" s="1285"/>
    </row>
    <row r="10268" spans="1:12" ht="11.15" customHeight="1">
      <c r="A10268" s="29" t="s">
        <v>13699</v>
      </c>
      <c r="B10268" s="59" t="s">
        <v>22164</v>
      </c>
      <c r="C10268" s="147" t="s">
        <v>20221</v>
      </c>
      <c r="D10268" s="701" t="s">
        <v>1129</v>
      </c>
      <c r="E10268" s="178">
        <v>2015</v>
      </c>
      <c r="F10268" s="178" t="s">
        <v>4520</v>
      </c>
      <c r="G10268" s="496"/>
      <c r="H10268" s="994" t="s">
        <v>20277</v>
      </c>
      <c r="I10268" s="11" t="s">
        <v>13700</v>
      </c>
      <c r="J10268" s="1285"/>
      <c r="K10268" s="1285"/>
      <c r="L10268" s="1285"/>
    </row>
    <row r="10269" spans="1:12" ht="11.15" customHeight="1">
      <c r="A10269" s="29" t="s">
        <v>12525</v>
      </c>
      <c r="B10269" s="59" t="s">
        <v>22165</v>
      </c>
      <c r="C10269" s="147" t="s">
        <v>20221</v>
      </c>
      <c r="D10269" s="701" t="s">
        <v>1129</v>
      </c>
      <c r="E10269" s="178">
        <v>2012</v>
      </c>
      <c r="F10269" s="178" t="s">
        <v>9678</v>
      </c>
      <c r="G10269" s="496"/>
      <c r="H10269" s="994" t="s">
        <v>20224</v>
      </c>
      <c r="I10269" s="11" t="s">
        <v>13701</v>
      </c>
      <c r="J10269" s="1285"/>
      <c r="K10269" s="1285"/>
      <c r="L10269" s="1285"/>
    </row>
    <row r="10270" spans="1:12" ht="11.15" customHeight="1">
      <c r="A10270" s="218" t="s">
        <v>12466</v>
      </c>
      <c r="B10270" s="59" t="s">
        <v>22166</v>
      </c>
      <c r="C10270" s="147" t="s">
        <v>20221</v>
      </c>
      <c r="D10270" s="701" t="s">
        <v>1129</v>
      </c>
      <c r="E10270" s="178">
        <v>2014</v>
      </c>
      <c r="F10270" s="178" t="s">
        <v>11938</v>
      </c>
      <c r="G10270" s="496"/>
      <c r="H10270" s="994" t="s">
        <v>20224</v>
      </c>
      <c r="I10270" s="11" t="s">
        <v>13702</v>
      </c>
      <c r="J10270" s="1285"/>
      <c r="K10270" s="1285"/>
      <c r="L10270" s="1285"/>
    </row>
    <row r="10271" spans="1:12" ht="11.15" customHeight="1">
      <c r="A10271" s="29" t="s">
        <v>13703</v>
      </c>
      <c r="B10271" s="177" t="s">
        <v>11253</v>
      </c>
      <c r="C10271" s="147"/>
      <c r="D10271" s="122"/>
      <c r="E10271" s="36"/>
      <c r="F10271" s="183"/>
      <c r="G10271" s="185"/>
      <c r="H10271" s="34"/>
      <c r="I10271" s="11"/>
    </row>
    <row r="10272" spans="1:12" ht="11.15" customHeight="1">
      <c r="A10272" s="29" t="s">
        <v>13704</v>
      </c>
      <c r="B10272" s="59" t="s">
        <v>22167</v>
      </c>
      <c r="C10272" s="147" t="s">
        <v>20221</v>
      </c>
      <c r="D10272" s="284" t="s">
        <v>897</v>
      </c>
      <c r="E10272" s="178">
        <v>2020</v>
      </c>
      <c r="F10272" s="178" t="s">
        <v>4520</v>
      </c>
      <c r="G10272" s="496"/>
      <c r="H10272" s="994" t="s">
        <v>20221</v>
      </c>
      <c r="I10272" s="11" t="s">
        <v>13705</v>
      </c>
      <c r="J10272" s="1285"/>
      <c r="K10272" s="1285"/>
      <c r="L10272" s="1285"/>
    </row>
    <row r="10273" spans="1:12" ht="11.15" customHeight="1">
      <c r="A10273" s="129" t="s">
        <v>903</v>
      </c>
      <c r="B10273" s="59" t="s">
        <v>22167</v>
      </c>
      <c r="C10273" s="147" t="s">
        <v>20221</v>
      </c>
      <c r="D10273" s="284" t="s">
        <v>897</v>
      </c>
      <c r="E10273" s="178">
        <v>2015</v>
      </c>
      <c r="F10273" s="178" t="s">
        <v>4520</v>
      </c>
      <c r="G10273" s="496"/>
      <c r="H10273" s="994" t="s">
        <v>20221</v>
      </c>
      <c r="I10273" s="11" t="s">
        <v>13706</v>
      </c>
      <c r="J10273" s="1285"/>
      <c r="K10273" s="1285"/>
      <c r="L10273" s="1285"/>
    </row>
    <row r="10274" spans="1:12" ht="11.15" customHeight="1">
      <c r="A10274" s="162" t="s">
        <v>13707</v>
      </c>
      <c r="B10274" s="59" t="s">
        <v>22168</v>
      </c>
      <c r="C10274" s="147" t="s">
        <v>20221</v>
      </c>
      <c r="D10274" s="284" t="s">
        <v>897</v>
      </c>
      <c r="E10274" s="178">
        <v>2020</v>
      </c>
      <c r="F10274" s="178" t="s">
        <v>4520</v>
      </c>
      <c r="G10274" s="496"/>
      <c r="H10274" s="994" t="s">
        <v>20221</v>
      </c>
      <c r="I10274" s="11" t="s">
        <v>13708</v>
      </c>
      <c r="J10274" s="1285"/>
      <c r="K10274" s="1285"/>
      <c r="L10274" s="1285"/>
    </row>
    <row r="10275" spans="1:12" ht="11.15" customHeight="1">
      <c r="A10275" s="162" t="s">
        <v>13709</v>
      </c>
      <c r="B10275" s="59" t="s">
        <v>22168</v>
      </c>
      <c r="C10275" s="147" t="s">
        <v>20221</v>
      </c>
      <c r="D10275" s="284" t="s">
        <v>897</v>
      </c>
      <c r="E10275" s="178">
        <v>2016</v>
      </c>
      <c r="F10275" s="178" t="s">
        <v>4520</v>
      </c>
      <c r="G10275" s="496"/>
      <c r="H10275" s="994" t="s">
        <v>20221</v>
      </c>
      <c r="I10275" s="11" t="s">
        <v>13710</v>
      </c>
      <c r="J10275" s="1285"/>
      <c r="K10275" s="1285"/>
      <c r="L10275" s="1285"/>
    </row>
    <row r="10276" spans="1:12" ht="11.15" customHeight="1">
      <c r="A10276" s="162" t="s">
        <v>13711</v>
      </c>
      <c r="B10276" s="59" t="s">
        <v>22169</v>
      </c>
      <c r="C10276" s="147" t="s">
        <v>20221</v>
      </c>
      <c r="D10276" s="284" t="s">
        <v>897</v>
      </c>
      <c r="E10276" s="178">
        <v>2015</v>
      </c>
      <c r="F10276" s="178" t="s">
        <v>4520</v>
      </c>
      <c r="G10276" s="496"/>
      <c r="H10276" s="994" t="s">
        <v>20221</v>
      </c>
      <c r="I10276" s="11" t="s">
        <v>13712</v>
      </c>
      <c r="J10276" s="1285"/>
      <c r="K10276" s="1285"/>
      <c r="L10276" s="1285"/>
    </row>
    <row r="10277" spans="1:12" ht="11.15" customHeight="1">
      <c r="A10277" s="162" t="s">
        <v>13713</v>
      </c>
      <c r="B10277" s="59" t="s">
        <v>22170</v>
      </c>
      <c r="C10277" s="147" t="s">
        <v>20221</v>
      </c>
      <c r="D10277" s="284" t="s">
        <v>897</v>
      </c>
      <c r="E10277" s="178" t="s">
        <v>22171</v>
      </c>
      <c r="F10277" s="178" t="s">
        <v>23394</v>
      </c>
      <c r="G10277" s="496"/>
      <c r="H10277" s="994" t="s">
        <v>20221</v>
      </c>
      <c r="I10277" s="11" t="s">
        <v>13714</v>
      </c>
      <c r="J10277" s="1285"/>
      <c r="K10277" s="1285"/>
      <c r="L10277" s="1285"/>
    </row>
    <row r="10278" spans="1:12" ht="11.15" customHeight="1">
      <c r="A10278" s="162" t="s">
        <v>13715</v>
      </c>
      <c r="B10278" s="177" t="s">
        <v>13716</v>
      </c>
      <c r="C10278" s="147"/>
      <c r="D10278" s="161"/>
      <c r="E10278" s="36"/>
      <c r="F10278" s="183"/>
      <c r="G10278" s="496"/>
      <c r="H10278" s="34"/>
      <c r="I10278" s="11"/>
    </row>
    <row r="10279" spans="1:12" ht="11.15" customHeight="1">
      <c r="A10279" s="162" t="s">
        <v>13717</v>
      </c>
      <c r="B10279" s="59" t="s">
        <v>22172</v>
      </c>
      <c r="C10279" s="147" t="s">
        <v>20221</v>
      </c>
      <c r="D10279" s="284" t="s">
        <v>897</v>
      </c>
      <c r="E10279" s="178">
        <v>2016</v>
      </c>
      <c r="F10279" s="178" t="s">
        <v>4520</v>
      </c>
      <c r="G10279" s="496"/>
      <c r="H10279" s="994" t="s">
        <v>20221</v>
      </c>
      <c r="I10279" s="11" t="s">
        <v>13718</v>
      </c>
      <c r="J10279" s="1285"/>
      <c r="K10279" s="1285"/>
      <c r="L10279" s="1285"/>
    </row>
    <row r="10280" spans="1:12" ht="11.15" customHeight="1">
      <c r="A10280" s="162" t="s">
        <v>13719</v>
      </c>
      <c r="B10280" s="59" t="s">
        <v>22172</v>
      </c>
      <c r="C10280" s="147" t="s">
        <v>20221</v>
      </c>
      <c r="D10280" s="284" t="s">
        <v>897</v>
      </c>
      <c r="E10280" s="178">
        <v>2015</v>
      </c>
      <c r="F10280" s="178" t="s">
        <v>4520</v>
      </c>
      <c r="G10280" s="496"/>
      <c r="H10280" s="994" t="s">
        <v>20221</v>
      </c>
      <c r="I10280" s="11" t="s">
        <v>13720</v>
      </c>
      <c r="J10280" s="1285"/>
      <c r="K10280" s="1285"/>
      <c r="L10280" s="1285"/>
    </row>
    <row r="10281" spans="1:12" ht="11.15" customHeight="1">
      <c r="A10281" s="162" t="s">
        <v>13721</v>
      </c>
      <c r="B10281" s="59" t="s">
        <v>22172</v>
      </c>
      <c r="C10281" s="147" t="s">
        <v>20221</v>
      </c>
      <c r="D10281" s="284" t="s">
        <v>897</v>
      </c>
      <c r="E10281" s="178">
        <v>2014</v>
      </c>
      <c r="F10281" s="178" t="s">
        <v>4520</v>
      </c>
      <c r="G10281" s="496"/>
      <c r="H10281" s="994" t="s">
        <v>20221</v>
      </c>
      <c r="I10281" s="11" t="s">
        <v>13722</v>
      </c>
      <c r="J10281" s="1285"/>
      <c r="K10281" s="1285"/>
      <c r="L10281" s="1285"/>
    </row>
    <row r="10282" spans="1:12" ht="11.15" customHeight="1">
      <c r="A10282" s="162" t="s">
        <v>13723</v>
      </c>
      <c r="B10282" s="59" t="s">
        <v>22172</v>
      </c>
      <c r="C10282" s="147" t="s">
        <v>20221</v>
      </c>
      <c r="D10282" s="284" t="s">
        <v>897</v>
      </c>
      <c r="E10282" s="178">
        <v>2013</v>
      </c>
      <c r="F10282" s="178" t="s">
        <v>4520</v>
      </c>
      <c r="G10282" s="496"/>
      <c r="H10282" s="994" t="s">
        <v>20221</v>
      </c>
      <c r="I10282" s="11" t="s">
        <v>13724</v>
      </c>
      <c r="J10282" s="1285"/>
      <c r="K10282" s="1285"/>
      <c r="L10282" s="1285"/>
    </row>
    <row r="10283" spans="1:12" ht="11.15" customHeight="1">
      <c r="A10283" s="162" t="s">
        <v>13725</v>
      </c>
      <c r="B10283" s="59" t="s">
        <v>22172</v>
      </c>
      <c r="C10283" s="147" t="s">
        <v>20221</v>
      </c>
      <c r="D10283" s="284" t="s">
        <v>897</v>
      </c>
      <c r="E10283" s="178">
        <v>2012</v>
      </c>
      <c r="F10283" s="178" t="s">
        <v>4520</v>
      </c>
      <c r="G10283" s="496"/>
      <c r="H10283" s="994" t="s">
        <v>20221</v>
      </c>
      <c r="I10283" s="11" t="s">
        <v>13726</v>
      </c>
      <c r="J10283" s="1285"/>
      <c r="K10283" s="1285"/>
      <c r="L10283" s="1285"/>
    </row>
    <row r="10284" spans="1:12" ht="11.15" customHeight="1">
      <c r="A10284" s="129" t="s">
        <v>13727</v>
      </c>
      <c r="B10284" s="59" t="s">
        <v>22172</v>
      </c>
      <c r="C10284" s="147" t="s">
        <v>20221</v>
      </c>
      <c r="D10284" s="284" t="s">
        <v>897</v>
      </c>
      <c r="E10284" s="178">
        <v>2011</v>
      </c>
      <c r="F10284" s="178" t="s">
        <v>4520</v>
      </c>
      <c r="G10284" s="496"/>
      <c r="H10284" s="994" t="s">
        <v>20221</v>
      </c>
      <c r="I10284" s="11" t="s">
        <v>13728</v>
      </c>
      <c r="J10284" s="1285"/>
      <c r="K10284" s="1285"/>
      <c r="L10284" s="1285"/>
    </row>
    <row r="10285" spans="1:12" ht="11.15" customHeight="1">
      <c r="A10285" s="162" t="s">
        <v>13729</v>
      </c>
      <c r="B10285" s="59" t="s">
        <v>22172</v>
      </c>
      <c r="C10285" s="147" t="s">
        <v>20221</v>
      </c>
      <c r="D10285" s="284" t="s">
        <v>897</v>
      </c>
      <c r="E10285" s="178">
        <v>2010</v>
      </c>
      <c r="F10285" s="178" t="s">
        <v>4520</v>
      </c>
      <c r="G10285" s="496"/>
      <c r="H10285" s="994" t="s">
        <v>20277</v>
      </c>
      <c r="I10285" s="11" t="s">
        <v>13730</v>
      </c>
      <c r="J10285" s="1285"/>
      <c r="K10285" s="1285"/>
      <c r="L10285" s="1285"/>
    </row>
    <row r="10286" spans="1:12" ht="11.15" customHeight="1">
      <c r="A10286" s="162" t="s">
        <v>13731</v>
      </c>
      <c r="B10286" s="59" t="s">
        <v>22173</v>
      </c>
      <c r="C10286" s="147" t="s">
        <v>20221</v>
      </c>
      <c r="D10286" s="284" t="s">
        <v>897</v>
      </c>
      <c r="E10286" s="178">
        <v>2014</v>
      </c>
      <c r="F10286" s="178" t="s">
        <v>4520</v>
      </c>
      <c r="G10286" s="496"/>
      <c r="H10286" s="994" t="s">
        <v>20221</v>
      </c>
      <c r="I10286" s="11" t="s">
        <v>13732</v>
      </c>
      <c r="J10286" s="1285"/>
      <c r="K10286" s="1285"/>
      <c r="L10286" s="1285"/>
    </row>
    <row r="10287" spans="1:12" ht="11.15" customHeight="1">
      <c r="A10287" s="129" t="s">
        <v>13733</v>
      </c>
      <c r="B10287" s="59" t="s">
        <v>22173</v>
      </c>
      <c r="C10287" s="147" t="s">
        <v>20221</v>
      </c>
      <c r="D10287" s="284" t="s">
        <v>897</v>
      </c>
      <c r="E10287" s="178">
        <v>2013</v>
      </c>
      <c r="F10287" s="178" t="s">
        <v>4520</v>
      </c>
      <c r="G10287" s="496"/>
      <c r="H10287" s="994" t="s">
        <v>20221</v>
      </c>
      <c r="I10287" s="11" t="s">
        <v>13734</v>
      </c>
      <c r="J10287" s="1285"/>
      <c r="K10287" s="1285"/>
      <c r="L10287" s="1285"/>
    </row>
    <row r="10288" spans="1:12" ht="11.15" customHeight="1">
      <c r="A10288" s="162" t="s">
        <v>13735</v>
      </c>
      <c r="B10288" s="59" t="s">
        <v>22173</v>
      </c>
      <c r="C10288" s="147" t="s">
        <v>20221</v>
      </c>
      <c r="D10288" s="284" t="s">
        <v>897</v>
      </c>
      <c r="E10288" s="178">
        <v>2012</v>
      </c>
      <c r="F10288" s="178" t="s">
        <v>4520</v>
      </c>
      <c r="G10288" s="496"/>
      <c r="H10288" s="994" t="s">
        <v>20221</v>
      </c>
      <c r="I10288" s="11" t="s">
        <v>13736</v>
      </c>
      <c r="J10288" s="1285"/>
      <c r="K10288" s="1285"/>
      <c r="L10288" s="1285"/>
    </row>
    <row r="10289" spans="1:12" ht="11.15" customHeight="1">
      <c r="A10289" s="162" t="s">
        <v>13737</v>
      </c>
      <c r="B10289" s="59" t="s">
        <v>22173</v>
      </c>
      <c r="C10289" s="147" t="s">
        <v>20221</v>
      </c>
      <c r="D10289" s="284" t="s">
        <v>897</v>
      </c>
      <c r="E10289" s="178">
        <v>2011</v>
      </c>
      <c r="F10289" s="178" t="s">
        <v>4520</v>
      </c>
      <c r="G10289" s="496"/>
      <c r="H10289" s="994" t="s">
        <v>20221</v>
      </c>
      <c r="I10289" s="11" t="s">
        <v>13738</v>
      </c>
      <c r="J10289" s="1285"/>
      <c r="K10289" s="1285"/>
      <c r="L10289" s="1285"/>
    </row>
    <row r="10290" spans="1:12" ht="11.15" customHeight="1">
      <c r="A10290" s="162" t="s">
        <v>13739</v>
      </c>
      <c r="B10290" s="59" t="s">
        <v>22173</v>
      </c>
      <c r="C10290" s="147" t="s">
        <v>20221</v>
      </c>
      <c r="D10290" s="284" t="s">
        <v>897</v>
      </c>
      <c r="E10290" s="178">
        <v>2010</v>
      </c>
      <c r="F10290" s="178" t="s">
        <v>4520</v>
      </c>
      <c r="G10290" s="496"/>
      <c r="H10290" s="994" t="s">
        <v>20221</v>
      </c>
      <c r="I10290" s="11" t="s">
        <v>13740</v>
      </c>
      <c r="J10290" s="1285"/>
      <c r="K10290" s="1285"/>
      <c r="L10290" s="1285"/>
    </row>
    <row r="10291" spans="1:12" ht="11.15" customHeight="1">
      <c r="A10291" s="162" t="s">
        <v>13741</v>
      </c>
      <c r="B10291" s="59" t="s">
        <v>22173</v>
      </c>
      <c r="C10291" s="147" t="s">
        <v>20221</v>
      </c>
      <c r="D10291" s="284" t="s">
        <v>897</v>
      </c>
      <c r="E10291" s="178">
        <v>2009</v>
      </c>
      <c r="F10291" s="178" t="s">
        <v>4520</v>
      </c>
      <c r="G10291" s="496"/>
      <c r="H10291" s="994" t="s">
        <v>20465</v>
      </c>
      <c r="I10291" s="11" t="s">
        <v>13742</v>
      </c>
      <c r="J10291" s="1285"/>
      <c r="K10291" s="1285"/>
      <c r="L10291" s="1285"/>
    </row>
    <row r="10292" spans="1:12" ht="11.15" customHeight="1">
      <c r="A10292" s="162" t="s">
        <v>13743</v>
      </c>
      <c r="B10292" s="59" t="s">
        <v>22174</v>
      </c>
      <c r="C10292" s="147" t="s">
        <v>20221</v>
      </c>
      <c r="D10292" s="284" t="s">
        <v>897</v>
      </c>
      <c r="E10292" s="178">
        <v>2016</v>
      </c>
      <c r="F10292" s="178" t="s">
        <v>4520</v>
      </c>
      <c r="G10292" s="496"/>
      <c r="H10292" s="994" t="s">
        <v>20221</v>
      </c>
      <c r="I10292" s="11" t="s">
        <v>13744</v>
      </c>
      <c r="J10292" s="1285"/>
      <c r="K10292" s="1285"/>
      <c r="L10292" s="1285"/>
    </row>
    <row r="10293" spans="1:12" ht="11.15" customHeight="1">
      <c r="A10293" s="162" t="s">
        <v>13745</v>
      </c>
      <c r="B10293" s="59" t="s">
        <v>22174</v>
      </c>
      <c r="C10293" s="147" t="s">
        <v>20221</v>
      </c>
      <c r="D10293" s="284" t="s">
        <v>897</v>
      </c>
      <c r="E10293" s="178">
        <v>2013</v>
      </c>
      <c r="F10293" s="178" t="s">
        <v>4520</v>
      </c>
      <c r="G10293" s="496"/>
      <c r="H10293" s="994" t="s">
        <v>20221</v>
      </c>
      <c r="I10293" s="11" t="s">
        <v>13746</v>
      </c>
      <c r="J10293" s="1285"/>
      <c r="K10293" s="1285"/>
      <c r="L10293" s="1285"/>
    </row>
    <row r="10294" spans="1:12" ht="11.15" customHeight="1">
      <c r="A10294" s="29" t="s">
        <v>13747</v>
      </c>
      <c r="B10294" s="59" t="s">
        <v>22174</v>
      </c>
      <c r="C10294" s="147" t="s">
        <v>20221</v>
      </c>
      <c r="D10294" s="284" t="s">
        <v>897</v>
      </c>
      <c r="E10294" s="178">
        <v>2012</v>
      </c>
      <c r="F10294" s="178" t="s">
        <v>4520</v>
      </c>
      <c r="G10294" s="496"/>
      <c r="H10294" s="994" t="s">
        <v>20221</v>
      </c>
      <c r="I10294" s="11" t="s">
        <v>13748</v>
      </c>
      <c r="J10294" s="1285"/>
      <c r="K10294" s="1285"/>
      <c r="L10294" s="1285"/>
    </row>
    <row r="10295" spans="1:12" ht="11.15" customHeight="1">
      <c r="A10295" s="29" t="s">
        <v>13749</v>
      </c>
      <c r="B10295" s="59" t="s">
        <v>22174</v>
      </c>
      <c r="C10295" s="147" t="s">
        <v>20221</v>
      </c>
      <c r="D10295" s="284" t="s">
        <v>897</v>
      </c>
      <c r="E10295" s="178">
        <v>2011</v>
      </c>
      <c r="F10295" s="178" t="s">
        <v>4520</v>
      </c>
      <c r="G10295" s="496"/>
      <c r="H10295" s="994" t="s">
        <v>20221</v>
      </c>
      <c r="I10295" s="11" t="s">
        <v>13750</v>
      </c>
      <c r="J10295" s="1285"/>
      <c r="K10295" s="1285"/>
      <c r="L10295" s="1285"/>
    </row>
    <row r="10296" spans="1:12" ht="11.15" customHeight="1">
      <c r="A10296" s="212" t="s">
        <v>13751</v>
      </c>
      <c r="B10296" s="59" t="s">
        <v>22174</v>
      </c>
      <c r="C10296" s="147" t="s">
        <v>20221</v>
      </c>
      <c r="D10296" s="284" t="s">
        <v>897</v>
      </c>
      <c r="E10296" s="178">
        <v>2010</v>
      </c>
      <c r="F10296" s="178" t="s">
        <v>4520</v>
      </c>
      <c r="G10296" s="496"/>
      <c r="H10296" s="994" t="s">
        <v>20221</v>
      </c>
      <c r="I10296" s="11" t="s">
        <v>13752</v>
      </c>
      <c r="J10296" s="1285"/>
      <c r="K10296" s="1285"/>
      <c r="L10296" s="1285"/>
    </row>
    <row r="10297" spans="1:12" ht="11.15" customHeight="1">
      <c r="A10297" s="212" t="s">
        <v>13753</v>
      </c>
      <c r="B10297" s="59" t="s">
        <v>22174</v>
      </c>
      <c r="C10297" s="147" t="s">
        <v>20221</v>
      </c>
      <c r="D10297" s="284" t="s">
        <v>897</v>
      </c>
      <c r="E10297" s="178">
        <v>2009</v>
      </c>
      <c r="F10297" s="178" t="s">
        <v>4520</v>
      </c>
      <c r="G10297" s="496"/>
      <c r="H10297" s="994" t="s">
        <v>20221</v>
      </c>
      <c r="I10297" s="11" t="s">
        <v>13754</v>
      </c>
      <c r="J10297" s="1285"/>
      <c r="K10297" s="1285"/>
      <c r="L10297" s="1285"/>
    </row>
    <row r="10298" spans="1:12" ht="11.15" customHeight="1">
      <c r="A10298" s="169" t="s">
        <v>11041</v>
      </c>
      <c r="B10298" s="59" t="s">
        <v>22174</v>
      </c>
      <c r="C10298" s="147" t="s">
        <v>20221</v>
      </c>
      <c r="D10298" s="284" t="s">
        <v>897</v>
      </c>
      <c r="E10298" s="178">
        <v>2006</v>
      </c>
      <c r="F10298" s="178" t="s">
        <v>4520</v>
      </c>
      <c r="G10298" s="496"/>
      <c r="H10298" s="994" t="s">
        <v>20277</v>
      </c>
      <c r="I10298" s="11" t="s">
        <v>13755</v>
      </c>
      <c r="J10298" s="1285"/>
      <c r="K10298" s="1285"/>
      <c r="L10298" s="1285"/>
    </row>
    <row r="10299" spans="1:12" ht="11.15" customHeight="1">
      <c r="A10299" s="129" t="s">
        <v>2579</v>
      </c>
      <c r="B10299" s="59" t="s">
        <v>22175</v>
      </c>
      <c r="C10299" s="147" t="s">
        <v>20221</v>
      </c>
      <c r="D10299" s="284" t="s">
        <v>897</v>
      </c>
      <c r="E10299" s="178">
        <v>2020</v>
      </c>
      <c r="F10299" s="178" t="s">
        <v>4520</v>
      </c>
      <c r="G10299" s="496"/>
      <c r="H10299" s="994" t="s">
        <v>20221</v>
      </c>
      <c r="I10299" s="11" t="s">
        <v>13756</v>
      </c>
      <c r="J10299" s="1285"/>
      <c r="K10299" s="1285"/>
      <c r="L10299" s="1285"/>
    </row>
    <row r="10300" spans="1:12" ht="11.15" customHeight="1">
      <c r="A10300" s="129" t="s">
        <v>13757</v>
      </c>
      <c r="B10300" s="177" t="s">
        <v>13758</v>
      </c>
      <c r="C10300" s="147"/>
      <c r="D10300" s="161"/>
      <c r="E10300" s="36"/>
      <c r="F10300" s="178"/>
      <c r="G10300" s="496"/>
      <c r="H10300" s="36"/>
      <c r="I10300" s="11"/>
    </row>
    <row r="10301" spans="1:12" ht="11.15" customHeight="1">
      <c r="A10301" s="29"/>
      <c r="B10301" s="59" t="s">
        <v>22183</v>
      </c>
      <c r="C10301" s="147" t="s">
        <v>20221</v>
      </c>
      <c r="D10301" s="284" t="s">
        <v>897</v>
      </c>
      <c r="E10301" s="178">
        <v>2013</v>
      </c>
      <c r="F10301" s="178" t="s">
        <v>23400</v>
      </c>
      <c r="G10301" s="496"/>
      <c r="H10301" s="994" t="s">
        <v>20221</v>
      </c>
      <c r="I10301" s="11" t="s">
        <v>13759</v>
      </c>
      <c r="J10301" s="1285"/>
      <c r="K10301" s="1285"/>
      <c r="L10301" s="1285"/>
    </row>
    <row r="10302" spans="1:12" ht="11.15" customHeight="1">
      <c r="A10302" s="185"/>
      <c r="B10302" s="177" t="s">
        <v>13760</v>
      </c>
      <c r="C10302" s="147"/>
      <c r="D10302" s="161"/>
      <c r="E10302" s="36"/>
      <c r="F10302" s="178"/>
      <c r="G10302" s="496"/>
      <c r="H10302" s="36"/>
      <c r="I10302" s="11"/>
    </row>
    <row r="10303" spans="1:12" ht="11.15" customHeight="1">
      <c r="A10303" s="185"/>
      <c r="B10303" s="59" t="s">
        <v>22176</v>
      </c>
      <c r="C10303" s="147" t="s">
        <v>20221</v>
      </c>
      <c r="D10303" s="284" t="s">
        <v>897</v>
      </c>
      <c r="E10303" s="178">
        <v>2013</v>
      </c>
      <c r="F10303" s="178" t="s">
        <v>9678</v>
      </c>
      <c r="G10303" s="496"/>
      <c r="H10303" s="994" t="s">
        <v>20224</v>
      </c>
      <c r="I10303" s="11" t="s">
        <v>13761</v>
      </c>
      <c r="J10303" s="1285"/>
      <c r="K10303" s="1285"/>
      <c r="L10303" s="1285"/>
    </row>
    <row r="10304" spans="1:12" ht="11.15" customHeight="1">
      <c r="A10304" s="185"/>
      <c r="B10304" s="177" t="s">
        <v>13762</v>
      </c>
      <c r="C10304" s="147"/>
      <c r="D10304" s="161"/>
      <c r="E10304" s="34"/>
      <c r="F10304" s="183"/>
      <c r="G10304" s="496"/>
      <c r="H10304" s="34"/>
      <c r="I10304" s="11"/>
    </row>
    <row r="10305" spans="1:12" ht="11.15" customHeight="1">
      <c r="A10305" s="185"/>
      <c r="B10305" s="59" t="s">
        <v>22177</v>
      </c>
      <c r="C10305" s="147" t="s">
        <v>20221</v>
      </c>
      <c r="D10305" s="284" t="s">
        <v>897</v>
      </c>
      <c r="E10305" s="178">
        <v>2013</v>
      </c>
      <c r="F10305" s="178" t="s">
        <v>9678</v>
      </c>
      <c r="G10305" s="496"/>
      <c r="H10305" s="994" t="s">
        <v>20224</v>
      </c>
      <c r="I10305" s="11" t="s">
        <v>13763</v>
      </c>
      <c r="J10305" s="1285"/>
      <c r="K10305" s="1285"/>
      <c r="L10305" s="1285"/>
    </row>
    <row r="10306" spans="1:12" ht="11.15" customHeight="1">
      <c r="A10306" s="185"/>
      <c r="B10306" s="59" t="s">
        <v>22178</v>
      </c>
      <c r="C10306" s="147" t="s">
        <v>20221</v>
      </c>
      <c r="D10306" s="284" t="s">
        <v>897</v>
      </c>
      <c r="E10306" s="178">
        <v>2013</v>
      </c>
      <c r="F10306" s="178" t="s">
        <v>9678</v>
      </c>
      <c r="G10306" s="496"/>
      <c r="H10306" s="994" t="s">
        <v>20224</v>
      </c>
      <c r="I10306" s="11" t="s">
        <v>13764</v>
      </c>
      <c r="J10306" s="1285"/>
      <c r="K10306" s="1285"/>
      <c r="L10306" s="1285"/>
    </row>
    <row r="10307" spans="1:12" ht="11.15" customHeight="1">
      <c r="A10307" s="185"/>
      <c r="B10307" s="59" t="s">
        <v>22178</v>
      </c>
      <c r="C10307" s="147" t="s">
        <v>20221</v>
      </c>
      <c r="D10307" s="284" t="s">
        <v>897</v>
      </c>
      <c r="E10307" s="178">
        <v>2012</v>
      </c>
      <c r="F10307" s="178" t="s">
        <v>9678</v>
      </c>
      <c r="G10307" s="496"/>
      <c r="H10307" s="994" t="s">
        <v>20224</v>
      </c>
      <c r="I10307" s="11" t="s">
        <v>13765</v>
      </c>
      <c r="J10307" s="1285"/>
      <c r="K10307" s="1285"/>
      <c r="L10307" s="1285"/>
    </row>
    <row r="10308" spans="1:12" ht="11.15" customHeight="1">
      <c r="A10308" s="185"/>
      <c r="B10308" s="59" t="s">
        <v>22178</v>
      </c>
      <c r="C10308" s="147" t="s">
        <v>20221</v>
      </c>
      <c r="D10308" s="284" t="s">
        <v>897</v>
      </c>
      <c r="E10308" s="178">
        <v>2011</v>
      </c>
      <c r="F10308" s="178" t="s">
        <v>9678</v>
      </c>
      <c r="G10308" s="496"/>
      <c r="H10308" s="994" t="s">
        <v>20224</v>
      </c>
      <c r="I10308" s="11" t="s">
        <v>13766</v>
      </c>
      <c r="J10308" s="1285"/>
      <c r="K10308" s="1285"/>
      <c r="L10308" s="1285"/>
    </row>
    <row r="10309" spans="1:12" ht="11.15" customHeight="1">
      <c r="A10309" s="185"/>
      <c r="B10309" s="59" t="s">
        <v>22178</v>
      </c>
      <c r="C10309" s="147" t="s">
        <v>20221</v>
      </c>
      <c r="D10309" s="284" t="s">
        <v>897</v>
      </c>
      <c r="E10309" s="178">
        <v>2009</v>
      </c>
      <c r="F10309" s="178" t="s">
        <v>9678</v>
      </c>
      <c r="G10309" s="496"/>
      <c r="H10309" s="994" t="s">
        <v>20224</v>
      </c>
      <c r="I10309" s="11" t="s">
        <v>13767</v>
      </c>
      <c r="J10309" s="1285"/>
      <c r="K10309" s="1285"/>
      <c r="L10309" s="1285"/>
    </row>
    <row r="10310" spans="1:12" ht="11.15" customHeight="1">
      <c r="A10310" s="185"/>
      <c r="B10310" s="59" t="s">
        <v>22179</v>
      </c>
      <c r="C10310" s="147" t="s">
        <v>20221</v>
      </c>
      <c r="D10310" s="284" t="s">
        <v>897</v>
      </c>
      <c r="E10310" s="178">
        <v>2013</v>
      </c>
      <c r="F10310" s="178" t="s">
        <v>9678</v>
      </c>
      <c r="G10310" s="496"/>
      <c r="H10310" s="994" t="s">
        <v>20224</v>
      </c>
      <c r="I10310" s="11" t="s">
        <v>13768</v>
      </c>
      <c r="J10310" s="1285"/>
      <c r="K10310" s="1285"/>
      <c r="L10310" s="1285"/>
    </row>
    <row r="10311" spans="1:12" ht="11.15" customHeight="1">
      <c r="A10311" s="185"/>
      <c r="B10311" s="59" t="s">
        <v>22179</v>
      </c>
      <c r="C10311" s="147" t="s">
        <v>20221</v>
      </c>
      <c r="D10311" s="284" t="s">
        <v>897</v>
      </c>
      <c r="E10311" s="178">
        <v>2011</v>
      </c>
      <c r="F10311" s="178" t="s">
        <v>9678</v>
      </c>
      <c r="G10311" s="496"/>
      <c r="H10311" s="994" t="s">
        <v>20224</v>
      </c>
      <c r="I10311" s="11" t="s">
        <v>13769</v>
      </c>
      <c r="J10311" s="1285"/>
      <c r="K10311" s="1285"/>
      <c r="L10311" s="1285"/>
    </row>
    <row r="10312" spans="1:12" ht="11.15" customHeight="1">
      <c r="A10312" s="185"/>
      <c r="B10312" s="59" t="s">
        <v>22179</v>
      </c>
      <c r="C10312" s="147" t="s">
        <v>20221</v>
      </c>
      <c r="D10312" s="284" t="s">
        <v>897</v>
      </c>
      <c r="E10312" s="178">
        <v>2009</v>
      </c>
      <c r="F10312" s="178" t="s">
        <v>9678</v>
      </c>
      <c r="G10312" s="496"/>
      <c r="H10312" s="994" t="s">
        <v>20224</v>
      </c>
      <c r="I10312" s="11" t="s">
        <v>13770</v>
      </c>
      <c r="J10312" s="1285"/>
      <c r="K10312" s="1285"/>
      <c r="L10312" s="1285"/>
    </row>
    <row r="10313" spans="1:12" ht="11.15" customHeight="1">
      <c r="A10313" s="185"/>
      <c r="B10313" s="177" t="s">
        <v>13771</v>
      </c>
      <c r="C10313" s="147"/>
      <c r="D10313" s="161"/>
      <c r="E10313" s="36"/>
      <c r="F10313" s="183"/>
      <c r="G10313" s="496"/>
      <c r="H10313" s="34"/>
      <c r="I10313" s="11"/>
    </row>
    <row r="10314" spans="1:12" ht="11.15" customHeight="1">
      <c r="A10314" s="185"/>
      <c r="B10314" s="59" t="s">
        <v>22180</v>
      </c>
      <c r="C10314" s="147" t="s">
        <v>20221</v>
      </c>
      <c r="D10314" s="284" t="s">
        <v>897</v>
      </c>
      <c r="E10314" s="178">
        <v>2014</v>
      </c>
      <c r="F10314" s="178" t="s">
        <v>11938</v>
      </c>
      <c r="G10314" s="496"/>
      <c r="H10314" s="994" t="s">
        <v>20224</v>
      </c>
      <c r="I10314" s="11" t="s">
        <v>13772</v>
      </c>
      <c r="J10314" s="1285"/>
      <c r="K10314" s="1285"/>
      <c r="L10314" s="1285"/>
    </row>
    <row r="10315" spans="1:12" ht="11.15" customHeight="1">
      <c r="A10315" s="185"/>
      <c r="B10315" s="59" t="s">
        <v>22180</v>
      </c>
      <c r="C10315" s="147" t="s">
        <v>20221</v>
      </c>
      <c r="D10315" s="284" t="s">
        <v>897</v>
      </c>
      <c r="E10315" s="178">
        <v>2013</v>
      </c>
      <c r="F10315" s="178" t="s">
        <v>11938</v>
      </c>
      <c r="G10315" s="496"/>
      <c r="H10315" s="994" t="s">
        <v>20224</v>
      </c>
      <c r="I10315" s="11" t="s">
        <v>13773</v>
      </c>
      <c r="J10315" s="1285"/>
      <c r="K10315" s="1285"/>
      <c r="L10315" s="1285"/>
    </row>
    <row r="10316" spans="1:12" ht="11.15" customHeight="1">
      <c r="A10316" s="185"/>
      <c r="B10316" s="59" t="s">
        <v>22181</v>
      </c>
      <c r="C10316" s="147" t="s">
        <v>20221</v>
      </c>
      <c r="D10316" s="284" t="s">
        <v>897</v>
      </c>
      <c r="E10316" s="178">
        <v>2013</v>
      </c>
      <c r="F10316" s="178" t="s">
        <v>11938</v>
      </c>
      <c r="G10316" s="496"/>
      <c r="H10316" s="994" t="s">
        <v>20224</v>
      </c>
      <c r="I10316" s="11" t="s">
        <v>13774</v>
      </c>
      <c r="J10316" s="1285"/>
      <c r="K10316" s="1285"/>
      <c r="L10316" s="1285"/>
    </row>
    <row r="10317" spans="1:12" ht="11.15" customHeight="1">
      <c r="A10317" s="185"/>
      <c r="B10317" s="59" t="s">
        <v>22182</v>
      </c>
      <c r="C10317" s="147" t="s">
        <v>20221</v>
      </c>
      <c r="D10317" s="284" t="s">
        <v>897</v>
      </c>
      <c r="E10317" s="178">
        <v>2008</v>
      </c>
      <c r="F10317" s="178" t="s">
        <v>11938</v>
      </c>
      <c r="G10317" s="496"/>
      <c r="H10317" s="994" t="s">
        <v>20224</v>
      </c>
      <c r="I10317" s="11" t="s">
        <v>13775</v>
      </c>
      <c r="J10317" s="1285"/>
      <c r="K10317" s="1285"/>
      <c r="L10317" s="1285"/>
    </row>
    <row r="10318" spans="1:12" ht="9.75" customHeight="1" thickBot="1">
      <c r="A10318" s="185"/>
      <c r="B10318" s="379"/>
      <c r="C10318" s="147"/>
      <c r="D10318" s="122"/>
      <c r="E10318" s="36"/>
      <c r="F10318" s="183"/>
      <c r="G10318" s="453"/>
      <c r="H10318" s="34"/>
      <c r="I10318" s="11"/>
    </row>
    <row r="10319" spans="1:12" ht="24" customHeight="1" thickBot="1">
      <c r="A10319" s="692"/>
      <c r="B10319" s="50" t="s">
        <v>13776</v>
      </c>
      <c r="C10319" s="170"/>
      <c r="D10319" s="382"/>
      <c r="E10319" s="510"/>
      <c r="F10319" s="1080"/>
      <c r="G10319" s="1249"/>
      <c r="H10319" s="1132"/>
      <c r="I10319" s="11"/>
    </row>
    <row r="10320" spans="1:12" ht="11.15" customHeight="1">
      <c r="A10320" s="153" t="s">
        <v>13777</v>
      </c>
      <c r="B10320" s="59" t="s">
        <v>22184</v>
      </c>
      <c r="C10320" s="147" t="s">
        <v>20221</v>
      </c>
      <c r="D10320" s="701" t="s">
        <v>1129</v>
      </c>
      <c r="E10320" s="178">
        <v>2022</v>
      </c>
      <c r="F10320" s="178" t="s">
        <v>4520</v>
      </c>
      <c r="G10320" s="496"/>
      <c r="H10320" s="994" t="s">
        <v>20221</v>
      </c>
      <c r="I10320" s="11" t="s">
        <v>13778</v>
      </c>
      <c r="J10320" s="1285"/>
      <c r="K10320" s="1285"/>
      <c r="L10320" s="1285"/>
    </row>
    <row r="10321" spans="1:12" ht="11.15" customHeight="1" thickBot="1">
      <c r="A10321" s="230" t="s">
        <v>13779</v>
      </c>
      <c r="B10321" s="59" t="s">
        <v>22184</v>
      </c>
      <c r="C10321" s="147" t="s">
        <v>20221</v>
      </c>
      <c r="D10321" s="701" t="s">
        <v>1129</v>
      </c>
      <c r="E10321" s="178">
        <v>2020</v>
      </c>
      <c r="F10321" s="178" t="s">
        <v>4520</v>
      </c>
      <c r="G10321" s="496"/>
      <c r="H10321" s="994" t="s">
        <v>20221</v>
      </c>
      <c r="I10321" s="11" t="s">
        <v>13780</v>
      </c>
      <c r="J10321" s="1285"/>
      <c r="K10321" s="1285"/>
      <c r="L10321" s="1285"/>
    </row>
    <row r="10322" spans="1:12" ht="11.15" customHeight="1">
      <c r="A10322" s="29" t="s">
        <v>13781</v>
      </c>
      <c r="B10322" s="59" t="s">
        <v>22184</v>
      </c>
      <c r="C10322" s="147" t="s">
        <v>20221</v>
      </c>
      <c r="D10322" s="701" t="s">
        <v>1129</v>
      </c>
      <c r="E10322" s="178">
        <v>2016</v>
      </c>
      <c r="F10322" s="178" t="s">
        <v>4520</v>
      </c>
      <c r="G10322" s="496"/>
      <c r="H10322" s="994" t="s">
        <v>20221</v>
      </c>
      <c r="I10322" s="11" t="s">
        <v>13782</v>
      </c>
      <c r="J10322" s="1285"/>
      <c r="K10322" s="1285"/>
      <c r="L10322" s="1285"/>
    </row>
    <row r="10323" spans="1:12" ht="11.15" customHeight="1">
      <c r="A10323" s="29" t="s">
        <v>13783</v>
      </c>
      <c r="B10323" s="177"/>
      <c r="C10323" s="147"/>
      <c r="D10323" s="159"/>
      <c r="E10323" s="36"/>
      <c r="F10323" s="178"/>
      <c r="G10323" s="496"/>
      <c r="H10323" s="36"/>
      <c r="I10323" s="11"/>
    </row>
    <row r="10324" spans="1:12" ht="11.15" customHeight="1">
      <c r="A10324" s="29" t="s">
        <v>13784</v>
      </c>
      <c r="B10324" s="90"/>
      <c r="C10324" s="147"/>
      <c r="D10324" s="159"/>
      <c r="E10324" s="36"/>
      <c r="F10324" s="178"/>
      <c r="G10324" s="496"/>
      <c r="H10324" s="36"/>
      <c r="I10324" s="11"/>
    </row>
    <row r="10325" spans="1:12" ht="11.15" customHeight="1">
      <c r="A10325" s="29" t="s">
        <v>13785</v>
      </c>
      <c r="B10325" s="90"/>
      <c r="C10325" s="147"/>
      <c r="D10325" s="159"/>
      <c r="E10325" s="36"/>
      <c r="F10325" s="178"/>
      <c r="G10325" s="496"/>
      <c r="H10325" s="36"/>
      <c r="I10325" s="11"/>
    </row>
    <row r="10326" spans="1:12" ht="11.15" customHeight="1">
      <c r="A10326" s="195" t="s">
        <v>13786</v>
      </c>
      <c r="B10326" s="90"/>
      <c r="C10326" s="147"/>
      <c r="D10326" s="159"/>
      <c r="E10326" s="36"/>
      <c r="F10326" s="178"/>
      <c r="G10326" s="496"/>
      <c r="H10326" s="36"/>
      <c r="I10326" s="11"/>
    </row>
    <row r="10327" spans="1:12" ht="11.15" customHeight="1">
      <c r="A10327" s="129" t="s">
        <v>903</v>
      </c>
      <c r="B10327" s="90"/>
      <c r="C10327" s="147"/>
      <c r="D10327" s="161"/>
      <c r="E10327" s="36"/>
      <c r="F10327" s="178"/>
      <c r="G10327" s="671"/>
      <c r="H10327" s="36"/>
      <c r="I10327" s="11"/>
    </row>
    <row r="10328" spans="1:12" ht="9" customHeight="1">
      <c r="A10328" s="162" t="s">
        <v>13787</v>
      </c>
      <c r="B10328" s="90"/>
      <c r="C10328" s="147"/>
      <c r="D10328" s="161"/>
      <c r="E10328" s="36"/>
      <c r="F10328" s="178"/>
      <c r="G10328" s="496"/>
      <c r="H10328" s="36"/>
      <c r="I10328" s="11"/>
    </row>
    <row r="10329" spans="1:12" ht="9" customHeight="1">
      <c r="A10329" s="162" t="s">
        <v>13788</v>
      </c>
      <c r="B10329" s="90"/>
      <c r="C10329" s="147"/>
      <c r="D10329" s="161"/>
      <c r="E10329" s="36"/>
      <c r="F10329" s="178"/>
      <c r="G10329" s="496"/>
      <c r="H10329" s="36"/>
      <c r="I10329" s="11"/>
    </row>
    <row r="10330" spans="1:12" ht="9" customHeight="1">
      <c r="A10330" s="162" t="s">
        <v>13789</v>
      </c>
      <c r="B10330" s="90"/>
      <c r="C10330" s="147"/>
      <c r="D10330" s="161"/>
      <c r="E10330" s="36"/>
      <c r="F10330" s="178"/>
      <c r="G10330" s="496"/>
      <c r="H10330" s="36"/>
      <c r="I10330" s="11"/>
    </row>
    <row r="10331" spans="1:12" ht="9" customHeight="1">
      <c r="A10331" s="162" t="s">
        <v>13790</v>
      </c>
      <c r="B10331" s="90"/>
      <c r="C10331" s="147"/>
      <c r="D10331" s="161"/>
      <c r="E10331" s="36"/>
      <c r="F10331" s="178"/>
      <c r="G10331" s="496"/>
      <c r="H10331" s="36"/>
      <c r="I10331" s="11"/>
    </row>
    <row r="10332" spans="1:12" ht="9" customHeight="1">
      <c r="A10332" s="162" t="s">
        <v>13791</v>
      </c>
      <c r="B10332" s="90"/>
      <c r="C10332" s="147"/>
      <c r="D10332" s="161"/>
      <c r="E10332" s="34"/>
      <c r="F10332" s="178"/>
      <c r="G10332" s="496"/>
      <c r="H10332" s="36"/>
      <c r="I10332" s="11"/>
    </row>
    <row r="10333" spans="1:12" ht="9" customHeight="1">
      <c r="A10333" s="162" t="s">
        <v>13792</v>
      </c>
      <c r="B10333" s="90"/>
      <c r="C10333" s="147"/>
      <c r="D10333" s="161"/>
      <c r="E10333" s="34"/>
      <c r="F10333" s="178"/>
      <c r="G10333" s="496"/>
      <c r="H10333" s="36"/>
      <c r="I10333" s="11"/>
    </row>
    <row r="10334" spans="1:12" ht="9" customHeight="1">
      <c r="A10334" s="162" t="s">
        <v>13793</v>
      </c>
      <c r="B10334" s="90"/>
      <c r="C10334" s="147"/>
      <c r="D10334" s="161"/>
      <c r="E10334" s="34"/>
      <c r="F10334" s="178"/>
      <c r="G10334" s="496"/>
      <c r="H10334" s="36"/>
      <c r="I10334" s="11"/>
    </row>
    <row r="10335" spans="1:12" ht="9" customHeight="1">
      <c r="A10335" s="162" t="s">
        <v>13794</v>
      </c>
      <c r="B10335" s="90"/>
      <c r="C10335" s="147"/>
      <c r="D10335" s="161"/>
      <c r="E10335" s="34"/>
      <c r="F10335" s="178"/>
      <c r="G10335" s="496"/>
      <c r="H10335" s="36"/>
      <c r="I10335" s="11"/>
    </row>
    <row r="10336" spans="1:12" ht="9" customHeight="1">
      <c r="A10336" s="162" t="s">
        <v>13795</v>
      </c>
      <c r="B10336" s="90"/>
      <c r="C10336" s="147"/>
      <c r="D10336" s="161"/>
      <c r="E10336" s="34"/>
      <c r="F10336" s="178"/>
      <c r="G10336" s="496"/>
      <c r="H10336" s="36"/>
      <c r="I10336" s="11"/>
    </row>
    <row r="10337" spans="1:12" ht="11.15" customHeight="1">
      <c r="A10337" s="218" t="s">
        <v>1595</v>
      </c>
      <c r="B10337" s="90"/>
      <c r="C10337" s="147"/>
      <c r="D10337" s="159"/>
      <c r="E10337" s="36"/>
      <c r="F10337" s="178"/>
      <c r="G10337" s="496"/>
      <c r="H10337" s="36"/>
      <c r="I10337" s="11"/>
    </row>
    <row r="10338" spans="1:12" ht="11.15" customHeight="1">
      <c r="A10338" s="129" t="s">
        <v>1630</v>
      </c>
      <c r="B10338" s="185"/>
      <c r="C10338" s="147"/>
      <c r="D10338" s="122"/>
      <c r="E10338" s="36"/>
      <c r="F10338" s="183"/>
      <c r="G10338" s="60"/>
      <c r="H10338" s="34"/>
      <c r="I10338" s="11"/>
    </row>
    <row r="10339" spans="1:12" ht="11.15" customHeight="1">
      <c r="A10339" s="495" t="s">
        <v>13796</v>
      </c>
      <c r="B10339" s="185"/>
      <c r="C10339" s="147"/>
      <c r="D10339" s="122"/>
      <c r="E10339" s="36"/>
      <c r="F10339" s="183"/>
      <c r="G10339" s="60"/>
      <c r="H10339" s="34"/>
      <c r="I10339" s="11"/>
    </row>
    <row r="10340" spans="1:12" ht="11.15" customHeight="1">
      <c r="A10340" s="279" t="s">
        <v>13797</v>
      </c>
      <c r="B10340" s="90"/>
      <c r="C10340" s="147"/>
      <c r="D10340" s="122"/>
      <c r="E10340" s="36"/>
      <c r="F10340" s="183"/>
      <c r="G10340" s="496"/>
      <c r="H10340" s="34"/>
      <c r="I10340" s="11"/>
    </row>
    <row r="10341" spans="1:12" ht="11.15" customHeight="1">
      <c r="A10341" s="495" t="s">
        <v>13798</v>
      </c>
      <c r="B10341" s="90"/>
      <c r="C10341" s="147"/>
      <c r="D10341" s="122"/>
      <c r="E10341" s="36"/>
      <c r="F10341" s="183"/>
      <c r="G10341" s="496"/>
      <c r="H10341" s="34"/>
      <c r="I10341" s="11"/>
    </row>
    <row r="10342" spans="1:12" ht="11.15" customHeight="1">
      <c r="A10342" s="169" t="s">
        <v>11041</v>
      </c>
      <c r="B10342" s="90"/>
      <c r="C10342" s="147"/>
      <c r="D10342" s="161"/>
      <c r="E10342" s="36"/>
      <c r="F10342" s="183"/>
      <c r="G10342" s="496"/>
      <c r="H10342" s="34"/>
      <c r="I10342" s="11"/>
    </row>
    <row r="10343" spans="1:12" ht="11.15" customHeight="1">
      <c r="A10343" s="129" t="s">
        <v>13799</v>
      </c>
      <c r="B10343" s="693"/>
      <c r="C10343" s="147"/>
      <c r="D10343" s="122"/>
      <c r="E10343" s="36"/>
      <c r="F10343" s="183"/>
      <c r="G10343" s="453"/>
      <c r="H10343" s="34"/>
      <c r="I10343" s="11"/>
    </row>
    <row r="10344" spans="1:12" ht="11.15" customHeight="1">
      <c r="A10344" s="329"/>
      <c r="B10344" s="694" t="s">
        <v>13800</v>
      </c>
      <c r="C10344" s="321"/>
      <c r="D10344" s="320"/>
      <c r="E10344" s="322"/>
      <c r="F10344" s="347"/>
      <c r="G10344" s="579"/>
      <c r="H10344" s="326"/>
      <c r="I10344" s="11"/>
    </row>
    <row r="10345" spans="1:12" ht="11.15" customHeight="1" thickBot="1">
      <c r="A10345" s="329"/>
      <c r="B10345" s="320" t="s">
        <v>13801</v>
      </c>
      <c r="C10345" s="321"/>
      <c r="D10345" s="320"/>
      <c r="E10345" s="322"/>
      <c r="F10345" s="347"/>
      <c r="G10345" s="579"/>
      <c r="H10345" s="326"/>
      <c r="I10345" s="11"/>
    </row>
    <row r="10346" spans="1:12" ht="11.15" customHeight="1" thickBot="1">
      <c r="A10346" s="343" t="s">
        <v>13802</v>
      </c>
      <c r="B10346" s="344" t="s">
        <v>13803</v>
      </c>
      <c r="C10346" s="321"/>
      <c r="D10346" s="320"/>
      <c r="E10346" s="322"/>
      <c r="F10346" s="347"/>
      <c r="G10346" s="579"/>
      <c r="H10346" s="326"/>
      <c r="I10346" s="11"/>
    </row>
    <row r="10347" spans="1:12" ht="11.15" customHeight="1">
      <c r="A10347" s="319" t="s">
        <v>13804</v>
      </c>
      <c r="B10347" s="324" t="s">
        <v>22186</v>
      </c>
      <c r="C10347" s="321" t="s">
        <v>20221</v>
      </c>
      <c r="D10347" s="1297" t="s">
        <v>884</v>
      </c>
      <c r="E10347" s="578" t="s">
        <v>19060</v>
      </c>
      <c r="F10347" s="578" t="s">
        <v>4520</v>
      </c>
      <c r="G10347" s="1204"/>
      <c r="H10347" s="1296" t="s">
        <v>20277</v>
      </c>
      <c r="I10347" s="11" t="s">
        <v>13805</v>
      </c>
      <c r="J10347" s="1285"/>
      <c r="K10347" s="1285"/>
      <c r="L10347" s="1285"/>
    </row>
    <row r="10348" spans="1:12" ht="11.15" customHeight="1">
      <c r="A10348" s="319" t="s">
        <v>13806</v>
      </c>
      <c r="B10348" s="695" t="s">
        <v>13807</v>
      </c>
      <c r="C10348" s="321"/>
      <c r="D10348" s="341"/>
      <c r="E10348" s="322"/>
      <c r="F10348" s="578"/>
      <c r="G10348" s="1204"/>
      <c r="H10348" s="322"/>
      <c r="I10348" s="11"/>
    </row>
    <row r="10349" spans="1:12" ht="11.15" customHeight="1">
      <c r="A10349" s="319" t="s">
        <v>13808</v>
      </c>
      <c r="B10349" s="324" t="s">
        <v>22187</v>
      </c>
      <c r="C10349" s="321" t="s">
        <v>20221</v>
      </c>
      <c r="D10349" s="1297" t="s">
        <v>7355</v>
      </c>
      <c r="E10349" s="578">
        <v>2013</v>
      </c>
      <c r="F10349" s="578" t="s">
        <v>4520</v>
      </c>
      <c r="G10349" s="1204"/>
      <c r="H10349" s="322" t="s">
        <v>20221</v>
      </c>
      <c r="I10349" s="11" t="s">
        <v>13809</v>
      </c>
      <c r="J10349" s="1285"/>
      <c r="K10349" s="1285"/>
      <c r="L10349" s="1285"/>
    </row>
    <row r="10350" spans="1:12" ht="11.15" customHeight="1">
      <c r="A10350" s="328" t="s">
        <v>1595</v>
      </c>
      <c r="B10350" s="339" t="s">
        <v>13810</v>
      </c>
      <c r="C10350" s="321"/>
      <c r="D10350" s="320"/>
      <c r="E10350" s="322"/>
      <c r="F10350" s="578"/>
      <c r="G10350" s="579"/>
      <c r="H10350" s="322"/>
      <c r="I10350" s="11"/>
    </row>
    <row r="10351" spans="1:12" ht="11.15" customHeight="1">
      <c r="A10351" s="319" t="s">
        <v>13811</v>
      </c>
      <c r="B10351" s="324" t="s">
        <v>22188</v>
      </c>
      <c r="C10351" s="321" t="s">
        <v>20221</v>
      </c>
      <c r="D10351" s="1295" t="s">
        <v>897</v>
      </c>
      <c r="E10351" s="578">
        <v>2010</v>
      </c>
      <c r="F10351" s="578" t="s">
        <v>4520</v>
      </c>
      <c r="G10351" s="1204"/>
      <c r="H10351" s="322" t="s">
        <v>20221</v>
      </c>
      <c r="I10351" s="11" t="s">
        <v>13812</v>
      </c>
      <c r="J10351" s="1285"/>
      <c r="K10351" s="1285"/>
      <c r="L10351" s="1285"/>
    </row>
    <row r="10352" spans="1:12" ht="11.15" customHeight="1">
      <c r="A10352" s="319" t="s">
        <v>13813</v>
      </c>
      <c r="B10352" s="339" t="s">
        <v>13814</v>
      </c>
      <c r="C10352" s="321"/>
      <c r="D10352" s="320"/>
      <c r="E10352" s="322"/>
      <c r="F10352" s="578"/>
      <c r="G10352" s="579"/>
      <c r="H10352" s="322"/>
      <c r="I10352" s="11"/>
    </row>
    <row r="10353" spans="1:12" ht="11.15" customHeight="1">
      <c r="A10353" s="330" t="s">
        <v>903</v>
      </c>
      <c r="B10353" s="324" t="s">
        <v>22189</v>
      </c>
      <c r="C10353" s="321" t="s">
        <v>20221</v>
      </c>
      <c r="D10353" s="1295" t="s">
        <v>897</v>
      </c>
      <c r="E10353" s="578">
        <v>2010</v>
      </c>
      <c r="F10353" s="578" t="s">
        <v>4520</v>
      </c>
      <c r="G10353" s="1204"/>
      <c r="H10353" s="322" t="s">
        <v>20221</v>
      </c>
      <c r="I10353" s="11" t="s">
        <v>13815</v>
      </c>
      <c r="J10353" s="1285"/>
      <c r="K10353" s="1285"/>
      <c r="L10353" s="1285"/>
    </row>
    <row r="10354" spans="1:12" ht="11.15" customHeight="1">
      <c r="A10354" s="331" t="s">
        <v>13787</v>
      </c>
      <c r="B10354" s="324" t="s">
        <v>22189</v>
      </c>
      <c r="C10354" s="321" t="s">
        <v>20221</v>
      </c>
      <c r="D10354" s="1295" t="s">
        <v>897</v>
      </c>
      <c r="E10354" s="578">
        <v>2008</v>
      </c>
      <c r="F10354" s="578" t="s">
        <v>4520</v>
      </c>
      <c r="G10354" s="1204"/>
      <c r="H10354" s="1296" t="s">
        <v>20224</v>
      </c>
      <c r="I10354" s="11" t="s">
        <v>13816</v>
      </c>
      <c r="J10354" s="1285"/>
      <c r="K10354" s="1285"/>
      <c r="L10354" s="1285"/>
    </row>
    <row r="10355" spans="1:12" ht="11.15" customHeight="1">
      <c r="A10355" s="331" t="s">
        <v>13788</v>
      </c>
      <c r="B10355" s="324" t="s">
        <v>22190</v>
      </c>
      <c r="C10355" s="321" t="s">
        <v>20221</v>
      </c>
      <c r="D10355" s="1295" t="s">
        <v>897</v>
      </c>
      <c r="E10355" s="578">
        <v>2014</v>
      </c>
      <c r="F10355" s="578" t="s">
        <v>5257</v>
      </c>
      <c r="G10355" s="1204"/>
      <c r="H10355" s="322" t="s">
        <v>20221</v>
      </c>
      <c r="I10355" s="11" t="s">
        <v>13817</v>
      </c>
      <c r="J10355" s="1285"/>
      <c r="K10355" s="1285"/>
      <c r="L10355" s="1285"/>
    </row>
    <row r="10356" spans="1:12" ht="11.15" customHeight="1">
      <c r="A10356" s="331" t="s">
        <v>13818</v>
      </c>
      <c r="B10356" s="339" t="s">
        <v>13819</v>
      </c>
      <c r="C10356" s="321"/>
      <c r="D10356" s="329"/>
      <c r="E10356" s="329"/>
      <c r="F10356" s="329"/>
      <c r="G10356" s="329"/>
      <c r="H10356" s="329"/>
      <c r="I10356" s="11"/>
    </row>
    <row r="10357" spans="1:12" ht="11.15" customHeight="1">
      <c r="A10357" s="331" t="s">
        <v>13790</v>
      </c>
      <c r="B10357" s="324" t="s">
        <v>22191</v>
      </c>
      <c r="C10357" s="321" t="s">
        <v>20221</v>
      </c>
      <c r="D10357" s="1295" t="s">
        <v>897</v>
      </c>
      <c r="E10357" s="578">
        <v>2010</v>
      </c>
      <c r="F10357" s="578" t="s">
        <v>4520</v>
      </c>
      <c r="G10357" s="1204"/>
      <c r="H10357" s="1296" t="s">
        <v>20224</v>
      </c>
      <c r="I10357" s="11" t="s">
        <v>13820</v>
      </c>
      <c r="J10357" s="1285"/>
      <c r="K10357" s="1285"/>
      <c r="L10357" s="1285"/>
    </row>
    <row r="10358" spans="1:12" ht="11.15" customHeight="1">
      <c r="A10358" s="331" t="s">
        <v>13791</v>
      </c>
      <c r="B10358" s="324" t="s">
        <v>22192</v>
      </c>
      <c r="C10358" s="321" t="s">
        <v>20221</v>
      </c>
      <c r="D10358" s="1295" t="s">
        <v>897</v>
      </c>
      <c r="E10358" s="578">
        <v>2005</v>
      </c>
      <c r="F10358" s="578" t="s">
        <v>4520</v>
      </c>
      <c r="G10358" s="1204"/>
      <c r="H10358" s="322" t="s">
        <v>20221</v>
      </c>
      <c r="I10358" s="11" t="s">
        <v>13821</v>
      </c>
      <c r="J10358" s="1285"/>
      <c r="K10358" s="1285"/>
      <c r="L10358" s="1285"/>
    </row>
    <row r="10359" spans="1:12" ht="11.15" customHeight="1">
      <c r="A10359" s="331" t="s">
        <v>13792</v>
      </c>
      <c r="B10359" s="324"/>
      <c r="C10359" s="321"/>
      <c r="D10359" s="325"/>
      <c r="E10359" s="326"/>
      <c r="F10359" s="578"/>
      <c r="G10359" s="1205"/>
      <c r="H10359" s="322"/>
      <c r="I10359" s="11"/>
    </row>
    <row r="10360" spans="1:12" ht="11.15" customHeight="1">
      <c r="A10360" s="331" t="s">
        <v>13793</v>
      </c>
      <c r="B10360" s="324"/>
      <c r="C10360" s="321"/>
      <c r="D10360" s="325"/>
      <c r="E10360" s="326"/>
      <c r="F10360" s="578"/>
      <c r="G10360" s="1205"/>
      <c r="H10360" s="322"/>
      <c r="I10360" s="11"/>
    </row>
    <row r="10361" spans="1:12" ht="11.15" customHeight="1">
      <c r="A10361" s="331" t="s">
        <v>13794</v>
      </c>
      <c r="B10361" s="324"/>
      <c r="C10361" s="321"/>
      <c r="D10361" s="325"/>
      <c r="E10361" s="326"/>
      <c r="F10361" s="578"/>
      <c r="G10361" s="1205"/>
      <c r="H10361" s="322"/>
      <c r="I10361" s="11"/>
    </row>
    <row r="10362" spans="1:12" ht="11.15" customHeight="1">
      <c r="A10362" s="331" t="s">
        <v>13822</v>
      </c>
      <c r="B10362" s="329"/>
      <c r="C10362" s="321"/>
      <c r="D10362" s="329"/>
      <c r="E10362" s="329"/>
      <c r="F10362" s="329"/>
      <c r="G10362" s="329"/>
      <c r="H10362" s="329"/>
      <c r="I10362" s="11"/>
    </row>
    <row r="10363" spans="1:12" ht="11.15" customHeight="1">
      <c r="A10363" s="330" t="s">
        <v>951</v>
      </c>
      <c r="B10363" s="329"/>
      <c r="C10363" s="321"/>
      <c r="D10363" s="329"/>
      <c r="E10363" s="329"/>
      <c r="F10363" s="329"/>
      <c r="G10363" s="329"/>
      <c r="H10363" s="329"/>
      <c r="I10363" s="11"/>
    </row>
    <row r="10364" spans="1:12" ht="11.15" customHeight="1">
      <c r="A10364" s="587" t="s">
        <v>13823</v>
      </c>
      <c r="B10364" s="329"/>
      <c r="C10364" s="321"/>
      <c r="D10364" s="329"/>
      <c r="E10364" s="329"/>
      <c r="F10364" s="329"/>
      <c r="G10364" s="329"/>
      <c r="H10364" s="329"/>
      <c r="I10364" s="11"/>
    </row>
    <row r="10365" spans="1:12" ht="11.15" customHeight="1">
      <c r="A10365" s="331" t="s">
        <v>13824</v>
      </c>
      <c r="B10365" s="329"/>
      <c r="C10365" s="321"/>
      <c r="D10365" s="329"/>
      <c r="E10365" s="329"/>
      <c r="F10365" s="329"/>
      <c r="G10365" s="329"/>
      <c r="H10365" s="329"/>
      <c r="I10365" s="11"/>
    </row>
    <row r="10366" spans="1:12" ht="11.15" customHeight="1">
      <c r="A10366" s="587" t="s">
        <v>13825</v>
      </c>
      <c r="B10366" s="329"/>
      <c r="C10366" s="321"/>
      <c r="D10366" s="329"/>
      <c r="E10366" s="329"/>
      <c r="F10366" s="329"/>
      <c r="G10366" s="329"/>
      <c r="H10366" s="329"/>
      <c r="I10366" s="11"/>
    </row>
    <row r="10367" spans="1:12" ht="11.15" customHeight="1">
      <c r="A10367" s="331" t="s">
        <v>13826</v>
      </c>
      <c r="B10367" s="329"/>
      <c r="C10367" s="321"/>
      <c r="D10367" s="329"/>
      <c r="E10367" s="329"/>
      <c r="F10367" s="329"/>
      <c r="G10367" s="329"/>
      <c r="H10367" s="329"/>
      <c r="I10367" s="11"/>
    </row>
    <row r="10368" spans="1:12" ht="11.15" customHeight="1">
      <c r="A10368" s="587" t="s">
        <v>13827</v>
      </c>
      <c r="B10368" s="324"/>
      <c r="C10368" s="321"/>
      <c r="D10368" s="325"/>
      <c r="E10368" s="322"/>
      <c r="F10368" s="347"/>
      <c r="G10368" s="1235"/>
      <c r="H10368" s="326"/>
      <c r="I10368" s="11"/>
    </row>
    <row r="10369" spans="1:9" ht="11.15" customHeight="1">
      <c r="A10369" s="331" t="s">
        <v>13828</v>
      </c>
      <c r="B10369" s="324"/>
      <c r="C10369" s="321"/>
      <c r="D10369" s="325"/>
      <c r="E10369" s="322"/>
      <c r="F10369" s="347"/>
      <c r="G10369" s="1235"/>
      <c r="H10369" s="326"/>
      <c r="I10369" s="11"/>
    </row>
    <row r="10370" spans="1:9" ht="11.15" customHeight="1">
      <c r="A10370" s="331" t="s">
        <v>13829</v>
      </c>
      <c r="B10370" s="324"/>
      <c r="C10370" s="321"/>
      <c r="D10370" s="325"/>
      <c r="E10370" s="322"/>
      <c r="F10370" s="347"/>
      <c r="G10370" s="1235"/>
      <c r="H10370" s="326"/>
      <c r="I10370" s="11"/>
    </row>
    <row r="10371" spans="1:9" ht="11.15" customHeight="1">
      <c r="A10371" s="587" t="s">
        <v>13830</v>
      </c>
      <c r="B10371" s="324"/>
      <c r="C10371" s="321"/>
      <c r="D10371" s="325"/>
      <c r="E10371" s="322"/>
      <c r="F10371" s="347"/>
      <c r="G10371" s="1235"/>
      <c r="H10371" s="326"/>
      <c r="I10371" s="11"/>
    </row>
    <row r="10372" spans="1:9" ht="11.15" customHeight="1">
      <c r="A10372" s="331" t="s">
        <v>13831</v>
      </c>
      <c r="B10372" s="329"/>
      <c r="C10372" s="321"/>
      <c r="D10372" s="329"/>
      <c r="E10372" s="329"/>
      <c r="F10372" s="329"/>
      <c r="G10372" s="329"/>
      <c r="H10372" s="329"/>
      <c r="I10372" s="11"/>
    </row>
    <row r="10373" spans="1:9" ht="11.15" customHeight="1">
      <c r="A10373" s="587" t="s">
        <v>13832</v>
      </c>
      <c r="B10373" s="324"/>
      <c r="C10373" s="321"/>
      <c r="D10373" s="325"/>
      <c r="E10373" s="322"/>
      <c r="F10373" s="347"/>
      <c r="G10373" s="1204"/>
      <c r="H10373" s="326"/>
      <c r="I10373" s="11"/>
    </row>
    <row r="10374" spans="1:9" ht="11.15" customHeight="1">
      <c r="A10374" s="331" t="s">
        <v>13833</v>
      </c>
      <c r="B10374" s="339"/>
      <c r="C10374" s="321"/>
      <c r="D10374" s="330"/>
      <c r="E10374" s="329"/>
      <c r="F10374" s="329"/>
      <c r="G10374" s="329"/>
      <c r="H10374" s="329"/>
      <c r="I10374" s="11"/>
    </row>
    <row r="10375" spans="1:9" ht="11.15" customHeight="1">
      <c r="A10375" s="331" t="s">
        <v>13834</v>
      </c>
      <c r="B10375" s="339"/>
      <c r="C10375" s="321"/>
      <c r="D10375" s="330"/>
      <c r="E10375" s="329"/>
      <c r="F10375" s="329"/>
      <c r="G10375" s="329"/>
      <c r="H10375" s="329"/>
      <c r="I10375" s="11"/>
    </row>
    <row r="10376" spans="1:9" ht="11.15" customHeight="1">
      <c r="A10376" s="330" t="s">
        <v>13835</v>
      </c>
      <c r="B10376" s="696"/>
      <c r="C10376" s="321"/>
      <c r="D10376" s="320"/>
      <c r="E10376" s="322"/>
      <c r="F10376" s="347"/>
      <c r="G10376" s="1234"/>
      <c r="H10376" s="326"/>
      <c r="I10376" s="11"/>
    </row>
    <row r="10377" spans="1:9" ht="11.15" customHeight="1">
      <c r="A10377" s="331" t="s">
        <v>13836</v>
      </c>
      <c r="B10377" s="324"/>
      <c r="C10377" s="321"/>
      <c r="D10377" s="320"/>
      <c r="E10377" s="322"/>
      <c r="F10377" s="347"/>
      <c r="G10377" s="1204"/>
      <c r="H10377" s="326"/>
      <c r="I10377" s="11"/>
    </row>
    <row r="10378" spans="1:9" ht="11.15" customHeight="1">
      <c r="A10378" s="331" t="s">
        <v>13837</v>
      </c>
      <c r="B10378" s="324"/>
      <c r="C10378" s="321"/>
      <c r="D10378" s="320"/>
      <c r="E10378" s="322"/>
      <c r="F10378" s="347"/>
      <c r="G10378" s="1204"/>
      <c r="H10378" s="326"/>
      <c r="I10378" s="11"/>
    </row>
    <row r="10379" spans="1:9" ht="11.15" customHeight="1">
      <c r="A10379" s="331" t="s">
        <v>13838</v>
      </c>
      <c r="B10379" s="324"/>
      <c r="C10379" s="321"/>
      <c r="D10379" s="320"/>
      <c r="E10379" s="322"/>
      <c r="F10379" s="347"/>
      <c r="G10379" s="1204"/>
      <c r="H10379" s="326"/>
      <c r="I10379" s="11"/>
    </row>
    <row r="10380" spans="1:9" ht="11.15" customHeight="1">
      <c r="A10380" s="331" t="s">
        <v>13839</v>
      </c>
      <c r="B10380" s="324"/>
      <c r="C10380" s="321"/>
      <c r="D10380" s="320"/>
      <c r="E10380" s="322"/>
      <c r="F10380" s="347"/>
      <c r="G10380" s="1204"/>
      <c r="H10380" s="326"/>
      <c r="I10380" s="11"/>
    </row>
    <row r="10381" spans="1:9" ht="11.15" customHeight="1">
      <c r="A10381" s="331" t="s">
        <v>13840</v>
      </c>
      <c r="B10381" s="324"/>
      <c r="C10381" s="321"/>
      <c r="D10381" s="320"/>
      <c r="E10381" s="322"/>
      <c r="F10381" s="347"/>
      <c r="G10381" s="1204"/>
      <c r="H10381" s="326"/>
      <c r="I10381" s="11"/>
    </row>
    <row r="10382" spans="1:9" ht="11.15" customHeight="1">
      <c r="A10382" s="697" t="s">
        <v>13798</v>
      </c>
      <c r="B10382" s="324"/>
      <c r="C10382" s="321"/>
      <c r="D10382" s="320"/>
      <c r="E10382" s="322"/>
      <c r="F10382" s="347"/>
      <c r="G10382" s="1204"/>
      <c r="H10382" s="326"/>
      <c r="I10382" s="11"/>
    </row>
    <row r="10383" spans="1:9" ht="11.15" customHeight="1">
      <c r="A10383" s="698" t="s">
        <v>13797</v>
      </c>
      <c r="B10383" s="324"/>
      <c r="C10383" s="321"/>
      <c r="D10383" s="320"/>
      <c r="E10383" s="324"/>
      <c r="F10383" s="320"/>
      <c r="G10383" s="1251"/>
      <c r="H10383" s="547"/>
      <c r="I10383" s="11"/>
    </row>
    <row r="10384" spans="1:9" ht="11.15" customHeight="1">
      <c r="A10384" s="658" t="s">
        <v>11041</v>
      </c>
      <c r="B10384" s="324"/>
      <c r="C10384" s="321"/>
      <c r="D10384" s="325"/>
      <c r="E10384" s="322"/>
      <c r="F10384" s="347"/>
      <c r="G10384" s="1204"/>
      <c r="H10384" s="326"/>
      <c r="I10384" s="11"/>
    </row>
    <row r="10385" spans="1:12" ht="11.15" customHeight="1" thickBot="1">
      <c r="A10385" s="332" t="s">
        <v>13841</v>
      </c>
      <c r="B10385" s="324"/>
      <c r="C10385" s="321"/>
      <c r="D10385" s="320"/>
      <c r="E10385" s="322"/>
      <c r="F10385" s="347"/>
      <c r="G10385" s="1204"/>
      <c r="H10385" s="326"/>
      <c r="I10385" s="11"/>
    </row>
    <row r="10386" spans="1:12" ht="11.15" customHeight="1">
      <c r="A10386" s="699" t="s">
        <v>13842</v>
      </c>
      <c r="B10386" s="324"/>
      <c r="C10386" s="321"/>
      <c r="D10386" s="320"/>
      <c r="E10386" s="322"/>
      <c r="F10386" s="347"/>
      <c r="G10386" s="1204"/>
      <c r="H10386" s="326"/>
      <c r="I10386" s="11"/>
    </row>
    <row r="10387" spans="1:12" ht="11.15" customHeight="1" thickBot="1">
      <c r="A10387" s="700" t="s">
        <v>13799</v>
      </c>
      <c r="B10387" s="324"/>
      <c r="C10387" s="321"/>
      <c r="D10387" s="320"/>
      <c r="E10387" s="322"/>
      <c r="F10387" s="347"/>
      <c r="G10387" s="1204"/>
      <c r="H10387" s="326"/>
      <c r="I10387" s="11"/>
    </row>
    <row r="10388" spans="1:12" ht="11.15" customHeight="1">
      <c r="A10388" s="185"/>
      <c r="B10388" s="413" t="s">
        <v>13843</v>
      </c>
      <c r="C10388" s="147"/>
      <c r="D10388" s="122"/>
      <c r="E10388" s="36"/>
      <c r="F10388" s="178"/>
      <c r="G10388" s="60"/>
      <c r="H10388" s="36"/>
      <c r="I10388" s="11"/>
    </row>
    <row r="10389" spans="1:12" ht="9" customHeight="1">
      <c r="A10389" s="137"/>
      <c r="B10389" s="216" t="s">
        <v>13844</v>
      </c>
      <c r="C10389" s="147"/>
      <c r="D10389" s="122"/>
      <c r="E10389" s="36"/>
      <c r="F10389" s="178"/>
      <c r="G10389" s="60"/>
      <c r="H10389" s="36"/>
      <c r="I10389" s="11"/>
    </row>
    <row r="10390" spans="1:12" ht="9" customHeight="1">
      <c r="A10390" s="185"/>
      <c r="B10390" s="150" t="s">
        <v>13845</v>
      </c>
      <c r="C10390" s="147"/>
      <c r="D10390" s="161"/>
      <c r="E10390" s="36"/>
      <c r="F10390" s="178"/>
      <c r="G10390" s="671"/>
      <c r="H10390" s="36"/>
      <c r="I10390" s="11"/>
    </row>
    <row r="10391" spans="1:12" ht="9" customHeight="1">
      <c r="A10391" s="29"/>
      <c r="B10391" s="209" t="s">
        <v>13846</v>
      </c>
      <c r="C10391" s="147"/>
      <c r="D10391" s="122"/>
      <c r="E10391" s="36"/>
      <c r="F10391" s="178"/>
      <c r="G10391" s="60"/>
      <c r="H10391" s="36"/>
      <c r="I10391" s="11"/>
    </row>
    <row r="10392" spans="1:12" ht="9" customHeight="1">
      <c r="A10392" s="29"/>
      <c r="B10392" s="209" t="s">
        <v>13847</v>
      </c>
      <c r="C10392" s="147"/>
      <c r="D10392" s="122"/>
      <c r="E10392" s="36"/>
      <c r="F10392" s="178"/>
      <c r="G10392" s="60"/>
      <c r="H10392" s="36"/>
      <c r="I10392" s="11"/>
    </row>
    <row r="10393" spans="1:12" ht="9" customHeight="1">
      <c r="A10393" s="29"/>
      <c r="B10393" s="209" t="s">
        <v>13848</v>
      </c>
      <c r="C10393" s="147"/>
      <c r="D10393" s="122"/>
      <c r="E10393" s="36"/>
      <c r="F10393" s="178"/>
      <c r="G10393" s="60"/>
      <c r="H10393" s="36"/>
      <c r="I10393" s="11"/>
    </row>
    <row r="10394" spans="1:12" ht="9" customHeight="1">
      <c r="A10394" s="185"/>
      <c r="B10394" s="150" t="s">
        <v>13849</v>
      </c>
      <c r="C10394" s="147"/>
      <c r="D10394" s="161"/>
      <c r="E10394" s="36"/>
      <c r="F10394" s="178"/>
      <c r="G10394" s="671"/>
      <c r="H10394" s="36"/>
      <c r="I10394" s="11"/>
    </row>
    <row r="10395" spans="1:12" ht="9" customHeight="1">
      <c r="A10395" s="29"/>
      <c r="B10395" s="209" t="s">
        <v>13850</v>
      </c>
      <c r="C10395" s="147"/>
      <c r="D10395" s="122"/>
      <c r="E10395" s="36"/>
      <c r="F10395" s="178"/>
      <c r="G10395" s="60"/>
      <c r="H10395" s="36"/>
      <c r="I10395" s="11"/>
    </row>
    <row r="10396" spans="1:12" ht="9" customHeight="1">
      <c r="A10396" s="29"/>
      <c r="B10396" s="209" t="s">
        <v>13851</v>
      </c>
      <c r="C10396" s="147"/>
      <c r="D10396" s="122"/>
      <c r="E10396" s="36"/>
      <c r="F10396" s="178"/>
      <c r="G10396" s="60"/>
      <c r="H10396" s="36"/>
      <c r="I10396" s="11"/>
    </row>
    <row r="10397" spans="1:12" ht="9" customHeight="1" thickBot="1">
      <c r="A10397" s="29"/>
      <c r="B10397" s="420" t="s">
        <v>13852</v>
      </c>
      <c r="C10397" s="147"/>
      <c r="D10397" s="122"/>
      <c r="E10397" s="36"/>
      <c r="F10397" s="178"/>
      <c r="G10397" s="60"/>
      <c r="H10397" s="36"/>
      <c r="I10397" s="11"/>
    </row>
    <row r="10398" spans="1:12" ht="11.15" customHeight="1">
      <c r="A10398" s="153" t="s">
        <v>13853</v>
      </c>
      <c r="B10398" s="154" t="s">
        <v>11372</v>
      </c>
      <c r="C10398" s="147"/>
      <c r="D10398" s="129"/>
      <c r="E10398" s="185"/>
      <c r="F10398" s="185"/>
      <c r="G10398" s="185"/>
      <c r="H10398" s="185"/>
      <c r="I10398" s="11"/>
    </row>
    <row r="10399" spans="1:12" ht="11.15" customHeight="1" thickBot="1">
      <c r="A10399" s="230" t="s">
        <v>13854</v>
      </c>
      <c r="B10399" s="59" t="s">
        <v>22194</v>
      </c>
      <c r="C10399" s="147" t="s">
        <v>20221</v>
      </c>
      <c r="D10399" s="701" t="s">
        <v>1129</v>
      </c>
      <c r="E10399" s="178">
        <v>2018</v>
      </c>
      <c r="F10399" s="178" t="s">
        <v>23395</v>
      </c>
      <c r="G10399" s="496"/>
      <c r="H10399" s="994" t="s">
        <v>20221</v>
      </c>
      <c r="I10399" s="11" t="s">
        <v>13855</v>
      </c>
      <c r="J10399" s="1285"/>
      <c r="K10399" s="1285"/>
      <c r="L10399" s="1285"/>
    </row>
    <row r="10400" spans="1:12" ht="11.15" customHeight="1">
      <c r="A10400" s="29" t="s">
        <v>13856</v>
      </c>
      <c r="B10400" s="59" t="s">
        <v>22194</v>
      </c>
      <c r="C10400" s="147" t="s">
        <v>20221</v>
      </c>
      <c r="D10400" s="701" t="s">
        <v>1129</v>
      </c>
      <c r="E10400" s="178">
        <v>2014</v>
      </c>
      <c r="F10400" s="178" t="s">
        <v>4520</v>
      </c>
      <c r="G10400" s="496"/>
      <c r="H10400" s="994" t="s">
        <v>20221</v>
      </c>
      <c r="I10400" s="11" t="s">
        <v>13857</v>
      </c>
      <c r="J10400" s="1285"/>
      <c r="K10400" s="1285"/>
      <c r="L10400" s="1285"/>
    </row>
    <row r="10401" spans="1:12" ht="11.15" customHeight="1">
      <c r="A10401" s="181" t="s">
        <v>12348</v>
      </c>
      <c r="B10401" s="59" t="s">
        <v>22196</v>
      </c>
      <c r="C10401" s="147" t="s">
        <v>20221</v>
      </c>
      <c r="D10401" s="701" t="s">
        <v>1129</v>
      </c>
      <c r="E10401" s="178">
        <v>2014</v>
      </c>
      <c r="F10401" s="178" t="s">
        <v>4520</v>
      </c>
      <c r="G10401" s="496"/>
      <c r="H10401" s="994" t="s">
        <v>20221</v>
      </c>
      <c r="I10401" s="11" t="s">
        <v>13858</v>
      </c>
      <c r="J10401" s="1285"/>
      <c r="K10401" s="1285"/>
      <c r="L10401" s="1285"/>
    </row>
    <row r="10402" spans="1:12" ht="11.15" customHeight="1">
      <c r="A10402" s="229" t="s">
        <v>13859</v>
      </c>
      <c r="B10402" s="154" t="s">
        <v>13860</v>
      </c>
      <c r="C10402" s="147"/>
      <c r="D10402" s="129"/>
      <c r="E10402" s="185"/>
      <c r="F10402" s="185"/>
      <c r="G10402" s="185"/>
      <c r="H10402" s="185"/>
      <c r="I10402" s="11"/>
    </row>
    <row r="10403" spans="1:12" ht="11.15" customHeight="1">
      <c r="A10403" s="181" t="s">
        <v>13861</v>
      </c>
      <c r="B10403" s="59" t="s">
        <v>22197</v>
      </c>
      <c r="C10403" s="147" t="s">
        <v>20221</v>
      </c>
      <c r="D10403" s="284" t="s">
        <v>897</v>
      </c>
      <c r="E10403" s="178">
        <v>2018</v>
      </c>
      <c r="F10403" s="178" t="s">
        <v>23395</v>
      </c>
      <c r="G10403" s="496"/>
      <c r="H10403" s="994" t="s">
        <v>20221</v>
      </c>
      <c r="I10403" s="11" t="s">
        <v>13862</v>
      </c>
      <c r="J10403" s="1285"/>
      <c r="K10403" s="1285"/>
      <c r="L10403" s="1285"/>
    </row>
    <row r="10404" spans="1:12" ht="11.15" customHeight="1">
      <c r="A10404" s="129" t="s">
        <v>13863</v>
      </c>
      <c r="B10404" s="154" t="s">
        <v>13864</v>
      </c>
      <c r="C10404" s="147"/>
      <c r="D10404" s="185"/>
      <c r="E10404" s="185"/>
      <c r="F10404" s="185"/>
      <c r="G10404" s="185"/>
      <c r="H10404" s="185"/>
      <c r="I10404" s="11"/>
    </row>
    <row r="10405" spans="1:12" ht="11.15" customHeight="1">
      <c r="A10405" s="162" t="s">
        <v>13865</v>
      </c>
      <c r="B10405" s="59" t="s">
        <v>22198</v>
      </c>
      <c r="C10405" s="147" t="s">
        <v>20221</v>
      </c>
      <c r="D10405" s="284" t="s">
        <v>897</v>
      </c>
      <c r="E10405" s="178">
        <v>2016</v>
      </c>
      <c r="F10405" s="178" t="s">
        <v>23395</v>
      </c>
      <c r="G10405" s="496"/>
      <c r="H10405" s="994" t="s">
        <v>20221</v>
      </c>
      <c r="I10405" s="11" t="s">
        <v>13866</v>
      </c>
      <c r="J10405" s="1285"/>
      <c r="K10405" s="1285"/>
      <c r="L10405" s="1285"/>
    </row>
    <row r="10406" spans="1:12" ht="11.15" customHeight="1">
      <c r="A10406" s="291" t="s">
        <v>13867</v>
      </c>
      <c r="B10406" s="59" t="s">
        <v>22195</v>
      </c>
      <c r="C10406" s="147" t="s">
        <v>20221</v>
      </c>
      <c r="D10406" s="284" t="s">
        <v>897</v>
      </c>
      <c r="E10406" s="178">
        <v>2015</v>
      </c>
      <c r="F10406" s="178" t="s">
        <v>23395</v>
      </c>
      <c r="G10406" s="496"/>
      <c r="H10406" s="994" t="s">
        <v>20221</v>
      </c>
      <c r="I10406" s="11" t="s">
        <v>13868</v>
      </c>
      <c r="J10406" s="1285"/>
      <c r="K10406" s="1285"/>
      <c r="L10406" s="1285"/>
    </row>
    <row r="10407" spans="1:12" ht="11.15" customHeight="1">
      <c r="A10407" s="162" t="s">
        <v>13869</v>
      </c>
      <c r="B10407" s="59" t="s">
        <v>22199</v>
      </c>
      <c r="C10407" s="147" t="s">
        <v>20221</v>
      </c>
      <c r="D10407" s="284" t="s">
        <v>897</v>
      </c>
      <c r="E10407" s="178">
        <v>2016</v>
      </c>
      <c r="F10407" s="178" t="s">
        <v>4520</v>
      </c>
      <c r="G10407" s="496"/>
      <c r="H10407" s="994" t="s">
        <v>20221</v>
      </c>
      <c r="I10407" s="11" t="s">
        <v>13870</v>
      </c>
      <c r="J10407" s="1285"/>
      <c r="K10407" s="1285"/>
      <c r="L10407" s="1285"/>
    </row>
    <row r="10408" spans="1:12" ht="11.15" customHeight="1">
      <c r="A10408" s="162" t="s">
        <v>13871</v>
      </c>
      <c r="B10408" s="59" t="s">
        <v>22199</v>
      </c>
      <c r="C10408" s="147" t="s">
        <v>20221</v>
      </c>
      <c r="D10408" s="284" t="s">
        <v>897</v>
      </c>
      <c r="E10408" s="178">
        <v>2012</v>
      </c>
      <c r="F10408" s="178" t="s">
        <v>4520</v>
      </c>
      <c r="G10408" s="496"/>
      <c r="H10408" s="994" t="s">
        <v>20221</v>
      </c>
      <c r="I10408" s="11" t="s">
        <v>13872</v>
      </c>
      <c r="J10408" s="1285"/>
      <c r="K10408" s="1285"/>
      <c r="L10408" s="1285"/>
    </row>
    <row r="10409" spans="1:12" ht="11.15" customHeight="1">
      <c r="A10409" s="162" t="s">
        <v>13873</v>
      </c>
      <c r="B10409" s="59" t="s">
        <v>22199</v>
      </c>
      <c r="C10409" s="147" t="s">
        <v>20221</v>
      </c>
      <c r="D10409" s="284" t="s">
        <v>897</v>
      </c>
      <c r="E10409" s="178">
        <v>2009</v>
      </c>
      <c r="F10409" s="178" t="s">
        <v>4520</v>
      </c>
      <c r="G10409" s="496"/>
      <c r="H10409" s="994" t="s">
        <v>20224</v>
      </c>
      <c r="I10409" s="11" t="s">
        <v>13874</v>
      </c>
      <c r="J10409" s="1285"/>
      <c r="K10409" s="1285"/>
      <c r="L10409" s="1285"/>
    </row>
    <row r="10410" spans="1:12" ht="11.15" customHeight="1">
      <c r="A10410" s="162" t="s">
        <v>13875</v>
      </c>
      <c r="B10410" s="59" t="s">
        <v>22200</v>
      </c>
      <c r="C10410" s="147" t="s">
        <v>20221</v>
      </c>
      <c r="D10410" s="284" t="s">
        <v>897</v>
      </c>
      <c r="E10410" s="178">
        <v>2012</v>
      </c>
      <c r="F10410" s="178" t="s">
        <v>4520</v>
      </c>
      <c r="G10410" s="496"/>
      <c r="H10410" s="994" t="s">
        <v>20221</v>
      </c>
      <c r="I10410" s="11" t="s">
        <v>13876</v>
      </c>
      <c r="J10410" s="1285"/>
      <c r="K10410" s="1285"/>
      <c r="L10410" s="1285"/>
    </row>
    <row r="10411" spans="1:12" ht="11.15" customHeight="1">
      <c r="A10411" s="162" t="s">
        <v>13877</v>
      </c>
      <c r="B10411" s="59" t="s">
        <v>22201</v>
      </c>
      <c r="C10411" s="147" t="s">
        <v>20221</v>
      </c>
      <c r="D10411" s="284" t="s">
        <v>897</v>
      </c>
      <c r="E10411" s="178">
        <v>2011</v>
      </c>
      <c r="F10411" s="178" t="s">
        <v>23395</v>
      </c>
      <c r="G10411" s="496"/>
      <c r="H10411" s="994" t="s">
        <v>20221</v>
      </c>
      <c r="I10411" s="11" t="s">
        <v>13878</v>
      </c>
      <c r="J10411" s="1285"/>
      <c r="K10411" s="1285"/>
      <c r="L10411" s="1285"/>
    </row>
    <row r="10412" spans="1:12" ht="11.15" customHeight="1">
      <c r="A10412" s="129" t="s">
        <v>4851</v>
      </c>
      <c r="B10412" s="59" t="s">
        <v>22201</v>
      </c>
      <c r="C10412" s="147" t="s">
        <v>20221</v>
      </c>
      <c r="D10412" s="284" t="s">
        <v>897</v>
      </c>
      <c r="E10412" s="178">
        <v>2011</v>
      </c>
      <c r="F10412" s="178" t="s">
        <v>4520</v>
      </c>
      <c r="G10412" s="496"/>
      <c r="H10412" s="994" t="s">
        <v>20277</v>
      </c>
      <c r="I10412" s="11" t="s">
        <v>13879</v>
      </c>
      <c r="J10412" s="1285"/>
      <c r="K10412" s="1285"/>
      <c r="L10412" s="1285"/>
    </row>
    <row r="10413" spans="1:12" ht="11.15" customHeight="1">
      <c r="A10413" s="162" t="s">
        <v>13880</v>
      </c>
      <c r="B10413" s="90"/>
      <c r="C10413" s="147"/>
      <c r="D10413" s="122"/>
      <c r="E10413" s="36"/>
      <c r="F10413" s="178"/>
      <c r="G10413" s="60"/>
      <c r="H10413" s="36"/>
      <c r="I10413" s="11"/>
    </row>
    <row r="10414" spans="1:12" ht="11.15" customHeight="1">
      <c r="A10414" s="162" t="s">
        <v>13881</v>
      </c>
      <c r="B10414" s="90"/>
      <c r="C10414" s="147"/>
      <c r="D10414" s="122"/>
      <c r="E10414" s="36"/>
      <c r="F10414" s="178"/>
      <c r="G10414" s="60"/>
      <c r="H10414" s="36"/>
      <c r="I10414" s="11"/>
    </row>
    <row r="10415" spans="1:12" ht="11.15" customHeight="1">
      <c r="A10415" s="162" t="s">
        <v>13882</v>
      </c>
      <c r="B10415" s="90"/>
      <c r="C10415" s="147"/>
      <c r="D10415" s="122"/>
      <c r="E10415" s="36"/>
      <c r="F10415" s="178"/>
      <c r="G10415" s="60"/>
      <c r="H10415" s="36"/>
      <c r="I10415" s="11"/>
    </row>
    <row r="10416" spans="1:12" ht="11.15" customHeight="1">
      <c r="A10416" s="162" t="s">
        <v>13883</v>
      </c>
      <c r="B10416" s="90"/>
      <c r="C10416" s="147"/>
      <c r="D10416" s="122"/>
      <c r="E10416" s="36"/>
      <c r="F10416" s="178"/>
      <c r="G10416" s="60"/>
      <c r="H10416" s="36"/>
      <c r="I10416" s="11"/>
    </row>
    <row r="10417" spans="1:9" ht="11.15" customHeight="1">
      <c r="A10417" s="162" t="s">
        <v>13884</v>
      </c>
      <c r="B10417" s="90"/>
      <c r="C10417" s="147"/>
      <c r="D10417" s="122"/>
      <c r="E10417" s="36"/>
      <c r="F10417" s="178"/>
      <c r="G10417" s="60"/>
      <c r="H10417" s="36"/>
      <c r="I10417" s="11"/>
    </row>
    <row r="10418" spans="1:9" ht="11.15" customHeight="1">
      <c r="A10418" s="291" t="s">
        <v>13885</v>
      </c>
      <c r="B10418" s="90"/>
      <c r="C10418" s="147"/>
      <c r="D10418" s="122"/>
      <c r="E10418" s="36"/>
      <c r="F10418" s="178"/>
      <c r="G10418" s="60"/>
      <c r="H10418" s="36"/>
      <c r="I10418" s="11"/>
    </row>
    <row r="10419" spans="1:9" ht="11.15" customHeight="1">
      <c r="A10419" s="162" t="s">
        <v>13886</v>
      </c>
      <c r="B10419" s="185"/>
      <c r="C10419" s="147"/>
      <c r="D10419" s="129"/>
      <c r="E10419" s="185"/>
      <c r="F10419" s="185"/>
      <c r="G10419" s="185"/>
      <c r="H10419" s="185"/>
      <c r="I10419" s="11"/>
    </row>
    <row r="10420" spans="1:9" ht="11.15" customHeight="1">
      <c r="A10420" s="129" t="s">
        <v>13887</v>
      </c>
      <c r="B10420" s="185"/>
      <c r="C10420" s="147"/>
      <c r="D10420" s="161"/>
      <c r="E10420" s="36"/>
      <c r="F10420" s="178"/>
      <c r="G10420" s="60"/>
      <c r="H10420" s="36"/>
      <c r="I10420" s="11"/>
    </row>
    <row r="10421" spans="1:9" ht="11.15" customHeight="1">
      <c r="A10421" s="162" t="s">
        <v>13888</v>
      </c>
      <c r="B10421" s="178"/>
      <c r="C10421" s="147"/>
      <c r="D10421" s="122"/>
      <c r="E10421" s="36"/>
      <c r="F10421" s="178"/>
      <c r="G10421" s="60"/>
      <c r="H10421" s="36"/>
      <c r="I10421" s="11"/>
    </row>
    <row r="10422" spans="1:9" ht="11.15" customHeight="1">
      <c r="A10422" s="162" t="s">
        <v>13889</v>
      </c>
      <c r="B10422" s="229"/>
      <c r="C10422" s="147"/>
      <c r="D10422" s="122"/>
      <c r="E10422" s="36"/>
      <c r="F10422" s="178"/>
      <c r="G10422" s="60"/>
      <c r="H10422" s="36"/>
      <c r="I10422" s="11"/>
    </row>
    <row r="10423" spans="1:9" ht="11.15" customHeight="1">
      <c r="A10423" s="162" t="s">
        <v>13890</v>
      </c>
      <c r="B10423" s="229"/>
      <c r="C10423" s="147"/>
      <c r="D10423" s="122"/>
      <c r="E10423" s="36"/>
      <c r="F10423" s="178"/>
      <c r="G10423" s="60"/>
      <c r="H10423" s="36"/>
      <c r="I10423" s="11"/>
    </row>
    <row r="10424" spans="1:9" ht="11.15" customHeight="1">
      <c r="A10424" s="162" t="s">
        <v>13891</v>
      </c>
      <c r="B10424" s="185"/>
      <c r="C10424" s="147"/>
      <c r="D10424" s="122"/>
      <c r="E10424" s="36"/>
      <c r="F10424" s="178"/>
      <c r="G10424" s="60"/>
      <c r="H10424" s="36"/>
      <c r="I10424" s="11"/>
    </row>
    <row r="10425" spans="1:9" ht="11.15" customHeight="1">
      <c r="A10425" s="129" t="s">
        <v>903</v>
      </c>
      <c r="B10425" s="90"/>
      <c r="C10425" s="147"/>
      <c r="D10425" s="122"/>
      <c r="E10425" s="36"/>
      <c r="F10425" s="178"/>
      <c r="G10425" s="60"/>
      <c r="H10425" s="36"/>
      <c r="I10425" s="11"/>
    </row>
    <row r="10426" spans="1:9" ht="11.15" customHeight="1">
      <c r="A10426" s="162" t="s">
        <v>13892</v>
      </c>
      <c r="B10426" s="90"/>
      <c r="C10426" s="147"/>
      <c r="D10426" s="122"/>
      <c r="E10426" s="36"/>
      <c r="F10426" s="178"/>
      <c r="G10426" s="60"/>
      <c r="H10426" s="36"/>
      <c r="I10426" s="11"/>
    </row>
    <row r="10427" spans="1:9" ht="11.15" customHeight="1">
      <c r="A10427" s="162" t="s">
        <v>13893</v>
      </c>
      <c r="B10427" s="90"/>
      <c r="C10427" s="147"/>
      <c r="D10427" s="122"/>
      <c r="E10427" s="36"/>
      <c r="F10427" s="178"/>
      <c r="G10427" s="60"/>
      <c r="H10427" s="36"/>
      <c r="I10427" s="11"/>
    </row>
    <row r="10428" spans="1:9" ht="11.15" customHeight="1">
      <c r="A10428" s="162" t="s">
        <v>13894</v>
      </c>
      <c r="B10428" s="90"/>
      <c r="C10428" s="147"/>
      <c r="D10428" s="122"/>
      <c r="E10428" s="36"/>
      <c r="F10428" s="178"/>
      <c r="G10428" s="60"/>
      <c r="H10428" s="36"/>
      <c r="I10428" s="11"/>
    </row>
    <row r="10429" spans="1:9" ht="11.15" customHeight="1">
      <c r="A10429" s="29" t="s">
        <v>12886</v>
      </c>
      <c r="B10429" s="90"/>
      <c r="C10429" s="147"/>
      <c r="D10429" s="122"/>
      <c r="E10429" s="36"/>
      <c r="F10429" s="178"/>
      <c r="G10429" s="60"/>
      <c r="H10429" s="36"/>
      <c r="I10429" s="11"/>
    </row>
    <row r="10430" spans="1:9" ht="11.15" customHeight="1">
      <c r="A10430" s="29" t="s">
        <v>13346</v>
      </c>
      <c r="B10430" s="90"/>
      <c r="C10430" s="147"/>
      <c r="D10430" s="122"/>
      <c r="E10430" s="36"/>
      <c r="F10430" s="178"/>
      <c r="G10430" s="60"/>
      <c r="H10430" s="36"/>
      <c r="I10430" s="11"/>
    </row>
    <row r="10431" spans="1:9" ht="11.15" customHeight="1">
      <c r="A10431" s="212" t="s">
        <v>13895</v>
      </c>
      <c r="B10431" s="90"/>
      <c r="C10431" s="147"/>
      <c r="D10431" s="161"/>
      <c r="E10431" s="36"/>
      <c r="F10431" s="178"/>
      <c r="G10431" s="496"/>
      <c r="H10431" s="36"/>
      <c r="I10431" s="11"/>
    </row>
    <row r="10432" spans="1:9" ht="11.15" customHeight="1">
      <c r="A10432" s="169" t="s">
        <v>11041</v>
      </c>
      <c r="B10432" s="693"/>
      <c r="C10432" s="147"/>
      <c r="D10432" s="122"/>
      <c r="E10432" s="36"/>
      <c r="F10432" s="183"/>
      <c r="G10432" s="453"/>
      <c r="H10432" s="34"/>
      <c r="I10432" s="11"/>
    </row>
    <row r="10433" spans="1:12" ht="11.15" customHeight="1">
      <c r="A10433" s="129" t="s">
        <v>13896</v>
      </c>
      <c r="B10433" s="90"/>
      <c r="C10433" s="147"/>
      <c r="D10433" s="122"/>
      <c r="E10433" s="36"/>
      <c r="F10433" s="178"/>
      <c r="G10433" s="60"/>
      <c r="H10433" s="36"/>
      <c r="I10433" s="11"/>
    </row>
    <row r="10434" spans="1:12" ht="11.15" customHeight="1" thickBot="1">
      <c r="A10434" s="29"/>
      <c r="B10434" s="90"/>
      <c r="C10434" s="147"/>
      <c r="D10434" s="122"/>
      <c r="E10434" s="36"/>
      <c r="F10434" s="178"/>
      <c r="G10434" s="60"/>
      <c r="H10434" s="36"/>
      <c r="I10434" s="11"/>
    </row>
    <row r="10435" spans="1:12" ht="11.15" customHeight="1" thickBot="1">
      <c r="A10435" s="184" t="s">
        <v>13897</v>
      </c>
      <c r="B10435" s="59" t="s">
        <v>22202</v>
      </c>
      <c r="C10435" s="147" t="s">
        <v>20221</v>
      </c>
      <c r="D10435" s="284" t="s">
        <v>897</v>
      </c>
      <c r="E10435" s="178">
        <v>2016</v>
      </c>
      <c r="F10435" s="178" t="s">
        <v>4520</v>
      </c>
      <c r="G10435" s="496"/>
      <c r="H10435" s="994" t="s">
        <v>20221</v>
      </c>
      <c r="I10435" s="11" t="s">
        <v>13898</v>
      </c>
      <c r="J10435" s="1285"/>
      <c r="K10435" s="1285"/>
      <c r="L10435" s="1285"/>
    </row>
    <row r="10436" spans="1:12" ht="11.15" customHeight="1">
      <c r="A10436" s="29" t="s">
        <v>13899</v>
      </c>
      <c r="B10436" s="59" t="s">
        <v>22203</v>
      </c>
      <c r="C10436" s="147" t="s">
        <v>20221</v>
      </c>
      <c r="D10436" s="284" t="s">
        <v>897</v>
      </c>
      <c r="E10436" s="178">
        <v>2017</v>
      </c>
      <c r="F10436" s="178" t="s">
        <v>4520</v>
      </c>
      <c r="G10436" s="496"/>
      <c r="H10436" s="994" t="s">
        <v>20221</v>
      </c>
      <c r="I10436" s="11" t="s">
        <v>13900</v>
      </c>
      <c r="J10436" s="1285"/>
      <c r="K10436" s="1285"/>
      <c r="L10436" s="1285"/>
    </row>
    <row r="10437" spans="1:12" ht="11.15" customHeight="1">
      <c r="A10437" s="29" t="s">
        <v>13901</v>
      </c>
      <c r="B10437" s="59" t="s">
        <v>22204</v>
      </c>
      <c r="C10437" s="147" t="s">
        <v>20221</v>
      </c>
      <c r="D10437" s="284" t="s">
        <v>10182</v>
      </c>
      <c r="E10437" s="178">
        <v>2017</v>
      </c>
      <c r="F10437" s="178" t="s">
        <v>23398</v>
      </c>
      <c r="G10437" s="496"/>
      <c r="H10437" s="994" t="s">
        <v>20221</v>
      </c>
      <c r="I10437" s="11" t="s">
        <v>13902</v>
      </c>
      <c r="J10437" s="1285"/>
      <c r="K10437" s="1285"/>
      <c r="L10437" s="1285"/>
    </row>
    <row r="10438" spans="1:12" ht="11.15" customHeight="1">
      <c r="A10438" s="29" t="s">
        <v>12887</v>
      </c>
      <c r="B10438" s="90"/>
      <c r="C10438" s="147"/>
      <c r="D10438" s="161"/>
      <c r="E10438" s="36"/>
      <c r="F10438" s="183"/>
      <c r="G10438" s="496"/>
      <c r="H10438" s="34"/>
      <c r="I10438" s="11"/>
    </row>
    <row r="10439" spans="1:12" ht="11.15" customHeight="1">
      <c r="A10439" s="166" t="s">
        <v>13903</v>
      </c>
      <c r="B10439" s="185"/>
      <c r="C10439" s="147"/>
      <c r="D10439" s="129"/>
      <c r="E10439" s="185"/>
      <c r="F10439" s="185"/>
      <c r="G10439" s="185"/>
      <c r="H10439" s="185"/>
      <c r="I10439" s="11"/>
    </row>
    <row r="10440" spans="1:12" ht="11.15" customHeight="1">
      <c r="A10440" s="129" t="s">
        <v>13904</v>
      </c>
      <c r="B10440" s="693"/>
      <c r="C10440" s="147"/>
      <c r="D10440" s="122"/>
      <c r="E10440" s="36"/>
      <c r="F10440" s="183"/>
      <c r="G10440" s="453"/>
      <c r="H10440" s="34"/>
      <c r="I10440" s="11"/>
    </row>
    <row r="10441" spans="1:12" ht="11.15" customHeight="1" thickBot="1">
      <c r="A10441" s="29"/>
      <c r="B10441" s="90"/>
      <c r="C10441" s="147"/>
      <c r="D10441" s="122"/>
      <c r="E10441" s="36"/>
      <c r="F10441" s="178"/>
      <c r="G10441" s="60"/>
      <c r="H10441" s="36"/>
      <c r="I10441" s="11"/>
    </row>
    <row r="10442" spans="1:12" ht="11.15" customHeight="1" thickBot="1">
      <c r="A10442" s="184" t="s">
        <v>13905</v>
      </c>
      <c r="B10442" s="59" t="s">
        <v>22206</v>
      </c>
      <c r="C10442" s="147" t="s">
        <v>20221</v>
      </c>
      <c r="D10442" s="183" t="s">
        <v>6904</v>
      </c>
      <c r="E10442" s="178" t="s">
        <v>19060</v>
      </c>
      <c r="F10442" s="178" t="s">
        <v>23398</v>
      </c>
      <c r="G10442" s="496"/>
      <c r="H10442" s="994" t="s">
        <v>20221</v>
      </c>
      <c r="I10442" s="16" t="s">
        <v>13906</v>
      </c>
      <c r="J10442" s="1285"/>
      <c r="K10442" s="1285"/>
      <c r="L10442" s="1285"/>
    </row>
    <row r="10443" spans="1:12" ht="11.15" customHeight="1">
      <c r="A10443" s="29" t="s">
        <v>13907</v>
      </c>
      <c r="B10443" s="90"/>
      <c r="C10443" s="147"/>
      <c r="D10443" s="122"/>
      <c r="E10443" s="36"/>
      <c r="F10443" s="178"/>
      <c r="G10443" s="60"/>
      <c r="H10443" s="36"/>
      <c r="I10443" s="11"/>
    </row>
    <row r="10444" spans="1:12" ht="11.15" customHeight="1">
      <c r="A10444" s="212" t="s">
        <v>13908</v>
      </c>
      <c r="B10444" s="90"/>
      <c r="C10444" s="147"/>
      <c r="D10444" s="122"/>
      <c r="E10444" s="36"/>
      <c r="F10444" s="178"/>
      <c r="G10444" s="60"/>
      <c r="H10444" s="36"/>
      <c r="I10444" s="11"/>
    </row>
    <row r="10445" spans="1:12" ht="11.15" customHeight="1">
      <c r="A10445" s="129" t="s">
        <v>13909</v>
      </c>
      <c r="B10445" s="377"/>
      <c r="C10445" s="147"/>
      <c r="D10445" s="122"/>
      <c r="E10445" s="36"/>
      <c r="F10445" s="178"/>
      <c r="G10445" s="60"/>
      <c r="H10445" s="36"/>
      <c r="I10445" s="11"/>
    </row>
    <row r="10446" spans="1:12" ht="11.15" customHeight="1" thickBot="1">
      <c r="A10446" s="217"/>
      <c r="B10446" s="185"/>
      <c r="C10446" s="147"/>
      <c r="D10446" s="122"/>
      <c r="E10446" s="36"/>
      <c r="F10446" s="178"/>
      <c r="G10446" s="60"/>
      <c r="H10446" s="36"/>
      <c r="I10446" s="11"/>
    </row>
    <row r="10447" spans="1:12" ht="24" customHeight="1" thickBot="1">
      <c r="A10447" s="515"/>
      <c r="B10447" s="64" t="s">
        <v>13910</v>
      </c>
      <c r="C10447" s="170"/>
      <c r="D10447" s="382"/>
      <c r="E10447" s="235"/>
      <c r="F10447" s="383"/>
      <c r="G10447" s="1249"/>
      <c r="H10447" s="1132"/>
      <c r="I10447" s="11"/>
    </row>
    <row r="10448" spans="1:12" ht="11.15" customHeight="1" thickBot="1">
      <c r="A10448" s="184" t="s">
        <v>13911</v>
      </c>
      <c r="B10448" s="154" t="s">
        <v>11372</v>
      </c>
      <c r="C10448" s="147"/>
      <c r="D10448" s="129"/>
      <c r="E10448" s="185"/>
      <c r="F10448" s="185"/>
      <c r="G10448" s="185"/>
      <c r="H10448" s="185"/>
      <c r="I10448" s="11"/>
    </row>
    <row r="10449" spans="1:12" ht="11.15" customHeight="1">
      <c r="A10449" s="29" t="s">
        <v>13912</v>
      </c>
      <c r="B10449" s="59" t="s">
        <v>22208</v>
      </c>
      <c r="C10449" s="147" t="s">
        <v>20221</v>
      </c>
      <c r="D10449" s="701" t="s">
        <v>1129</v>
      </c>
      <c r="E10449" s="178">
        <v>2021</v>
      </c>
      <c r="F10449" s="178" t="s">
        <v>23395</v>
      </c>
      <c r="G10449" s="496"/>
      <c r="H10449" s="994" t="s">
        <v>20221</v>
      </c>
      <c r="I10449" s="11" t="s">
        <v>13913</v>
      </c>
      <c r="J10449" s="1285"/>
      <c r="K10449" s="1285"/>
      <c r="L10449" s="1285"/>
    </row>
    <row r="10450" spans="1:12" ht="11.15" customHeight="1">
      <c r="A10450" s="29" t="s">
        <v>13914</v>
      </c>
      <c r="B10450" s="59" t="s">
        <v>22209</v>
      </c>
      <c r="C10450" s="147" t="s">
        <v>20221</v>
      </c>
      <c r="D10450" s="701" t="s">
        <v>1129</v>
      </c>
      <c r="E10450" s="178">
        <v>2021</v>
      </c>
      <c r="F10450" s="178" t="s">
        <v>23395</v>
      </c>
      <c r="G10450" s="496"/>
      <c r="H10450" s="994" t="s">
        <v>20221</v>
      </c>
      <c r="I10450" s="11" t="s">
        <v>13915</v>
      </c>
      <c r="J10450" s="1285"/>
      <c r="K10450" s="1285"/>
      <c r="L10450" s="1285"/>
    </row>
    <row r="10451" spans="1:12" ht="11.15" customHeight="1">
      <c r="A10451" s="29" t="s">
        <v>13916</v>
      </c>
      <c r="B10451" s="59" t="s">
        <v>22210</v>
      </c>
      <c r="C10451" s="147" t="s">
        <v>20221</v>
      </c>
      <c r="D10451" s="701" t="s">
        <v>1129</v>
      </c>
      <c r="E10451" s="178">
        <v>2021</v>
      </c>
      <c r="F10451" s="178" t="s">
        <v>4520</v>
      </c>
      <c r="G10451" s="496"/>
      <c r="H10451" s="994" t="s">
        <v>20221</v>
      </c>
      <c r="I10451" s="11" t="s">
        <v>13917</v>
      </c>
      <c r="J10451" s="1285"/>
      <c r="K10451" s="1285"/>
      <c r="L10451" s="1285"/>
    </row>
    <row r="10452" spans="1:12" ht="11.15" customHeight="1">
      <c r="A10452" s="29" t="s">
        <v>13918</v>
      </c>
      <c r="B10452" s="154" t="s">
        <v>11253</v>
      </c>
      <c r="C10452" s="147"/>
      <c r="D10452" s="129"/>
      <c r="E10452" s="185"/>
      <c r="F10452" s="185"/>
      <c r="G10452" s="185"/>
      <c r="H10452" s="185"/>
      <c r="I10452" s="11"/>
    </row>
    <row r="10453" spans="1:12" ht="11.15" customHeight="1">
      <c r="A10453" s="29" t="s">
        <v>13919</v>
      </c>
      <c r="B10453" s="59" t="s">
        <v>22211</v>
      </c>
      <c r="C10453" s="147" t="s">
        <v>20221</v>
      </c>
      <c r="D10453" s="284" t="s">
        <v>897</v>
      </c>
      <c r="E10453" s="178">
        <v>2019</v>
      </c>
      <c r="F10453" s="178" t="s">
        <v>4520</v>
      </c>
      <c r="G10453" s="496"/>
      <c r="H10453" s="994" t="s">
        <v>20221</v>
      </c>
      <c r="I10453" s="11" t="s">
        <v>13920</v>
      </c>
      <c r="J10453" s="1285"/>
      <c r="K10453" s="1285"/>
      <c r="L10453" s="1285"/>
    </row>
    <row r="10454" spans="1:12" ht="11.15" customHeight="1">
      <c r="A10454" s="166" t="s">
        <v>13921</v>
      </c>
      <c r="B10454" s="154" t="s">
        <v>13922</v>
      </c>
      <c r="C10454" s="147"/>
      <c r="D10454" s="129"/>
      <c r="E10454" s="36"/>
      <c r="F10454" s="178"/>
      <c r="G10454" s="496"/>
      <c r="H10454" s="36"/>
      <c r="I10454" s="11"/>
    </row>
    <row r="10455" spans="1:12" ht="11.15" customHeight="1">
      <c r="A10455" s="129" t="s">
        <v>2579</v>
      </c>
      <c r="B10455" s="59" t="s">
        <v>22212</v>
      </c>
      <c r="C10455" s="147" t="s">
        <v>20221</v>
      </c>
      <c r="D10455" s="284" t="s">
        <v>10182</v>
      </c>
      <c r="E10455" s="178">
        <v>2021</v>
      </c>
      <c r="F10455" s="178" t="s">
        <v>23400</v>
      </c>
      <c r="G10455" s="496"/>
      <c r="H10455" s="994" t="s">
        <v>20277</v>
      </c>
      <c r="I10455" s="11" t="s">
        <v>13923</v>
      </c>
      <c r="J10455" s="1285"/>
      <c r="K10455" s="1285"/>
      <c r="L10455" s="1285"/>
    </row>
    <row r="10456" spans="1:12" ht="11.15" customHeight="1">
      <c r="A10456" s="129" t="s">
        <v>13924</v>
      </c>
      <c r="B10456" s="90"/>
      <c r="C10456" s="147"/>
      <c r="D10456" s="161"/>
      <c r="E10456" s="36"/>
      <c r="F10456" s="183"/>
      <c r="G10456" s="496"/>
      <c r="H10456" s="34"/>
      <c r="I10456" s="11"/>
    </row>
    <row r="10457" spans="1:12" ht="11.15" customHeight="1">
      <c r="A10457" s="185"/>
      <c r="B10457" s="413" t="s">
        <v>13925</v>
      </c>
      <c r="C10457" s="147"/>
      <c r="D10457" s="122"/>
      <c r="E10457" s="36"/>
      <c r="F10457" s="178"/>
      <c r="G10457" s="60"/>
      <c r="H10457" s="36"/>
      <c r="I10457" s="11"/>
    </row>
    <row r="10458" spans="1:12" ht="9" customHeight="1">
      <c r="A10458" s="362"/>
      <c r="B10458" s="150" t="s">
        <v>13926</v>
      </c>
      <c r="C10458" s="147"/>
      <c r="D10458" s="701"/>
      <c r="E10458" s="36"/>
      <c r="F10458" s="178"/>
      <c r="G10458" s="497"/>
      <c r="H10458" s="36"/>
      <c r="I10458" s="11"/>
    </row>
    <row r="10459" spans="1:12" ht="9" customHeight="1">
      <c r="A10459" s="362"/>
      <c r="B10459" s="150" t="s">
        <v>13927</v>
      </c>
      <c r="C10459" s="147"/>
      <c r="D10459" s="701"/>
      <c r="E10459" s="36"/>
      <c r="F10459" s="178"/>
      <c r="G10459" s="497"/>
      <c r="H10459" s="36"/>
      <c r="I10459" s="11"/>
    </row>
    <row r="10460" spans="1:12" ht="9" customHeight="1">
      <c r="A10460" s="362"/>
      <c r="B10460" s="150" t="s">
        <v>13928</v>
      </c>
      <c r="C10460" s="147"/>
      <c r="D10460" s="701"/>
      <c r="E10460" s="36"/>
      <c r="F10460" s="178"/>
      <c r="G10460" s="497"/>
      <c r="H10460" s="36"/>
      <c r="I10460" s="11"/>
    </row>
    <row r="10461" spans="1:12" ht="9" customHeight="1">
      <c r="A10461" s="362"/>
      <c r="B10461" s="150" t="s">
        <v>13929</v>
      </c>
      <c r="C10461" s="147"/>
      <c r="D10461" s="701"/>
      <c r="E10461" s="36"/>
      <c r="F10461" s="178"/>
      <c r="G10461" s="497"/>
      <c r="H10461" s="36"/>
      <c r="I10461" s="11"/>
    </row>
    <row r="10462" spans="1:12" ht="9" customHeight="1">
      <c r="A10462" s="362"/>
      <c r="B10462" s="150" t="s">
        <v>13930</v>
      </c>
      <c r="C10462" s="147"/>
      <c r="D10462" s="701"/>
      <c r="E10462" s="36"/>
      <c r="F10462" s="178"/>
      <c r="G10462" s="497"/>
      <c r="H10462" s="36"/>
      <c r="I10462" s="11"/>
    </row>
    <row r="10463" spans="1:12" ht="9" customHeight="1">
      <c r="A10463" s="137"/>
      <c r="B10463" s="150" t="s">
        <v>13931</v>
      </c>
      <c r="C10463" s="147"/>
      <c r="D10463" s="701"/>
      <c r="E10463" s="36"/>
      <c r="F10463" s="178"/>
      <c r="G10463" s="497"/>
      <c r="H10463" s="36"/>
      <c r="I10463" s="11"/>
    </row>
    <row r="10464" spans="1:12" ht="9" customHeight="1">
      <c r="A10464" s="362"/>
      <c r="B10464" s="150" t="s">
        <v>13932</v>
      </c>
      <c r="C10464" s="147"/>
      <c r="D10464" s="701"/>
      <c r="E10464" s="36"/>
      <c r="F10464" s="178"/>
      <c r="G10464" s="497"/>
      <c r="H10464" s="36"/>
      <c r="I10464" s="11"/>
    </row>
    <row r="10465" spans="1:12" ht="9" customHeight="1" thickBot="1">
      <c r="A10465" s="137"/>
      <c r="B10465" s="150" t="s">
        <v>13933</v>
      </c>
      <c r="C10465" s="147"/>
      <c r="D10465" s="701"/>
      <c r="E10465" s="36"/>
      <c r="F10465" s="178"/>
      <c r="G10465" s="497"/>
      <c r="H10465" s="36"/>
      <c r="I10465" s="11"/>
    </row>
    <row r="10466" spans="1:12" ht="11.25" customHeight="1">
      <c r="A10466" s="153" t="s">
        <v>13934</v>
      </c>
      <c r="B10466" s="177" t="s">
        <v>13935</v>
      </c>
      <c r="C10466" s="147"/>
      <c r="D10466" s="159"/>
      <c r="E10466" s="36"/>
      <c r="F10466" s="178"/>
      <c r="G10466" s="497"/>
      <c r="H10466" s="36"/>
      <c r="I10466" s="11"/>
    </row>
    <row r="10467" spans="1:12" ht="11.25" customHeight="1" thickBot="1">
      <c r="A10467" s="230" t="s">
        <v>13936</v>
      </c>
      <c r="B10467" s="59" t="s">
        <v>22214</v>
      </c>
      <c r="C10467" s="147" t="s">
        <v>20221</v>
      </c>
      <c r="D10467" s="1034" t="s">
        <v>2573</v>
      </c>
      <c r="E10467" s="178">
        <v>2024</v>
      </c>
      <c r="F10467" s="178" t="s">
        <v>4520</v>
      </c>
      <c r="G10467" s="496"/>
      <c r="H10467" s="994" t="s">
        <v>20221</v>
      </c>
      <c r="I10467" s="11" t="s">
        <v>13937</v>
      </c>
      <c r="J10467" s="1285"/>
      <c r="K10467" s="1285"/>
      <c r="L10467" s="1285"/>
    </row>
    <row r="10468" spans="1:12" ht="11.15" customHeight="1">
      <c r="A10468" s="29" t="s">
        <v>13938</v>
      </c>
      <c r="B10468" s="59" t="s">
        <v>22214</v>
      </c>
      <c r="C10468" s="147" t="s">
        <v>20221</v>
      </c>
      <c r="D10468" s="1034" t="s">
        <v>2573</v>
      </c>
      <c r="E10468" s="178">
        <v>2019</v>
      </c>
      <c r="F10468" s="178" t="s">
        <v>4520</v>
      </c>
      <c r="G10468" s="496"/>
      <c r="H10468" s="994" t="s">
        <v>20277</v>
      </c>
      <c r="I10468" s="11" t="s">
        <v>13939</v>
      </c>
      <c r="J10468" s="1285"/>
      <c r="K10468" s="1285"/>
      <c r="L10468" s="1285"/>
    </row>
    <row r="10469" spans="1:12" ht="11.15" customHeight="1">
      <c r="A10469" s="58" t="s">
        <v>13940</v>
      </c>
      <c r="B10469" s="177" t="s">
        <v>13941</v>
      </c>
      <c r="C10469" s="147"/>
      <c r="D10469" s="159"/>
      <c r="E10469" s="36"/>
      <c r="F10469" s="178"/>
      <c r="G10469" s="497"/>
      <c r="H10469" s="36"/>
      <c r="I10469" s="11"/>
    </row>
    <row r="10470" spans="1:12" ht="11.15" customHeight="1">
      <c r="A10470" s="195" t="s">
        <v>13942</v>
      </c>
      <c r="B10470" s="59" t="s">
        <v>22215</v>
      </c>
      <c r="C10470" s="147" t="s">
        <v>20221</v>
      </c>
      <c r="D10470" s="284" t="s">
        <v>897</v>
      </c>
      <c r="E10470" s="178">
        <v>2023</v>
      </c>
      <c r="F10470" s="178" t="s">
        <v>4520</v>
      </c>
      <c r="G10470" s="496"/>
      <c r="H10470" s="994" t="s">
        <v>20221</v>
      </c>
      <c r="I10470" s="11" t="s">
        <v>13943</v>
      </c>
      <c r="J10470" s="1285"/>
      <c r="K10470" s="1285"/>
      <c r="L10470" s="1285"/>
    </row>
    <row r="10471" spans="1:12" ht="11.15" customHeight="1">
      <c r="A10471" s="58" t="s">
        <v>13944</v>
      </c>
      <c r="B10471" s="59" t="s">
        <v>22216</v>
      </c>
      <c r="C10471" s="147" t="s">
        <v>20221</v>
      </c>
      <c r="D10471" s="284" t="s">
        <v>897</v>
      </c>
      <c r="E10471" s="178">
        <v>2021</v>
      </c>
      <c r="F10471" s="178" t="s">
        <v>4520</v>
      </c>
      <c r="G10471" s="496"/>
      <c r="H10471" s="994" t="s">
        <v>20221</v>
      </c>
      <c r="I10471" s="11" t="s">
        <v>13945</v>
      </c>
      <c r="J10471" s="1285"/>
      <c r="K10471" s="1285"/>
      <c r="L10471" s="1285"/>
    </row>
    <row r="10472" spans="1:12" ht="11.15" customHeight="1">
      <c r="A10472" s="58" t="s">
        <v>13946</v>
      </c>
      <c r="B10472" s="59" t="s">
        <v>22217</v>
      </c>
      <c r="C10472" s="147" t="s">
        <v>20221</v>
      </c>
      <c r="D10472" s="284" t="s">
        <v>897</v>
      </c>
      <c r="E10472" s="178">
        <v>2020</v>
      </c>
      <c r="F10472" s="178" t="s">
        <v>4520</v>
      </c>
      <c r="G10472" s="496"/>
      <c r="H10472" s="994" t="s">
        <v>20221</v>
      </c>
      <c r="I10472" s="11" t="s">
        <v>13947</v>
      </c>
      <c r="J10472" s="1285"/>
      <c r="K10472" s="1285"/>
      <c r="L10472" s="1285"/>
    </row>
    <row r="10473" spans="1:12" ht="11.15" customHeight="1">
      <c r="A10473" s="58" t="s">
        <v>13948</v>
      </c>
      <c r="B10473" s="59" t="s">
        <v>22217</v>
      </c>
      <c r="C10473" s="147" t="s">
        <v>20221</v>
      </c>
      <c r="D10473" s="284" t="s">
        <v>897</v>
      </c>
      <c r="E10473" s="178">
        <v>2019</v>
      </c>
      <c r="F10473" s="178" t="s">
        <v>4520</v>
      </c>
      <c r="G10473" s="496"/>
      <c r="H10473" s="994" t="s">
        <v>20221</v>
      </c>
      <c r="I10473" s="11" t="s">
        <v>13949</v>
      </c>
      <c r="J10473" s="1285"/>
      <c r="K10473" s="1285"/>
      <c r="L10473" s="1285"/>
    </row>
    <row r="10474" spans="1:12" ht="11.15" customHeight="1">
      <c r="A10474" s="29" t="s">
        <v>13950</v>
      </c>
      <c r="B10474" s="59" t="s">
        <v>22217</v>
      </c>
      <c r="C10474" s="147" t="s">
        <v>20221</v>
      </c>
      <c r="D10474" s="284" t="s">
        <v>897</v>
      </c>
      <c r="E10474" s="178">
        <v>2017</v>
      </c>
      <c r="F10474" s="178" t="s">
        <v>4520</v>
      </c>
      <c r="G10474" s="496"/>
      <c r="H10474" s="994" t="s">
        <v>20221</v>
      </c>
      <c r="I10474" s="11" t="s">
        <v>13951</v>
      </c>
      <c r="J10474" s="1285"/>
      <c r="K10474" s="1285"/>
      <c r="L10474" s="1285"/>
    </row>
    <row r="10475" spans="1:12" ht="11.15" customHeight="1">
      <c r="A10475" s="58" t="s">
        <v>13952</v>
      </c>
      <c r="B10475" s="177" t="s">
        <v>13953</v>
      </c>
      <c r="C10475" s="147"/>
      <c r="D10475" s="159"/>
      <c r="E10475" s="36"/>
      <c r="F10475" s="178"/>
      <c r="G10475" s="497"/>
      <c r="H10475" s="36"/>
      <c r="I10475" s="11"/>
    </row>
    <row r="10476" spans="1:12" ht="11.15" customHeight="1">
      <c r="A10476" s="58" t="s">
        <v>13954</v>
      </c>
      <c r="B10476" s="59" t="s">
        <v>22218</v>
      </c>
      <c r="C10476" s="147" t="s">
        <v>20221</v>
      </c>
      <c r="D10476" s="284" t="s">
        <v>897</v>
      </c>
      <c r="E10476" s="178">
        <v>2021</v>
      </c>
      <c r="F10476" s="178" t="s">
        <v>4520</v>
      </c>
      <c r="G10476" s="496"/>
      <c r="H10476" s="994" t="s">
        <v>20221</v>
      </c>
      <c r="I10476" s="11" t="s">
        <v>13955</v>
      </c>
      <c r="J10476" s="1285"/>
      <c r="K10476" s="1285"/>
      <c r="L10476" s="1285"/>
    </row>
    <row r="10477" spans="1:12" ht="11.15" customHeight="1">
      <c r="A10477" s="58" t="s">
        <v>13956</v>
      </c>
      <c r="B10477" s="59" t="s">
        <v>22218</v>
      </c>
      <c r="C10477" s="147" t="s">
        <v>20221</v>
      </c>
      <c r="D10477" s="284" t="s">
        <v>897</v>
      </c>
      <c r="E10477" s="178">
        <v>2020</v>
      </c>
      <c r="F10477" s="178" t="s">
        <v>4520</v>
      </c>
      <c r="G10477" s="496"/>
      <c r="H10477" s="994" t="s">
        <v>20221</v>
      </c>
      <c r="I10477" s="11" t="s">
        <v>13957</v>
      </c>
      <c r="J10477" s="1285"/>
      <c r="K10477" s="1285"/>
      <c r="L10477" s="1285"/>
    </row>
    <row r="10478" spans="1:12" ht="11.15" customHeight="1">
      <c r="A10478" s="58" t="s">
        <v>13958</v>
      </c>
      <c r="B10478" s="59" t="s">
        <v>22218</v>
      </c>
      <c r="C10478" s="147" t="s">
        <v>20221</v>
      </c>
      <c r="D10478" s="284" t="s">
        <v>897</v>
      </c>
      <c r="E10478" s="178">
        <v>2019</v>
      </c>
      <c r="F10478" s="178" t="s">
        <v>4520</v>
      </c>
      <c r="G10478" s="496"/>
      <c r="H10478" s="994" t="s">
        <v>20221</v>
      </c>
      <c r="I10478" s="11" t="s">
        <v>13959</v>
      </c>
      <c r="J10478" s="1285"/>
      <c r="K10478" s="1285"/>
      <c r="L10478" s="1285"/>
    </row>
    <row r="10479" spans="1:12" ht="11.15" customHeight="1">
      <c r="A10479" s="181" t="s">
        <v>13960</v>
      </c>
      <c r="B10479" s="59" t="s">
        <v>22219</v>
      </c>
      <c r="C10479" s="147" t="s">
        <v>20221</v>
      </c>
      <c r="D10479" s="284" t="s">
        <v>897</v>
      </c>
      <c r="E10479" s="178">
        <v>2017</v>
      </c>
      <c r="F10479" s="178" t="s">
        <v>4520</v>
      </c>
      <c r="G10479" s="496"/>
      <c r="H10479" s="994" t="s">
        <v>20221</v>
      </c>
      <c r="I10479" s="11" t="s">
        <v>13961</v>
      </c>
      <c r="J10479" s="1285"/>
      <c r="K10479" s="1285"/>
      <c r="L10479" s="1285"/>
    </row>
    <row r="10480" spans="1:12" ht="11.15" customHeight="1">
      <c r="A10480" s="29" t="s">
        <v>13962</v>
      </c>
      <c r="B10480" s="59" t="s">
        <v>22220</v>
      </c>
      <c r="C10480" s="147" t="s">
        <v>20221</v>
      </c>
      <c r="D10480" s="284" t="s">
        <v>897</v>
      </c>
      <c r="E10480" s="178">
        <v>2020</v>
      </c>
      <c r="F10480" s="178" t="s">
        <v>9678</v>
      </c>
      <c r="G10480" s="496"/>
      <c r="H10480" s="994" t="s">
        <v>20224</v>
      </c>
      <c r="I10480" s="11" t="s">
        <v>13963</v>
      </c>
      <c r="J10480" s="1285"/>
      <c r="K10480" s="1285"/>
      <c r="L10480" s="1285"/>
    </row>
    <row r="10481" spans="1:9" ht="11.15" customHeight="1">
      <c r="A10481" s="129" t="s">
        <v>1077</v>
      </c>
      <c r="B10481" s="185"/>
      <c r="C10481" s="147"/>
      <c r="D10481" s="185"/>
      <c r="E10481" s="185"/>
      <c r="F10481" s="185"/>
      <c r="G10481" s="185"/>
      <c r="H10481" s="185"/>
      <c r="I10481" s="11"/>
    </row>
    <row r="10482" spans="1:9" ht="9" customHeight="1">
      <c r="A10482" s="291" t="s">
        <v>13964</v>
      </c>
      <c r="B10482" s="90"/>
      <c r="C10482" s="147"/>
      <c r="D10482" s="161"/>
      <c r="E10482" s="36"/>
      <c r="F10482" s="178"/>
      <c r="G10482" s="496"/>
      <c r="H10482" s="36"/>
      <c r="I10482" s="11"/>
    </row>
    <row r="10483" spans="1:9" ht="9" customHeight="1">
      <c r="A10483" s="291" t="s">
        <v>13965</v>
      </c>
      <c r="B10483" s="90"/>
      <c r="C10483" s="147"/>
      <c r="D10483" s="161"/>
      <c r="E10483" s="36"/>
      <c r="F10483" s="178"/>
      <c r="G10483" s="496"/>
      <c r="H10483" s="36"/>
      <c r="I10483" s="11"/>
    </row>
    <row r="10484" spans="1:9" ht="9" customHeight="1">
      <c r="A10484" s="291" t="s">
        <v>13966</v>
      </c>
      <c r="B10484" s="185"/>
      <c r="C10484" s="147"/>
      <c r="D10484" s="185"/>
      <c r="E10484" s="185"/>
      <c r="F10484" s="185"/>
      <c r="G10484" s="185"/>
      <c r="H10484" s="185"/>
      <c r="I10484" s="11"/>
    </row>
    <row r="10485" spans="1:9" ht="9" customHeight="1">
      <c r="A10485" s="291" t="s">
        <v>13967</v>
      </c>
      <c r="B10485" s="185"/>
      <c r="C10485" s="147"/>
      <c r="D10485" s="185"/>
      <c r="E10485" s="185"/>
      <c r="F10485" s="185"/>
      <c r="G10485" s="185"/>
      <c r="H10485" s="185"/>
      <c r="I10485" s="11"/>
    </row>
    <row r="10486" spans="1:9" ht="9" customHeight="1">
      <c r="A10486" s="291" t="s">
        <v>13968</v>
      </c>
      <c r="B10486" s="185"/>
      <c r="C10486" s="147"/>
      <c r="D10486" s="122"/>
      <c r="E10486" s="36"/>
      <c r="F10486" s="183"/>
      <c r="G10486" s="453"/>
      <c r="H10486" s="34"/>
      <c r="I10486" s="11"/>
    </row>
    <row r="10487" spans="1:9" ht="9" customHeight="1">
      <c r="A10487" s="291" t="s">
        <v>13969</v>
      </c>
      <c r="B10487" s="185"/>
      <c r="C10487" s="147"/>
      <c r="D10487" s="122"/>
      <c r="E10487" s="36"/>
      <c r="F10487" s="183"/>
      <c r="G10487" s="453"/>
      <c r="H10487" s="34"/>
      <c r="I10487" s="11"/>
    </row>
    <row r="10488" spans="1:9" ht="9" customHeight="1">
      <c r="A10488" s="291" t="s">
        <v>13970</v>
      </c>
      <c r="B10488" s="185"/>
      <c r="C10488" s="147"/>
      <c r="D10488" s="122"/>
      <c r="E10488" s="36"/>
      <c r="F10488" s="183"/>
      <c r="G10488" s="453"/>
      <c r="H10488" s="34"/>
      <c r="I10488" s="11"/>
    </row>
    <row r="10489" spans="1:9" ht="9" customHeight="1">
      <c r="A10489" s="162" t="s">
        <v>13971</v>
      </c>
      <c r="B10489" s="185"/>
      <c r="C10489" s="147"/>
      <c r="D10489" s="122"/>
      <c r="E10489" s="36"/>
      <c r="F10489" s="183"/>
      <c r="G10489" s="453"/>
      <c r="H10489" s="34"/>
      <c r="I10489" s="11"/>
    </row>
    <row r="10490" spans="1:9" ht="9" customHeight="1">
      <c r="A10490" s="162" t="s">
        <v>13972</v>
      </c>
      <c r="B10490" s="90"/>
      <c r="C10490" s="147"/>
      <c r="D10490" s="161"/>
      <c r="E10490" s="36"/>
      <c r="F10490" s="178"/>
      <c r="G10490" s="497"/>
      <c r="H10490" s="36"/>
      <c r="I10490" s="11"/>
    </row>
    <row r="10491" spans="1:9" ht="9" customHeight="1">
      <c r="A10491" s="162" t="s">
        <v>13973</v>
      </c>
      <c r="B10491" s="90"/>
      <c r="C10491" s="147"/>
      <c r="D10491" s="161"/>
      <c r="E10491" s="36"/>
      <c r="F10491" s="178"/>
      <c r="G10491" s="497"/>
      <c r="H10491" s="36"/>
      <c r="I10491" s="11"/>
    </row>
    <row r="10492" spans="1:9" ht="9" customHeight="1">
      <c r="A10492" s="162" t="s">
        <v>13974</v>
      </c>
      <c r="B10492" s="90"/>
      <c r="C10492" s="147"/>
      <c r="D10492" s="161"/>
      <c r="E10492" s="36"/>
      <c r="F10492" s="178"/>
      <c r="G10492" s="497"/>
      <c r="H10492" s="36"/>
      <c r="I10492" s="11"/>
    </row>
    <row r="10493" spans="1:9" ht="9" customHeight="1">
      <c r="A10493" s="129" t="s">
        <v>2461</v>
      </c>
      <c r="B10493" s="90"/>
      <c r="C10493" s="147"/>
      <c r="D10493" s="161"/>
      <c r="E10493" s="36"/>
      <c r="F10493" s="178"/>
      <c r="G10493" s="497"/>
      <c r="H10493" s="36"/>
      <c r="I10493" s="11"/>
    </row>
    <row r="10494" spans="1:9" ht="9" customHeight="1">
      <c r="A10494" s="291" t="s">
        <v>13975</v>
      </c>
      <c r="B10494" s="90"/>
      <c r="C10494" s="147"/>
      <c r="D10494" s="161"/>
      <c r="E10494" s="36"/>
      <c r="F10494" s="178"/>
      <c r="G10494" s="497"/>
      <c r="H10494" s="36"/>
      <c r="I10494" s="11"/>
    </row>
    <row r="10495" spans="1:9" ht="9" customHeight="1">
      <c r="A10495" s="291" t="s">
        <v>13976</v>
      </c>
      <c r="B10495" s="90"/>
      <c r="C10495" s="147"/>
      <c r="D10495" s="161"/>
      <c r="E10495" s="36"/>
      <c r="F10495" s="178"/>
      <c r="G10495" s="497"/>
      <c r="H10495" s="36"/>
      <c r="I10495" s="11"/>
    </row>
    <row r="10496" spans="1:9" ht="9" customHeight="1">
      <c r="A10496" s="291" t="s">
        <v>13977</v>
      </c>
      <c r="B10496" s="185"/>
      <c r="C10496" s="147"/>
      <c r="D10496" s="122"/>
      <c r="E10496" s="36"/>
      <c r="F10496" s="183"/>
      <c r="G10496" s="453"/>
      <c r="H10496" s="34"/>
      <c r="I10496" s="11"/>
    </row>
    <row r="10497" spans="1:9" ht="9" customHeight="1">
      <c r="A10497" s="291" t="s">
        <v>13978</v>
      </c>
      <c r="B10497" s="90"/>
      <c r="C10497" s="147"/>
      <c r="D10497" s="161"/>
      <c r="E10497" s="36"/>
      <c r="F10497" s="178"/>
      <c r="G10497" s="497"/>
      <c r="H10497" s="36"/>
      <c r="I10497" s="11"/>
    </row>
    <row r="10498" spans="1:9" ht="9" customHeight="1">
      <c r="A10498" s="291" t="s">
        <v>13979</v>
      </c>
      <c r="B10498" s="185"/>
      <c r="C10498" s="147"/>
      <c r="D10498" s="122"/>
      <c r="E10498" s="36"/>
      <c r="F10498" s="183"/>
      <c r="G10498" s="453"/>
      <c r="H10498" s="34"/>
      <c r="I10498" s="11"/>
    </row>
    <row r="10499" spans="1:9" ht="9" customHeight="1">
      <c r="A10499" s="291" t="s">
        <v>13980</v>
      </c>
      <c r="B10499" s="185"/>
      <c r="C10499" s="147"/>
      <c r="D10499" s="122"/>
      <c r="E10499" s="36"/>
      <c r="F10499" s="183"/>
      <c r="G10499" s="453"/>
      <c r="H10499" s="34"/>
      <c r="I10499" s="11"/>
    </row>
    <row r="10500" spans="1:9" ht="9" customHeight="1">
      <c r="A10500" s="291" t="s">
        <v>13981</v>
      </c>
      <c r="B10500" s="90"/>
      <c r="C10500" s="147"/>
      <c r="D10500" s="161"/>
      <c r="E10500" s="36"/>
      <c r="F10500" s="178"/>
      <c r="G10500" s="497"/>
      <c r="H10500" s="36"/>
      <c r="I10500" s="11"/>
    </row>
    <row r="10501" spans="1:9" ht="9" customHeight="1">
      <c r="A10501" s="291" t="s">
        <v>13982</v>
      </c>
      <c r="B10501" s="185"/>
      <c r="C10501" s="147"/>
      <c r="D10501" s="122"/>
      <c r="E10501" s="36"/>
      <c r="F10501" s="183"/>
      <c r="G10501" s="453"/>
      <c r="H10501" s="34"/>
      <c r="I10501" s="11"/>
    </row>
    <row r="10502" spans="1:9" ht="9" customHeight="1">
      <c r="A10502" s="291" t="s">
        <v>13983</v>
      </c>
      <c r="B10502" s="185"/>
      <c r="C10502" s="147"/>
      <c r="D10502" s="122"/>
      <c r="E10502" s="36"/>
      <c r="F10502" s="183"/>
      <c r="G10502" s="453"/>
      <c r="H10502" s="34"/>
      <c r="I10502" s="11"/>
    </row>
    <row r="10503" spans="1:9" ht="9" customHeight="1">
      <c r="A10503" s="291" t="s">
        <v>13984</v>
      </c>
      <c r="B10503" s="185"/>
      <c r="C10503" s="147"/>
      <c r="D10503" s="122"/>
      <c r="E10503" s="36"/>
      <c r="F10503" s="183"/>
      <c r="G10503" s="453"/>
      <c r="H10503" s="34"/>
      <c r="I10503" s="11"/>
    </row>
    <row r="10504" spans="1:9" ht="9" customHeight="1">
      <c r="A10504" s="291" t="s">
        <v>13985</v>
      </c>
      <c r="B10504" s="185"/>
      <c r="C10504" s="147"/>
      <c r="D10504" s="122"/>
      <c r="E10504" s="36"/>
      <c r="F10504" s="183"/>
      <c r="G10504" s="453"/>
      <c r="H10504" s="34"/>
      <c r="I10504" s="11"/>
    </row>
    <row r="10505" spans="1:9" ht="11.15" customHeight="1">
      <c r="A10505" s="162" t="s">
        <v>13986</v>
      </c>
      <c r="B10505" s="185"/>
      <c r="C10505" s="147"/>
      <c r="D10505" s="122"/>
      <c r="E10505" s="36"/>
      <c r="F10505" s="183"/>
      <c r="G10505" s="453"/>
      <c r="H10505" s="34"/>
      <c r="I10505" s="11"/>
    </row>
    <row r="10506" spans="1:9" ht="11.15" customHeight="1">
      <c r="A10506" s="168" t="s">
        <v>13987</v>
      </c>
      <c r="B10506" s="185"/>
      <c r="C10506" s="147"/>
      <c r="D10506" s="122"/>
      <c r="E10506" s="36"/>
      <c r="F10506" s="183"/>
      <c r="G10506" s="453"/>
      <c r="H10506" s="34"/>
      <c r="I10506" s="11"/>
    </row>
    <row r="10507" spans="1:9" ht="11.15" customHeight="1">
      <c r="A10507" s="169" t="s">
        <v>13988</v>
      </c>
      <c r="B10507" s="185"/>
      <c r="C10507" s="147"/>
      <c r="D10507" s="122"/>
      <c r="E10507" s="36"/>
      <c r="F10507" s="183"/>
      <c r="G10507" s="453"/>
      <c r="H10507" s="34"/>
      <c r="I10507" s="11"/>
    </row>
    <row r="10508" spans="1:9" ht="11.15" customHeight="1">
      <c r="A10508" s="129" t="s">
        <v>2579</v>
      </c>
      <c r="B10508" s="185"/>
      <c r="C10508" s="147"/>
      <c r="D10508" s="122"/>
      <c r="E10508" s="36"/>
      <c r="F10508" s="183"/>
      <c r="G10508" s="453"/>
      <c r="H10508" s="34"/>
      <c r="I10508" s="11"/>
    </row>
    <row r="10509" spans="1:9" ht="11.15" customHeight="1">
      <c r="A10509" s="129" t="s">
        <v>13989</v>
      </c>
      <c r="B10509" s="185"/>
      <c r="C10509" s="147"/>
      <c r="D10509" s="122"/>
      <c r="E10509" s="36"/>
      <c r="F10509" s="183"/>
      <c r="G10509" s="453"/>
      <c r="H10509" s="34"/>
      <c r="I10509" s="11"/>
    </row>
    <row r="10510" spans="1:9" ht="11.15" customHeight="1">
      <c r="A10510" s="29"/>
      <c r="B10510" s="185"/>
      <c r="C10510" s="147"/>
      <c r="D10510" s="122"/>
      <c r="E10510" s="36"/>
      <c r="F10510" s="183"/>
      <c r="G10510" s="453"/>
      <c r="H10510" s="34"/>
      <c r="I10510" s="11"/>
    </row>
    <row r="10511" spans="1:9" ht="9" customHeight="1">
      <c r="A10511" s="29"/>
      <c r="B10511" s="150" t="s">
        <v>13990</v>
      </c>
      <c r="C10511" s="147"/>
      <c r="D10511" s="122"/>
      <c r="E10511" s="36"/>
      <c r="F10511" s="183"/>
      <c r="G10511" s="453"/>
      <c r="H10511" s="34"/>
      <c r="I10511" s="11"/>
    </row>
    <row r="10512" spans="1:9" ht="9" customHeight="1">
      <c r="A10512" s="29"/>
      <c r="B10512" s="477" t="s">
        <v>13991</v>
      </c>
      <c r="C10512" s="147"/>
      <c r="D10512" s="122"/>
      <c r="E10512" s="36"/>
      <c r="F10512" s="183"/>
      <c r="G10512" s="453"/>
      <c r="H10512" s="34"/>
      <c r="I10512" s="11"/>
    </row>
    <row r="10513" spans="1:12" ht="9" customHeight="1">
      <c r="A10513" s="29"/>
      <c r="B10513" s="150" t="s">
        <v>13992</v>
      </c>
      <c r="C10513" s="147"/>
      <c r="D10513" s="122"/>
      <c r="E10513" s="36"/>
      <c r="F10513" s="183"/>
      <c r="G10513" s="453"/>
      <c r="H10513" s="34"/>
      <c r="I10513" s="11"/>
    </row>
    <row r="10514" spans="1:12" ht="9" customHeight="1" thickBot="1">
      <c r="A10514" s="29"/>
      <c r="B10514" s="150" t="s">
        <v>13993</v>
      </c>
      <c r="C10514" s="147"/>
      <c r="D10514" s="122"/>
      <c r="E10514" s="36"/>
      <c r="F10514" s="183"/>
      <c r="G10514" s="453"/>
      <c r="H10514" s="34"/>
      <c r="I10514" s="11"/>
    </row>
    <row r="10515" spans="1:12" ht="11.25" customHeight="1" thickBot="1">
      <c r="A10515" s="184" t="s">
        <v>13994</v>
      </c>
      <c r="B10515" s="59" t="s">
        <v>22221</v>
      </c>
      <c r="C10515" s="147" t="s">
        <v>20221</v>
      </c>
      <c r="D10515" s="284" t="s">
        <v>897</v>
      </c>
      <c r="E10515" s="178">
        <v>2017</v>
      </c>
      <c r="F10515" s="178" t="s">
        <v>4520</v>
      </c>
      <c r="G10515" s="496"/>
      <c r="H10515" s="994" t="s">
        <v>20221</v>
      </c>
      <c r="I10515" s="11" t="s">
        <v>13995</v>
      </c>
      <c r="J10515" s="1285"/>
      <c r="K10515" s="1285"/>
      <c r="L10515" s="1285"/>
    </row>
    <row r="10516" spans="1:12" ht="11.15" customHeight="1">
      <c r="A10516" s="29" t="s">
        <v>13996</v>
      </c>
      <c r="B10516" s="59" t="s">
        <v>22221</v>
      </c>
      <c r="C10516" s="147" t="s">
        <v>20221</v>
      </c>
      <c r="D10516" s="284" t="s">
        <v>897</v>
      </c>
      <c r="E10516" s="178">
        <v>2015</v>
      </c>
      <c r="F10516" s="178" t="s">
        <v>4520</v>
      </c>
      <c r="G10516" s="496"/>
      <c r="H10516" s="994" t="s">
        <v>20221</v>
      </c>
      <c r="I10516" s="11" t="s">
        <v>13997</v>
      </c>
      <c r="J10516" s="1285"/>
      <c r="K10516" s="1285"/>
      <c r="L10516" s="1285"/>
    </row>
    <row r="10517" spans="1:12" ht="11.15" customHeight="1">
      <c r="A10517" s="29" t="s">
        <v>13998</v>
      </c>
      <c r="B10517" s="59" t="s">
        <v>22222</v>
      </c>
      <c r="C10517" s="147" t="s">
        <v>20221</v>
      </c>
      <c r="D10517" s="284" t="s">
        <v>897</v>
      </c>
      <c r="E10517" s="178">
        <v>2016</v>
      </c>
      <c r="F10517" s="178" t="s">
        <v>4520</v>
      </c>
      <c r="G10517" s="496"/>
      <c r="H10517" s="994" t="s">
        <v>20221</v>
      </c>
      <c r="I10517" s="11" t="s">
        <v>13999</v>
      </c>
      <c r="J10517" s="1285"/>
      <c r="K10517" s="1285"/>
      <c r="L10517" s="1285"/>
    </row>
    <row r="10518" spans="1:12" ht="11.15" customHeight="1">
      <c r="A10518" s="29" t="s">
        <v>14000</v>
      </c>
      <c r="B10518" s="59" t="s">
        <v>22222</v>
      </c>
      <c r="C10518" s="147" t="s">
        <v>20221</v>
      </c>
      <c r="D10518" s="284" t="s">
        <v>897</v>
      </c>
      <c r="E10518" s="178">
        <v>2015</v>
      </c>
      <c r="F10518" s="178" t="s">
        <v>4520</v>
      </c>
      <c r="G10518" s="496"/>
      <c r="H10518" s="994" t="s">
        <v>20221</v>
      </c>
      <c r="I10518" s="11" t="s">
        <v>14001</v>
      </c>
      <c r="J10518" s="1285"/>
      <c r="K10518" s="1285"/>
      <c r="L10518" s="1285"/>
    </row>
    <row r="10519" spans="1:12" ht="11.15" customHeight="1">
      <c r="A10519" s="29" t="s">
        <v>14002</v>
      </c>
      <c r="B10519" s="90"/>
      <c r="C10519" s="147"/>
      <c r="D10519" s="159"/>
      <c r="E10519" s="36"/>
      <c r="F10519" s="178"/>
      <c r="G10519" s="496"/>
      <c r="H10519" s="36"/>
      <c r="I10519" s="11"/>
    </row>
    <row r="10520" spans="1:12" ht="11.15" customHeight="1">
      <c r="A10520" s="29" t="s">
        <v>14003</v>
      </c>
      <c r="B10520" s="90"/>
      <c r="C10520" s="147"/>
      <c r="D10520" s="159"/>
      <c r="E10520" s="36"/>
      <c r="F10520" s="178"/>
      <c r="G10520" s="496"/>
      <c r="H10520" s="36"/>
      <c r="I10520" s="11"/>
    </row>
    <row r="10521" spans="1:12" ht="11.15" customHeight="1">
      <c r="A10521" s="166" t="s">
        <v>14004</v>
      </c>
      <c r="B10521" s="693"/>
      <c r="C10521" s="147"/>
      <c r="D10521" s="122"/>
      <c r="E10521" s="36"/>
      <c r="F10521" s="183"/>
      <c r="G10521" s="453"/>
      <c r="H10521" s="34"/>
      <c r="I10521" s="11"/>
    </row>
    <row r="10522" spans="1:12" ht="11.15" customHeight="1" thickBot="1">
      <c r="A10522" s="129" t="s">
        <v>14005</v>
      </c>
      <c r="B10522" s="693"/>
      <c r="C10522" s="147"/>
      <c r="D10522" s="122"/>
      <c r="E10522" s="36"/>
      <c r="F10522" s="183"/>
      <c r="G10522" s="453"/>
      <c r="H10522" s="34"/>
      <c r="I10522" s="11"/>
    </row>
    <row r="10523" spans="1:12" ht="24" customHeight="1" thickBot="1">
      <c r="A10523" s="515"/>
      <c r="B10523" s="64" t="s">
        <v>14006</v>
      </c>
      <c r="C10523" s="170"/>
      <c r="D10523" s="382"/>
      <c r="E10523" s="235"/>
      <c r="F10523" s="383"/>
      <c r="G10523" s="1249"/>
      <c r="H10523" s="1132"/>
      <c r="I10523" s="11"/>
    </row>
    <row r="10524" spans="1:12" ht="11.15" customHeight="1">
      <c r="A10524" s="271"/>
      <c r="B10524" s="146" t="s">
        <v>14007</v>
      </c>
      <c r="C10524" s="147"/>
      <c r="D10524" s="129"/>
      <c r="E10524" s="185"/>
      <c r="F10524" s="185"/>
      <c r="G10524" s="185"/>
      <c r="H10524" s="185"/>
      <c r="I10524" s="11"/>
    </row>
    <row r="10525" spans="1:12" ht="9" customHeight="1">
      <c r="A10525" s="271"/>
      <c r="B10525" s="209" t="s">
        <v>14008</v>
      </c>
      <c r="C10525" s="147"/>
      <c r="D10525" s="129"/>
      <c r="E10525" s="185"/>
      <c r="F10525" s="185"/>
      <c r="G10525" s="185"/>
      <c r="H10525" s="185"/>
      <c r="I10525" s="11"/>
    </row>
    <row r="10526" spans="1:12" ht="9" customHeight="1" thickBot="1">
      <c r="A10526" s="271"/>
      <c r="B10526" s="209" t="s">
        <v>14009</v>
      </c>
      <c r="C10526" s="147"/>
      <c r="D10526" s="129"/>
      <c r="E10526" s="185"/>
      <c r="F10526" s="185"/>
      <c r="G10526" s="185"/>
      <c r="H10526" s="185"/>
      <c r="I10526" s="11"/>
    </row>
    <row r="10527" spans="1:12" ht="11.15" customHeight="1" thickBot="1">
      <c r="A10527" s="184" t="s">
        <v>14010</v>
      </c>
      <c r="B10527" s="154" t="s">
        <v>14011</v>
      </c>
      <c r="C10527" s="147"/>
      <c r="D10527" s="129"/>
      <c r="E10527" s="185"/>
      <c r="F10527" s="185"/>
      <c r="G10527" s="185"/>
      <c r="H10527" s="185"/>
      <c r="I10527" s="11"/>
    </row>
    <row r="10528" spans="1:12" ht="11.15" customHeight="1">
      <c r="A10528" s="29" t="s">
        <v>14012</v>
      </c>
      <c r="B10528" s="59" t="s">
        <v>22223</v>
      </c>
      <c r="C10528" s="147" t="s">
        <v>20221</v>
      </c>
      <c r="D10528" s="701" t="s">
        <v>1129</v>
      </c>
      <c r="E10528" s="178">
        <v>2011</v>
      </c>
      <c r="F10528" s="178" t="s">
        <v>4520</v>
      </c>
      <c r="G10528" s="496"/>
      <c r="H10528" s="994" t="s">
        <v>20224</v>
      </c>
      <c r="I10528" s="11" t="s">
        <v>14013</v>
      </c>
      <c r="J10528" s="1285"/>
      <c r="K10528" s="1285"/>
      <c r="L10528" s="1285"/>
    </row>
    <row r="10529" spans="1:12" ht="11.15" customHeight="1">
      <c r="A10529" s="29" t="s">
        <v>14014</v>
      </c>
      <c r="B10529" s="59" t="s">
        <v>22224</v>
      </c>
      <c r="C10529" s="147" t="s">
        <v>20221</v>
      </c>
      <c r="D10529" s="701" t="s">
        <v>1129</v>
      </c>
      <c r="E10529" s="178">
        <v>2021</v>
      </c>
      <c r="F10529" s="178" t="s">
        <v>4520</v>
      </c>
      <c r="G10529" s="496"/>
      <c r="H10529" s="994" t="s">
        <v>20221</v>
      </c>
      <c r="I10529" s="11" t="s">
        <v>14015</v>
      </c>
      <c r="J10529" s="1285"/>
      <c r="K10529" s="1285"/>
      <c r="L10529" s="1285"/>
    </row>
    <row r="10530" spans="1:12" ht="11.25" customHeight="1">
      <c r="A10530" s="29" t="s">
        <v>14016</v>
      </c>
      <c r="B10530" s="177" t="s">
        <v>14017</v>
      </c>
      <c r="C10530" s="147"/>
      <c r="D10530" s="122"/>
      <c r="E10530" s="36"/>
      <c r="F10530" s="178"/>
      <c r="G10530" s="496"/>
      <c r="H10530" s="36"/>
      <c r="I10530" s="11"/>
    </row>
    <row r="10531" spans="1:12" ht="11.15" customHeight="1">
      <c r="A10531" s="181" t="s">
        <v>14018</v>
      </c>
      <c r="B10531" s="59" t="s">
        <v>21389</v>
      </c>
      <c r="C10531" s="147" t="s">
        <v>20221</v>
      </c>
      <c r="D10531" s="284" t="s">
        <v>897</v>
      </c>
      <c r="E10531" s="178">
        <v>2020</v>
      </c>
      <c r="F10531" s="178" t="s">
        <v>4520</v>
      </c>
      <c r="G10531" s="496"/>
      <c r="H10531" s="994" t="s">
        <v>20221</v>
      </c>
      <c r="I10531" s="11" t="s">
        <v>14019</v>
      </c>
      <c r="J10531" s="1285"/>
      <c r="K10531" s="1285"/>
      <c r="L10531" s="1285"/>
    </row>
    <row r="10532" spans="1:12" ht="11.15" customHeight="1">
      <c r="A10532" s="181" t="s">
        <v>14020</v>
      </c>
      <c r="B10532" s="59" t="s">
        <v>21389</v>
      </c>
      <c r="C10532" s="147" t="s">
        <v>20221</v>
      </c>
      <c r="D10532" s="284" t="s">
        <v>897</v>
      </c>
      <c r="E10532" s="178">
        <v>2016</v>
      </c>
      <c r="F10532" s="178" t="s">
        <v>4520</v>
      </c>
      <c r="G10532" s="496"/>
      <c r="H10532" s="994" t="s">
        <v>20221</v>
      </c>
      <c r="I10532" s="11" t="s">
        <v>14021</v>
      </c>
      <c r="J10532" s="1285"/>
      <c r="K10532" s="1285"/>
      <c r="L10532" s="1285"/>
    </row>
    <row r="10533" spans="1:12" ht="11.15" customHeight="1">
      <c r="A10533" s="129" t="s">
        <v>951</v>
      </c>
      <c r="B10533" s="59" t="s">
        <v>21389</v>
      </c>
      <c r="C10533" s="147" t="s">
        <v>20221</v>
      </c>
      <c r="D10533" s="284" t="s">
        <v>897</v>
      </c>
      <c r="E10533" s="178">
        <v>2014</v>
      </c>
      <c r="F10533" s="178" t="s">
        <v>4520</v>
      </c>
      <c r="G10533" s="496"/>
      <c r="H10533" s="994" t="s">
        <v>20221</v>
      </c>
      <c r="I10533" s="11" t="s">
        <v>14022</v>
      </c>
      <c r="J10533" s="1285"/>
      <c r="K10533" s="1285"/>
      <c r="L10533" s="1285"/>
    </row>
    <row r="10534" spans="1:12" ht="11.15" customHeight="1">
      <c r="A10534" s="162" t="s">
        <v>14023</v>
      </c>
      <c r="B10534" s="59" t="s">
        <v>21389</v>
      </c>
      <c r="C10534" s="147" t="s">
        <v>20221</v>
      </c>
      <c r="D10534" s="284" t="s">
        <v>897</v>
      </c>
      <c r="E10534" s="178">
        <v>2012</v>
      </c>
      <c r="F10534" s="178" t="s">
        <v>4520</v>
      </c>
      <c r="G10534" s="496"/>
      <c r="H10534" s="994" t="s">
        <v>20277</v>
      </c>
      <c r="I10534" s="11" t="s">
        <v>14024</v>
      </c>
      <c r="J10534" s="1285"/>
      <c r="K10534" s="1285"/>
      <c r="L10534" s="1285"/>
    </row>
    <row r="10535" spans="1:12" ht="11.15" customHeight="1">
      <c r="A10535" s="162" t="s">
        <v>14025</v>
      </c>
      <c r="B10535" s="177" t="s">
        <v>14026</v>
      </c>
      <c r="C10535" s="147"/>
      <c r="D10535" s="122"/>
      <c r="E10535" s="36"/>
      <c r="F10535" s="178"/>
      <c r="G10535" s="60"/>
      <c r="H10535" s="36"/>
      <c r="I10535" s="11"/>
    </row>
    <row r="10536" spans="1:12" ht="11.15" customHeight="1">
      <c r="A10536" s="162" t="s">
        <v>14027</v>
      </c>
      <c r="B10536" s="59" t="s">
        <v>22225</v>
      </c>
      <c r="C10536" s="147" t="s">
        <v>20221</v>
      </c>
      <c r="D10536" s="284" t="s">
        <v>897</v>
      </c>
      <c r="E10536" s="178">
        <v>2020</v>
      </c>
      <c r="F10536" s="178" t="s">
        <v>4520</v>
      </c>
      <c r="G10536" s="496"/>
      <c r="H10536" s="994" t="s">
        <v>20221</v>
      </c>
      <c r="I10536" s="11" t="s">
        <v>14028</v>
      </c>
      <c r="J10536" s="1285"/>
      <c r="K10536" s="1285"/>
      <c r="L10536" s="1285"/>
    </row>
    <row r="10537" spans="1:12" ht="11.15" customHeight="1">
      <c r="A10537" s="162" t="s">
        <v>14029</v>
      </c>
      <c r="B10537" s="59" t="s">
        <v>22225</v>
      </c>
      <c r="C10537" s="147" t="s">
        <v>20221</v>
      </c>
      <c r="D10537" s="284" t="s">
        <v>897</v>
      </c>
      <c r="E10537" s="178">
        <v>2014</v>
      </c>
      <c r="F10537" s="178" t="s">
        <v>4520</v>
      </c>
      <c r="G10537" s="496"/>
      <c r="H10537" s="994" t="s">
        <v>20221</v>
      </c>
      <c r="I10537" s="11" t="s">
        <v>14030</v>
      </c>
      <c r="J10537" s="1285"/>
      <c r="K10537" s="1285"/>
      <c r="L10537" s="1285"/>
    </row>
    <row r="10538" spans="1:12" ht="11.15" customHeight="1">
      <c r="A10538" s="162" t="s">
        <v>14031</v>
      </c>
      <c r="B10538" s="59" t="s">
        <v>22225</v>
      </c>
      <c r="C10538" s="147" t="s">
        <v>20221</v>
      </c>
      <c r="D10538" s="284" t="s">
        <v>897</v>
      </c>
      <c r="E10538" s="178">
        <v>2013</v>
      </c>
      <c r="F10538" s="178" t="s">
        <v>4520</v>
      </c>
      <c r="G10538" s="496"/>
      <c r="H10538" s="994" t="s">
        <v>20221</v>
      </c>
      <c r="I10538" s="11" t="s">
        <v>14032</v>
      </c>
      <c r="J10538" s="1285"/>
      <c r="K10538" s="1285"/>
      <c r="L10538" s="1285"/>
    </row>
    <row r="10539" spans="1:12" ht="11.15" customHeight="1">
      <c r="A10539" s="162" t="s">
        <v>14033</v>
      </c>
      <c r="B10539" s="59" t="s">
        <v>22225</v>
      </c>
      <c r="C10539" s="147" t="s">
        <v>20221</v>
      </c>
      <c r="D10539" s="284" t="s">
        <v>897</v>
      </c>
      <c r="E10539" s="178">
        <v>2012</v>
      </c>
      <c r="F10539" s="178" t="s">
        <v>4520</v>
      </c>
      <c r="G10539" s="496"/>
      <c r="H10539" s="994" t="s">
        <v>20277</v>
      </c>
      <c r="I10539" s="11" t="s">
        <v>14034</v>
      </c>
      <c r="J10539" s="1285"/>
      <c r="K10539" s="1285"/>
      <c r="L10539" s="1285"/>
    </row>
    <row r="10540" spans="1:12" ht="11.15" customHeight="1">
      <c r="A10540" s="162" t="s">
        <v>14035</v>
      </c>
      <c r="B10540" s="177" t="s">
        <v>14036</v>
      </c>
      <c r="C10540" s="147"/>
      <c r="D10540" s="122"/>
      <c r="E10540" s="36"/>
      <c r="F10540" s="178"/>
      <c r="G10540" s="60"/>
      <c r="H10540" s="36"/>
      <c r="I10540" s="11"/>
    </row>
    <row r="10541" spans="1:12" ht="11.15" customHeight="1">
      <c r="A10541" s="162" t="s">
        <v>14037</v>
      </c>
      <c r="B10541" s="59" t="s">
        <v>22226</v>
      </c>
      <c r="C10541" s="147" t="s">
        <v>20221</v>
      </c>
      <c r="D10541" s="284" t="s">
        <v>897</v>
      </c>
      <c r="E10541" s="178">
        <v>2015</v>
      </c>
      <c r="F10541" s="178" t="s">
        <v>4520</v>
      </c>
      <c r="G10541" s="496"/>
      <c r="H10541" s="994" t="s">
        <v>20221</v>
      </c>
      <c r="I10541" s="11" t="s">
        <v>14038</v>
      </c>
      <c r="J10541" s="1285"/>
      <c r="K10541" s="1285"/>
      <c r="L10541" s="1285"/>
    </row>
    <row r="10542" spans="1:12" ht="11.15" customHeight="1">
      <c r="A10542" s="355" t="s">
        <v>14039</v>
      </c>
      <c r="B10542" s="59" t="s">
        <v>22226</v>
      </c>
      <c r="C10542" s="147" t="s">
        <v>20221</v>
      </c>
      <c r="D10542" s="284" t="s">
        <v>897</v>
      </c>
      <c r="E10542" s="178">
        <v>2012</v>
      </c>
      <c r="F10542" s="178" t="s">
        <v>4520</v>
      </c>
      <c r="G10542" s="496"/>
      <c r="H10542" s="994" t="s">
        <v>20221</v>
      </c>
      <c r="I10542" s="11" t="s">
        <v>14040</v>
      </c>
      <c r="J10542" s="1285"/>
      <c r="K10542" s="1285"/>
      <c r="L10542" s="1285"/>
    </row>
    <row r="10543" spans="1:12" ht="11.15" customHeight="1">
      <c r="A10543" s="162" t="s">
        <v>14041</v>
      </c>
      <c r="B10543" s="59" t="s">
        <v>22227</v>
      </c>
      <c r="C10543" s="147" t="s">
        <v>20221</v>
      </c>
      <c r="D10543" s="284" t="s">
        <v>897</v>
      </c>
      <c r="E10543" s="178">
        <v>2018</v>
      </c>
      <c r="F10543" s="178" t="s">
        <v>4520</v>
      </c>
      <c r="G10543" s="496"/>
      <c r="H10543" s="994" t="s">
        <v>20221</v>
      </c>
      <c r="I10543" s="11" t="s">
        <v>14042</v>
      </c>
      <c r="J10543" s="1285"/>
      <c r="K10543" s="1285"/>
      <c r="L10543" s="1285"/>
    </row>
    <row r="10544" spans="1:12" ht="11.15" customHeight="1">
      <c r="A10544" s="355" t="s">
        <v>14043</v>
      </c>
      <c r="B10544" s="59" t="s">
        <v>22228</v>
      </c>
      <c r="C10544" s="147" t="s">
        <v>20221</v>
      </c>
      <c r="D10544" s="284" t="s">
        <v>897</v>
      </c>
      <c r="E10544" s="178">
        <v>2021</v>
      </c>
      <c r="F10544" s="178" t="s">
        <v>4520</v>
      </c>
      <c r="G10544" s="496"/>
      <c r="H10544" s="994" t="s">
        <v>20221</v>
      </c>
      <c r="I10544" s="11" t="s">
        <v>14044</v>
      </c>
      <c r="J10544" s="1285"/>
      <c r="K10544" s="1285"/>
      <c r="L10544" s="1285"/>
    </row>
    <row r="10545" spans="1:12" ht="11.15" customHeight="1">
      <c r="A10545" s="162" t="s">
        <v>14045</v>
      </c>
      <c r="B10545" s="59" t="s">
        <v>22228</v>
      </c>
      <c r="C10545" s="147" t="s">
        <v>20221</v>
      </c>
      <c r="D10545" s="284" t="s">
        <v>897</v>
      </c>
      <c r="E10545" s="178">
        <v>2019</v>
      </c>
      <c r="F10545" s="178" t="s">
        <v>4520</v>
      </c>
      <c r="G10545" s="496"/>
      <c r="H10545" s="994" t="s">
        <v>20221</v>
      </c>
      <c r="I10545" s="11" t="s">
        <v>14046</v>
      </c>
      <c r="J10545" s="1285"/>
      <c r="K10545" s="1285"/>
      <c r="L10545" s="1285"/>
    </row>
    <row r="10546" spans="1:12" ht="11.15" customHeight="1">
      <c r="A10546" s="162" t="s">
        <v>14047</v>
      </c>
      <c r="B10546" s="59" t="s">
        <v>22228</v>
      </c>
      <c r="C10546" s="147" t="s">
        <v>20221</v>
      </c>
      <c r="D10546" s="284" t="s">
        <v>897</v>
      </c>
      <c r="E10546" s="178">
        <v>2017</v>
      </c>
      <c r="F10546" s="178" t="s">
        <v>4520</v>
      </c>
      <c r="G10546" s="496"/>
      <c r="H10546" s="994" t="s">
        <v>20221</v>
      </c>
      <c r="I10546" s="11" t="s">
        <v>14048</v>
      </c>
      <c r="J10546" s="1285"/>
      <c r="K10546" s="1285"/>
      <c r="L10546" s="1285"/>
    </row>
    <row r="10547" spans="1:12" ht="11.15" customHeight="1">
      <c r="A10547" s="162" t="s">
        <v>14049</v>
      </c>
      <c r="B10547" s="59" t="s">
        <v>22229</v>
      </c>
      <c r="C10547" s="147" t="s">
        <v>20221</v>
      </c>
      <c r="D10547" s="284" t="s">
        <v>897</v>
      </c>
      <c r="E10547" s="178">
        <v>2021</v>
      </c>
      <c r="F10547" s="178" t="s">
        <v>4520</v>
      </c>
      <c r="G10547" s="496"/>
      <c r="H10547" s="994" t="s">
        <v>20221</v>
      </c>
      <c r="I10547" s="11" t="s">
        <v>14050</v>
      </c>
      <c r="J10547" s="1285"/>
      <c r="K10547" s="1285"/>
      <c r="L10547" s="1285"/>
    </row>
    <row r="10548" spans="1:12" ht="11.15" customHeight="1">
      <c r="A10548" s="162" t="s">
        <v>14051</v>
      </c>
      <c r="B10548" s="59" t="s">
        <v>22229</v>
      </c>
      <c r="C10548" s="147" t="s">
        <v>20221</v>
      </c>
      <c r="D10548" s="284" t="s">
        <v>897</v>
      </c>
      <c r="E10548" s="178">
        <v>2019</v>
      </c>
      <c r="F10548" s="178" t="s">
        <v>4520</v>
      </c>
      <c r="G10548" s="496"/>
      <c r="H10548" s="994" t="s">
        <v>20221</v>
      </c>
      <c r="I10548" s="11" t="s">
        <v>14052</v>
      </c>
      <c r="J10548" s="1285"/>
      <c r="K10548" s="1285"/>
      <c r="L10548" s="1285"/>
    </row>
    <row r="10549" spans="1:12" ht="11.15" customHeight="1">
      <c r="A10549" s="162" t="s">
        <v>14053</v>
      </c>
      <c r="B10549" s="59" t="s">
        <v>22230</v>
      </c>
      <c r="C10549" s="147" t="s">
        <v>20221</v>
      </c>
      <c r="D10549" s="284" t="s">
        <v>897</v>
      </c>
      <c r="E10549" s="178">
        <v>2021</v>
      </c>
      <c r="F10549" s="178" t="s">
        <v>4520</v>
      </c>
      <c r="G10549" s="496"/>
      <c r="H10549" s="994" t="s">
        <v>20221</v>
      </c>
      <c r="I10549" s="11" t="s">
        <v>14054</v>
      </c>
      <c r="J10549" s="1285"/>
      <c r="K10549" s="1285"/>
      <c r="L10549" s="1285"/>
    </row>
    <row r="10550" spans="1:12" ht="11.15" customHeight="1">
      <c r="A10550" s="162" t="s">
        <v>14055</v>
      </c>
      <c r="B10550" s="59" t="s">
        <v>22230</v>
      </c>
      <c r="C10550" s="147" t="s">
        <v>20221</v>
      </c>
      <c r="D10550" s="284" t="s">
        <v>897</v>
      </c>
      <c r="E10550" s="178">
        <v>2019</v>
      </c>
      <c r="F10550" s="178" t="s">
        <v>4520</v>
      </c>
      <c r="G10550" s="496"/>
      <c r="H10550" s="994" t="s">
        <v>20221</v>
      </c>
      <c r="I10550" s="11" t="s">
        <v>14056</v>
      </c>
      <c r="J10550" s="1285"/>
      <c r="K10550" s="1285"/>
      <c r="L10550" s="1285"/>
    </row>
    <row r="10551" spans="1:12" ht="11.15" customHeight="1">
      <c r="A10551" s="162" t="s">
        <v>14057</v>
      </c>
      <c r="B10551" s="177" t="s">
        <v>14058</v>
      </c>
      <c r="C10551" s="147"/>
      <c r="D10551" s="122"/>
      <c r="E10551" s="36"/>
      <c r="F10551" s="178"/>
      <c r="G10551" s="60"/>
      <c r="H10551" s="36"/>
      <c r="I10551" s="11"/>
    </row>
    <row r="10552" spans="1:12" ht="11.15" customHeight="1">
      <c r="A10552" s="162" t="s">
        <v>14059</v>
      </c>
      <c r="B10552" s="59" t="s">
        <v>22231</v>
      </c>
      <c r="C10552" s="147" t="s">
        <v>20221</v>
      </c>
      <c r="D10552" s="284" t="s">
        <v>897</v>
      </c>
      <c r="E10552" s="178">
        <v>2014</v>
      </c>
      <c r="F10552" s="178" t="s">
        <v>4520</v>
      </c>
      <c r="G10552" s="496"/>
      <c r="H10552" s="994" t="s">
        <v>20221</v>
      </c>
      <c r="I10552" s="11" t="s">
        <v>14060</v>
      </c>
      <c r="J10552" s="1285"/>
      <c r="K10552" s="1285"/>
      <c r="L10552" s="1285"/>
    </row>
    <row r="10553" spans="1:12" ht="11.15" customHeight="1">
      <c r="A10553" s="162" t="s">
        <v>14057</v>
      </c>
      <c r="B10553" s="90"/>
      <c r="C10553" s="147"/>
      <c r="D10553" s="161"/>
      <c r="E10553" s="36"/>
      <c r="F10553" s="178"/>
      <c r="G10553" s="496"/>
      <c r="H10553" s="36"/>
      <c r="I10553" s="11"/>
    </row>
    <row r="10554" spans="1:12" ht="11.15" customHeight="1">
      <c r="A10554" s="129" t="s">
        <v>903</v>
      </c>
      <c r="B10554" s="90"/>
      <c r="C10554" s="147"/>
      <c r="D10554" s="161"/>
      <c r="E10554" s="36"/>
      <c r="F10554" s="183"/>
      <c r="G10554" s="496"/>
      <c r="H10554" s="34"/>
      <c r="I10554" s="11"/>
    </row>
    <row r="10555" spans="1:12" ht="11.15" customHeight="1">
      <c r="A10555" s="162" t="s">
        <v>14061</v>
      </c>
      <c r="B10555" s="185"/>
      <c r="C10555" s="147"/>
      <c r="D10555" s="185"/>
      <c r="E10555" s="185"/>
      <c r="F10555" s="185"/>
      <c r="G10555" s="185"/>
      <c r="H10555" s="185"/>
      <c r="I10555" s="11"/>
    </row>
    <row r="10556" spans="1:12" ht="11.15" customHeight="1">
      <c r="A10556" s="162" t="s">
        <v>14062</v>
      </c>
      <c r="B10556" s="185"/>
      <c r="C10556" s="147"/>
      <c r="D10556" s="185"/>
      <c r="E10556" s="185"/>
      <c r="F10556" s="185"/>
      <c r="G10556" s="185"/>
      <c r="H10556" s="185"/>
      <c r="I10556" s="11"/>
    </row>
    <row r="10557" spans="1:12" ht="11.15" customHeight="1">
      <c r="A10557" s="162" t="s">
        <v>14063</v>
      </c>
      <c r="B10557" s="185"/>
      <c r="C10557" s="147"/>
      <c r="D10557" s="185"/>
      <c r="E10557" s="185"/>
      <c r="F10557" s="185"/>
      <c r="G10557" s="185"/>
      <c r="H10557" s="185"/>
      <c r="I10557" s="11"/>
    </row>
    <row r="10558" spans="1:12" ht="11.15" customHeight="1">
      <c r="A10558" s="162" t="s">
        <v>14064</v>
      </c>
      <c r="B10558" s="185"/>
      <c r="C10558" s="147"/>
      <c r="D10558" s="185"/>
      <c r="E10558" s="185"/>
      <c r="F10558" s="185"/>
      <c r="G10558" s="185"/>
      <c r="H10558" s="185"/>
      <c r="I10558" s="11"/>
    </row>
    <row r="10559" spans="1:12" ht="11.15" customHeight="1">
      <c r="A10559" s="162" t="s">
        <v>14065</v>
      </c>
      <c r="B10559" s="185"/>
      <c r="C10559" s="147"/>
      <c r="D10559" s="185"/>
      <c r="E10559" s="185"/>
      <c r="F10559" s="185"/>
      <c r="G10559" s="185"/>
      <c r="H10559" s="185"/>
      <c r="I10559" s="11"/>
    </row>
    <row r="10560" spans="1:12" ht="11.15" customHeight="1">
      <c r="A10560" s="162" t="s">
        <v>14066</v>
      </c>
      <c r="B10560" s="185"/>
      <c r="C10560" s="147"/>
      <c r="D10560" s="185"/>
      <c r="E10560" s="185"/>
      <c r="F10560" s="185"/>
      <c r="G10560" s="185"/>
      <c r="H10560" s="185"/>
      <c r="I10560" s="11"/>
    </row>
    <row r="10561" spans="1:12" ht="11.15" customHeight="1">
      <c r="A10561" s="162" t="s">
        <v>14067</v>
      </c>
      <c r="B10561" s="185"/>
      <c r="C10561" s="147"/>
      <c r="D10561" s="185"/>
      <c r="E10561" s="185"/>
      <c r="F10561" s="185"/>
      <c r="G10561" s="185"/>
      <c r="H10561" s="185"/>
      <c r="I10561" s="11"/>
    </row>
    <row r="10562" spans="1:12" ht="11.15" customHeight="1">
      <c r="A10562" s="166" t="s">
        <v>14068</v>
      </c>
      <c r="B10562" s="185"/>
      <c r="C10562" s="147"/>
      <c r="D10562" s="185"/>
      <c r="E10562" s="185"/>
      <c r="F10562" s="185"/>
      <c r="G10562" s="185"/>
      <c r="H10562" s="185"/>
      <c r="I10562" s="11"/>
    </row>
    <row r="10563" spans="1:12" ht="11.15" customHeight="1">
      <c r="A10563" s="129" t="s">
        <v>14069</v>
      </c>
      <c r="B10563" s="185"/>
      <c r="C10563" s="147"/>
      <c r="D10563" s="161"/>
      <c r="E10563" s="36"/>
      <c r="F10563" s="178"/>
      <c r="G10563" s="496"/>
      <c r="H10563" s="36"/>
      <c r="I10563" s="11"/>
    </row>
    <row r="10564" spans="1:12" ht="11.15" customHeight="1" thickBot="1">
      <c r="A10564" s="29"/>
      <c r="B10564" s="122"/>
      <c r="C10564" s="147"/>
      <c r="D10564" s="161"/>
      <c r="E10564" s="36"/>
      <c r="F10564" s="178"/>
      <c r="G10564" s="496"/>
      <c r="H10564" s="36"/>
      <c r="I10564" s="11"/>
    </row>
    <row r="10565" spans="1:12" ht="11.15" customHeight="1" thickBot="1">
      <c r="A10565" s="184" t="s">
        <v>14070</v>
      </c>
      <c r="B10565" s="59" t="s">
        <v>22232</v>
      </c>
      <c r="C10565" s="147" t="s">
        <v>20221</v>
      </c>
      <c r="D10565" s="701" t="s">
        <v>1129</v>
      </c>
      <c r="E10565" s="178">
        <v>2019</v>
      </c>
      <c r="F10565" s="178" t="s">
        <v>4520</v>
      </c>
      <c r="G10565" s="496"/>
      <c r="H10565" s="994" t="s">
        <v>20221</v>
      </c>
      <c r="I10565" s="11" t="s">
        <v>14071</v>
      </c>
      <c r="J10565" s="1285"/>
      <c r="K10565" s="1285"/>
      <c r="L10565" s="1285"/>
    </row>
    <row r="10566" spans="1:12" ht="11.15" customHeight="1">
      <c r="A10566" s="29" t="s">
        <v>14072</v>
      </c>
      <c r="B10566" s="59" t="s">
        <v>22232</v>
      </c>
      <c r="C10566" s="147" t="s">
        <v>20221</v>
      </c>
      <c r="D10566" s="701" t="s">
        <v>1129</v>
      </c>
      <c r="E10566" s="178">
        <v>2018</v>
      </c>
      <c r="F10566" s="178" t="s">
        <v>4520</v>
      </c>
      <c r="G10566" s="496"/>
      <c r="H10566" s="994" t="s">
        <v>20221</v>
      </c>
      <c r="I10566" s="11" t="s">
        <v>14073</v>
      </c>
      <c r="J10566" s="1285"/>
      <c r="K10566" s="1285"/>
      <c r="L10566" s="1285"/>
    </row>
    <row r="10567" spans="1:12" ht="11.15" customHeight="1">
      <c r="A10567" s="29" t="s">
        <v>14074</v>
      </c>
      <c r="B10567" s="59" t="s">
        <v>22233</v>
      </c>
      <c r="C10567" s="147" t="s">
        <v>20221</v>
      </c>
      <c r="D10567" s="284" t="s">
        <v>897</v>
      </c>
      <c r="E10567" s="178">
        <v>2019</v>
      </c>
      <c r="F10567" s="178" t="s">
        <v>4520</v>
      </c>
      <c r="G10567" s="496"/>
      <c r="H10567" s="994" t="s">
        <v>20221</v>
      </c>
      <c r="I10567" s="11" t="s">
        <v>14075</v>
      </c>
      <c r="J10567" s="1285"/>
      <c r="K10567" s="1285"/>
      <c r="L10567" s="1285"/>
    </row>
    <row r="10568" spans="1:12" ht="11.15" customHeight="1">
      <c r="A10568" s="29" t="s">
        <v>14076</v>
      </c>
      <c r="B10568" s="59" t="s">
        <v>22233</v>
      </c>
      <c r="C10568" s="147" t="s">
        <v>20221</v>
      </c>
      <c r="D10568" s="284" t="s">
        <v>897</v>
      </c>
      <c r="E10568" s="178">
        <v>2018</v>
      </c>
      <c r="F10568" s="178" t="s">
        <v>4520</v>
      </c>
      <c r="G10568" s="496"/>
      <c r="H10568" s="994" t="s">
        <v>20224</v>
      </c>
      <c r="I10568" s="11" t="s">
        <v>14077</v>
      </c>
      <c r="J10568" s="1285"/>
      <c r="K10568" s="1285"/>
      <c r="L10568" s="1285"/>
    </row>
    <row r="10569" spans="1:12" ht="11.15" customHeight="1">
      <c r="A10569" s="218" t="s">
        <v>14078</v>
      </c>
      <c r="B10569" s="90"/>
      <c r="C10569" s="147"/>
      <c r="D10569" s="156"/>
      <c r="E10569" s="36"/>
      <c r="F10569" s="183"/>
      <c r="G10569" s="497"/>
      <c r="H10569" s="34"/>
      <c r="I10569" s="11"/>
    </row>
    <row r="10570" spans="1:12" ht="11.15" customHeight="1">
      <c r="A10570" s="129" t="s">
        <v>14079</v>
      </c>
      <c r="B10570" s="185"/>
      <c r="C10570" s="147"/>
      <c r="D10570" s="161"/>
      <c r="E10570" s="36"/>
      <c r="F10570" s="178"/>
      <c r="G10570" s="496"/>
      <c r="H10570" s="36"/>
      <c r="I10570" s="11"/>
    </row>
    <row r="10571" spans="1:12" ht="11.15" customHeight="1">
      <c r="A10571" s="162" t="s">
        <v>14080</v>
      </c>
      <c r="B10571" s="150"/>
      <c r="C10571" s="147"/>
      <c r="D10571" s="161"/>
      <c r="E10571" s="36"/>
      <c r="F10571" s="178"/>
      <c r="G10571" s="496"/>
      <c r="H10571" s="36"/>
      <c r="I10571" s="11"/>
    </row>
    <row r="10572" spans="1:12" ht="11.15" customHeight="1">
      <c r="A10572" s="162" t="s">
        <v>14081</v>
      </c>
      <c r="B10572" s="150"/>
      <c r="C10572" s="147"/>
      <c r="D10572" s="161"/>
      <c r="E10572" s="36"/>
      <c r="F10572" s="178"/>
      <c r="G10572" s="496"/>
      <c r="H10572" s="36"/>
      <c r="I10572" s="11"/>
    </row>
    <row r="10573" spans="1:12" ht="11.15" customHeight="1">
      <c r="A10573" s="162" t="s">
        <v>14082</v>
      </c>
      <c r="B10573" s="150"/>
      <c r="C10573" s="147"/>
      <c r="D10573" s="161"/>
      <c r="E10573" s="36"/>
      <c r="F10573" s="178"/>
      <c r="G10573" s="496"/>
      <c r="H10573" s="36"/>
      <c r="I10573" s="11"/>
    </row>
    <row r="10574" spans="1:12" ht="11.15" customHeight="1">
      <c r="A10574" s="292" t="s">
        <v>14083</v>
      </c>
      <c r="B10574" s="150"/>
      <c r="C10574" s="147"/>
      <c r="D10574" s="161"/>
      <c r="E10574" s="36"/>
      <c r="F10574" s="178"/>
      <c r="G10574" s="496"/>
      <c r="H10574" s="36"/>
      <c r="I10574" s="11"/>
    </row>
    <row r="10575" spans="1:12" ht="11.15" customHeight="1">
      <c r="A10575" s="162" t="s">
        <v>14084</v>
      </c>
      <c r="B10575" s="150"/>
      <c r="C10575" s="147"/>
      <c r="D10575" s="161"/>
      <c r="E10575" s="36"/>
      <c r="F10575" s="178"/>
      <c r="G10575" s="496"/>
      <c r="H10575" s="36"/>
      <c r="I10575" s="11"/>
    </row>
    <row r="10576" spans="1:12" ht="11.15" customHeight="1">
      <c r="A10576" s="162" t="s">
        <v>14085</v>
      </c>
      <c r="B10576" s="185"/>
      <c r="C10576" s="147"/>
      <c r="D10576" s="185"/>
      <c r="E10576" s="185"/>
      <c r="F10576" s="185"/>
      <c r="G10576" s="185"/>
      <c r="H10576" s="185"/>
      <c r="I10576" s="11"/>
    </row>
    <row r="10577" spans="1:12" ht="11.15" customHeight="1">
      <c r="A10577" s="169" t="s">
        <v>14086</v>
      </c>
      <c r="B10577" s="185"/>
      <c r="C10577" s="147"/>
      <c r="D10577" s="185"/>
      <c r="E10577" s="185"/>
      <c r="F10577" s="185"/>
      <c r="G10577" s="185"/>
      <c r="H10577" s="185"/>
      <c r="I10577" s="11"/>
    </row>
    <row r="10578" spans="1:12" ht="11.15" customHeight="1">
      <c r="A10578" s="616" t="s">
        <v>5463</v>
      </c>
      <c r="B10578" s="150"/>
      <c r="C10578" s="147"/>
      <c r="D10578" s="161"/>
      <c r="E10578" s="36"/>
      <c r="F10578" s="178"/>
      <c r="G10578" s="496"/>
      <c r="H10578" s="36"/>
      <c r="I10578" s="11"/>
    </row>
    <row r="10579" spans="1:12" ht="11.15" customHeight="1">
      <c r="A10579" s="129" t="s">
        <v>14087</v>
      </c>
      <c r="B10579" s="210"/>
      <c r="C10579" s="147"/>
      <c r="D10579" s="161"/>
      <c r="E10579" s="36"/>
      <c r="F10579" s="178"/>
      <c r="G10579" s="496"/>
      <c r="H10579" s="36"/>
      <c r="I10579" s="11"/>
    </row>
    <row r="10580" spans="1:12" ht="11.15" customHeight="1">
      <c r="A10580" s="29"/>
      <c r="B10580" s="413" t="s">
        <v>14088</v>
      </c>
      <c r="C10580" s="147"/>
      <c r="D10580" s="161"/>
      <c r="E10580" s="36"/>
      <c r="F10580" s="178"/>
      <c r="G10580" s="496"/>
      <c r="H10580" s="36"/>
      <c r="I10580" s="11"/>
    </row>
    <row r="10581" spans="1:12" ht="9" customHeight="1">
      <c r="A10581" s="29"/>
      <c r="B10581" s="150" t="s">
        <v>14089</v>
      </c>
      <c r="C10581" s="147"/>
      <c r="D10581" s="161"/>
      <c r="E10581" s="36"/>
      <c r="F10581" s="178"/>
      <c r="G10581" s="496"/>
      <c r="H10581" s="36"/>
      <c r="I10581" s="11"/>
    </row>
    <row r="10582" spans="1:12" ht="9" customHeight="1">
      <c r="A10582" s="29"/>
      <c r="B10582" s="150" t="s">
        <v>14090</v>
      </c>
      <c r="C10582" s="147"/>
      <c r="D10582" s="161"/>
      <c r="E10582" s="36"/>
      <c r="F10582" s="178"/>
      <c r="G10582" s="496"/>
      <c r="H10582" s="36"/>
      <c r="I10582" s="11"/>
    </row>
    <row r="10583" spans="1:12" ht="9" customHeight="1">
      <c r="A10583" s="29"/>
      <c r="B10583" s="150" t="s">
        <v>14091</v>
      </c>
      <c r="C10583" s="147"/>
      <c r="D10583" s="161"/>
      <c r="E10583" s="36"/>
      <c r="F10583" s="178"/>
      <c r="G10583" s="496"/>
      <c r="H10583" s="36"/>
      <c r="I10583" s="11"/>
    </row>
    <row r="10584" spans="1:12" ht="9" customHeight="1">
      <c r="A10584" s="29"/>
      <c r="B10584" s="150" t="s">
        <v>14092</v>
      </c>
      <c r="C10584" s="147"/>
      <c r="D10584" s="161"/>
      <c r="E10584" s="36"/>
      <c r="F10584" s="178"/>
      <c r="G10584" s="496"/>
      <c r="H10584" s="36"/>
      <c r="I10584" s="11"/>
    </row>
    <row r="10585" spans="1:12" ht="9" customHeight="1">
      <c r="A10585" s="29"/>
      <c r="B10585" s="150" t="s">
        <v>14093</v>
      </c>
      <c r="C10585" s="147"/>
      <c r="D10585" s="161"/>
      <c r="E10585" s="36"/>
      <c r="F10585" s="178"/>
      <c r="G10585" s="496"/>
      <c r="H10585" s="36"/>
      <c r="I10585" s="11"/>
    </row>
    <row r="10586" spans="1:12" ht="9" customHeight="1">
      <c r="A10586" s="370"/>
      <c r="B10586" s="209" t="s">
        <v>14094</v>
      </c>
      <c r="C10586" s="147"/>
      <c r="D10586" s="122"/>
      <c r="E10586" s="36"/>
      <c r="F10586" s="178"/>
      <c r="G10586" s="60"/>
      <c r="H10586" s="36"/>
      <c r="I10586" s="11"/>
    </row>
    <row r="10587" spans="1:12" ht="9" customHeight="1" thickBot="1">
      <c r="A10587" s="185"/>
      <c r="B10587" s="209" t="s">
        <v>14095</v>
      </c>
      <c r="C10587" s="147"/>
      <c r="D10587" s="122"/>
      <c r="E10587" s="36"/>
      <c r="F10587" s="178"/>
      <c r="G10587" s="60"/>
      <c r="H10587" s="36"/>
      <c r="I10587" s="11"/>
    </row>
    <row r="10588" spans="1:12" ht="11.15" customHeight="1" thickBot="1">
      <c r="A10588" s="184" t="s">
        <v>14096</v>
      </c>
      <c r="B10588" s="154" t="s">
        <v>14097</v>
      </c>
      <c r="C10588" s="147"/>
      <c r="D10588" s="129"/>
      <c r="E10588" s="185"/>
      <c r="F10588" s="185"/>
      <c r="G10588" s="185"/>
      <c r="H10588" s="185"/>
      <c r="I10588" s="11"/>
    </row>
    <row r="10589" spans="1:12" ht="11.15" customHeight="1">
      <c r="A10589" s="29" t="s">
        <v>14098</v>
      </c>
      <c r="B10589" s="59" t="s">
        <v>22234</v>
      </c>
      <c r="C10589" s="147" t="s">
        <v>20221</v>
      </c>
      <c r="D10589" s="1034" t="s">
        <v>2573</v>
      </c>
      <c r="E10589" s="178" t="s">
        <v>20221</v>
      </c>
      <c r="F10589" s="178" t="s">
        <v>23395</v>
      </c>
      <c r="G10589" s="496" t="s">
        <v>20221</v>
      </c>
      <c r="H10589" s="994" t="s">
        <v>3907</v>
      </c>
      <c r="I10589" s="11" t="s">
        <v>14099</v>
      </c>
      <c r="J10589" s="1285"/>
      <c r="K10589" s="1285"/>
      <c r="L10589" s="1285"/>
    </row>
    <row r="10590" spans="1:12" ht="11.15" customHeight="1">
      <c r="A10590" s="29" t="s">
        <v>14100</v>
      </c>
      <c r="B10590" s="59" t="s">
        <v>22235</v>
      </c>
      <c r="C10590" s="147" t="s">
        <v>20221</v>
      </c>
      <c r="D10590" s="284" t="s">
        <v>897</v>
      </c>
      <c r="E10590" s="178">
        <v>2022</v>
      </c>
      <c r="F10590" s="178" t="s">
        <v>23395</v>
      </c>
      <c r="G10590" s="496"/>
      <c r="H10590" s="994" t="s">
        <v>20221</v>
      </c>
      <c r="I10590" s="11" t="s">
        <v>14101</v>
      </c>
      <c r="J10590" s="1285"/>
      <c r="K10590" s="1285"/>
      <c r="L10590" s="1285"/>
    </row>
    <row r="10591" spans="1:12" ht="11.15" customHeight="1">
      <c r="A10591" s="181" t="s">
        <v>14102</v>
      </c>
      <c r="B10591" s="154" t="s">
        <v>14104</v>
      </c>
      <c r="C10591" s="147"/>
      <c r="D10591" s="122"/>
      <c r="E10591" s="36"/>
      <c r="F10591" s="178"/>
      <c r="G10591" s="60"/>
      <c r="H10591" s="36"/>
      <c r="I10591" s="11"/>
    </row>
    <row r="10592" spans="1:12" ht="11.15" customHeight="1">
      <c r="A10592" s="181" t="s">
        <v>950</v>
      </c>
      <c r="B10592" s="59" t="s">
        <v>22236</v>
      </c>
      <c r="C10592" s="147" t="s">
        <v>20221</v>
      </c>
      <c r="D10592" s="701" t="s">
        <v>1129</v>
      </c>
      <c r="E10592" s="178" t="s">
        <v>20221</v>
      </c>
      <c r="F10592" s="178" t="s">
        <v>23395</v>
      </c>
      <c r="G10592" s="496" t="s">
        <v>20221</v>
      </c>
      <c r="H10592" s="994" t="s">
        <v>3907</v>
      </c>
      <c r="I10592" s="11" t="s">
        <v>14106</v>
      </c>
      <c r="J10592" s="1285"/>
      <c r="K10592" s="1285"/>
      <c r="L10592" s="1285"/>
    </row>
    <row r="10593" spans="1:12" ht="11.15" customHeight="1">
      <c r="A10593" s="29" t="s">
        <v>14103</v>
      </c>
      <c r="B10593" s="59" t="s">
        <v>22237</v>
      </c>
      <c r="C10593" s="147" t="s">
        <v>20221</v>
      </c>
      <c r="D10593" s="701" t="s">
        <v>1129</v>
      </c>
      <c r="E10593" s="178">
        <v>2020</v>
      </c>
      <c r="F10593" s="178" t="s">
        <v>5257</v>
      </c>
      <c r="G10593" s="496"/>
      <c r="H10593" s="994" t="s">
        <v>20221</v>
      </c>
      <c r="I10593" s="11" t="s">
        <v>14108</v>
      </c>
      <c r="J10593" s="1285"/>
      <c r="K10593" s="1285"/>
      <c r="L10593" s="1285"/>
    </row>
    <row r="10594" spans="1:12" ht="11.15" customHeight="1">
      <c r="A10594" s="29" t="s">
        <v>14105</v>
      </c>
      <c r="B10594" s="154" t="s">
        <v>14111</v>
      </c>
      <c r="C10594" s="147"/>
      <c r="D10594" s="122"/>
      <c r="E10594" s="36"/>
      <c r="F10594" s="183"/>
      <c r="G10594" s="496"/>
      <c r="H10594" s="34"/>
      <c r="I10594" s="11"/>
    </row>
    <row r="10595" spans="1:12" ht="11.15" customHeight="1">
      <c r="A10595" s="29" t="s">
        <v>14107</v>
      </c>
      <c r="B10595" s="59" t="s">
        <v>22238</v>
      </c>
      <c r="C10595" s="147" t="s">
        <v>20221</v>
      </c>
      <c r="D10595" s="284" t="s">
        <v>897</v>
      </c>
      <c r="E10595" s="178">
        <v>2017</v>
      </c>
      <c r="F10595" s="178" t="s">
        <v>23405</v>
      </c>
      <c r="G10595" s="496"/>
      <c r="H10595" s="994" t="s">
        <v>20224</v>
      </c>
      <c r="I10595" s="11" t="s">
        <v>14113</v>
      </c>
      <c r="J10595" s="1285"/>
      <c r="K10595" s="1285"/>
      <c r="L10595" s="1285"/>
    </row>
    <row r="10596" spans="1:12" ht="11.15" customHeight="1">
      <c r="A10596" s="29" t="s">
        <v>14109</v>
      </c>
      <c r="B10596" s="59" t="s">
        <v>22239</v>
      </c>
      <c r="C10596" s="147" t="s">
        <v>20221</v>
      </c>
      <c r="D10596" s="284" t="s">
        <v>897</v>
      </c>
      <c r="E10596" s="178">
        <v>2021</v>
      </c>
      <c r="F10596" s="178" t="s">
        <v>23395</v>
      </c>
      <c r="G10596" s="496"/>
      <c r="H10596" s="994" t="s">
        <v>20221</v>
      </c>
      <c r="I10596" s="11" t="s">
        <v>14115</v>
      </c>
      <c r="J10596" s="1285"/>
      <c r="K10596" s="1285"/>
      <c r="L10596" s="1285"/>
    </row>
    <row r="10597" spans="1:12" ht="11.15" customHeight="1">
      <c r="A10597" s="229" t="s">
        <v>14110</v>
      </c>
      <c r="B10597" s="59" t="s">
        <v>22239</v>
      </c>
      <c r="C10597" s="147" t="s">
        <v>20221</v>
      </c>
      <c r="D10597" s="284" t="s">
        <v>897</v>
      </c>
      <c r="E10597" s="178">
        <v>2020</v>
      </c>
      <c r="F10597" s="178" t="s">
        <v>23395</v>
      </c>
      <c r="G10597" s="496"/>
      <c r="H10597" s="994" t="s">
        <v>20277</v>
      </c>
      <c r="I10597" s="11" t="s">
        <v>14117</v>
      </c>
      <c r="J10597" s="1285"/>
      <c r="K10597" s="1285"/>
      <c r="L10597" s="1285"/>
    </row>
    <row r="10598" spans="1:12" ht="11.15" customHeight="1">
      <c r="A10598" s="129" t="s">
        <v>14112</v>
      </c>
      <c r="B10598" s="59" t="s">
        <v>22240</v>
      </c>
      <c r="C10598" s="147" t="s">
        <v>20221</v>
      </c>
      <c r="D10598" s="284" t="s">
        <v>897</v>
      </c>
      <c r="E10598" s="178">
        <v>2020</v>
      </c>
      <c r="F10598" s="178" t="s">
        <v>5257</v>
      </c>
      <c r="G10598" s="496"/>
      <c r="H10598" s="994" t="s">
        <v>20224</v>
      </c>
      <c r="I10598" s="11" t="s">
        <v>14119</v>
      </c>
      <c r="J10598" s="1285"/>
      <c r="K10598" s="1285"/>
      <c r="L10598" s="1285"/>
    </row>
    <row r="10599" spans="1:12" ht="11.15" customHeight="1">
      <c r="A10599" s="162" t="s">
        <v>14114</v>
      </c>
      <c r="B10599" s="59" t="s">
        <v>22241</v>
      </c>
      <c r="C10599" s="147" t="s">
        <v>20221</v>
      </c>
      <c r="D10599" s="284" t="s">
        <v>897</v>
      </c>
      <c r="E10599" s="178" t="s">
        <v>20221</v>
      </c>
      <c r="F10599" s="178" t="s">
        <v>23420</v>
      </c>
      <c r="G10599" s="496" t="s">
        <v>20221</v>
      </c>
      <c r="H10599" s="994" t="s">
        <v>3907</v>
      </c>
      <c r="I10599" s="11" t="s">
        <v>14121</v>
      </c>
      <c r="J10599" s="1285"/>
      <c r="K10599" s="1285"/>
      <c r="L10599" s="1285"/>
    </row>
    <row r="10600" spans="1:12" ht="11.15" customHeight="1">
      <c r="A10600" s="162" t="s">
        <v>14116</v>
      </c>
      <c r="B10600" s="177" t="s">
        <v>14124</v>
      </c>
      <c r="C10600" s="147"/>
      <c r="D10600" s="122"/>
      <c r="E10600" s="178"/>
      <c r="F10600" s="183"/>
      <c r="G10600" s="496"/>
      <c r="H10600" s="34"/>
      <c r="I10600" s="11"/>
    </row>
    <row r="10601" spans="1:12" ht="11.15" customHeight="1">
      <c r="A10601" s="162" t="s">
        <v>14118</v>
      </c>
      <c r="B10601" s="59" t="s">
        <v>22242</v>
      </c>
      <c r="C10601" s="147" t="s">
        <v>20221</v>
      </c>
      <c r="D10601" s="284" t="s">
        <v>897</v>
      </c>
      <c r="E10601" s="178" t="s">
        <v>18951</v>
      </c>
      <c r="F10601" s="178" t="s">
        <v>4520</v>
      </c>
      <c r="G10601" s="496"/>
      <c r="H10601" s="994" t="s">
        <v>20221</v>
      </c>
      <c r="I10601" s="11" t="s">
        <v>14126</v>
      </c>
      <c r="J10601" s="1285"/>
      <c r="K10601" s="1285"/>
      <c r="L10601" s="1285"/>
    </row>
    <row r="10602" spans="1:12" ht="11.15" customHeight="1">
      <c r="A10602" s="162" t="s">
        <v>14120</v>
      </c>
      <c r="B10602" s="59" t="s">
        <v>22243</v>
      </c>
      <c r="C10602" s="147" t="s">
        <v>20221</v>
      </c>
      <c r="D10602" s="284" t="s">
        <v>897</v>
      </c>
      <c r="E10602" s="178" t="s">
        <v>18951</v>
      </c>
      <c r="F10602" s="178" t="s">
        <v>4520</v>
      </c>
      <c r="G10602" s="496"/>
      <c r="H10602" s="994" t="s">
        <v>20221</v>
      </c>
      <c r="I10602" s="11" t="s">
        <v>14128</v>
      </c>
      <c r="J10602" s="1285"/>
      <c r="K10602" s="1285"/>
      <c r="L10602" s="1285"/>
    </row>
    <row r="10603" spans="1:12" ht="11.15" customHeight="1">
      <c r="A10603" s="162" t="s">
        <v>14122</v>
      </c>
      <c r="B10603" s="59" t="s">
        <v>22244</v>
      </c>
      <c r="C10603" s="147" t="s">
        <v>20221</v>
      </c>
      <c r="D10603" s="284" t="s">
        <v>897</v>
      </c>
      <c r="E10603" s="178" t="s">
        <v>18951</v>
      </c>
      <c r="F10603" s="178" t="s">
        <v>5257</v>
      </c>
      <c r="G10603" s="496"/>
      <c r="H10603" s="994" t="s">
        <v>20224</v>
      </c>
      <c r="I10603" s="11" t="s">
        <v>14130</v>
      </c>
      <c r="J10603" s="1285"/>
      <c r="K10603" s="1285"/>
      <c r="L10603" s="1285"/>
    </row>
    <row r="10604" spans="1:12" ht="11.15" customHeight="1">
      <c r="A10604" s="162" t="s">
        <v>14123</v>
      </c>
      <c r="B10604" s="59" t="s">
        <v>22245</v>
      </c>
      <c r="C10604" s="147" t="s">
        <v>20221</v>
      </c>
      <c r="D10604" s="284" t="s">
        <v>897</v>
      </c>
      <c r="E10604" s="178" t="s">
        <v>18951</v>
      </c>
      <c r="F10604" s="178" t="s">
        <v>5257</v>
      </c>
      <c r="G10604" s="496"/>
      <c r="H10604" s="994" t="s">
        <v>20224</v>
      </c>
      <c r="I10604" s="11" t="s">
        <v>14132</v>
      </c>
      <c r="J10604" s="1285"/>
      <c r="K10604" s="1285"/>
      <c r="L10604" s="1285"/>
    </row>
    <row r="10605" spans="1:12" ht="11.15" customHeight="1">
      <c r="A10605" s="162" t="s">
        <v>14125</v>
      </c>
      <c r="B10605" s="177" t="s">
        <v>14135</v>
      </c>
      <c r="C10605" s="147"/>
      <c r="D10605" s="161"/>
      <c r="E10605" s="36"/>
      <c r="F10605" s="178"/>
      <c r="G10605" s="496"/>
      <c r="H10605" s="36"/>
      <c r="I10605" s="11"/>
    </row>
    <row r="10606" spans="1:12" ht="11.15" customHeight="1">
      <c r="A10606" s="162" t="s">
        <v>14127</v>
      </c>
      <c r="B10606" s="59" t="s">
        <v>22246</v>
      </c>
      <c r="C10606" s="147" t="s">
        <v>20221</v>
      </c>
      <c r="D10606" s="284" t="s">
        <v>897</v>
      </c>
      <c r="E10606" s="178">
        <v>2018</v>
      </c>
      <c r="F10606" s="178" t="s">
        <v>4520</v>
      </c>
      <c r="G10606" s="496"/>
      <c r="H10606" s="994" t="s">
        <v>20221</v>
      </c>
      <c r="I10606" s="11" t="s">
        <v>14137</v>
      </c>
      <c r="J10606" s="1285"/>
      <c r="K10606" s="1285"/>
      <c r="L10606" s="1285"/>
    </row>
    <row r="10607" spans="1:12" ht="11.15" customHeight="1">
      <c r="A10607" s="208" t="s">
        <v>14129</v>
      </c>
      <c r="B10607" s="59" t="s">
        <v>22247</v>
      </c>
      <c r="C10607" s="147" t="s">
        <v>20221</v>
      </c>
      <c r="D10607" s="284" t="s">
        <v>897</v>
      </c>
      <c r="E10607" s="178">
        <v>2020</v>
      </c>
      <c r="F10607" s="178" t="s">
        <v>4520</v>
      </c>
      <c r="G10607" s="496"/>
      <c r="H10607" s="994" t="s">
        <v>20221</v>
      </c>
      <c r="I10607" s="11" t="s">
        <v>14139</v>
      </c>
      <c r="J10607" s="1285"/>
      <c r="K10607" s="1285"/>
      <c r="L10607" s="1285"/>
    </row>
    <row r="10608" spans="1:12" ht="11.15" customHeight="1">
      <c r="A10608" s="162" t="s">
        <v>14131</v>
      </c>
      <c r="B10608" s="59" t="s">
        <v>22247</v>
      </c>
      <c r="C10608" s="147" t="s">
        <v>20221</v>
      </c>
      <c r="D10608" s="284" t="s">
        <v>897</v>
      </c>
      <c r="E10608" s="178">
        <v>2019</v>
      </c>
      <c r="F10608" s="178" t="s">
        <v>4520</v>
      </c>
      <c r="G10608" s="496"/>
      <c r="H10608" s="994" t="s">
        <v>20221</v>
      </c>
      <c r="I10608" s="11" t="s">
        <v>14141</v>
      </c>
      <c r="J10608" s="1285"/>
      <c r="K10608" s="1285"/>
      <c r="L10608" s="1285"/>
    </row>
    <row r="10609" spans="1:12" ht="11.15" customHeight="1">
      <c r="A10609" s="162" t="s">
        <v>14133</v>
      </c>
      <c r="B10609" s="59" t="s">
        <v>22247</v>
      </c>
      <c r="C10609" s="147" t="s">
        <v>20221</v>
      </c>
      <c r="D10609" s="284" t="s">
        <v>897</v>
      </c>
      <c r="E10609" s="178">
        <v>2018</v>
      </c>
      <c r="F10609" s="178" t="s">
        <v>4520</v>
      </c>
      <c r="G10609" s="496"/>
      <c r="H10609" s="994" t="s">
        <v>20221</v>
      </c>
      <c r="I10609" s="11" t="s">
        <v>14143</v>
      </c>
      <c r="J10609" s="1285"/>
      <c r="K10609" s="1285"/>
      <c r="L10609" s="1285"/>
    </row>
    <row r="10610" spans="1:12" ht="11.15" customHeight="1">
      <c r="A10610" s="129" t="s">
        <v>14134</v>
      </c>
      <c r="B10610" s="59" t="s">
        <v>22247</v>
      </c>
      <c r="C10610" s="147" t="s">
        <v>20221</v>
      </c>
      <c r="D10610" s="284" t="s">
        <v>897</v>
      </c>
      <c r="E10610" s="178">
        <v>2017</v>
      </c>
      <c r="F10610" s="178" t="s">
        <v>4520</v>
      </c>
      <c r="G10610" s="496"/>
      <c r="H10610" s="994" t="s">
        <v>20277</v>
      </c>
      <c r="I10610" s="11" t="s">
        <v>14145</v>
      </c>
      <c r="J10610" s="1285"/>
      <c r="K10610" s="1285"/>
      <c r="L10610" s="1285"/>
    </row>
    <row r="10611" spans="1:12" ht="11.15" customHeight="1">
      <c r="A10611" s="162" t="s">
        <v>14136</v>
      </c>
      <c r="B10611" s="59" t="s">
        <v>22248</v>
      </c>
      <c r="C10611" s="147" t="s">
        <v>20221</v>
      </c>
      <c r="D10611" s="284" t="s">
        <v>897</v>
      </c>
      <c r="E10611" s="178">
        <v>2020</v>
      </c>
      <c r="F10611" s="178" t="s">
        <v>4520</v>
      </c>
      <c r="G10611" s="496"/>
      <c r="H10611" s="994" t="s">
        <v>20221</v>
      </c>
      <c r="I10611" s="11" t="s">
        <v>14147</v>
      </c>
      <c r="J10611" s="1285"/>
      <c r="K10611" s="1285"/>
      <c r="L10611" s="1285"/>
    </row>
    <row r="10612" spans="1:12" ht="11.15" customHeight="1">
      <c r="A10612" s="162" t="s">
        <v>14138</v>
      </c>
      <c r="B10612" s="59" t="s">
        <v>22248</v>
      </c>
      <c r="C10612" s="147" t="s">
        <v>20221</v>
      </c>
      <c r="D10612" s="284" t="s">
        <v>897</v>
      </c>
      <c r="E10612" s="178">
        <v>2019</v>
      </c>
      <c r="F10612" s="178" t="s">
        <v>4520</v>
      </c>
      <c r="G10612" s="496"/>
      <c r="H10612" s="994" t="s">
        <v>20221</v>
      </c>
      <c r="I10612" s="11" t="s">
        <v>14149</v>
      </c>
      <c r="J10612" s="1285"/>
      <c r="K10612" s="1285"/>
      <c r="L10612" s="1285"/>
    </row>
    <row r="10613" spans="1:12" ht="11.15" customHeight="1">
      <c r="A10613" s="355" t="s">
        <v>14140</v>
      </c>
      <c r="B10613" s="59" t="s">
        <v>22248</v>
      </c>
      <c r="C10613" s="147" t="s">
        <v>20221</v>
      </c>
      <c r="D10613" s="284" t="s">
        <v>897</v>
      </c>
      <c r="E10613" s="178">
        <v>2018</v>
      </c>
      <c r="F10613" s="178" t="s">
        <v>4520</v>
      </c>
      <c r="G10613" s="496"/>
      <c r="H10613" s="994" t="s">
        <v>20221</v>
      </c>
      <c r="I10613" s="11" t="s">
        <v>14151</v>
      </c>
      <c r="J10613" s="1285"/>
      <c r="K10613" s="1285"/>
      <c r="L10613" s="1285"/>
    </row>
    <row r="10614" spans="1:12" ht="11.15" customHeight="1">
      <c r="A10614" s="162" t="s">
        <v>14142</v>
      </c>
      <c r="B10614" s="59" t="s">
        <v>22249</v>
      </c>
      <c r="C10614" s="147" t="s">
        <v>20221</v>
      </c>
      <c r="D10614" s="284" t="s">
        <v>897</v>
      </c>
      <c r="E10614" s="178">
        <v>2020</v>
      </c>
      <c r="F10614" s="178" t="s">
        <v>4520</v>
      </c>
      <c r="G10614" s="496"/>
      <c r="H10614" s="994" t="s">
        <v>20221</v>
      </c>
      <c r="I10614" s="11" t="s">
        <v>14153</v>
      </c>
      <c r="J10614" s="1285"/>
      <c r="K10614" s="1285"/>
      <c r="L10614" s="1285"/>
    </row>
    <row r="10615" spans="1:12" ht="11.15" customHeight="1">
      <c r="A10615" s="162" t="s">
        <v>14144</v>
      </c>
      <c r="B10615" s="59" t="s">
        <v>22249</v>
      </c>
      <c r="C10615" s="147" t="s">
        <v>20221</v>
      </c>
      <c r="D10615" s="284" t="s">
        <v>897</v>
      </c>
      <c r="E10615" s="178">
        <v>2019</v>
      </c>
      <c r="F10615" s="178" t="s">
        <v>4520</v>
      </c>
      <c r="G10615" s="496"/>
      <c r="H10615" s="994" t="s">
        <v>20221</v>
      </c>
      <c r="I10615" s="11" t="s">
        <v>14155</v>
      </c>
      <c r="J10615" s="1285"/>
      <c r="K10615" s="1285"/>
      <c r="L10615" s="1285"/>
    </row>
    <row r="10616" spans="1:12" ht="11.15" customHeight="1">
      <c r="A10616" s="162" t="s">
        <v>14146</v>
      </c>
      <c r="B10616" s="59" t="s">
        <v>22249</v>
      </c>
      <c r="C10616" s="147" t="s">
        <v>20221</v>
      </c>
      <c r="D10616" s="284" t="s">
        <v>897</v>
      </c>
      <c r="E10616" s="178">
        <v>2018</v>
      </c>
      <c r="F10616" s="178" t="s">
        <v>4520</v>
      </c>
      <c r="G10616" s="496"/>
      <c r="H10616" s="994" t="s">
        <v>20221</v>
      </c>
      <c r="I10616" s="11" t="s">
        <v>14157</v>
      </c>
      <c r="J10616" s="1285"/>
      <c r="K10616" s="1285"/>
      <c r="L10616" s="1285"/>
    </row>
    <row r="10617" spans="1:12" ht="11.15" customHeight="1">
      <c r="A10617" s="162" t="s">
        <v>14148</v>
      </c>
      <c r="B10617" s="59" t="s">
        <v>22250</v>
      </c>
      <c r="C10617" s="147" t="s">
        <v>20221</v>
      </c>
      <c r="D10617" s="284" t="s">
        <v>897</v>
      </c>
      <c r="E10617" s="178">
        <v>2020</v>
      </c>
      <c r="F10617" s="178" t="s">
        <v>4520</v>
      </c>
      <c r="G10617" s="496"/>
      <c r="H10617" s="994" t="s">
        <v>20221</v>
      </c>
      <c r="I10617" s="11" t="s">
        <v>14159</v>
      </c>
      <c r="J10617" s="1285"/>
      <c r="K10617" s="1285"/>
      <c r="L10617" s="1285"/>
    </row>
    <row r="10618" spans="1:12" ht="11.15" customHeight="1">
      <c r="A10618" s="162" t="s">
        <v>14150</v>
      </c>
      <c r="B10618" s="59" t="s">
        <v>22250</v>
      </c>
      <c r="C10618" s="147" t="s">
        <v>20221</v>
      </c>
      <c r="D10618" s="284" t="s">
        <v>897</v>
      </c>
      <c r="E10618" s="178">
        <v>2018</v>
      </c>
      <c r="F10618" s="178" t="s">
        <v>4520</v>
      </c>
      <c r="G10618" s="496"/>
      <c r="H10618" s="994" t="s">
        <v>20221</v>
      </c>
      <c r="I10618" s="11" t="s">
        <v>14161</v>
      </c>
      <c r="J10618" s="1285"/>
      <c r="K10618" s="1285"/>
      <c r="L10618" s="1285"/>
    </row>
    <row r="10619" spans="1:12" ht="11.15" customHeight="1">
      <c r="A10619" s="355" t="s">
        <v>14152</v>
      </c>
      <c r="B10619" s="177" t="s">
        <v>14163</v>
      </c>
      <c r="C10619" s="147"/>
      <c r="D10619" s="161"/>
      <c r="E10619" s="36"/>
      <c r="F10619" s="178"/>
      <c r="G10619" s="496"/>
      <c r="H10619" s="36"/>
      <c r="I10619" s="11"/>
    </row>
    <row r="10620" spans="1:12" ht="11.15" customHeight="1">
      <c r="A10620" s="162" t="s">
        <v>14154</v>
      </c>
      <c r="B10620" s="59" t="s">
        <v>22251</v>
      </c>
      <c r="C10620" s="147" t="s">
        <v>20221</v>
      </c>
      <c r="D10620" s="284" t="s">
        <v>897</v>
      </c>
      <c r="E10620" s="178">
        <v>2018</v>
      </c>
      <c r="F10620" s="178" t="s">
        <v>5257</v>
      </c>
      <c r="G10620" s="496"/>
      <c r="H10620" s="994" t="s">
        <v>20224</v>
      </c>
      <c r="I10620" s="11" t="s">
        <v>14165</v>
      </c>
      <c r="J10620" s="1285"/>
      <c r="K10620" s="1285"/>
      <c r="L10620" s="1285"/>
    </row>
    <row r="10621" spans="1:12" ht="11.15" customHeight="1">
      <c r="A10621" s="355" t="s">
        <v>14156</v>
      </c>
      <c r="B10621" s="59" t="s">
        <v>22252</v>
      </c>
      <c r="C10621" s="147" t="s">
        <v>20221</v>
      </c>
      <c r="D10621" s="284" t="s">
        <v>897</v>
      </c>
      <c r="E10621" s="178">
        <v>2019</v>
      </c>
      <c r="F10621" s="178" t="s">
        <v>5257</v>
      </c>
      <c r="G10621" s="496"/>
      <c r="H10621" s="994" t="s">
        <v>20224</v>
      </c>
      <c r="I10621" s="11" t="s">
        <v>14167</v>
      </c>
      <c r="J10621" s="1285"/>
      <c r="K10621" s="1285"/>
      <c r="L10621" s="1285"/>
    </row>
    <row r="10622" spans="1:12" ht="11.15" customHeight="1">
      <c r="A10622" s="162" t="s">
        <v>14158</v>
      </c>
      <c r="B10622" s="59" t="s">
        <v>22252</v>
      </c>
      <c r="C10622" s="147" t="s">
        <v>20221</v>
      </c>
      <c r="D10622" s="284" t="s">
        <v>897</v>
      </c>
      <c r="E10622" s="178">
        <v>2017</v>
      </c>
      <c r="F10622" s="178" t="s">
        <v>5257</v>
      </c>
      <c r="G10622" s="496"/>
      <c r="H10622" s="994" t="s">
        <v>20224</v>
      </c>
      <c r="I10622" s="11" t="s">
        <v>14169</v>
      </c>
      <c r="J10622" s="1285"/>
      <c r="K10622" s="1285"/>
      <c r="L10622" s="1285"/>
    </row>
    <row r="10623" spans="1:12" ht="11.15" customHeight="1">
      <c r="A10623" s="162" t="s">
        <v>14160</v>
      </c>
      <c r="B10623" s="59" t="s">
        <v>22253</v>
      </c>
      <c r="C10623" s="147" t="s">
        <v>20221</v>
      </c>
      <c r="D10623" s="284" t="s">
        <v>897</v>
      </c>
      <c r="E10623" s="178">
        <v>2019</v>
      </c>
      <c r="F10623" s="178" t="s">
        <v>5257</v>
      </c>
      <c r="G10623" s="496"/>
      <c r="H10623" s="994" t="s">
        <v>20224</v>
      </c>
      <c r="I10623" s="11" t="s">
        <v>14171</v>
      </c>
      <c r="J10623" s="1285"/>
      <c r="K10623" s="1285"/>
      <c r="L10623" s="1285"/>
    </row>
    <row r="10624" spans="1:12" ht="11.15" customHeight="1">
      <c r="A10624" s="162" t="s">
        <v>14162</v>
      </c>
      <c r="B10624" s="59" t="s">
        <v>22253</v>
      </c>
      <c r="C10624" s="147" t="s">
        <v>20221</v>
      </c>
      <c r="D10624" s="284" t="s">
        <v>897</v>
      </c>
      <c r="E10624" s="178">
        <v>2018</v>
      </c>
      <c r="F10624" s="178" t="s">
        <v>5257</v>
      </c>
      <c r="G10624" s="496"/>
      <c r="H10624" s="994" t="s">
        <v>20224</v>
      </c>
      <c r="I10624" s="11" t="s">
        <v>14173</v>
      </c>
      <c r="J10624" s="1285"/>
      <c r="K10624" s="1285"/>
      <c r="L10624" s="1285"/>
    </row>
    <row r="10625" spans="1:12" ht="11.15" customHeight="1">
      <c r="A10625" s="223" t="s">
        <v>14164</v>
      </c>
      <c r="B10625" s="59" t="s">
        <v>22253</v>
      </c>
      <c r="C10625" s="147" t="s">
        <v>20221</v>
      </c>
      <c r="D10625" s="284" t="s">
        <v>897</v>
      </c>
      <c r="E10625" s="178">
        <v>2017</v>
      </c>
      <c r="F10625" s="178" t="s">
        <v>5257</v>
      </c>
      <c r="G10625" s="496"/>
      <c r="H10625" s="994" t="s">
        <v>20224</v>
      </c>
      <c r="I10625" s="11" t="s">
        <v>14175</v>
      </c>
      <c r="J10625" s="1285"/>
      <c r="K10625" s="1285"/>
      <c r="L10625" s="1285"/>
    </row>
    <row r="10626" spans="1:12" ht="11.15" customHeight="1">
      <c r="A10626" s="355" t="s">
        <v>14166</v>
      </c>
      <c r="B10626" s="59" t="s">
        <v>22254</v>
      </c>
      <c r="C10626" s="147" t="s">
        <v>20221</v>
      </c>
      <c r="D10626" s="284" t="s">
        <v>897</v>
      </c>
      <c r="E10626" s="178">
        <v>2018</v>
      </c>
      <c r="F10626" s="178" t="s">
        <v>5257</v>
      </c>
      <c r="G10626" s="496"/>
      <c r="H10626" s="994" t="s">
        <v>20224</v>
      </c>
      <c r="I10626" s="11" t="s">
        <v>14177</v>
      </c>
      <c r="J10626" s="1285"/>
      <c r="K10626" s="1285"/>
      <c r="L10626" s="1285"/>
    </row>
    <row r="10627" spans="1:12" ht="11.15" customHeight="1">
      <c r="A10627" s="162" t="s">
        <v>14168</v>
      </c>
      <c r="B10627" s="59" t="s">
        <v>22255</v>
      </c>
      <c r="C10627" s="147" t="s">
        <v>20221</v>
      </c>
      <c r="D10627" s="284" t="s">
        <v>897</v>
      </c>
      <c r="E10627" s="178">
        <v>2018</v>
      </c>
      <c r="F10627" s="178" t="s">
        <v>5257</v>
      </c>
      <c r="G10627" s="496"/>
      <c r="H10627" s="994" t="s">
        <v>20224</v>
      </c>
      <c r="I10627" s="11" t="s">
        <v>14179</v>
      </c>
      <c r="J10627" s="1285"/>
      <c r="K10627" s="1285"/>
      <c r="L10627" s="1285"/>
    </row>
    <row r="10628" spans="1:12" ht="11.15" customHeight="1">
      <c r="A10628" s="162" t="s">
        <v>14170</v>
      </c>
      <c r="B10628" s="221" t="s">
        <v>14184</v>
      </c>
      <c r="C10628" s="147"/>
      <c r="D10628" s="122"/>
      <c r="E10628" s="185"/>
      <c r="F10628" s="185"/>
      <c r="G10628" s="185"/>
      <c r="H10628" s="185"/>
      <c r="I10628" s="11"/>
    </row>
    <row r="10629" spans="1:12" ht="11.15" customHeight="1">
      <c r="A10629" s="162" t="s">
        <v>14172</v>
      </c>
      <c r="B10629" s="59" t="s">
        <v>22256</v>
      </c>
      <c r="C10629" s="147" t="s">
        <v>20221</v>
      </c>
      <c r="D10629" s="284" t="s">
        <v>897</v>
      </c>
      <c r="E10629" s="178">
        <v>2020</v>
      </c>
      <c r="F10629" s="178" t="s">
        <v>4520</v>
      </c>
      <c r="G10629" s="496"/>
      <c r="H10629" s="994" t="s">
        <v>20221</v>
      </c>
      <c r="I10629" s="11" t="s">
        <v>14186</v>
      </c>
      <c r="J10629" s="1285"/>
      <c r="K10629" s="1285"/>
      <c r="L10629" s="1285"/>
    </row>
    <row r="10630" spans="1:12" ht="11.15" customHeight="1">
      <c r="A10630" s="162" t="s">
        <v>14174</v>
      </c>
      <c r="B10630" s="59" t="s">
        <v>22256</v>
      </c>
      <c r="C10630" s="147" t="s">
        <v>20221</v>
      </c>
      <c r="D10630" s="284" t="s">
        <v>897</v>
      </c>
      <c r="E10630" s="178">
        <v>2018</v>
      </c>
      <c r="F10630" s="178" t="s">
        <v>4520</v>
      </c>
      <c r="G10630" s="496"/>
      <c r="H10630" s="994" t="s">
        <v>20224</v>
      </c>
      <c r="I10630" s="11" t="s">
        <v>14188</v>
      </c>
      <c r="J10630" s="1285"/>
      <c r="K10630" s="1285"/>
      <c r="L10630" s="1285"/>
    </row>
    <row r="10631" spans="1:12" ht="11.15" customHeight="1">
      <c r="A10631" s="355" t="s">
        <v>14176</v>
      </c>
      <c r="B10631" s="59" t="s">
        <v>22257</v>
      </c>
      <c r="C10631" s="147" t="s">
        <v>20221</v>
      </c>
      <c r="D10631" s="284" t="s">
        <v>897</v>
      </c>
      <c r="E10631" s="178">
        <v>2020</v>
      </c>
      <c r="F10631" s="178" t="s">
        <v>4520</v>
      </c>
      <c r="G10631" s="496"/>
      <c r="H10631" s="994" t="s">
        <v>20221</v>
      </c>
      <c r="I10631" s="11" t="s">
        <v>14190</v>
      </c>
      <c r="J10631" s="1285"/>
      <c r="K10631" s="1285"/>
      <c r="L10631" s="1285"/>
    </row>
    <row r="10632" spans="1:12" ht="11.15" customHeight="1">
      <c r="A10632" s="162" t="s">
        <v>14178</v>
      </c>
      <c r="B10632" s="59" t="s">
        <v>22257</v>
      </c>
      <c r="C10632" s="147" t="s">
        <v>20221</v>
      </c>
      <c r="D10632" s="284" t="s">
        <v>897</v>
      </c>
      <c r="E10632" s="178">
        <v>2019</v>
      </c>
      <c r="F10632" s="178" t="s">
        <v>4520</v>
      </c>
      <c r="G10632" s="496"/>
      <c r="H10632" s="994" t="s">
        <v>20221</v>
      </c>
      <c r="I10632" s="11" t="s">
        <v>14192</v>
      </c>
      <c r="J10632" s="1285"/>
      <c r="K10632" s="1285"/>
      <c r="L10632" s="1285"/>
    </row>
    <row r="10633" spans="1:12" ht="11.15" customHeight="1">
      <c r="A10633" s="162" t="s">
        <v>14180</v>
      </c>
      <c r="B10633" s="59" t="s">
        <v>22258</v>
      </c>
      <c r="C10633" s="147" t="s">
        <v>20221</v>
      </c>
      <c r="D10633" s="284" t="s">
        <v>897</v>
      </c>
      <c r="E10633" s="178">
        <v>2020</v>
      </c>
      <c r="F10633" s="178" t="s">
        <v>4520</v>
      </c>
      <c r="G10633" s="496"/>
      <c r="H10633" s="994" t="s">
        <v>20221</v>
      </c>
      <c r="I10633" s="11" t="s">
        <v>14194</v>
      </c>
      <c r="J10633" s="1285"/>
      <c r="K10633" s="1285"/>
      <c r="L10633" s="1285"/>
    </row>
    <row r="10634" spans="1:12" ht="11.15" customHeight="1">
      <c r="A10634" s="162" t="s">
        <v>14181</v>
      </c>
      <c r="B10634" s="702" t="s">
        <v>14196</v>
      </c>
      <c r="C10634" s="147"/>
      <c r="D10634" s="122"/>
      <c r="E10634" s="185"/>
      <c r="F10634" s="185"/>
      <c r="G10634" s="185"/>
      <c r="H10634" s="185"/>
      <c r="I10634" s="11"/>
    </row>
    <row r="10635" spans="1:12" ht="11.15" customHeight="1">
      <c r="A10635" s="355" t="s">
        <v>14182</v>
      </c>
      <c r="B10635" s="59" t="s">
        <v>22259</v>
      </c>
      <c r="C10635" s="147" t="s">
        <v>20221</v>
      </c>
      <c r="D10635" s="284" t="s">
        <v>897</v>
      </c>
      <c r="E10635" s="178">
        <v>2018</v>
      </c>
      <c r="F10635" s="178" t="s">
        <v>5257</v>
      </c>
      <c r="G10635" s="496"/>
      <c r="H10635" s="994" t="s">
        <v>20277</v>
      </c>
      <c r="I10635" s="11" t="s">
        <v>14198</v>
      </c>
      <c r="J10635" s="1285"/>
      <c r="K10635" s="1285"/>
      <c r="L10635" s="1285"/>
    </row>
    <row r="10636" spans="1:12" ht="11.15" customHeight="1">
      <c r="A10636" s="162" t="s">
        <v>14183</v>
      </c>
      <c r="B10636" s="59" t="s">
        <v>22260</v>
      </c>
      <c r="C10636" s="147" t="s">
        <v>20221</v>
      </c>
      <c r="D10636" s="284" t="s">
        <v>897</v>
      </c>
      <c r="E10636" s="178">
        <v>2019</v>
      </c>
      <c r="F10636" s="178" t="s">
        <v>5257</v>
      </c>
      <c r="G10636" s="496"/>
      <c r="H10636" s="994" t="s">
        <v>20224</v>
      </c>
      <c r="I10636" s="11" t="s">
        <v>14200</v>
      </c>
      <c r="J10636" s="1285"/>
      <c r="K10636" s="1285"/>
      <c r="L10636" s="1285"/>
    </row>
    <row r="10637" spans="1:12" ht="11.15" customHeight="1">
      <c r="A10637" s="162" t="s">
        <v>14185</v>
      </c>
      <c r="B10637" s="59" t="s">
        <v>22261</v>
      </c>
      <c r="C10637" s="147" t="s">
        <v>20221</v>
      </c>
      <c r="D10637" s="284" t="s">
        <v>897</v>
      </c>
      <c r="E10637" s="178">
        <v>2020</v>
      </c>
      <c r="F10637" s="178" t="s">
        <v>5257</v>
      </c>
      <c r="G10637" s="496"/>
      <c r="H10637" s="994" t="s">
        <v>20224</v>
      </c>
      <c r="I10637" s="11" t="s">
        <v>14202</v>
      </c>
      <c r="J10637" s="1285"/>
      <c r="K10637" s="1285"/>
      <c r="L10637" s="1285"/>
    </row>
    <row r="10638" spans="1:12" ht="11.15" customHeight="1">
      <c r="A10638" s="129" t="s">
        <v>14187</v>
      </c>
      <c r="B10638" s="59" t="s">
        <v>22261</v>
      </c>
      <c r="C10638" s="147" t="s">
        <v>20221</v>
      </c>
      <c r="D10638" s="284" t="s">
        <v>897</v>
      </c>
      <c r="E10638" s="178">
        <v>2019</v>
      </c>
      <c r="F10638" s="178" t="s">
        <v>5257</v>
      </c>
      <c r="G10638" s="496"/>
      <c r="H10638" s="994" t="s">
        <v>20224</v>
      </c>
      <c r="I10638" s="11" t="s">
        <v>14204</v>
      </c>
      <c r="J10638" s="1285"/>
      <c r="K10638" s="1285"/>
      <c r="L10638" s="1285"/>
    </row>
    <row r="10639" spans="1:12" ht="11.15" customHeight="1">
      <c r="A10639" s="162" t="s">
        <v>14189</v>
      </c>
      <c r="B10639" s="185"/>
      <c r="C10639" s="147"/>
      <c r="D10639" s="185"/>
      <c r="E10639" s="185"/>
      <c r="F10639" s="185"/>
      <c r="G10639" s="185"/>
      <c r="H10639" s="185"/>
      <c r="I10639" s="11"/>
    </row>
    <row r="10640" spans="1:12" ht="11.15" customHeight="1">
      <c r="A10640" s="162" t="s">
        <v>14191</v>
      </c>
      <c r="B10640" s="185"/>
      <c r="C10640" s="147"/>
      <c r="D10640" s="185"/>
      <c r="E10640" s="185"/>
      <c r="F10640" s="185"/>
      <c r="G10640" s="185"/>
      <c r="H10640" s="185"/>
      <c r="I10640" s="11"/>
    </row>
    <row r="10641" spans="1:9" ht="11.15" customHeight="1">
      <c r="A10641" s="162" t="s">
        <v>14193</v>
      </c>
      <c r="B10641" s="185"/>
      <c r="C10641" s="147"/>
      <c r="D10641" s="185"/>
      <c r="E10641" s="185"/>
      <c r="F10641" s="185"/>
      <c r="G10641" s="185"/>
      <c r="H10641" s="185"/>
      <c r="I10641" s="11"/>
    </row>
    <row r="10642" spans="1:9" ht="11.15" customHeight="1">
      <c r="A10642" s="162" t="s">
        <v>14195</v>
      </c>
      <c r="B10642" s="185"/>
      <c r="C10642" s="147"/>
      <c r="D10642" s="185"/>
      <c r="E10642" s="185"/>
      <c r="F10642" s="185"/>
      <c r="G10642" s="185"/>
      <c r="H10642" s="185"/>
      <c r="I10642" s="11"/>
    </row>
    <row r="10643" spans="1:9" ht="11.15" customHeight="1">
      <c r="A10643" s="162" t="s">
        <v>14197</v>
      </c>
      <c r="B10643" s="185"/>
      <c r="C10643" s="147"/>
      <c r="D10643" s="185"/>
      <c r="E10643" s="185"/>
      <c r="F10643" s="185"/>
      <c r="G10643" s="185"/>
      <c r="H10643" s="185"/>
      <c r="I10643" s="11"/>
    </row>
    <row r="10644" spans="1:9" ht="11.15" customHeight="1">
      <c r="A10644" s="162" t="s">
        <v>14199</v>
      </c>
      <c r="B10644" s="185"/>
      <c r="C10644" s="147"/>
      <c r="D10644" s="185"/>
      <c r="E10644" s="185"/>
      <c r="F10644" s="185"/>
      <c r="G10644" s="185"/>
      <c r="H10644" s="185"/>
      <c r="I10644" s="11"/>
    </row>
    <row r="10645" spans="1:9" ht="11.15" customHeight="1">
      <c r="A10645" s="162" t="s">
        <v>14201</v>
      </c>
      <c r="B10645" s="185"/>
      <c r="C10645" s="147"/>
      <c r="D10645" s="185"/>
      <c r="E10645" s="185"/>
      <c r="F10645" s="185"/>
      <c r="G10645" s="185"/>
      <c r="H10645" s="185"/>
      <c r="I10645" s="11"/>
    </row>
    <row r="10646" spans="1:9" ht="11.15" customHeight="1">
      <c r="A10646" s="162" t="s">
        <v>14203</v>
      </c>
      <c r="B10646" s="67"/>
      <c r="C10646" s="67"/>
      <c r="D10646" s="67"/>
      <c r="E10646" s="67"/>
      <c r="F10646" s="67"/>
      <c r="G10646" s="67"/>
      <c r="H10646" s="67"/>
      <c r="I10646" s="5"/>
    </row>
    <row r="10647" spans="1:9" ht="11.15" customHeight="1">
      <c r="A10647" s="129" t="s">
        <v>3690</v>
      </c>
      <c r="B10647" s="67"/>
      <c r="C10647" s="67"/>
      <c r="D10647" s="67"/>
      <c r="E10647" s="67"/>
      <c r="F10647" s="67"/>
      <c r="G10647" s="67"/>
      <c r="H10647" s="67"/>
      <c r="I10647" s="5"/>
    </row>
    <row r="10648" spans="1:9" ht="11.15" customHeight="1">
      <c r="A10648" s="162" t="s">
        <v>14205</v>
      </c>
      <c r="B10648" s="185"/>
      <c r="C10648" s="147"/>
      <c r="D10648" s="185"/>
      <c r="E10648" s="185"/>
      <c r="F10648" s="185"/>
      <c r="G10648" s="185"/>
      <c r="H10648" s="185"/>
      <c r="I10648" s="11"/>
    </row>
    <row r="10649" spans="1:9" ht="11.15" customHeight="1">
      <c r="A10649" s="162" t="s">
        <v>14206</v>
      </c>
      <c r="B10649" s="67"/>
      <c r="C10649" s="67"/>
      <c r="D10649" s="67"/>
      <c r="E10649" s="67"/>
      <c r="F10649" s="67"/>
      <c r="G10649" s="67"/>
      <c r="H10649" s="67"/>
      <c r="I10649" s="5"/>
    </row>
    <row r="10650" spans="1:9" ht="10.5" customHeight="1">
      <c r="A10650" s="162" t="s">
        <v>14207</v>
      </c>
      <c r="B10650" s="67"/>
      <c r="C10650" s="67"/>
      <c r="D10650" s="67"/>
      <c r="E10650" s="67"/>
      <c r="F10650" s="67"/>
      <c r="G10650" s="67"/>
      <c r="H10650" s="67"/>
      <c r="I10650" s="5"/>
    </row>
    <row r="10651" spans="1:9" ht="11.15" customHeight="1">
      <c r="A10651" s="162" t="s">
        <v>14208</v>
      </c>
      <c r="B10651" s="67"/>
      <c r="C10651" s="67"/>
      <c r="D10651" s="67"/>
      <c r="E10651" s="67"/>
      <c r="F10651" s="67"/>
      <c r="G10651" s="67"/>
      <c r="H10651" s="67"/>
      <c r="I10651" s="5"/>
    </row>
    <row r="10652" spans="1:9" ht="11.15" customHeight="1">
      <c r="A10652" s="162" t="s">
        <v>14209</v>
      </c>
      <c r="B10652" s="185"/>
      <c r="C10652" s="147"/>
      <c r="D10652" s="185"/>
      <c r="E10652" s="185"/>
      <c r="F10652" s="185"/>
      <c r="G10652" s="185"/>
      <c r="H10652" s="185"/>
      <c r="I10652" s="11"/>
    </row>
    <row r="10653" spans="1:9" ht="11.15" customHeight="1">
      <c r="A10653" s="162" t="s">
        <v>14210</v>
      </c>
      <c r="B10653" s="185"/>
      <c r="C10653" s="147"/>
      <c r="D10653" s="129"/>
      <c r="E10653" s="185"/>
      <c r="F10653" s="185"/>
      <c r="G10653" s="185"/>
      <c r="H10653" s="185"/>
      <c r="I10653" s="11"/>
    </row>
    <row r="10654" spans="1:9" ht="11.15" customHeight="1">
      <c r="A10654" s="162" t="s">
        <v>14211</v>
      </c>
      <c r="B10654" s="185"/>
      <c r="C10654" s="147"/>
      <c r="D10654" s="185"/>
      <c r="E10654" s="185"/>
      <c r="F10654" s="185"/>
      <c r="G10654" s="185"/>
      <c r="H10654" s="185"/>
      <c r="I10654" s="11"/>
    </row>
    <row r="10655" spans="1:9" ht="11.15" customHeight="1">
      <c r="A10655" s="162" t="s">
        <v>14212</v>
      </c>
      <c r="B10655" s="185"/>
      <c r="C10655" s="147"/>
      <c r="D10655" s="129"/>
      <c r="E10655" s="185"/>
      <c r="F10655" s="185"/>
      <c r="G10655" s="185"/>
      <c r="H10655" s="185"/>
      <c r="I10655" s="11"/>
    </row>
    <row r="10656" spans="1:9" ht="11.15" customHeight="1">
      <c r="A10656" s="162" t="s">
        <v>14213</v>
      </c>
      <c r="B10656" s="185"/>
      <c r="C10656" s="147"/>
      <c r="D10656" s="185"/>
      <c r="E10656" s="185"/>
      <c r="F10656" s="185"/>
      <c r="G10656" s="185"/>
      <c r="H10656" s="185"/>
      <c r="I10656" s="11"/>
    </row>
    <row r="10657" spans="1:9" ht="11.15" customHeight="1">
      <c r="A10657" s="162" t="s">
        <v>14214</v>
      </c>
      <c r="B10657" s="185"/>
      <c r="C10657" s="147"/>
      <c r="D10657" s="129"/>
      <c r="E10657" s="185"/>
      <c r="F10657" s="185"/>
      <c r="G10657" s="185"/>
      <c r="H10657" s="185"/>
      <c r="I10657" s="11"/>
    </row>
    <row r="10658" spans="1:9" ht="11.15" customHeight="1">
      <c r="A10658" s="162" t="s">
        <v>14215</v>
      </c>
      <c r="B10658" s="185"/>
      <c r="C10658" s="147"/>
      <c r="D10658" s="129"/>
      <c r="E10658" s="185"/>
      <c r="F10658" s="185"/>
      <c r="G10658" s="185"/>
      <c r="H10658" s="185"/>
      <c r="I10658" s="11"/>
    </row>
    <row r="10659" spans="1:9" ht="10.5" customHeight="1">
      <c r="A10659" s="162" t="s">
        <v>14216</v>
      </c>
      <c r="B10659" s="185"/>
      <c r="C10659" s="147"/>
      <c r="D10659" s="129"/>
      <c r="E10659" s="185"/>
      <c r="F10659" s="185"/>
      <c r="G10659" s="185"/>
      <c r="H10659" s="185"/>
      <c r="I10659" s="11"/>
    </row>
    <row r="10660" spans="1:9" ht="11.15" customHeight="1">
      <c r="A10660" s="162" t="s">
        <v>14217</v>
      </c>
      <c r="B10660" s="185"/>
      <c r="C10660" s="147"/>
      <c r="D10660" s="129"/>
      <c r="E10660" s="185"/>
      <c r="F10660" s="185"/>
      <c r="G10660" s="185"/>
      <c r="H10660" s="185"/>
      <c r="I10660" s="11"/>
    </row>
    <row r="10661" spans="1:9" ht="10.5" customHeight="1">
      <c r="A10661" s="162" t="s">
        <v>14218</v>
      </c>
      <c r="B10661" s="185"/>
      <c r="C10661" s="147"/>
      <c r="D10661" s="129"/>
      <c r="E10661" s="185"/>
      <c r="F10661" s="185"/>
      <c r="G10661" s="185"/>
      <c r="H10661" s="185"/>
      <c r="I10661" s="11"/>
    </row>
    <row r="10662" spans="1:9" ht="11.15" customHeight="1">
      <c r="A10662" s="162" t="s">
        <v>14219</v>
      </c>
      <c r="B10662" s="185"/>
      <c r="C10662" s="147"/>
      <c r="D10662" s="129"/>
      <c r="E10662" s="185"/>
      <c r="F10662" s="185"/>
      <c r="G10662" s="185"/>
      <c r="H10662" s="185"/>
      <c r="I10662" s="11"/>
    </row>
    <row r="10663" spans="1:9" ht="11.15" customHeight="1">
      <c r="A10663" s="162" t="s">
        <v>14220</v>
      </c>
      <c r="B10663" s="185"/>
      <c r="C10663" s="147"/>
      <c r="D10663" s="129"/>
      <c r="E10663" s="185"/>
      <c r="F10663" s="185"/>
      <c r="G10663" s="185"/>
      <c r="H10663" s="185"/>
      <c r="I10663" s="11"/>
    </row>
    <row r="10664" spans="1:9" ht="11.15" customHeight="1">
      <c r="A10664" s="162" t="s">
        <v>14221</v>
      </c>
      <c r="B10664" s="185"/>
      <c r="C10664" s="147"/>
      <c r="D10664" s="129"/>
      <c r="E10664" s="185"/>
      <c r="F10664" s="185"/>
      <c r="G10664" s="185"/>
      <c r="H10664" s="185"/>
      <c r="I10664" s="11"/>
    </row>
    <row r="10665" spans="1:9" ht="11.15" customHeight="1">
      <c r="A10665" s="162" t="s">
        <v>14222</v>
      </c>
      <c r="B10665" s="185"/>
      <c r="C10665" s="147"/>
      <c r="D10665" s="129"/>
      <c r="E10665" s="185"/>
      <c r="F10665" s="185"/>
      <c r="G10665" s="185"/>
      <c r="H10665" s="185"/>
      <c r="I10665" s="11"/>
    </row>
    <row r="10666" spans="1:9" ht="11.15" customHeight="1">
      <c r="A10666" s="162" t="s">
        <v>14223</v>
      </c>
      <c r="B10666" s="185"/>
      <c r="C10666" s="147"/>
      <c r="D10666" s="129"/>
      <c r="E10666" s="185"/>
      <c r="F10666" s="185"/>
      <c r="G10666" s="185"/>
      <c r="H10666" s="185"/>
      <c r="I10666" s="11"/>
    </row>
    <row r="10667" spans="1:9" ht="11.15" customHeight="1">
      <c r="A10667" s="162" t="s">
        <v>14224</v>
      </c>
      <c r="B10667" s="185"/>
      <c r="C10667" s="147"/>
      <c r="D10667" s="129"/>
      <c r="E10667" s="185"/>
      <c r="F10667" s="185"/>
      <c r="G10667" s="185"/>
      <c r="H10667" s="185"/>
      <c r="I10667" s="11"/>
    </row>
    <row r="10668" spans="1:9" ht="11.15" customHeight="1">
      <c r="A10668" s="162" t="s">
        <v>14225</v>
      </c>
      <c r="B10668" s="185"/>
      <c r="C10668" s="147"/>
      <c r="D10668" s="129"/>
      <c r="E10668" s="185"/>
      <c r="F10668" s="185"/>
      <c r="G10668" s="185"/>
      <c r="H10668" s="185"/>
      <c r="I10668" s="11"/>
    </row>
    <row r="10669" spans="1:9" ht="11.15" customHeight="1">
      <c r="A10669" s="162" t="s">
        <v>14226</v>
      </c>
      <c r="B10669" s="185"/>
      <c r="C10669" s="147"/>
      <c r="D10669" s="129"/>
      <c r="E10669" s="185"/>
      <c r="F10669" s="185"/>
      <c r="G10669" s="185"/>
      <c r="H10669" s="185"/>
      <c r="I10669" s="11"/>
    </row>
    <row r="10670" spans="1:9" ht="11.15" customHeight="1">
      <c r="A10670" s="162" t="s">
        <v>14227</v>
      </c>
      <c r="B10670" s="185"/>
      <c r="C10670" s="147"/>
      <c r="D10670" s="129"/>
      <c r="E10670" s="185"/>
      <c r="F10670" s="185"/>
      <c r="G10670" s="185"/>
      <c r="H10670" s="185"/>
      <c r="I10670" s="11"/>
    </row>
    <row r="10671" spans="1:9" ht="11.15" customHeight="1">
      <c r="A10671" s="129" t="s">
        <v>14228</v>
      </c>
      <c r="B10671" s="185"/>
      <c r="C10671" s="147"/>
      <c r="D10671" s="129"/>
      <c r="E10671" s="185"/>
      <c r="F10671" s="185"/>
      <c r="G10671" s="185"/>
      <c r="H10671" s="185"/>
      <c r="I10671" s="11"/>
    </row>
    <row r="10672" spans="1:9" ht="11.15" customHeight="1">
      <c r="A10672" s="162" t="s">
        <v>14229</v>
      </c>
      <c r="B10672" s="185"/>
      <c r="C10672" s="147"/>
      <c r="D10672" s="129"/>
      <c r="E10672" s="185"/>
      <c r="F10672" s="185"/>
      <c r="G10672" s="185"/>
      <c r="H10672" s="185"/>
      <c r="I10672" s="11"/>
    </row>
    <row r="10673" spans="1:9" ht="11.15" customHeight="1">
      <c r="A10673" s="162" t="s">
        <v>14230</v>
      </c>
      <c r="B10673" s="185"/>
      <c r="C10673" s="147"/>
      <c r="D10673" s="129"/>
      <c r="E10673" s="185"/>
      <c r="F10673" s="185"/>
      <c r="G10673" s="185"/>
      <c r="H10673" s="185"/>
      <c r="I10673" s="11"/>
    </row>
    <row r="10674" spans="1:9" ht="11.15" customHeight="1">
      <c r="A10674" s="162" t="s">
        <v>14231</v>
      </c>
      <c r="B10674" s="185"/>
      <c r="C10674" s="147"/>
      <c r="D10674" s="129"/>
      <c r="E10674" s="185"/>
      <c r="F10674" s="185"/>
      <c r="G10674" s="185"/>
      <c r="H10674" s="185"/>
      <c r="I10674" s="11"/>
    </row>
    <row r="10675" spans="1:9" ht="11.15" customHeight="1">
      <c r="A10675" s="162" t="s">
        <v>14232</v>
      </c>
      <c r="B10675" s="185"/>
      <c r="C10675" s="147"/>
      <c r="D10675" s="129"/>
      <c r="E10675" s="185"/>
      <c r="F10675" s="185"/>
      <c r="G10675" s="185"/>
      <c r="H10675" s="185"/>
      <c r="I10675" s="11"/>
    </row>
    <row r="10676" spans="1:9" ht="11.15" customHeight="1">
      <c r="A10676" s="162" t="s">
        <v>14233</v>
      </c>
      <c r="B10676" s="185"/>
      <c r="C10676" s="147"/>
      <c r="D10676" s="129"/>
      <c r="E10676" s="185"/>
      <c r="F10676" s="185"/>
      <c r="G10676" s="185"/>
      <c r="H10676" s="185"/>
      <c r="I10676" s="11"/>
    </row>
    <row r="10677" spans="1:9" ht="11.15" customHeight="1">
      <c r="A10677" s="162" t="s">
        <v>14234</v>
      </c>
      <c r="B10677" s="185"/>
      <c r="C10677" s="147"/>
      <c r="D10677" s="129"/>
      <c r="E10677" s="185"/>
      <c r="F10677" s="185"/>
      <c r="G10677" s="185"/>
      <c r="H10677" s="185"/>
      <c r="I10677" s="11"/>
    </row>
    <row r="10678" spans="1:9" ht="11.15" customHeight="1">
      <c r="A10678" s="162" t="s">
        <v>14235</v>
      </c>
      <c r="B10678" s="185"/>
      <c r="C10678" s="147"/>
      <c r="D10678" s="129"/>
      <c r="E10678" s="185"/>
      <c r="F10678" s="185"/>
      <c r="G10678" s="185"/>
      <c r="H10678" s="185"/>
      <c r="I10678" s="11"/>
    </row>
    <row r="10679" spans="1:9" ht="11.15" customHeight="1">
      <c r="A10679" s="162" t="s">
        <v>14236</v>
      </c>
      <c r="B10679" s="185"/>
      <c r="C10679" s="147"/>
      <c r="D10679" s="129"/>
      <c r="E10679" s="185"/>
      <c r="F10679" s="185"/>
      <c r="G10679" s="185"/>
      <c r="H10679" s="185"/>
      <c r="I10679" s="11"/>
    </row>
    <row r="10680" spans="1:9" ht="11.15" customHeight="1">
      <c r="A10680" s="162" t="s">
        <v>14237</v>
      </c>
      <c r="B10680" s="185"/>
      <c r="C10680" s="147"/>
      <c r="D10680" s="129"/>
      <c r="E10680" s="185"/>
      <c r="F10680" s="185"/>
      <c r="G10680" s="185"/>
      <c r="H10680" s="185"/>
      <c r="I10680" s="11"/>
    </row>
    <row r="10681" spans="1:9" ht="11.15" customHeight="1">
      <c r="A10681" s="162" t="s">
        <v>14238</v>
      </c>
      <c r="B10681" s="185"/>
      <c r="C10681" s="147"/>
      <c r="D10681" s="129"/>
      <c r="E10681" s="185"/>
      <c r="F10681" s="185"/>
      <c r="G10681" s="185"/>
      <c r="H10681" s="185"/>
      <c r="I10681" s="11"/>
    </row>
    <row r="10682" spans="1:9" ht="11.15" customHeight="1">
      <c r="A10682" s="162" t="s">
        <v>14239</v>
      </c>
      <c r="B10682" s="185"/>
      <c r="C10682" s="147"/>
      <c r="D10682" s="129"/>
      <c r="E10682" s="185"/>
      <c r="F10682" s="185"/>
      <c r="G10682" s="185"/>
      <c r="H10682" s="185"/>
      <c r="I10682" s="11"/>
    </row>
    <row r="10683" spans="1:9" ht="11.15" customHeight="1">
      <c r="A10683" s="166" t="s">
        <v>14240</v>
      </c>
      <c r="B10683" s="185"/>
      <c r="C10683" s="147"/>
      <c r="D10683" s="129"/>
      <c r="E10683" s="185"/>
      <c r="F10683" s="185"/>
      <c r="G10683" s="185"/>
      <c r="H10683" s="185"/>
      <c r="I10683" s="11"/>
    </row>
    <row r="10684" spans="1:9" ht="11.15" customHeight="1">
      <c r="A10684" s="129" t="s">
        <v>10525</v>
      </c>
      <c r="B10684" s="185"/>
      <c r="C10684" s="147"/>
      <c r="D10684" s="129"/>
      <c r="E10684" s="185"/>
      <c r="F10684" s="185"/>
      <c r="G10684" s="185"/>
      <c r="H10684" s="185"/>
      <c r="I10684" s="11"/>
    </row>
    <row r="10685" spans="1:9" ht="11.15" customHeight="1">
      <c r="A10685" s="129" t="s">
        <v>14241</v>
      </c>
      <c r="B10685" s="185"/>
      <c r="C10685" s="147"/>
      <c r="D10685" s="129"/>
      <c r="E10685" s="185"/>
      <c r="F10685" s="185"/>
      <c r="G10685" s="185"/>
      <c r="H10685" s="185"/>
      <c r="I10685" s="11"/>
    </row>
    <row r="10686" spans="1:9" ht="11.15" customHeight="1">
      <c r="A10686" s="129" t="s">
        <v>14242</v>
      </c>
      <c r="B10686" s="185"/>
      <c r="C10686" s="147"/>
      <c r="D10686" s="129"/>
      <c r="E10686" s="185"/>
      <c r="F10686" s="185"/>
      <c r="G10686" s="185"/>
      <c r="H10686" s="185"/>
      <c r="I10686" s="11"/>
    </row>
    <row r="10687" spans="1:9" ht="11.15" customHeight="1">
      <c r="A10687" s="129" t="s">
        <v>14243</v>
      </c>
      <c r="B10687" s="185"/>
      <c r="C10687" s="147"/>
      <c r="D10687" s="129"/>
      <c r="E10687" s="185"/>
      <c r="F10687" s="185"/>
      <c r="G10687" s="185"/>
      <c r="H10687" s="185"/>
      <c r="I10687" s="11"/>
    </row>
    <row r="10688" spans="1:9" ht="11.15" customHeight="1" thickBot="1">
      <c r="A10688" s="29"/>
      <c r="B10688" s="185"/>
      <c r="C10688" s="147"/>
      <c r="D10688" s="129"/>
      <c r="E10688" s="185"/>
      <c r="F10688" s="185"/>
      <c r="G10688" s="185"/>
      <c r="H10688" s="185"/>
      <c r="I10688" s="11"/>
    </row>
    <row r="10689" spans="1:12" ht="24" customHeight="1" thickBot="1">
      <c r="A10689" s="703"/>
      <c r="B10689" s="64" t="s">
        <v>14244</v>
      </c>
      <c r="C10689" s="170"/>
      <c r="D10689" s="382"/>
      <c r="E10689" s="27"/>
      <c r="F10689" s="1058"/>
      <c r="G10689" s="1249"/>
      <c r="H10689" s="1132"/>
      <c r="I10689" s="11"/>
    </row>
    <row r="10690" spans="1:12" ht="11.15" customHeight="1" thickBot="1">
      <c r="A10690" s="704" t="s">
        <v>14245</v>
      </c>
      <c r="B10690" s="59" t="s">
        <v>22262</v>
      </c>
      <c r="C10690" s="147" t="s">
        <v>20221</v>
      </c>
      <c r="D10690" s="701" t="s">
        <v>14246</v>
      </c>
      <c r="E10690" s="178">
        <v>2020</v>
      </c>
      <c r="F10690" s="178" t="s">
        <v>23410</v>
      </c>
      <c r="G10690" s="496"/>
      <c r="H10690" s="994" t="s">
        <v>20221</v>
      </c>
      <c r="I10690" s="11" t="s">
        <v>14247</v>
      </c>
      <c r="J10690" s="1285"/>
      <c r="K10690" s="1285"/>
      <c r="L10690" s="1285"/>
    </row>
    <row r="10691" spans="1:12" ht="11.15" customHeight="1">
      <c r="A10691" s="104" t="s">
        <v>14248</v>
      </c>
      <c r="B10691" s="90"/>
      <c r="C10691" s="147"/>
      <c r="D10691" s="159"/>
      <c r="E10691" s="36"/>
      <c r="F10691" s="178"/>
      <c r="G10691" s="496"/>
      <c r="H10691" s="36"/>
      <c r="I10691" s="11"/>
    </row>
    <row r="10692" spans="1:12" ht="11.15" customHeight="1">
      <c r="A10692" s="29" t="s">
        <v>14249</v>
      </c>
      <c r="B10692" s="90"/>
      <c r="C10692" s="147"/>
      <c r="D10692" s="159"/>
      <c r="E10692" s="36"/>
      <c r="F10692" s="178"/>
      <c r="G10692" s="496"/>
      <c r="H10692" s="36"/>
      <c r="I10692" s="11"/>
    </row>
    <row r="10693" spans="1:12" ht="11.15" customHeight="1">
      <c r="A10693" s="29" t="s">
        <v>14250</v>
      </c>
      <c r="B10693" s="90"/>
      <c r="C10693" s="147"/>
      <c r="D10693" s="159"/>
      <c r="E10693" s="36"/>
      <c r="F10693" s="178"/>
      <c r="G10693" s="496"/>
      <c r="H10693" s="36"/>
      <c r="I10693" s="11"/>
    </row>
    <row r="10694" spans="1:12" ht="11.15" customHeight="1">
      <c r="A10694" s="166" t="s">
        <v>14251</v>
      </c>
      <c r="B10694" s="90"/>
      <c r="C10694" s="147"/>
      <c r="D10694" s="159"/>
      <c r="E10694" s="36"/>
      <c r="F10694" s="178"/>
      <c r="G10694" s="496"/>
      <c r="H10694" s="36"/>
      <c r="I10694" s="11"/>
    </row>
    <row r="10695" spans="1:12" ht="11.15" customHeight="1">
      <c r="A10695" s="129" t="s">
        <v>12901</v>
      </c>
      <c r="B10695" s="90"/>
      <c r="C10695" s="147"/>
      <c r="D10695" s="161"/>
      <c r="E10695" s="36"/>
      <c r="F10695" s="178"/>
      <c r="G10695" s="496"/>
      <c r="H10695" s="36"/>
      <c r="I10695" s="11"/>
    </row>
    <row r="10696" spans="1:12" ht="11.15" customHeight="1" thickBot="1">
      <c r="A10696" s="185"/>
      <c r="B10696" s="185"/>
      <c r="C10696" s="147"/>
      <c r="D10696" s="122"/>
      <c r="E10696" s="36"/>
      <c r="F10696" s="178"/>
      <c r="G10696" s="496"/>
      <c r="H10696" s="36"/>
      <c r="I10696" s="11"/>
    </row>
    <row r="10697" spans="1:12" ht="11.15" customHeight="1">
      <c r="A10697" s="153" t="s">
        <v>14252</v>
      </c>
      <c r="B10697" s="59" t="s">
        <v>22264</v>
      </c>
      <c r="C10697" s="147" t="s">
        <v>20221</v>
      </c>
      <c r="D10697" s="284" t="s">
        <v>897</v>
      </c>
      <c r="E10697" s="178">
        <v>2020</v>
      </c>
      <c r="F10697" s="178" t="s">
        <v>4520</v>
      </c>
      <c r="G10697" s="496"/>
      <c r="H10697" s="994" t="s">
        <v>20221</v>
      </c>
      <c r="I10697" s="11" t="s">
        <v>14253</v>
      </c>
      <c r="J10697" s="1285"/>
      <c r="K10697" s="1285"/>
      <c r="L10697" s="1285"/>
    </row>
    <row r="10698" spans="1:12" ht="11.15" customHeight="1" thickBot="1">
      <c r="A10698" s="230" t="s">
        <v>14254</v>
      </c>
      <c r="B10698" s="59" t="s">
        <v>22264</v>
      </c>
      <c r="C10698" s="147" t="s">
        <v>20221</v>
      </c>
      <c r="D10698" s="284" t="s">
        <v>897</v>
      </c>
      <c r="E10698" s="178">
        <v>2018</v>
      </c>
      <c r="F10698" s="178" t="s">
        <v>4520</v>
      </c>
      <c r="G10698" s="496"/>
      <c r="H10698" s="994" t="s">
        <v>20221</v>
      </c>
      <c r="I10698" s="11" t="s">
        <v>14255</v>
      </c>
      <c r="J10698" s="1285"/>
      <c r="K10698" s="1285"/>
      <c r="L10698" s="1285"/>
    </row>
    <row r="10699" spans="1:12" ht="11.15" customHeight="1">
      <c r="A10699" s="30" t="s">
        <v>14256</v>
      </c>
      <c r="B10699" s="59" t="s">
        <v>22264</v>
      </c>
      <c r="C10699" s="147" t="s">
        <v>20221</v>
      </c>
      <c r="D10699" s="284" t="s">
        <v>897</v>
      </c>
      <c r="E10699" s="178">
        <v>2017</v>
      </c>
      <c r="F10699" s="178" t="s">
        <v>4520</v>
      </c>
      <c r="G10699" s="496"/>
      <c r="H10699" s="994" t="s">
        <v>20221</v>
      </c>
      <c r="I10699" s="11" t="s">
        <v>14257</v>
      </c>
      <c r="J10699" s="1285"/>
      <c r="K10699" s="1285"/>
      <c r="L10699" s="1285"/>
    </row>
    <row r="10700" spans="1:12" ht="11.15" customHeight="1">
      <c r="A10700" s="29" t="s">
        <v>14258</v>
      </c>
      <c r="B10700" s="59" t="s">
        <v>22264</v>
      </c>
      <c r="C10700" s="147" t="s">
        <v>20221</v>
      </c>
      <c r="D10700" s="284" t="s">
        <v>897</v>
      </c>
      <c r="E10700" s="178">
        <v>2016</v>
      </c>
      <c r="F10700" s="178" t="s">
        <v>4520</v>
      </c>
      <c r="G10700" s="496"/>
      <c r="H10700" s="994" t="s">
        <v>20221</v>
      </c>
      <c r="I10700" s="11" t="s">
        <v>14259</v>
      </c>
      <c r="J10700" s="1285"/>
      <c r="K10700" s="1285"/>
      <c r="L10700" s="1285"/>
    </row>
    <row r="10701" spans="1:12" ht="11.15" customHeight="1">
      <c r="A10701" s="29" t="s">
        <v>14260</v>
      </c>
      <c r="B10701" s="59" t="s">
        <v>22264</v>
      </c>
      <c r="C10701" s="147" t="s">
        <v>20221</v>
      </c>
      <c r="D10701" s="284" t="s">
        <v>897</v>
      </c>
      <c r="E10701" s="178">
        <v>2015</v>
      </c>
      <c r="F10701" s="178" t="s">
        <v>4520</v>
      </c>
      <c r="G10701" s="496"/>
      <c r="H10701" s="994" t="s">
        <v>20221</v>
      </c>
      <c r="I10701" s="11" t="s">
        <v>14261</v>
      </c>
      <c r="J10701" s="1285"/>
      <c r="K10701" s="1285"/>
      <c r="L10701" s="1285"/>
    </row>
    <row r="10702" spans="1:12" ht="11.15" customHeight="1">
      <c r="A10702" s="58" t="s">
        <v>14262</v>
      </c>
      <c r="B10702" s="59" t="s">
        <v>22264</v>
      </c>
      <c r="C10702" s="147" t="s">
        <v>20221</v>
      </c>
      <c r="D10702" s="284" t="s">
        <v>897</v>
      </c>
      <c r="E10702" s="178">
        <v>2013</v>
      </c>
      <c r="F10702" s="178" t="s">
        <v>4520</v>
      </c>
      <c r="G10702" s="496"/>
      <c r="H10702" s="994" t="s">
        <v>20221</v>
      </c>
      <c r="I10702" s="11" t="s">
        <v>14263</v>
      </c>
      <c r="J10702" s="1285"/>
      <c r="K10702" s="1285"/>
      <c r="L10702" s="1285"/>
    </row>
    <row r="10703" spans="1:12" ht="11.15" customHeight="1">
      <c r="A10703" s="29" t="s">
        <v>14264</v>
      </c>
      <c r="B10703" s="90"/>
      <c r="C10703" s="147"/>
      <c r="D10703" s="161"/>
      <c r="E10703" s="36"/>
      <c r="F10703" s="178"/>
      <c r="G10703" s="496"/>
      <c r="H10703" s="36"/>
      <c r="I10703" s="11"/>
    </row>
    <row r="10704" spans="1:12" ht="11.15" customHeight="1">
      <c r="A10704" s="29" t="s">
        <v>14265</v>
      </c>
      <c r="B10704" s="90"/>
      <c r="C10704" s="147"/>
      <c r="D10704" s="161"/>
      <c r="E10704" s="36"/>
      <c r="F10704" s="178"/>
      <c r="G10704" s="496"/>
      <c r="H10704" s="36"/>
      <c r="I10704" s="11"/>
    </row>
    <row r="10705" spans="1:12" ht="11.15" customHeight="1">
      <c r="A10705" s="166" t="s">
        <v>14266</v>
      </c>
      <c r="B10705" s="90"/>
      <c r="C10705" s="147"/>
      <c r="D10705" s="161"/>
      <c r="E10705" s="36"/>
      <c r="F10705" s="178"/>
      <c r="G10705" s="496"/>
      <c r="H10705" s="36"/>
      <c r="I10705" s="11"/>
    </row>
    <row r="10706" spans="1:12" ht="11.15" customHeight="1">
      <c r="A10706" s="492" t="s">
        <v>6714</v>
      </c>
      <c r="B10706" s="90"/>
      <c r="C10706" s="147"/>
      <c r="D10706" s="161"/>
      <c r="E10706" s="36"/>
      <c r="F10706" s="178"/>
      <c r="G10706" s="496"/>
      <c r="H10706" s="36"/>
      <c r="I10706" s="11"/>
    </row>
    <row r="10707" spans="1:12" ht="11.15" customHeight="1">
      <c r="A10707" s="129" t="s">
        <v>14267</v>
      </c>
      <c r="B10707" s="90"/>
      <c r="C10707" s="147"/>
      <c r="D10707" s="161"/>
      <c r="E10707" s="36"/>
      <c r="F10707" s="178"/>
      <c r="G10707" s="496"/>
      <c r="H10707" s="36"/>
      <c r="I10707" s="11"/>
    </row>
    <row r="10708" spans="1:12" ht="11.15" customHeight="1" thickBot="1">
      <c r="A10708" s="48"/>
      <c r="B10708" s="90"/>
      <c r="C10708" s="147"/>
      <c r="D10708" s="161"/>
      <c r="E10708" s="36"/>
      <c r="F10708" s="178"/>
      <c r="G10708" s="496"/>
      <c r="H10708" s="36"/>
      <c r="I10708" s="11"/>
    </row>
    <row r="10709" spans="1:12" ht="11.15" customHeight="1" thickBot="1">
      <c r="A10709" s="184" t="s">
        <v>14268</v>
      </c>
      <c r="B10709" s="59" t="s">
        <v>22265</v>
      </c>
      <c r="C10709" s="147" t="s">
        <v>20221</v>
      </c>
      <c r="D10709" s="284" t="s">
        <v>897</v>
      </c>
      <c r="E10709" s="178">
        <v>2015</v>
      </c>
      <c r="F10709" s="178" t="s">
        <v>4520</v>
      </c>
      <c r="G10709" s="496"/>
      <c r="H10709" s="994" t="s">
        <v>20221</v>
      </c>
      <c r="I10709" s="11" t="s">
        <v>14269</v>
      </c>
      <c r="J10709" s="1285"/>
      <c r="K10709" s="1285"/>
      <c r="L10709" s="1285"/>
    </row>
    <row r="10710" spans="1:12" ht="11.15" customHeight="1">
      <c r="A10710" s="29" t="s">
        <v>14270</v>
      </c>
      <c r="B10710" s="59" t="s">
        <v>22266</v>
      </c>
      <c r="C10710" s="147" t="s">
        <v>20221</v>
      </c>
      <c r="D10710" s="284" t="s">
        <v>897</v>
      </c>
      <c r="E10710" s="178">
        <v>2015</v>
      </c>
      <c r="F10710" s="178" t="s">
        <v>4520</v>
      </c>
      <c r="G10710" s="496"/>
      <c r="H10710" s="994" t="s">
        <v>20221</v>
      </c>
      <c r="I10710" s="11" t="s">
        <v>14271</v>
      </c>
      <c r="J10710" s="1285"/>
      <c r="K10710" s="1285"/>
      <c r="L10710" s="1285"/>
    </row>
    <row r="10711" spans="1:12" ht="11.15" customHeight="1">
      <c r="A10711" s="29" t="s">
        <v>14272</v>
      </c>
      <c r="B10711" s="90"/>
      <c r="C10711" s="147"/>
      <c r="D10711" s="161"/>
      <c r="E10711" s="34"/>
      <c r="F10711" s="178"/>
      <c r="G10711" s="496"/>
      <c r="H10711" s="36"/>
      <c r="I10711" s="11"/>
    </row>
    <row r="10712" spans="1:12" ht="11.15" customHeight="1">
      <c r="A10712" s="229" t="s">
        <v>14273</v>
      </c>
      <c r="B10712" s="90"/>
      <c r="C10712" s="147"/>
      <c r="D10712" s="161"/>
      <c r="E10712" s="36"/>
      <c r="F10712" s="178"/>
      <c r="G10712" s="496"/>
      <c r="H10712" s="36"/>
      <c r="I10712" s="11"/>
    </row>
    <row r="10713" spans="1:12" ht="11.15" customHeight="1">
      <c r="A10713" s="29" t="s">
        <v>14274</v>
      </c>
      <c r="B10713" s="90"/>
      <c r="C10713" s="147"/>
      <c r="D10713" s="122"/>
      <c r="E10713" s="36"/>
      <c r="F10713" s="178"/>
      <c r="G10713" s="60"/>
      <c r="H10713" s="36"/>
      <c r="I10713" s="11"/>
    </row>
    <row r="10714" spans="1:12" ht="11.15" customHeight="1">
      <c r="A10714" s="129" t="s">
        <v>903</v>
      </c>
      <c r="B10714" s="185"/>
      <c r="C10714" s="147"/>
      <c r="D10714" s="122"/>
      <c r="E10714" s="36"/>
      <c r="F10714" s="178"/>
      <c r="G10714" s="60"/>
      <c r="H10714" s="36"/>
      <c r="I10714" s="11"/>
    </row>
    <row r="10715" spans="1:12" ht="11.15" customHeight="1">
      <c r="A10715" s="162" t="s">
        <v>14275</v>
      </c>
      <c r="B10715" s="90"/>
      <c r="C10715" s="147"/>
      <c r="D10715" s="122"/>
      <c r="E10715" s="36"/>
      <c r="F10715" s="178"/>
      <c r="G10715" s="60"/>
      <c r="H10715" s="36"/>
      <c r="I10715" s="11"/>
    </row>
    <row r="10716" spans="1:12" ht="11.15" customHeight="1">
      <c r="A10716" s="162" t="s">
        <v>14276</v>
      </c>
      <c r="B10716" s="90"/>
      <c r="C10716" s="147"/>
      <c r="D10716" s="122"/>
      <c r="E10716" s="36"/>
      <c r="F10716" s="178"/>
      <c r="G10716" s="60"/>
      <c r="H10716" s="36"/>
      <c r="I10716" s="11"/>
    </row>
    <row r="10717" spans="1:12" ht="11.15" customHeight="1">
      <c r="A10717" s="162" t="s">
        <v>14277</v>
      </c>
      <c r="B10717" s="90"/>
      <c r="C10717" s="147"/>
      <c r="D10717" s="122"/>
      <c r="E10717" s="36"/>
      <c r="F10717" s="178"/>
      <c r="G10717" s="60"/>
      <c r="H10717" s="36"/>
      <c r="I10717" s="11"/>
    </row>
    <row r="10718" spans="1:12" ht="11.15" customHeight="1">
      <c r="A10718" s="162" t="s">
        <v>14278</v>
      </c>
      <c r="B10718" s="90"/>
      <c r="C10718" s="147"/>
      <c r="D10718" s="122"/>
      <c r="E10718" s="36"/>
      <c r="F10718" s="178"/>
      <c r="G10718" s="60"/>
      <c r="H10718" s="36"/>
      <c r="I10718" s="11"/>
    </row>
    <row r="10719" spans="1:12" ht="11.15" customHeight="1">
      <c r="A10719" s="162" t="s">
        <v>14279</v>
      </c>
      <c r="B10719" s="90"/>
      <c r="C10719" s="147"/>
      <c r="D10719" s="122"/>
      <c r="E10719" s="36"/>
      <c r="F10719" s="178"/>
      <c r="G10719" s="60"/>
      <c r="H10719" s="36"/>
      <c r="I10719" s="11"/>
    </row>
    <row r="10720" spans="1:12" ht="11.15" customHeight="1">
      <c r="A10720" s="162" t="s">
        <v>14280</v>
      </c>
      <c r="B10720" s="90"/>
      <c r="C10720" s="147"/>
      <c r="D10720" s="122"/>
      <c r="E10720" s="36"/>
      <c r="F10720" s="178"/>
      <c r="G10720" s="60"/>
      <c r="H10720" s="36"/>
      <c r="I10720" s="11"/>
    </row>
    <row r="10721" spans="1:12" ht="11.15" customHeight="1" thickBot="1">
      <c r="A10721" s="129" t="s">
        <v>14281</v>
      </c>
      <c r="B10721" s="90"/>
      <c r="C10721" s="147"/>
      <c r="D10721" s="161"/>
      <c r="E10721" s="36"/>
      <c r="F10721" s="178"/>
      <c r="G10721" s="496"/>
      <c r="H10721" s="36"/>
      <c r="I10721" s="11"/>
    </row>
    <row r="10722" spans="1:12" ht="24" customHeight="1" thickBot="1">
      <c r="A10722" s="705"/>
      <c r="B10722" s="64" t="s">
        <v>14282</v>
      </c>
      <c r="C10722" s="170"/>
      <c r="D10722" s="382"/>
      <c r="E10722" s="27"/>
      <c r="F10722" s="1058"/>
      <c r="G10722" s="1249"/>
      <c r="H10722" s="1132"/>
      <c r="I10722" s="11"/>
    </row>
    <row r="10723" spans="1:12" ht="11.15" customHeight="1" thickBot="1">
      <c r="A10723" s="184" t="s">
        <v>14283</v>
      </c>
      <c r="B10723" s="59" t="s">
        <v>22268</v>
      </c>
      <c r="C10723" s="147" t="s">
        <v>20221</v>
      </c>
      <c r="D10723" s="701" t="s">
        <v>1129</v>
      </c>
      <c r="E10723" s="178">
        <v>2024</v>
      </c>
      <c r="F10723" s="178" t="s">
        <v>23395</v>
      </c>
      <c r="G10723" s="496"/>
      <c r="H10723" s="994" t="s">
        <v>20221</v>
      </c>
      <c r="I10723" s="11" t="s">
        <v>14284</v>
      </c>
      <c r="J10723" s="1285"/>
      <c r="K10723" s="1285"/>
      <c r="L10723" s="1285"/>
    </row>
    <row r="10724" spans="1:12" ht="11.15" customHeight="1">
      <c r="A10724" s="29" t="s">
        <v>14285</v>
      </c>
      <c r="B10724" s="59"/>
      <c r="C10724" s="147"/>
      <c r="D10724" s="701"/>
      <c r="E10724" s="178"/>
      <c r="F10724" s="178"/>
      <c r="G10724" s="496"/>
      <c r="H10724" s="994"/>
      <c r="I10724" s="11"/>
      <c r="J10724" s="1285"/>
      <c r="K10724" s="1285"/>
      <c r="L10724" s="1285"/>
    </row>
    <row r="10725" spans="1:12" ht="11.15" customHeight="1">
      <c r="A10725" s="29" t="s">
        <v>14286</v>
      </c>
      <c r="B10725" s="90"/>
      <c r="C10725" s="147"/>
      <c r="D10725" s="159"/>
      <c r="E10725" s="36"/>
      <c r="F10725" s="178"/>
      <c r="G10725" s="496"/>
      <c r="H10725" s="36"/>
      <c r="I10725" s="11"/>
    </row>
    <row r="10726" spans="1:12" ht="11.15" customHeight="1">
      <c r="A10726" s="166" t="s">
        <v>14287</v>
      </c>
      <c r="B10726" s="90"/>
      <c r="C10726" s="147"/>
      <c r="D10726" s="159"/>
      <c r="E10726" s="36"/>
      <c r="F10726" s="178"/>
      <c r="G10726" s="496"/>
      <c r="H10726" s="36"/>
      <c r="I10726" s="11"/>
    </row>
    <row r="10727" spans="1:12" ht="11.15" customHeight="1">
      <c r="A10727" s="129" t="s">
        <v>14288</v>
      </c>
      <c r="B10727" s="90"/>
      <c r="C10727" s="147"/>
      <c r="D10727" s="161"/>
      <c r="E10727" s="36"/>
      <c r="F10727" s="178"/>
      <c r="G10727" s="496"/>
      <c r="H10727" s="36"/>
      <c r="I10727" s="11"/>
    </row>
    <row r="10728" spans="1:12" ht="11.15" customHeight="1">
      <c r="A10728" s="129" t="s">
        <v>14289</v>
      </c>
      <c r="B10728" s="90"/>
      <c r="C10728" s="147"/>
      <c r="D10728" s="161"/>
      <c r="E10728" s="36"/>
      <c r="F10728" s="178"/>
      <c r="G10728" s="496"/>
      <c r="H10728" s="36"/>
      <c r="I10728" s="11"/>
    </row>
    <row r="10729" spans="1:12" ht="11.15" customHeight="1" thickBot="1">
      <c r="A10729" s="29"/>
      <c r="B10729" s="90"/>
      <c r="C10729" s="147"/>
      <c r="D10729" s="159"/>
      <c r="E10729" s="36"/>
      <c r="F10729" s="178"/>
      <c r="G10729" s="60"/>
      <c r="H10729" s="36"/>
      <c r="I10729" s="11"/>
    </row>
    <row r="10730" spans="1:12" ht="24" customHeight="1" thickBot="1">
      <c r="A10730" s="705"/>
      <c r="B10730" s="64" t="s">
        <v>14290</v>
      </c>
      <c r="C10730" s="170"/>
      <c r="D10730" s="382"/>
      <c r="E10730" s="27"/>
      <c r="F10730" s="1058"/>
      <c r="G10730" s="1249"/>
      <c r="H10730" s="1132"/>
      <c r="I10730" s="11"/>
    </row>
    <row r="10731" spans="1:12" ht="11.15" customHeight="1" thickBot="1">
      <c r="A10731" s="184" t="s">
        <v>14291</v>
      </c>
      <c r="B10731" s="59" t="s">
        <v>22270</v>
      </c>
      <c r="C10731" s="147" t="s">
        <v>20221</v>
      </c>
      <c r="D10731" s="284" t="s">
        <v>897</v>
      </c>
      <c r="E10731" s="178" t="s">
        <v>20221</v>
      </c>
      <c r="F10731" s="178" t="s">
        <v>4520</v>
      </c>
      <c r="G10731" s="496" t="s">
        <v>20221</v>
      </c>
      <c r="H10731" s="994" t="s">
        <v>3907</v>
      </c>
      <c r="I10731" s="11" t="s">
        <v>14292</v>
      </c>
      <c r="J10731" s="1285"/>
      <c r="K10731" s="1285"/>
      <c r="L10731" s="1285"/>
    </row>
    <row r="10732" spans="1:12" ht="11.15" customHeight="1">
      <c r="A10732" s="29" t="s">
        <v>14293</v>
      </c>
      <c r="B10732" s="90"/>
      <c r="C10732" s="147"/>
      <c r="D10732" s="161"/>
      <c r="E10732" s="36"/>
      <c r="F10732" s="178"/>
      <c r="G10732" s="496"/>
      <c r="H10732" s="36"/>
      <c r="I10732" s="11"/>
    </row>
    <row r="10733" spans="1:12" ht="11.15" customHeight="1">
      <c r="A10733" s="29" t="s">
        <v>14294</v>
      </c>
      <c r="B10733" s="90"/>
      <c r="C10733" s="147"/>
      <c r="D10733" s="161"/>
      <c r="E10733" s="36"/>
      <c r="F10733" s="178"/>
      <c r="G10733" s="496"/>
      <c r="H10733" s="36"/>
      <c r="I10733" s="11"/>
    </row>
    <row r="10734" spans="1:12" ht="11.15" customHeight="1">
      <c r="A10734" s="29" t="s">
        <v>14295</v>
      </c>
      <c r="B10734" s="90"/>
      <c r="C10734" s="147"/>
      <c r="D10734" s="161"/>
      <c r="E10734" s="36"/>
      <c r="F10734" s="178"/>
      <c r="G10734" s="496"/>
      <c r="H10734" s="36"/>
      <c r="I10734" s="11"/>
    </row>
    <row r="10735" spans="1:12" ht="11.15" customHeight="1">
      <c r="A10735" s="29" t="s">
        <v>14296</v>
      </c>
      <c r="B10735" s="90"/>
      <c r="C10735" s="147"/>
      <c r="D10735" s="161"/>
      <c r="E10735" s="36"/>
      <c r="F10735" s="178"/>
      <c r="G10735" s="496"/>
      <c r="H10735" s="36"/>
      <c r="I10735" s="11"/>
    </row>
    <row r="10736" spans="1:12" ht="11.15" customHeight="1">
      <c r="A10736" s="29" t="s">
        <v>14297</v>
      </c>
      <c r="B10736" s="185"/>
      <c r="C10736" s="147"/>
      <c r="D10736" s="129"/>
      <c r="E10736" s="185"/>
      <c r="F10736" s="185"/>
      <c r="G10736" s="185"/>
      <c r="H10736" s="185"/>
      <c r="I10736" s="11"/>
    </row>
    <row r="10737" spans="1:12" ht="11.15" customHeight="1">
      <c r="A10737" s="29" t="s">
        <v>14298</v>
      </c>
      <c r="B10737" s="185"/>
      <c r="C10737" s="147"/>
      <c r="D10737" s="129"/>
      <c r="E10737" s="185"/>
      <c r="F10737" s="185"/>
      <c r="G10737" s="185"/>
      <c r="H10737" s="185"/>
      <c r="I10737" s="11"/>
    </row>
    <row r="10738" spans="1:12" ht="11.15" customHeight="1">
      <c r="A10738" s="29" t="s">
        <v>14299</v>
      </c>
      <c r="B10738" s="90"/>
      <c r="C10738" s="147"/>
      <c r="D10738" s="161"/>
      <c r="E10738" s="36"/>
      <c r="F10738" s="178"/>
      <c r="G10738" s="496"/>
      <c r="H10738" s="36"/>
      <c r="I10738" s="11"/>
    </row>
    <row r="10739" spans="1:12" ht="11.15" customHeight="1">
      <c r="A10739" s="166" t="s">
        <v>14300</v>
      </c>
      <c r="B10739" s="90"/>
      <c r="C10739" s="147"/>
      <c r="D10739" s="231"/>
      <c r="E10739" s="36"/>
      <c r="F10739" s="183"/>
      <c r="G10739" s="429"/>
      <c r="H10739" s="34"/>
      <c r="I10739" s="11"/>
    </row>
    <row r="10740" spans="1:12" ht="11.15" customHeight="1" thickBot="1">
      <c r="A10740" s="129" t="s">
        <v>14301</v>
      </c>
      <c r="B10740" s="90"/>
      <c r="C10740" s="147"/>
      <c r="D10740" s="161"/>
      <c r="E10740" s="36"/>
      <c r="F10740" s="178"/>
      <c r="G10740" s="496"/>
      <c r="H10740" s="36"/>
      <c r="I10740" s="11"/>
    </row>
    <row r="10741" spans="1:12" ht="24" customHeight="1" thickBot="1">
      <c r="A10741" s="705"/>
      <c r="B10741" s="64" t="s">
        <v>14302</v>
      </c>
      <c r="C10741" s="170"/>
      <c r="D10741" s="382"/>
      <c r="E10741" s="27"/>
      <c r="F10741" s="1058"/>
      <c r="G10741" s="1249"/>
      <c r="H10741" s="1132"/>
      <c r="I10741" s="11"/>
    </row>
    <row r="10742" spans="1:12" ht="11.15" customHeight="1" thickBot="1">
      <c r="A10742" s="184" t="s">
        <v>14303</v>
      </c>
      <c r="B10742" s="59" t="s">
        <v>22271</v>
      </c>
      <c r="C10742" s="147" t="s">
        <v>20221</v>
      </c>
      <c r="D10742" s="701" t="s">
        <v>1129</v>
      </c>
      <c r="E10742" s="178">
        <v>2016</v>
      </c>
      <c r="F10742" s="178" t="s">
        <v>23395</v>
      </c>
      <c r="G10742" s="496"/>
      <c r="H10742" s="994" t="s">
        <v>20221</v>
      </c>
      <c r="I10742" s="11" t="s">
        <v>14304</v>
      </c>
      <c r="J10742" s="1285"/>
      <c r="K10742" s="1285"/>
      <c r="L10742" s="1285"/>
    </row>
    <row r="10743" spans="1:12" ht="11.15" customHeight="1">
      <c r="A10743" s="29" t="s">
        <v>14305</v>
      </c>
      <c r="B10743" s="59" t="s">
        <v>22272</v>
      </c>
      <c r="C10743" s="147" t="s">
        <v>20221</v>
      </c>
      <c r="D10743" s="284" t="s">
        <v>897</v>
      </c>
      <c r="E10743" s="178">
        <v>2013</v>
      </c>
      <c r="F10743" s="178" t="s">
        <v>23395</v>
      </c>
      <c r="G10743" s="496"/>
      <c r="H10743" s="994" t="s">
        <v>20221</v>
      </c>
      <c r="I10743" s="11" t="s">
        <v>14306</v>
      </c>
      <c r="J10743" s="1285"/>
      <c r="K10743" s="1285"/>
      <c r="L10743" s="1285"/>
    </row>
    <row r="10744" spans="1:12" ht="11.15" customHeight="1">
      <c r="A10744" s="29" t="s">
        <v>14307</v>
      </c>
      <c r="B10744" s="185"/>
      <c r="C10744" s="147"/>
      <c r="D10744" s="129"/>
      <c r="E10744" s="185"/>
      <c r="F10744" s="185"/>
      <c r="G10744" s="185"/>
      <c r="H10744" s="185"/>
      <c r="I10744" s="11"/>
    </row>
    <row r="10745" spans="1:12" ht="11.15" customHeight="1">
      <c r="A10745" s="29" t="s">
        <v>14308</v>
      </c>
      <c r="B10745" s="185"/>
      <c r="C10745" s="147"/>
      <c r="D10745" s="129"/>
      <c r="E10745" s="185"/>
      <c r="F10745" s="185"/>
      <c r="G10745" s="185"/>
      <c r="H10745" s="185"/>
      <c r="I10745" s="11"/>
    </row>
    <row r="10746" spans="1:12" ht="11.15" customHeight="1">
      <c r="A10746" s="212" t="s">
        <v>14309</v>
      </c>
      <c r="B10746" s="90"/>
      <c r="C10746" s="147"/>
      <c r="D10746" s="161"/>
      <c r="E10746" s="36"/>
      <c r="F10746" s="178"/>
      <c r="G10746" s="496"/>
      <c r="H10746" s="36"/>
      <c r="I10746" s="11"/>
    </row>
    <row r="10747" spans="1:12" ht="11.15" customHeight="1" thickBot="1">
      <c r="A10747" s="129" t="s">
        <v>14310</v>
      </c>
      <c r="B10747" s="90"/>
      <c r="C10747" s="147"/>
      <c r="D10747" s="161"/>
      <c r="E10747" s="36"/>
      <c r="F10747" s="178"/>
      <c r="G10747" s="496"/>
      <c r="H10747" s="36"/>
      <c r="I10747" s="11"/>
    </row>
    <row r="10748" spans="1:12" ht="24" customHeight="1" thickBot="1">
      <c r="A10748" s="705"/>
      <c r="B10748" s="64" t="s">
        <v>14311</v>
      </c>
      <c r="C10748" s="170"/>
      <c r="D10748" s="382"/>
      <c r="E10748" s="27"/>
      <c r="F10748" s="1058"/>
      <c r="G10748" s="1249"/>
      <c r="H10748" s="1132"/>
      <c r="I10748" s="11"/>
    </row>
    <row r="10749" spans="1:12" ht="11.15" customHeight="1" thickBot="1">
      <c r="A10749" s="336"/>
      <c r="B10749" s="337" t="s">
        <v>14312</v>
      </c>
      <c r="C10749" s="321"/>
      <c r="D10749" s="337"/>
      <c r="E10749" s="547"/>
      <c r="F10749" s="320"/>
      <c r="G10749" s="1245"/>
      <c r="H10749" s="547"/>
      <c r="I10749" s="11"/>
    </row>
    <row r="10750" spans="1:12" ht="11.15" customHeight="1" thickBot="1">
      <c r="A10750" s="343" t="s">
        <v>14283</v>
      </c>
      <c r="B10750" s="324" t="s">
        <v>22273</v>
      </c>
      <c r="C10750" s="321" t="s">
        <v>20221</v>
      </c>
      <c r="D10750" s="1297" t="s">
        <v>1129</v>
      </c>
      <c r="E10750" s="578">
        <v>2021</v>
      </c>
      <c r="F10750" s="578" t="s">
        <v>23395</v>
      </c>
      <c r="G10750" s="1204"/>
      <c r="H10750" s="1296" t="s">
        <v>20465</v>
      </c>
      <c r="I10750" s="11" t="s">
        <v>14313</v>
      </c>
      <c r="J10750" s="1285"/>
      <c r="K10750" s="1285"/>
      <c r="L10750" s="1285"/>
    </row>
    <row r="10751" spans="1:12" ht="11.15" customHeight="1">
      <c r="A10751" s="319" t="s">
        <v>14314</v>
      </c>
      <c r="B10751" s="324"/>
      <c r="C10751" s="321"/>
      <c r="D10751" s="341"/>
      <c r="E10751" s="322"/>
      <c r="F10751" s="578"/>
      <c r="G10751" s="1204"/>
      <c r="H10751" s="322"/>
      <c r="I10751" s="11"/>
    </row>
    <row r="10752" spans="1:12" ht="11.15" customHeight="1">
      <c r="A10752" s="319" t="s">
        <v>14286</v>
      </c>
      <c r="B10752" s="324"/>
      <c r="C10752" s="321"/>
      <c r="D10752" s="341"/>
      <c r="E10752" s="322"/>
      <c r="F10752" s="578"/>
      <c r="G10752" s="1204"/>
      <c r="H10752" s="322"/>
      <c r="I10752" s="11"/>
    </row>
    <row r="10753" spans="1:12" ht="11.15" customHeight="1">
      <c r="A10753" s="332" t="s">
        <v>14287</v>
      </c>
      <c r="B10753" s="324"/>
      <c r="C10753" s="321"/>
      <c r="D10753" s="341"/>
      <c r="E10753" s="322"/>
      <c r="F10753" s="578"/>
      <c r="G10753" s="1204"/>
      <c r="H10753" s="322"/>
      <c r="I10753" s="11"/>
    </row>
    <row r="10754" spans="1:12" ht="11.15" customHeight="1">
      <c r="A10754" s="330" t="s">
        <v>14315</v>
      </c>
      <c r="B10754" s="324"/>
      <c r="C10754" s="321"/>
      <c r="D10754" s="325"/>
      <c r="E10754" s="322"/>
      <c r="F10754" s="578"/>
      <c r="G10754" s="1204"/>
      <c r="H10754" s="322"/>
      <c r="I10754" s="11"/>
    </row>
    <row r="10755" spans="1:12" ht="11.15" customHeight="1" thickBot="1">
      <c r="A10755" s="330" t="s">
        <v>14316</v>
      </c>
      <c r="B10755" s="324"/>
      <c r="C10755" s="321"/>
      <c r="D10755" s="325"/>
      <c r="E10755" s="322"/>
      <c r="F10755" s="578"/>
      <c r="G10755" s="1204"/>
      <c r="H10755" s="322"/>
      <c r="I10755" s="11"/>
    </row>
    <row r="10756" spans="1:12" ht="24" customHeight="1" thickBot="1">
      <c r="A10756" s="706"/>
      <c r="B10756" s="64" t="s">
        <v>14317</v>
      </c>
      <c r="C10756" s="170"/>
      <c r="D10756" s="707"/>
      <c r="E10756" s="708"/>
      <c r="F10756" s="1086"/>
      <c r="G10756" s="1249"/>
      <c r="H10756" s="1132"/>
      <c r="I10756" s="11"/>
    </row>
    <row r="10757" spans="1:12" ht="9" customHeight="1">
      <c r="A10757" s="162"/>
      <c r="B10757" s="150" t="s">
        <v>14318</v>
      </c>
      <c r="C10757" s="147"/>
      <c r="D10757" s="161"/>
      <c r="E10757" s="36"/>
      <c r="F10757" s="178"/>
      <c r="G10757" s="496"/>
      <c r="H10757" s="36"/>
      <c r="I10757" s="11"/>
    </row>
    <row r="10758" spans="1:12" ht="9" customHeight="1">
      <c r="A10758" s="162"/>
      <c r="B10758" s="150" t="s">
        <v>14319</v>
      </c>
      <c r="C10758" s="147"/>
      <c r="D10758" s="161"/>
      <c r="E10758" s="36"/>
      <c r="F10758" s="178"/>
      <c r="G10758" s="496"/>
      <c r="H10758" s="36"/>
      <c r="I10758" s="11"/>
    </row>
    <row r="10759" spans="1:12" ht="9" customHeight="1" thickBot="1">
      <c r="A10759" s="162"/>
      <c r="B10759" s="150" t="s">
        <v>14320</v>
      </c>
      <c r="C10759" s="147"/>
      <c r="D10759" s="161"/>
      <c r="E10759" s="36"/>
      <c r="F10759" s="178"/>
      <c r="G10759" s="496"/>
      <c r="H10759" s="36"/>
      <c r="I10759" s="11"/>
    </row>
    <row r="10760" spans="1:12" ht="11.15" customHeight="1" thickBot="1">
      <c r="A10760" s="184" t="s">
        <v>14321</v>
      </c>
      <c r="B10760" s="240" t="s">
        <v>14322</v>
      </c>
      <c r="C10760" s="147"/>
      <c r="D10760" s="185"/>
      <c r="E10760" s="185"/>
      <c r="F10760" s="185"/>
      <c r="G10760" s="185"/>
      <c r="H10760" s="185"/>
      <c r="I10760" s="11"/>
    </row>
    <row r="10761" spans="1:12" ht="11.15" customHeight="1">
      <c r="A10761" s="29" t="s">
        <v>14323</v>
      </c>
      <c r="B10761" s="59" t="s">
        <v>22274</v>
      </c>
      <c r="C10761" s="147" t="s">
        <v>20221</v>
      </c>
      <c r="D10761" s="284" t="s">
        <v>897</v>
      </c>
      <c r="E10761" s="178">
        <v>2021</v>
      </c>
      <c r="F10761" s="178" t="s">
        <v>23405</v>
      </c>
      <c r="G10761" s="496"/>
      <c r="H10761" s="994" t="s">
        <v>20221</v>
      </c>
      <c r="I10761" s="11" t="s">
        <v>14324</v>
      </c>
      <c r="J10761" s="1285"/>
      <c r="K10761" s="1285"/>
      <c r="L10761" s="1285"/>
    </row>
    <row r="10762" spans="1:12" ht="11.15" customHeight="1">
      <c r="A10762" s="29" t="s">
        <v>14325</v>
      </c>
      <c r="B10762" s="240" t="s">
        <v>14326</v>
      </c>
      <c r="C10762" s="147"/>
      <c r="D10762" s="185"/>
      <c r="E10762" s="185"/>
      <c r="F10762" s="185"/>
      <c r="G10762" s="185"/>
      <c r="H10762" s="185"/>
      <c r="I10762" s="11"/>
    </row>
    <row r="10763" spans="1:12" ht="11.15" customHeight="1">
      <c r="A10763" s="29" t="s">
        <v>14327</v>
      </c>
      <c r="B10763" s="59" t="s">
        <v>22276</v>
      </c>
      <c r="C10763" s="147" t="s">
        <v>20221</v>
      </c>
      <c r="D10763" s="284" t="s">
        <v>897</v>
      </c>
      <c r="E10763" s="178">
        <v>2022</v>
      </c>
      <c r="F10763" s="178" t="s">
        <v>23395</v>
      </c>
      <c r="G10763" s="496"/>
      <c r="H10763" s="994" t="s">
        <v>20221</v>
      </c>
      <c r="I10763" s="11" t="s">
        <v>14328</v>
      </c>
      <c r="J10763" s="1285"/>
      <c r="K10763" s="1285"/>
      <c r="L10763" s="1285"/>
    </row>
    <row r="10764" spans="1:12" ht="11.15" customHeight="1">
      <c r="A10764" s="29" t="s">
        <v>14329</v>
      </c>
      <c r="B10764" s="59" t="s">
        <v>22276</v>
      </c>
      <c r="C10764" s="147" t="s">
        <v>20221</v>
      </c>
      <c r="D10764" s="284" t="s">
        <v>897</v>
      </c>
      <c r="E10764" s="178">
        <v>2021</v>
      </c>
      <c r="F10764" s="178" t="s">
        <v>23395</v>
      </c>
      <c r="G10764" s="496"/>
      <c r="H10764" s="994" t="s">
        <v>20221</v>
      </c>
      <c r="I10764" s="11" t="s">
        <v>14330</v>
      </c>
      <c r="J10764" s="1285"/>
      <c r="K10764" s="1285"/>
      <c r="L10764" s="1285"/>
    </row>
    <row r="10765" spans="1:12" ht="11.15" customHeight="1">
      <c r="A10765" s="229" t="s">
        <v>14331</v>
      </c>
      <c r="B10765" s="59" t="s">
        <v>22276</v>
      </c>
      <c r="C10765" s="147" t="s">
        <v>20221</v>
      </c>
      <c r="D10765" s="284" t="s">
        <v>897</v>
      </c>
      <c r="E10765" s="178">
        <v>2018</v>
      </c>
      <c r="F10765" s="178" t="s">
        <v>4520</v>
      </c>
      <c r="G10765" s="496"/>
      <c r="H10765" s="994" t="s">
        <v>20277</v>
      </c>
      <c r="I10765" s="11" t="s">
        <v>14332</v>
      </c>
      <c r="J10765" s="1285"/>
      <c r="K10765" s="1285"/>
      <c r="L10765" s="1285"/>
    </row>
    <row r="10766" spans="1:12" ht="11.15" customHeight="1">
      <c r="A10766" s="129" t="s">
        <v>14333</v>
      </c>
      <c r="B10766" s="59" t="s">
        <v>22277</v>
      </c>
      <c r="C10766" s="147" t="s">
        <v>20221</v>
      </c>
      <c r="D10766" s="284" t="s">
        <v>897</v>
      </c>
      <c r="E10766" s="178">
        <v>2021</v>
      </c>
      <c r="F10766" s="178" t="s">
        <v>4520</v>
      </c>
      <c r="G10766" s="496"/>
      <c r="H10766" s="994" t="s">
        <v>20221</v>
      </c>
      <c r="I10766" s="11" t="s">
        <v>14334</v>
      </c>
      <c r="J10766" s="1285"/>
      <c r="K10766" s="1285"/>
      <c r="L10766" s="1285"/>
    </row>
    <row r="10767" spans="1:12" ht="11.15" customHeight="1">
      <c r="A10767" s="162" t="s">
        <v>14335</v>
      </c>
      <c r="B10767" s="59" t="s">
        <v>22278</v>
      </c>
      <c r="C10767" s="147" t="s">
        <v>20221</v>
      </c>
      <c r="D10767" s="284" t="s">
        <v>897</v>
      </c>
      <c r="E10767" s="178">
        <v>2020</v>
      </c>
      <c r="F10767" s="178" t="s">
        <v>4520</v>
      </c>
      <c r="G10767" s="496"/>
      <c r="H10767" s="994" t="s">
        <v>20221</v>
      </c>
      <c r="I10767" s="11" t="s">
        <v>14336</v>
      </c>
      <c r="J10767" s="1285"/>
      <c r="K10767" s="1285"/>
      <c r="L10767" s="1285"/>
    </row>
    <row r="10768" spans="1:12" ht="11.15" customHeight="1">
      <c r="A10768" s="162" t="s">
        <v>14337</v>
      </c>
      <c r="B10768" s="59" t="s">
        <v>22278</v>
      </c>
      <c r="C10768" s="147" t="s">
        <v>20221</v>
      </c>
      <c r="D10768" s="284" t="s">
        <v>897</v>
      </c>
      <c r="E10768" s="178">
        <v>2019</v>
      </c>
      <c r="F10768" s="178" t="s">
        <v>4520</v>
      </c>
      <c r="G10768" s="496"/>
      <c r="H10768" s="994" t="s">
        <v>20221</v>
      </c>
      <c r="I10768" s="11" t="s">
        <v>14338</v>
      </c>
      <c r="J10768" s="1285"/>
      <c r="K10768" s="1285"/>
      <c r="L10768" s="1285"/>
    </row>
    <row r="10769" spans="1:12" ht="11.15" customHeight="1">
      <c r="A10769" s="162" t="s">
        <v>14339</v>
      </c>
      <c r="B10769" s="59" t="s">
        <v>22279</v>
      </c>
      <c r="C10769" s="147" t="s">
        <v>20221</v>
      </c>
      <c r="D10769" s="284" t="s">
        <v>897</v>
      </c>
      <c r="E10769" s="178">
        <v>2019</v>
      </c>
      <c r="F10769" s="178" t="s">
        <v>4520</v>
      </c>
      <c r="G10769" s="496"/>
      <c r="H10769" s="994" t="s">
        <v>20221</v>
      </c>
      <c r="I10769" s="11" t="s">
        <v>14340</v>
      </c>
      <c r="J10769" s="1285"/>
      <c r="K10769" s="1285"/>
      <c r="L10769" s="1285"/>
    </row>
    <row r="10770" spans="1:12" ht="11.15" customHeight="1">
      <c r="A10770" s="162" t="s">
        <v>14341</v>
      </c>
      <c r="B10770" s="59" t="s">
        <v>22280</v>
      </c>
      <c r="C10770" s="147" t="s">
        <v>20221</v>
      </c>
      <c r="D10770" s="284" t="s">
        <v>897</v>
      </c>
      <c r="E10770" s="178">
        <v>2018</v>
      </c>
      <c r="F10770" s="178" t="s">
        <v>23394</v>
      </c>
      <c r="G10770" s="496"/>
      <c r="H10770" s="994" t="s">
        <v>20221</v>
      </c>
      <c r="I10770" s="11" t="s">
        <v>14342</v>
      </c>
      <c r="J10770" s="1285"/>
      <c r="K10770" s="1285"/>
      <c r="L10770" s="1285"/>
    </row>
    <row r="10771" spans="1:12" ht="11.15" customHeight="1">
      <c r="A10771" s="162" t="s">
        <v>14343</v>
      </c>
      <c r="B10771" s="36"/>
      <c r="C10771" s="147"/>
      <c r="D10771" s="284"/>
      <c r="E10771" s="36"/>
      <c r="F10771" s="178"/>
      <c r="G10771" s="496"/>
      <c r="H10771" s="36"/>
      <c r="I10771" s="11"/>
    </row>
    <row r="10772" spans="1:12" ht="9" customHeight="1">
      <c r="A10772" s="162" t="s">
        <v>14344</v>
      </c>
      <c r="B10772" s="36"/>
      <c r="C10772" s="147"/>
      <c r="D10772" s="284"/>
      <c r="E10772" s="36"/>
      <c r="F10772" s="178"/>
      <c r="G10772" s="496"/>
      <c r="H10772" s="36"/>
      <c r="I10772" s="11"/>
    </row>
    <row r="10773" spans="1:12" ht="9" customHeight="1">
      <c r="A10773" s="162" t="s">
        <v>14345</v>
      </c>
      <c r="B10773" s="137"/>
      <c r="C10773" s="147"/>
      <c r="D10773" s="362"/>
      <c r="E10773" s="137"/>
      <c r="F10773" s="137"/>
      <c r="G10773" s="137"/>
      <c r="H10773" s="137"/>
      <c r="I10773" s="11"/>
    </row>
    <row r="10774" spans="1:12" ht="9" customHeight="1">
      <c r="A10774" s="162" t="s">
        <v>14346</v>
      </c>
      <c r="B10774" s="36"/>
      <c r="C10774" s="147"/>
      <c r="D10774" s="284"/>
      <c r="E10774" s="36"/>
      <c r="F10774" s="178"/>
      <c r="G10774" s="496"/>
      <c r="H10774" s="36"/>
      <c r="I10774" s="11"/>
    </row>
    <row r="10775" spans="1:12" ht="9" customHeight="1">
      <c r="A10775" s="162" t="s">
        <v>14347</v>
      </c>
      <c r="B10775" s="36"/>
      <c r="C10775" s="147"/>
      <c r="D10775" s="284"/>
      <c r="E10775" s="36"/>
      <c r="F10775" s="178"/>
      <c r="G10775" s="496"/>
      <c r="H10775" s="36"/>
      <c r="I10775" s="11"/>
    </row>
    <row r="10776" spans="1:12" ht="9" customHeight="1">
      <c r="A10776" s="162" t="s">
        <v>14348</v>
      </c>
      <c r="B10776" s="36"/>
      <c r="C10776" s="147"/>
      <c r="D10776" s="284"/>
      <c r="E10776" s="36"/>
      <c r="F10776" s="178"/>
      <c r="G10776" s="496"/>
      <c r="H10776" s="36"/>
      <c r="I10776" s="11"/>
    </row>
    <row r="10777" spans="1:12" ht="9" customHeight="1">
      <c r="A10777" s="162" t="s">
        <v>14349</v>
      </c>
      <c r="B10777" s="36"/>
      <c r="C10777" s="147"/>
      <c r="D10777" s="284"/>
      <c r="E10777" s="36"/>
      <c r="F10777" s="178"/>
      <c r="G10777" s="496"/>
      <c r="H10777" s="36"/>
      <c r="I10777" s="11"/>
    </row>
    <row r="10778" spans="1:12" ht="9" customHeight="1">
      <c r="A10778" s="162" t="s">
        <v>14350</v>
      </c>
      <c r="B10778" s="36"/>
      <c r="C10778" s="147"/>
      <c r="D10778" s="284"/>
      <c r="E10778" s="36"/>
      <c r="F10778" s="178"/>
      <c r="G10778" s="496"/>
      <c r="H10778" s="36"/>
      <c r="I10778" s="11"/>
    </row>
    <row r="10779" spans="1:12" ht="9" customHeight="1">
      <c r="A10779" s="162" t="s">
        <v>14351</v>
      </c>
      <c r="B10779" s="36"/>
      <c r="C10779" s="147"/>
      <c r="D10779" s="284"/>
      <c r="E10779" s="36"/>
      <c r="F10779" s="178"/>
      <c r="G10779" s="496"/>
      <c r="H10779" s="36"/>
      <c r="I10779" s="11"/>
    </row>
    <row r="10780" spans="1:12" ht="9" customHeight="1">
      <c r="A10780" s="162" t="s">
        <v>14352</v>
      </c>
      <c r="B10780" s="36"/>
      <c r="C10780" s="147"/>
      <c r="D10780" s="284"/>
      <c r="E10780" s="36"/>
      <c r="F10780" s="178"/>
      <c r="G10780" s="496"/>
      <c r="H10780" s="36"/>
      <c r="I10780" s="11"/>
    </row>
    <row r="10781" spans="1:12" ht="9" customHeight="1">
      <c r="A10781" s="162" t="s">
        <v>14353</v>
      </c>
      <c r="B10781" s="36"/>
      <c r="C10781" s="147"/>
      <c r="D10781" s="284"/>
      <c r="E10781" s="36"/>
      <c r="F10781" s="178"/>
      <c r="G10781" s="496"/>
      <c r="H10781" s="36"/>
      <c r="I10781" s="11"/>
    </row>
    <row r="10782" spans="1:12" ht="9" customHeight="1">
      <c r="A10782" s="162" t="s">
        <v>14354</v>
      </c>
      <c r="B10782" s="36"/>
      <c r="C10782" s="147"/>
      <c r="D10782" s="284"/>
      <c r="E10782" s="36"/>
      <c r="F10782" s="178"/>
      <c r="G10782" s="496"/>
      <c r="H10782" s="36"/>
      <c r="I10782" s="11"/>
    </row>
    <row r="10783" spans="1:12" ht="11.15" customHeight="1">
      <c r="A10783" s="212" t="s">
        <v>14355</v>
      </c>
      <c r="B10783" s="90"/>
      <c r="C10783" s="147"/>
      <c r="D10783" s="161"/>
      <c r="E10783" s="36"/>
      <c r="F10783" s="178"/>
      <c r="G10783" s="496"/>
      <c r="H10783" s="36"/>
      <c r="I10783" s="11"/>
    </row>
    <row r="10784" spans="1:12" ht="11.15" customHeight="1">
      <c r="A10784" s="129" t="s">
        <v>14356</v>
      </c>
      <c r="B10784" s="90"/>
      <c r="C10784" s="147"/>
      <c r="D10784" s="161"/>
      <c r="E10784" s="36"/>
      <c r="F10784" s="178"/>
      <c r="G10784" s="496"/>
      <c r="H10784" s="36"/>
      <c r="I10784" s="11"/>
    </row>
    <row r="10785" spans="1:12" ht="11.15" customHeight="1" thickBot="1">
      <c r="A10785" s="29"/>
      <c r="B10785" s="90"/>
      <c r="C10785" s="147"/>
      <c r="D10785" s="161"/>
      <c r="E10785" s="36"/>
      <c r="F10785" s="178"/>
      <c r="G10785" s="496"/>
      <c r="H10785" s="36"/>
      <c r="I10785" s="11"/>
    </row>
    <row r="10786" spans="1:12" ht="24" customHeight="1" thickBot="1">
      <c r="A10786" s="706"/>
      <c r="B10786" s="64" t="s">
        <v>14357</v>
      </c>
      <c r="C10786" s="170"/>
      <c r="D10786" s="707"/>
      <c r="E10786" s="708"/>
      <c r="F10786" s="1086"/>
      <c r="G10786" s="1249"/>
      <c r="H10786" s="1132"/>
      <c r="I10786" s="11"/>
    </row>
    <row r="10787" spans="1:12" ht="11.15" customHeight="1" thickBot="1">
      <c r="A10787" s="184" t="s">
        <v>14358</v>
      </c>
      <c r="B10787" s="59" t="s">
        <v>22281</v>
      </c>
      <c r="C10787" s="147" t="s">
        <v>20221</v>
      </c>
      <c r="D10787" s="284" t="s">
        <v>897</v>
      </c>
      <c r="E10787" s="178">
        <v>2009</v>
      </c>
      <c r="F10787" s="178" t="s">
        <v>4520</v>
      </c>
      <c r="G10787" s="496"/>
      <c r="H10787" s="994" t="s">
        <v>20221</v>
      </c>
      <c r="I10787" s="11" t="s">
        <v>14359</v>
      </c>
      <c r="J10787" s="1285"/>
      <c r="K10787" s="1285"/>
      <c r="L10787" s="1285"/>
    </row>
    <row r="10788" spans="1:12" ht="11.15" customHeight="1">
      <c r="A10788" s="29" t="s">
        <v>14360</v>
      </c>
      <c r="B10788" s="185"/>
      <c r="C10788" s="147"/>
      <c r="D10788" s="129"/>
      <c r="E10788" s="185"/>
      <c r="F10788" s="185"/>
      <c r="G10788" s="185"/>
      <c r="H10788" s="185"/>
      <c r="I10788" s="11"/>
    </row>
    <row r="10789" spans="1:12" ht="11.15" customHeight="1">
      <c r="A10789" s="29" t="s">
        <v>14361</v>
      </c>
      <c r="B10789" s="185"/>
      <c r="C10789" s="147"/>
      <c r="D10789" s="129"/>
      <c r="E10789" s="185"/>
      <c r="F10789" s="185"/>
      <c r="G10789" s="185"/>
      <c r="H10789" s="185"/>
      <c r="I10789" s="11"/>
    </row>
    <row r="10790" spans="1:12" ht="11.15" customHeight="1">
      <c r="A10790" s="29" t="s">
        <v>14362</v>
      </c>
      <c r="B10790" s="185"/>
      <c r="C10790" s="147"/>
      <c r="D10790" s="129"/>
      <c r="E10790" s="185"/>
      <c r="F10790" s="185"/>
      <c r="G10790" s="185"/>
      <c r="H10790" s="185"/>
      <c r="I10790" s="11"/>
    </row>
    <row r="10791" spans="1:12" ht="11.15" customHeight="1">
      <c r="A10791" s="29" t="s">
        <v>1862</v>
      </c>
      <c r="B10791" s="185"/>
      <c r="C10791" s="147"/>
      <c r="D10791" s="129"/>
      <c r="E10791" s="185"/>
      <c r="F10791" s="185"/>
      <c r="G10791" s="185"/>
      <c r="H10791" s="185"/>
      <c r="I10791" s="11"/>
    </row>
    <row r="10792" spans="1:12" ht="11.15" customHeight="1">
      <c r="A10792" s="166" t="s">
        <v>14363</v>
      </c>
      <c r="B10792" s="185"/>
      <c r="C10792" s="147"/>
      <c r="D10792" s="129"/>
      <c r="E10792" s="185"/>
      <c r="F10792" s="185"/>
      <c r="G10792" s="185"/>
      <c r="H10792" s="185"/>
      <c r="I10792" s="11"/>
    </row>
    <row r="10793" spans="1:12" ht="11.15" customHeight="1">
      <c r="A10793" s="129" t="s">
        <v>14364</v>
      </c>
      <c r="B10793" s="226"/>
      <c r="C10793" s="147"/>
      <c r="D10793" s="159"/>
      <c r="E10793" s="36"/>
      <c r="F10793" s="178"/>
      <c r="G10793" s="60"/>
      <c r="H10793" s="36"/>
      <c r="I10793" s="11"/>
    </row>
    <row r="10794" spans="1:12" ht="11.15" customHeight="1">
      <c r="A10794" s="129" t="s">
        <v>14365</v>
      </c>
      <c r="B10794" s="90"/>
      <c r="C10794" s="147"/>
      <c r="D10794" s="161"/>
      <c r="E10794" s="36"/>
      <c r="F10794" s="178"/>
      <c r="G10794" s="496"/>
      <c r="H10794" s="36"/>
      <c r="I10794" s="11"/>
    </row>
    <row r="10795" spans="1:12" ht="11.15" customHeight="1" thickBot="1">
      <c r="A10795" s="29"/>
      <c r="B10795" s="226"/>
      <c r="C10795" s="147"/>
      <c r="D10795" s="159"/>
      <c r="E10795" s="36"/>
      <c r="F10795" s="178"/>
      <c r="G10795" s="60"/>
      <c r="H10795" s="36"/>
      <c r="I10795" s="11"/>
    </row>
    <row r="10796" spans="1:12" ht="11.15" customHeight="1" thickBot="1">
      <c r="A10796" s="184" t="s">
        <v>14366</v>
      </c>
      <c r="B10796" s="154" t="s">
        <v>14367</v>
      </c>
      <c r="C10796" s="147"/>
      <c r="D10796" s="129"/>
      <c r="E10796" s="185"/>
      <c r="F10796" s="185"/>
      <c r="G10796" s="185"/>
      <c r="H10796" s="185"/>
      <c r="I10796" s="11"/>
    </row>
    <row r="10797" spans="1:12" ht="11.15" customHeight="1">
      <c r="A10797" s="29" t="s">
        <v>14368</v>
      </c>
      <c r="B10797" s="59" t="s">
        <v>22282</v>
      </c>
      <c r="C10797" s="147" t="s">
        <v>20221</v>
      </c>
      <c r="D10797" s="701" t="s">
        <v>1129</v>
      </c>
      <c r="E10797" s="178" t="s">
        <v>20221</v>
      </c>
      <c r="F10797" s="178" t="s">
        <v>4520</v>
      </c>
      <c r="G10797" s="496" t="s">
        <v>20221</v>
      </c>
      <c r="H10797" s="994" t="s">
        <v>3907</v>
      </c>
      <c r="I10797" s="11" t="s">
        <v>14369</v>
      </c>
      <c r="J10797" s="1285"/>
      <c r="K10797" s="1285"/>
      <c r="L10797" s="1285"/>
    </row>
    <row r="10798" spans="1:12" ht="11.15" customHeight="1">
      <c r="A10798" s="29" t="s">
        <v>14370</v>
      </c>
      <c r="B10798" s="154" t="s">
        <v>14371</v>
      </c>
      <c r="C10798" s="147"/>
      <c r="D10798" s="159"/>
      <c r="E10798" s="36"/>
      <c r="F10798" s="178"/>
      <c r="G10798" s="496"/>
      <c r="H10798" s="36"/>
      <c r="I10798" s="11"/>
    </row>
    <row r="10799" spans="1:12" ht="11.15" customHeight="1">
      <c r="A10799" s="29" t="s">
        <v>14372</v>
      </c>
      <c r="B10799" s="59" t="s">
        <v>22283</v>
      </c>
      <c r="C10799" s="147" t="s">
        <v>20221</v>
      </c>
      <c r="D10799" s="284" t="s">
        <v>897</v>
      </c>
      <c r="E10799" s="178">
        <v>2019</v>
      </c>
      <c r="F10799" s="178" t="s">
        <v>4520</v>
      </c>
      <c r="G10799" s="496"/>
      <c r="H10799" s="994" t="s">
        <v>20221</v>
      </c>
      <c r="I10799" s="11" t="s">
        <v>14373</v>
      </c>
      <c r="J10799" s="1285"/>
      <c r="K10799" s="1285"/>
      <c r="L10799" s="1285"/>
    </row>
    <row r="10800" spans="1:12" ht="11.15" customHeight="1">
      <c r="A10800" s="181" t="s">
        <v>950</v>
      </c>
      <c r="B10800" s="59" t="s">
        <v>22284</v>
      </c>
      <c r="C10800" s="147" t="s">
        <v>20221</v>
      </c>
      <c r="D10800" s="284" t="s">
        <v>897</v>
      </c>
      <c r="E10800" s="178">
        <v>2012</v>
      </c>
      <c r="F10800" s="178" t="s">
        <v>4520</v>
      </c>
      <c r="G10800" s="496"/>
      <c r="H10800" s="994" t="s">
        <v>20221</v>
      </c>
      <c r="I10800" s="11" t="s">
        <v>14374</v>
      </c>
      <c r="J10800" s="1285"/>
      <c r="K10800" s="1285"/>
      <c r="L10800" s="1285"/>
    </row>
    <row r="10801" spans="1:12" ht="11.15" customHeight="1">
      <c r="A10801" s="29" t="s">
        <v>14375</v>
      </c>
      <c r="B10801" s="185"/>
      <c r="C10801" s="147"/>
      <c r="D10801" s="185"/>
      <c r="E10801" s="185"/>
      <c r="F10801" s="185"/>
      <c r="G10801" s="185"/>
      <c r="H10801" s="185"/>
      <c r="I10801" s="11"/>
    </row>
    <row r="10802" spans="1:12" ht="11.15" customHeight="1">
      <c r="A10802" s="212" t="s">
        <v>14376</v>
      </c>
      <c r="B10802" s="185"/>
      <c r="C10802" s="147"/>
      <c r="D10802" s="185"/>
      <c r="E10802" s="185"/>
      <c r="F10802" s="185"/>
      <c r="G10802" s="185"/>
      <c r="H10802" s="185"/>
      <c r="I10802" s="11"/>
    </row>
    <row r="10803" spans="1:12" ht="11.15" customHeight="1">
      <c r="A10803" s="129" t="s">
        <v>14377</v>
      </c>
      <c r="B10803" s="185"/>
      <c r="C10803" s="147"/>
      <c r="D10803" s="185"/>
      <c r="E10803" s="185"/>
      <c r="F10803" s="185"/>
      <c r="G10803" s="185"/>
      <c r="H10803" s="185"/>
      <c r="I10803" s="11"/>
    </row>
    <row r="10804" spans="1:12" ht="11.15" customHeight="1" thickBot="1">
      <c r="A10804" s="29"/>
      <c r="B10804" s="185"/>
      <c r="C10804" s="147"/>
      <c r="D10804" s="185"/>
      <c r="E10804" s="185"/>
      <c r="F10804" s="185"/>
      <c r="G10804" s="185"/>
      <c r="H10804" s="185"/>
      <c r="I10804" s="11"/>
    </row>
    <row r="10805" spans="1:12" ht="11.15" customHeight="1" thickBot="1">
      <c r="A10805" s="184" t="s">
        <v>14378</v>
      </c>
      <c r="B10805" s="154" t="s">
        <v>14367</v>
      </c>
      <c r="C10805" s="147"/>
      <c r="D10805" s="129"/>
      <c r="E10805" s="185"/>
      <c r="F10805" s="185"/>
      <c r="G10805" s="185"/>
      <c r="H10805" s="185"/>
      <c r="I10805" s="11"/>
    </row>
    <row r="10806" spans="1:12" ht="11.15" customHeight="1">
      <c r="A10806" s="29" t="s">
        <v>14379</v>
      </c>
      <c r="B10806" s="59" t="s">
        <v>22285</v>
      </c>
      <c r="C10806" s="147" t="s">
        <v>20221</v>
      </c>
      <c r="D10806" s="701" t="s">
        <v>1129</v>
      </c>
      <c r="E10806" s="178">
        <v>2016</v>
      </c>
      <c r="F10806" s="178" t="s">
        <v>4520</v>
      </c>
      <c r="G10806" s="496" t="s">
        <v>20221</v>
      </c>
      <c r="H10806" s="994" t="s">
        <v>3907</v>
      </c>
      <c r="I10806" s="11" t="s">
        <v>14380</v>
      </c>
      <c r="J10806" s="1285"/>
      <c r="K10806" s="1285"/>
      <c r="L10806" s="1285"/>
    </row>
    <row r="10807" spans="1:12" ht="11.15" customHeight="1">
      <c r="A10807" s="29" t="s">
        <v>14381</v>
      </c>
      <c r="B10807" s="59" t="s">
        <v>22286</v>
      </c>
      <c r="C10807" s="147" t="s">
        <v>20221</v>
      </c>
      <c r="D10807" s="701" t="s">
        <v>1129</v>
      </c>
      <c r="E10807" s="178">
        <v>2013</v>
      </c>
      <c r="F10807" s="178" t="s">
        <v>4520</v>
      </c>
      <c r="G10807" s="496"/>
      <c r="H10807" s="994" t="s">
        <v>3907</v>
      </c>
      <c r="I10807" s="11" t="s">
        <v>14382</v>
      </c>
      <c r="J10807" s="1285"/>
      <c r="K10807" s="1285"/>
      <c r="L10807" s="1285"/>
    </row>
    <row r="10808" spans="1:12" ht="11.15" customHeight="1">
      <c r="A10808" s="29" t="s">
        <v>14383</v>
      </c>
      <c r="B10808" s="59" t="s">
        <v>22286</v>
      </c>
      <c r="C10808" s="147" t="s">
        <v>20221</v>
      </c>
      <c r="D10808" s="701" t="s">
        <v>1129</v>
      </c>
      <c r="E10808" s="178">
        <v>2012</v>
      </c>
      <c r="F10808" s="178" t="s">
        <v>4520</v>
      </c>
      <c r="G10808" s="496"/>
      <c r="H10808" s="994" t="s">
        <v>3907</v>
      </c>
      <c r="I10808" s="11" t="s">
        <v>14384</v>
      </c>
      <c r="J10808" s="1285"/>
      <c r="K10808" s="1285"/>
      <c r="L10808" s="1285"/>
    </row>
    <row r="10809" spans="1:12" ht="11.15" customHeight="1">
      <c r="A10809" s="29" t="s">
        <v>14385</v>
      </c>
      <c r="B10809" s="59" t="s">
        <v>22286</v>
      </c>
      <c r="C10809" s="147" t="s">
        <v>20221</v>
      </c>
      <c r="D10809" s="701" t="s">
        <v>1129</v>
      </c>
      <c r="E10809" s="178">
        <v>2011</v>
      </c>
      <c r="F10809" s="178" t="s">
        <v>4520</v>
      </c>
      <c r="G10809" s="496"/>
      <c r="H10809" s="994" t="s">
        <v>3907</v>
      </c>
      <c r="I10809" s="11" t="s">
        <v>14386</v>
      </c>
      <c r="J10809" s="1285"/>
      <c r="K10809" s="1285"/>
      <c r="L10809" s="1285"/>
    </row>
    <row r="10810" spans="1:12" ht="11.15" customHeight="1">
      <c r="A10810" s="29" t="s">
        <v>14387</v>
      </c>
      <c r="B10810" s="154" t="s">
        <v>14388</v>
      </c>
      <c r="C10810" s="147"/>
      <c r="D10810" s="225"/>
      <c r="E10810" s="162"/>
      <c r="F10810" s="162"/>
      <c r="G10810" s="162"/>
      <c r="H10810" s="162"/>
      <c r="I10810" s="11"/>
    </row>
    <row r="10811" spans="1:12" ht="11.15" customHeight="1">
      <c r="A10811" s="129" t="s">
        <v>14389</v>
      </c>
      <c r="B10811" s="59" t="s">
        <v>22287</v>
      </c>
      <c r="C10811" s="147" t="s">
        <v>20221</v>
      </c>
      <c r="D10811" s="284" t="s">
        <v>897</v>
      </c>
      <c r="E10811" s="178">
        <v>2012</v>
      </c>
      <c r="F10811" s="178" t="s">
        <v>7168</v>
      </c>
      <c r="G10811" s="496"/>
      <c r="H10811" s="994" t="s">
        <v>20221</v>
      </c>
      <c r="I10811" s="11" t="s">
        <v>14390</v>
      </c>
      <c r="J10811" s="1285"/>
      <c r="K10811" s="1285"/>
      <c r="L10811" s="1285"/>
    </row>
    <row r="10812" spans="1:12" ht="11.15" customHeight="1">
      <c r="A10812" s="162" t="s">
        <v>14391</v>
      </c>
      <c r="B10812" s="59" t="s">
        <v>22287</v>
      </c>
      <c r="C10812" s="147" t="s">
        <v>20221</v>
      </c>
      <c r="D10812" s="284" t="s">
        <v>897</v>
      </c>
      <c r="E10812" s="178">
        <v>2011</v>
      </c>
      <c r="F10812" s="178" t="s">
        <v>7168</v>
      </c>
      <c r="G10812" s="496"/>
      <c r="H10812" s="994" t="s">
        <v>20221</v>
      </c>
      <c r="I10812" s="11" t="s">
        <v>14392</v>
      </c>
      <c r="J10812" s="1285"/>
      <c r="K10812" s="1285"/>
      <c r="L10812" s="1285"/>
    </row>
    <row r="10813" spans="1:12" ht="11.15" customHeight="1">
      <c r="A10813" s="355" t="s">
        <v>14393</v>
      </c>
      <c r="B10813" s="59" t="s">
        <v>22287</v>
      </c>
      <c r="C10813" s="147" t="s">
        <v>20221</v>
      </c>
      <c r="D10813" s="284" t="s">
        <v>897</v>
      </c>
      <c r="E10813" s="178">
        <v>2010</v>
      </c>
      <c r="F10813" s="178" t="s">
        <v>7168</v>
      </c>
      <c r="G10813" s="496"/>
      <c r="H10813" s="994" t="s">
        <v>20221</v>
      </c>
      <c r="I10813" s="11" t="s">
        <v>14394</v>
      </c>
      <c r="J10813" s="1285"/>
      <c r="K10813" s="1285"/>
      <c r="L10813" s="1285"/>
    </row>
    <row r="10814" spans="1:12" ht="11.15" customHeight="1">
      <c r="A10814" s="162" t="s">
        <v>14395</v>
      </c>
      <c r="B10814" s="59" t="s">
        <v>22288</v>
      </c>
      <c r="C10814" s="147" t="s">
        <v>20221</v>
      </c>
      <c r="D10814" s="284" t="s">
        <v>897</v>
      </c>
      <c r="E10814" s="178">
        <v>2012</v>
      </c>
      <c r="F10814" s="178" t="s">
        <v>4520</v>
      </c>
      <c r="G10814" s="496"/>
      <c r="H10814" s="994" t="s">
        <v>20221</v>
      </c>
      <c r="I10814" s="11" t="s">
        <v>14396</v>
      </c>
      <c r="J10814" s="1285"/>
      <c r="K10814" s="1285"/>
      <c r="L10814" s="1285"/>
    </row>
    <row r="10815" spans="1:12" ht="11.15" customHeight="1">
      <c r="A10815" s="355" t="s">
        <v>14397</v>
      </c>
      <c r="B10815" s="59" t="s">
        <v>22288</v>
      </c>
      <c r="C10815" s="147" t="s">
        <v>20221</v>
      </c>
      <c r="D10815" s="284" t="s">
        <v>897</v>
      </c>
      <c r="E10815" s="178">
        <v>2011</v>
      </c>
      <c r="F10815" s="178" t="s">
        <v>4520</v>
      </c>
      <c r="G10815" s="496"/>
      <c r="H10815" s="994" t="s">
        <v>20221</v>
      </c>
      <c r="I10815" s="11" t="s">
        <v>14398</v>
      </c>
      <c r="J10815" s="1285"/>
      <c r="K10815" s="1285"/>
      <c r="L10815" s="1285"/>
    </row>
    <row r="10816" spans="1:12" ht="11.15" customHeight="1">
      <c r="A10816" s="162" t="s">
        <v>14399</v>
      </c>
      <c r="B10816" s="59" t="s">
        <v>22289</v>
      </c>
      <c r="C10816" s="147" t="s">
        <v>20221</v>
      </c>
      <c r="D10816" s="284" t="s">
        <v>897</v>
      </c>
      <c r="E10816" s="178">
        <v>2012</v>
      </c>
      <c r="F10816" s="178" t="s">
        <v>11931</v>
      </c>
      <c r="G10816" s="496"/>
      <c r="H10816" s="994" t="s">
        <v>20224</v>
      </c>
      <c r="I10816" s="11" t="s">
        <v>14400</v>
      </c>
      <c r="J10816" s="1285"/>
      <c r="K10816" s="1285"/>
      <c r="L10816" s="1285"/>
    </row>
    <row r="10817" spans="1:12" ht="11.15" customHeight="1">
      <c r="A10817" s="355" t="s">
        <v>14401</v>
      </c>
      <c r="B10817" s="59" t="s">
        <v>22289</v>
      </c>
      <c r="C10817" s="147" t="s">
        <v>20221</v>
      </c>
      <c r="D10817" s="284" t="s">
        <v>897</v>
      </c>
      <c r="E10817" s="178">
        <v>2011</v>
      </c>
      <c r="F10817" s="178" t="s">
        <v>11931</v>
      </c>
      <c r="G10817" s="496"/>
      <c r="H10817" s="994" t="s">
        <v>20224</v>
      </c>
      <c r="I10817" s="11" t="s">
        <v>14402</v>
      </c>
      <c r="J10817" s="1285"/>
      <c r="K10817" s="1285"/>
      <c r="L10817" s="1285"/>
    </row>
    <row r="10818" spans="1:12" ht="11.15" customHeight="1">
      <c r="A10818" s="162" t="s">
        <v>14403</v>
      </c>
      <c r="B10818" s="185"/>
      <c r="C10818" s="147"/>
      <c r="D10818" s="185"/>
      <c r="E10818" s="185"/>
      <c r="F10818" s="185"/>
      <c r="G10818" s="185"/>
      <c r="H10818" s="185"/>
      <c r="I10818" s="11"/>
    </row>
    <row r="10819" spans="1:12" ht="11.15" customHeight="1">
      <c r="A10819" s="129" t="s">
        <v>11886</v>
      </c>
      <c r="B10819" s="185"/>
      <c r="C10819" s="147"/>
      <c r="D10819" s="185"/>
      <c r="E10819" s="185"/>
      <c r="F10819" s="185"/>
      <c r="G10819" s="185"/>
      <c r="H10819" s="185"/>
      <c r="I10819" s="11"/>
    </row>
    <row r="10820" spans="1:12" ht="11.15" customHeight="1">
      <c r="A10820" s="162" t="s">
        <v>14404</v>
      </c>
      <c r="B10820" s="185"/>
      <c r="C10820" s="147"/>
      <c r="D10820" s="185"/>
      <c r="E10820" s="185"/>
      <c r="F10820" s="185"/>
      <c r="G10820" s="185"/>
      <c r="H10820" s="185"/>
      <c r="I10820" s="11"/>
    </row>
    <row r="10821" spans="1:12" ht="11.15" customHeight="1">
      <c r="A10821" s="162" t="s">
        <v>14405</v>
      </c>
      <c r="B10821" s="185"/>
      <c r="C10821" s="147"/>
      <c r="D10821" s="185"/>
      <c r="E10821" s="185"/>
      <c r="F10821" s="185"/>
      <c r="G10821" s="185"/>
      <c r="H10821" s="185"/>
      <c r="I10821" s="11"/>
    </row>
    <row r="10822" spans="1:12" ht="11.15" customHeight="1">
      <c r="A10822" s="162" t="s">
        <v>14406</v>
      </c>
      <c r="B10822" s="185"/>
      <c r="C10822" s="147"/>
      <c r="D10822" s="185"/>
      <c r="E10822" s="185"/>
      <c r="F10822" s="185"/>
      <c r="G10822" s="185"/>
      <c r="H10822" s="185"/>
      <c r="I10822" s="11"/>
    </row>
    <row r="10823" spans="1:12" ht="11.15" customHeight="1">
      <c r="A10823" s="162" t="s">
        <v>14407</v>
      </c>
      <c r="B10823" s="185"/>
      <c r="C10823" s="147"/>
      <c r="D10823" s="185"/>
      <c r="E10823" s="185"/>
      <c r="F10823" s="185"/>
      <c r="G10823" s="185"/>
      <c r="H10823" s="185"/>
      <c r="I10823" s="11"/>
    </row>
    <row r="10824" spans="1:12" ht="11.15" customHeight="1">
      <c r="A10824" s="212" t="s">
        <v>14408</v>
      </c>
      <c r="B10824" s="185"/>
      <c r="C10824" s="147"/>
      <c r="D10824" s="129"/>
      <c r="E10824" s="185"/>
      <c r="F10824" s="185"/>
      <c r="G10824" s="185"/>
      <c r="H10824" s="185"/>
      <c r="I10824" s="11"/>
    </row>
    <row r="10825" spans="1:12" ht="11.15" customHeight="1">
      <c r="A10825" s="201" t="s">
        <v>1022</v>
      </c>
      <c r="B10825" s="185"/>
      <c r="C10825" s="147"/>
      <c r="D10825" s="129"/>
      <c r="E10825" s="185"/>
      <c r="F10825" s="185"/>
      <c r="G10825" s="185"/>
      <c r="H10825" s="185"/>
      <c r="I10825" s="11"/>
    </row>
    <row r="10826" spans="1:12" ht="11.15" customHeight="1">
      <c r="A10826" s="129" t="s">
        <v>14409</v>
      </c>
      <c r="B10826" s="90"/>
      <c r="C10826" s="147"/>
      <c r="D10826" s="161"/>
      <c r="E10826" s="36"/>
      <c r="F10826" s="178"/>
      <c r="G10826" s="496"/>
      <c r="H10826" s="36"/>
      <c r="I10826" s="11"/>
    </row>
    <row r="10827" spans="1:12" ht="11.15" customHeight="1" thickBot="1">
      <c r="A10827" s="29"/>
      <c r="B10827" s="90"/>
      <c r="C10827" s="147"/>
      <c r="D10827" s="161"/>
      <c r="E10827" s="36"/>
      <c r="F10827" s="178"/>
      <c r="G10827" s="496"/>
      <c r="H10827" s="36"/>
      <c r="I10827" s="11"/>
    </row>
    <row r="10828" spans="1:12" ht="11.15" customHeight="1">
      <c r="A10828" s="153" t="s">
        <v>14410</v>
      </c>
      <c r="B10828" s="59" t="s">
        <v>22291</v>
      </c>
      <c r="C10828" s="147" t="s">
        <v>20221</v>
      </c>
      <c r="D10828" s="284" t="s">
        <v>897</v>
      </c>
      <c r="E10828" s="178">
        <v>2022</v>
      </c>
      <c r="F10828" s="178" t="s">
        <v>23395</v>
      </c>
      <c r="G10828" s="496"/>
      <c r="H10828" s="994" t="s">
        <v>20221</v>
      </c>
      <c r="I10828" s="11" t="s">
        <v>14411</v>
      </c>
      <c r="J10828" s="1285"/>
      <c r="K10828" s="1285"/>
      <c r="L10828" s="1285"/>
    </row>
    <row r="10829" spans="1:12" ht="11.15" customHeight="1" thickBot="1">
      <c r="A10829" s="230" t="s">
        <v>14412</v>
      </c>
      <c r="B10829" s="59" t="s">
        <v>22292</v>
      </c>
      <c r="C10829" s="147" t="s">
        <v>20221</v>
      </c>
      <c r="D10829" s="284" t="s">
        <v>897</v>
      </c>
      <c r="E10829" s="178">
        <v>2022</v>
      </c>
      <c r="F10829" s="178" t="s">
        <v>23395</v>
      </c>
      <c r="G10829" s="496"/>
      <c r="H10829" s="994" t="s">
        <v>20221</v>
      </c>
      <c r="I10829" s="11" t="s">
        <v>14413</v>
      </c>
      <c r="J10829" s="1285"/>
      <c r="K10829" s="1285"/>
      <c r="L10829" s="1285"/>
    </row>
    <row r="10830" spans="1:12" ht="11.15" customHeight="1">
      <c r="A10830" s="29" t="s">
        <v>14414</v>
      </c>
      <c r="B10830" s="185"/>
      <c r="C10830" s="147"/>
      <c r="D10830" s="185"/>
      <c r="E10830" s="185"/>
      <c r="F10830" s="185"/>
      <c r="G10830" s="497"/>
      <c r="H10830" s="185"/>
      <c r="I10830" s="11"/>
    </row>
    <row r="10831" spans="1:12" ht="11.15" customHeight="1">
      <c r="A10831" s="29" t="s">
        <v>14415</v>
      </c>
      <c r="B10831" s="185"/>
      <c r="C10831" s="147"/>
      <c r="D10831" s="185"/>
      <c r="E10831" s="185"/>
      <c r="F10831" s="185"/>
      <c r="G10831" s="497"/>
      <c r="H10831" s="185"/>
      <c r="I10831" s="11"/>
    </row>
    <row r="10832" spans="1:12" ht="11.15" customHeight="1">
      <c r="A10832" s="29" t="s">
        <v>14416</v>
      </c>
      <c r="B10832" s="185"/>
      <c r="C10832" s="147"/>
      <c r="D10832" s="185"/>
      <c r="E10832" s="185"/>
      <c r="F10832" s="185"/>
      <c r="G10832" s="497"/>
      <c r="H10832" s="185"/>
      <c r="I10832" s="11"/>
    </row>
    <row r="10833" spans="1:12" ht="11.15" customHeight="1">
      <c r="A10833" s="29" t="s">
        <v>14417</v>
      </c>
      <c r="B10833" s="185"/>
      <c r="C10833" s="147"/>
      <c r="D10833" s="129"/>
      <c r="E10833" s="185"/>
      <c r="F10833" s="185"/>
      <c r="G10833" s="185"/>
      <c r="H10833" s="185"/>
      <c r="I10833" s="11"/>
    </row>
    <row r="10834" spans="1:12" ht="11.15" customHeight="1">
      <c r="A10834" s="137" t="s">
        <v>14418</v>
      </c>
      <c r="B10834" s="185"/>
      <c r="C10834" s="147"/>
      <c r="D10834" s="129"/>
      <c r="E10834" s="185"/>
      <c r="F10834" s="185"/>
      <c r="G10834" s="185"/>
      <c r="H10834" s="185"/>
      <c r="I10834" s="11"/>
    </row>
    <row r="10835" spans="1:12" ht="11.15" customHeight="1">
      <c r="A10835" s="166" t="s">
        <v>14419</v>
      </c>
      <c r="B10835" s="90"/>
      <c r="C10835" s="147"/>
      <c r="D10835" s="161"/>
      <c r="E10835" s="36"/>
      <c r="F10835" s="178"/>
      <c r="G10835" s="496"/>
      <c r="H10835" s="36"/>
      <c r="I10835" s="11"/>
    </row>
    <row r="10836" spans="1:12" ht="11.15" customHeight="1">
      <c r="A10836" s="129" t="s">
        <v>14420</v>
      </c>
      <c r="B10836" s="90"/>
      <c r="C10836" s="147"/>
      <c r="D10836" s="161"/>
      <c r="E10836" s="36"/>
      <c r="F10836" s="178"/>
      <c r="G10836" s="496"/>
      <c r="H10836" s="36"/>
      <c r="I10836" s="11"/>
    </row>
    <row r="10837" spans="1:12" ht="11.15" customHeight="1" thickBot="1">
      <c r="A10837" s="29"/>
      <c r="B10837" s="185"/>
      <c r="C10837" s="147"/>
      <c r="D10837" s="185"/>
      <c r="E10837" s="185"/>
      <c r="F10837" s="185"/>
      <c r="G10837" s="185"/>
      <c r="H10837" s="185"/>
      <c r="I10837" s="11"/>
    </row>
    <row r="10838" spans="1:12" ht="11.15" customHeight="1" thickBot="1">
      <c r="A10838" s="184" t="s">
        <v>14421</v>
      </c>
      <c r="B10838" s="59" t="s">
        <v>22293</v>
      </c>
      <c r="C10838" s="147" t="s">
        <v>20221</v>
      </c>
      <c r="D10838" s="284" t="s">
        <v>897</v>
      </c>
      <c r="E10838" s="178">
        <v>2015</v>
      </c>
      <c r="F10838" s="178" t="s">
        <v>4520</v>
      </c>
      <c r="G10838" s="496"/>
      <c r="H10838" s="994" t="s">
        <v>20221</v>
      </c>
      <c r="I10838" s="11" t="s">
        <v>14422</v>
      </c>
      <c r="J10838" s="1285"/>
      <c r="K10838" s="1285"/>
      <c r="L10838" s="1285"/>
    </row>
    <row r="10839" spans="1:12" ht="11.15" customHeight="1">
      <c r="A10839" s="229" t="s">
        <v>14423</v>
      </c>
      <c r="B10839" s="90"/>
      <c r="C10839" s="147"/>
      <c r="D10839" s="161"/>
      <c r="E10839" s="36"/>
      <c r="F10839" s="178"/>
      <c r="G10839" s="496"/>
      <c r="H10839" s="36"/>
      <c r="I10839" s="11"/>
    </row>
    <row r="10840" spans="1:12" ht="11.15" customHeight="1">
      <c r="A10840" s="29" t="s">
        <v>14424</v>
      </c>
      <c r="B10840" s="185"/>
      <c r="C10840" s="147"/>
      <c r="D10840" s="129"/>
      <c r="E10840" s="185"/>
      <c r="F10840" s="185"/>
      <c r="G10840" s="185"/>
      <c r="H10840" s="185"/>
      <c r="I10840" s="11"/>
    </row>
    <row r="10841" spans="1:12" ht="11.15" customHeight="1">
      <c r="A10841" s="29" t="s">
        <v>14425</v>
      </c>
      <c r="B10841" s="90"/>
      <c r="C10841" s="147"/>
      <c r="D10841" s="161"/>
      <c r="E10841" s="36"/>
      <c r="F10841" s="178"/>
      <c r="G10841" s="497"/>
      <c r="H10841" s="36"/>
      <c r="I10841" s="11"/>
    </row>
    <row r="10842" spans="1:12" ht="11.15" customHeight="1">
      <c r="A10842" s="29" t="s">
        <v>14426</v>
      </c>
      <c r="B10842" s="90"/>
      <c r="C10842" s="147"/>
      <c r="D10842" s="161"/>
      <c r="E10842" s="36"/>
      <c r="F10842" s="178"/>
      <c r="G10842" s="497"/>
      <c r="H10842" s="36"/>
      <c r="I10842" s="11"/>
    </row>
    <row r="10843" spans="1:12" ht="11.15" customHeight="1">
      <c r="A10843" s="29" t="s">
        <v>14427</v>
      </c>
      <c r="B10843" s="90"/>
      <c r="C10843" s="147"/>
      <c r="D10843" s="161"/>
      <c r="E10843" s="36"/>
      <c r="F10843" s="178"/>
      <c r="G10843" s="496"/>
      <c r="H10843" s="36"/>
      <c r="I10843" s="11"/>
    </row>
    <row r="10844" spans="1:12" ht="11.15" customHeight="1">
      <c r="A10844" s="29" t="s">
        <v>14428</v>
      </c>
      <c r="B10844" s="90"/>
      <c r="C10844" s="147"/>
      <c r="D10844" s="161"/>
      <c r="E10844" s="36"/>
      <c r="F10844" s="178"/>
      <c r="G10844" s="496"/>
      <c r="H10844" s="36"/>
      <c r="I10844" s="11"/>
    </row>
    <row r="10845" spans="1:12" ht="11.15" customHeight="1">
      <c r="A10845" s="212" t="s">
        <v>14429</v>
      </c>
      <c r="B10845" s="90"/>
      <c r="C10845" s="147"/>
      <c r="D10845" s="161"/>
      <c r="E10845" s="36"/>
      <c r="F10845" s="178"/>
      <c r="G10845" s="496"/>
      <c r="H10845" s="36"/>
      <c r="I10845" s="11"/>
    </row>
    <row r="10846" spans="1:12" ht="11.15" customHeight="1">
      <c r="A10846" s="129" t="s">
        <v>14430</v>
      </c>
      <c r="B10846" s="90"/>
      <c r="C10846" s="147"/>
      <c r="D10846" s="161"/>
      <c r="E10846" s="36"/>
      <c r="F10846" s="178"/>
      <c r="G10846" s="496"/>
      <c r="H10846" s="36"/>
      <c r="I10846" s="11"/>
    </row>
    <row r="10847" spans="1:12" ht="11.15" customHeight="1" thickBot="1">
      <c r="A10847" s="29"/>
      <c r="B10847" s="90"/>
      <c r="C10847" s="147"/>
      <c r="D10847" s="161"/>
      <c r="E10847" s="36"/>
      <c r="F10847" s="178"/>
      <c r="G10847" s="496"/>
      <c r="H10847" s="36"/>
      <c r="I10847" s="11"/>
    </row>
    <row r="10848" spans="1:12" ht="24" customHeight="1" thickBot="1">
      <c r="A10848" s="709"/>
      <c r="B10848" s="64" t="s">
        <v>14431</v>
      </c>
      <c r="C10848" s="170"/>
      <c r="D10848" s="382"/>
      <c r="E10848" s="27"/>
      <c r="F10848" s="1058"/>
      <c r="G10848" s="1249"/>
      <c r="H10848" s="1132"/>
      <c r="I10848" s="11"/>
    </row>
    <row r="10849" spans="1:12" ht="11.15" customHeight="1">
      <c r="A10849" s="153" t="s">
        <v>14432</v>
      </c>
      <c r="B10849" s="59" t="s">
        <v>22295</v>
      </c>
      <c r="C10849" s="147" t="s">
        <v>20221</v>
      </c>
      <c r="D10849" s="284" t="s">
        <v>897</v>
      </c>
      <c r="E10849" s="178">
        <v>2020</v>
      </c>
      <c r="F10849" s="178" t="s">
        <v>23421</v>
      </c>
      <c r="G10849" s="496"/>
      <c r="H10849" s="994" t="s">
        <v>20221</v>
      </c>
      <c r="I10849" s="11" t="s">
        <v>14433</v>
      </c>
      <c r="J10849" s="1285"/>
      <c r="K10849" s="1285"/>
      <c r="L10849" s="1285"/>
    </row>
    <row r="10850" spans="1:12" ht="11.15" customHeight="1" thickBot="1">
      <c r="A10850" s="230" t="s">
        <v>14434</v>
      </c>
      <c r="B10850" s="90"/>
      <c r="C10850" s="147"/>
      <c r="D10850" s="161"/>
      <c r="E10850" s="36"/>
      <c r="F10850" s="183"/>
      <c r="G10850" s="185"/>
      <c r="H10850" s="34"/>
      <c r="I10850" s="11"/>
    </row>
    <row r="10851" spans="1:12" ht="11.15" customHeight="1">
      <c r="A10851" s="29" t="s">
        <v>14435</v>
      </c>
      <c r="B10851" s="710" t="s">
        <v>14436</v>
      </c>
      <c r="C10851" s="147"/>
      <c r="D10851" s="161"/>
      <c r="E10851" s="36"/>
      <c r="F10851" s="178"/>
      <c r="G10851" s="496"/>
      <c r="H10851" s="36"/>
      <c r="I10851" s="11"/>
    </row>
    <row r="10852" spans="1:12" ht="11.15" customHeight="1">
      <c r="A10852" s="29" t="s">
        <v>14437</v>
      </c>
      <c r="B10852" s="711" t="s">
        <v>14438</v>
      </c>
      <c r="C10852" s="147"/>
      <c r="D10852" s="161"/>
      <c r="E10852" s="36"/>
      <c r="F10852" s="178"/>
      <c r="G10852" s="496"/>
      <c r="H10852" s="36"/>
      <c r="I10852" s="11"/>
    </row>
    <row r="10853" spans="1:12" ht="11.15" customHeight="1">
      <c r="A10853" s="29" t="s">
        <v>14308</v>
      </c>
      <c r="B10853" s="711" t="s">
        <v>14439</v>
      </c>
      <c r="C10853" s="147"/>
      <c r="D10853" s="129"/>
      <c r="E10853" s="185"/>
      <c r="F10853" s="185"/>
      <c r="G10853" s="185"/>
      <c r="H10853" s="185"/>
      <c r="I10853" s="11"/>
    </row>
    <row r="10854" spans="1:12" ht="11.15" customHeight="1">
      <c r="A10854" s="181" t="s">
        <v>950</v>
      </c>
      <c r="B10854" s="711" t="s">
        <v>14440</v>
      </c>
      <c r="C10854" s="147"/>
      <c r="D10854" s="161"/>
      <c r="E10854" s="36"/>
      <c r="F10854" s="178"/>
      <c r="G10854" s="496"/>
      <c r="H10854" s="36"/>
      <c r="I10854" s="11"/>
    </row>
    <row r="10855" spans="1:12" ht="11.15" customHeight="1">
      <c r="A10855" s="166" t="s">
        <v>14300</v>
      </c>
      <c r="B10855" s="711" t="s">
        <v>14441</v>
      </c>
      <c r="C10855" s="147"/>
      <c r="D10855" s="122"/>
      <c r="E10855" s="36"/>
      <c r="F10855" s="183"/>
      <c r="G10855" s="60"/>
      <c r="H10855" s="34"/>
      <c r="I10855" s="11"/>
    </row>
    <row r="10856" spans="1:12" ht="11.15" customHeight="1">
      <c r="A10856" s="166" t="s">
        <v>14442</v>
      </c>
      <c r="B10856" s="711" t="s">
        <v>14443</v>
      </c>
      <c r="C10856" s="147"/>
      <c r="D10856" s="161"/>
      <c r="E10856" s="36"/>
      <c r="F10856" s="178"/>
      <c r="G10856" s="496"/>
      <c r="H10856" s="36"/>
      <c r="I10856" s="11"/>
    </row>
    <row r="10857" spans="1:12" ht="11.15" customHeight="1">
      <c r="A10857" s="201" t="s">
        <v>1022</v>
      </c>
      <c r="B10857" s="711" t="s">
        <v>14444</v>
      </c>
      <c r="C10857" s="147"/>
      <c r="D10857" s="122"/>
      <c r="E10857" s="36"/>
      <c r="F10857" s="178"/>
      <c r="G10857" s="453"/>
      <c r="H10857" s="36"/>
      <c r="I10857" s="11"/>
    </row>
    <row r="10858" spans="1:12" ht="11.15" customHeight="1" thickBot="1">
      <c r="A10858" s="129" t="s">
        <v>14301</v>
      </c>
      <c r="B10858" s="712" t="s">
        <v>14445</v>
      </c>
      <c r="C10858" s="147"/>
      <c r="D10858" s="122"/>
      <c r="E10858" s="36"/>
      <c r="F10858" s="178"/>
      <c r="G10858" s="453"/>
      <c r="H10858" s="36"/>
      <c r="I10858" s="11"/>
    </row>
    <row r="10859" spans="1:12" ht="11.15" customHeight="1" thickBot="1">
      <c r="A10859" s="29"/>
      <c r="B10859" s="90"/>
      <c r="C10859" s="147"/>
      <c r="D10859" s="122"/>
      <c r="E10859" s="36"/>
      <c r="F10859" s="178"/>
      <c r="G10859" s="453"/>
      <c r="H10859" s="36"/>
      <c r="I10859" s="11"/>
    </row>
    <row r="10860" spans="1:12" ht="24" customHeight="1" thickBot="1">
      <c r="A10860" s="705"/>
      <c r="B10860" s="64" t="s">
        <v>14446</v>
      </c>
      <c r="C10860" s="170"/>
      <c r="D10860" s="382"/>
      <c r="E10860" s="27"/>
      <c r="F10860" s="1058"/>
      <c r="G10860" s="1249"/>
      <c r="H10860" s="1132"/>
      <c r="I10860" s="11"/>
    </row>
    <row r="10861" spans="1:12" ht="11.15" customHeight="1" thickBot="1">
      <c r="A10861" s="184" t="s">
        <v>14447</v>
      </c>
      <c r="B10861" s="59" t="s">
        <v>22298</v>
      </c>
      <c r="C10861" s="147" t="s">
        <v>20221</v>
      </c>
      <c r="D10861" s="701" t="s">
        <v>884</v>
      </c>
      <c r="E10861" s="178" t="s">
        <v>22299</v>
      </c>
      <c r="F10861" s="178" t="s">
        <v>4520</v>
      </c>
      <c r="G10861" s="496"/>
      <c r="H10861" s="994" t="s">
        <v>20221</v>
      </c>
      <c r="I10861" s="11" t="s">
        <v>14448</v>
      </c>
      <c r="J10861" s="1285"/>
      <c r="K10861" s="1285"/>
      <c r="L10861" s="1285"/>
    </row>
    <row r="10862" spans="1:12" ht="11.15" customHeight="1">
      <c r="A10862" s="29" t="s">
        <v>14449</v>
      </c>
      <c r="B10862" s="59" t="s">
        <v>22300</v>
      </c>
      <c r="C10862" s="147" t="s">
        <v>20221</v>
      </c>
      <c r="D10862" s="701" t="s">
        <v>884</v>
      </c>
      <c r="E10862" s="178" t="s">
        <v>22299</v>
      </c>
      <c r="F10862" s="178" t="s">
        <v>4520</v>
      </c>
      <c r="G10862" s="496"/>
      <c r="H10862" s="994" t="s">
        <v>20221</v>
      </c>
      <c r="I10862" s="11" t="s">
        <v>14450</v>
      </c>
      <c r="J10862" s="1285"/>
      <c r="K10862" s="1285"/>
      <c r="L10862" s="1285"/>
    </row>
    <row r="10863" spans="1:12" ht="11.15" customHeight="1">
      <c r="A10863" s="29" t="s">
        <v>14451</v>
      </c>
      <c r="B10863" s="59" t="s">
        <v>22301</v>
      </c>
      <c r="C10863" s="147" t="s">
        <v>20221</v>
      </c>
      <c r="D10863" s="701" t="s">
        <v>884</v>
      </c>
      <c r="E10863" s="178" t="s">
        <v>22299</v>
      </c>
      <c r="F10863" s="178" t="s">
        <v>4520</v>
      </c>
      <c r="G10863" s="496"/>
      <c r="H10863" s="994" t="s">
        <v>20221</v>
      </c>
      <c r="I10863" s="11" t="s">
        <v>14452</v>
      </c>
      <c r="J10863" s="1285"/>
      <c r="K10863" s="1285"/>
      <c r="L10863" s="1285"/>
    </row>
    <row r="10864" spans="1:12" ht="11.15" customHeight="1">
      <c r="A10864" s="29" t="s">
        <v>14453</v>
      </c>
      <c r="B10864" s="59" t="s">
        <v>22301</v>
      </c>
      <c r="C10864" s="147" t="s">
        <v>20221</v>
      </c>
      <c r="D10864" s="701" t="s">
        <v>884</v>
      </c>
      <c r="E10864" s="178">
        <v>2015</v>
      </c>
      <c r="F10864" s="178" t="s">
        <v>4520</v>
      </c>
      <c r="G10864" s="496"/>
      <c r="H10864" s="994" t="s">
        <v>20224</v>
      </c>
      <c r="I10864" s="11" t="s">
        <v>14454</v>
      </c>
      <c r="J10864" s="1285"/>
      <c r="K10864" s="1285"/>
      <c r="L10864" s="1285"/>
    </row>
    <row r="10865" spans="1:12" ht="11.15" customHeight="1">
      <c r="A10865" s="181" t="s">
        <v>14455</v>
      </c>
      <c r="B10865" s="90"/>
      <c r="C10865" s="147"/>
      <c r="D10865" s="159"/>
      <c r="E10865" s="36"/>
      <c r="F10865" s="178"/>
      <c r="G10865" s="496"/>
      <c r="H10865" s="36"/>
      <c r="I10865" s="11"/>
    </row>
    <row r="10866" spans="1:12" ht="11.15" customHeight="1">
      <c r="A10866" s="181" t="s">
        <v>950</v>
      </c>
      <c r="B10866" s="90"/>
      <c r="C10866" s="147"/>
      <c r="D10866" s="159"/>
      <c r="E10866" s="36"/>
      <c r="F10866" s="178"/>
      <c r="G10866" s="496"/>
      <c r="H10866" s="36"/>
      <c r="I10866" s="11"/>
    </row>
    <row r="10867" spans="1:12" ht="11.15" customHeight="1">
      <c r="A10867" s="129" t="s">
        <v>903</v>
      </c>
      <c r="B10867" s="379"/>
      <c r="C10867" s="147"/>
      <c r="D10867" s="122"/>
      <c r="E10867" s="36"/>
      <c r="F10867" s="178"/>
      <c r="G10867" s="453"/>
      <c r="H10867" s="36"/>
      <c r="I10867" s="11"/>
    </row>
    <row r="10868" spans="1:12" ht="11.15" customHeight="1">
      <c r="A10868" s="162" t="s">
        <v>14456</v>
      </c>
      <c r="B10868" s="379"/>
      <c r="C10868" s="147"/>
      <c r="D10868" s="122"/>
      <c r="E10868" s="36"/>
      <c r="F10868" s="178"/>
      <c r="G10868" s="453"/>
      <c r="H10868" s="36"/>
      <c r="I10868" s="11"/>
    </row>
    <row r="10869" spans="1:12" ht="11.15" customHeight="1">
      <c r="A10869" s="162" t="s">
        <v>14457</v>
      </c>
      <c r="B10869" s="379"/>
      <c r="C10869" s="147"/>
      <c r="D10869" s="122"/>
      <c r="E10869" s="36"/>
      <c r="F10869" s="178"/>
      <c r="G10869" s="453"/>
      <c r="H10869" s="36"/>
      <c r="I10869" s="11"/>
    </row>
    <row r="10870" spans="1:12" ht="11.15" customHeight="1">
      <c r="A10870" s="162" t="s">
        <v>14458</v>
      </c>
      <c r="B10870" s="379"/>
      <c r="C10870" s="147"/>
      <c r="D10870" s="122"/>
      <c r="E10870" s="36"/>
      <c r="F10870" s="178"/>
      <c r="G10870" s="453"/>
      <c r="H10870" s="36"/>
      <c r="I10870" s="11"/>
    </row>
    <row r="10871" spans="1:12" ht="11.15" customHeight="1">
      <c r="A10871" s="162" t="s">
        <v>14459</v>
      </c>
      <c r="B10871" s="379"/>
      <c r="C10871" s="147"/>
      <c r="D10871" s="122"/>
      <c r="E10871" s="36"/>
      <c r="F10871" s="178"/>
      <c r="G10871" s="453"/>
      <c r="H10871" s="36"/>
      <c r="I10871" s="11"/>
    </row>
    <row r="10872" spans="1:12" ht="11.15" customHeight="1">
      <c r="A10872" s="162" t="s">
        <v>14460</v>
      </c>
      <c r="B10872" s="379"/>
      <c r="C10872" s="147"/>
      <c r="D10872" s="122"/>
      <c r="E10872" s="36"/>
      <c r="F10872" s="178"/>
      <c r="G10872" s="453"/>
      <c r="H10872" s="36"/>
      <c r="I10872" s="11"/>
    </row>
    <row r="10873" spans="1:12" ht="11.15" customHeight="1">
      <c r="A10873" s="162" t="s">
        <v>14461</v>
      </c>
      <c r="B10873" s="379"/>
      <c r="C10873" s="147"/>
      <c r="D10873" s="122"/>
      <c r="E10873" s="36"/>
      <c r="F10873" s="178"/>
      <c r="G10873" s="453"/>
      <c r="H10873" s="36"/>
      <c r="I10873" s="11"/>
    </row>
    <row r="10874" spans="1:12" ht="11.15" customHeight="1">
      <c r="A10874" s="212" t="s">
        <v>14462</v>
      </c>
      <c r="B10874" s="90"/>
      <c r="C10874" s="147"/>
      <c r="D10874" s="159"/>
      <c r="E10874" s="36"/>
      <c r="F10874" s="178"/>
      <c r="G10874" s="496"/>
      <c r="H10874" s="36"/>
      <c r="I10874" s="11"/>
    </row>
    <row r="10875" spans="1:12" ht="11.15" customHeight="1">
      <c r="A10875" s="129" t="s">
        <v>14463</v>
      </c>
      <c r="B10875" s="226"/>
      <c r="C10875" s="147"/>
      <c r="D10875" s="122"/>
      <c r="E10875" s="36"/>
      <c r="F10875" s="178"/>
      <c r="G10875" s="453"/>
      <c r="H10875" s="36"/>
      <c r="I10875" s="11"/>
    </row>
    <row r="10876" spans="1:12" ht="11.15" customHeight="1" thickBot="1">
      <c r="A10876" s="129"/>
      <c r="B10876" s="226"/>
      <c r="C10876" s="147"/>
      <c r="D10876" s="122"/>
      <c r="E10876" s="36"/>
      <c r="F10876" s="178"/>
      <c r="G10876" s="453"/>
      <c r="H10876" s="36"/>
      <c r="I10876" s="11"/>
    </row>
    <row r="10877" spans="1:12" ht="11.15" customHeight="1" thickBot="1">
      <c r="A10877" s="184" t="s">
        <v>14464</v>
      </c>
      <c r="B10877" s="59" t="s">
        <v>22302</v>
      </c>
      <c r="C10877" s="147" t="s">
        <v>20221</v>
      </c>
      <c r="D10877" s="701" t="s">
        <v>1129</v>
      </c>
      <c r="E10877" s="178">
        <v>2016</v>
      </c>
      <c r="F10877" s="178" t="s">
        <v>4520</v>
      </c>
      <c r="G10877" s="496"/>
      <c r="H10877" s="994" t="s">
        <v>20221</v>
      </c>
      <c r="I10877" s="11" t="s">
        <v>14465</v>
      </c>
      <c r="J10877" s="1285"/>
      <c r="K10877" s="1285"/>
      <c r="L10877" s="1285"/>
    </row>
    <row r="10878" spans="1:12" ht="11.15" customHeight="1">
      <c r="A10878" s="29" t="s">
        <v>14466</v>
      </c>
      <c r="B10878" s="226"/>
      <c r="C10878" s="147"/>
      <c r="D10878" s="122"/>
      <c r="E10878" s="36"/>
      <c r="F10878" s="178"/>
      <c r="G10878" s="453"/>
      <c r="H10878" s="36"/>
      <c r="I10878" s="11"/>
    </row>
    <row r="10879" spans="1:12" ht="11.15" customHeight="1">
      <c r="A10879" s="29" t="s">
        <v>14467</v>
      </c>
      <c r="B10879" s="226"/>
      <c r="C10879" s="147"/>
      <c r="D10879" s="122"/>
      <c r="E10879" s="36"/>
      <c r="F10879" s="178"/>
      <c r="G10879" s="453"/>
      <c r="H10879" s="36"/>
      <c r="I10879" s="11"/>
    </row>
    <row r="10880" spans="1:12" ht="11.15" customHeight="1">
      <c r="A10880" s="29" t="s">
        <v>14468</v>
      </c>
      <c r="B10880" s="226"/>
      <c r="C10880" s="147"/>
      <c r="D10880" s="122"/>
      <c r="E10880" s="36"/>
      <c r="F10880" s="178"/>
      <c r="G10880" s="453"/>
      <c r="H10880" s="36"/>
      <c r="I10880" s="11"/>
    </row>
    <row r="10881" spans="1:12" ht="11.15" customHeight="1">
      <c r="A10881" s="29" t="s">
        <v>14469</v>
      </c>
      <c r="B10881" s="226"/>
      <c r="C10881" s="147"/>
      <c r="D10881" s="122"/>
      <c r="E10881" s="36"/>
      <c r="F10881" s="178"/>
      <c r="G10881" s="453"/>
      <c r="H10881" s="36"/>
      <c r="I10881" s="11"/>
    </row>
    <row r="10882" spans="1:12" ht="11.15" customHeight="1">
      <c r="A10882" s="29" t="s">
        <v>14470</v>
      </c>
      <c r="B10882" s="226"/>
      <c r="C10882" s="147"/>
      <c r="D10882" s="122"/>
      <c r="E10882" s="36"/>
      <c r="F10882" s="178"/>
      <c r="G10882" s="453"/>
      <c r="H10882" s="36"/>
      <c r="I10882" s="11"/>
    </row>
    <row r="10883" spans="1:12" ht="11.15" customHeight="1">
      <c r="A10883" s="29" t="s">
        <v>14471</v>
      </c>
      <c r="B10883" s="226"/>
      <c r="C10883" s="147"/>
      <c r="D10883" s="122"/>
      <c r="E10883" s="36"/>
      <c r="F10883" s="178"/>
      <c r="G10883" s="453"/>
      <c r="H10883" s="36"/>
      <c r="I10883" s="11"/>
    </row>
    <row r="10884" spans="1:12" ht="11.15" customHeight="1">
      <c r="A10884" s="484" t="s">
        <v>14472</v>
      </c>
      <c r="B10884" s="226"/>
      <c r="C10884" s="147"/>
      <c r="D10884" s="122"/>
      <c r="E10884" s="36"/>
      <c r="F10884" s="178"/>
      <c r="G10884" s="453"/>
      <c r="H10884" s="36"/>
      <c r="I10884" s="11"/>
    </row>
    <row r="10885" spans="1:12" ht="11.15" customHeight="1">
      <c r="A10885" s="771" t="s">
        <v>14473</v>
      </c>
      <c r="B10885" s="226"/>
      <c r="C10885" s="147"/>
      <c r="D10885" s="122"/>
      <c r="E10885" s="36"/>
      <c r="F10885" s="178"/>
      <c r="G10885" s="453"/>
      <c r="H10885" s="36"/>
      <c r="I10885" s="11"/>
    </row>
    <row r="10886" spans="1:12" ht="11.15" customHeight="1">
      <c r="A10886" s="771" t="s">
        <v>14474</v>
      </c>
      <c r="B10886" s="226"/>
      <c r="C10886" s="147"/>
      <c r="D10886" s="122"/>
      <c r="E10886" s="36"/>
      <c r="F10886" s="178"/>
      <c r="G10886" s="453"/>
      <c r="H10886" s="36"/>
      <c r="I10886" s="11"/>
    </row>
    <row r="10887" spans="1:12" ht="11.15" customHeight="1">
      <c r="A10887" s="129" t="s">
        <v>14475</v>
      </c>
      <c r="B10887" s="226"/>
      <c r="C10887" s="147"/>
      <c r="D10887" s="122"/>
      <c r="E10887" s="36"/>
      <c r="F10887" s="178"/>
      <c r="G10887" s="453"/>
      <c r="H10887" s="36"/>
      <c r="I10887" s="11"/>
    </row>
    <row r="10888" spans="1:12" ht="11.15" customHeight="1" thickBot="1">
      <c r="A10888" s="185"/>
      <c r="B10888" s="1348" t="s">
        <v>14476</v>
      </c>
      <c r="C10888" s="147"/>
      <c r="D10888" s="185"/>
      <c r="E10888" s="185"/>
      <c r="F10888" s="185"/>
      <c r="G10888" s="185"/>
      <c r="H10888" s="185"/>
      <c r="I10888" s="11"/>
    </row>
    <row r="10889" spans="1:12" ht="11.15" customHeight="1" thickBot="1">
      <c r="A10889" s="184" t="s">
        <v>14477</v>
      </c>
      <c r="B10889" s="154" t="s">
        <v>14478</v>
      </c>
      <c r="C10889" s="147"/>
      <c r="D10889" s="122"/>
      <c r="E10889" s="185"/>
      <c r="F10889" s="185"/>
      <c r="G10889" s="185"/>
      <c r="H10889" s="185"/>
      <c r="I10889" s="11"/>
    </row>
    <row r="10890" spans="1:12" ht="11.15" customHeight="1">
      <c r="A10890" s="29" t="s">
        <v>14479</v>
      </c>
      <c r="B10890" s="59" t="s">
        <v>22303</v>
      </c>
      <c r="C10890" s="147" t="s">
        <v>23393</v>
      </c>
      <c r="D10890" s="701" t="s">
        <v>1129</v>
      </c>
      <c r="E10890" s="178">
        <v>2019</v>
      </c>
      <c r="F10890" s="178" t="s">
        <v>4520</v>
      </c>
      <c r="G10890" s="496"/>
      <c r="H10890" s="994" t="s">
        <v>20221</v>
      </c>
      <c r="I10890" s="11" t="s">
        <v>14480</v>
      </c>
      <c r="J10890" s="1285"/>
      <c r="K10890" s="1285"/>
      <c r="L10890" s="1285"/>
    </row>
    <row r="10891" spans="1:12" ht="11.15" customHeight="1">
      <c r="A10891" s="29" t="s">
        <v>14481</v>
      </c>
      <c r="B10891" s="59" t="s">
        <v>22303</v>
      </c>
      <c r="C10891" s="147" t="s">
        <v>23393</v>
      </c>
      <c r="D10891" s="701" t="s">
        <v>1129</v>
      </c>
      <c r="E10891" s="178">
        <v>2016</v>
      </c>
      <c r="F10891" s="178" t="s">
        <v>23395</v>
      </c>
      <c r="G10891" s="496"/>
      <c r="H10891" s="994" t="s">
        <v>20277</v>
      </c>
      <c r="I10891" s="11" t="s">
        <v>14482</v>
      </c>
      <c r="J10891" s="1285"/>
      <c r="K10891" s="1285"/>
      <c r="L10891" s="1285"/>
    </row>
    <row r="10892" spans="1:12" ht="11.15" customHeight="1">
      <c r="A10892" s="29" t="s">
        <v>14483</v>
      </c>
      <c r="B10892" s="154" t="s">
        <v>14484</v>
      </c>
      <c r="C10892" s="147"/>
      <c r="D10892" s="185"/>
      <c r="E10892" s="185"/>
      <c r="F10892" s="185"/>
      <c r="G10892" s="185"/>
      <c r="H10892" s="185"/>
      <c r="I10892" s="11"/>
    </row>
    <row r="10893" spans="1:12" ht="11.15" customHeight="1">
      <c r="A10893" s="29" t="s">
        <v>14485</v>
      </c>
      <c r="B10893" s="59" t="s">
        <v>22305</v>
      </c>
      <c r="C10893" s="147" t="s">
        <v>23393</v>
      </c>
      <c r="D10893" s="1035" t="s">
        <v>1370</v>
      </c>
      <c r="E10893" s="178">
        <v>2019</v>
      </c>
      <c r="F10893" s="178" t="s">
        <v>4520</v>
      </c>
      <c r="G10893" s="496"/>
      <c r="H10893" s="994" t="s">
        <v>20221</v>
      </c>
      <c r="I10893" s="11" t="s">
        <v>14486</v>
      </c>
      <c r="J10893" s="1285"/>
      <c r="K10893" s="1285"/>
      <c r="L10893" s="1285"/>
    </row>
    <row r="10894" spans="1:12" ht="11.15" customHeight="1">
      <c r="A10894" s="195" t="s">
        <v>14487</v>
      </c>
      <c r="B10894" s="154" t="s">
        <v>14488</v>
      </c>
      <c r="C10894" s="147"/>
      <c r="D10894" s="159"/>
      <c r="E10894" s="36"/>
      <c r="F10894" s="178"/>
      <c r="G10894" s="496"/>
      <c r="H10894" s="36"/>
    </row>
    <row r="10895" spans="1:12" ht="11.15" customHeight="1">
      <c r="A10895" s="181" t="s">
        <v>950</v>
      </c>
      <c r="B10895" s="59" t="s">
        <v>22306</v>
      </c>
      <c r="C10895" s="147" t="s">
        <v>23393</v>
      </c>
      <c r="D10895" s="284" t="s">
        <v>897</v>
      </c>
      <c r="E10895" s="178">
        <v>2016</v>
      </c>
      <c r="F10895" s="178" t="s">
        <v>23395</v>
      </c>
      <c r="G10895" s="496"/>
      <c r="H10895" s="994" t="s">
        <v>20221</v>
      </c>
      <c r="I10895" s="11" t="s">
        <v>14489</v>
      </c>
      <c r="J10895" s="1285"/>
      <c r="K10895" s="1285"/>
      <c r="L10895" s="1285"/>
    </row>
    <row r="10896" spans="1:12" ht="11.15" customHeight="1">
      <c r="A10896" s="181" t="s">
        <v>14490</v>
      </c>
      <c r="B10896" s="59"/>
      <c r="C10896" s="147"/>
      <c r="D10896" s="284"/>
      <c r="E10896" s="178"/>
      <c r="F10896" s="178"/>
      <c r="G10896" s="496"/>
      <c r="H10896" s="994"/>
      <c r="I10896" s="11"/>
      <c r="J10896" s="1285"/>
      <c r="K10896" s="1285"/>
      <c r="L10896" s="1285"/>
    </row>
    <row r="10897" spans="1:12" ht="11.15" customHeight="1">
      <c r="A10897" s="129" t="s">
        <v>14491</v>
      </c>
      <c r="B10897" s="59"/>
      <c r="C10897" s="147"/>
      <c r="D10897" s="284"/>
      <c r="E10897" s="178"/>
      <c r="F10897" s="178"/>
      <c r="G10897" s="496"/>
      <c r="H10897" s="994"/>
      <c r="I10897" s="11"/>
      <c r="J10897" s="1285"/>
      <c r="K10897" s="1285"/>
      <c r="L10897" s="1285"/>
    </row>
    <row r="10898" spans="1:12" ht="11.15" customHeight="1">
      <c r="A10898" s="162" t="s">
        <v>14492</v>
      </c>
      <c r="B10898" s="59"/>
      <c r="C10898" s="147"/>
      <c r="D10898" s="284"/>
      <c r="E10898" s="178"/>
      <c r="F10898" s="178"/>
      <c r="G10898" s="496"/>
      <c r="H10898" s="994"/>
      <c r="I10898" s="11"/>
      <c r="J10898" s="1285"/>
      <c r="K10898" s="1285"/>
      <c r="L10898" s="1285"/>
    </row>
    <row r="10899" spans="1:12" ht="11.15" customHeight="1">
      <c r="A10899" s="162" t="s">
        <v>14493</v>
      </c>
      <c r="B10899" s="59"/>
      <c r="C10899" s="147"/>
      <c r="D10899" s="284"/>
      <c r="E10899" s="178"/>
      <c r="F10899" s="178"/>
      <c r="G10899" s="496"/>
      <c r="H10899" s="994"/>
      <c r="I10899" s="11"/>
      <c r="J10899" s="1285"/>
      <c r="K10899" s="1285"/>
      <c r="L10899" s="1285"/>
    </row>
    <row r="10900" spans="1:12" ht="11.15" customHeight="1">
      <c r="A10900" s="162" t="s">
        <v>14494</v>
      </c>
      <c r="B10900" s="59"/>
      <c r="C10900" s="147"/>
      <c r="D10900" s="284"/>
      <c r="E10900" s="178"/>
      <c r="F10900" s="178"/>
      <c r="G10900" s="496"/>
      <c r="H10900" s="994"/>
      <c r="I10900" s="11"/>
      <c r="J10900" s="1285"/>
      <c r="K10900" s="1285"/>
      <c r="L10900" s="1285"/>
    </row>
    <row r="10901" spans="1:12" ht="11.15" customHeight="1">
      <c r="A10901" s="162" t="s">
        <v>14495</v>
      </c>
      <c r="B10901" s="59"/>
      <c r="C10901" s="147"/>
      <c r="D10901" s="284"/>
      <c r="E10901" s="178"/>
      <c r="F10901" s="178"/>
      <c r="G10901" s="496"/>
      <c r="H10901" s="994"/>
      <c r="I10901" s="11"/>
      <c r="J10901" s="1285"/>
      <c r="K10901" s="1285"/>
      <c r="L10901" s="1285"/>
    </row>
    <row r="10902" spans="1:12" ht="11.15" customHeight="1">
      <c r="A10902" s="162" t="s">
        <v>14493</v>
      </c>
      <c r="B10902" s="59"/>
      <c r="C10902" s="147"/>
      <c r="D10902" s="284"/>
      <c r="E10902" s="178"/>
      <c r="F10902" s="178"/>
      <c r="G10902" s="496"/>
      <c r="H10902" s="994"/>
      <c r="I10902" s="11"/>
      <c r="J10902" s="1285"/>
      <c r="K10902" s="1285"/>
      <c r="L10902" s="1285"/>
    </row>
    <row r="10903" spans="1:12" ht="11.15" customHeight="1">
      <c r="A10903" s="162" t="s">
        <v>14496</v>
      </c>
      <c r="B10903" s="59"/>
      <c r="C10903" s="147"/>
      <c r="D10903" s="284"/>
      <c r="E10903" s="178"/>
      <c r="F10903" s="178"/>
      <c r="G10903" s="496"/>
      <c r="H10903" s="994"/>
      <c r="I10903" s="11"/>
      <c r="J10903" s="1285"/>
      <c r="K10903" s="1285"/>
      <c r="L10903" s="1285"/>
    </row>
    <row r="10904" spans="1:12" ht="11.15" customHeight="1">
      <c r="A10904" s="162" t="s">
        <v>14497</v>
      </c>
      <c r="B10904" s="59"/>
      <c r="C10904" s="147"/>
      <c r="D10904" s="284"/>
      <c r="E10904" s="178"/>
      <c r="F10904" s="178"/>
      <c r="G10904" s="496"/>
      <c r="H10904" s="994"/>
      <c r="I10904" s="11"/>
      <c r="J10904" s="1285"/>
      <c r="K10904" s="1285"/>
      <c r="L10904" s="1285"/>
    </row>
    <row r="10905" spans="1:12" ht="11.15" customHeight="1">
      <c r="A10905" s="162" t="s">
        <v>14498</v>
      </c>
      <c r="B10905" s="59"/>
      <c r="C10905" s="147"/>
      <c r="D10905" s="284"/>
      <c r="E10905" s="178"/>
      <c r="F10905" s="178"/>
      <c r="G10905" s="496"/>
      <c r="H10905" s="994"/>
      <c r="I10905" s="11"/>
      <c r="J10905" s="1285"/>
      <c r="K10905" s="1285"/>
      <c r="L10905" s="1285"/>
    </row>
    <row r="10906" spans="1:12" ht="11.15" customHeight="1">
      <c r="A10906" s="162" t="s">
        <v>14499</v>
      </c>
      <c r="B10906" s="59"/>
      <c r="C10906" s="147"/>
      <c r="D10906" s="284"/>
      <c r="E10906" s="178"/>
      <c r="F10906" s="178"/>
      <c r="G10906" s="496"/>
      <c r="H10906" s="994"/>
      <c r="I10906" s="11"/>
      <c r="J10906" s="1285"/>
      <c r="K10906" s="1285"/>
      <c r="L10906" s="1285"/>
    </row>
    <row r="10907" spans="1:12" ht="11.15" customHeight="1">
      <c r="A10907" s="169" t="s">
        <v>14500</v>
      </c>
      <c r="B10907" s="59"/>
      <c r="C10907" s="147"/>
      <c r="D10907" s="284"/>
      <c r="E10907" s="178"/>
      <c r="F10907" s="178"/>
      <c r="G10907" s="496"/>
      <c r="H10907" s="994"/>
      <c r="I10907" s="11"/>
      <c r="J10907" s="1285"/>
      <c r="K10907" s="1285"/>
      <c r="L10907" s="1285"/>
    </row>
    <row r="10908" spans="1:12" ht="11.15" customHeight="1">
      <c r="A10908" s="129" t="s">
        <v>14501</v>
      </c>
      <c r="B10908" s="59"/>
      <c r="C10908" s="147"/>
      <c r="D10908" s="284"/>
      <c r="E10908" s="178"/>
      <c r="F10908" s="178"/>
      <c r="G10908" s="496"/>
      <c r="H10908" s="994"/>
      <c r="I10908" s="11"/>
      <c r="J10908" s="1285"/>
      <c r="K10908" s="1285"/>
      <c r="L10908" s="1285"/>
    </row>
    <row r="10909" spans="1:12" ht="11.15" customHeight="1" thickBot="1">
      <c r="A10909" s="185"/>
      <c r="B10909" s="59" t="s">
        <v>20221</v>
      </c>
      <c r="C10909" s="147"/>
      <c r="D10909" s="161"/>
      <c r="E10909" s="36"/>
      <c r="F10909" s="178"/>
      <c r="G10909" s="496"/>
      <c r="H10909" s="36"/>
      <c r="I10909" s="11"/>
    </row>
    <row r="10910" spans="1:12" ht="11.15" customHeight="1" thickBot="1">
      <c r="A10910" s="184" t="s">
        <v>14502</v>
      </c>
      <c r="B10910" s="59" t="s">
        <v>22307</v>
      </c>
      <c r="C10910" s="147" t="s">
        <v>20221</v>
      </c>
      <c r="D10910" s="284" t="s">
        <v>897</v>
      </c>
      <c r="E10910" s="178">
        <v>2021</v>
      </c>
      <c r="F10910" s="178" t="s">
        <v>23395</v>
      </c>
      <c r="G10910" s="496"/>
      <c r="H10910" s="994" t="s">
        <v>20221</v>
      </c>
      <c r="I10910" s="11" t="s">
        <v>14503</v>
      </c>
      <c r="J10910" s="1285"/>
      <c r="K10910" s="1285"/>
      <c r="L10910" s="1285"/>
    </row>
    <row r="10911" spans="1:12" ht="11.15" customHeight="1">
      <c r="A10911" s="29" t="s">
        <v>14504</v>
      </c>
      <c r="B10911" s="59" t="s">
        <v>22308</v>
      </c>
      <c r="C10911" s="147" t="s">
        <v>20221</v>
      </c>
      <c r="D10911" s="284" t="s">
        <v>897</v>
      </c>
      <c r="E10911" s="178">
        <v>2019</v>
      </c>
      <c r="F10911" s="178" t="s">
        <v>4520</v>
      </c>
      <c r="G10911" s="496"/>
      <c r="H10911" s="994" t="s">
        <v>20221</v>
      </c>
      <c r="I10911" s="11" t="s">
        <v>14505</v>
      </c>
      <c r="J10911" s="1285"/>
      <c r="K10911" s="1285"/>
      <c r="L10911" s="1285"/>
    </row>
    <row r="10912" spans="1:12" ht="11.15" customHeight="1">
      <c r="A10912" s="29" t="s">
        <v>14506</v>
      </c>
      <c r="B10912" s="59" t="s">
        <v>22308</v>
      </c>
      <c r="C10912" s="147" t="s">
        <v>20221</v>
      </c>
      <c r="D10912" s="284" t="s">
        <v>897</v>
      </c>
      <c r="E10912" s="178">
        <v>2013</v>
      </c>
      <c r="F10912" s="178" t="s">
        <v>4520</v>
      </c>
      <c r="G10912" s="496"/>
      <c r="H10912" s="994" t="s">
        <v>20221</v>
      </c>
      <c r="I10912" s="11" t="s">
        <v>14507</v>
      </c>
      <c r="J10912" s="1285"/>
      <c r="K10912" s="1285"/>
      <c r="L10912" s="1285"/>
    </row>
    <row r="10913" spans="1:12" ht="11.15" customHeight="1">
      <c r="A10913" s="29" t="s">
        <v>14508</v>
      </c>
      <c r="B10913" s="185"/>
      <c r="C10913" s="147"/>
      <c r="D10913" s="185"/>
      <c r="E10913" s="185"/>
      <c r="F10913" s="185"/>
      <c r="G10913" s="185"/>
      <c r="H10913" s="185"/>
      <c r="I10913" s="11"/>
    </row>
    <row r="10914" spans="1:12" ht="11.15" customHeight="1">
      <c r="A10914" s="181" t="s">
        <v>1253</v>
      </c>
      <c r="B10914" s="185"/>
      <c r="C10914" s="147"/>
      <c r="D10914" s="185"/>
      <c r="E10914" s="185"/>
      <c r="F10914" s="185"/>
      <c r="G10914" s="185"/>
      <c r="H10914" s="185"/>
      <c r="I10914" s="11"/>
    </row>
    <row r="10915" spans="1:12" ht="11.15" customHeight="1">
      <c r="A10915" s="212" t="s">
        <v>14509</v>
      </c>
      <c r="B10915" s="185"/>
      <c r="C10915" s="147"/>
      <c r="D10915" s="129"/>
      <c r="E10915" s="185"/>
      <c r="F10915" s="185"/>
      <c r="G10915" s="185"/>
      <c r="H10915" s="185"/>
      <c r="I10915" s="11"/>
    </row>
    <row r="10916" spans="1:12" ht="11.15" customHeight="1">
      <c r="A10916" s="129" t="s">
        <v>14510</v>
      </c>
      <c r="B10916" s="90"/>
      <c r="C10916" s="147"/>
      <c r="D10916" s="159"/>
      <c r="E10916" s="36"/>
      <c r="F10916" s="178"/>
      <c r="G10916" s="496"/>
      <c r="H10916" s="36"/>
      <c r="I10916" s="11"/>
    </row>
    <row r="10917" spans="1:12" ht="11.15" customHeight="1" thickBot="1">
      <c r="A10917" s="217"/>
      <c r="B10917" s="226"/>
      <c r="C10917" s="147"/>
      <c r="D10917" s="122"/>
      <c r="E10917" s="36"/>
      <c r="F10917" s="178"/>
      <c r="G10917" s="60"/>
      <c r="H10917" s="36"/>
      <c r="I10917" s="11"/>
    </row>
    <row r="10918" spans="1:12" ht="11.15" customHeight="1" thickBot="1">
      <c r="A10918" s="184" t="s">
        <v>14511</v>
      </c>
      <c r="B10918" s="154" t="s">
        <v>14512</v>
      </c>
      <c r="C10918" s="147"/>
      <c r="D10918" s="185"/>
      <c r="E10918" s="185"/>
      <c r="F10918" s="185"/>
      <c r="G10918" s="185"/>
      <c r="H10918" s="185"/>
      <c r="I10918" s="11"/>
    </row>
    <row r="10919" spans="1:12" ht="11.15" customHeight="1">
      <c r="A10919" s="29" t="s">
        <v>14513</v>
      </c>
      <c r="B10919" s="59" t="s">
        <v>22309</v>
      </c>
      <c r="C10919" s="147" t="s">
        <v>20221</v>
      </c>
      <c r="D10919" s="701" t="s">
        <v>1129</v>
      </c>
      <c r="E10919" s="178">
        <v>2024</v>
      </c>
      <c r="F10919" s="178" t="s">
        <v>4520</v>
      </c>
      <c r="G10919" s="496"/>
      <c r="H10919" s="994" t="s">
        <v>20221</v>
      </c>
      <c r="I10919" s="11" t="s">
        <v>14514</v>
      </c>
      <c r="J10919" s="1285"/>
      <c r="K10919" s="1285"/>
      <c r="L10919" s="1285"/>
    </row>
    <row r="10920" spans="1:12" ht="11.15" customHeight="1">
      <c r="A10920" s="29" t="s">
        <v>14515</v>
      </c>
      <c r="B10920" s="59" t="s">
        <v>22309</v>
      </c>
      <c r="C10920" s="147" t="s">
        <v>20221</v>
      </c>
      <c r="D10920" s="701" t="s">
        <v>1129</v>
      </c>
      <c r="E10920" s="178">
        <v>2020</v>
      </c>
      <c r="F10920" s="178" t="s">
        <v>4520</v>
      </c>
      <c r="G10920" s="496"/>
      <c r="H10920" s="994" t="s">
        <v>20277</v>
      </c>
      <c r="I10920" s="11" t="s">
        <v>14516</v>
      </c>
      <c r="J10920" s="1285"/>
      <c r="K10920" s="1285"/>
      <c r="L10920" s="1285"/>
    </row>
    <row r="10921" spans="1:12" ht="11.15" customHeight="1">
      <c r="A10921" s="29" t="s">
        <v>14517</v>
      </c>
      <c r="B10921" s="59" t="s">
        <v>22310</v>
      </c>
      <c r="C10921" s="147" t="s">
        <v>20221</v>
      </c>
      <c r="D10921" s="1034" t="s">
        <v>2573</v>
      </c>
      <c r="E10921" s="178">
        <v>2024</v>
      </c>
      <c r="F10921" s="178" t="s">
        <v>4520</v>
      </c>
      <c r="G10921" s="496"/>
      <c r="H10921" s="994" t="s">
        <v>20221</v>
      </c>
      <c r="I10921" s="11" t="s">
        <v>14518</v>
      </c>
      <c r="J10921" s="1285"/>
      <c r="K10921" s="1285"/>
      <c r="L10921" s="1285"/>
    </row>
    <row r="10922" spans="1:12" ht="11.15" customHeight="1">
      <c r="A10922" s="129" t="s">
        <v>14519</v>
      </c>
      <c r="B10922" s="59" t="s">
        <v>22311</v>
      </c>
      <c r="C10922" s="147" t="s">
        <v>20221</v>
      </c>
      <c r="D10922" s="284" t="s">
        <v>897</v>
      </c>
      <c r="E10922" s="178">
        <v>2020</v>
      </c>
      <c r="F10922" s="178" t="s">
        <v>4520</v>
      </c>
      <c r="G10922" s="496"/>
      <c r="H10922" s="994" t="s">
        <v>20221</v>
      </c>
      <c r="I10922" s="11" t="s">
        <v>14520</v>
      </c>
      <c r="J10922" s="1285"/>
      <c r="K10922" s="1285"/>
      <c r="L10922" s="1285"/>
    </row>
    <row r="10923" spans="1:12" ht="11.15" customHeight="1">
      <c r="A10923" s="212" t="s">
        <v>14521</v>
      </c>
      <c r="B10923" s="185"/>
      <c r="C10923" s="147"/>
      <c r="D10923" s="185"/>
      <c r="E10923" s="185"/>
      <c r="F10923" s="185"/>
      <c r="G10923" s="185"/>
      <c r="H10923" s="185"/>
      <c r="I10923" s="11"/>
    </row>
    <row r="10924" spans="1:12" ht="11.15" customHeight="1">
      <c r="A10924" s="129" t="s">
        <v>14522</v>
      </c>
      <c r="B10924" s="154"/>
      <c r="C10924" s="147"/>
      <c r="D10924" s="185"/>
      <c r="E10924" s="185"/>
      <c r="F10924" s="185"/>
      <c r="G10924" s="185"/>
      <c r="H10924" s="185"/>
      <c r="I10924" s="11"/>
    </row>
    <row r="10925" spans="1:12" ht="11.15" customHeight="1" thickBot="1">
      <c r="A10925" s="185"/>
      <c r="B10925" s="90"/>
      <c r="C10925" s="147"/>
      <c r="D10925" s="161"/>
      <c r="E10925" s="36"/>
      <c r="F10925" s="178"/>
      <c r="G10925" s="496"/>
      <c r="H10925" s="36"/>
      <c r="I10925" s="11"/>
    </row>
    <row r="10926" spans="1:12" ht="11.15" customHeight="1" thickBot="1">
      <c r="A10926" s="184" t="s">
        <v>14523</v>
      </c>
      <c r="B10926" s="59" t="s">
        <v>22313</v>
      </c>
      <c r="C10926" s="147" t="s">
        <v>20221</v>
      </c>
      <c r="D10926" s="284" t="s">
        <v>897</v>
      </c>
      <c r="E10926" s="178">
        <v>2019</v>
      </c>
      <c r="F10926" s="178" t="s">
        <v>23395</v>
      </c>
      <c r="G10926" s="496"/>
      <c r="H10926" s="994" t="s">
        <v>20221</v>
      </c>
      <c r="I10926" s="11" t="s">
        <v>14524</v>
      </c>
      <c r="J10926" s="1285"/>
      <c r="K10926" s="1285"/>
      <c r="L10926" s="1285"/>
    </row>
    <row r="10927" spans="1:12" ht="11.15" customHeight="1">
      <c r="A10927" s="29" t="s">
        <v>14525</v>
      </c>
      <c r="B10927" s="90"/>
      <c r="C10927" s="147"/>
      <c r="D10927" s="161"/>
      <c r="E10927" s="36"/>
      <c r="F10927" s="178"/>
      <c r="G10927" s="496"/>
      <c r="H10927" s="36"/>
      <c r="I10927" s="11"/>
    </row>
    <row r="10928" spans="1:12" ht="11.15" customHeight="1">
      <c r="A10928" s="29" t="s">
        <v>14526</v>
      </c>
      <c r="B10928" s="185"/>
      <c r="C10928" s="147"/>
      <c r="D10928" s="122"/>
      <c r="E10928" s="36"/>
      <c r="F10928" s="178"/>
      <c r="G10928" s="60"/>
      <c r="H10928" s="36"/>
      <c r="I10928" s="11"/>
    </row>
    <row r="10929" spans="1:12" ht="11.15" customHeight="1">
      <c r="A10929" s="181" t="s">
        <v>14527</v>
      </c>
      <c r="B10929" s="90"/>
      <c r="C10929" s="147"/>
      <c r="D10929" s="122"/>
      <c r="E10929" s="36"/>
      <c r="F10929" s="178"/>
      <c r="G10929" s="60"/>
      <c r="H10929" s="36"/>
      <c r="I10929" s="11"/>
    </row>
    <row r="10930" spans="1:12" ht="11.15" customHeight="1">
      <c r="A10930" s="212" t="s">
        <v>14528</v>
      </c>
      <c r="B10930" s="90"/>
      <c r="C10930" s="147"/>
      <c r="D10930" s="122"/>
      <c r="E10930" s="36"/>
      <c r="F10930" s="178"/>
      <c r="G10930" s="60"/>
      <c r="H10930" s="36"/>
      <c r="I10930" s="11"/>
    </row>
    <row r="10931" spans="1:12" ht="11.15" customHeight="1">
      <c r="A10931" s="129" t="s">
        <v>14529</v>
      </c>
      <c r="B10931" s="90"/>
      <c r="C10931" s="147"/>
      <c r="D10931" s="159"/>
      <c r="E10931" s="36"/>
      <c r="F10931" s="178"/>
      <c r="G10931" s="496"/>
      <c r="H10931" s="36"/>
      <c r="I10931" s="11"/>
    </row>
    <row r="10932" spans="1:12" ht="11.15" customHeight="1" thickBot="1">
      <c r="A10932" s="185"/>
      <c r="B10932" s="226"/>
      <c r="C10932" s="147"/>
      <c r="D10932" s="122"/>
      <c r="E10932" s="36"/>
      <c r="F10932" s="178"/>
      <c r="G10932" s="60"/>
      <c r="H10932" s="36"/>
      <c r="I10932" s="11"/>
    </row>
    <row r="10933" spans="1:12" ht="11.15" customHeight="1" thickBot="1">
      <c r="A10933" s="184" t="s">
        <v>14530</v>
      </c>
      <c r="B10933" s="59" t="s">
        <v>22314</v>
      </c>
      <c r="C10933" s="147" t="s">
        <v>20221</v>
      </c>
      <c r="D10933" s="284" t="s">
        <v>897</v>
      </c>
      <c r="E10933" s="178">
        <v>2006</v>
      </c>
      <c r="F10933" s="178" t="s">
        <v>4520</v>
      </c>
      <c r="G10933" s="496"/>
      <c r="H10933" s="994" t="s">
        <v>20221</v>
      </c>
      <c r="I10933" s="11" t="s">
        <v>14531</v>
      </c>
      <c r="J10933" s="1285"/>
      <c r="K10933" s="1285"/>
      <c r="L10933" s="1285"/>
    </row>
    <row r="10934" spans="1:12" ht="11.15" customHeight="1">
      <c r="A10934" s="29" t="s">
        <v>14532</v>
      </c>
      <c r="B10934" s="185"/>
      <c r="C10934" s="147"/>
      <c r="D10934" s="129"/>
      <c r="E10934" s="185"/>
      <c r="F10934" s="185"/>
      <c r="G10934" s="185"/>
      <c r="H10934" s="185"/>
      <c r="I10934" s="11"/>
    </row>
    <row r="10935" spans="1:12" ht="11.15" customHeight="1">
      <c r="A10935" s="166" t="s">
        <v>14533</v>
      </c>
      <c r="B10935" s="185"/>
      <c r="C10935" s="147"/>
      <c r="D10935" s="129"/>
      <c r="E10935" s="185"/>
      <c r="F10935" s="185"/>
      <c r="G10935" s="185"/>
      <c r="H10935" s="185"/>
      <c r="I10935" s="11"/>
    </row>
    <row r="10936" spans="1:12" ht="11.15" customHeight="1">
      <c r="A10936" s="129" t="s">
        <v>14534</v>
      </c>
      <c r="B10936" s="90"/>
      <c r="C10936" s="147"/>
      <c r="D10936" s="159"/>
      <c r="E10936" s="36"/>
      <c r="F10936" s="178"/>
      <c r="G10936" s="496"/>
      <c r="H10936" s="36"/>
      <c r="I10936" s="11"/>
    </row>
    <row r="10937" spans="1:12" ht="11.15" customHeight="1" thickBot="1">
      <c r="A10937" s="29"/>
      <c r="B10937" s="185"/>
      <c r="C10937" s="147"/>
      <c r="D10937" s="129"/>
      <c r="E10937" s="185"/>
      <c r="F10937" s="185"/>
      <c r="G10937" s="185"/>
      <c r="H10937" s="185"/>
      <c r="I10937" s="11"/>
    </row>
    <row r="10938" spans="1:12" ht="11.15" customHeight="1" thickBot="1">
      <c r="A10938" s="184" t="s">
        <v>14535</v>
      </c>
      <c r="B10938" s="154" t="s">
        <v>14536</v>
      </c>
      <c r="C10938" s="147"/>
      <c r="D10938" s="185"/>
      <c r="E10938" s="185"/>
      <c r="F10938" s="185"/>
      <c r="G10938" s="185"/>
      <c r="H10938" s="185"/>
      <c r="I10938" s="11"/>
    </row>
    <row r="10939" spans="1:12" ht="11.15" customHeight="1">
      <c r="A10939" s="29" t="s">
        <v>14537</v>
      </c>
      <c r="B10939" s="59" t="s">
        <v>22315</v>
      </c>
      <c r="C10939" s="147" t="s">
        <v>20221</v>
      </c>
      <c r="D10939" s="284" t="s">
        <v>897</v>
      </c>
      <c r="E10939" s="178">
        <v>2020</v>
      </c>
      <c r="F10939" s="178" t="s">
        <v>4520</v>
      </c>
      <c r="G10939" s="496"/>
      <c r="H10939" s="994" t="s">
        <v>20221</v>
      </c>
      <c r="I10939" s="11" t="s">
        <v>14538</v>
      </c>
      <c r="J10939" s="1285"/>
      <c r="K10939" s="1285"/>
      <c r="L10939" s="1285"/>
    </row>
    <row r="10940" spans="1:12" ht="11.15" customHeight="1">
      <c r="A10940" s="29" t="s">
        <v>14539</v>
      </c>
      <c r="B10940" s="59" t="s">
        <v>22315</v>
      </c>
      <c r="C10940" s="147" t="s">
        <v>20221</v>
      </c>
      <c r="D10940" s="284" t="s">
        <v>897</v>
      </c>
      <c r="E10940" s="178">
        <v>2017</v>
      </c>
      <c r="F10940" s="178" t="s">
        <v>4520</v>
      </c>
      <c r="G10940" s="496"/>
      <c r="H10940" s="994" t="s">
        <v>20277</v>
      </c>
      <c r="I10940" s="11" t="s">
        <v>14540</v>
      </c>
      <c r="J10940" s="1285"/>
      <c r="K10940" s="1285"/>
      <c r="L10940" s="1285"/>
    </row>
    <row r="10941" spans="1:12" ht="11.15" customHeight="1">
      <c r="A10941" s="58" t="s">
        <v>14541</v>
      </c>
      <c r="B10941" s="185"/>
      <c r="C10941" s="147"/>
      <c r="D10941" s="185"/>
      <c r="E10941" s="185"/>
      <c r="F10941" s="185"/>
      <c r="G10941" s="185"/>
      <c r="H10941" s="185"/>
      <c r="I10941" s="11"/>
    </row>
    <row r="10942" spans="1:12" ht="11.15" customHeight="1">
      <c r="A10942" s="272" t="s">
        <v>14542</v>
      </c>
      <c r="B10942" s="90"/>
      <c r="C10942" s="147"/>
      <c r="D10942" s="161"/>
      <c r="E10942" s="36"/>
      <c r="F10942" s="178"/>
      <c r="G10942" s="496"/>
      <c r="H10942" s="36"/>
      <c r="I10942" s="11"/>
    </row>
    <row r="10943" spans="1:12" ht="11.15" customHeight="1">
      <c r="A10943" s="212" t="s">
        <v>14521</v>
      </c>
      <c r="B10943" s="90"/>
      <c r="C10943" s="147"/>
      <c r="D10943" s="161"/>
      <c r="E10943" s="36"/>
      <c r="F10943" s="178"/>
      <c r="G10943" s="496"/>
      <c r="H10943" s="36"/>
      <c r="I10943" s="11"/>
    </row>
    <row r="10944" spans="1:12" ht="11.15" customHeight="1">
      <c r="A10944" s="129" t="s">
        <v>14522</v>
      </c>
      <c r="B10944" s="185"/>
      <c r="C10944" s="147"/>
      <c r="D10944" s="185"/>
      <c r="E10944" s="185"/>
      <c r="F10944" s="185"/>
      <c r="G10944" s="185"/>
      <c r="H10944" s="185"/>
      <c r="I10944" s="11"/>
    </row>
    <row r="10945" spans="1:12" ht="11.15" customHeight="1" thickBot="1">
      <c r="A10945" s="29"/>
      <c r="B10945" s="185"/>
      <c r="C10945" s="147"/>
      <c r="D10945" s="129"/>
      <c r="E10945" s="185"/>
      <c r="F10945" s="185"/>
      <c r="G10945" s="185"/>
      <c r="H10945" s="185"/>
      <c r="I10945" s="11"/>
    </row>
    <row r="10946" spans="1:12" ht="24" customHeight="1" thickBot="1">
      <c r="A10946" s="705"/>
      <c r="B10946" s="64" t="s">
        <v>14543</v>
      </c>
      <c r="C10946" s="170"/>
      <c r="D10946" s="382"/>
      <c r="E10946" s="27"/>
      <c r="F10946" s="1058"/>
      <c r="G10946" s="1249"/>
      <c r="H10946" s="1132"/>
      <c r="I10946" s="11"/>
    </row>
    <row r="10947" spans="1:12" ht="11.15" customHeight="1" thickBot="1">
      <c r="A10947" s="184" t="s">
        <v>14544</v>
      </c>
      <c r="B10947" s="59" t="s">
        <v>22316</v>
      </c>
      <c r="C10947" s="147" t="s">
        <v>20221</v>
      </c>
      <c r="D10947" s="701" t="s">
        <v>1129</v>
      </c>
      <c r="E10947" s="178">
        <v>2017</v>
      </c>
      <c r="F10947" s="178" t="s">
        <v>4520</v>
      </c>
      <c r="G10947" s="496"/>
      <c r="H10947" s="994" t="s">
        <v>20221</v>
      </c>
      <c r="I10947" s="11" t="s">
        <v>14545</v>
      </c>
      <c r="J10947" s="1285"/>
      <c r="K10947" s="1285"/>
      <c r="L10947" s="1285"/>
    </row>
    <row r="10948" spans="1:12" ht="11.15" customHeight="1">
      <c r="A10948" s="29" t="s">
        <v>14546</v>
      </c>
      <c r="B10948" s="59" t="s">
        <v>22317</v>
      </c>
      <c r="C10948" s="147" t="s">
        <v>20221</v>
      </c>
      <c r="D10948" s="284" t="s">
        <v>897</v>
      </c>
      <c r="E10948" s="178">
        <v>2016</v>
      </c>
      <c r="F10948" s="178" t="s">
        <v>4520</v>
      </c>
      <c r="G10948" s="496"/>
      <c r="H10948" s="994" t="s">
        <v>20221</v>
      </c>
      <c r="I10948" s="11" t="s">
        <v>14547</v>
      </c>
      <c r="J10948" s="1285"/>
      <c r="K10948" s="1285"/>
      <c r="L10948" s="1285"/>
    </row>
    <row r="10949" spans="1:12" ht="11.15" customHeight="1">
      <c r="A10949" s="212" t="s">
        <v>14548</v>
      </c>
      <c r="B10949" s="59" t="s">
        <v>22318</v>
      </c>
      <c r="C10949" s="147" t="s">
        <v>20221</v>
      </c>
      <c r="D10949" s="284" t="s">
        <v>897</v>
      </c>
      <c r="E10949" s="178">
        <v>2012</v>
      </c>
      <c r="F10949" s="178" t="s">
        <v>4520</v>
      </c>
      <c r="G10949" s="496"/>
      <c r="H10949" s="994" t="s">
        <v>20465</v>
      </c>
      <c r="I10949" s="11" t="s">
        <v>14549</v>
      </c>
      <c r="J10949" s="1285"/>
      <c r="K10949" s="1285"/>
      <c r="L10949" s="1285"/>
    </row>
    <row r="10950" spans="1:12" ht="11.15" customHeight="1">
      <c r="A10950" s="129" t="s">
        <v>2579</v>
      </c>
      <c r="B10950" s="185"/>
      <c r="C10950" s="147"/>
      <c r="D10950" s="129"/>
      <c r="E10950" s="185"/>
      <c r="F10950" s="185"/>
      <c r="G10950" s="185"/>
      <c r="H10950" s="185"/>
      <c r="I10950" s="11"/>
    </row>
    <row r="10951" spans="1:12" ht="11.15" customHeight="1">
      <c r="A10951" s="129" t="s">
        <v>14550</v>
      </c>
      <c r="B10951" s="185"/>
      <c r="C10951" s="147"/>
      <c r="D10951" s="129"/>
      <c r="E10951" s="185"/>
      <c r="F10951" s="185"/>
      <c r="G10951" s="185"/>
      <c r="H10951" s="185"/>
      <c r="I10951" s="11"/>
    </row>
    <row r="10952" spans="1:12" ht="11.15" customHeight="1" thickBot="1">
      <c r="A10952" s="29"/>
      <c r="B10952" s="185"/>
      <c r="C10952" s="147"/>
      <c r="D10952" s="161"/>
      <c r="E10952" s="36"/>
      <c r="F10952" s="178"/>
      <c r="G10952" s="496"/>
      <c r="H10952" s="36"/>
      <c r="I10952" s="11"/>
    </row>
    <row r="10953" spans="1:12" ht="24" customHeight="1" thickBot="1">
      <c r="A10953" s="705"/>
      <c r="B10953" s="64" t="s">
        <v>14551</v>
      </c>
      <c r="C10953" s="170"/>
      <c r="D10953" s="382"/>
      <c r="E10953" s="27"/>
      <c r="F10953" s="1058"/>
      <c r="G10953" s="1249"/>
      <c r="H10953" s="1132"/>
      <c r="I10953" s="11"/>
    </row>
    <row r="10954" spans="1:12" ht="11.15" customHeight="1" thickBot="1">
      <c r="A10954" s="184" t="s">
        <v>14552</v>
      </c>
      <c r="B10954" s="177" t="s">
        <v>14553</v>
      </c>
      <c r="C10954" s="147"/>
      <c r="D10954" s="159"/>
      <c r="E10954" s="36"/>
      <c r="F10954" s="178"/>
      <c r="G10954" s="496"/>
      <c r="H10954" s="36"/>
      <c r="I10954" s="11"/>
    </row>
    <row r="10955" spans="1:12" ht="11.15" customHeight="1">
      <c r="A10955" s="29" t="s">
        <v>14554</v>
      </c>
      <c r="B10955" s="59" t="s">
        <v>22319</v>
      </c>
      <c r="C10955" s="147" t="s">
        <v>20221</v>
      </c>
      <c r="D10955" s="1035" t="s">
        <v>1370</v>
      </c>
      <c r="E10955" s="178">
        <v>2013</v>
      </c>
      <c r="F10955" s="178" t="s">
        <v>4520</v>
      </c>
      <c r="G10955" s="496"/>
      <c r="H10955" s="994" t="s">
        <v>20277</v>
      </c>
      <c r="I10955" s="11" t="s">
        <v>14555</v>
      </c>
      <c r="J10955" s="1285"/>
      <c r="K10955" s="1285"/>
      <c r="L10955" s="1285"/>
    </row>
    <row r="10956" spans="1:12">
      <c r="A10956" s="29" t="s">
        <v>14556</v>
      </c>
      <c r="B10956" s="177" t="s">
        <v>14557</v>
      </c>
      <c r="C10956" s="147"/>
      <c r="D10956" s="185"/>
      <c r="E10956" s="185"/>
      <c r="F10956" s="185"/>
      <c r="G10956" s="185"/>
      <c r="H10956" s="185"/>
      <c r="I10956" s="11"/>
    </row>
    <row r="10957" spans="1:12" ht="11.15" customHeight="1">
      <c r="A10957" s="29" t="s">
        <v>14558</v>
      </c>
      <c r="B10957" s="59" t="s">
        <v>22320</v>
      </c>
      <c r="C10957" s="147" t="s">
        <v>20221</v>
      </c>
      <c r="D10957" s="284" t="s">
        <v>897</v>
      </c>
      <c r="E10957" s="178">
        <v>2016</v>
      </c>
      <c r="F10957" s="178" t="s">
        <v>4520</v>
      </c>
      <c r="G10957" s="496"/>
      <c r="H10957" s="994" t="s">
        <v>20221</v>
      </c>
      <c r="I10957" s="11" t="s">
        <v>14559</v>
      </c>
      <c r="J10957" s="1285"/>
      <c r="K10957" s="1285"/>
      <c r="L10957" s="1285"/>
    </row>
    <row r="10958" spans="1:12" ht="11.15" customHeight="1">
      <c r="A10958" s="181" t="s">
        <v>14560</v>
      </c>
      <c r="B10958" s="59" t="s">
        <v>22320</v>
      </c>
      <c r="C10958" s="147" t="s">
        <v>20221</v>
      </c>
      <c r="D10958" s="284" t="s">
        <v>897</v>
      </c>
      <c r="E10958" s="178">
        <v>2013</v>
      </c>
      <c r="F10958" s="178" t="s">
        <v>4520</v>
      </c>
      <c r="G10958" s="496"/>
      <c r="H10958" s="994" t="s">
        <v>20277</v>
      </c>
      <c r="I10958" s="11" t="s">
        <v>14561</v>
      </c>
      <c r="J10958" s="1285"/>
      <c r="K10958" s="1285"/>
      <c r="L10958" s="1285"/>
    </row>
    <row r="10959" spans="1:12" ht="11.15" customHeight="1">
      <c r="A10959" s="181" t="s">
        <v>14562</v>
      </c>
      <c r="B10959" s="59" t="s">
        <v>22321</v>
      </c>
      <c r="C10959" s="147" t="s">
        <v>20221</v>
      </c>
      <c r="D10959" s="284" t="s">
        <v>897</v>
      </c>
      <c r="E10959" s="178">
        <v>2010</v>
      </c>
      <c r="F10959" s="178" t="s">
        <v>4520</v>
      </c>
      <c r="G10959" s="496"/>
      <c r="H10959" s="994" t="s">
        <v>20277</v>
      </c>
      <c r="I10959" s="11" t="s">
        <v>14563</v>
      </c>
      <c r="J10959" s="1285"/>
      <c r="K10959" s="1285"/>
      <c r="L10959" s="1285"/>
    </row>
    <row r="10960" spans="1:12" ht="11.15" customHeight="1">
      <c r="A10960" s="29" t="s">
        <v>14564</v>
      </c>
      <c r="B10960" s="379"/>
      <c r="C10960" s="147"/>
      <c r="D10960" s="122"/>
      <c r="E10960" s="36"/>
      <c r="F10960" s="183"/>
      <c r="G10960" s="60"/>
      <c r="H10960" s="34"/>
      <c r="I10960" s="11"/>
    </row>
    <row r="10961" spans="1:12" ht="11.15" customHeight="1">
      <c r="A10961" s="29" t="s">
        <v>14565</v>
      </c>
      <c r="B10961" s="379"/>
      <c r="C10961" s="147"/>
      <c r="D10961" s="122"/>
      <c r="E10961" s="36"/>
      <c r="F10961" s="183"/>
      <c r="G10961" s="60"/>
      <c r="H10961" s="34"/>
      <c r="I10961" s="11"/>
    </row>
    <row r="10962" spans="1:12" ht="11.15" customHeight="1">
      <c r="A10962" s="29" t="s">
        <v>14566</v>
      </c>
      <c r="B10962" s="379"/>
      <c r="C10962" s="147"/>
      <c r="D10962" s="122"/>
      <c r="E10962" s="36"/>
      <c r="F10962" s="183"/>
      <c r="G10962" s="60"/>
      <c r="H10962" s="34"/>
      <c r="I10962" s="11"/>
    </row>
    <row r="10963" spans="1:12" ht="11.15" customHeight="1">
      <c r="A10963" s="29" t="s">
        <v>14567</v>
      </c>
      <c r="B10963" s="379"/>
      <c r="C10963" s="147"/>
      <c r="D10963" s="122"/>
      <c r="E10963" s="36"/>
      <c r="F10963" s="183"/>
      <c r="G10963" s="60"/>
      <c r="H10963" s="34"/>
      <c r="I10963" s="11"/>
    </row>
    <row r="10964" spans="1:12" ht="11.15" customHeight="1">
      <c r="A10964" s="129" t="s">
        <v>14568</v>
      </c>
      <c r="B10964" s="379"/>
      <c r="C10964" s="147"/>
      <c r="D10964" s="122"/>
      <c r="E10964" s="36"/>
      <c r="F10964" s="178"/>
      <c r="G10964" s="60"/>
      <c r="H10964" s="36"/>
      <c r="I10964" s="11"/>
    </row>
    <row r="10965" spans="1:12" ht="11.15" customHeight="1" thickBot="1">
      <c r="A10965" s="29"/>
      <c r="B10965" s="379"/>
      <c r="C10965" s="147"/>
      <c r="D10965" s="122"/>
      <c r="E10965" s="36"/>
      <c r="F10965" s="178"/>
      <c r="G10965" s="60"/>
      <c r="H10965" s="36"/>
      <c r="I10965" s="11"/>
    </row>
    <row r="10966" spans="1:12" ht="24" customHeight="1" thickBot="1">
      <c r="A10966" s="540"/>
      <c r="B10966" s="64" t="s">
        <v>14569</v>
      </c>
      <c r="C10966" s="170"/>
      <c r="D10966" s="382"/>
      <c r="E10966" s="543"/>
      <c r="F10966" s="1082"/>
      <c r="G10966" s="1249"/>
      <c r="H10966" s="1132"/>
      <c r="I10966" s="11"/>
    </row>
    <row r="10967" spans="1:12" ht="11.15" customHeight="1">
      <c r="A10967" s="271" t="s">
        <v>14570</v>
      </c>
      <c r="B10967" s="59" t="s">
        <v>22322</v>
      </c>
      <c r="C10967" s="147" t="s">
        <v>20221</v>
      </c>
      <c r="D10967" s="701" t="s">
        <v>1129</v>
      </c>
      <c r="E10967" s="178">
        <v>2020</v>
      </c>
      <c r="F10967" s="178" t="s">
        <v>4520</v>
      </c>
      <c r="G10967" s="496"/>
      <c r="H10967" s="994" t="s">
        <v>20221</v>
      </c>
      <c r="I10967" s="11" t="s">
        <v>14571</v>
      </c>
      <c r="J10967" s="1285"/>
      <c r="K10967" s="1285"/>
      <c r="L10967" s="1285"/>
    </row>
    <row r="10968" spans="1:12" ht="11.15" customHeight="1">
      <c r="A10968" s="29" t="s">
        <v>14572</v>
      </c>
      <c r="B10968" s="90"/>
      <c r="C10968" s="147"/>
      <c r="D10968" s="159"/>
      <c r="E10968" s="36"/>
      <c r="F10968" s="178"/>
      <c r="G10968" s="497"/>
      <c r="H10968" s="36"/>
      <c r="I10968" s="11"/>
    </row>
    <row r="10969" spans="1:12" ht="11.15" customHeight="1">
      <c r="A10969" s="29" t="s">
        <v>14573</v>
      </c>
      <c r="B10969" s="90"/>
      <c r="C10969" s="147"/>
      <c r="D10969" s="159"/>
      <c r="E10969" s="36"/>
      <c r="F10969" s="178"/>
      <c r="G10969" s="497"/>
      <c r="H10969" s="36"/>
      <c r="I10969" s="11"/>
    </row>
    <row r="10970" spans="1:12" ht="11.15" customHeight="1">
      <c r="A10970" s="29" t="s">
        <v>14574</v>
      </c>
      <c r="B10970" s="90"/>
      <c r="C10970" s="147"/>
      <c r="D10970" s="159"/>
      <c r="E10970" s="36"/>
      <c r="F10970" s="178"/>
      <c r="G10970" s="497"/>
      <c r="H10970" s="36"/>
      <c r="I10970" s="11"/>
    </row>
    <row r="10971" spans="1:12" ht="11.15" customHeight="1">
      <c r="A10971" s="166" t="s">
        <v>14300</v>
      </c>
      <c r="B10971" s="379"/>
      <c r="C10971" s="147"/>
      <c r="D10971" s="122"/>
      <c r="E10971" s="36"/>
      <c r="F10971" s="183"/>
      <c r="G10971" s="60"/>
      <c r="H10971" s="34"/>
      <c r="I10971" s="11"/>
    </row>
    <row r="10972" spans="1:12" ht="11.15" customHeight="1">
      <c r="A10972" s="483" t="s">
        <v>2482</v>
      </c>
      <c r="B10972" s="90"/>
      <c r="C10972" s="147"/>
      <c r="D10972" s="159"/>
      <c r="E10972" s="36"/>
      <c r="F10972" s="178"/>
      <c r="G10972" s="497"/>
      <c r="H10972" s="36"/>
      <c r="I10972" s="11"/>
    </row>
    <row r="10973" spans="1:12" ht="11.15" customHeight="1">
      <c r="A10973" s="129" t="s">
        <v>14301</v>
      </c>
      <c r="B10973" s="379"/>
      <c r="C10973" s="147"/>
      <c r="D10973" s="122"/>
      <c r="E10973" s="36"/>
      <c r="F10973" s="183"/>
      <c r="G10973" s="60"/>
      <c r="H10973" s="34"/>
      <c r="I10973" s="11"/>
    </row>
    <row r="10974" spans="1:12" ht="11.15" customHeight="1" thickBot="1">
      <c r="A10974" s="271"/>
      <c r="B10974" s="90"/>
      <c r="C10974" s="147"/>
      <c r="D10974" s="159"/>
      <c r="E10974" s="36"/>
      <c r="F10974" s="178"/>
      <c r="G10974" s="496"/>
      <c r="H10974" s="36"/>
      <c r="I10974" s="11"/>
    </row>
    <row r="10975" spans="1:12" ht="24" customHeight="1" thickBot="1">
      <c r="A10975" s="540"/>
      <c r="B10975" s="64" t="s">
        <v>14575</v>
      </c>
      <c r="C10975" s="170"/>
      <c r="D10975" s="382"/>
      <c r="E10975" s="543"/>
      <c r="F10975" s="1082"/>
      <c r="G10975" s="1249"/>
      <c r="H10975" s="1132"/>
      <c r="I10975" s="11"/>
    </row>
    <row r="10976" spans="1:12" ht="11.15" customHeight="1">
      <c r="A10976" s="153" t="s">
        <v>14576</v>
      </c>
      <c r="B10976" s="59" t="s">
        <v>22324</v>
      </c>
      <c r="C10976" s="147" t="s">
        <v>20221</v>
      </c>
      <c r="D10976" s="701" t="s">
        <v>1129</v>
      </c>
      <c r="E10976" s="178">
        <v>2023</v>
      </c>
      <c r="F10976" s="178" t="s">
        <v>4520</v>
      </c>
      <c r="G10976" s="496"/>
      <c r="H10976" s="994" t="s">
        <v>20221</v>
      </c>
      <c r="I10976" s="11" t="s">
        <v>14577</v>
      </c>
      <c r="J10976" s="1285"/>
      <c r="K10976" s="1285"/>
      <c r="L10976" s="1285"/>
    </row>
    <row r="10977" spans="1:12" ht="11.15" customHeight="1" thickBot="1">
      <c r="A10977" s="230" t="s">
        <v>14578</v>
      </c>
      <c r="B10977" s="185"/>
      <c r="C10977" s="147"/>
      <c r="D10977" s="185"/>
      <c r="E10977" s="185"/>
      <c r="F10977" s="185"/>
      <c r="G10977" s="185"/>
      <c r="H10977" s="185"/>
      <c r="I10977" s="11"/>
    </row>
    <row r="10978" spans="1:12" ht="11.15" customHeight="1">
      <c r="A10978" s="713" t="s">
        <v>14579</v>
      </c>
      <c r="B10978" s="185"/>
      <c r="C10978" s="147"/>
      <c r="D10978" s="185"/>
      <c r="E10978" s="185"/>
      <c r="F10978" s="185"/>
      <c r="G10978" s="185"/>
      <c r="H10978" s="185"/>
      <c r="I10978" s="11"/>
    </row>
    <row r="10979" spans="1:12" ht="11.15" customHeight="1">
      <c r="A10979" s="29" t="s">
        <v>14580</v>
      </c>
      <c r="B10979" s="90"/>
      <c r="C10979" s="147"/>
      <c r="D10979" s="159"/>
      <c r="E10979" s="36"/>
      <c r="F10979" s="178"/>
      <c r="G10979" s="496"/>
      <c r="H10979" s="36"/>
      <c r="I10979" s="11"/>
    </row>
    <row r="10980" spans="1:12" ht="11.15" customHeight="1">
      <c r="A10980" s="29" t="s">
        <v>14581</v>
      </c>
      <c r="B10980" s="90"/>
      <c r="C10980" s="147"/>
      <c r="D10980" s="159"/>
      <c r="E10980" s="36"/>
      <c r="F10980" s="178"/>
      <c r="G10980" s="496"/>
      <c r="H10980" s="36"/>
      <c r="I10980" s="11"/>
    </row>
    <row r="10981" spans="1:12" ht="11.15" customHeight="1">
      <c r="A10981" s="29" t="s">
        <v>14582</v>
      </c>
      <c r="B10981" s="90"/>
      <c r="C10981" s="147"/>
      <c r="D10981" s="159"/>
      <c r="E10981" s="36"/>
      <c r="F10981" s="178"/>
      <c r="G10981" s="496"/>
      <c r="H10981" s="36"/>
      <c r="I10981" s="11"/>
    </row>
    <row r="10982" spans="1:12" ht="11.15" customHeight="1">
      <c r="A10982" s="29" t="s">
        <v>14583</v>
      </c>
      <c r="B10982" s="90"/>
      <c r="C10982" s="147"/>
      <c r="D10982" s="159"/>
      <c r="E10982" s="36"/>
      <c r="F10982" s="178"/>
      <c r="G10982" s="496"/>
      <c r="H10982" s="36"/>
      <c r="I10982" s="11"/>
    </row>
    <row r="10983" spans="1:12" ht="11.15" customHeight="1">
      <c r="A10983" s="58" t="s">
        <v>14584</v>
      </c>
      <c r="B10983" s="90"/>
      <c r="C10983" s="147"/>
      <c r="D10983" s="159"/>
      <c r="E10983" s="36"/>
      <c r="F10983" s="178"/>
      <c r="G10983" s="496"/>
      <c r="H10983" s="36"/>
      <c r="I10983" s="11"/>
    </row>
    <row r="10984" spans="1:12" ht="11.15" customHeight="1">
      <c r="A10984" s="166" t="s">
        <v>14585</v>
      </c>
      <c r="B10984" s="90"/>
      <c r="C10984" s="147"/>
      <c r="D10984" s="159"/>
      <c r="E10984" s="36"/>
      <c r="F10984" s="178"/>
      <c r="G10984" s="496"/>
      <c r="H10984" s="36"/>
      <c r="I10984" s="11"/>
    </row>
    <row r="10985" spans="1:12" ht="11.15" customHeight="1">
      <c r="A10985" s="483" t="s">
        <v>2482</v>
      </c>
      <c r="B10985" s="90"/>
      <c r="C10985" s="147"/>
      <c r="D10985" s="159"/>
      <c r="E10985" s="36"/>
      <c r="F10985" s="178"/>
      <c r="G10985" s="496"/>
      <c r="H10985" s="36"/>
      <c r="I10985" s="11"/>
    </row>
    <row r="10986" spans="1:12" ht="11.15" customHeight="1">
      <c r="A10986" s="129" t="s">
        <v>14586</v>
      </c>
      <c r="B10986" s="379"/>
      <c r="C10986" s="147"/>
      <c r="D10986" s="122"/>
      <c r="E10986" s="36"/>
      <c r="F10986" s="183"/>
      <c r="G10986" s="60"/>
      <c r="H10986" s="34"/>
      <c r="I10986" s="11"/>
    </row>
    <row r="10987" spans="1:12" ht="11.15" customHeight="1" thickBot="1">
      <c r="A10987" s="205"/>
      <c r="B10987" s="90"/>
      <c r="C10987" s="147"/>
      <c r="D10987" s="159"/>
      <c r="E10987" s="36"/>
      <c r="F10987" s="178"/>
      <c r="G10987" s="496"/>
      <c r="H10987" s="36"/>
      <c r="I10987" s="11"/>
    </row>
    <row r="10988" spans="1:12" ht="11.15" customHeight="1">
      <c r="A10988" s="153" t="s">
        <v>14570</v>
      </c>
      <c r="B10988" s="59" t="s">
        <v>22326</v>
      </c>
      <c r="C10988" s="147" t="s">
        <v>20221</v>
      </c>
      <c r="D10988" s="701" t="s">
        <v>1129</v>
      </c>
      <c r="E10988" s="178">
        <v>2023</v>
      </c>
      <c r="F10988" s="178" t="s">
        <v>23395</v>
      </c>
      <c r="G10988" s="496"/>
      <c r="H10988" s="994" t="s">
        <v>20221</v>
      </c>
      <c r="I10988" s="11" t="s">
        <v>14587</v>
      </c>
      <c r="J10988" s="1285"/>
      <c r="K10988" s="1285"/>
      <c r="L10988" s="1285"/>
    </row>
    <row r="10989" spans="1:12" ht="11.15" customHeight="1" thickBot="1">
      <c r="A10989" s="230" t="s">
        <v>14588</v>
      </c>
      <c r="B10989" s="90"/>
      <c r="C10989" s="147"/>
      <c r="D10989" s="159"/>
      <c r="E10989" s="36"/>
      <c r="F10989" s="178"/>
      <c r="G10989" s="671"/>
      <c r="H10989" s="36"/>
      <c r="I10989" s="11"/>
    </row>
    <row r="10990" spans="1:12" ht="11.15" customHeight="1">
      <c r="A10990" s="29" t="s">
        <v>14589</v>
      </c>
      <c r="B10990" s="90"/>
      <c r="C10990" s="147"/>
      <c r="D10990" s="159"/>
      <c r="E10990" s="36"/>
      <c r="F10990" s="178"/>
      <c r="G10990" s="671"/>
      <c r="H10990" s="36"/>
      <c r="I10990" s="11"/>
    </row>
    <row r="10991" spans="1:12" ht="11.15" customHeight="1">
      <c r="A10991" s="29" t="s">
        <v>14590</v>
      </c>
      <c r="B10991" s="177"/>
      <c r="C10991" s="147"/>
      <c r="D10991" s="156"/>
      <c r="E10991" s="36"/>
      <c r="F10991" s="178"/>
      <c r="G10991" s="429"/>
      <c r="H10991" s="36"/>
      <c r="I10991" s="11"/>
    </row>
    <row r="10992" spans="1:12" ht="9.75" customHeight="1">
      <c r="A10992" s="181" t="s">
        <v>950</v>
      </c>
      <c r="B10992" s="185"/>
      <c r="C10992" s="147"/>
      <c r="D10992" s="129"/>
      <c r="E10992" s="185"/>
      <c r="F10992" s="185"/>
      <c r="G10992" s="185"/>
      <c r="H10992" s="185"/>
      <c r="I10992" s="11"/>
    </row>
    <row r="10993" spans="1:12" ht="11.15" customHeight="1">
      <c r="A10993" s="166" t="s">
        <v>14300</v>
      </c>
      <c r="B10993" s="379"/>
      <c r="C10993" s="147"/>
      <c r="D10993" s="122"/>
      <c r="E10993" s="36"/>
      <c r="F10993" s="183"/>
      <c r="G10993" s="60"/>
      <c r="H10993" s="34"/>
      <c r="I10993" s="11"/>
    </row>
    <row r="10994" spans="1:12" ht="11.15" customHeight="1">
      <c r="A10994" s="129" t="s">
        <v>14301</v>
      </c>
      <c r="B10994" s="379"/>
      <c r="C10994" s="147"/>
      <c r="D10994" s="122"/>
      <c r="E10994" s="36"/>
      <c r="F10994" s="183"/>
      <c r="G10994" s="60"/>
      <c r="H10994" s="34"/>
      <c r="I10994" s="11"/>
    </row>
    <row r="10995" spans="1:12" ht="11.15" customHeight="1" thickBot="1">
      <c r="A10995" s="181"/>
      <c r="B10995" s="90"/>
      <c r="C10995" s="147"/>
      <c r="D10995" s="159"/>
      <c r="E10995" s="36"/>
      <c r="F10995" s="178"/>
      <c r="G10995" s="671"/>
      <c r="H10995" s="36"/>
      <c r="I10995" s="11"/>
    </row>
    <row r="10996" spans="1:12" ht="24" customHeight="1" thickBot="1">
      <c r="A10996" s="540"/>
      <c r="B10996" s="64" t="s">
        <v>14591</v>
      </c>
      <c r="C10996" s="170"/>
      <c r="D10996" s="382"/>
      <c r="E10996" s="543"/>
      <c r="F10996" s="1082"/>
      <c r="G10996" s="1249"/>
      <c r="H10996" s="1132"/>
      <c r="I10996" s="11"/>
    </row>
    <row r="10997" spans="1:12" ht="11.15" customHeight="1">
      <c r="A10997" s="29"/>
      <c r="B10997" s="146" t="s">
        <v>14592</v>
      </c>
      <c r="C10997" s="147"/>
      <c r="D10997" s="122"/>
      <c r="E10997" s="36"/>
      <c r="F10997" s="178"/>
      <c r="G10997" s="59"/>
      <c r="H10997" s="36"/>
      <c r="I10997" s="11"/>
    </row>
    <row r="10998" spans="1:12" ht="9" customHeight="1">
      <c r="A10998" s="29"/>
      <c r="B10998" s="150" t="s">
        <v>14593</v>
      </c>
      <c r="C10998" s="147"/>
      <c r="D10998" s="122"/>
      <c r="E10998" s="36"/>
      <c r="F10998" s="178"/>
      <c r="G10998" s="59"/>
      <c r="H10998" s="36"/>
      <c r="I10998" s="11"/>
    </row>
    <row r="10999" spans="1:12" ht="9" customHeight="1">
      <c r="A10999" s="29"/>
      <c r="B10999" s="209" t="s">
        <v>14594</v>
      </c>
      <c r="C10999" s="147"/>
      <c r="D10999" s="122"/>
      <c r="E10999" s="36"/>
      <c r="F10999" s="178"/>
      <c r="G10999" s="59"/>
      <c r="H10999" s="36"/>
      <c r="I10999" s="11"/>
    </row>
    <row r="11000" spans="1:12" ht="9" customHeight="1">
      <c r="A11000" s="29"/>
      <c r="B11000" s="150" t="s">
        <v>14595</v>
      </c>
      <c r="C11000" s="147"/>
      <c r="D11000" s="122"/>
      <c r="E11000" s="36"/>
      <c r="F11000" s="178"/>
      <c r="G11000" s="59"/>
      <c r="H11000" s="36"/>
      <c r="I11000" s="11"/>
    </row>
    <row r="11001" spans="1:12" ht="9" customHeight="1">
      <c r="A11001" s="29"/>
      <c r="B11001" s="150" t="s">
        <v>14596</v>
      </c>
      <c r="C11001" s="147"/>
      <c r="D11001" s="122"/>
      <c r="E11001" s="36"/>
      <c r="F11001" s="178"/>
      <c r="G11001" s="59"/>
      <c r="H11001" s="36"/>
      <c r="I11001" s="11"/>
    </row>
    <row r="11002" spans="1:12" ht="9" customHeight="1">
      <c r="A11002" s="29"/>
      <c r="B11002" s="209" t="s">
        <v>14597</v>
      </c>
      <c r="C11002" s="147"/>
      <c r="D11002" s="122"/>
      <c r="E11002" s="36"/>
      <c r="F11002" s="178"/>
      <c r="G11002" s="59"/>
      <c r="H11002" s="36"/>
      <c r="I11002" s="11"/>
    </row>
    <row r="11003" spans="1:12" ht="9" customHeight="1">
      <c r="A11003" s="185"/>
      <c r="B11003" s="150" t="s">
        <v>14598</v>
      </c>
      <c r="C11003" s="147"/>
      <c r="D11003" s="122"/>
      <c r="E11003" s="36"/>
      <c r="F11003" s="178"/>
      <c r="G11003" s="59"/>
      <c r="H11003" s="36"/>
      <c r="I11003" s="11"/>
    </row>
    <row r="11004" spans="1:12" ht="11.15" customHeight="1" thickBot="1">
      <c r="A11004" s="185"/>
      <c r="B11004" s="122" t="s">
        <v>14599</v>
      </c>
      <c r="C11004" s="147"/>
      <c r="D11004" s="122"/>
      <c r="E11004" s="36"/>
      <c r="F11004" s="178"/>
      <c r="G11004" s="59"/>
      <c r="H11004" s="36"/>
      <c r="I11004" s="11"/>
    </row>
    <row r="11005" spans="1:12" ht="11.15" customHeight="1">
      <c r="A11005" s="153" t="s">
        <v>14570</v>
      </c>
      <c r="B11005" s="177" t="s">
        <v>1153</v>
      </c>
      <c r="C11005" s="147"/>
      <c r="D11005" s="122"/>
      <c r="E11005" s="36"/>
      <c r="F11005" s="178"/>
      <c r="G11005" s="59"/>
      <c r="H11005" s="36"/>
      <c r="I11005" s="11"/>
    </row>
    <row r="11006" spans="1:12" ht="11.15" customHeight="1" thickBot="1">
      <c r="A11006" s="230" t="s">
        <v>14600</v>
      </c>
      <c r="B11006" s="59" t="s">
        <v>22328</v>
      </c>
      <c r="C11006" s="147" t="s">
        <v>20221</v>
      </c>
      <c r="D11006" s="1034" t="s">
        <v>2573</v>
      </c>
      <c r="E11006" s="178">
        <v>2022</v>
      </c>
      <c r="F11006" s="178" t="s">
        <v>4520</v>
      </c>
      <c r="G11006" s="496"/>
      <c r="H11006" s="994" t="s">
        <v>20221</v>
      </c>
      <c r="I11006" s="11" t="s">
        <v>14601</v>
      </c>
      <c r="J11006" s="1285"/>
      <c r="K11006" s="1285"/>
      <c r="L11006" s="1285"/>
    </row>
    <row r="11007" spans="1:12" ht="11.15" customHeight="1">
      <c r="A11007" s="29" t="s">
        <v>14602</v>
      </c>
      <c r="B11007" s="177" t="s">
        <v>14603</v>
      </c>
      <c r="C11007" s="147"/>
      <c r="D11007" s="156"/>
      <c r="E11007" s="36"/>
      <c r="F11007" s="178"/>
      <c r="G11007" s="429"/>
      <c r="H11007" s="36"/>
      <c r="I11007" s="11"/>
    </row>
    <row r="11008" spans="1:12" ht="11.15" customHeight="1">
      <c r="A11008" s="29" t="s">
        <v>14604</v>
      </c>
      <c r="B11008" s="59" t="s">
        <v>22329</v>
      </c>
      <c r="C11008" s="147" t="s">
        <v>20221</v>
      </c>
      <c r="D11008" s="701" t="s">
        <v>1129</v>
      </c>
      <c r="E11008" s="178">
        <v>2015</v>
      </c>
      <c r="F11008" s="178" t="s">
        <v>4520</v>
      </c>
      <c r="G11008" s="496"/>
      <c r="H11008" s="994" t="s">
        <v>20465</v>
      </c>
      <c r="I11008" s="11" t="s">
        <v>14605</v>
      </c>
      <c r="J11008" s="1285"/>
      <c r="K11008" s="1285"/>
      <c r="L11008" s="1285"/>
    </row>
    <row r="11009" spans="1:12" ht="11.15" customHeight="1">
      <c r="A11009" s="181" t="s">
        <v>2316</v>
      </c>
      <c r="B11009" s="59" t="s">
        <v>22330</v>
      </c>
      <c r="C11009" s="147" t="s">
        <v>20221</v>
      </c>
      <c r="D11009" s="701" t="s">
        <v>1129</v>
      </c>
      <c r="E11009" s="178">
        <v>2021</v>
      </c>
      <c r="F11009" s="178" t="s">
        <v>4520</v>
      </c>
      <c r="G11009" s="496"/>
      <c r="H11009" s="994" t="s">
        <v>20221</v>
      </c>
      <c r="I11009" s="11" t="s">
        <v>14606</v>
      </c>
      <c r="J11009" s="1285"/>
      <c r="K11009" s="1285"/>
      <c r="L11009" s="1285"/>
    </row>
    <row r="11010" spans="1:12" ht="11.15" customHeight="1">
      <c r="A11010" s="181" t="s">
        <v>14607</v>
      </c>
      <c r="B11010" s="59" t="s">
        <v>22331</v>
      </c>
      <c r="C11010" s="147" t="s">
        <v>20221</v>
      </c>
      <c r="D11010" s="701" t="s">
        <v>1129</v>
      </c>
      <c r="E11010" s="178">
        <v>2023</v>
      </c>
      <c r="F11010" s="178" t="s">
        <v>4520</v>
      </c>
      <c r="G11010" s="496"/>
      <c r="H11010" s="994" t="s">
        <v>20221</v>
      </c>
      <c r="I11010" s="11" t="s">
        <v>14608</v>
      </c>
      <c r="J11010" s="1285"/>
      <c r="K11010" s="1285"/>
      <c r="L11010" s="1285"/>
    </row>
    <row r="11011" spans="1:12" ht="11.15" customHeight="1">
      <c r="A11011" s="129" t="s">
        <v>14609</v>
      </c>
      <c r="B11011" s="59" t="s">
        <v>22331</v>
      </c>
      <c r="C11011" s="147" t="s">
        <v>20221</v>
      </c>
      <c r="D11011" s="701" t="s">
        <v>1129</v>
      </c>
      <c r="E11011" s="178">
        <v>2022</v>
      </c>
      <c r="F11011" s="178" t="s">
        <v>4520</v>
      </c>
      <c r="G11011" s="496"/>
      <c r="H11011" s="994" t="s">
        <v>20277</v>
      </c>
      <c r="I11011" s="11" t="s">
        <v>14610</v>
      </c>
      <c r="J11011" s="1285"/>
      <c r="K11011" s="1285"/>
      <c r="L11011" s="1285"/>
    </row>
    <row r="11012" spans="1:12" ht="11.15" customHeight="1">
      <c r="A11012" s="162" t="s">
        <v>14611</v>
      </c>
      <c r="B11012" s="59" t="s">
        <v>22332</v>
      </c>
      <c r="C11012" s="147" t="s">
        <v>20221</v>
      </c>
      <c r="D11012" s="701" t="s">
        <v>1129</v>
      </c>
      <c r="E11012" s="178">
        <v>2023</v>
      </c>
      <c r="F11012" s="178" t="s">
        <v>4520</v>
      </c>
      <c r="G11012" s="496"/>
      <c r="H11012" s="994" t="s">
        <v>20221</v>
      </c>
      <c r="I11012" s="11" t="s">
        <v>23354</v>
      </c>
      <c r="J11012" s="1285"/>
      <c r="K11012" s="1285"/>
      <c r="L11012" s="1285"/>
    </row>
    <row r="11013" spans="1:12" ht="11.15" customHeight="1">
      <c r="A11013" s="162" t="s">
        <v>14613</v>
      </c>
      <c r="B11013" s="59" t="s">
        <v>22332</v>
      </c>
      <c r="C11013" s="147" t="s">
        <v>20221</v>
      </c>
      <c r="D11013" s="701" t="s">
        <v>1129</v>
      </c>
      <c r="E11013" s="178">
        <v>2022</v>
      </c>
      <c r="F11013" s="178" t="s">
        <v>4520</v>
      </c>
      <c r="G11013" s="496"/>
      <c r="H11013" s="994" t="s">
        <v>20221</v>
      </c>
      <c r="I11013" s="11" t="s">
        <v>14612</v>
      </c>
      <c r="J11013" s="1285"/>
      <c r="K11013" s="1285"/>
      <c r="L11013" s="1285"/>
    </row>
    <row r="11014" spans="1:12" ht="11.15" customHeight="1">
      <c r="A11014" s="162" t="s">
        <v>14614</v>
      </c>
      <c r="B11014" s="59" t="s">
        <v>22333</v>
      </c>
      <c r="C11014" s="147" t="s">
        <v>20221</v>
      </c>
      <c r="D11014" s="701" t="s">
        <v>1129</v>
      </c>
      <c r="E11014" s="178">
        <v>2022</v>
      </c>
      <c r="F11014" s="178" t="s">
        <v>23394</v>
      </c>
      <c r="G11014" s="496"/>
      <c r="H11014" s="994" t="s">
        <v>20221</v>
      </c>
      <c r="I11014" s="11" t="s">
        <v>23355</v>
      </c>
      <c r="J11014" s="1285"/>
      <c r="K11014" s="1285"/>
      <c r="L11014" s="1285"/>
    </row>
    <row r="11015" spans="1:12" ht="11.15" customHeight="1">
      <c r="A11015" s="162" t="s">
        <v>14616</v>
      </c>
      <c r="B11015" s="177" t="s">
        <v>14615</v>
      </c>
      <c r="C11015" s="147"/>
      <c r="D11015" s="156"/>
      <c r="E11015" s="36"/>
      <c r="F11015" s="178"/>
      <c r="G11015" s="429"/>
      <c r="H11015" s="36"/>
      <c r="I11015" s="11"/>
    </row>
    <row r="11016" spans="1:12" ht="11.15" customHeight="1">
      <c r="A11016" s="162" t="s">
        <v>14618</v>
      </c>
      <c r="B11016" s="59" t="s">
        <v>22334</v>
      </c>
      <c r="C11016" s="147" t="s">
        <v>20221</v>
      </c>
      <c r="D11016" s="701" t="s">
        <v>1129</v>
      </c>
      <c r="E11016" s="178">
        <v>2019</v>
      </c>
      <c r="F11016" s="178" t="s">
        <v>23398</v>
      </c>
      <c r="G11016" s="496"/>
      <c r="H11016" s="994" t="s">
        <v>20221</v>
      </c>
      <c r="I11016" s="11" t="s">
        <v>14617</v>
      </c>
      <c r="J11016" s="1285"/>
      <c r="K11016" s="1285"/>
      <c r="L11016" s="1285"/>
    </row>
    <row r="11017" spans="1:12" ht="11.15" customHeight="1">
      <c r="A11017" s="162" t="s">
        <v>14620</v>
      </c>
      <c r="B11017" s="177" t="s">
        <v>14619</v>
      </c>
      <c r="C11017" s="147"/>
      <c r="D11017" s="156"/>
      <c r="E11017" s="36"/>
      <c r="F11017" s="178"/>
      <c r="G11017" s="429"/>
      <c r="H11017" s="36"/>
      <c r="I11017" s="11"/>
    </row>
    <row r="11018" spans="1:12" ht="11.15" customHeight="1">
      <c r="A11018" s="162" t="s">
        <v>14622</v>
      </c>
      <c r="B11018" s="59" t="s">
        <v>22335</v>
      </c>
      <c r="C11018" s="147" t="s">
        <v>20221</v>
      </c>
      <c r="D11018" s="701" t="s">
        <v>1129</v>
      </c>
      <c r="E11018" s="178">
        <v>2019</v>
      </c>
      <c r="F11018" s="178" t="s">
        <v>9678</v>
      </c>
      <c r="G11018" s="496"/>
      <c r="H11018" s="994" t="s">
        <v>20224</v>
      </c>
      <c r="I11018" s="11" t="s">
        <v>14621</v>
      </c>
      <c r="J11018" s="1285"/>
      <c r="K11018" s="1285"/>
      <c r="L11018" s="1285"/>
    </row>
    <row r="11019" spans="1:12" ht="11.15" customHeight="1">
      <c r="A11019" s="162" t="s">
        <v>14624</v>
      </c>
      <c r="B11019" s="154" t="s">
        <v>14623</v>
      </c>
      <c r="C11019" s="147"/>
      <c r="D11019" s="129"/>
      <c r="E11019" s="185"/>
      <c r="F11019" s="185"/>
      <c r="G11019" s="429"/>
      <c r="H11019" s="185"/>
      <c r="I11019" s="11"/>
    </row>
    <row r="11020" spans="1:12" ht="11.15" customHeight="1">
      <c r="A11020" s="162" t="s">
        <v>14625</v>
      </c>
      <c r="B11020" s="59" t="s">
        <v>22337</v>
      </c>
      <c r="C11020" s="147" t="s">
        <v>20221</v>
      </c>
      <c r="D11020" s="284" t="s">
        <v>897</v>
      </c>
      <c r="E11020" s="178">
        <v>2017</v>
      </c>
      <c r="F11020" s="178" t="s">
        <v>7168</v>
      </c>
      <c r="G11020" s="496"/>
      <c r="H11020" s="994" t="s">
        <v>20224</v>
      </c>
      <c r="I11020" s="11" t="s">
        <v>14626</v>
      </c>
      <c r="J11020" s="1285"/>
      <c r="K11020" s="1285"/>
      <c r="L11020" s="1285"/>
    </row>
    <row r="11021" spans="1:12" ht="11.15" customHeight="1">
      <c r="A11021" s="129" t="s">
        <v>14627</v>
      </c>
      <c r="B11021" s="59" t="s">
        <v>22337</v>
      </c>
      <c r="C11021" s="147" t="s">
        <v>20221</v>
      </c>
      <c r="D11021" s="284" t="s">
        <v>897</v>
      </c>
      <c r="E11021" s="178">
        <v>2010</v>
      </c>
      <c r="F11021" s="178" t="s">
        <v>7168</v>
      </c>
      <c r="G11021" s="496"/>
      <c r="H11021" s="994" t="s">
        <v>20221</v>
      </c>
      <c r="I11021" s="11" t="s">
        <v>14628</v>
      </c>
      <c r="J11021" s="1285"/>
      <c r="K11021" s="1285"/>
      <c r="L11021" s="1285"/>
    </row>
    <row r="11022" spans="1:12" ht="11.15" customHeight="1">
      <c r="A11022" s="162" t="s">
        <v>14629</v>
      </c>
      <c r="B11022" s="59" t="s">
        <v>22336</v>
      </c>
      <c r="C11022" s="147" t="s">
        <v>20221</v>
      </c>
      <c r="D11022" s="284" t="s">
        <v>897</v>
      </c>
      <c r="E11022" s="178">
        <v>2007</v>
      </c>
      <c r="F11022" s="178" t="s">
        <v>7168</v>
      </c>
      <c r="G11022" s="496"/>
      <c r="H11022" s="994" t="s">
        <v>20221</v>
      </c>
      <c r="I11022" s="11" t="s">
        <v>23356</v>
      </c>
      <c r="J11022" s="1285"/>
      <c r="K11022" s="1285"/>
      <c r="L11022" s="1285"/>
    </row>
    <row r="11023" spans="1:12" ht="11.15" customHeight="1">
      <c r="A11023" s="162" t="s">
        <v>14631</v>
      </c>
      <c r="B11023" s="154" t="s">
        <v>14630</v>
      </c>
      <c r="C11023" s="147"/>
      <c r="D11023" s="129"/>
      <c r="E11023" s="185"/>
      <c r="F11023" s="185"/>
      <c r="G11023" s="185"/>
      <c r="H11023" s="185"/>
      <c r="I11023" s="11"/>
    </row>
    <row r="11024" spans="1:12" ht="11.15" customHeight="1">
      <c r="A11024" s="162" t="s">
        <v>14633</v>
      </c>
      <c r="B11024" s="59" t="s">
        <v>22338</v>
      </c>
      <c r="C11024" s="147" t="s">
        <v>23393</v>
      </c>
      <c r="D11024" s="284" t="s">
        <v>897</v>
      </c>
      <c r="E11024" s="178">
        <v>2022</v>
      </c>
      <c r="F11024" s="178" t="s">
        <v>4520</v>
      </c>
      <c r="G11024" s="496"/>
      <c r="H11024" s="994" t="s">
        <v>20221</v>
      </c>
      <c r="I11024" s="11" t="s">
        <v>14632</v>
      </c>
      <c r="J11024" s="1285"/>
      <c r="K11024" s="1285"/>
      <c r="L11024" s="1285"/>
    </row>
    <row r="11025" spans="1:12" ht="11.15" customHeight="1">
      <c r="A11025" s="162" t="s">
        <v>14635</v>
      </c>
      <c r="B11025" s="59" t="s">
        <v>22338</v>
      </c>
      <c r="C11025" s="147" t="s">
        <v>23393</v>
      </c>
      <c r="D11025" s="284" t="s">
        <v>897</v>
      </c>
      <c r="E11025" s="178">
        <v>2021</v>
      </c>
      <c r="F11025" s="178" t="s">
        <v>4520</v>
      </c>
      <c r="G11025" s="496"/>
      <c r="H11025" s="994" t="s">
        <v>20277</v>
      </c>
      <c r="I11025" s="11" t="s">
        <v>14634</v>
      </c>
      <c r="J11025" s="1285"/>
      <c r="K11025" s="1285"/>
      <c r="L11025" s="1285"/>
    </row>
    <row r="11026" spans="1:12" ht="11.15" customHeight="1">
      <c r="A11026" s="162" t="s">
        <v>14637</v>
      </c>
      <c r="B11026" s="59" t="s">
        <v>22339</v>
      </c>
      <c r="C11026" s="147" t="s">
        <v>20221</v>
      </c>
      <c r="D11026" s="284" t="s">
        <v>897</v>
      </c>
      <c r="E11026" s="178">
        <v>2021</v>
      </c>
      <c r="F11026" s="178" t="s">
        <v>4520</v>
      </c>
      <c r="G11026" s="496"/>
      <c r="H11026" s="994" t="s">
        <v>20221</v>
      </c>
      <c r="I11026" s="11" t="s">
        <v>14636</v>
      </c>
      <c r="J11026" s="1285"/>
      <c r="K11026" s="1285"/>
      <c r="L11026" s="1285"/>
    </row>
    <row r="11027" spans="1:12" ht="11.15" customHeight="1">
      <c r="A11027" s="162" t="s">
        <v>14639</v>
      </c>
      <c r="B11027" s="59" t="s">
        <v>22340</v>
      </c>
      <c r="C11027" s="147" t="s">
        <v>20221</v>
      </c>
      <c r="D11027" s="284" t="s">
        <v>897</v>
      </c>
      <c r="E11027" s="178">
        <v>2016</v>
      </c>
      <c r="F11027" s="178" t="s">
        <v>4520</v>
      </c>
      <c r="G11027" s="496"/>
      <c r="H11027" s="994" t="s">
        <v>20221</v>
      </c>
      <c r="I11027" s="11" t="s">
        <v>14638</v>
      </c>
      <c r="J11027" s="1285"/>
      <c r="K11027" s="1285"/>
      <c r="L11027" s="1285"/>
    </row>
    <row r="11028" spans="1:12" ht="11.15" customHeight="1">
      <c r="A11028" s="355" t="s">
        <v>14641</v>
      </c>
      <c r="B11028" s="59" t="s">
        <v>22341</v>
      </c>
      <c r="C11028" s="147" t="s">
        <v>20221</v>
      </c>
      <c r="D11028" s="284" t="s">
        <v>897</v>
      </c>
      <c r="E11028" s="178">
        <v>2020</v>
      </c>
      <c r="F11028" s="178" t="s">
        <v>4520</v>
      </c>
      <c r="G11028" s="496"/>
      <c r="H11028" s="994" t="s">
        <v>20221</v>
      </c>
      <c r="I11028" s="11" t="s">
        <v>14640</v>
      </c>
      <c r="J11028" s="1285"/>
      <c r="K11028" s="1285"/>
      <c r="L11028" s="1285"/>
    </row>
    <row r="11029" spans="1:12" ht="11.15" customHeight="1">
      <c r="A11029" s="162" t="s">
        <v>14643</v>
      </c>
      <c r="B11029" s="59" t="s">
        <v>22341</v>
      </c>
      <c r="C11029" s="147" t="s">
        <v>20221</v>
      </c>
      <c r="D11029" s="284" t="s">
        <v>897</v>
      </c>
      <c r="E11029" s="178">
        <v>2018</v>
      </c>
      <c r="F11029" s="178" t="s">
        <v>4520</v>
      </c>
      <c r="G11029" s="496"/>
      <c r="H11029" s="994" t="s">
        <v>20221</v>
      </c>
      <c r="I11029" s="11" t="s">
        <v>14642</v>
      </c>
      <c r="J11029" s="1285"/>
      <c r="K11029" s="1285"/>
      <c r="L11029" s="1285"/>
    </row>
    <row r="11030" spans="1:12" ht="11.15" customHeight="1">
      <c r="A11030" s="162" t="s">
        <v>14645</v>
      </c>
      <c r="B11030" s="59" t="s">
        <v>22341</v>
      </c>
      <c r="C11030" s="147" t="s">
        <v>20221</v>
      </c>
      <c r="D11030" s="284" t="s">
        <v>897</v>
      </c>
      <c r="E11030" s="178">
        <v>2013</v>
      </c>
      <c r="F11030" s="178" t="s">
        <v>4520</v>
      </c>
      <c r="G11030" s="496"/>
      <c r="H11030" s="994" t="s">
        <v>20224</v>
      </c>
      <c r="I11030" s="11" t="s">
        <v>14644</v>
      </c>
      <c r="J11030" s="1285"/>
      <c r="K11030" s="1285"/>
      <c r="L11030" s="1285"/>
    </row>
    <row r="11031" spans="1:12" ht="11.15" customHeight="1">
      <c r="A11031" s="162" t="s">
        <v>14647</v>
      </c>
      <c r="B11031" s="59" t="s">
        <v>22342</v>
      </c>
      <c r="C11031" s="147" t="s">
        <v>20221</v>
      </c>
      <c r="D11031" s="284" t="s">
        <v>897</v>
      </c>
      <c r="E11031" s="178">
        <v>2015</v>
      </c>
      <c r="F11031" s="178" t="s">
        <v>4520</v>
      </c>
      <c r="G11031" s="496"/>
      <c r="H11031" s="994" t="s">
        <v>20221</v>
      </c>
      <c r="I11031" s="11" t="s">
        <v>14646</v>
      </c>
      <c r="J11031" s="1285"/>
      <c r="K11031" s="1285"/>
      <c r="L11031" s="1285"/>
    </row>
    <row r="11032" spans="1:12" ht="11.15" customHeight="1">
      <c r="A11032" s="162" t="s">
        <v>14649</v>
      </c>
      <c r="B11032" s="59" t="s">
        <v>22343</v>
      </c>
      <c r="C11032" s="147" t="s">
        <v>20221</v>
      </c>
      <c r="D11032" s="284" t="s">
        <v>897</v>
      </c>
      <c r="E11032" s="178">
        <v>2021</v>
      </c>
      <c r="F11032" s="178" t="s">
        <v>4520</v>
      </c>
      <c r="G11032" s="496"/>
      <c r="H11032" s="994" t="s">
        <v>20221</v>
      </c>
      <c r="I11032" s="11" t="s">
        <v>14648</v>
      </c>
      <c r="J11032" s="1285"/>
      <c r="K11032" s="1285"/>
      <c r="L11032" s="1285"/>
    </row>
    <row r="11033" spans="1:12" ht="11.15" customHeight="1">
      <c r="A11033" s="162" t="s">
        <v>14651</v>
      </c>
      <c r="B11033" s="59" t="s">
        <v>22343</v>
      </c>
      <c r="C11033" s="147" t="s">
        <v>20221</v>
      </c>
      <c r="D11033" s="284" t="s">
        <v>897</v>
      </c>
      <c r="E11033" s="178">
        <v>2020</v>
      </c>
      <c r="F11033" s="178" t="s">
        <v>4520</v>
      </c>
      <c r="G11033" s="496"/>
      <c r="H11033" s="994" t="s">
        <v>20224</v>
      </c>
      <c r="I11033" s="11" t="s">
        <v>14650</v>
      </c>
      <c r="J11033" s="1285"/>
      <c r="K11033" s="1285"/>
      <c r="L11033" s="1285"/>
    </row>
    <row r="11034" spans="1:12" ht="11.15" customHeight="1">
      <c r="A11034" s="162" t="s">
        <v>14653</v>
      </c>
      <c r="B11034" s="59" t="s">
        <v>22343</v>
      </c>
      <c r="C11034" s="147" t="s">
        <v>20221</v>
      </c>
      <c r="D11034" s="284" t="s">
        <v>897</v>
      </c>
      <c r="E11034" s="178">
        <v>2019</v>
      </c>
      <c r="F11034" s="178" t="s">
        <v>4520</v>
      </c>
      <c r="G11034" s="496"/>
      <c r="H11034" s="994" t="s">
        <v>20277</v>
      </c>
      <c r="I11034" s="11" t="s">
        <v>14652</v>
      </c>
      <c r="J11034" s="1285"/>
      <c r="K11034" s="1285"/>
      <c r="L11034" s="1285"/>
    </row>
    <row r="11035" spans="1:12" ht="11.15" customHeight="1">
      <c r="A11035" s="162" t="s">
        <v>14655</v>
      </c>
      <c r="B11035" s="59" t="s">
        <v>22344</v>
      </c>
      <c r="C11035" s="147" t="s">
        <v>20221</v>
      </c>
      <c r="D11035" s="284" t="s">
        <v>897</v>
      </c>
      <c r="E11035" s="178">
        <v>2015</v>
      </c>
      <c r="F11035" s="178" t="s">
        <v>4520</v>
      </c>
      <c r="G11035" s="496"/>
      <c r="H11035" s="994" t="s">
        <v>20221</v>
      </c>
      <c r="I11035" s="11" t="s">
        <v>14654</v>
      </c>
      <c r="J11035" s="1285"/>
      <c r="K11035" s="1285"/>
      <c r="L11035" s="1285"/>
    </row>
    <row r="11036" spans="1:12" ht="11.15" customHeight="1">
      <c r="A11036" s="162" t="s">
        <v>14657</v>
      </c>
      <c r="B11036" s="59" t="s">
        <v>22345</v>
      </c>
      <c r="C11036" s="147" t="s">
        <v>20221</v>
      </c>
      <c r="D11036" s="284" t="s">
        <v>897</v>
      </c>
      <c r="E11036" s="178">
        <v>2010</v>
      </c>
      <c r="F11036" s="178" t="s">
        <v>4520</v>
      </c>
      <c r="G11036" s="496"/>
      <c r="H11036" s="994" t="s">
        <v>20221</v>
      </c>
      <c r="I11036" s="11" t="s">
        <v>14656</v>
      </c>
      <c r="J11036" s="1285"/>
      <c r="K11036" s="1285"/>
      <c r="L11036" s="1285"/>
    </row>
    <row r="11037" spans="1:12" ht="11.15" customHeight="1">
      <c r="A11037" s="162" t="s">
        <v>14659</v>
      </c>
      <c r="B11037" s="59" t="s">
        <v>22346</v>
      </c>
      <c r="C11037" s="147" t="s">
        <v>20221</v>
      </c>
      <c r="D11037" s="284" t="s">
        <v>897</v>
      </c>
      <c r="E11037" s="178">
        <v>2022</v>
      </c>
      <c r="F11037" s="178" t="s">
        <v>4520</v>
      </c>
      <c r="G11037" s="496"/>
      <c r="H11037" s="994" t="s">
        <v>20221</v>
      </c>
      <c r="I11037" s="11" t="s">
        <v>23357</v>
      </c>
      <c r="J11037" s="1285"/>
      <c r="K11037" s="1285"/>
      <c r="L11037" s="1285"/>
    </row>
    <row r="11038" spans="1:12" ht="11.15" customHeight="1">
      <c r="A11038" s="162" t="s">
        <v>14661</v>
      </c>
      <c r="B11038" s="59" t="s">
        <v>22346</v>
      </c>
      <c r="C11038" s="147" t="s">
        <v>20221</v>
      </c>
      <c r="D11038" s="284" t="s">
        <v>897</v>
      </c>
      <c r="E11038" s="178">
        <v>2021</v>
      </c>
      <c r="F11038" s="178" t="s">
        <v>4520</v>
      </c>
      <c r="G11038" s="496"/>
      <c r="H11038" s="994" t="s">
        <v>20224</v>
      </c>
      <c r="I11038" s="11" t="s">
        <v>14658</v>
      </c>
      <c r="J11038" s="1285"/>
      <c r="K11038" s="1285"/>
      <c r="L11038" s="1285"/>
    </row>
    <row r="11039" spans="1:12" ht="11.15" customHeight="1">
      <c r="A11039" s="162" t="s">
        <v>14663</v>
      </c>
      <c r="B11039" s="59" t="s">
        <v>22347</v>
      </c>
      <c r="C11039" s="147" t="s">
        <v>20221</v>
      </c>
      <c r="D11039" s="284" t="s">
        <v>897</v>
      </c>
      <c r="E11039" s="178">
        <v>2018</v>
      </c>
      <c r="F11039" s="178" t="s">
        <v>23394</v>
      </c>
      <c r="G11039" s="496"/>
      <c r="H11039" s="994" t="s">
        <v>20221</v>
      </c>
      <c r="I11039" s="11" t="s">
        <v>14660</v>
      </c>
      <c r="J11039" s="1285"/>
      <c r="K11039" s="1285"/>
      <c r="L11039" s="1285"/>
    </row>
    <row r="11040" spans="1:12" ht="11.15" customHeight="1">
      <c r="A11040" s="162" t="s">
        <v>14665</v>
      </c>
      <c r="B11040" s="59" t="s">
        <v>22348</v>
      </c>
      <c r="C11040" s="147" t="s">
        <v>20221</v>
      </c>
      <c r="D11040" s="284" t="s">
        <v>897</v>
      </c>
      <c r="E11040" s="178">
        <v>2022</v>
      </c>
      <c r="F11040" s="178" t="s">
        <v>4520</v>
      </c>
      <c r="G11040" s="496"/>
      <c r="H11040" s="994" t="s">
        <v>20221</v>
      </c>
      <c r="I11040" s="11" t="s">
        <v>14662</v>
      </c>
      <c r="J11040" s="1285"/>
      <c r="K11040" s="1285"/>
      <c r="L11040" s="1285"/>
    </row>
    <row r="11041" spans="1:12" ht="10.5" customHeight="1">
      <c r="A11041" s="162" t="s">
        <v>14667</v>
      </c>
      <c r="B11041" s="59" t="s">
        <v>22349</v>
      </c>
      <c r="C11041" s="147" t="s">
        <v>20221</v>
      </c>
      <c r="D11041" s="284" t="s">
        <v>897</v>
      </c>
      <c r="E11041" s="178">
        <v>2019</v>
      </c>
      <c r="F11041" s="178" t="s">
        <v>23394</v>
      </c>
      <c r="G11041" s="496"/>
      <c r="H11041" s="994" t="s">
        <v>20221</v>
      </c>
      <c r="I11041" s="11" t="s">
        <v>14664</v>
      </c>
      <c r="J11041" s="1285"/>
      <c r="K11041" s="1285"/>
      <c r="L11041" s="1285"/>
    </row>
    <row r="11042" spans="1:12" ht="11.15" customHeight="1">
      <c r="A11042" s="129" t="s">
        <v>14669</v>
      </c>
      <c r="B11042" s="59" t="s">
        <v>22350</v>
      </c>
      <c r="C11042" s="147" t="s">
        <v>23393</v>
      </c>
      <c r="D11042" s="284" t="s">
        <v>897</v>
      </c>
      <c r="E11042" s="178">
        <v>2021</v>
      </c>
      <c r="F11042" s="178" t="s">
        <v>23394</v>
      </c>
      <c r="G11042" s="496"/>
      <c r="H11042" s="994" t="s">
        <v>20224</v>
      </c>
      <c r="I11042" s="11" t="s">
        <v>14666</v>
      </c>
      <c r="J11042" s="1285"/>
      <c r="K11042" s="1285"/>
      <c r="L11042" s="1285"/>
    </row>
    <row r="11043" spans="1:12" ht="11.15" customHeight="1">
      <c r="A11043" s="162" t="s">
        <v>14671</v>
      </c>
      <c r="B11043" s="154" t="s">
        <v>14668</v>
      </c>
      <c r="C11043" s="147"/>
      <c r="D11043" s="129"/>
      <c r="E11043" s="185"/>
      <c r="F11043" s="185"/>
      <c r="G11043" s="185"/>
      <c r="H11043" s="185"/>
      <c r="I11043" s="11"/>
    </row>
    <row r="11044" spans="1:12" ht="11.15" customHeight="1">
      <c r="A11044" s="162" t="s">
        <v>14673</v>
      </c>
      <c r="B11044" s="59" t="s">
        <v>22351</v>
      </c>
      <c r="C11044" s="147" t="s">
        <v>20221</v>
      </c>
      <c r="D11044" s="284" t="s">
        <v>897</v>
      </c>
      <c r="E11044" s="178">
        <v>2013</v>
      </c>
      <c r="F11044" s="178" t="s">
        <v>4520</v>
      </c>
      <c r="G11044" s="496"/>
      <c r="H11044" s="994" t="s">
        <v>20221</v>
      </c>
      <c r="I11044" s="11" t="s">
        <v>14670</v>
      </c>
      <c r="J11044" s="1285"/>
      <c r="K11044" s="1285"/>
      <c r="L11044" s="1285"/>
    </row>
    <row r="11045" spans="1:12" ht="11.15" customHeight="1">
      <c r="A11045" s="162" t="s">
        <v>14675</v>
      </c>
      <c r="B11045" s="59" t="s">
        <v>22352</v>
      </c>
      <c r="C11045" s="147" t="s">
        <v>20221</v>
      </c>
      <c r="D11045" s="284" t="s">
        <v>897</v>
      </c>
      <c r="E11045" s="178">
        <v>2022</v>
      </c>
      <c r="F11045" s="178" t="s">
        <v>23394</v>
      </c>
      <c r="G11045" s="496"/>
      <c r="H11045" s="994" t="s">
        <v>20221</v>
      </c>
      <c r="I11045" s="11" t="s">
        <v>14672</v>
      </c>
      <c r="J11045" s="1285"/>
      <c r="K11045" s="1285"/>
      <c r="L11045" s="1285"/>
    </row>
    <row r="11046" spans="1:12" ht="11.15" customHeight="1">
      <c r="A11046" s="162" t="s">
        <v>14677</v>
      </c>
      <c r="B11046" s="59" t="s">
        <v>22352</v>
      </c>
      <c r="C11046" s="147" t="s">
        <v>20221</v>
      </c>
      <c r="D11046" s="284" t="s">
        <v>897</v>
      </c>
      <c r="E11046" s="178">
        <v>2021</v>
      </c>
      <c r="F11046" s="178" t="s">
        <v>23394</v>
      </c>
      <c r="G11046" s="496"/>
      <c r="H11046" s="994" t="s">
        <v>20224</v>
      </c>
      <c r="I11046" s="11" t="s">
        <v>14674</v>
      </c>
      <c r="J11046" s="1285"/>
      <c r="K11046" s="1285"/>
      <c r="L11046" s="1285"/>
    </row>
    <row r="11047" spans="1:12" ht="11.15" customHeight="1">
      <c r="A11047" s="162" t="s">
        <v>14679</v>
      </c>
      <c r="B11047" s="59" t="s">
        <v>22353</v>
      </c>
      <c r="C11047" s="147" t="s">
        <v>20221</v>
      </c>
      <c r="D11047" s="284" t="s">
        <v>897</v>
      </c>
      <c r="E11047" s="178">
        <v>2019</v>
      </c>
      <c r="F11047" s="178" t="s">
        <v>4520</v>
      </c>
      <c r="G11047" s="496"/>
      <c r="H11047" s="994" t="s">
        <v>20224</v>
      </c>
      <c r="I11047" s="11" t="s">
        <v>14676</v>
      </c>
      <c r="J11047" s="1285"/>
      <c r="K11047" s="1285"/>
      <c r="L11047" s="1285"/>
    </row>
    <row r="11048" spans="1:12" ht="11.15" customHeight="1">
      <c r="A11048" s="162" t="s">
        <v>14681</v>
      </c>
      <c r="B11048" s="59" t="s">
        <v>22353</v>
      </c>
      <c r="C11048" s="147" t="s">
        <v>20221</v>
      </c>
      <c r="D11048" s="284" t="s">
        <v>897</v>
      </c>
      <c r="E11048" s="178">
        <v>2018</v>
      </c>
      <c r="F11048" s="178" t="s">
        <v>23394</v>
      </c>
      <c r="G11048" s="496"/>
      <c r="H11048" s="994" t="s">
        <v>20224</v>
      </c>
      <c r="I11048" s="11" t="s">
        <v>14678</v>
      </c>
      <c r="J11048" s="1285"/>
      <c r="K11048" s="1285"/>
      <c r="L11048" s="1285"/>
    </row>
    <row r="11049" spans="1:12" ht="11.15" customHeight="1">
      <c r="A11049" s="162" t="s">
        <v>14683</v>
      </c>
      <c r="B11049" s="154" t="s">
        <v>14680</v>
      </c>
      <c r="C11049" s="147"/>
      <c r="D11049" s="129"/>
      <c r="E11049" s="185"/>
      <c r="F11049" s="185"/>
      <c r="G11049" s="185"/>
      <c r="H11049" s="185"/>
      <c r="I11049" s="11"/>
    </row>
    <row r="11050" spans="1:12" ht="11.15" customHeight="1">
      <c r="A11050" s="162" t="s">
        <v>14685</v>
      </c>
      <c r="B11050" s="59" t="s">
        <v>22354</v>
      </c>
      <c r="C11050" s="147" t="s">
        <v>20221</v>
      </c>
      <c r="D11050" s="284" t="s">
        <v>897</v>
      </c>
      <c r="E11050" s="178">
        <v>2005</v>
      </c>
      <c r="F11050" s="178" t="s">
        <v>9678</v>
      </c>
      <c r="G11050" s="496"/>
      <c r="H11050" s="994" t="s">
        <v>20277</v>
      </c>
      <c r="I11050" s="11" t="s">
        <v>14682</v>
      </c>
      <c r="J11050" s="1285"/>
      <c r="K11050" s="1285"/>
      <c r="L11050" s="1285"/>
    </row>
    <row r="11051" spans="1:12" ht="11.15" customHeight="1">
      <c r="A11051" s="162" t="s">
        <v>14686</v>
      </c>
      <c r="B11051" s="59" t="s">
        <v>22355</v>
      </c>
      <c r="C11051" s="147" t="s">
        <v>20221</v>
      </c>
      <c r="D11051" s="284" t="s">
        <v>897</v>
      </c>
      <c r="E11051" s="178">
        <v>2012</v>
      </c>
      <c r="F11051" s="178" t="s">
        <v>9678</v>
      </c>
      <c r="G11051" s="496"/>
      <c r="H11051" s="994" t="s">
        <v>20224</v>
      </c>
      <c r="I11051" s="11" t="s">
        <v>14684</v>
      </c>
      <c r="J11051" s="1285"/>
      <c r="K11051" s="1285"/>
      <c r="L11051" s="1285"/>
    </row>
    <row r="11052" spans="1:12" ht="11.15" customHeight="1">
      <c r="A11052" s="162" t="s">
        <v>14688</v>
      </c>
      <c r="B11052" s="154" t="s">
        <v>14687</v>
      </c>
      <c r="C11052" s="147"/>
      <c r="D11052" s="185"/>
      <c r="E11052" s="185"/>
      <c r="F11052" s="185"/>
      <c r="G11052" s="185"/>
      <c r="H11052" s="185"/>
      <c r="I11052" s="11"/>
    </row>
    <row r="11053" spans="1:12" ht="11.15" customHeight="1">
      <c r="A11053" s="162" t="s">
        <v>14691</v>
      </c>
      <c r="B11053" s="59" t="s">
        <v>22356</v>
      </c>
      <c r="C11053" s="147" t="s">
        <v>20221</v>
      </c>
      <c r="D11053" s="1035" t="s">
        <v>14689</v>
      </c>
      <c r="E11053" s="178" t="s">
        <v>22357</v>
      </c>
      <c r="F11053" s="178" t="s">
        <v>4520</v>
      </c>
      <c r="G11053" s="496"/>
      <c r="H11053" s="994" t="s">
        <v>20221</v>
      </c>
      <c r="I11053" s="11" t="s">
        <v>14690</v>
      </c>
      <c r="J11053" s="1285"/>
      <c r="K11053" s="1285"/>
      <c r="L11053" s="1285"/>
    </row>
    <row r="11054" spans="1:12" ht="11.15" customHeight="1">
      <c r="A11054" s="162" t="s">
        <v>14693</v>
      </c>
      <c r="B11054" s="59" t="s">
        <v>22358</v>
      </c>
      <c r="C11054" s="147" t="s">
        <v>20221</v>
      </c>
      <c r="D11054" s="1035" t="s">
        <v>14689</v>
      </c>
      <c r="E11054" s="178" t="s">
        <v>22359</v>
      </c>
      <c r="F11054" s="178" t="s">
        <v>7168</v>
      </c>
      <c r="G11054" s="496"/>
      <c r="H11054" s="994" t="s">
        <v>20221</v>
      </c>
      <c r="I11054" s="11" t="s">
        <v>14692</v>
      </c>
      <c r="J11054" s="1285"/>
      <c r="K11054" s="1285"/>
      <c r="L11054" s="1285"/>
    </row>
    <row r="11055" spans="1:12" ht="11.15" customHeight="1" thickBot="1">
      <c r="A11055" s="162" t="s">
        <v>14694</v>
      </c>
      <c r="B11055" s="185"/>
      <c r="C11055" s="147"/>
      <c r="D11055" s="185"/>
      <c r="E11055" s="185"/>
      <c r="F11055" s="185"/>
      <c r="G11055" s="185"/>
      <c r="H11055" s="185"/>
      <c r="I11055" s="11"/>
    </row>
    <row r="11056" spans="1:12" ht="11.15" customHeight="1">
      <c r="A11056" s="162" t="s">
        <v>14695</v>
      </c>
      <c r="B11056" s="710" t="s">
        <v>14436</v>
      </c>
      <c r="C11056" s="147"/>
      <c r="D11056" s="185"/>
      <c r="E11056" s="185"/>
      <c r="F11056" s="185"/>
      <c r="G11056" s="185"/>
      <c r="H11056" s="185"/>
      <c r="I11056" s="11"/>
    </row>
    <row r="11057" spans="1:9" ht="11.15" customHeight="1">
      <c r="A11057" s="162" t="s">
        <v>14696</v>
      </c>
      <c r="B11057" s="711" t="s">
        <v>14438</v>
      </c>
      <c r="C11057" s="147"/>
      <c r="D11057" s="129"/>
      <c r="E11057" s="185"/>
      <c r="F11057" s="185"/>
      <c r="G11057" s="185"/>
      <c r="H11057" s="185"/>
      <c r="I11057" s="11"/>
    </row>
    <row r="11058" spans="1:9" ht="11.15" customHeight="1">
      <c r="A11058" s="162" t="s">
        <v>14697</v>
      </c>
      <c r="B11058" s="711" t="s">
        <v>14439</v>
      </c>
      <c r="C11058" s="147"/>
      <c r="D11058" s="129"/>
      <c r="E11058" s="185"/>
      <c r="F11058" s="185"/>
      <c r="G11058" s="185"/>
      <c r="H11058" s="185"/>
      <c r="I11058" s="11"/>
    </row>
    <row r="11059" spans="1:9" ht="11.15" customHeight="1">
      <c r="A11059" s="162" t="s">
        <v>14698</v>
      </c>
      <c r="B11059" s="711" t="s">
        <v>14440</v>
      </c>
      <c r="C11059" s="147"/>
      <c r="D11059" s="129"/>
      <c r="E11059" s="185"/>
      <c r="F11059" s="185"/>
      <c r="G11059" s="185"/>
      <c r="H11059" s="185"/>
      <c r="I11059" s="11"/>
    </row>
    <row r="11060" spans="1:9" ht="11.15" customHeight="1">
      <c r="A11060" s="162" t="s">
        <v>14699</v>
      </c>
      <c r="B11060" s="711" t="s">
        <v>14441</v>
      </c>
      <c r="C11060" s="147"/>
      <c r="D11060" s="129"/>
      <c r="E11060" s="185"/>
      <c r="F11060" s="185"/>
      <c r="G11060" s="185"/>
      <c r="H11060" s="185"/>
      <c r="I11060" s="11"/>
    </row>
    <row r="11061" spans="1:9" ht="11.15" customHeight="1">
      <c r="A11061" s="162" t="s">
        <v>14700</v>
      </c>
      <c r="B11061" s="711" t="s">
        <v>14443</v>
      </c>
      <c r="C11061" s="147"/>
      <c r="D11061" s="129"/>
      <c r="E11061" s="185"/>
      <c r="F11061" s="185"/>
      <c r="G11061" s="185"/>
      <c r="H11061" s="185"/>
      <c r="I11061" s="11"/>
    </row>
    <row r="11062" spans="1:9" ht="11.15" customHeight="1">
      <c r="A11062" s="162" t="s">
        <v>14701</v>
      </c>
      <c r="B11062" s="711" t="s">
        <v>14444</v>
      </c>
      <c r="C11062" s="147"/>
      <c r="D11062" s="129"/>
      <c r="E11062" s="185"/>
      <c r="F11062" s="185"/>
      <c r="G11062" s="185"/>
      <c r="H11062" s="185"/>
      <c r="I11062" s="11"/>
    </row>
    <row r="11063" spans="1:9" ht="11.15" customHeight="1" thickBot="1">
      <c r="A11063" s="162" t="s">
        <v>14702</v>
      </c>
      <c r="B11063" s="712" t="s">
        <v>14445</v>
      </c>
      <c r="C11063" s="147"/>
      <c r="D11063" s="129"/>
      <c r="E11063" s="185"/>
      <c r="F11063" s="185"/>
      <c r="G11063" s="185"/>
      <c r="H11063" s="185"/>
      <c r="I11063" s="11"/>
    </row>
    <row r="11064" spans="1:9" ht="11.15" customHeight="1">
      <c r="A11064" s="162" t="s">
        <v>14703</v>
      </c>
      <c r="B11064" s="185"/>
      <c r="C11064" s="185"/>
      <c r="D11064" s="185"/>
      <c r="E11064" s="185"/>
      <c r="F11064" s="185"/>
      <c r="G11064" s="185"/>
      <c r="H11064" s="185"/>
      <c r="I11064" s="11"/>
    </row>
    <row r="11065" spans="1:9" ht="11.15" customHeight="1">
      <c r="A11065" s="162" t="s">
        <v>14704</v>
      </c>
      <c r="B11065" s="185"/>
      <c r="C11065" s="185"/>
      <c r="D11065" s="185"/>
      <c r="E11065" s="185"/>
      <c r="F11065" s="185"/>
      <c r="G11065" s="185"/>
      <c r="H11065" s="185"/>
      <c r="I11065" s="11"/>
    </row>
    <row r="11066" spans="1:9" ht="11.15" customHeight="1">
      <c r="A11066" s="162" t="s">
        <v>14705</v>
      </c>
      <c r="B11066" s="185"/>
      <c r="C11066" s="185"/>
      <c r="D11066" s="185"/>
      <c r="E11066" s="185"/>
      <c r="F11066" s="185"/>
      <c r="G11066" s="185"/>
      <c r="H11066" s="185"/>
      <c r="I11066" s="11"/>
    </row>
    <row r="11067" spans="1:9" ht="11.15" customHeight="1">
      <c r="A11067" s="162" t="s">
        <v>14706</v>
      </c>
      <c r="B11067" s="185"/>
      <c r="C11067" s="185"/>
      <c r="D11067" s="185"/>
      <c r="E11067" s="185"/>
      <c r="F11067" s="185"/>
      <c r="G11067" s="185"/>
      <c r="H11067" s="185"/>
      <c r="I11067" s="11"/>
    </row>
    <row r="11068" spans="1:9" ht="11.15" customHeight="1">
      <c r="A11068" s="162" t="s">
        <v>14707</v>
      </c>
      <c r="B11068" s="185"/>
      <c r="C11068" s="185"/>
      <c r="D11068" s="185"/>
      <c r="E11068" s="185"/>
      <c r="F11068" s="185"/>
      <c r="G11068" s="185"/>
      <c r="H11068" s="185"/>
      <c r="I11068" s="11"/>
    </row>
    <row r="11069" spans="1:9" ht="11.15" customHeight="1">
      <c r="A11069" s="162" t="s">
        <v>14708</v>
      </c>
      <c r="B11069" s="185"/>
      <c r="C11069" s="185"/>
      <c r="D11069" s="185"/>
      <c r="E11069" s="185"/>
      <c r="F11069" s="185"/>
      <c r="G11069" s="185"/>
      <c r="H11069" s="185"/>
      <c r="I11069" s="11"/>
    </row>
    <row r="11070" spans="1:9" ht="11.15" customHeight="1">
      <c r="A11070" s="129" t="s">
        <v>14709</v>
      </c>
      <c r="B11070" s="185"/>
      <c r="C11070" s="147"/>
      <c r="D11070" s="185"/>
      <c r="E11070" s="185"/>
      <c r="F11070" s="185"/>
      <c r="G11070" s="185"/>
      <c r="H11070" s="185"/>
      <c r="I11070" s="11"/>
    </row>
    <row r="11071" spans="1:9" ht="11.15" customHeight="1">
      <c r="A11071" s="162" t="s">
        <v>9435</v>
      </c>
      <c r="B11071" s="185"/>
      <c r="C11071" s="147"/>
      <c r="D11071" s="185"/>
      <c r="E11071" s="185"/>
      <c r="F11071" s="185"/>
      <c r="G11071" s="185"/>
      <c r="H11071" s="185"/>
      <c r="I11071" s="11"/>
    </row>
    <row r="11072" spans="1:9" ht="11.15" customHeight="1">
      <c r="A11072" s="162" t="s">
        <v>14710</v>
      </c>
      <c r="B11072" s="185"/>
      <c r="C11072" s="147"/>
      <c r="D11072" s="185"/>
      <c r="E11072" s="185"/>
      <c r="F11072" s="185"/>
      <c r="G11072" s="185"/>
      <c r="H11072" s="185"/>
      <c r="I11072" s="11"/>
    </row>
    <row r="11073" spans="1:12" ht="11.15" customHeight="1">
      <c r="A11073" s="162" t="s">
        <v>14711</v>
      </c>
      <c r="B11073" s="185"/>
      <c r="C11073" s="147"/>
      <c r="D11073" s="185"/>
      <c r="E11073" s="185"/>
      <c r="F11073" s="185"/>
      <c r="G11073" s="185"/>
      <c r="H11073" s="185"/>
      <c r="I11073" s="11"/>
    </row>
    <row r="11074" spans="1:12" ht="11.15" customHeight="1">
      <c r="A11074" s="162" t="s">
        <v>9439</v>
      </c>
      <c r="B11074" s="185"/>
      <c r="C11074" s="147"/>
      <c r="D11074" s="185"/>
      <c r="E11074" s="185"/>
      <c r="F11074" s="185"/>
      <c r="G11074" s="185"/>
      <c r="H11074" s="185"/>
      <c r="I11074" s="11"/>
    </row>
    <row r="11075" spans="1:12" ht="11.15" customHeight="1">
      <c r="A11075" s="162" t="s">
        <v>14712</v>
      </c>
      <c r="B11075" s="185"/>
      <c r="C11075" s="147"/>
      <c r="D11075" s="129"/>
      <c r="E11075" s="185"/>
      <c r="F11075" s="185"/>
      <c r="G11075" s="185"/>
      <c r="H11075" s="185"/>
      <c r="I11075" s="11"/>
    </row>
    <row r="11076" spans="1:12" ht="11.15" customHeight="1">
      <c r="A11076" s="162" t="s">
        <v>14713</v>
      </c>
      <c r="B11076" s="185"/>
      <c r="C11076" s="147"/>
      <c r="D11076" s="129"/>
      <c r="E11076" s="185"/>
      <c r="F11076" s="185"/>
      <c r="G11076" s="185"/>
      <c r="H11076" s="185"/>
      <c r="I11076" s="11"/>
    </row>
    <row r="11077" spans="1:12" ht="11.15" customHeight="1">
      <c r="A11077" s="162" t="s">
        <v>14714</v>
      </c>
      <c r="B11077" s="185"/>
      <c r="C11077" s="147"/>
      <c r="D11077" s="185"/>
      <c r="E11077" s="185"/>
      <c r="F11077" s="185"/>
      <c r="G11077" s="185"/>
      <c r="H11077" s="185"/>
      <c r="I11077" s="11"/>
    </row>
    <row r="11078" spans="1:12" ht="11.15" customHeight="1">
      <c r="A11078" s="166" t="s">
        <v>14300</v>
      </c>
      <c r="B11078" s="185"/>
      <c r="C11078" s="147"/>
      <c r="D11078" s="129"/>
      <c r="E11078" s="185"/>
      <c r="F11078" s="185"/>
      <c r="G11078" s="185"/>
      <c r="H11078" s="185"/>
      <c r="I11078" s="11"/>
    </row>
    <row r="11079" spans="1:12" ht="11.15" customHeight="1">
      <c r="A11079" s="166" t="s">
        <v>14715</v>
      </c>
      <c r="B11079" s="185"/>
      <c r="C11079" s="147"/>
      <c r="D11079" s="129"/>
      <c r="E11079" s="185"/>
      <c r="F11079" s="185"/>
      <c r="G11079" s="185"/>
      <c r="H11079" s="185"/>
      <c r="I11079" s="11"/>
    </row>
    <row r="11080" spans="1:12" ht="11.15" customHeight="1">
      <c r="A11080" s="129" t="s">
        <v>14716</v>
      </c>
      <c r="B11080" s="185"/>
      <c r="C11080" s="147"/>
      <c r="D11080" s="129"/>
      <c r="E11080" s="185"/>
      <c r="F11080" s="185"/>
      <c r="G11080" s="185"/>
      <c r="H11080" s="185"/>
      <c r="I11080" s="11"/>
    </row>
    <row r="11081" spans="1:12" ht="11.15" customHeight="1">
      <c r="A11081" s="129" t="s">
        <v>14717</v>
      </c>
      <c r="B11081" s="185"/>
      <c r="C11081" s="147"/>
      <c r="D11081" s="129"/>
      <c r="E11081" s="185"/>
      <c r="F11081" s="185"/>
      <c r="G11081" s="185"/>
      <c r="H11081" s="185"/>
      <c r="I11081" s="11"/>
    </row>
    <row r="11082" spans="1:12" ht="11.15" customHeight="1">
      <c r="A11082" s="129" t="s">
        <v>14718</v>
      </c>
      <c r="B11082" s="185"/>
      <c r="C11082" s="147"/>
      <c r="D11082" s="129"/>
      <c r="E11082" s="185"/>
      <c r="F11082" s="185"/>
      <c r="G11082" s="185"/>
      <c r="H11082" s="185"/>
      <c r="I11082" s="11"/>
    </row>
    <row r="11083" spans="1:12" ht="11.15" customHeight="1">
      <c r="A11083" s="129" t="s">
        <v>14719</v>
      </c>
      <c r="B11083" s="185"/>
      <c r="C11083" s="147"/>
      <c r="D11083" s="129"/>
      <c r="E11083" s="185"/>
      <c r="F11083" s="185"/>
      <c r="G11083" s="185"/>
      <c r="H11083" s="185"/>
      <c r="I11083" s="11"/>
    </row>
    <row r="11084" spans="1:12" ht="11.15" customHeight="1">
      <c r="A11084" s="129" t="s">
        <v>14301</v>
      </c>
      <c r="B11084" s="185"/>
      <c r="C11084" s="147"/>
      <c r="D11084" s="129"/>
      <c r="E11084" s="185"/>
      <c r="F11084" s="185"/>
      <c r="G11084" s="185"/>
      <c r="H11084" s="185"/>
      <c r="I11084" s="11"/>
    </row>
    <row r="11085" spans="1:12" ht="11.15" customHeight="1" thickBot="1">
      <c r="A11085" s="185"/>
      <c r="B11085" s="185"/>
      <c r="C11085" s="147"/>
      <c r="D11085" s="129"/>
      <c r="E11085" s="185"/>
      <c r="F11085" s="185"/>
      <c r="G11085" s="185"/>
      <c r="H11085" s="185"/>
      <c r="I11085" s="11"/>
    </row>
    <row r="11086" spans="1:12" ht="24" customHeight="1" thickBot="1">
      <c r="A11086" s="540"/>
      <c r="B11086" s="64" t="s">
        <v>14720</v>
      </c>
      <c r="C11086" s="170"/>
      <c r="D11086" s="382"/>
      <c r="E11086" s="543"/>
      <c r="F11086" s="1082"/>
      <c r="G11086" s="1249"/>
      <c r="H11086" s="1132"/>
      <c r="I11086" s="11"/>
    </row>
    <row r="11087" spans="1:12" ht="11.15" customHeight="1">
      <c r="A11087" s="153" t="s">
        <v>14721</v>
      </c>
      <c r="B11087" s="154" t="s">
        <v>14603</v>
      </c>
      <c r="C11087" s="147"/>
      <c r="D11087" s="129"/>
      <c r="E11087" s="185"/>
      <c r="F11087" s="185"/>
      <c r="G11087" s="185"/>
      <c r="H11087" s="185"/>
      <c r="I11087" s="11"/>
    </row>
    <row r="11088" spans="1:12" ht="11.15" customHeight="1" thickBot="1">
      <c r="A11088" s="230" t="s">
        <v>14722</v>
      </c>
      <c r="B11088" s="59" t="s">
        <v>22361</v>
      </c>
      <c r="C11088" s="147" t="s">
        <v>23393</v>
      </c>
      <c r="D11088" s="701" t="s">
        <v>1129</v>
      </c>
      <c r="E11088" s="178">
        <v>2019</v>
      </c>
      <c r="F11088" s="178" t="s">
        <v>23394</v>
      </c>
      <c r="G11088" s="496"/>
      <c r="H11088" s="994" t="s">
        <v>20221</v>
      </c>
      <c r="I11088" s="11" t="s">
        <v>14723</v>
      </c>
      <c r="J11088" s="1285"/>
      <c r="K11088" s="1285"/>
      <c r="L11088" s="1285"/>
    </row>
    <row r="11089" spans="1:12" ht="11.15" customHeight="1">
      <c r="A11089" s="29" t="s">
        <v>14724</v>
      </c>
      <c r="B11089" s="59" t="s">
        <v>22361</v>
      </c>
      <c r="C11089" s="147" t="s">
        <v>20221</v>
      </c>
      <c r="D11089" s="701" t="s">
        <v>1129</v>
      </c>
      <c r="E11089" s="178">
        <v>2016</v>
      </c>
      <c r="F11089" s="178" t="s">
        <v>23394</v>
      </c>
      <c r="G11089" s="496"/>
      <c r="H11089" s="994" t="s">
        <v>20277</v>
      </c>
      <c r="I11089" s="11" t="s">
        <v>14725</v>
      </c>
      <c r="J11089" s="1285"/>
      <c r="K11089" s="1285"/>
      <c r="L11089" s="1285"/>
    </row>
    <row r="11090" spans="1:12" ht="11.15" customHeight="1">
      <c r="A11090" s="181" t="s">
        <v>14607</v>
      </c>
      <c r="B11090" s="59" t="s">
        <v>22362</v>
      </c>
      <c r="C11090" s="147" t="s">
        <v>23393</v>
      </c>
      <c r="D11090" s="701" t="s">
        <v>1129</v>
      </c>
      <c r="E11090" s="178" t="s">
        <v>20221</v>
      </c>
      <c r="F11090" s="178" t="s">
        <v>11938</v>
      </c>
      <c r="G11090" s="496" t="s">
        <v>20221</v>
      </c>
      <c r="H11090" s="994" t="s">
        <v>3907</v>
      </c>
      <c r="I11090" s="11" t="s">
        <v>14726</v>
      </c>
      <c r="J11090" s="1285"/>
      <c r="K11090" s="1285"/>
      <c r="L11090" s="1285"/>
    </row>
    <row r="11091" spans="1:12" ht="11.15" customHeight="1">
      <c r="A11091" s="181" t="s">
        <v>14727</v>
      </c>
      <c r="B11091" s="154" t="s">
        <v>1368</v>
      </c>
      <c r="C11091" s="147"/>
      <c r="D11091" s="129"/>
      <c r="E11091" s="185"/>
      <c r="F11091" s="185"/>
      <c r="G11091" s="185"/>
      <c r="H11091" s="185"/>
      <c r="I11091" s="11"/>
    </row>
    <row r="11092" spans="1:12" ht="11.15" customHeight="1">
      <c r="A11092" s="29" t="s">
        <v>14728</v>
      </c>
      <c r="B11092" s="59" t="s">
        <v>22363</v>
      </c>
      <c r="C11092" s="147" t="s">
        <v>20221</v>
      </c>
      <c r="D11092" s="1035" t="s">
        <v>1370</v>
      </c>
      <c r="E11092" s="178" t="s">
        <v>20221</v>
      </c>
      <c r="F11092" s="178" t="s">
        <v>9658</v>
      </c>
      <c r="G11092" s="496" t="s">
        <v>20221</v>
      </c>
      <c r="H11092" s="994" t="s">
        <v>3907</v>
      </c>
      <c r="I11092" s="11" t="s">
        <v>14729</v>
      </c>
      <c r="J11092" s="1285"/>
      <c r="K11092" s="1285"/>
      <c r="L11092" s="1285"/>
    </row>
    <row r="11093" spans="1:12" ht="11.15" customHeight="1">
      <c r="A11093" s="29" t="s">
        <v>12525</v>
      </c>
      <c r="B11093" s="154" t="s">
        <v>14730</v>
      </c>
      <c r="C11093" s="147"/>
      <c r="D11093" s="159"/>
      <c r="E11093" s="36"/>
      <c r="F11093" s="178"/>
      <c r="G11093" s="429"/>
      <c r="H11093" s="36"/>
      <c r="I11093" s="11"/>
    </row>
    <row r="11094" spans="1:12" ht="11.15" customHeight="1">
      <c r="A11094" s="29" t="s">
        <v>14731</v>
      </c>
      <c r="B11094" s="59" t="s">
        <v>22364</v>
      </c>
      <c r="C11094" s="147" t="s">
        <v>20221</v>
      </c>
      <c r="D11094" s="284" t="s">
        <v>897</v>
      </c>
      <c r="E11094" s="178">
        <v>2022</v>
      </c>
      <c r="F11094" s="178" t="s">
        <v>23421</v>
      </c>
      <c r="G11094" s="496"/>
      <c r="H11094" s="994" t="s">
        <v>20221</v>
      </c>
      <c r="I11094" s="11" t="s">
        <v>14732</v>
      </c>
      <c r="J11094" s="1285"/>
      <c r="K11094" s="1285"/>
      <c r="L11094" s="1285"/>
    </row>
    <row r="11095" spans="1:12" ht="11.15" customHeight="1">
      <c r="A11095" s="129" t="s">
        <v>14733</v>
      </c>
      <c r="B11095" s="59" t="s">
        <v>22365</v>
      </c>
      <c r="C11095" s="147" t="s">
        <v>20221</v>
      </c>
      <c r="D11095" s="284" t="s">
        <v>897</v>
      </c>
      <c r="E11095" s="178">
        <v>2021</v>
      </c>
      <c r="F11095" s="178" t="s">
        <v>4520</v>
      </c>
      <c r="G11095" s="496"/>
      <c r="H11095" s="994" t="s">
        <v>20221</v>
      </c>
      <c r="I11095" s="11" t="s">
        <v>14734</v>
      </c>
      <c r="J11095" s="1285"/>
      <c r="K11095" s="1285"/>
      <c r="L11095" s="1285"/>
    </row>
    <row r="11096" spans="1:12" ht="11.15" customHeight="1">
      <c r="A11096" s="162" t="s">
        <v>14611</v>
      </c>
      <c r="B11096" s="59" t="s">
        <v>22365</v>
      </c>
      <c r="C11096" s="147" t="s">
        <v>20221</v>
      </c>
      <c r="D11096" s="284" t="s">
        <v>897</v>
      </c>
      <c r="E11096" s="178">
        <v>2020</v>
      </c>
      <c r="F11096" s="178" t="s">
        <v>4520</v>
      </c>
      <c r="G11096" s="496"/>
      <c r="H11096" s="994" t="s">
        <v>20277</v>
      </c>
      <c r="I11096" s="11" t="s">
        <v>14735</v>
      </c>
      <c r="J11096" s="1285"/>
      <c r="K11096" s="1285"/>
      <c r="L11096" s="1285"/>
    </row>
    <row r="11097" spans="1:12" ht="11.15" customHeight="1">
      <c r="A11097" s="162" t="s">
        <v>14613</v>
      </c>
      <c r="B11097" s="154" t="s">
        <v>14736</v>
      </c>
      <c r="C11097" s="147"/>
      <c r="D11097" s="129"/>
      <c r="E11097" s="185"/>
      <c r="F11097" s="185"/>
      <c r="G11097" s="185"/>
      <c r="H11097" s="185"/>
      <c r="I11097" s="11"/>
    </row>
    <row r="11098" spans="1:12" ht="11.15" customHeight="1">
      <c r="A11098" s="162" t="s">
        <v>14737</v>
      </c>
      <c r="B11098" s="59" t="s">
        <v>22366</v>
      </c>
      <c r="C11098" s="147" t="s">
        <v>20221</v>
      </c>
      <c r="D11098" s="284" t="s">
        <v>897</v>
      </c>
      <c r="E11098" s="178">
        <v>2015</v>
      </c>
      <c r="F11098" s="178" t="s">
        <v>23394</v>
      </c>
      <c r="G11098" s="496"/>
      <c r="H11098" s="994" t="s">
        <v>20221</v>
      </c>
      <c r="I11098" s="11" t="s">
        <v>14738</v>
      </c>
      <c r="J11098" s="1285"/>
      <c r="K11098" s="1285"/>
      <c r="L11098" s="1285"/>
    </row>
    <row r="11099" spans="1:12" ht="11.15" customHeight="1">
      <c r="A11099" s="162" t="s">
        <v>14739</v>
      </c>
      <c r="B11099" s="59" t="s">
        <v>22367</v>
      </c>
      <c r="C11099" s="147" t="s">
        <v>20221</v>
      </c>
      <c r="D11099" s="284" t="s">
        <v>897</v>
      </c>
      <c r="E11099" s="178">
        <v>2014</v>
      </c>
      <c r="F11099" s="178" t="s">
        <v>23394</v>
      </c>
      <c r="G11099" s="496"/>
      <c r="H11099" s="994" t="s">
        <v>20221</v>
      </c>
      <c r="I11099" s="11" t="s">
        <v>14740</v>
      </c>
      <c r="J11099" s="1285"/>
      <c r="K11099" s="1285"/>
      <c r="L11099" s="1285"/>
    </row>
    <row r="11100" spans="1:12" ht="11.15" customHeight="1">
      <c r="A11100" s="129" t="s">
        <v>1308</v>
      </c>
      <c r="B11100" s="59" t="s">
        <v>22368</v>
      </c>
      <c r="C11100" s="147" t="s">
        <v>20221</v>
      </c>
      <c r="D11100" s="284" t="s">
        <v>897</v>
      </c>
      <c r="E11100" s="178">
        <v>2018</v>
      </c>
      <c r="F11100" s="178" t="s">
        <v>11938</v>
      </c>
      <c r="G11100" s="496"/>
      <c r="H11100" s="994" t="s">
        <v>20224</v>
      </c>
      <c r="I11100" s="11" t="s">
        <v>14741</v>
      </c>
      <c r="J11100" s="1285"/>
      <c r="K11100" s="1285"/>
      <c r="L11100" s="1285"/>
    </row>
    <row r="11101" spans="1:12" ht="11.25" customHeight="1" thickBot="1">
      <c r="A11101" s="162" t="s">
        <v>14742</v>
      </c>
      <c r="B11101" s="154"/>
      <c r="C11101" s="147"/>
      <c r="D11101" s="129"/>
      <c r="E11101" s="61"/>
      <c r="F11101" s="185"/>
      <c r="G11101" s="185"/>
      <c r="H11101" s="185"/>
      <c r="I11101" s="11"/>
    </row>
    <row r="11102" spans="1:12" ht="11.15" customHeight="1">
      <c r="A11102" s="162" t="s">
        <v>14743</v>
      </c>
      <c r="B11102" s="710" t="s">
        <v>14436</v>
      </c>
      <c r="C11102" s="147"/>
      <c r="D11102" s="161"/>
      <c r="E11102" s="34"/>
      <c r="F11102" s="178"/>
      <c r="G11102" s="496"/>
      <c r="H11102" s="36"/>
      <c r="I11102" s="11"/>
    </row>
    <row r="11103" spans="1:12" ht="11.15" customHeight="1">
      <c r="A11103" s="162" t="s">
        <v>14744</v>
      </c>
      <c r="B11103" s="711" t="s">
        <v>14438</v>
      </c>
      <c r="C11103" s="147"/>
      <c r="D11103" s="185"/>
      <c r="E11103" s="185"/>
      <c r="F11103" s="185"/>
      <c r="G11103" s="185"/>
      <c r="H11103" s="185"/>
      <c r="I11103" s="11"/>
    </row>
    <row r="11104" spans="1:12" ht="11.15" customHeight="1">
      <c r="A11104" s="162" t="s">
        <v>14745</v>
      </c>
      <c r="B11104" s="711" t="s">
        <v>14439</v>
      </c>
      <c r="C11104" s="147"/>
      <c r="D11104" s="161"/>
      <c r="E11104" s="34"/>
      <c r="F11104" s="183"/>
      <c r="G11104" s="429"/>
      <c r="H11104" s="34"/>
      <c r="I11104" s="11"/>
    </row>
    <row r="11105" spans="1:9" ht="11.15" customHeight="1">
      <c r="A11105" s="162" t="s">
        <v>14746</v>
      </c>
      <c r="B11105" s="711" t="s">
        <v>14440</v>
      </c>
      <c r="C11105" s="147"/>
      <c r="D11105" s="185"/>
      <c r="E11105" s="185"/>
      <c r="F11105" s="185"/>
      <c r="G11105" s="185"/>
      <c r="H11105" s="185"/>
      <c r="I11105" s="11"/>
    </row>
    <row r="11106" spans="1:9" ht="11.15" customHeight="1">
      <c r="A11106" s="162" t="s">
        <v>14747</v>
      </c>
      <c r="B11106" s="711" t="s">
        <v>14441</v>
      </c>
      <c r="C11106" s="147"/>
      <c r="D11106" s="185"/>
      <c r="E11106" s="185"/>
      <c r="F11106" s="185"/>
      <c r="G11106" s="185"/>
      <c r="H11106" s="185"/>
      <c r="I11106" s="11"/>
    </row>
    <row r="11107" spans="1:9" ht="11.15" customHeight="1">
      <c r="A11107" s="162" t="s">
        <v>14748</v>
      </c>
      <c r="B11107" s="711" t="s">
        <v>14443</v>
      </c>
      <c r="C11107" s="147"/>
      <c r="D11107" s="185"/>
      <c r="E11107" s="185"/>
      <c r="F11107" s="185"/>
      <c r="G11107" s="185"/>
      <c r="H11107" s="185"/>
      <c r="I11107" s="11"/>
    </row>
    <row r="11108" spans="1:9" ht="11.15" customHeight="1">
      <c r="A11108" s="162" t="s">
        <v>14749</v>
      </c>
      <c r="B11108" s="711" t="s">
        <v>14444</v>
      </c>
      <c r="C11108" s="147"/>
      <c r="D11108" s="129"/>
      <c r="E11108" s="185"/>
      <c r="F11108" s="185"/>
      <c r="G11108" s="185"/>
      <c r="H11108" s="185"/>
      <c r="I11108" s="11"/>
    </row>
    <row r="11109" spans="1:9" ht="11.15" customHeight="1" thickBot="1">
      <c r="A11109" s="162" t="s">
        <v>14750</v>
      </c>
      <c r="B11109" s="712" t="s">
        <v>14445</v>
      </c>
      <c r="C11109" s="147"/>
      <c r="D11109" s="129"/>
      <c r="E11109" s="185"/>
      <c r="F11109" s="185"/>
      <c r="G11109" s="185"/>
      <c r="H11109" s="185"/>
      <c r="I11109" s="11"/>
    </row>
    <row r="11110" spans="1:9" ht="11.15" customHeight="1">
      <c r="A11110" s="162" t="s">
        <v>14751</v>
      </c>
      <c r="B11110" s="286"/>
      <c r="C11110" s="147"/>
      <c r="D11110" s="129"/>
      <c r="E11110" s="185"/>
      <c r="F11110" s="185"/>
      <c r="G11110" s="185"/>
      <c r="H11110" s="185"/>
      <c r="I11110" s="11"/>
    </row>
    <row r="11111" spans="1:9" ht="11.15" customHeight="1">
      <c r="A11111" s="162" t="s">
        <v>14752</v>
      </c>
      <c r="B11111" s="185"/>
      <c r="C11111" s="147"/>
      <c r="D11111" s="159"/>
      <c r="E11111" s="36"/>
      <c r="F11111" s="178"/>
      <c r="G11111" s="496"/>
      <c r="H11111" s="36"/>
      <c r="I11111" s="11"/>
    </row>
    <row r="11112" spans="1:9" ht="11.15" customHeight="1">
      <c r="A11112" s="166" t="s">
        <v>14300</v>
      </c>
      <c r="B11112" s="185"/>
      <c r="C11112" s="147"/>
      <c r="D11112" s="159"/>
      <c r="E11112" s="36"/>
      <c r="F11112" s="178"/>
      <c r="G11112" s="496"/>
      <c r="H11112" s="36"/>
      <c r="I11112" s="11"/>
    </row>
    <row r="11113" spans="1:9" ht="11.15" customHeight="1">
      <c r="A11113" s="166" t="s">
        <v>14753</v>
      </c>
      <c r="B11113" s="185"/>
      <c r="C11113" s="147"/>
      <c r="D11113" s="129"/>
      <c r="E11113" s="185"/>
      <c r="F11113" s="185"/>
      <c r="G11113" s="185"/>
      <c r="H11113" s="185"/>
      <c r="I11113" s="11"/>
    </row>
    <row r="11114" spans="1:9" ht="11.15" customHeight="1">
      <c r="A11114" s="166" t="s">
        <v>14754</v>
      </c>
      <c r="B11114" s="185"/>
      <c r="C11114" s="147"/>
      <c r="D11114" s="185"/>
      <c r="E11114" s="185"/>
      <c r="F11114" s="185"/>
      <c r="G11114" s="185"/>
      <c r="H11114" s="185"/>
      <c r="I11114" s="11"/>
    </row>
    <row r="11115" spans="1:9" ht="11.15" customHeight="1">
      <c r="A11115" s="129" t="s">
        <v>14301</v>
      </c>
      <c r="B11115" s="185"/>
      <c r="C11115" s="147"/>
      <c r="D11115" s="185"/>
      <c r="E11115" s="185"/>
      <c r="F11115" s="185"/>
      <c r="G11115" s="185"/>
      <c r="H11115" s="185"/>
      <c r="I11115" s="11"/>
    </row>
    <row r="11116" spans="1:9" ht="11.15" customHeight="1">
      <c r="A11116" s="29" t="s">
        <v>14755</v>
      </c>
      <c r="B11116" s="185"/>
      <c r="C11116" s="147"/>
      <c r="D11116" s="185"/>
      <c r="E11116" s="185"/>
      <c r="F11116" s="185"/>
      <c r="G11116" s="185"/>
      <c r="H11116" s="185"/>
      <c r="I11116" s="11"/>
    </row>
    <row r="11117" spans="1:9" ht="11.15" customHeight="1">
      <c r="A11117" s="29"/>
      <c r="B11117" s="185"/>
      <c r="C11117" s="147"/>
      <c r="D11117" s="185"/>
      <c r="E11117" s="185"/>
      <c r="F11117" s="185"/>
      <c r="G11117" s="185"/>
      <c r="H11117" s="185"/>
      <c r="I11117" s="11"/>
    </row>
    <row r="11118" spans="1:9" ht="9" customHeight="1">
      <c r="A11118" s="185"/>
      <c r="B11118" s="209" t="s">
        <v>14756</v>
      </c>
      <c r="C11118" s="147"/>
      <c r="D11118" s="122"/>
      <c r="E11118" s="36"/>
      <c r="F11118" s="178"/>
      <c r="G11118" s="60"/>
      <c r="H11118" s="36"/>
      <c r="I11118" s="11"/>
    </row>
    <row r="11119" spans="1:9" ht="9" customHeight="1">
      <c r="A11119" s="185"/>
      <c r="B11119" s="209" t="s">
        <v>14757</v>
      </c>
      <c r="C11119" s="147"/>
      <c r="D11119" s="122"/>
      <c r="E11119" s="36"/>
      <c r="F11119" s="178"/>
      <c r="G11119" s="60"/>
      <c r="H11119" s="36"/>
      <c r="I11119" s="11"/>
    </row>
    <row r="11120" spans="1:9" ht="9" customHeight="1">
      <c r="A11120" s="185"/>
      <c r="B11120" s="209" t="s">
        <v>14758</v>
      </c>
      <c r="C11120" s="147"/>
      <c r="D11120" s="122"/>
      <c r="E11120" s="36"/>
      <c r="F11120" s="178"/>
      <c r="G11120" s="60"/>
      <c r="H11120" s="36"/>
      <c r="I11120" s="11"/>
    </row>
    <row r="11121" spans="1:12" ht="9" customHeight="1">
      <c r="A11121" s="137"/>
      <c r="B11121" s="150" t="s">
        <v>14759</v>
      </c>
      <c r="C11121" s="147"/>
      <c r="D11121" s="178"/>
      <c r="E11121" s="36"/>
      <c r="F11121" s="178"/>
      <c r="G11121" s="60"/>
      <c r="H11121" s="36"/>
      <c r="I11121" s="11"/>
    </row>
    <row r="11122" spans="1:12" ht="9" customHeight="1" thickBot="1">
      <c r="A11122" s="137"/>
      <c r="B11122" s="150" t="s">
        <v>14760</v>
      </c>
      <c r="C11122" s="147"/>
      <c r="D11122" s="178"/>
      <c r="E11122" s="36"/>
      <c r="F11122" s="178"/>
      <c r="G11122" s="60"/>
      <c r="H11122" s="36"/>
      <c r="I11122" s="11"/>
    </row>
    <row r="11123" spans="1:12" ht="11.15" customHeight="1">
      <c r="A11123" s="281" t="s">
        <v>14761</v>
      </c>
      <c r="B11123" s="154" t="s">
        <v>14762</v>
      </c>
      <c r="C11123" s="147"/>
      <c r="D11123" s="129"/>
      <c r="E11123" s="185"/>
      <c r="F11123" s="185"/>
      <c r="G11123" s="185"/>
      <c r="H11123" s="185"/>
      <c r="I11123" s="11"/>
    </row>
    <row r="11124" spans="1:12" ht="11.15" customHeight="1" thickBot="1">
      <c r="A11124" s="230" t="s">
        <v>14763</v>
      </c>
      <c r="B11124" s="59" t="s">
        <v>22369</v>
      </c>
      <c r="C11124" s="147" t="s">
        <v>20221</v>
      </c>
      <c r="D11124" s="1034" t="s">
        <v>2573</v>
      </c>
      <c r="E11124" s="178">
        <v>2021</v>
      </c>
      <c r="F11124" s="178" t="s">
        <v>4520</v>
      </c>
      <c r="G11124" s="496"/>
      <c r="H11124" s="994" t="s">
        <v>20221</v>
      </c>
      <c r="I11124" s="11" t="s">
        <v>14764</v>
      </c>
      <c r="J11124" s="1285"/>
      <c r="K11124" s="1285"/>
      <c r="L11124" s="1285"/>
    </row>
    <row r="11125" spans="1:12" ht="11.15" customHeight="1">
      <c r="A11125" s="29" t="s">
        <v>14765</v>
      </c>
      <c r="B11125" s="59" t="s">
        <v>22370</v>
      </c>
      <c r="C11125" s="147" t="s">
        <v>20221</v>
      </c>
      <c r="D11125" s="701" t="s">
        <v>1129</v>
      </c>
      <c r="E11125" s="178">
        <v>2021</v>
      </c>
      <c r="F11125" s="178" t="s">
        <v>4520</v>
      </c>
      <c r="G11125" s="496"/>
      <c r="H11125" s="994" t="s">
        <v>20221</v>
      </c>
      <c r="I11125" s="11" t="s">
        <v>14766</v>
      </c>
      <c r="J11125" s="1285"/>
      <c r="K11125" s="1285"/>
      <c r="L11125" s="1285"/>
    </row>
    <row r="11126" spans="1:12" ht="11.15" customHeight="1">
      <c r="A11126" s="29" t="s">
        <v>14767</v>
      </c>
      <c r="B11126" s="59" t="s">
        <v>22371</v>
      </c>
      <c r="C11126" s="147" t="s">
        <v>20221</v>
      </c>
      <c r="D11126" s="284" t="s">
        <v>897</v>
      </c>
      <c r="E11126" s="178">
        <v>2021</v>
      </c>
      <c r="F11126" s="178" t="s">
        <v>4520</v>
      </c>
      <c r="G11126" s="496"/>
      <c r="H11126" s="994" t="s">
        <v>20221</v>
      </c>
      <c r="I11126" s="11" t="s">
        <v>14768</v>
      </c>
      <c r="J11126" s="1285"/>
      <c r="K11126" s="1285"/>
      <c r="L11126" s="1285"/>
    </row>
    <row r="11127" spans="1:12" ht="11.15" customHeight="1">
      <c r="A11127" s="129" t="s">
        <v>896</v>
      </c>
      <c r="B11127" s="154" t="s">
        <v>14769</v>
      </c>
      <c r="C11127" s="147"/>
      <c r="D11127" s="129"/>
      <c r="E11127" s="185"/>
      <c r="F11127" s="185"/>
      <c r="G11127" s="185"/>
      <c r="H11127" s="185"/>
      <c r="I11127" s="11"/>
    </row>
    <row r="11128" spans="1:12" ht="11.15" customHeight="1">
      <c r="A11128" s="162" t="s">
        <v>14770</v>
      </c>
      <c r="B11128" s="59" t="s">
        <v>22372</v>
      </c>
      <c r="C11128" s="147" t="s">
        <v>20221</v>
      </c>
      <c r="D11128" s="1034" t="s">
        <v>2573</v>
      </c>
      <c r="E11128" s="178">
        <v>2020</v>
      </c>
      <c r="F11128" s="178" t="s">
        <v>4520</v>
      </c>
      <c r="G11128" s="496"/>
      <c r="H11128" s="994" t="s">
        <v>20224</v>
      </c>
      <c r="I11128" s="11" t="s">
        <v>14771</v>
      </c>
      <c r="J11128" s="1285"/>
      <c r="K11128" s="1285"/>
      <c r="L11128" s="1285"/>
    </row>
    <row r="11129" spans="1:12" ht="11.15" customHeight="1">
      <c r="A11129" s="162" t="s">
        <v>14772</v>
      </c>
      <c r="B11129" s="59" t="s">
        <v>22373</v>
      </c>
      <c r="C11129" s="147" t="s">
        <v>20221</v>
      </c>
      <c r="D11129" s="1034" t="s">
        <v>2573</v>
      </c>
      <c r="E11129" s="178">
        <v>2019</v>
      </c>
      <c r="F11129" s="178" t="s">
        <v>9678</v>
      </c>
      <c r="G11129" s="496"/>
      <c r="H11129" s="994" t="s">
        <v>20224</v>
      </c>
      <c r="I11129" s="11" t="s">
        <v>14773</v>
      </c>
      <c r="J11129" s="1285"/>
      <c r="K11129" s="1285"/>
      <c r="L11129" s="1285"/>
    </row>
    <row r="11130" spans="1:12" ht="11.15" customHeight="1">
      <c r="A11130" s="162" t="s">
        <v>14774</v>
      </c>
      <c r="B11130" s="154" t="s">
        <v>14775</v>
      </c>
      <c r="C11130" s="147"/>
      <c r="D11130" s="185"/>
      <c r="E11130" s="185"/>
      <c r="F11130" s="185"/>
      <c r="G11130" s="185"/>
      <c r="H11130" s="185"/>
      <c r="I11130" s="11"/>
    </row>
    <row r="11131" spans="1:12" ht="11.15" customHeight="1">
      <c r="A11131" s="162" t="s">
        <v>14776</v>
      </c>
      <c r="B11131" s="59" t="s">
        <v>22374</v>
      </c>
      <c r="C11131" s="147" t="s">
        <v>20221</v>
      </c>
      <c r="D11131" s="701" t="s">
        <v>1129</v>
      </c>
      <c r="E11131" s="178">
        <v>2021</v>
      </c>
      <c r="F11131" s="178" t="s">
        <v>4520</v>
      </c>
      <c r="G11131" s="496"/>
      <c r="H11131" s="994" t="s">
        <v>20221</v>
      </c>
      <c r="I11131" s="11" t="s">
        <v>14777</v>
      </c>
      <c r="J11131" s="1285"/>
      <c r="K11131" s="1285"/>
      <c r="L11131" s="1285"/>
    </row>
    <row r="11132" spans="1:12" ht="11.15" customHeight="1">
      <c r="A11132" s="129" t="s">
        <v>1308</v>
      </c>
      <c r="B11132" s="59" t="s">
        <v>22374</v>
      </c>
      <c r="C11132" s="147" t="s">
        <v>20221</v>
      </c>
      <c r="D11132" s="701" t="s">
        <v>1129</v>
      </c>
      <c r="E11132" s="178">
        <v>2019</v>
      </c>
      <c r="F11132" s="178" t="s">
        <v>4520</v>
      </c>
      <c r="G11132" s="496"/>
      <c r="H11132" s="994" t="s">
        <v>20221</v>
      </c>
      <c r="I11132" s="11" t="s">
        <v>14778</v>
      </c>
      <c r="J11132" s="1285"/>
      <c r="K11132" s="1285"/>
      <c r="L11132" s="1285"/>
    </row>
    <row r="11133" spans="1:12" ht="11.15" customHeight="1">
      <c r="A11133" s="162" t="s">
        <v>14779</v>
      </c>
      <c r="B11133" s="59" t="s">
        <v>22374</v>
      </c>
      <c r="C11133" s="147" t="s">
        <v>20221</v>
      </c>
      <c r="D11133" s="701" t="s">
        <v>1129</v>
      </c>
      <c r="E11133" s="178">
        <v>2018</v>
      </c>
      <c r="F11133" s="178" t="s">
        <v>4520</v>
      </c>
      <c r="G11133" s="496"/>
      <c r="H11133" s="994" t="s">
        <v>20221</v>
      </c>
      <c r="I11133" s="11" t="s">
        <v>14780</v>
      </c>
      <c r="J11133" s="1285"/>
      <c r="K11133" s="1285"/>
      <c r="L11133" s="1285"/>
    </row>
    <row r="11134" spans="1:12" ht="11.15" customHeight="1">
      <c r="A11134" s="162" t="s">
        <v>14781</v>
      </c>
      <c r="B11134" s="59" t="s">
        <v>22374</v>
      </c>
      <c r="C11134" s="147" t="s">
        <v>20221</v>
      </c>
      <c r="D11134" s="701" t="s">
        <v>1129</v>
      </c>
      <c r="E11134" s="178">
        <v>2017</v>
      </c>
      <c r="F11134" s="178" t="s">
        <v>4520</v>
      </c>
      <c r="G11134" s="496"/>
      <c r="H11134" s="994" t="s">
        <v>20277</v>
      </c>
      <c r="I11134" s="11" t="s">
        <v>14782</v>
      </c>
      <c r="J11134" s="1285"/>
      <c r="K11134" s="1285"/>
      <c r="L11134" s="1285"/>
    </row>
    <row r="11135" spans="1:12" ht="11.15" customHeight="1">
      <c r="A11135" s="162" t="s">
        <v>14783</v>
      </c>
      <c r="B11135" s="59" t="s">
        <v>22375</v>
      </c>
      <c r="C11135" s="147" t="s">
        <v>20221</v>
      </c>
      <c r="D11135" s="701" t="s">
        <v>1129</v>
      </c>
      <c r="E11135" s="178">
        <v>2017</v>
      </c>
      <c r="F11135" s="178" t="s">
        <v>23394</v>
      </c>
      <c r="G11135" s="496"/>
      <c r="H11135" s="994" t="s">
        <v>20224</v>
      </c>
      <c r="I11135" s="11" t="s">
        <v>14784</v>
      </c>
      <c r="J11135" s="1285"/>
      <c r="K11135" s="1285"/>
      <c r="L11135" s="1285"/>
    </row>
    <row r="11136" spans="1:12" ht="11.15" customHeight="1">
      <c r="A11136" s="162" t="s">
        <v>14785</v>
      </c>
      <c r="B11136" s="59" t="s">
        <v>22374</v>
      </c>
      <c r="C11136" s="147" t="s">
        <v>20221</v>
      </c>
      <c r="D11136" s="701" t="s">
        <v>1129</v>
      </c>
      <c r="E11136" s="178">
        <v>2013</v>
      </c>
      <c r="F11136" s="178" t="s">
        <v>4520</v>
      </c>
      <c r="G11136" s="496"/>
      <c r="H11136" s="994" t="s">
        <v>20224</v>
      </c>
      <c r="I11136" s="11" t="s">
        <v>14786</v>
      </c>
      <c r="J11136" s="1285"/>
      <c r="K11136" s="1285"/>
      <c r="L11136" s="1285"/>
    </row>
    <row r="11137" spans="1:12" ht="11.15" customHeight="1">
      <c r="A11137" s="162" t="s">
        <v>14787</v>
      </c>
      <c r="B11137" s="59" t="s">
        <v>22374</v>
      </c>
      <c r="C11137" s="147" t="s">
        <v>20221</v>
      </c>
      <c r="D11137" s="701" t="s">
        <v>1129</v>
      </c>
      <c r="E11137" s="178">
        <v>2007</v>
      </c>
      <c r="F11137" s="178" t="s">
        <v>4520</v>
      </c>
      <c r="G11137" s="496"/>
      <c r="H11137" s="994" t="s">
        <v>20224</v>
      </c>
      <c r="I11137" s="11" t="s">
        <v>14788</v>
      </c>
      <c r="J11137" s="1285"/>
      <c r="K11137" s="1285"/>
      <c r="L11137" s="1285"/>
    </row>
    <row r="11138" spans="1:12" ht="11.15" customHeight="1">
      <c r="A11138" s="291" t="s">
        <v>14789</v>
      </c>
      <c r="B11138" s="59" t="s">
        <v>22374</v>
      </c>
      <c r="C11138" s="147" t="s">
        <v>20221</v>
      </c>
      <c r="D11138" s="701" t="s">
        <v>1129</v>
      </c>
      <c r="E11138" s="178">
        <v>2003</v>
      </c>
      <c r="F11138" s="178" t="s">
        <v>4520</v>
      </c>
      <c r="G11138" s="496"/>
      <c r="H11138" s="994" t="s">
        <v>20224</v>
      </c>
      <c r="I11138" s="11" t="s">
        <v>14790</v>
      </c>
      <c r="J11138" s="1285"/>
      <c r="K11138" s="1285"/>
      <c r="L11138" s="1285"/>
    </row>
    <row r="11139" spans="1:12" ht="11.15" customHeight="1">
      <c r="A11139" s="162" t="s">
        <v>14791</v>
      </c>
      <c r="B11139" s="59" t="s">
        <v>22376</v>
      </c>
      <c r="C11139" s="147" t="s">
        <v>20221</v>
      </c>
      <c r="D11139" s="701" t="s">
        <v>1129</v>
      </c>
      <c r="E11139" s="178">
        <v>2015</v>
      </c>
      <c r="F11139" s="178" t="s">
        <v>9678</v>
      </c>
      <c r="G11139" s="496"/>
      <c r="H11139" s="994" t="s">
        <v>20221</v>
      </c>
      <c r="I11139" s="11" t="s">
        <v>14792</v>
      </c>
      <c r="J11139" s="1285"/>
      <c r="K11139" s="1285"/>
      <c r="L11139" s="1285"/>
    </row>
    <row r="11140" spans="1:12" ht="11.15" customHeight="1">
      <c r="A11140" s="162" t="s">
        <v>14793</v>
      </c>
      <c r="B11140" s="154" t="s">
        <v>14794</v>
      </c>
      <c r="C11140" s="147"/>
      <c r="D11140" s="129"/>
      <c r="E11140" s="185"/>
      <c r="F11140" s="185"/>
      <c r="G11140" s="185"/>
      <c r="H11140" s="185"/>
      <c r="I11140" s="11"/>
    </row>
    <row r="11141" spans="1:12" ht="11.15" customHeight="1">
      <c r="A11141" s="162" t="s">
        <v>14795</v>
      </c>
      <c r="B11141" s="59" t="s">
        <v>22377</v>
      </c>
      <c r="C11141" s="147" t="s">
        <v>20221</v>
      </c>
      <c r="D11141" s="284" t="s">
        <v>897</v>
      </c>
      <c r="E11141" s="178">
        <v>2018</v>
      </c>
      <c r="F11141" s="178" t="s">
        <v>4520</v>
      </c>
      <c r="G11141" s="496"/>
      <c r="H11141" s="994" t="s">
        <v>20221</v>
      </c>
      <c r="I11141" s="11" t="s">
        <v>14796</v>
      </c>
      <c r="J11141" s="1285"/>
      <c r="K11141" s="1285"/>
      <c r="L11141" s="1285"/>
    </row>
    <row r="11142" spans="1:12" ht="11.15" customHeight="1">
      <c r="A11142" s="162" t="s">
        <v>14797</v>
      </c>
      <c r="B11142" s="59" t="s">
        <v>22377</v>
      </c>
      <c r="C11142" s="147" t="s">
        <v>20221</v>
      </c>
      <c r="D11142" s="284" t="s">
        <v>897</v>
      </c>
      <c r="E11142" s="178">
        <v>2017</v>
      </c>
      <c r="F11142" s="178" t="s">
        <v>4520</v>
      </c>
      <c r="G11142" s="496"/>
      <c r="H11142" s="994" t="s">
        <v>20221</v>
      </c>
      <c r="I11142" s="11" t="s">
        <v>14798</v>
      </c>
      <c r="J11142" s="1285"/>
      <c r="K11142" s="1285"/>
      <c r="L11142" s="1285"/>
    </row>
    <row r="11143" spans="1:12" ht="11.15" customHeight="1">
      <c r="A11143" s="162" t="s">
        <v>14799</v>
      </c>
      <c r="B11143" s="59" t="s">
        <v>22378</v>
      </c>
      <c r="C11143" s="147" t="s">
        <v>20221</v>
      </c>
      <c r="D11143" s="284" t="s">
        <v>897</v>
      </c>
      <c r="E11143" s="178">
        <v>2017</v>
      </c>
      <c r="F11143" s="178" t="s">
        <v>23394</v>
      </c>
      <c r="G11143" s="496"/>
      <c r="H11143" s="994" t="s">
        <v>20224</v>
      </c>
      <c r="I11143" s="11" t="s">
        <v>14800</v>
      </c>
      <c r="J11143" s="1285"/>
      <c r="K11143" s="1285"/>
      <c r="L11143" s="1285"/>
    </row>
    <row r="11144" spans="1:12" ht="11.15" customHeight="1">
      <c r="A11144" s="162" t="s">
        <v>14801</v>
      </c>
      <c r="B11144" s="59" t="s">
        <v>22379</v>
      </c>
      <c r="C11144" s="147" t="s">
        <v>20221</v>
      </c>
      <c r="D11144" s="284" t="s">
        <v>897</v>
      </c>
      <c r="E11144" s="178">
        <v>2010</v>
      </c>
      <c r="F11144" s="178" t="s">
        <v>4520</v>
      </c>
      <c r="G11144" s="496"/>
      <c r="H11144" s="994" t="s">
        <v>20221</v>
      </c>
      <c r="I11144" s="11" t="s">
        <v>14802</v>
      </c>
      <c r="J11144" s="1285"/>
      <c r="K11144" s="1285"/>
      <c r="L11144" s="1285"/>
    </row>
    <row r="11145" spans="1:12" ht="11.15" customHeight="1">
      <c r="A11145" s="162" t="s">
        <v>14803</v>
      </c>
      <c r="B11145" s="59" t="s">
        <v>22377</v>
      </c>
      <c r="C11145" s="147" t="s">
        <v>20221</v>
      </c>
      <c r="D11145" s="284" t="s">
        <v>897</v>
      </c>
      <c r="E11145" s="178">
        <v>2002</v>
      </c>
      <c r="F11145" s="178" t="s">
        <v>4520</v>
      </c>
      <c r="G11145" s="496"/>
      <c r="H11145" s="994" t="s">
        <v>20224</v>
      </c>
      <c r="I11145" s="11" t="s">
        <v>14804</v>
      </c>
      <c r="J11145" s="1285"/>
      <c r="K11145" s="1285"/>
      <c r="L11145" s="1285"/>
    </row>
    <row r="11146" spans="1:12" ht="11.15" customHeight="1">
      <c r="A11146" s="162" t="s">
        <v>14805</v>
      </c>
      <c r="B11146" s="59" t="s">
        <v>22377</v>
      </c>
      <c r="C11146" s="147" t="s">
        <v>20221</v>
      </c>
      <c r="D11146" s="284" t="s">
        <v>897</v>
      </c>
      <c r="E11146" s="178">
        <v>2001</v>
      </c>
      <c r="F11146" s="178" t="s">
        <v>4520</v>
      </c>
      <c r="G11146" s="496"/>
      <c r="H11146" s="994" t="s">
        <v>20224</v>
      </c>
      <c r="I11146" s="11" t="s">
        <v>14806</v>
      </c>
      <c r="J11146" s="1285"/>
      <c r="K11146" s="1285"/>
      <c r="L11146" s="1285"/>
    </row>
    <row r="11147" spans="1:12" ht="11.15" customHeight="1">
      <c r="A11147" s="166" t="s">
        <v>14807</v>
      </c>
      <c r="B11147" s="59" t="s">
        <v>22380</v>
      </c>
      <c r="C11147" s="147" t="s">
        <v>20221</v>
      </c>
      <c r="D11147" s="284" t="s">
        <v>897</v>
      </c>
      <c r="E11147" s="178">
        <v>2016</v>
      </c>
      <c r="F11147" s="178" t="s">
        <v>11931</v>
      </c>
      <c r="G11147" s="496"/>
      <c r="H11147" s="994" t="s">
        <v>20224</v>
      </c>
      <c r="I11147" s="11" t="s">
        <v>14808</v>
      </c>
      <c r="J11147" s="1285"/>
      <c r="K11147" s="1285"/>
      <c r="L11147" s="1285"/>
    </row>
    <row r="11148" spans="1:12" ht="11.15" customHeight="1" thickBot="1">
      <c r="A11148" s="29"/>
      <c r="B11148" s="185"/>
      <c r="C11148" s="147"/>
      <c r="D11148" s="185"/>
      <c r="E11148" s="185"/>
      <c r="F11148" s="185"/>
      <c r="G11148" s="185"/>
      <c r="H11148" s="185"/>
      <c r="I11148" s="11"/>
    </row>
    <row r="11149" spans="1:12" ht="13" customHeight="1">
      <c r="A11149" s="153" t="s">
        <v>14809</v>
      </c>
      <c r="B11149" s="59" t="s">
        <v>22381</v>
      </c>
      <c r="C11149" s="147" t="s">
        <v>20221</v>
      </c>
      <c r="D11149" s="284" t="s">
        <v>897</v>
      </c>
      <c r="E11149" s="178">
        <v>2015</v>
      </c>
      <c r="F11149" s="178" t="s">
        <v>4520</v>
      </c>
      <c r="G11149" s="496"/>
      <c r="H11149" s="994" t="s">
        <v>20221</v>
      </c>
      <c r="I11149" s="11" t="s">
        <v>14810</v>
      </c>
      <c r="J11149" s="1285"/>
      <c r="K11149" s="1285"/>
      <c r="L11149" s="1285"/>
    </row>
    <row r="11150" spans="1:12" ht="11.15" customHeight="1" thickBot="1">
      <c r="A11150" s="230" t="s">
        <v>14811</v>
      </c>
      <c r="B11150" s="90"/>
      <c r="C11150" s="147"/>
      <c r="D11150" s="159"/>
      <c r="E11150" s="36"/>
      <c r="F11150" s="178"/>
      <c r="G11150" s="429"/>
      <c r="H11150" s="36"/>
      <c r="I11150" s="11"/>
    </row>
    <row r="11151" spans="1:12" ht="11.15" customHeight="1">
      <c r="A11151" s="29" t="s">
        <v>14812</v>
      </c>
      <c r="B11151" s="90"/>
      <c r="C11151" s="147"/>
      <c r="D11151" s="161"/>
      <c r="E11151" s="36"/>
      <c r="F11151" s="178"/>
      <c r="G11151" s="429"/>
      <c r="H11151" s="36"/>
      <c r="I11151" s="11"/>
    </row>
    <row r="11152" spans="1:12" ht="11.15" customHeight="1">
      <c r="A11152" s="29" t="s">
        <v>14813</v>
      </c>
      <c r="B11152" s="90"/>
      <c r="C11152" s="147"/>
      <c r="D11152" s="161"/>
      <c r="E11152" s="36"/>
      <c r="F11152" s="178"/>
      <c r="G11152" s="429"/>
      <c r="H11152" s="36"/>
      <c r="I11152" s="11"/>
    </row>
    <row r="11153" spans="1:12" ht="11.15" customHeight="1">
      <c r="A11153" s="29" t="s">
        <v>14814</v>
      </c>
      <c r="B11153" s="185"/>
      <c r="C11153" s="147"/>
      <c r="D11153" s="161"/>
      <c r="E11153" s="36"/>
      <c r="F11153" s="178"/>
      <c r="G11153" s="429"/>
      <c r="H11153" s="36"/>
      <c r="I11153" s="11"/>
    </row>
    <row r="11154" spans="1:12" ht="11.15" customHeight="1" thickBot="1">
      <c r="A11154" s="512"/>
      <c r="B11154" s="714"/>
      <c r="C11154" s="147"/>
      <c r="D11154" s="122"/>
      <c r="E11154" s="36"/>
      <c r="F11154" s="183"/>
      <c r="G11154" s="1218"/>
      <c r="H11154" s="34"/>
      <c r="I11154" s="11"/>
    </row>
    <row r="11155" spans="1:12" ht="24" customHeight="1" thickBot="1">
      <c r="A11155" s="540"/>
      <c r="B11155" s="64" t="s">
        <v>14815</v>
      </c>
      <c r="C11155" s="170"/>
      <c r="D11155" s="382"/>
      <c r="E11155" s="543"/>
      <c r="F11155" s="1082"/>
      <c r="G11155" s="1249"/>
      <c r="H11155" s="1132"/>
      <c r="I11155" s="11"/>
    </row>
    <row r="11156" spans="1:12" ht="11.15" customHeight="1">
      <c r="A11156" s="153" t="s">
        <v>14816</v>
      </c>
      <c r="B11156" s="177" t="s">
        <v>14603</v>
      </c>
      <c r="C11156" s="147"/>
      <c r="D11156" s="159"/>
      <c r="E11156" s="178"/>
      <c r="F11156" s="178"/>
      <c r="G11156" s="496"/>
      <c r="H11156" s="36"/>
      <c r="I11156" s="11"/>
    </row>
    <row r="11157" spans="1:12" ht="11.15" customHeight="1" thickBot="1">
      <c r="A11157" s="230" t="s">
        <v>14722</v>
      </c>
      <c r="B11157" s="59" t="s">
        <v>22383</v>
      </c>
      <c r="C11157" s="147" t="s">
        <v>23393</v>
      </c>
      <c r="D11157" s="701" t="s">
        <v>1129</v>
      </c>
      <c r="E11157" s="178">
        <v>2023</v>
      </c>
      <c r="F11157" s="178" t="s">
        <v>4520</v>
      </c>
      <c r="G11157" s="496"/>
      <c r="H11157" s="994" t="s">
        <v>20221</v>
      </c>
      <c r="I11157" s="11" t="s">
        <v>23358</v>
      </c>
      <c r="J11157" s="1285"/>
      <c r="K11157" s="1285"/>
      <c r="L11157" s="1285"/>
    </row>
    <row r="11158" spans="1:12" ht="11.15" customHeight="1">
      <c r="A11158" s="29" t="s">
        <v>14817</v>
      </c>
      <c r="B11158" s="177" t="s">
        <v>14630</v>
      </c>
      <c r="C11158" s="147"/>
      <c r="D11158" s="129"/>
      <c r="E11158" s="185"/>
      <c r="F11158" s="185"/>
      <c r="G11158" s="185"/>
      <c r="H11158" s="185"/>
      <c r="I11158" s="11"/>
    </row>
    <row r="11159" spans="1:12" ht="11.15" customHeight="1">
      <c r="A11159" s="181" t="s">
        <v>14818</v>
      </c>
      <c r="B11159" s="59" t="s">
        <v>22384</v>
      </c>
      <c r="C11159" s="147" t="s">
        <v>20221</v>
      </c>
      <c r="D11159" s="284" t="s">
        <v>897</v>
      </c>
      <c r="E11159" s="178">
        <v>2020</v>
      </c>
      <c r="F11159" s="178" t="s">
        <v>4520</v>
      </c>
      <c r="G11159" s="496"/>
      <c r="H11159" s="994" t="s">
        <v>20221</v>
      </c>
      <c r="I11159" s="11" t="s">
        <v>14819</v>
      </c>
      <c r="J11159" s="1285"/>
      <c r="K11159" s="1285"/>
      <c r="L11159" s="1285"/>
    </row>
    <row r="11160" spans="1:12" ht="11.15" customHeight="1">
      <c r="A11160" s="29" t="s">
        <v>14820</v>
      </c>
      <c r="B11160" s="59" t="s">
        <v>22385</v>
      </c>
      <c r="C11160" s="147" t="s">
        <v>23393</v>
      </c>
      <c r="D11160" s="284" t="s">
        <v>897</v>
      </c>
      <c r="E11160" s="178">
        <v>2017</v>
      </c>
      <c r="F11160" s="178" t="s">
        <v>23394</v>
      </c>
      <c r="G11160" s="496"/>
      <c r="H11160" s="994" t="s">
        <v>20221</v>
      </c>
      <c r="I11160" s="11" t="s">
        <v>14821</v>
      </c>
      <c r="J11160" s="1285"/>
      <c r="K11160" s="1285"/>
      <c r="L11160" s="1285"/>
    </row>
    <row r="11161" spans="1:12" ht="11.15" customHeight="1">
      <c r="A11161" s="229" t="s">
        <v>14822</v>
      </c>
      <c r="B11161" s="185"/>
      <c r="C11161" s="147"/>
      <c r="D11161" s="185"/>
      <c r="E11161" s="185"/>
      <c r="F11161" s="185"/>
      <c r="G11161" s="185"/>
      <c r="H11161" s="185"/>
      <c r="I11161" s="11"/>
    </row>
    <row r="11162" spans="1:12" ht="11.15" customHeight="1">
      <c r="A11162" s="181" t="s">
        <v>950</v>
      </c>
      <c r="B11162" s="185"/>
      <c r="C11162" s="147"/>
      <c r="D11162" s="129"/>
      <c r="E11162" s="185"/>
      <c r="F11162" s="185"/>
      <c r="G11162" s="185"/>
      <c r="H11162" s="185"/>
      <c r="I11162" s="11"/>
    </row>
    <row r="11163" spans="1:12" ht="11.15" customHeight="1">
      <c r="A11163" s="129" t="s">
        <v>14733</v>
      </c>
      <c r="B11163" s="185"/>
      <c r="C11163" s="147"/>
      <c r="D11163" s="129"/>
      <c r="E11163" s="185"/>
      <c r="F11163" s="185"/>
      <c r="G11163" s="185"/>
      <c r="H11163" s="185"/>
      <c r="I11163" s="11"/>
    </row>
    <row r="11164" spans="1:12" ht="11.15" customHeight="1">
      <c r="A11164" s="162" t="s">
        <v>14611</v>
      </c>
      <c r="B11164" s="185"/>
      <c r="C11164" s="147"/>
      <c r="D11164" s="129"/>
      <c r="E11164" s="185"/>
      <c r="F11164" s="185"/>
      <c r="G11164" s="185"/>
      <c r="H11164" s="185"/>
      <c r="I11164" s="11"/>
    </row>
    <row r="11165" spans="1:12" ht="11.15" customHeight="1">
      <c r="A11165" s="162" t="s">
        <v>14613</v>
      </c>
      <c r="B11165" s="185"/>
      <c r="C11165" s="147"/>
      <c r="D11165" s="129"/>
      <c r="E11165" s="185"/>
      <c r="F11165" s="185"/>
      <c r="G11165" s="185"/>
      <c r="H11165" s="185"/>
      <c r="I11165" s="11"/>
    </row>
    <row r="11166" spans="1:12" ht="11.15" customHeight="1">
      <c r="A11166" s="162" t="s">
        <v>14737</v>
      </c>
      <c r="B11166" s="185"/>
      <c r="C11166" s="147"/>
      <c r="D11166" s="129"/>
      <c r="E11166" s="185"/>
      <c r="F11166" s="185"/>
      <c r="G11166" s="185"/>
      <c r="H11166" s="185"/>
      <c r="I11166" s="11"/>
    </row>
    <row r="11167" spans="1:12" ht="11.15" customHeight="1">
      <c r="A11167" s="129" t="s">
        <v>896</v>
      </c>
      <c r="B11167" s="185"/>
      <c r="C11167" s="147"/>
      <c r="D11167" s="129"/>
      <c r="E11167" s="185"/>
      <c r="F11167" s="185"/>
      <c r="G11167" s="185"/>
      <c r="H11167" s="185"/>
      <c r="I11167" s="11"/>
    </row>
    <row r="11168" spans="1:12" ht="11.15" customHeight="1">
      <c r="A11168" s="162" t="s">
        <v>14823</v>
      </c>
      <c r="B11168" s="90"/>
      <c r="C11168" s="147"/>
      <c r="D11168" s="161"/>
      <c r="E11168" s="36"/>
      <c r="F11168" s="178"/>
      <c r="G11168" s="496"/>
      <c r="H11168" s="36"/>
      <c r="I11168" s="11"/>
    </row>
    <row r="11169" spans="1:9" ht="11.15" customHeight="1">
      <c r="A11169" s="162" t="s">
        <v>14824</v>
      </c>
      <c r="B11169" s="90"/>
      <c r="C11169" s="147"/>
      <c r="D11169" s="161"/>
      <c r="E11169" s="36"/>
      <c r="F11169" s="178"/>
      <c r="G11169" s="496"/>
      <c r="H11169" s="36"/>
      <c r="I11169" s="11"/>
    </row>
    <row r="11170" spans="1:9" ht="11.15" customHeight="1">
      <c r="A11170" s="355" t="s">
        <v>14825</v>
      </c>
      <c r="B11170" s="90"/>
      <c r="C11170" s="147"/>
      <c r="D11170" s="161"/>
      <c r="E11170" s="36"/>
      <c r="F11170" s="178"/>
      <c r="G11170" s="496"/>
      <c r="H11170" s="36"/>
      <c r="I11170" s="11"/>
    </row>
    <row r="11171" spans="1:9" ht="11.15" customHeight="1">
      <c r="A11171" s="162" t="s">
        <v>14826</v>
      </c>
      <c r="B11171" s="90"/>
      <c r="C11171" s="147"/>
      <c r="D11171" s="161"/>
      <c r="E11171" s="36"/>
      <c r="F11171" s="178"/>
      <c r="G11171" s="496"/>
      <c r="H11171" s="36"/>
      <c r="I11171" s="11"/>
    </row>
    <row r="11172" spans="1:9" ht="11.15" customHeight="1">
      <c r="A11172" s="162" t="s">
        <v>14827</v>
      </c>
      <c r="B11172" s="90"/>
      <c r="C11172" s="147"/>
      <c r="D11172" s="161"/>
      <c r="E11172" s="36"/>
      <c r="F11172" s="178"/>
      <c r="G11172" s="496"/>
      <c r="H11172" s="36"/>
      <c r="I11172" s="11"/>
    </row>
    <row r="11173" spans="1:9" ht="11.15" customHeight="1">
      <c r="A11173" s="162" t="s">
        <v>14828</v>
      </c>
      <c r="B11173" s="90"/>
      <c r="C11173" s="147"/>
      <c r="D11173" s="161"/>
      <c r="E11173" s="36"/>
      <c r="F11173" s="178"/>
      <c r="G11173" s="496"/>
      <c r="H11173" s="36"/>
      <c r="I11173" s="11"/>
    </row>
    <row r="11174" spans="1:9" ht="11.15" customHeight="1">
      <c r="A11174" s="162" t="s">
        <v>14829</v>
      </c>
      <c r="B11174" s="36"/>
      <c r="C11174" s="147"/>
      <c r="D11174" s="122"/>
      <c r="E11174" s="36"/>
      <c r="F11174" s="183"/>
      <c r="G11174" s="60"/>
      <c r="H11174" s="34"/>
      <c r="I11174" s="11"/>
    </row>
    <row r="11175" spans="1:9" ht="11.15" customHeight="1">
      <c r="A11175" s="162" t="s">
        <v>14830</v>
      </c>
      <c r="B11175" s="185"/>
      <c r="C11175" s="147"/>
      <c r="D11175" s="129"/>
      <c r="E11175" s="185"/>
      <c r="F11175" s="185"/>
      <c r="G11175" s="185"/>
      <c r="H11175" s="185"/>
      <c r="I11175" s="11"/>
    </row>
    <row r="11176" spans="1:9" ht="11.15" customHeight="1">
      <c r="A11176" s="129" t="s">
        <v>1077</v>
      </c>
      <c r="B11176" s="185"/>
      <c r="C11176" s="147"/>
      <c r="D11176" s="129"/>
      <c r="E11176" s="185"/>
      <c r="F11176" s="185"/>
      <c r="G11176" s="185"/>
      <c r="H11176" s="185"/>
      <c r="I11176" s="11"/>
    </row>
    <row r="11177" spans="1:9" ht="11.15" customHeight="1">
      <c r="A11177" s="162" t="s">
        <v>14831</v>
      </c>
      <c r="B11177" s="185"/>
      <c r="C11177" s="147"/>
      <c r="D11177" s="129"/>
      <c r="E11177" s="185"/>
      <c r="F11177" s="185"/>
      <c r="G11177" s="185"/>
      <c r="H11177" s="185"/>
      <c r="I11177" s="11"/>
    </row>
    <row r="11178" spans="1:9" ht="11.15" customHeight="1">
      <c r="A11178" s="162" t="s">
        <v>14832</v>
      </c>
      <c r="B11178" s="90"/>
      <c r="C11178" s="147"/>
      <c r="D11178" s="122"/>
      <c r="E11178" s="36"/>
      <c r="F11178" s="183"/>
      <c r="G11178" s="60"/>
      <c r="H11178" s="34"/>
      <c r="I11178" s="11"/>
    </row>
    <row r="11179" spans="1:9" ht="11.15" customHeight="1">
      <c r="A11179" s="162" t="s">
        <v>14833</v>
      </c>
      <c r="B11179" s="90"/>
      <c r="C11179" s="147"/>
      <c r="D11179" s="122"/>
      <c r="E11179" s="36"/>
      <c r="F11179" s="183"/>
      <c r="G11179" s="60"/>
      <c r="H11179" s="34"/>
      <c r="I11179" s="11"/>
    </row>
    <row r="11180" spans="1:9" ht="11.15" customHeight="1">
      <c r="A11180" s="162" t="s">
        <v>14834</v>
      </c>
      <c r="B11180" s="90"/>
      <c r="C11180" s="147"/>
      <c r="D11180" s="122"/>
      <c r="E11180" s="36"/>
      <c r="F11180" s="183"/>
      <c r="G11180" s="60"/>
      <c r="H11180" s="34"/>
      <c r="I11180" s="11"/>
    </row>
    <row r="11181" spans="1:9" ht="11.15" customHeight="1">
      <c r="A11181" s="29" t="s">
        <v>14755</v>
      </c>
      <c r="B11181" s="90"/>
      <c r="C11181" s="147"/>
      <c r="D11181" s="122"/>
      <c r="E11181" s="36"/>
      <c r="F11181" s="183"/>
      <c r="G11181" s="60"/>
      <c r="H11181" s="34"/>
      <c r="I11181" s="11"/>
    </row>
    <row r="11182" spans="1:9" ht="11.15" customHeight="1">
      <c r="A11182" s="166" t="s">
        <v>14300</v>
      </c>
      <c r="B11182" s="185"/>
      <c r="C11182" s="147"/>
      <c r="D11182" s="129"/>
      <c r="E11182" s="185"/>
      <c r="F11182" s="185"/>
      <c r="G11182" s="185"/>
      <c r="H11182" s="185"/>
      <c r="I11182" s="11"/>
    </row>
    <row r="11183" spans="1:9" ht="11.15" customHeight="1">
      <c r="A11183" s="166" t="s">
        <v>14835</v>
      </c>
      <c r="B11183" s="90"/>
      <c r="C11183" s="147"/>
      <c r="D11183" s="122"/>
      <c r="E11183" s="36"/>
      <c r="F11183" s="183"/>
      <c r="G11183" s="60"/>
      <c r="H11183" s="34"/>
      <c r="I11183" s="11"/>
    </row>
    <row r="11184" spans="1:9" ht="11.15" customHeight="1">
      <c r="A11184" s="129" t="s">
        <v>14301</v>
      </c>
      <c r="B11184" s="90"/>
      <c r="C11184" s="147"/>
      <c r="D11184" s="159"/>
      <c r="E11184" s="36"/>
      <c r="F11184" s="178"/>
      <c r="G11184" s="496"/>
      <c r="H11184" s="36"/>
      <c r="I11184" s="11"/>
    </row>
    <row r="11185" spans="1:12" ht="11.15" customHeight="1" thickBot="1">
      <c r="A11185" s="29"/>
      <c r="B11185" s="90"/>
      <c r="C11185" s="147"/>
      <c r="D11185" s="122"/>
      <c r="E11185" s="36"/>
      <c r="F11185" s="183"/>
      <c r="G11185" s="60"/>
      <c r="H11185" s="34"/>
      <c r="I11185" s="11"/>
    </row>
    <row r="11186" spans="1:12" ht="24" customHeight="1" thickBot="1">
      <c r="A11186" s="540"/>
      <c r="B11186" s="64" t="s">
        <v>14836</v>
      </c>
      <c r="C11186" s="170"/>
      <c r="D11186" s="382"/>
      <c r="E11186" s="543"/>
      <c r="F11186" s="1082"/>
      <c r="G11186" s="1249"/>
      <c r="H11186" s="1132"/>
      <c r="I11186" s="11"/>
    </row>
    <row r="11187" spans="1:12" ht="9" customHeight="1" thickBot="1">
      <c r="A11187" s="715"/>
      <c r="B11187" s="150" t="s">
        <v>14837</v>
      </c>
      <c r="C11187" s="147"/>
      <c r="D11187" s="122"/>
      <c r="E11187" s="544"/>
      <c r="F11187" s="1087"/>
      <c r="G11187" s="1252"/>
      <c r="H11187" s="544"/>
      <c r="I11187" s="11"/>
    </row>
    <row r="11188" spans="1:12" ht="11.15" customHeight="1" thickBot="1">
      <c r="A11188" s="184" t="s">
        <v>14838</v>
      </c>
      <c r="B11188" s="154" t="s">
        <v>14603</v>
      </c>
      <c r="C11188" s="147"/>
      <c r="D11188" s="129"/>
      <c r="E11188" s="185"/>
      <c r="F11188" s="185"/>
      <c r="G11188" s="185"/>
      <c r="H11188" s="185"/>
      <c r="I11188" s="11"/>
    </row>
    <row r="11189" spans="1:12" ht="11.15" customHeight="1">
      <c r="A11189" s="29" t="s">
        <v>14839</v>
      </c>
      <c r="B11189" s="59" t="s">
        <v>22386</v>
      </c>
      <c r="C11189" s="147" t="s">
        <v>20221</v>
      </c>
      <c r="D11189" s="701" t="s">
        <v>1129</v>
      </c>
      <c r="E11189" s="178">
        <v>2021</v>
      </c>
      <c r="F11189" s="178" t="s">
        <v>4520</v>
      </c>
      <c r="G11189" s="496"/>
      <c r="H11189" s="994" t="s">
        <v>20221</v>
      </c>
      <c r="I11189" s="11" t="s">
        <v>14840</v>
      </c>
      <c r="J11189" s="1285"/>
      <c r="K11189" s="1285"/>
      <c r="L11189" s="1285"/>
    </row>
    <row r="11190" spans="1:12" ht="11.15" customHeight="1">
      <c r="A11190" s="29" t="s">
        <v>14841</v>
      </c>
      <c r="B11190" s="59" t="s">
        <v>22387</v>
      </c>
      <c r="C11190" s="147" t="s">
        <v>20221</v>
      </c>
      <c r="D11190" s="701" t="s">
        <v>1129</v>
      </c>
      <c r="E11190" s="178">
        <v>2020</v>
      </c>
      <c r="F11190" s="178" t="s">
        <v>4520</v>
      </c>
      <c r="G11190" s="496"/>
      <c r="H11190" s="994" t="s">
        <v>20221</v>
      </c>
      <c r="I11190" s="11" t="s">
        <v>14842</v>
      </c>
      <c r="J11190" s="1285"/>
      <c r="K11190" s="1285"/>
      <c r="L11190" s="1285"/>
    </row>
    <row r="11191" spans="1:12" ht="11.15" customHeight="1">
      <c r="A11191" s="29" t="s">
        <v>14843</v>
      </c>
      <c r="B11191" s="59" t="s">
        <v>22386</v>
      </c>
      <c r="C11191" s="147" t="s">
        <v>20221</v>
      </c>
      <c r="D11191" s="701" t="s">
        <v>1129</v>
      </c>
      <c r="E11191" s="178">
        <v>2018</v>
      </c>
      <c r="F11191" s="178" t="s">
        <v>4520</v>
      </c>
      <c r="G11191" s="496"/>
      <c r="H11191" s="994" t="s">
        <v>20221</v>
      </c>
      <c r="I11191" s="11" t="s">
        <v>14844</v>
      </c>
      <c r="J11191" s="1285"/>
      <c r="K11191" s="1285"/>
      <c r="L11191" s="1285"/>
    </row>
    <row r="11192" spans="1:12" ht="11.15" customHeight="1">
      <c r="A11192" s="29" t="s">
        <v>14845</v>
      </c>
      <c r="B11192" s="59" t="s">
        <v>22388</v>
      </c>
      <c r="C11192" s="147" t="s">
        <v>20221</v>
      </c>
      <c r="D11192" s="701" t="s">
        <v>1129</v>
      </c>
      <c r="E11192" s="178">
        <v>2022</v>
      </c>
      <c r="F11192" s="178" t="s">
        <v>4520</v>
      </c>
      <c r="G11192" s="496"/>
      <c r="H11192" s="994" t="s">
        <v>20221</v>
      </c>
      <c r="I11192" s="11" t="s">
        <v>14846</v>
      </c>
      <c r="J11192" s="1285"/>
      <c r="K11192" s="1285"/>
      <c r="L11192" s="1285"/>
    </row>
    <row r="11193" spans="1:12" ht="11.15" customHeight="1">
      <c r="A11193" s="29" t="s">
        <v>14847</v>
      </c>
      <c r="B11193" s="59" t="s">
        <v>22389</v>
      </c>
      <c r="C11193" s="147" t="s">
        <v>20221</v>
      </c>
      <c r="D11193" s="701" t="s">
        <v>1129</v>
      </c>
      <c r="E11193" s="178">
        <v>2021</v>
      </c>
      <c r="F11193" s="178" t="s">
        <v>4520</v>
      </c>
      <c r="G11193" s="496"/>
      <c r="H11193" s="994" t="s">
        <v>20221</v>
      </c>
      <c r="I11193" s="11" t="s">
        <v>14848</v>
      </c>
      <c r="J11193" s="1285"/>
      <c r="K11193" s="1285"/>
      <c r="L11193" s="1285"/>
    </row>
    <row r="11194" spans="1:12" ht="11.15" customHeight="1">
      <c r="A11194" s="29" t="s">
        <v>14849</v>
      </c>
      <c r="B11194" s="59" t="s">
        <v>22390</v>
      </c>
      <c r="C11194" s="147" t="s">
        <v>20221</v>
      </c>
      <c r="D11194" s="701" t="s">
        <v>1129</v>
      </c>
      <c r="E11194" s="178">
        <v>2018</v>
      </c>
      <c r="F11194" s="178" t="s">
        <v>4520</v>
      </c>
      <c r="G11194" s="496"/>
      <c r="H11194" s="994" t="s">
        <v>20221</v>
      </c>
      <c r="I11194" s="11" t="s">
        <v>14850</v>
      </c>
      <c r="J11194" s="1285"/>
      <c r="K11194" s="1285"/>
      <c r="L11194" s="1285"/>
    </row>
    <row r="11195" spans="1:12" ht="11.15" customHeight="1">
      <c r="A11195" s="129" t="s">
        <v>1077</v>
      </c>
      <c r="B11195" s="59" t="s">
        <v>22062</v>
      </c>
      <c r="C11195" s="147" t="s">
        <v>20221</v>
      </c>
      <c r="D11195" s="701" t="s">
        <v>1129</v>
      </c>
      <c r="E11195" s="178">
        <v>2021</v>
      </c>
      <c r="F11195" s="178" t="s">
        <v>4520</v>
      </c>
      <c r="G11195" s="496"/>
      <c r="H11195" s="994" t="s">
        <v>20221</v>
      </c>
      <c r="I11195" s="11" t="s">
        <v>14851</v>
      </c>
      <c r="J11195" s="1285"/>
      <c r="K11195" s="1285"/>
      <c r="L11195" s="1285"/>
    </row>
    <row r="11196" spans="1:12" ht="11.15" customHeight="1">
      <c r="A11196" s="162" t="s">
        <v>14852</v>
      </c>
      <c r="B11196" s="154" t="s">
        <v>14853</v>
      </c>
      <c r="C11196" s="147"/>
      <c r="D11196" s="129"/>
      <c r="E11196" s="185"/>
      <c r="F11196" s="185"/>
      <c r="G11196" s="185"/>
      <c r="H11196" s="185"/>
      <c r="I11196" s="11"/>
    </row>
    <row r="11197" spans="1:12" ht="11.15" customHeight="1">
      <c r="A11197" s="162" t="s">
        <v>14854</v>
      </c>
      <c r="B11197" s="59" t="s">
        <v>22391</v>
      </c>
      <c r="C11197" s="147" t="s">
        <v>20221</v>
      </c>
      <c r="D11197" s="701" t="s">
        <v>1129</v>
      </c>
      <c r="E11197" s="178">
        <v>2021</v>
      </c>
      <c r="F11197" s="178" t="s">
        <v>4520</v>
      </c>
      <c r="G11197" s="496"/>
      <c r="H11197" s="994" t="s">
        <v>20221</v>
      </c>
      <c r="I11197" s="11" t="s">
        <v>14855</v>
      </c>
      <c r="J11197" s="1285"/>
      <c r="K11197" s="1285"/>
      <c r="L11197" s="1285"/>
    </row>
    <row r="11198" spans="1:12" ht="11.15" customHeight="1">
      <c r="A11198" s="162" t="s">
        <v>14856</v>
      </c>
      <c r="B11198" s="59" t="s">
        <v>22392</v>
      </c>
      <c r="C11198" s="147" t="s">
        <v>20221</v>
      </c>
      <c r="D11198" s="701" t="s">
        <v>1129</v>
      </c>
      <c r="E11198" s="178">
        <v>2022</v>
      </c>
      <c r="F11198" s="178" t="s">
        <v>4520</v>
      </c>
      <c r="G11198" s="496"/>
      <c r="H11198" s="994" t="s">
        <v>20221</v>
      </c>
      <c r="I11198" s="11" t="s">
        <v>14857</v>
      </c>
      <c r="J11198" s="1285"/>
      <c r="K11198" s="1285"/>
      <c r="L11198" s="1285"/>
    </row>
    <row r="11199" spans="1:12" ht="11.15" customHeight="1">
      <c r="A11199" s="162" t="s">
        <v>14858</v>
      </c>
      <c r="B11199" s="59" t="s">
        <v>22392</v>
      </c>
      <c r="C11199" s="147" t="s">
        <v>20221</v>
      </c>
      <c r="D11199" s="701" t="s">
        <v>1129</v>
      </c>
      <c r="E11199" s="178">
        <v>2021</v>
      </c>
      <c r="F11199" s="178" t="s">
        <v>4520</v>
      </c>
      <c r="G11199" s="496"/>
      <c r="H11199" s="994" t="s">
        <v>20221</v>
      </c>
      <c r="I11199" s="11" t="s">
        <v>14859</v>
      </c>
      <c r="J11199" s="1285"/>
      <c r="K11199" s="1285"/>
      <c r="L11199" s="1285"/>
    </row>
    <row r="11200" spans="1:12" ht="11.15" customHeight="1">
      <c r="A11200" s="168" t="s">
        <v>14860</v>
      </c>
      <c r="B11200" s="59" t="s">
        <v>22393</v>
      </c>
      <c r="C11200" s="147" t="s">
        <v>20221</v>
      </c>
      <c r="D11200" s="701" t="s">
        <v>1129</v>
      </c>
      <c r="E11200" s="178">
        <v>2022</v>
      </c>
      <c r="F11200" s="178" t="s">
        <v>4520</v>
      </c>
      <c r="G11200" s="496"/>
      <c r="H11200" s="994" t="s">
        <v>20221</v>
      </c>
      <c r="I11200" s="11" t="s">
        <v>14861</v>
      </c>
      <c r="J11200" s="1285"/>
      <c r="K11200" s="1285"/>
      <c r="L11200" s="1285"/>
    </row>
    <row r="11201" spans="1:12" ht="11.15" customHeight="1">
      <c r="A11201" s="169" t="s">
        <v>14862</v>
      </c>
      <c r="B11201" s="59" t="s">
        <v>22393</v>
      </c>
      <c r="C11201" s="147" t="s">
        <v>20221</v>
      </c>
      <c r="D11201" s="701" t="s">
        <v>1129</v>
      </c>
      <c r="E11201" s="178">
        <v>2021</v>
      </c>
      <c r="F11201" s="178" t="s">
        <v>4520</v>
      </c>
      <c r="G11201" s="496"/>
      <c r="H11201" s="994" t="s">
        <v>20221</v>
      </c>
      <c r="I11201" s="11" t="s">
        <v>14863</v>
      </c>
      <c r="J11201" s="1285"/>
      <c r="K11201" s="1285"/>
      <c r="L11201" s="1285"/>
    </row>
    <row r="11202" spans="1:12" ht="11.15" customHeight="1">
      <c r="A11202" s="492" t="s">
        <v>6714</v>
      </c>
      <c r="B11202" s="59" t="s">
        <v>22394</v>
      </c>
      <c r="C11202" s="147" t="s">
        <v>20221</v>
      </c>
      <c r="D11202" s="701" t="s">
        <v>1129</v>
      </c>
      <c r="E11202" s="178">
        <v>2022</v>
      </c>
      <c r="F11202" s="178" t="s">
        <v>4520</v>
      </c>
      <c r="G11202" s="496"/>
      <c r="H11202" s="994" t="s">
        <v>20221</v>
      </c>
      <c r="I11202" s="11" t="s">
        <v>14864</v>
      </c>
      <c r="J11202" s="1285"/>
      <c r="K11202" s="1285"/>
      <c r="L11202" s="1285"/>
    </row>
    <row r="11203" spans="1:12" ht="11.15" customHeight="1">
      <c r="A11203" s="129" t="s">
        <v>14865</v>
      </c>
      <c r="B11203" s="59" t="s">
        <v>22394</v>
      </c>
      <c r="C11203" s="147" t="s">
        <v>20221</v>
      </c>
      <c r="D11203" s="701" t="s">
        <v>1129</v>
      </c>
      <c r="E11203" s="178">
        <v>2020</v>
      </c>
      <c r="F11203" s="178" t="s">
        <v>4520</v>
      </c>
      <c r="G11203" s="496"/>
      <c r="H11203" s="994" t="s">
        <v>20221</v>
      </c>
      <c r="I11203" s="11" t="s">
        <v>14866</v>
      </c>
      <c r="J11203" s="1285"/>
      <c r="K11203" s="1285"/>
      <c r="L11203" s="1285"/>
    </row>
    <row r="11204" spans="1:12" ht="11.15" customHeight="1">
      <c r="A11204" s="29"/>
      <c r="B11204" s="154" t="s">
        <v>14619</v>
      </c>
      <c r="C11204" s="147"/>
      <c r="D11204" s="129"/>
      <c r="E11204" s="185"/>
      <c r="F11204" s="185"/>
      <c r="G11204" s="185"/>
      <c r="H11204" s="185"/>
      <c r="I11204" s="11"/>
    </row>
    <row r="11205" spans="1:12" ht="11.15" customHeight="1">
      <c r="A11205" s="185"/>
      <c r="B11205" s="59" t="s">
        <v>22395</v>
      </c>
      <c r="C11205" s="147" t="s">
        <v>20221</v>
      </c>
      <c r="D11205" s="701" t="s">
        <v>1129</v>
      </c>
      <c r="E11205" s="178">
        <v>2020</v>
      </c>
      <c r="F11205" s="178" t="s">
        <v>11931</v>
      </c>
      <c r="G11205" s="496"/>
      <c r="H11205" s="994" t="s">
        <v>20224</v>
      </c>
      <c r="I11205" s="11" t="s">
        <v>14867</v>
      </c>
      <c r="J11205" s="1285"/>
      <c r="K11205" s="1285"/>
      <c r="L11205" s="1285"/>
    </row>
    <row r="11206" spans="1:12" ht="11.15" customHeight="1">
      <c r="A11206" s="185"/>
      <c r="B11206" s="154" t="s">
        <v>14868</v>
      </c>
      <c r="C11206" s="147"/>
      <c r="D11206" s="122"/>
      <c r="E11206" s="36"/>
      <c r="F11206" s="178"/>
      <c r="G11206" s="60"/>
      <c r="H11206" s="36"/>
      <c r="I11206" s="11"/>
    </row>
    <row r="11207" spans="1:12" ht="11.15" customHeight="1">
      <c r="A11207" s="185"/>
      <c r="B11207" s="59" t="s">
        <v>22396</v>
      </c>
      <c r="C11207" s="147" t="s">
        <v>20221</v>
      </c>
      <c r="D11207" s="284" t="s">
        <v>897</v>
      </c>
      <c r="E11207" s="178">
        <v>2022</v>
      </c>
      <c r="F11207" s="178" t="s">
        <v>4520</v>
      </c>
      <c r="G11207" s="496"/>
      <c r="H11207" s="994" t="s">
        <v>20221</v>
      </c>
      <c r="I11207" s="11" t="s">
        <v>14869</v>
      </c>
      <c r="J11207" s="1285"/>
      <c r="K11207" s="1285"/>
      <c r="L11207" s="1285"/>
    </row>
    <row r="11208" spans="1:12" ht="11.15" customHeight="1">
      <c r="A11208" s="185"/>
      <c r="B11208" s="59" t="s">
        <v>22396</v>
      </c>
      <c r="C11208" s="147" t="s">
        <v>20221</v>
      </c>
      <c r="D11208" s="284" t="s">
        <v>897</v>
      </c>
      <c r="E11208" s="178">
        <v>2021</v>
      </c>
      <c r="F11208" s="178" t="s">
        <v>4520</v>
      </c>
      <c r="G11208" s="496"/>
      <c r="H11208" s="994" t="s">
        <v>20221</v>
      </c>
      <c r="I11208" s="11" t="s">
        <v>14870</v>
      </c>
      <c r="J11208" s="1285"/>
      <c r="K11208" s="1285"/>
      <c r="L11208" s="1285"/>
    </row>
    <row r="11209" spans="1:12" ht="11.15" customHeight="1">
      <c r="A11209" s="185"/>
      <c r="B11209" s="59" t="s">
        <v>22396</v>
      </c>
      <c r="C11209" s="147" t="s">
        <v>20221</v>
      </c>
      <c r="D11209" s="284" t="s">
        <v>897</v>
      </c>
      <c r="E11209" s="178">
        <v>2020</v>
      </c>
      <c r="F11209" s="178" t="s">
        <v>4520</v>
      </c>
      <c r="G11209" s="496"/>
      <c r="H11209" s="994" t="s">
        <v>20221</v>
      </c>
      <c r="I11209" s="11" t="s">
        <v>14871</v>
      </c>
      <c r="J11209" s="1285"/>
      <c r="K11209" s="1285"/>
      <c r="L11209" s="1285"/>
    </row>
    <row r="11210" spans="1:12" ht="11.15" customHeight="1">
      <c r="A11210" s="185"/>
      <c r="B11210" s="59" t="s">
        <v>22396</v>
      </c>
      <c r="C11210" s="147" t="s">
        <v>20221</v>
      </c>
      <c r="D11210" s="284" t="s">
        <v>897</v>
      </c>
      <c r="E11210" s="178">
        <v>2018</v>
      </c>
      <c r="F11210" s="178" t="s">
        <v>4520</v>
      </c>
      <c r="G11210" s="496"/>
      <c r="H11210" s="994" t="s">
        <v>20221</v>
      </c>
      <c r="I11210" s="11" t="s">
        <v>14872</v>
      </c>
      <c r="J11210" s="1285"/>
      <c r="K11210" s="1285"/>
      <c r="L11210" s="1285"/>
    </row>
    <row r="11211" spans="1:12" ht="11.15" customHeight="1">
      <c r="A11211" s="185"/>
      <c r="B11211" s="154" t="s">
        <v>14873</v>
      </c>
      <c r="C11211" s="147"/>
      <c r="D11211" s="122"/>
      <c r="E11211" s="36"/>
      <c r="F11211" s="178"/>
      <c r="G11211" s="60"/>
      <c r="H11211" s="36"/>
      <c r="I11211" s="11"/>
    </row>
    <row r="11212" spans="1:12" ht="11.15" customHeight="1">
      <c r="A11212" s="185"/>
      <c r="B11212" s="59" t="s">
        <v>22397</v>
      </c>
      <c r="C11212" s="147" t="s">
        <v>20221</v>
      </c>
      <c r="D11212" s="284" t="s">
        <v>897</v>
      </c>
      <c r="E11212" s="178">
        <v>2021</v>
      </c>
      <c r="F11212" s="178" t="s">
        <v>4520</v>
      </c>
      <c r="G11212" s="496"/>
      <c r="H11212" s="994" t="s">
        <v>20221</v>
      </c>
      <c r="I11212" s="11" t="s">
        <v>14874</v>
      </c>
      <c r="J11212" s="1285"/>
      <c r="K11212" s="1285"/>
      <c r="L11212" s="1285"/>
    </row>
    <row r="11213" spans="1:12" ht="11.15" customHeight="1">
      <c r="A11213" s="185"/>
      <c r="B11213" s="154"/>
      <c r="C11213" s="147"/>
      <c r="D11213" s="122"/>
      <c r="E11213" s="36"/>
      <c r="F11213" s="178"/>
      <c r="G11213" s="60"/>
      <c r="H11213" s="36"/>
      <c r="I11213" s="11"/>
    </row>
    <row r="11214" spans="1:12" ht="11.15" customHeight="1" thickBot="1">
      <c r="A11214" s="185"/>
      <c r="B11214" s="716" t="s">
        <v>14875</v>
      </c>
      <c r="C11214" s="147"/>
      <c r="D11214" s="122"/>
      <c r="E11214" s="36"/>
      <c r="F11214" s="183"/>
      <c r="G11214" s="453"/>
      <c r="H11214" s="34"/>
      <c r="I11214" s="11"/>
    </row>
    <row r="11215" spans="1:12" ht="11.15" customHeight="1" thickBot="1">
      <c r="A11215" s="184" t="s">
        <v>14876</v>
      </c>
      <c r="B11215" s="154" t="s">
        <v>14877</v>
      </c>
      <c r="C11215" s="147"/>
      <c r="D11215" s="159"/>
      <c r="E11215" s="36"/>
      <c r="F11215" s="183"/>
      <c r="G11215" s="496"/>
      <c r="H11215" s="34"/>
      <c r="I11215" s="11"/>
    </row>
    <row r="11216" spans="1:12" ht="11.15" customHeight="1">
      <c r="A11216" s="29" t="s">
        <v>14878</v>
      </c>
      <c r="B11216" s="59" t="s">
        <v>22398</v>
      </c>
      <c r="C11216" s="147" t="s">
        <v>20221</v>
      </c>
      <c r="D11216" s="284" t="s">
        <v>897</v>
      </c>
      <c r="E11216" s="178" t="s">
        <v>20221</v>
      </c>
      <c r="F11216" s="178" t="s">
        <v>23422</v>
      </c>
      <c r="G11216" s="496" t="s">
        <v>20221</v>
      </c>
      <c r="H11216" s="994" t="s">
        <v>3907</v>
      </c>
      <c r="I11216" s="11" t="s">
        <v>14879</v>
      </c>
      <c r="J11216" s="1285"/>
      <c r="K11216" s="1285"/>
      <c r="L11216" s="1285"/>
    </row>
    <row r="11217" spans="1:9" ht="11.15" customHeight="1">
      <c r="A11217" s="29" t="s">
        <v>14880</v>
      </c>
      <c r="B11217" s="185"/>
      <c r="C11217" s="147"/>
      <c r="D11217" s="185"/>
      <c r="E11217" s="185"/>
      <c r="F11217" s="185"/>
      <c r="G11217" s="185"/>
      <c r="H11217" s="185"/>
      <c r="I11217" s="11"/>
    </row>
    <row r="11218" spans="1:9" ht="11.15" customHeight="1">
      <c r="A11218" s="29" t="s">
        <v>14881</v>
      </c>
      <c r="B11218" s="185"/>
      <c r="C11218" s="147"/>
      <c r="D11218" s="185"/>
      <c r="E11218" s="185"/>
      <c r="F11218" s="185"/>
      <c r="G11218" s="185"/>
      <c r="H11218" s="185"/>
      <c r="I11218" s="11"/>
    </row>
    <row r="11219" spans="1:9" ht="11.15" customHeight="1">
      <c r="A11219" s="218" t="s">
        <v>1595</v>
      </c>
      <c r="B11219" s="185"/>
      <c r="C11219" s="147"/>
      <c r="D11219" s="185"/>
      <c r="E11219" s="185"/>
      <c r="F11219" s="185"/>
      <c r="G11219" s="185"/>
      <c r="H11219" s="185"/>
      <c r="I11219" s="11"/>
    </row>
    <row r="11220" spans="1:9" ht="11.15" customHeight="1">
      <c r="A11220" s="129" t="s">
        <v>1077</v>
      </c>
      <c r="B11220" s="90"/>
      <c r="C11220" s="147"/>
      <c r="D11220" s="161"/>
      <c r="E11220" s="36"/>
      <c r="F11220" s="183"/>
      <c r="G11220" s="497"/>
      <c r="H11220" s="34"/>
      <c r="I11220" s="11"/>
    </row>
    <row r="11221" spans="1:9" ht="11.15" customHeight="1">
      <c r="A11221" s="162" t="s">
        <v>14882</v>
      </c>
      <c r="B11221" s="185"/>
      <c r="C11221" s="147"/>
      <c r="D11221" s="185"/>
      <c r="E11221" s="185"/>
      <c r="F11221" s="185"/>
      <c r="G11221" s="185"/>
      <c r="H11221" s="185"/>
      <c r="I11221" s="11"/>
    </row>
    <row r="11222" spans="1:9" ht="11.15" customHeight="1">
      <c r="A11222" s="162" t="s">
        <v>14883</v>
      </c>
      <c r="B11222" s="90"/>
      <c r="C11222" s="147"/>
      <c r="D11222" s="161"/>
      <c r="E11222" s="36"/>
      <c r="F11222" s="183"/>
      <c r="G11222" s="497"/>
      <c r="H11222" s="34"/>
      <c r="I11222" s="11"/>
    </row>
    <row r="11223" spans="1:9" ht="11.15" customHeight="1">
      <c r="A11223" s="162" t="s">
        <v>14884</v>
      </c>
      <c r="B11223" s="185"/>
      <c r="C11223" s="147"/>
      <c r="D11223" s="129"/>
      <c r="E11223" s="185"/>
      <c r="F11223" s="185"/>
      <c r="G11223" s="185"/>
      <c r="H11223" s="185"/>
      <c r="I11223" s="11"/>
    </row>
    <row r="11224" spans="1:9" ht="11.15" customHeight="1">
      <c r="A11224" s="162" t="s">
        <v>14885</v>
      </c>
      <c r="B11224" s="210"/>
      <c r="C11224" s="147"/>
      <c r="D11224" s="161"/>
      <c r="E11224" s="36"/>
      <c r="F11224" s="183"/>
      <c r="G11224" s="497"/>
      <c r="H11224" s="34"/>
      <c r="I11224" s="11"/>
    </row>
    <row r="11225" spans="1:9" ht="11.15" customHeight="1">
      <c r="A11225" s="162" t="s">
        <v>14886</v>
      </c>
      <c r="B11225" s="90"/>
      <c r="C11225" s="147"/>
      <c r="D11225" s="161"/>
      <c r="E11225" s="36"/>
      <c r="F11225" s="183"/>
      <c r="G11225" s="497"/>
      <c r="H11225" s="34"/>
      <c r="I11225" s="11"/>
    </row>
    <row r="11226" spans="1:9" ht="11.15" customHeight="1">
      <c r="A11226" s="162" t="s">
        <v>14887</v>
      </c>
      <c r="B11226" s="90"/>
      <c r="C11226" s="147"/>
      <c r="D11226" s="161"/>
      <c r="E11226" s="36"/>
      <c r="F11226" s="183"/>
      <c r="G11226" s="497"/>
      <c r="H11226" s="34"/>
      <c r="I11226" s="11"/>
    </row>
    <row r="11227" spans="1:9" ht="11.15" customHeight="1">
      <c r="A11227" s="162" t="s">
        <v>14888</v>
      </c>
      <c r="B11227" s="90"/>
      <c r="C11227" s="147"/>
      <c r="D11227" s="161"/>
      <c r="E11227" s="36"/>
      <c r="F11227" s="183"/>
      <c r="G11227" s="497"/>
      <c r="H11227" s="34"/>
      <c r="I11227" s="11"/>
    </row>
    <row r="11228" spans="1:9" ht="11.15" customHeight="1">
      <c r="A11228" s="162" t="s">
        <v>14889</v>
      </c>
      <c r="B11228" s="90"/>
      <c r="C11228" s="147"/>
      <c r="D11228" s="161"/>
      <c r="E11228" s="36"/>
      <c r="F11228" s="183"/>
      <c r="G11228" s="497"/>
      <c r="H11228" s="34"/>
      <c r="I11228" s="11"/>
    </row>
    <row r="11229" spans="1:9" ht="11.15" customHeight="1">
      <c r="A11229" s="162" t="s">
        <v>14890</v>
      </c>
      <c r="B11229" s="90"/>
      <c r="C11229" s="147"/>
      <c r="D11229" s="161"/>
      <c r="E11229" s="36"/>
      <c r="F11229" s="183"/>
      <c r="G11229" s="497"/>
      <c r="H11229" s="34"/>
      <c r="I11229" s="11"/>
    </row>
    <row r="11230" spans="1:9" ht="11.15" customHeight="1">
      <c r="A11230" s="162" t="s">
        <v>14891</v>
      </c>
      <c r="B11230" s="520"/>
      <c r="C11230" s="147"/>
      <c r="D11230" s="122"/>
      <c r="E11230" s="36"/>
      <c r="F11230" s="183"/>
      <c r="G11230" s="453"/>
      <c r="H11230" s="34"/>
      <c r="I11230" s="11"/>
    </row>
    <row r="11231" spans="1:9" ht="11.15" customHeight="1">
      <c r="A11231" s="162" t="s">
        <v>14892</v>
      </c>
      <c r="B11231" s="520"/>
      <c r="C11231" s="147"/>
      <c r="D11231" s="122"/>
      <c r="E11231" s="36"/>
      <c r="F11231" s="183"/>
      <c r="G11231" s="453"/>
      <c r="H11231" s="34"/>
      <c r="I11231" s="11"/>
    </row>
    <row r="11232" spans="1:9" ht="11.15" customHeight="1">
      <c r="A11232" s="168" t="s">
        <v>14893</v>
      </c>
      <c r="B11232" s="520"/>
      <c r="C11232" s="147"/>
      <c r="D11232" s="122"/>
      <c r="E11232" s="36"/>
      <c r="F11232" s="183"/>
      <c r="G11232" s="453"/>
      <c r="H11232" s="34"/>
      <c r="I11232" s="11"/>
    </row>
    <row r="11233" spans="1:12" ht="11.15" customHeight="1" thickBot="1">
      <c r="A11233" s="242"/>
      <c r="B11233" s="520"/>
      <c r="C11233" s="147"/>
      <c r="D11233" s="122"/>
      <c r="E11233" s="36"/>
      <c r="F11233" s="183"/>
      <c r="G11233" s="453"/>
      <c r="H11233" s="34"/>
      <c r="I11233" s="11"/>
    </row>
    <row r="11234" spans="1:12" ht="24" customHeight="1" thickBot="1">
      <c r="A11234" s="540"/>
      <c r="B11234" s="64" t="s">
        <v>14894</v>
      </c>
      <c r="C11234" s="170"/>
      <c r="D11234" s="382"/>
      <c r="E11234" s="543"/>
      <c r="F11234" s="1082"/>
      <c r="G11234" s="1249"/>
      <c r="H11234" s="1132"/>
      <c r="I11234" s="11"/>
    </row>
    <row r="11235" spans="1:12" ht="11.15" customHeight="1" thickBot="1">
      <c r="A11235" s="184" t="s">
        <v>14895</v>
      </c>
      <c r="B11235" s="59" t="s">
        <v>22400</v>
      </c>
      <c r="C11235" s="147" t="s">
        <v>20221</v>
      </c>
      <c r="D11235" s="701" t="s">
        <v>1129</v>
      </c>
      <c r="E11235" s="178">
        <v>2010</v>
      </c>
      <c r="F11235" s="178" t="s">
        <v>23394</v>
      </c>
      <c r="G11235" s="496"/>
      <c r="H11235" s="994" t="s">
        <v>20277</v>
      </c>
      <c r="I11235" s="11" t="s">
        <v>14896</v>
      </c>
      <c r="J11235" s="1285"/>
      <c r="K11235" s="1285"/>
      <c r="L11235" s="1285"/>
    </row>
    <row r="11236" spans="1:12" ht="11.15" customHeight="1">
      <c r="A11236" s="29" t="s">
        <v>14897</v>
      </c>
      <c r="B11236" s="90"/>
      <c r="C11236" s="147"/>
      <c r="D11236" s="161"/>
      <c r="E11236" s="34"/>
      <c r="F11236" s="178"/>
      <c r="G11236" s="429"/>
      <c r="H11236" s="36"/>
      <c r="I11236" s="11"/>
    </row>
    <row r="11237" spans="1:12" ht="11.15" customHeight="1">
      <c r="A11237" s="29" t="s">
        <v>14898</v>
      </c>
      <c r="B11237" s="185"/>
      <c r="C11237" s="147"/>
      <c r="D11237" s="129"/>
      <c r="E11237" s="185"/>
      <c r="F11237" s="185"/>
      <c r="G11237" s="185"/>
      <c r="H11237" s="185"/>
      <c r="I11237" s="11"/>
    </row>
    <row r="11238" spans="1:12" ht="11.15" customHeight="1">
      <c r="A11238" s="29" t="s">
        <v>14899</v>
      </c>
      <c r="B11238" s="154"/>
      <c r="C11238" s="147"/>
      <c r="D11238" s="129"/>
      <c r="E11238" s="185"/>
      <c r="F11238" s="185"/>
      <c r="G11238" s="185"/>
      <c r="H11238" s="185"/>
      <c r="I11238" s="11"/>
    </row>
    <row r="11239" spans="1:12" ht="11.15" customHeight="1" thickBot="1">
      <c r="A11239" s="29"/>
      <c r="B11239" s="154"/>
      <c r="C11239" s="147"/>
      <c r="D11239" s="129"/>
      <c r="E11239" s="185"/>
      <c r="F11239" s="185"/>
      <c r="G11239" s="185"/>
      <c r="H11239" s="185"/>
      <c r="I11239" s="11"/>
    </row>
    <row r="11240" spans="1:12" ht="11.15" customHeight="1">
      <c r="A11240" s="153" t="s">
        <v>14900</v>
      </c>
      <c r="B11240" s="59" t="s">
        <v>22402</v>
      </c>
      <c r="C11240" s="147" t="s">
        <v>20221</v>
      </c>
      <c r="D11240" s="284" t="s">
        <v>897</v>
      </c>
      <c r="E11240" s="178">
        <v>2017</v>
      </c>
      <c r="F11240" s="178" t="s">
        <v>4520</v>
      </c>
      <c r="G11240" s="496"/>
      <c r="H11240" s="994" t="s">
        <v>20221</v>
      </c>
      <c r="I11240" s="11" t="s">
        <v>14901</v>
      </c>
      <c r="J11240" s="1285"/>
      <c r="K11240" s="1285"/>
      <c r="L11240" s="1285"/>
    </row>
    <row r="11241" spans="1:12" ht="11.15" customHeight="1" thickBot="1">
      <c r="A11241" s="230" t="s">
        <v>14722</v>
      </c>
      <c r="B11241" s="90"/>
      <c r="C11241" s="147"/>
      <c r="D11241" s="159"/>
      <c r="E11241" s="36"/>
      <c r="F11241" s="178"/>
      <c r="G11241" s="497"/>
      <c r="H11241" s="36"/>
      <c r="I11241" s="11"/>
    </row>
    <row r="11242" spans="1:12" ht="11.15" customHeight="1">
      <c r="A11242" s="29" t="s">
        <v>14902</v>
      </c>
      <c r="B11242" s="90"/>
      <c r="C11242" s="147"/>
      <c r="D11242" s="159"/>
      <c r="E11242" s="36"/>
      <c r="F11242" s="178"/>
      <c r="G11242" s="497"/>
      <c r="H11242" s="36"/>
      <c r="I11242" s="11"/>
    </row>
    <row r="11243" spans="1:12" ht="11.15" customHeight="1">
      <c r="A11243" s="29" t="s">
        <v>14903</v>
      </c>
      <c r="B11243" s="90"/>
      <c r="C11243" s="147"/>
      <c r="D11243" s="159"/>
      <c r="E11243" s="36"/>
      <c r="F11243" s="178"/>
      <c r="G11243" s="497"/>
      <c r="H11243" s="36"/>
      <c r="I11243" s="11"/>
    </row>
    <row r="11244" spans="1:12" ht="11.15" customHeight="1">
      <c r="A11244" s="29" t="s">
        <v>14904</v>
      </c>
      <c r="B11244" s="90"/>
      <c r="C11244" s="147"/>
      <c r="D11244" s="159"/>
      <c r="E11244" s="36"/>
      <c r="F11244" s="178"/>
      <c r="G11244" s="497"/>
      <c r="H11244" s="36"/>
      <c r="I11244" s="11"/>
    </row>
    <row r="11245" spans="1:12" ht="11.15" customHeight="1">
      <c r="A11245" s="691" t="s">
        <v>1327</v>
      </c>
      <c r="B11245" s="90"/>
      <c r="C11245" s="147"/>
      <c r="D11245" s="159"/>
      <c r="E11245" s="36"/>
      <c r="F11245" s="178"/>
      <c r="G11245" s="497"/>
      <c r="H11245" s="36"/>
      <c r="I11245" s="11"/>
    </row>
    <row r="11246" spans="1:12" ht="11.15" customHeight="1">
      <c r="A11246" s="129" t="s">
        <v>14301</v>
      </c>
      <c r="B11246" s="379"/>
      <c r="C11246" s="147"/>
      <c r="D11246" s="122"/>
      <c r="E11246" s="36"/>
      <c r="F11246" s="183"/>
      <c r="G11246" s="60"/>
      <c r="H11246" s="34"/>
      <c r="I11246" s="11"/>
    </row>
    <row r="11247" spans="1:12" ht="11.15" customHeight="1" thickBot="1">
      <c r="A11247" s="29"/>
      <c r="B11247" s="379"/>
      <c r="C11247" s="147"/>
      <c r="D11247" s="122"/>
      <c r="E11247" s="36"/>
      <c r="F11247" s="178"/>
      <c r="G11247" s="60"/>
      <c r="H11247" s="36"/>
      <c r="I11247" s="11"/>
    </row>
    <row r="11248" spans="1:12" ht="32.5" thickBot="1">
      <c r="A11248" s="542"/>
      <c r="B11248" s="64" t="s">
        <v>14905</v>
      </c>
      <c r="C11248" s="170"/>
      <c r="D11248" s="382"/>
      <c r="E11248" s="543"/>
      <c r="F11248" s="1082"/>
      <c r="G11248" s="1249"/>
      <c r="H11248" s="1132"/>
      <c r="I11248" s="11"/>
    </row>
    <row r="11249" spans="1:12" ht="11.15" customHeight="1">
      <c r="A11249" s="271"/>
      <c r="B11249" s="146" t="s">
        <v>14906</v>
      </c>
      <c r="C11249" s="147"/>
      <c r="D11249" s="159"/>
      <c r="E11249" s="36"/>
      <c r="F11249" s="178"/>
      <c r="G11249" s="496"/>
      <c r="H11249" s="36"/>
      <c r="I11249" s="11"/>
    </row>
    <row r="11250" spans="1:12" ht="9" customHeight="1">
      <c r="A11250" s="362"/>
      <c r="B11250" s="150" t="s">
        <v>14907</v>
      </c>
      <c r="C11250" s="147"/>
      <c r="D11250" s="701"/>
      <c r="E11250" s="36"/>
      <c r="F11250" s="178"/>
      <c r="G11250" s="496"/>
      <c r="H11250" s="36"/>
      <c r="I11250" s="11"/>
    </row>
    <row r="11251" spans="1:12" ht="9" customHeight="1">
      <c r="A11251" s="362"/>
      <c r="B11251" s="150" t="s">
        <v>14908</v>
      </c>
      <c r="C11251" s="147"/>
      <c r="D11251" s="701"/>
      <c r="E11251" s="36"/>
      <c r="F11251" s="178"/>
      <c r="G11251" s="496"/>
      <c r="H11251" s="36"/>
      <c r="I11251" s="11"/>
    </row>
    <row r="11252" spans="1:12" ht="9" customHeight="1">
      <c r="A11252" s="362"/>
      <c r="B11252" s="150" t="s">
        <v>14909</v>
      </c>
      <c r="C11252" s="147"/>
      <c r="D11252" s="701"/>
      <c r="E11252" s="36"/>
      <c r="F11252" s="178"/>
      <c r="G11252" s="496"/>
      <c r="H11252" s="36"/>
      <c r="I11252" s="11"/>
    </row>
    <row r="11253" spans="1:12" ht="9" customHeight="1">
      <c r="A11253" s="362"/>
      <c r="B11253" s="150" t="s">
        <v>14910</v>
      </c>
      <c r="C11253" s="147"/>
      <c r="D11253" s="701"/>
      <c r="E11253" s="36"/>
      <c r="F11253" s="178"/>
      <c r="G11253" s="496"/>
      <c r="H11253" s="36"/>
      <c r="I11253" s="11"/>
    </row>
    <row r="11254" spans="1:12" ht="9" customHeight="1">
      <c r="A11254" s="362"/>
      <c r="B11254" s="209" t="s">
        <v>14911</v>
      </c>
      <c r="C11254" s="147"/>
      <c r="D11254" s="701"/>
      <c r="E11254" s="36"/>
      <c r="F11254" s="178"/>
      <c r="G11254" s="496"/>
      <c r="H11254" s="36"/>
      <c r="I11254" s="11"/>
    </row>
    <row r="11255" spans="1:12" ht="9" customHeight="1">
      <c r="A11255" s="271"/>
      <c r="B11255" s="150" t="s">
        <v>14912</v>
      </c>
      <c r="C11255" s="147"/>
      <c r="D11255" s="159"/>
      <c r="E11255" s="36"/>
      <c r="F11255" s="178"/>
      <c r="G11255" s="496"/>
      <c r="H11255" s="36"/>
      <c r="I11255" s="11"/>
    </row>
    <row r="11256" spans="1:12" ht="9" customHeight="1">
      <c r="A11256" s="271"/>
      <c r="B11256" s="209" t="s">
        <v>14913</v>
      </c>
      <c r="C11256" s="147"/>
      <c r="D11256" s="159"/>
      <c r="E11256" s="36"/>
      <c r="F11256" s="178"/>
      <c r="G11256" s="496"/>
      <c r="H11256" s="36"/>
      <c r="I11256" s="11"/>
    </row>
    <row r="11257" spans="1:12" ht="9" customHeight="1">
      <c r="A11257" s="271"/>
      <c r="B11257" s="150" t="s">
        <v>14914</v>
      </c>
      <c r="C11257" s="147"/>
      <c r="D11257" s="159"/>
      <c r="E11257" s="36"/>
      <c r="F11257" s="178"/>
      <c r="G11257" s="496"/>
      <c r="H11257" s="36"/>
      <c r="I11257" s="11"/>
    </row>
    <row r="11258" spans="1:12" ht="9" customHeight="1">
      <c r="A11258" s="185"/>
      <c r="B11258" s="150" t="s">
        <v>14915</v>
      </c>
      <c r="C11258" s="147"/>
      <c r="D11258" s="159"/>
      <c r="E11258" s="36"/>
      <c r="F11258" s="183"/>
      <c r="G11258" s="496"/>
      <c r="H11258" s="34"/>
      <c r="I11258" s="11"/>
    </row>
    <row r="11259" spans="1:12" ht="9" customHeight="1">
      <c r="A11259" s="271"/>
      <c r="B11259" s="150" t="s">
        <v>14916</v>
      </c>
      <c r="C11259" s="147"/>
      <c r="D11259" s="159"/>
      <c r="E11259" s="36"/>
      <c r="F11259" s="178"/>
      <c r="G11259" s="496"/>
      <c r="H11259" s="36"/>
      <c r="I11259" s="11"/>
    </row>
    <row r="11260" spans="1:12" ht="9" customHeight="1">
      <c r="A11260" s="271"/>
      <c r="B11260" s="150" t="s">
        <v>14917</v>
      </c>
      <c r="C11260" s="147"/>
      <c r="D11260" s="159"/>
      <c r="E11260" s="36"/>
      <c r="F11260" s="178"/>
      <c r="G11260" s="496"/>
      <c r="H11260" s="36"/>
      <c r="I11260" s="11"/>
    </row>
    <row r="11261" spans="1:12" ht="9" customHeight="1">
      <c r="A11261" s="271"/>
      <c r="B11261" s="150" t="s">
        <v>14918</v>
      </c>
      <c r="C11261" s="147"/>
      <c r="D11261" s="159"/>
      <c r="E11261" s="36"/>
      <c r="F11261" s="178"/>
      <c r="G11261" s="496"/>
      <c r="H11261" s="36"/>
      <c r="I11261" s="11"/>
    </row>
    <row r="11262" spans="1:12" ht="9" customHeight="1" thickBot="1">
      <c r="A11262" s="271"/>
      <c r="B11262" s="150" t="s">
        <v>14919</v>
      </c>
      <c r="C11262" s="147"/>
      <c r="D11262" s="159"/>
      <c r="E11262" s="36"/>
      <c r="F11262" s="178"/>
      <c r="G11262" s="496"/>
      <c r="H11262" s="36"/>
      <c r="I11262" s="11"/>
    </row>
    <row r="11263" spans="1:12" ht="11.15" customHeight="1">
      <c r="A11263" s="153" t="s">
        <v>14920</v>
      </c>
      <c r="B11263" s="221" t="s">
        <v>14921</v>
      </c>
      <c r="C11263" s="147"/>
      <c r="D11263" s="159"/>
      <c r="E11263" s="36"/>
      <c r="F11263" s="178"/>
      <c r="G11263" s="496"/>
      <c r="H11263" s="36"/>
      <c r="I11263" s="11"/>
    </row>
    <row r="11264" spans="1:12" ht="11.15" customHeight="1" thickBot="1">
      <c r="A11264" s="230" t="s">
        <v>14922</v>
      </c>
      <c r="B11264" s="59" t="s">
        <v>22403</v>
      </c>
      <c r="C11264" s="147" t="s">
        <v>20221</v>
      </c>
      <c r="D11264" s="701" t="s">
        <v>1129</v>
      </c>
      <c r="E11264" s="178">
        <v>2022</v>
      </c>
      <c r="F11264" s="178" t="s">
        <v>4520</v>
      </c>
      <c r="G11264" s="496"/>
      <c r="H11264" s="994" t="s">
        <v>20221</v>
      </c>
      <c r="I11264" s="11" t="s">
        <v>14923</v>
      </c>
      <c r="J11264" s="1285"/>
      <c r="K11264" s="1285"/>
      <c r="L11264" s="1285"/>
    </row>
    <row r="11265" spans="1:12" ht="11.15" customHeight="1">
      <c r="A11265" s="29" t="s">
        <v>14924</v>
      </c>
      <c r="B11265" s="59" t="s">
        <v>22403</v>
      </c>
      <c r="C11265" s="147" t="s">
        <v>20221</v>
      </c>
      <c r="D11265" s="701" t="s">
        <v>1129</v>
      </c>
      <c r="E11265" s="178">
        <v>2021</v>
      </c>
      <c r="F11265" s="178" t="s">
        <v>4520</v>
      </c>
      <c r="G11265" s="496"/>
      <c r="H11265" s="994" t="s">
        <v>20221</v>
      </c>
      <c r="I11265" s="11" t="s">
        <v>14925</v>
      </c>
      <c r="J11265" s="1285"/>
      <c r="K11265" s="1285"/>
      <c r="L11265" s="1285"/>
    </row>
    <row r="11266" spans="1:12" ht="11.15" customHeight="1">
      <c r="A11266" s="29" t="s">
        <v>14926</v>
      </c>
      <c r="B11266" s="59" t="s">
        <v>22403</v>
      </c>
      <c r="C11266" s="147" t="s">
        <v>20221</v>
      </c>
      <c r="D11266" s="701" t="s">
        <v>1129</v>
      </c>
      <c r="E11266" s="178">
        <v>2020</v>
      </c>
      <c r="F11266" s="178" t="s">
        <v>4520</v>
      </c>
      <c r="G11266" s="496"/>
      <c r="H11266" s="994" t="s">
        <v>20221</v>
      </c>
      <c r="I11266" s="11" t="s">
        <v>14927</v>
      </c>
      <c r="J11266" s="1285"/>
      <c r="K11266" s="1285"/>
      <c r="L11266" s="1285"/>
    </row>
    <row r="11267" spans="1:12" ht="11.15" customHeight="1">
      <c r="A11267" s="29" t="s">
        <v>14928</v>
      </c>
      <c r="B11267" s="59" t="s">
        <v>22405</v>
      </c>
      <c r="C11267" s="147" t="s">
        <v>20221</v>
      </c>
      <c r="D11267" s="701" t="s">
        <v>1129</v>
      </c>
      <c r="E11267" s="178">
        <v>2018</v>
      </c>
      <c r="F11267" s="178" t="s">
        <v>4520</v>
      </c>
      <c r="G11267" s="496"/>
      <c r="H11267" s="994" t="s">
        <v>20221</v>
      </c>
      <c r="I11267" s="11" t="s">
        <v>14929</v>
      </c>
      <c r="J11267" s="1285"/>
      <c r="K11267" s="1285"/>
      <c r="L11267" s="1285"/>
    </row>
    <row r="11268" spans="1:12" ht="11.15" customHeight="1">
      <c r="A11268" s="29" t="s">
        <v>14930</v>
      </c>
      <c r="B11268" s="221" t="s">
        <v>14931</v>
      </c>
      <c r="C11268" s="147"/>
      <c r="D11268" s="129"/>
      <c r="E11268" s="185"/>
      <c r="F11268" s="185"/>
      <c r="G11268" s="185"/>
      <c r="H11268" s="185"/>
      <c r="I11268" s="11"/>
    </row>
    <row r="11269" spans="1:12" ht="11.15" customHeight="1">
      <c r="A11269" s="29" t="s">
        <v>14932</v>
      </c>
      <c r="B11269" s="59" t="s">
        <v>22406</v>
      </c>
      <c r="C11269" s="147" t="s">
        <v>20221</v>
      </c>
      <c r="D11269" s="701" t="s">
        <v>1129</v>
      </c>
      <c r="E11269" s="178">
        <v>2023</v>
      </c>
      <c r="F11269" s="178" t="s">
        <v>4520</v>
      </c>
      <c r="G11269" s="496"/>
      <c r="H11269" s="994" t="s">
        <v>20221</v>
      </c>
      <c r="I11269" s="11" t="s">
        <v>14933</v>
      </c>
      <c r="J11269" s="1285"/>
      <c r="K11269" s="1285"/>
      <c r="L11269" s="1285"/>
    </row>
    <row r="11270" spans="1:12" ht="11.15" customHeight="1">
      <c r="A11270" s="29" t="s">
        <v>14934</v>
      </c>
      <c r="B11270" s="59" t="s">
        <v>22407</v>
      </c>
      <c r="C11270" s="147" t="s">
        <v>20221</v>
      </c>
      <c r="D11270" s="701" t="s">
        <v>1129</v>
      </c>
      <c r="E11270" s="178">
        <v>2022</v>
      </c>
      <c r="F11270" s="178" t="s">
        <v>4520</v>
      </c>
      <c r="G11270" s="496"/>
      <c r="H11270" s="994" t="s">
        <v>20221</v>
      </c>
      <c r="I11270" s="11" t="s">
        <v>14935</v>
      </c>
      <c r="J11270" s="1285"/>
      <c r="K11270" s="1285"/>
      <c r="L11270" s="1285"/>
    </row>
    <row r="11271" spans="1:12" ht="11.15" customHeight="1">
      <c r="A11271" s="29" t="s">
        <v>14936</v>
      </c>
      <c r="B11271" s="221" t="s">
        <v>14938</v>
      </c>
      <c r="C11271" s="147"/>
      <c r="D11271" s="129"/>
      <c r="E11271" s="185"/>
      <c r="F11271" s="185"/>
      <c r="G11271" s="185"/>
      <c r="H11271" s="185"/>
      <c r="I11271" s="11"/>
    </row>
    <row r="11272" spans="1:12" ht="11.15" customHeight="1">
      <c r="A11272" s="29" t="s">
        <v>14937</v>
      </c>
      <c r="B11272" s="59" t="s">
        <v>22408</v>
      </c>
      <c r="C11272" s="147" t="s">
        <v>20221</v>
      </c>
      <c r="D11272" s="701" t="s">
        <v>14940</v>
      </c>
      <c r="E11272" s="178">
        <v>2021</v>
      </c>
      <c r="F11272" s="178" t="s">
        <v>4520</v>
      </c>
      <c r="G11272" s="496"/>
      <c r="H11272" s="994" t="s">
        <v>20221</v>
      </c>
      <c r="I11272" s="11" t="s">
        <v>14941</v>
      </c>
      <c r="J11272" s="1285"/>
      <c r="K11272" s="1285"/>
      <c r="L11272" s="1285"/>
    </row>
    <row r="11273" spans="1:12" ht="11.15" customHeight="1">
      <c r="A11273" s="181" t="s">
        <v>14939</v>
      </c>
      <c r="B11273" s="154" t="s">
        <v>14942</v>
      </c>
      <c r="C11273" s="147"/>
      <c r="D11273" s="159"/>
      <c r="E11273" s="36"/>
      <c r="F11273" s="178"/>
      <c r="G11273" s="496"/>
      <c r="H11273" s="36"/>
      <c r="I11273" s="11"/>
    </row>
    <row r="11274" spans="1:12" ht="11.15" customHeight="1">
      <c r="A11274" s="181" t="s">
        <v>950</v>
      </c>
      <c r="B11274" s="59" t="s">
        <v>22409</v>
      </c>
      <c r="C11274" s="147" t="s">
        <v>20221</v>
      </c>
      <c r="D11274" s="701" t="s">
        <v>1129</v>
      </c>
      <c r="E11274" s="178">
        <v>2018</v>
      </c>
      <c r="F11274" s="178" t="s">
        <v>4520</v>
      </c>
      <c r="G11274" s="496"/>
      <c r="H11274" s="994" t="s">
        <v>20221</v>
      </c>
      <c r="I11274" s="11" t="s">
        <v>14944</v>
      </c>
      <c r="J11274" s="1285"/>
      <c r="K11274" s="1285"/>
      <c r="L11274" s="1285"/>
    </row>
    <row r="11275" spans="1:12" ht="11.15" customHeight="1">
      <c r="A11275" s="129" t="s">
        <v>14943</v>
      </c>
      <c r="B11275" s="59" t="s">
        <v>22409</v>
      </c>
      <c r="C11275" s="147" t="s">
        <v>20221</v>
      </c>
      <c r="D11275" s="701" t="s">
        <v>1129</v>
      </c>
      <c r="E11275" s="178">
        <v>2014</v>
      </c>
      <c r="F11275" s="178" t="s">
        <v>4520</v>
      </c>
      <c r="G11275" s="496"/>
      <c r="H11275" s="994" t="s">
        <v>20465</v>
      </c>
      <c r="I11275" s="11" t="s">
        <v>14946</v>
      </c>
      <c r="J11275" s="1285"/>
      <c r="K11275" s="1285"/>
      <c r="L11275" s="1285"/>
    </row>
    <row r="11276" spans="1:12" ht="11.15" customHeight="1">
      <c r="A11276" s="514" t="s">
        <v>14945</v>
      </c>
      <c r="B11276" s="59" t="s">
        <v>22410</v>
      </c>
      <c r="C11276" s="147" t="s">
        <v>20221</v>
      </c>
      <c r="D11276" s="701" t="s">
        <v>1129</v>
      </c>
      <c r="E11276" s="178">
        <v>2023</v>
      </c>
      <c r="F11276" s="178" t="s">
        <v>4520</v>
      </c>
      <c r="G11276" s="496"/>
      <c r="H11276" s="994" t="s">
        <v>20221</v>
      </c>
      <c r="I11276" s="11" t="s">
        <v>14948</v>
      </c>
      <c r="J11276" s="1285"/>
      <c r="K11276" s="1285"/>
      <c r="L11276" s="1285"/>
    </row>
    <row r="11277" spans="1:12" ht="11.15" customHeight="1">
      <c r="A11277" s="162" t="s">
        <v>14947</v>
      </c>
      <c r="B11277" s="59" t="s">
        <v>22410</v>
      </c>
      <c r="C11277" s="147" t="s">
        <v>20221</v>
      </c>
      <c r="D11277" s="701" t="s">
        <v>1129</v>
      </c>
      <c r="E11277" s="178">
        <v>2022</v>
      </c>
      <c r="F11277" s="178" t="s">
        <v>4520</v>
      </c>
      <c r="G11277" s="496"/>
      <c r="H11277" s="994" t="s">
        <v>20221</v>
      </c>
      <c r="I11277" s="11" t="s">
        <v>14950</v>
      </c>
      <c r="J11277" s="1285"/>
      <c r="K11277" s="1285"/>
      <c r="L11277" s="1285"/>
    </row>
    <row r="11278" spans="1:12" ht="11.15" customHeight="1">
      <c r="A11278" s="162" t="s">
        <v>14949</v>
      </c>
      <c r="B11278" s="59" t="s">
        <v>22410</v>
      </c>
      <c r="C11278" s="147" t="s">
        <v>20221</v>
      </c>
      <c r="D11278" s="701" t="s">
        <v>1129</v>
      </c>
      <c r="E11278" s="178">
        <v>2021</v>
      </c>
      <c r="F11278" s="178" t="s">
        <v>4520</v>
      </c>
      <c r="G11278" s="496"/>
      <c r="H11278" s="994" t="s">
        <v>20221</v>
      </c>
      <c r="I11278" s="11" t="s">
        <v>14952</v>
      </c>
      <c r="J11278" s="1285"/>
      <c r="K11278" s="1285"/>
      <c r="L11278" s="1285"/>
    </row>
    <row r="11279" spans="1:12" ht="11.15" customHeight="1">
      <c r="A11279" s="514" t="s">
        <v>14951</v>
      </c>
      <c r="B11279" s="59" t="s">
        <v>22411</v>
      </c>
      <c r="C11279" s="147" t="s">
        <v>20221</v>
      </c>
      <c r="D11279" s="701" t="s">
        <v>1129</v>
      </c>
      <c r="E11279" s="178">
        <v>2023</v>
      </c>
      <c r="F11279" s="178" t="s">
        <v>4520</v>
      </c>
      <c r="G11279" s="496"/>
      <c r="H11279" s="994" t="s">
        <v>20221</v>
      </c>
      <c r="I11279" s="11" t="s">
        <v>14954</v>
      </c>
      <c r="J11279" s="1285"/>
      <c r="K11279" s="1285"/>
      <c r="L11279" s="1285"/>
    </row>
    <row r="11280" spans="1:12" ht="11.15" customHeight="1">
      <c r="A11280" s="162" t="s">
        <v>14953</v>
      </c>
      <c r="B11280" s="59" t="s">
        <v>22411</v>
      </c>
      <c r="C11280" s="147" t="s">
        <v>20221</v>
      </c>
      <c r="D11280" s="701" t="s">
        <v>1129</v>
      </c>
      <c r="E11280" s="178">
        <v>2021</v>
      </c>
      <c r="F11280" s="178" t="s">
        <v>4520</v>
      </c>
      <c r="G11280" s="496"/>
      <c r="H11280" s="994" t="s">
        <v>20221</v>
      </c>
      <c r="I11280" s="11" t="s">
        <v>14956</v>
      </c>
      <c r="J11280" s="1285"/>
      <c r="K11280" s="1285"/>
      <c r="L11280" s="1285"/>
    </row>
    <row r="11281" spans="1:12" ht="11.15" customHeight="1">
      <c r="A11281" s="162" t="s">
        <v>14955</v>
      </c>
      <c r="B11281" s="59" t="s">
        <v>22411</v>
      </c>
      <c r="C11281" s="147" t="s">
        <v>20221</v>
      </c>
      <c r="D11281" s="701" t="s">
        <v>1129</v>
      </c>
      <c r="E11281" s="178">
        <v>2020</v>
      </c>
      <c r="F11281" s="178" t="s">
        <v>4520</v>
      </c>
      <c r="G11281" s="496"/>
      <c r="H11281" s="994" t="s">
        <v>20221</v>
      </c>
      <c r="I11281" s="11" t="s">
        <v>14958</v>
      </c>
      <c r="J11281" s="1285"/>
      <c r="K11281" s="1285"/>
      <c r="L11281" s="1285"/>
    </row>
    <row r="11282" spans="1:12" ht="11.15" customHeight="1">
      <c r="A11282" s="162" t="s">
        <v>14957</v>
      </c>
      <c r="B11282" s="59" t="s">
        <v>22411</v>
      </c>
      <c r="C11282" s="147" t="s">
        <v>20221</v>
      </c>
      <c r="D11282" s="701" t="s">
        <v>1129</v>
      </c>
      <c r="E11282" s="178">
        <v>2018</v>
      </c>
      <c r="F11282" s="178" t="s">
        <v>4520</v>
      </c>
      <c r="G11282" s="496"/>
      <c r="H11282" s="994" t="s">
        <v>20221</v>
      </c>
      <c r="I11282" s="11" t="s">
        <v>14959</v>
      </c>
      <c r="J11282" s="1285"/>
      <c r="K11282" s="1285"/>
      <c r="L11282" s="1285"/>
    </row>
    <row r="11283" spans="1:12" ht="11.15" customHeight="1">
      <c r="A11283" s="129" t="s">
        <v>6076</v>
      </c>
      <c r="B11283" s="59" t="s">
        <v>22411</v>
      </c>
      <c r="C11283" s="147" t="s">
        <v>20221</v>
      </c>
      <c r="D11283" s="701" t="s">
        <v>1129</v>
      </c>
      <c r="E11283" s="178">
        <v>2017</v>
      </c>
      <c r="F11283" s="178" t="s">
        <v>4520</v>
      </c>
      <c r="G11283" s="496"/>
      <c r="H11283" s="994" t="s">
        <v>20221</v>
      </c>
      <c r="I11283" s="11" t="s">
        <v>14961</v>
      </c>
      <c r="J11283" s="1285"/>
      <c r="K11283" s="1285"/>
      <c r="L11283" s="1285"/>
    </row>
    <row r="11284" spans="1:12" ht="11.15" customHeight="1">
      <c r="A11284" s="387" t="s">
        <v>14960</v>
      </c>
      <c r="B11284" s="59" t="s">
        <v>22411</v>
      </c>
      <c r="C11284" s="147" t="s">
        <v>20221</v>
      </c>
      <c r="D11284" s="701" t="s">
        <v>1129</v>
      </c>
      <c r="E11284" s="178">
        <v>2016</v>
      </c>
      <c r="F11284" s="178" t="s">
        <v>4520</v>
      </c>
      <c r="G11284" s="496"/>
      <c r="H11284" s="994" t="s">
        <v>20221</v>
      </c>
      <c r="I11284" s="11" t="s">
        <v>14963</v>
      </c>
      <c r="J11284" s="1285"/>
      <c r="K11284" s="1285"/>
      <c r="L11284" s="1285"/>
    </row>
    <row r="11285" spans="1:12" ht="11.15" customHeight="1">
      <c r="A11285" s="387" t="s">
        <v>14962</v>
      </c>
      <c r="B11285" s="59" t="s">
        <v>22411</v>
      </c>
      <c r="C11285" s="147" t="s">
        <v>20221</v>
      </c>
      <c r="D11285" s="701" t="s">
        <v>1129</v>
      </c>
      <c r="E11285" s="178">
        <v>2014</v>
      </c>
      <c r="F11285" s="178" t="s">
        <v>4520</v>
      </c>
      <c r="G11285" s="496"/>
      <c r="H11285" s="994" t="s">
        <v>20224</v>
      </c>
      <c r="I11285" s="11" t="s">
        <v>14965</v>
      </c>
      <c r="J11285" s="1285"/>
      <c r="K11285" s="1285"/>
      <c r="L11285" s="1285"/>
    </row>
    <row r="11286" spans="1:12" ht="11.15" customHeight="1">
      <c r="A11286" s="387" t="s">
        <v>14964</v>
      </c>
      <c r="B11286" s="59" t="s">
        <v>22412</v>
      </c>
      <c r="C11286" s="147" t="s">
        <v>20221</v>
      </c>
      <c r="D11286" s="701" t="s">
        <v>1129</v>
      </c>
      <c r="E11286" s="178">
        <v>2023</v>
      </c>
      <c r="F11286" s="178" t="s">
        <v>4520</v>
      </c>
      <c r="G11286" s="496"/>
      <c r="H11286" s="994" t="s">
        <v>20221</v>
      </c>
      <c r="I11286" s="11" t="s">
        <v>14967</v>
      </c>
      <c r="J11286" s="1285"/>
      <c r="K11286" s="1285"/>
      <c r="L11286" s="1285"/>
    </row>
    <row r="11287" spans="1:12" ht="11.25" customHeight="1">
      <c r="A11287" s="387" t="s">
        <v>14966</v>
      </c>
      <c r="B11287" s="59" t="s">
        <v>22412</v>
      </c>
      <c r="C11287" s="147" t="s">
        <v>20221</v>
      </c>
      <c r="D11287" s="701" t="s">
        <v>1129</v>
      </c>
      <c r="E11287" s="178">
        <v>2022</v>
      </c>
      <c r="F11287" s="178" t="s">
        <v>4520</v>
      </c>
      <c r="G11287" s="496"/>
      <c r="H11287" s="994" t="s">
        <v>20221</v>
      </c>
      <c r="I11287" s="11" t="s">
        <v>14969</v>
      </c>
      <c r="J11287" s="1285"/>
      <c r="K11287" s="1285"/>
      <c r="L11287" s="1285"/>
    </row>
    <row r="11288" spans="1:12" ht="11.25" customHeight="1">
      <c r="A11288" s="387" t="s">
        <v>14968</v>
      </c>
      <c r="B11288" s="59" t="s">
        <v>22412</v>
      </c>
      <c r="C11288" s="147" t="s">
        <v>20221</v>
      </c>
      <c r="D11288" s="701" t="s">
        <v>1129</v>
      </c>
      <c r="E11288" s="178">
        <v>2021</v>
      </c>
      <c r="F11288" s="178" t="s">
        <v>4520</v>
      </c>
      <c r="G11288" s="496"/>
      <c r="H11288" s="994" t="s">
        <v>20221</v>
      </c>
      <c r="I11288" s="11" t="s">
        <v>14971</v>
      </c>
      <c r="J11288" s="1285"/>
      <c r="K11288" s="1285"/>
      <c r="L11288" s="1285"/>
    </row>
    <row r="11289" spans="1:12" ht="11.25" customHeight="1">
      <c r="A11289" s="387" t="s">
        <v>14970</v>
      </c>
      <c r="B11289" s="59" t="s">
        <v>22412</v>
      </c>
      <c r="C11289" s="147" t="s">
        <v>20221</v>
      </c>
      <c r="D11289" s="701" t="s">
        <v>1129</v>
      </c>
      <c r="E11289" s="178">
        <v>2020</v>
      </c>
      <c r="F11289" s="178" t="s">
        <v>4520</v>
      </c>
      <c r="G11289" s="496"/>
      <c r="H11289" s="994" t="s">
        <v>20221</v>
      </c>
      <c r="I11289" s="11" t="s">
        <v>14973</v>
      </c>
      <c r="J11289" s="1285"/>
      <c r="K11289" s="1285"/>
      <c r="L11289" s="1285"/>
    </row>
    <row r="11290" spans="1:12" ht="11.25" customHeight="1">
      <c r="A11290" s="555" t="s">
        <v>14972</v>
      </c>
      <c r="B11290" s="59" t="s">
        <v>22412</v>
      </c>
      <c r="C11290" s="147" t="s">
        <v>20221</v>
      </c>
      <c r="D11290" s="701" t="s">
        <v>1129</v>
      </c>
      <c r="E11290" s="178">
        <v>2019</v>
      </c>
      <c r="F11290" s="178" t="s">
        <v>4520</v>
      </c>
      <c r="G11290" s="496"/>
      <c r="H11290" s="994" t="s">
        <v>20221</v>
      </c>
      <c r="I11290" s="11" t="s">
        <v>14975</v>
      </c>
      <c r="J11290" s="1285"/>
      <c r="K11290" s="1285"/>
      <c r="L11290" s="1285"/>
    </row>
    <row r="11291" spans="1:12" ht="11.25" customHeight="1">
      <c r="A11291" s="387" t="s">
        <v>14974</v>
      </c>
      <c r="B11291" s="59" t="s">
        <v>22412</v>
      </c>
      <c r="C11291" s="147" t="s">
        <v>20221</v>
      </c>
      <c r="D11291" s="701" t="s">
        <v>1129</v>
      </c>
      <c r="E11291" s="178">
        <v>2017</v>
      </c>
      <c r="F11291" s="178" t="s">
        <v>4520</v>
      </c>
      <c r="G11291" s="496"/>
      <c r="H11291" s="994" t="s">
        <v>20221</v>
      </c>
      <c r="I11291" s="11" t="s">
        <v>14977</v>
      </c>
      <c r="J11291" s="1285"/>
      <c r="K11291" s="1285"/>
      <c r="L11291" s="1285"/>
    </row>
    <row r="11292" spans="1:12" ht="11.25" customHeight="1">
      <c r="A11292" s="387" t="s">
        <v>14976</v>
      </c>
      <c r="B11292" s="59" t="s">
        <v>22412</v>
      </c>
      <c r="C11292" s="147" t="s">
        <v>20221</v>
      </c>
      <c r="D11292" s="701" t="s">
        <v>1129</v>
      </c>
      <c r="E11292" s="178">
        <v>2016</v>
      </c>
      <c r="F11292" s="178" t="s">
        <v>4520</v>
      </c>
      <c r="G11292" s="496"/>
      <c r="H11292" s="994" t="s">
        <v>20221</v>
      </c>
      <c r="I11292" s="11" t="s">
        <v>14979</v>
      </c>
      <c r="J11292" s="1285"/>
      <c r="K11292" s="1285"/>
      <c r="L11292" s="1285"/>
    </row>
    <row r="11293" spans="1:12" ht="11.25" customHeight="1">
      <c r="A11293" s="387" t="s">
        <v>14978</v>
      </c>
      <c r="B11293" s="59" t="s">
        <v>22412</v>
      </c>
      <c r="C11293" s="147" t="s">
        <v>20221</v>
      </c>
      <c r="D11293" s="701" t="s">
        <v>1129</v>
      </c>
      <c r="E11293" s="178">
        <v>2015</v>
      </c>
      <c r="F11293" s="178" t="s">
        <v>4520</v>
      </c>
      <c r="G11293" s="496"/>
      <c r="H11293" s="994" t="s">
        <v>20221</v>
      </c>
      <c r="I11293" s="11" t="s">
        <v>14981</v>
      </c>
      <c r="J11293" s="1285"/>
      <c r="K11293" s="1285"/>
      <c r="L11293" s="1285"/>
    </row>
    <row r="11294" spans="1:12" ht="11.25" customHeight="1">
      <c r="A11294" s="387" t="s">
        <v>14980</v>
      </c>
      <c r="B11294" s="59" t="s">
        <v>22412</v>
      </c>
      <c r="C11294" s="147" t="s">
        <v>20221</v>
      </c>
      <c r="D11294" s="701" t="s">
        <v>1129</v>
      </c>
      <c r="E11294" s="178">
        <v>2014</v>
      </c>
      <c r="F11294" s="178" t="s">
        <v>4520</v>
      </c>
      <c r="G11294" s="496"/>
      <c r="H11294" s="994" t="s">
        <v>20277</v>
      </c>
      <c r="I11294" s="11" t="s">
        <v>14983</v>
      </c>
      <c r="J11294" s="1285"/>
      <c r="K11294" s="1285"/>
      <c r="L11294" s="1285"/>
    </row>
    <row r="11295" spans="1:12" ht="11.25" customHeight="1">
      <c r="A11295" s="387" t="s">
        <v>14982</v>
      </c>
      <c r="B11295" s="59" t="s">
        <v>22412</v>
      </c>
      <c r="C11295" s="147" t="s">
        <v>20221</v>
      </c>
      <c r="D11295" s="701" t="s">
        <v>1129</v>
      </c>
      <c r="E11295" s="178">
        <v>2013</v>
      </c>
      <c r="F11295" s="178" t="s">
        <v>4520</v>
      </c>
      <c r="G11295" s="496"/>
      <c r="H11295" s="994" t="s">
        <v>20221</v>
      </c>
      <c r="I11295" s="11" t="s">
        <v>14985</v>
      </c>
      <c r="J11295" s="1285"/>
      <c r="K11295" s="1285"/>
      <c r="L11295" s="1285"/>
    </row>
    <row r="11296" spans="1:12" ht="11.25" customHeight="1">
      <c r="A11296" s="387" t="s">
        <v>14984</v>
      </c>
      <c r="B11296" s="59" t="s">
        <v>22413</v>
      </c>
      <c r="C11296" s="147" t="s">
        <v>20221</v>
      </c>
      <c r="D11296" s="701" t="s">
        <v>1129</v>
      </c>
      <c r="E11296" s="178">
        <v>2012</v>
      </c>
      <c r="F11296" s="178" t="s">
        <v>4520</v>
      </c>
      <c r="G11296" s="496"/>
      <c r="H11296" s="994" t="s">
        <v>20224</v>
      </c>
      <c r="I11296" s="11" t="s">
        <v>14987</v>
      </c>
      <c r="J11296" s="1285"/>
      <c r="K11296" s="1285"/>
      <c r="L11296" s="1285"/>
    </row>
    <row r="11297" spans="1:12" ht="11.25" customHeight="1">
      <c r="A11297" s="387" t="s">
        <v>14986</v>
      </c>
      <c r="B11297" s="59" t="s">
        <v>22414</v>
      </c>
      <c r="C11297" s="147" t="s">
        <v>20221</v>
      </c>
      <c r="D11297" s="701" t="s">
        <v>1129</v>
      </c>
      <c r="E11297" s="178">
        <v>2022</v>
      </c>
      <c r="F11297" s="178" t="s">
        <v>4520</v>
      </c>
      <c r="G11297" s="496"/>
      <c r="H11297" s="994" t="s">
        <v>20221</v>
      </c>
      <c r="I11297" s="11" t="s">
        <v>14989</v>
      </c>
      <c r="J11297" s="1285"/>
      <c r="K11297" s="1285"/>
      <c r="L11297" s="1285"/>
    </row>
    <row r="11298" spans="1:12" ht="11.25" customHeight="1">
      <c r="A11298" s="387" t="s">
        <v>14988</v>
      </c>
      <c r="B11298" s="59" t="s">
        <v>22414</v>
      </c>
      <c r="C11298" s="147" t="s">
        <v>20221</v>
      </c>
      <c r="D11298" s="701" t="s">
        <v>1129</v>
      </c>
      <c r="E11298" s="178">
        <v>2021</v>
      </c>
      <c r="F11298" s="178" t="s">
        <v>4520</v>
      </c>
      <c r="G11298" s="496"/>
      <c r="H11298" s="994" t="s">
        <v>20221</v>
      </c>
      <c r="I11298" s="11" t="s">
        <v>14991</v>
      </c>
      <c r="J11298" s="1285"/>
      <c r="K11298" s="1285"/>
      <c r="L11298" s="1285"/>
    </row>
    <row r="11299" spans="1:12" ht="11.25" customHeight="1">
      <c r="A11299" s="717" t="s">
        <v>14990</v>
      </c>
      <c r="B11299" s="59" t="s">
        <v>22414</v>
      </c>
      <c r="C11299" s="147" t="s">
        <v>20221</v>
      </c>
      <c r="D11299" s="701" t="s">
        <v>1129</v>
      </c>
      <c r="E11299" s="178">
        <v>2020</v>
      </c>
      <c r="F11299" s="178" t="s">
        <v>4520</v>
      </c>
      <c r="G11299" s="496"/>
      <c r="H11299" s="994" t="s">
        <v>20221</v>
      </c>
      <c r="I11299" s="11" t="s">
        <v>14993</v>
      </c>
      <c r="J11299" s="1285"/>
      <c r="K11299" s="1285"/>
      <c r="L11299" s="1285"/>
    </row>
    <row r="11300" spans="1:12" ht="11.25" customHeight="1">
      <c r="A11300" s="387" t="s">
        <v>14992</v>
      </c>
      <c r="B11300" s="59" t="s">
        <v>22414</v>
      </c>
      <c r="C11300" s="147" t="s">
        <v>20221</v>
      </c>
      <c r="D11300" s="701" t="s">
        <v>1129</v>
      </c>
      <c r="E11300" s="178">
        <v>2018</v>
      </c>
      <c r="F11300" s="178" t="s">
        <v>4520</v>
      </c>
      <c r="G11300" s="496"/>
      <c r="H11300" s="994" t="s">
        <v>20221</v>
      </c>
      <c r="I11300" s="11" t="s">
        <v>14995</v>
      </c>
      <c r="J11300" s="1285"/>
      <c r="K11300" s="1285"/>
      <c r="L11300" s="1285"/>
    </row>
    <row r="11301" spans="1:12" ht="11.25" customHeight="1">
      <c r="A11301" s="717" t="s">
        <v>14994</v>
      </c>
      <c r="B11301" s="59" t="s">
        <v>22414</v>
      </c>
      <c r="C11301" s="147" t="s">
        <v>20221</v>
      </c>
      <c r="D11301" s="701" t="s">
        <v>1129</v>
      </c>
      <c r="E11301" s="178">
        <v>2017</v>
      </c>
      <c r="F11301" s="178" t="s">
        <v>4520</v>
      </c>
      <c r="G11301" s="496"/>
      <c r="H11301" s="994" t="s">
        <v>20221</v>
      </c>
      <c r="I11301" s="11" t="s">
        <v>14997</v>
      </c>
      <c r="J11301" s="1285"/>
      <c r="K11301" s="1285"/>
      <c r="L11301" s="1285"/>
    </row>
    <row r="11302" spans="1:12" ht="11.25" customHeight="1">
      <c r="A11302" s="387" t="s">
        <v>14996</v>
      </c>
      <c r="B11302" s="59" t="s">
        <v>22414</v>
      </c>
      <c r="C11302" s="147" t="s">
        <v>20221</v>
      </c>
      <c r="D11302" s="701" t="s">
        <v>1129</v>
      </c>
      <c r="E11302" s="178">
        <v>2016</v>
      </c>
      <c r="F11302" s="178" t="s">
        <v>4520</v>
      </c>
      <c r="G11302" s="496"/>
      <c r="H11302" s="994" t="s">
        <v>20221</v>
      </c>
      <c r="I11302" s="11" t="s">
        <v>14999</v>
      </c>
      <c r="J11302" s="1285"/>
      <c r="K11302" s="1285"/>
      <c r="L11302" s="1285"/>
    </row>
    <row r="11303" spans="1:12" ht="11.25" customHeight="1">
      <c r="A11303" s="387" t="s">
        <v>14998</v>
      </c>
      <c r="B11303" s="59" t="s">
        <v>22415</v>
      </c>
      <c r="C11303" s="147" t="s">
        <v>20221</v>
      </c>
      <c r="D11303" s="701" t="s">
        <v>1129</v>
      </c>
      <c r="E11303" s="178">
        <v>2019</v>
      </c>
      <c r="F11303" s="178" t="s">
        <v>4520</v>
      </c>
      <c r="G11303" s="496"/>
      <c r="H11303" s="994" t="s">
        <v>20221</v>
      </c>
      <c r="I11303" s="11" t="s">
        <v>15000</v>
      </c>
      <c r="J11303" s="1285"/>
      <c r="K11303" s="1285"/>
      <c r="L11303" s="1285"/>
    </row>
    <row r="11304" spans="1:12" ht="11.25" customHeight="1">
      <c r="A11304" s="129" t="s">
        <v>1077</v>
      </c>
      <c r="B11304" s="154" t="s">
        <v>15002</v>
      </c>
      <c r="C11304" s="147"/>
      <c r="D11304" s="159"/>
      <c r="E11304" s="36"/>
      <c r="F11304" s="178"/>
      <c r="G11304" s="496"/>
      <c r="H11304" s="36"/>
      <c r="I11304" s="11"/>
    </row>
    <row r="11305" spans="1:12" ht="11.25" customHeight="1">
      <c r="A11305" s="162" t="s">
        <v>15001</v>
      </c>
      <c r="B11305" s="59" t="s">
        <v>22416</v>
      </c>
      <c r="C11305" s="147" t="s">
        <v>20221</v>
      </c>
      <c r="D11305" s="701" t="s">
        <v>1129</v>
      </c>
      <c r="E11305" s="178">
        <v>2018</v>
      </c>
      <c r="F11305" s="178" t="s">
        <v>5257</v>
      </c>
      <c r="G11305" s="496"/>
      <c r="H11305" s="994" t="s">
        <v>20224</v>
      </c>
      <c r="I11305" s="11" t="s">
        <v>15004</v>
      </c>
      <c r="J11305" s="1285"/>
      <c r="K11305" s="1285"/>
      <c r="L11305" s="1285"/>
    </row>
    <row r="11306" spans="1:12" ht="11.25" customHeight="1">
      <c r="A11306" s="162" t="s">
        <v>15003</v>
      </c>
      <c r="B11306" s="59" t="s">
        <v>22417</v>
      </c>
      <c r="C11306" s="147" t="s">
        <v>20221</v>
      </c>
      <c r="D11306" s="701" t="s">
        <v>1129</v>
      </c>
      <c r="E11306" s="178">
        <v>2021</v>
      </c>
      <c r="F11306" s="178" t="s">
        <v>9678</v>
      </c>
      <c r="G11306" s="496"/>
      <c r="H11306" s="994" t="s">
        <v>20224</v>
      </c>
      <c r="I11306" s="11" t="s">
        <v>15006</v>
      </c>
      <c r="J11306" s="1285"/>
      <c r="K11306" s="1285"/>
      <c r="L11306" s="1285"/>
    </row>
    <row r="11307" spans="1:12" ht="11.25" customHeight="1">
      <c r="A11307" s="162" t="s">
        <v>15005</v>
      </c>
      <c r="B11307" s="59" t="s">
        <v>22418</v>
      </c>
      <c r="C11307" s="147" t="s">
        <v>20221</v>
      </c>
      <c r="D11307" s="701" t="s">
        <v>1129</v>
      </c>
      <c r="E11307" s="178">
        <v>2016</v>
      </c>
      <c r="F11307" s="178" t="s">
        <v>5257</v>
      </c>
      <c r="G11307" s="496"/>
      <c r="H11307" s="994" t="s">
        <v>20224</v>
      </c>
      <c r="I11307" s="11" t="s">
        <v>15008</v>
      </c>
      <c r="J11307" s="1285"/>
      <c r="K11307" s="1285"/>
      <c r="L11307" s="1285"/>
    </row>
    <row r="11308" spans="1:12" ht="11.25" customHeight="1">
      <c r="A11308" s="162" t="s">
        <v>15007</v>
      </c>
      <c r="B11308" s="59" t="s">
        <v>22419</v>
      </c>
      <c r="C11308" s="147" t="s">
        <v>20221</v>
      </c>
      <c r="D11308" s="701" t="s">
        <v>1129</v>
      </c>
      <c r="E11308" s="178">
        <v>2017</v>
      </c>
      <c r="F11308" s="178" t="s">
        <v>5257</v>
      </c>
      <c r="G11308" s="496"/>
      <c r="H11308" s="994" t="s">
        <v>20224</v>
      </c>
      <c r="I11308" s="11" t="s">
        <v>15010</v>
      </c>
      <c r="J11308" s="1285"/>
      <c r="K11308" s="1285"/>
      <c r="L11308" s="1285"/>
    </row>
    <row r="11309" spans="1:12" ht="11.25" customHeight="1">
      <c r="A11309" s="162" t="s">
        <v>15009</v>
      </c>
      <c r="B11309" s="59" t="s">
        <v>22420</v>
      </c>
      <c r="C11309" s="147" t="s">
        <v>20221</v>
      </c>
      <c r="D11309" s="701" t="s">
        <v>1129</v>
      </c>
      <c r="E11309" s="178">
        <v>2018</v>
      </c>
      <c r="F11309" s="178" t="s">
        <v>5257</v>
      </c>
      <c r="G11309" s="496"/>
      <c r="H11309" s="994" t="s">
        <v>20224</v>
      </c>
      <c r="I11309" s="11" t="s">
        <v>15012</v>
      </c>
      <c r="J11309" s="1285"/>
      <c r="K11309" s="1285"/>
      <c r="L11309" s="1285"/>
    </row>
    <row r="11310" spans="1:12" ht="11.25" customHeight="1">
      <c r="A11310" s="166" t="s">
        <v>15011</v>
      </c>
      <c r="B11310" s="59" t="s">
        <v>22420</v>
      </c>
      <c r="C11310" s="147" t="s">
        <v>20221</v>
      </c>
      <c r="D11310" s="701" t="s">
        <v>1129</v>
      </c>
      <c r="E11310" s="178">
        <v>2017</v>
      </c>
      <c r="F11310" s="178" t="s">
        <v>5257</v>
      </c>
      <c r="G11310" s="496"/>
      <c r="H11310" s="994" t="s">
        <v>20224</v>
      </c>
      <c r="I11310" s="11" t="s">
        <v>15014</v>
      </c>
      <c r="J11310" s="1285"/>
      <c r="K11310" s="1285"/>
      <c r="L11310" s="1285"/>
    </row>
    <row r="11311" spans="1:12" ht="11.25" customHeight="1">
      <c r="A11311" s="129" t="s">
        <v>15013</v>
      </c>
      <c r="B11311" s="154" t="s">
        <v>15015</v>
      </c>
      <c r="C11311" s="147"/>
      <c r="D11311" s="159"/>
      <c r="E11311" s="185"/>
      <c r="F11311" s="185"/>
      <c r="G11311" s="416"/>
      <c r="H11311" s="185"/>
      <c r="I11311" s="11"/>
    </row>
    <row r="11312" spans="1:12" ht="11.25" customHeight="1">
      <c r="A11312" s="29"/>
      <c r="B11312" s="59" t="s">
        <v>22421</v>
      </c>
      <c r="C11312" s="147" t="s">
        <v>20221</v>
      </c>
      <c r="D11312" s="701" t="s">
        <v>1129</v>
      </c>
      <c r="E11312" s="178">
        <v>2018</v>
      </c>
      <c r="F11312" s="178" t="s">
        <v>4520</v>
      </c>
      <c r="G11312" s="496"/>
      <c r="H11312" s="994" t="s">
        <v>20221</v>
      </c>
      <c r="I11312" s="11" t="s">
        <v>15016</v>
      </c>
      <c r="J11312" s="1285"/>
      <c r="K11312" s="1285"/>
      <c r="L11312" s="1285"/>
    </row>
    <row r="11313" spans="1:12" ht="11.25" customHeight="1">
      <c r="A11313" s="185"/>
      <c r="B11313" s="59" t="s">
        <v>22422</v>
      </c>
      <c r="C11313" s="147" t="s">
        <v>20221</v>
      </c>
      <c r="D11313" s="701" t="s">
        <v>1129</v>
      </c>
      <c r="E11313" s="178">
        <v>2023</v>
      </c>
      <c r="F11313" s="178" t="s">
        <v>4520</v>
      </c>
      <c r="G11313" s="496"/>
      <c r="H11313" s="994" t="s">
        <v>20221</v>
      </c>
      <c r="I11313" s="11" t="s">
        <v>15017</v>
      </c>
      <c r="J11313" s="1285"/>
      <c r="K11313" s="1285"/>
      <c r="L11313" s="1285"/>
    </row>
    <row r="11314" spans="1:12" ht="11.25" customHeight="1">
      <c r="A11314" s="185"/>
      <c r="B11314" s="59" t="s">
        <v>22422</v>
      </c>
      <c r="C11314" s="147" t="s">
        <v>20221</v>
      </c>
      <c r="D11314" s="701" t="s">
        <v>1129</v>
      </c>
      <c r="E11314" s="178">
        <v>2019</v>
      </c>
      <c r="F11314" s="178" t="s">
        <v>4520</v>
      </c>
      <c r="G11314" s="496"/>
      <c r="H11314" s="994" t="s">
        <v>20221</v>
      </c>
      <c r="I11314" s="11" t="s">
        <v>15018</v>
      </c>
      <c r="J11314" s="1285"/>
      <c r="K11314" s="1285"/>
      <c r="L11314" s="1285"/>
    </row>
    <row r="11315" spans="1:12" ht="11.25" customHeight="1">
      <c r="A11315" s="185"/>
      <c r="B11315" s="59" t="s">
        <v>22422</v>
      </c>
      <c r="C11315" s="147" t="s">
        <v>20221</v>
      </c>
      <c r="D11315" s="701" t="s">
        <v>1129</v>
      </c>
      <c r="E11315" s="178">
        <v>2017</v>
      </c>
      <c r="F11315" s="178" t="s">
        <v>4520</v>
      </c>
      <c r="G11315" s="496"/>
      <c r="H11315" s="994" t="s">
        <v>20224</v>
      </c>
      <c r="I11315" s="11" t="s">
        <v>15019</v>
      </c>
      <c r="J11315" s="1285"/>
      <c r="K11315" s="1285"/>
      <c r="L11315" s="1285"/>
    </row>
    <row r="11316" spans="1:12" ht="11.25" customHeight="1">
      <c r="A11316" s="185"/>
      <c r="B11316" s="59" t="s">
        <v>22422</v>
      </c>
      <c r="C11316" s="147" t="s">
        <v>20221</v>
      </c>
      <c r="D11316" s="701" t="s">
        <v>1129</v>
      </c>
      <c r="E11316" s="178">
        <v>2014</v>
      </c>
      <c r="F11316" s="178" t="s">
        <v>4520</v>
      </c>
      <c r="G11316" s="496"/>
      <c r="H11316" s="994" t="s">
        <v>20221</v>
      </c>
      <c r="I11316" s="11" t="s">
        <v>15020</v>
      </c>
      <c r="J11316" s="1285"/>
      <c r="K11316" s="1285"/>
      <c r="L11316" s="1285"/>
    </row>
    <row r="11317" spans="1:12" ht="11.25" customHeight="1">
      <c r="A11317" s="185"/>
      <c r="B11317" s="59" t="s">
        <v>22422</v>
      </c>
      <c r="C11317" s="147" t="s">
        <v>20221</v>
      </c>
      <c r="D11317" s="701" t="s">
        <v>1129</v>
      </c>
      <c r="E11317" s="178">
        <v>2013</v>
      </c>
      <c r="F11317" s="178" t="s">
        <v>4520</v>
      </c>
      <c r="G11317" s="496"/>
      <c r="H11317" s="994" t="s">
        <v>20221</v>
      </c>
      <c r="I11317" s="11" t="s">
        <v>15021</v>
      </c>
      <c r="J11317" s="1285"/>
      <c r="K11317" s="1285"/>
      <c r="L11317" s="1285"/>
    </row>
    <row r="11318" spans="1:12" ht="11.25" customHeight="1">
      <c r="A11318" s="185"/>
      <c r="B11318" s="59" t="s">
        <v>22423</v>
      </c>
      <c r="C11318" s="147" t="s">
        <v>20221</v>
      </c>
      <c r="D11318" s="701" t="s">
        <v>1129</v>
      </c>
      <c r="E11318" s="178">
        <v>2022</v>
      </c>
      <c r="F11318" s="178" t="s">
        <v>4520</v>
      </c>
      <c r="G11318" s="496"/>
      <c r="H11318" s="994" t="s">
        <v>20221</v>
      </c>
      <c r="I11318" s="11" t="s">
        <v>15022</v>
      </c>
      <c r="J11318" s="1285"/>
      <c r="K11318" s="1285"/>
      <c r="L11318" s="1285"/>
    </row>
    <row r="11319" spans="1:12" ht="11.25" customHeight="1">
      <c r="A11319" s="185"/>
      <c r="B11319" s="59" t="s">
        <v>22423</v>
      </c>
      <c r="C11319" s="147" t="s">
        <v>20221</v>
      </c>
      <c r="D11319" s="701" t="s">
        <v>1129</v>
      </c>
      <c r="E11319" s="178">
        <v>2021</v>
      </c>
      <c r="F11319" s="178" t="s">
        <v>4520</v>
      </c>
      <c r="G11319" s="496"/>
      <c r="H11319" s="994" t="s">
        <v>20221</v>
      </c>
      <c r="I11319" s="11" t="s">
        <v>15023</v>
      </c>
      <c r="J11319" s="1285"/>
      <c r="K11319" s="1285"/>
      <c r="L11319" s="1285"/>
    </row>
    <row r="11320" spans="1:12" ht="11.25" customHeight="1">
      <c r="A11320" s="185"/>
      <c r="B11320" s="59" t="s">
        <v>22423</v>
      </c>
      <c r="C11320" s="147" t="s">
        <v>20221</v>
      </c>
      <c r="D11320" s="701" t="s">
        <v>1129</v>
      </c>
      <c r="E11320" s="178">
        <v>2020</v>
      </c>
      <c r="F11320" s="178" t="s">
        <v>4520</v>
      </c>
      <c r="G11320" s="496"/>
      <c r="H11320" s="994" t="s">
        <v>20221</v>
      </c>
      <c r="I11320" s="11" t="s">
        <v>15024</v>
      </c>
      <c r="J11320" s="1285"/>
      <c r="K11320" s="1285"/>
      <c r="L11320" s="1285"/>
    </row>
    <row r="11321" spans="1:12" ht="11.25" customHeight="1">
      <c r="A11321" s="185"/>
      <c r="B11321" s="59" t="s">
        <v>22423</v>
      </c>
      <c r="C11321" s="147" t="s">
        <v>20221</v>
      </c>
      <c r="D11321" s="701" t="s">
        <v>1129</v>
      </c>
      <c r="E11321" s="178">
        <v>2018</v>
      </c>
      <c r="F11321" s="178" t="s">
        <v>4520</v>
      </c>
      <c r="G11321" s="496"/>
      <c r="H11321" s="994" t="s">
        <v>20221</v>
      </c>
      <c r="I11321" s="11" t="s">
        <v>15025</v>
      </c>
      <c r="J11321" s="1285"/>
      <c r="K11321" s="1285"/>
      <c r="L11321" s="1285"/>
    </row>
    <row r="11322" spans="1:12" ht="11.25" customHeight="1">
      <c r="A11322" s="185"/>
      <c r="B11322" s="59" t="s">
        <v>22423</v>
      </c>
      <c r="C11322" s="147" t="s">
        <v>20221</v>
      </c>
      <c r="D11322" s="701" t="s">
        <v>1129</v>
      </c>
      <c r="E11322" s="178">
        <v>2014</v>
      </c>
      <c r="F11322" s="178" t="s">
        <v>4520</v>
      </c>
      <c r="G11322" s="496"/>
      <c r="H11322" s="994" t="s">
        <v>20221</v>
      </c>
      <c r="I11322" s="11" t="s">
        <v>15026</v>
      </c>
      <c r="J11322" s="1285"/>
      <c r="K11322" s="1285"/>
      <c r="L11322" s="1285"/>
    </row>
    <row r="11323" spans="1:12" ht="11.25" customHeight="1">
      <c r="A11323" s="185"/>
      <c r="B11323" s="59" t="s">
        <v>22423</v>
      </c>
      <c r="C11323" s="147" t="s">
        <v>20221</v>
      </c>
      <c r="D11323" s="701" t="s">
        <v>1129</v>
      </c>
      <c r="E11323" s="178">
        <v>2012</v>
      </c>
      <c r="F11323" s="178" t="s">
        <v>4520</v>
      </c>
      <c r="G11323" s="496"/>
      <c r="H11323" s="994" t="s">
        <v>20277</v>
      </c>
      <c r="I11323" s="11" t="s">
        <v>15027</v>
      </c>
      <c r="J11323" s="1285"/>
      <c r="K11323" s="1285"/>
      <c r="L11323" s="1285"/>
    </row>
    <row r="11324" spans="1:12" ht="11.25" customHeight="1">
      <c r="A11324" s="185"/>
      <c r="B11324" s="154" t="s">
        <v>15028</v>
      </c>
      <c r="C11324" s="147"/>
      <c r="D11324" s="159"/>
      <c r="E11324" s="185"/>
      <c r="F11324" s="185"/>
      <c r="G11324" s="416"/>
      <c r="H11324" s="185"/>
      <c r="I11324" s="11"/>
    </row>
    <row r="11325" spans="1:12" ht="11.25" customHeight="1">
      <c r="A11325" s="185"/>
      <c r="B11325" s="59" t="s">
        <v>22424</v>
      </c>
      <c r="C11325" s="147" t="s">
        <v>20221</v>
      </c>
      <c r="D11325" s="701" t="s">
        <v>1129</v>
      </c>
      <c r="E11325" s="178">
        <v>2022</v>
      </c>
      <c r="F11325" s="178" t="s">
        <v>4520</v>
      </c>
      <c r="G11325" s="496"/>
      <c r="H11325" s="994" t="s">
        <v>20221</v>
      </c>
      <c r="I11325" s="11" t="s">
        <v>15029</v>
      </c>
      <c r="J11325" s="1285"/>
      <c r="K11325" s="1285"/>
      <c r="L11325" s="1285"/>
    </row>
    <row r="11326" spans="1:12" ht="11.25" customHeight="1">
      <c r="A11326" s="185"/>
      <c r="B11326" s="59" t="s">
        <v>22424</v>
      </c>
      <c r="C11326" s="147" t="s">
        <v>20221</v>
      </c>
      <c r="D11326" s="701" t="s">
        <v>1129</v>
      </c>
      <c r="E11326" s="178">
        <v>2021</v>
      </c>
      <c r="F11326" s="178" t="s">
        <v>4520</v>
      </c>
      <c r="G11326" s="496"/>
      <c r="H11326" s="994" t="s">
        <v>20221</v>
      </c>
      <c r="I11326" s="11" t="s">
        <v>15030</v>
      </c>
      <c r="J11326" s="1285"/>
      <c r="K11326" s="1285"/>
      <c r="L11326" s="1285"/>
    </row>
    <row r="11327" spans="1:12" ht="11.25" customHeight="1">
      <c r="A11327" s="185"/>
      <c r="B11327" s="59" t="s">
        <v>22424</v>
      </c>
      <c r="C11327" s="147" t="s">
        <v>20221</v>
      </c>
      <c r="D11327" s="701" t="s">
        <v>1129</v>
      </c>
      <c r="E11327" s="178">
        <v>2020</v>
      </c>
      <c r="F11327" s="178" t="s">
        <v>4520</v>
      </c>
      <c r="G11327" s="496"/>
      <c r="H11327" s="994" t="s">
        <v>20221</v>
      </c>
      <c r="I11327" s="11" t="s">
        <v>15031</v>
      </c>
      <c r="J11327" s="1285"/>
      <c r="K11327" s="1285"/>
      <c r="L11327" s="1285"/>
    </row>
    <row r="11328" spans="1:12" ht="11.25" customHeight="1">
      <c r="A11328" s="185"/>
      <c r="B11328" s="59" t="s">
        <v>22424</v>
      </c>
      <c r="C11328" s="147" t="s">
        <v>20221</v>
      </c>
      <c r="D11328" s="701" t="s">
        <v>1129</v>
      </c>
      <c r="E11328" s="178">
        <v>2016</v>
      </c>
      <c r="F11328" s="178" t="s">
        <v>4520</v>
      </c>
      <c r="G11328" s="496"/>
      <c r="H11328" s="994" t="s">
        <v>20221</v>
      </c>
      <c r="I11328" s="11" t="s">
        <v>15032</v>
      </c>
      <c r="J11328" s="1285"/>
      <c r="K11328" s="1285"/>
      <c r="L11328" s="1285"/>
    </row>
    <row r="11329" spans="1:12" ht="11.25" customHeight="1">
      <c r="A11329" s="185"/>
      <c r="B11329" s="59" t="s">
        <v>22424</v>
      </c>
      <c r="C11329" s="147" t="s">
        <v>20221</v>
      </c>
      <c r="D11329" s="701" t="s">
        <v>1129</v>
      </c>
      <c r="E11329" s="178">
        <v>2014</v>
      </c>
      <c r="F11329" s="178" t="s">
        <v>4520</v>
      </c>
      <c r="G11329" s="496"/>
      <c r="H11329" s="994" t="s">
        <v>20221</v>
      </c>
      <c r="I11329" s="11" t="s">
        <v>15033</v>
      </c>
      <c r="J11329" s="1285"/>
      <c r="K11329" s="1285"/>
      <c r="L11329" s="1285"/>
    </row>
    <row r="11330" spans="1:12" ht="11.25" customHeight="1">
      <c r="A11330" s="185"/>
      <c r="B11330" s="59" t="s">
        <v>22424</v>
      </c>
      <c r="C11330" s="147" t="s">
        <v>20221</v>
      </c>
      <c r="D11330" s="701" t="s">
        <v>1129</v>
      </c>
      <c r="E11330" s="178">
        <v>2013</v>
      </c>
      <c r="F11330" s="178" t="s">
        <v>4520</v>
      </c>
      <c r="G11330" s="496"/>
      <c r="H11330" s="994" t="s">
        <v>20221</v>
      </c>
      <c r="I11330" s="11" t="s">
        <v>15034</v>
      </c>
      <c r="J11330" s="1285"/>
      <c r="K11330" s="1285"/>
      <c r="L11330" s="1285"/>
    </row>
    <row r="11331" spans="1:12" ht="11.25" customHeight="1">
      <c r="A11331" s="185"/>
      <c r="B11331" s="59" t="s">
        <v>22425</v>
      </c>
      <c r="C11331" s="147" t="s">
        <v>20221</v>
      </c>
      <c r="D11331" s="701" t="s">
        <v>1129</v>
      </c>
      <c r="E11331" s="178">
        <v>2023</v>
      </c>
      <c r="F11331" s="178" t="s">
        <v>4520</v>
      </c>
      <c r="G11331" s="496"/>
      <c r="H11331" s="994" t="s">
        <v>20224</v>
      </c>
      <c r="I11331" s="11" t="s">
        <v>15035</v>
      </c>
      <c r="J11331" s="1285"/>
      <c r="K11331" s="1285"/>
      <c r="L11331" s="1285"/>
    </row>
    <row r="11332" spans="1:12" ht="11.25" customHeight="1">
      <c r="A11332" s="185"/>
      <c r="B11332" s="59" t="s">
        <v>22425</v>
      </c>
      <c r="C11332" s="147" t="s">
        <v>20221</v>
      </c>
      <c r="D11332" s="701" t="s">
        <v>1129</v>
      </c>
      <c r="E11332" s="178">
        <v>2022</v>
      </c>
      <c r="F11332" s="178" t="s">
        <v>4520</v>
      </c>
      <c r="G11332" s="496"/>
      <c r="H11332" s="994" t="s">
        <v>20221</v>
      </c>
      <c r="I11332" s="11" t="s">
        <v>15036</v>
      </c>
      <c r="J11332" s="1285"/>
      <c r="K11332" s="1285"/>
      <c r="L11332" s="1285"/>
    </row>
    <row r="11333" spans="1:12" ht="11.25" customHeight="1">
      <c r="A11333" s="185"/>
      <c r="B11333" s="59" t="s">
        <v>22425</v>
      </c>
      <c r="C11333" s="147" t="s">
        <v>20221</v>
      </c>
      <c r="D11333" s="701" t="s">
        <v>1129</v>
      </c>
      <c r="E11333" s="178">
        <v>2021</v>
      </c>
      <c r="F11333" s="178" t="s">
        <v>4520</v>
      </c>
      <c r="G11333" s="496"/>
      <c r="H11333" s="994" t="s">
        <v>20221</v>
      </c>
      <c r="I11333" s="11" t="s">
        <v>15037</v>
      </c>
      <c r="J11333" s="1285"/>
      <c r="K11333" s="1285"/>
      <c r="L11333" s="1285"/>
    </row>
    <row r="11334" spans="1:12" ht="11.25" customHeight="1">
      <c r="A11334" s="185"/>
      <c r="B11334" s="59" t="s">
        <v>22425</v>
      </c>
      <c r="C11334" s="147" t="s">
        <v>20221</v>
      </c>
      <c r="D11334" s="701" t="s">
        <v>1129</v>
      </c>
      <c r="E11334" s="178">
        <v>2020</v>
      </c>
      <c r="F11334" s="178" t="s">
        <v>4520</v>
      </c>
      <c r="G11334" s="496"/>
      <c r="H11334" s="994" t="s">
        <v>20221</v>
      </c>
      <c r="I11334" s="11" t="s">
        <v>15038</v>
      </c>
      <c r="J11334" s="1285"/>
      <c r="K11334" s="1285"/>
      <c r="L11334" s="1285"/>
    </row>
    <row r="11335" spans="1:12" ht="11.25" customHeight="1">
      <c r="A11335" s="185"/>
      <c r="B11335" s="59" t="s">
        <v>22425</v>
      </c>
      <c r="C11335" s="147" t="s">
        <v>20221</v>
      </c>
      <c r="D11335" s="701" t="s">
        <v>1129</v>
      </c>
      <c r="E11335" s="178">
        <v>2019</v>
      </c>
      <c r="F11335" s="178" t="s">
        <v>4520</v>
      </c>
      <c r="G11335" s="496"/>
      <c r="H11335" s="994" t="s">
        <v>20221</v>
      </c>
      <c r="I11335" s="11" t="s">
        <v>15039</v>
      </c>
      <c r="J11335" s="1285"/>
      <c r="K11335" s="1285"/>
      <c r="L11335" s="1285"/>
    </row>
    <row r="11336" spans="1:12" ht="11.15" customHeight="1">
      <c r="A11336" s="185"/>
      <c r="B11336" s="59" t="s">
        <v>22425</v>
      </c>
      <c r="C11336" s="147" t="s">
        <v>20221</v>
      </c>
      <c r="D11336" s="701" t="s">
        <v>1129</v>
      </c>
      <c r="E11336" s="178">
        <v>2018</v>
      </c>
      <c r="F11336" s="178" t="s">
        <v>4520</v>
      </c>
      <c r="G11336" s="496"/>
      <c r="H11336" s="994" t="s">
        <v>20224</v>
      </c>
      <c r="I11336" s="11" t="s">
        <v>15040</v>
      </c>
      <c r="J11336" s="1285"/>
      <c r="K11336" s="1285"/>
      <c r="L11336" s="1285"/>
    </row>
    <row r="11337" spans="1:12" ht="11.15" customHeight="1">
      <c r="A11337" s="185"/>
      <c r="B11337" s="59" t="s">
        <v>22425</v>
      </c>
      <c r="C11337" s="147" t="s">
        <v>20221</v>
      </c>
      <c r="D11337" s="701" t="s">
        <v>1129</v>
      </c>
      <c r="E11337" s="178">
        <v>2017</v>
      </c>
      <c r="F11337" s="178" t="s">
        <v>4520</v>
      </c>
      <c r="G11337" s="496"/>
      <c r="H11337" s="994" t="s">
        <v>20221</v>
      </c>
      <c r="I11337" s="11" t="s">
        <v>15041</v>
      </c>
      <c r="J11337" s="1285"/>
      <c r="K11337" s="1285"/>
      <c r="L11337" s="1285"/>
    </row>
    <row r="11338" spans="1:12" ht="11.15" customHeight="1">
      <c r="A11338" s="185"/>
      <c r="B11338" s="59" t="s">
        <v>22425</v>
      </c>
      <c r="C11338" s="147" t="s">
        <v>20221</v>
      </c>
      <c r="D11338" s="701" t="s">
        <v>1129</v>
      </c>
      <c r="E11338" s="178">
        <v>2016</v>
      </c>
      <c r="F11338" s="178" t="s">
        <v>4520</v>
      </c>
      <c r="G11338" s="496"/>
      <c r="H11338" s="994" t="s">
        <v>20277</v>
      </c>
      <c r="I11338" s="11" t="s">
        <v>15042</v>
      </c>
      <c r="J11338" s="1285"/>
      <c r="K11338" s="1285"/>
      <c r="L11338" s="1285"/>
    </row>
    <row r="11339" spans="1:12" ht="11.15" customHeight="1">
      <c r="A11339" s="137"/>
      <c r="B11339" s="59" t="s">
        <v>22426</v>
      </c>
      <c r="C11339" s="147" t="s">
        <v>20221</v>
      </c>
      <c r="D11339" s="701" t="s">
        <v>1129</v>
      </c>
      <c r="E11339" s="178">
        <v>2022</v>
      </c>
      <c r="F11339" s="178" t="s">
        <v>4520</v>
      </c>
      <c r="G11339" s="496"/>
      <c r="H11339" s="994" t="s">
        <v>20221</v>
      </c>
      <c r="I11339" s="11" t="s">
        <v>15043</v>
      </c>
      <c r="J11339" s="1285"/>
      <c r="K11339" s="1285"/>
      <c r="L11339" s="1285"/>
    </row>
    <row r="11340" spans="1:12" ht="11.15" customHeight="1">
      <c r="A11340" s="185"/>
      <c r="B11340" s="59" t="s">
        <v>22426</v>
      </c>
      <c r="C11340" s="147" t="s">
        <v>20221</v>
      </c>
      <c r="D11340" s="701" t="s">
        <v>1129</v>
      </c>
      <c r="E11340" s="178">
        <v>2021</v>
      </c>
      <c r="F11340" s="178" t="s">
        <v>4520</v>
      </c>
      <c r="G11340" s="496"/>
      <c r="H11340" s="994" t="s">
        <v>20221</v>
      </c>
      <c r="I11340" s="11" t="s">
        <v>15044</v>
      </c>
      <c r="J11340" s="1285"/>
      <c r="K11340" s="1285"/>
      <c r="L11340" s="1285"/>
    </row>
    <row r="11341" spans="1:12" ht="11.15" customHeight="1">
      <c r="A11341" s="185"/>
      <c r="B11341" s="59" t="s">
        <v>22426</v>
      </c>
      <c r="C11341" s="147" t="s">
        <v>20221</v>
      </c>
      <c r="D11341" s="701" t="s">
        <v>1129</v>
      </c>
      <c r="E11341" s="178">
        <v>2020</v>
      </c>
      <c r="F11341" s="178" t="s">
        <v>4520</v>
      </c>
      <c r="G11341" s="496"/>
      <c r="H11341" s="994" t="s">
        <v>20221</v>
      </c>
      <c r="I11341" s="11" t="s">
        <v>15045</v>
      </c>
      <c r="J11341" s="1285"/>
      <c r="K11341" s="1285"/>
      <c r="L11341" s="1285"/>
    </row>
    <row r="11342" spans="1:12" ht="11.15" customHeight="1">
      <c r="A11342" s="185"/>
      <c r="B11342" s="59" t="s">
        <v>22426</v>
      </c>
      <c r="C11342" s="147" t="s">
        <v>20221</v>
      </c>
      <c r="D11342" s="701" t="s">
        <v>1129</v>
      </c>
      <c r="E11342" s="178">
        <v>2019</v>
      </c>
      <c r="F11342" s="178" t="s">
        <v>4520</v>
      </c>
      <c r="G11342" s="496"/>
      <c r="H11342" s="994" t="s">
        <v>20221</v>
      </c>
      <c r="I11342" s="11" t="s">
        <v>15046</v>
      </c>
      <c r="J11342" s="1285"/>
      <c r="K11342" s="1285"/>
      <c r="L11342" s="1285"/>
    </row>
    <row r="11343" spans="1:12" ht="11.15" customHeight="1">
      <c r="A11343" s="185"/>
      <c r="B11343" s="59" t="s">
        <v>22426</v>
      </c>
      <c r="C11343" s="147" t="s">
        <v>20221</v>
      </c>
      <c r="D11343" s="701" t="s">
        <v>1129</v>
      </c>
      <c r="E11343" s="178">
        <v>2018</v>
      </c>
      <c r="F11343" s="178" t="s">
        <v>4520</v>
      </c>
      <c r="G11343" s="496"/>
      <c r="H11343" s="994" t="s">
        <v>20221</v>
      </c>
      <c r="I11343" s="11" t="s">
        <v>15047</v>
      </c>
      <c r="J11343" s="1285"/>
      <c r="K11343" s="1285"/>
      <c r="L11343" s="1285"/>
    </row>
    <row r="11344" spans="1:12" ht="11.15" customHeight="1">
      <c r="A11344" s="185"/>
      <c r="B11344" s="59" t="s">
        <v>22426</v>
      </c>
      <c r="C11344" s="147" t="s">
        <v>20221</v>
      </c>
      <c r="D11344" s="701" t="s">
        <v>1129</v>
      </c>
      <c r="E11344" s="178">
        <v>2017</v>
      </c>
      <c r="F11344" s="178" t="s">
        <v>4520</v>
      </c>
      <c r="G11344" s="496"/>
      <c r="H11344" s="994" t="s">
        <v>20221</v>
      </c>
      <c r="I11344" s="11" t="s">
        <v>15048</v>
      </c>
      <c r="J11344" s="1285"/>
      <c r="K11344" s="1285"/>
      <c r="L11344" s="1285"/>
    </row>
    <row r="11345" spans="1:12" ht="11.15" customHeight="1">
      <c r="A11345" s="185"/>
      <c r="B11345" s="59" t="s">
        <v>22426</v>
      </c>
      <c r="C11345" s="147" t="s">
        <v>20221</v>
      </c>
      <c r="D11345" s="701" t="s">
        <v>1129</v>
      </c>
      <c r="E11345" s="178">
        <v>2016</v>
      </c>
      <c r="F11345" s="178" t="s">
        <v>4520</v>
      </c>
      <c r="G11345" s="496"/>
      <c r="H11345" s="994" t="s">
        <v>20221</v>
      </c>
      <c r="I11345" s="11" t="s">
        <v>15049</v>
      </c>
      <c r="J11345" s="1285"/>
      <c r="K11345" s="1285"/>
      <c r="L11345" s="1285"/>
    </row>
    <row r="11346" spans="1:12" ht="11.15" customHeight="1">
      <c r="A11346" s="185"/>
      <c r="B11346" s="154" t="s">
        <v>15050</v>
      </c>
      <c r="C11346" s="147"/>
      <c r="D11346" s="159"/>
      <c r="E11346" s="185"/>
      <c r="F11346" s="185"/>
      <c r="G11346" s="416"/>
      <c r="H11346" s="185"/>
      <c r="I11346" s="11"/>
    </row>
    <row r="11347" spans="1:12" ht="11.15" customHeight="1">
      <c r="A11347" s="185"/>
      <c r="B11347" s="59" t="s">
        <v>22427</v>
      </c>
      <c r="C11347" s="147" t="s">
        <v>20221</v>
      </c>
      <c r="D11347" s="701" t="s">
        <v>1129</v>
      </c>
      <c r="E11347" s="178">
        <v>2016</v>
      </c>
      <c r="F11347" s="178" t="s">
        <v>4520</v>
      </c>
      <c r="G11347" s="496"/>
      <c r="H11347" s="994" t="s">
        <v>20221</v>
      </c>
      <c r="I11347" s="11" t="s">
        <v>15051</v>
      </c>
      <c r="J11347" s="1285"/>
      <c r="K11347" s="1285"/>
      <c r="L11347" s="1285"/>
    </row>
    <row r="11348" spans="1:12" ht="11.15" customHeight="1">
      <c r="A11348" s="185"/>
      <c r="B11348" s="59" t="s">
        <v>22427</v>
      </c>
      <c r="C11348" s="147" t="s">
        <v>20221</v>
      </c>
      <c r="D11348" s="701" t="s">
        <v>1129</v>
      </c>
      <c r="E11348" s="178">
        <v>2015</v>
      </c>
      <c r="F11348" s="178" t="s">
        <v>4520</v>
      </c>
      <c r="G11348" s="496"/>
      <c r="H11348" s="994" t="s">
        <v>20221</v>
      </c>
      <c r="I11348" s="11" t="s">
        <v>15052</v>
      </c>
      <c r="J11348" s="1285"/>
      <c r="K11348" s="1285"/>
      <c r="L11348" s="1285"/>
    </row>
    <row r="11349" spans="1:12" ht="11.15" customHeight="1">
      <c r="A11349" s="185"/>
      <c r="B11349" s="154" t="s">
        <v>15053</v>
      </c>
      <c r="C11349" s="147"/>
      <c r="D11349" s="159"/>
      <c r="E11349" s="185"/>
      <c r="F11349" s="185"/>
      <c r="G11349" s="416"/>
      <c r="H11349" s="185"/>
      <c r="I11349" s="11"/>
    </row>
    <row r="11350" spans="1:12" ht="11.15" customHeight="1">
      <c r="A11350" s="185"/>
      <c r="B11350" s="59" t="s">
        <v>22428</v>
      </c>
      <c r="C11350" s="147" t="s">
        <v>20221</v>
      </c>
      <c r="D11350" s="701" t="s">
        <v>1129</v>
      </c>
      <c r="E11350" s="178">
        <v>2016</v>
      </c>
      <c r="F11350" s="178" t="s">
        <v>5257</v>
      </c>
      <c r="G11350" s="496"/>
      <c r="H11350" s="994" t="s">
        <v>20224</v>
      </c>
      <c r="I11350" s="11" t="s">
        <v>15054</v>
      </c>
      <c r="J11350" s="1285"/>
      <c r="K11350" s="1285"/>
      <c r="L11350" s="1285"/>
    </row>
    <row r="11351" spans="1:12" ht="9" customHeight="1">
      <c r="A11351" s="185"/>
      <c r="B11351" s="59" t="s">
        <v>22428</v>
      </c>
      <c r="C11351" s="147" t="s">
        <v>20221</v>
      </c>
      <c r="D11351" s="701" t="s">
        <v>1129</v>
      </c>
      <c r="E11351" s="178">
        <v>2014</v>
      </c>
      <c r="F11351" s="178" t="s">
        <v>5257</v>
      </c>
      <c r="G11351" s="496"/>
      <c r="H11351" s="994" t="s">
        <v>20277</v>
      </c>
      <c r="I11351" s="11" t="s">
        <v>15055</v>
      </c>
      <c r="J11351" s="1285"/>
      <c r="K11351" s="1285"/>
      <c r="L11351" s="1285"/>
    </row>
    <row r="11352" spans="1:12" ht="11.25" customHeight="1">
      <c r="A11352" s="185"/>
      <c r="B11352" s="59" t="s">
        <v>22429</v>
      </c>
      <c r="C11352" s="147" t="s">
        <v>20221</v>
      </c>
      <c r="D11352" s="701" t="s">
        <v>1129</v>
      </c>
      <c r="E11352" s="178">
        <v>2020</v>
      </c>
      <c r="F11352" s="178" t="s">
        <v>5257</v>
      </c>
      <c r="G11352" s="496"/>
      <c r="H11352" s="994" t="s">
        <v>20224</v>
      </c>
      <c r="I11352" s="11" t="s">
        <v>15056</v>
      </c>
      <c r="J11352" s="1285"/>
      <c r="K11352" s="1285"/>
      <c r="L11352" s="1285"/>
    </row>
    <row r="11353" spans="1:12" ht="11.25" customHeight="1">
      <c r="A11353" s="185"/>
      <c r="B11353" s="59" t="s">
        <v>22430</v>
      </c>
      <c r="C11353" s="147" t="s">
        <v>20221</v>
      </c>
      <c r="D11353" s="701" t="s">
        <v>1129</v>
      </c>
      <c r="E11353" s="178">
        <v>2012</v>
      </c>
      <c r="F11353" s="178" t="s">
        <v>5257</v>
      </c>
      <c r="G11353" s="496"/>
      <c r="H11353" s="994" t="s">
        <v>20224</v>
      </c>
      <c r="I11353" s="11" t="s">
        <v>15057</v>
      </c>
      <c r="J11353" s="1285"/>
      <c r="K11353" s="1285"/>
      <c r="L11353" s="1285"/>
    </row>
    <row r="11354" spans="1:12" ht="11.25" customHeight="1">
      <c r="A11354" s="185"/>
      <c r="B11354" s="59" t="s">
        <v>22431</v>
      </c>
      <c r="C11354" s="147" t="s">
        <v>20221</v>
      </c>
      <c r="D11354" s="701" t="s">
        <v>1129</v>
      </c>
      <c r="E11354" s="178">
        <v>2017</v>
      </c>
      <c r="F11354" s="178" t="s">
        <v>5257</v>
      </c>
      <c r="G11354" s="496"/>
      <c r="H11354" s="994" t="s">
        <v>20224</v>
      </c>
      <c r="I11354" s="11" t="s">
        <v>15058</v>
      </c>
      <c r="J11354" s="1285"/>
      <c r="K11354" s="1285"/>
      <c r="L11354" s="1285"/>
    </row>
    <row r="11355" spans="1:12" ht="11.25" customHeight="1">
      <c r="A11355" s="185"/>
      <c r="B11355" s="59" t="s">
        <v>22431</v>
      </c>
      <c r="C11355" s="147" t="s">
        <v>20221</v>
      </c>
      <c r="D11355" s="701" t="s">
        <v>1129</v>
      </c>
      <c r="E11355" s="178">
        <v>2016</v>
      </c>
      <c r="F11355" s="178" t="s">
        <v>5257</v>
      </c>
      <c r="G11355" s="496"/>
      <c r="H11355" s="994" t="s">
        <v>20224</v>
      </c>
      <c r="I11355" s="11" t="s">
        <v>15059</v>
      </c>
      <c r="J11355" s="1285"/>
      <c r="K11355" s="1285"/>
      <c r="L11355" s="1285"/>
    </row>
    <row r="11356" spans="1:12" ht="11.25" customHeight="1">
      <c r="A11356" s="185"/>
      <c r="B11356" s="59" t="s">
        <v>22431</v>
      </c>
      <c r="C11356" s="147" t="s">
        <v>20221</v>
      </c>
      <c r="D11356" s="701" t="s">
        <v>1129</v>
      </c>
      <c r="E11356" s="178">
        <v>2013</v>
      </c>
      <c r="F11356" s="178" t="s">
        <v>5257</v>
      </c>
      <c r="G11356" s="496"/>
      <c r="H11356" s="994" t="s">
        <v>20224</v>
      </c>
      <c r="I11356" s="11" t="s">
        <v>15060</v>
      </c>
      <c r="J11356" s="1285"/>
      <c r="K11356" s="1285"/>
      <c r="L11356" s="1285"/>
    </row>
    <row r="11357" spans="1:12" ht="11.25" customHeight="1">
      <c r="A11357" s="185"/>
      <c r="B11357" s="59" t="s">
        <v>22432</v>
      </c>
      <c r="C11357" s="147" t="s">
        <v>20221</v>
      </c>
      <c r="D11357" s="701" t="s">
        <v>1129</v>
      </c>
      <c r="E11357" s="178">
        <v>2016</v>
      </c>
      <c r="F11357" s="178" t="s">
        <v>5257</v>
      </c>
      <c r="G11357" s="496"/>
      <c r="H11357" s="994" t="s">
        <v>20224</v>
      </c>
      <c r="I11357" s="11" t="s">
        <v>15061</v>
      </c>
      <c r="J11357" s="1285"/>
      <c r="K11357" s="1285"/>
      <c r="L11357" s="1285"/>
    </row>
    <row r="11358" spans="1:12" ht="11.25" customHeight="1">
      <c r="A11358" s="185"/>
      <c r="B11358" s="59" t="s">
        <v>22432</v>
      </c>
      <c r="C11358" s="147" t="s">
        <v>20221</v>
      </c>
      <c r="D11358" s="701" t="s">
        <v>1129</v>
      </c>
      <c r="E11358" s="178">
        <v>2015</v>
      </c>
      <c r="F11358" s="178" t="s">
        <v>5257</v>
      </c>
      <c r="G11358" s="496"/>
      <c r="H11358" s="994" t="s">
        <v>20224</v>
      </c>
      <c r="I11358" s="11" t="s">
        <v>15062</v>
      </c>
      <c r="J11358" s="1285"/>
      <c r="K11358" s="1285"/>
      <c r="L11358" s="1285"/>
    </row>
    <row r="11359" spans="1:12" ht="11.25" customHeight="1">
      <c r="A11359" s="185"/>
      <c r="B11359" s="154" t="s">
        <v>15063</v>
      </c>
      <c r="C11359" s="147"/>
      <c r="D11359" s="159"/>
      <c r="E11359" s="36"/>
      <c r="F11359" s="183"/>
      <c r="G11359" s="496"/>
      <c r="H11359" s="34"/>
      <c r="I11359" s="11"/>
    </row>
    <row r="11360" spans="1:12" ht="11.25" customHeight="1">
      <c r="A11360" s="185"/>
      <c r="B11360" s="59" t="s">
        <v>23374</v>
      </c>
      <c r="C11360" s="147" t="s">
        <v>20221</v>
      </c>
      <c r="D11360" s="739" t="s">
        <v>1410</v>
      </c>
      <c r="E11360" s="178">
        <v>2013</v>
      </c>
      <c r="F11360" s="178" t="s">
        <v>23400</v>
      </c>
      <c r="G11360" s="496"/>
      <c r="H11360" s="994" t="s">
        <v>20221</v>
      </c>
      <c r="I11360" s="11" t="s">
        <v>15064</v>
      </c>
      <c r="J11360" s="1285"/>
      <c r="K11360" s="1285"/>
      <c r="L11360" s="1285"/>
    </row>
    <row r="11361" spans="1:12" ht="11.25" customHeight="1">
      <c r="A11361" s="185"/>
      <c r="B11361" s="36" t="s">
        <v>15065</v>
      </c>
      <c r="C11361" s="147"/>
      <c r="D11361" s="159"/>
      <c r="E11361" s="36"/>
      <c r="F11361" s="183"/>
      <c r="G11361" s="496"/>
      <c r="H11361" s="34"/>
      <c r="I11361" s="11"/>
    </row>
    <row r="11362" spans="1:12" ht="9" customHeight="1">
      <c r="A11362" s="185"/>
      <c r="B11362" s="36"/>
      <c r="C11362" s="147"/>
      <c r="D11362" s="159"/>
      <c r="E11362" s="36"/>
      <c r="F11362" s="183"/>
      <c r="G11362" s="496"/>
      <c r="H11362" s="34"/>
      <c r="I11362" s="11"/>
    </row>
    <row r="11363" spans="1:12" ht="9" customHeight="1" thickBot="1">
      <c r="A11363" s="185"/>
      <c r="B11363" s="150" t="s">
        <v>15066</v>
      </c>
      <c r="C11363" s="147"/>
      <c r="D11363" s="159"/>
      <c r="E11363" s="36"/>
      <c r="F11363" s="183"/>
      <c r="G11363" s="496"/>
      <c r="H11363" s="34"/>
      <c r="I11363" s="11"/>
    </row>
    <row r="11364" spans="1:12" ht="11.15" customHeight="1" thickBot="1">
      <c r="A11364" s="718" t="s">
        <v>15067</v>
      </c>
      <c r="B11364" s="177" t="s">
        <v>15068</v>
      </c>
      <c r="C11364" s="147"/>
      <c r="D11364" s="129"/>
      <c r="E11364" s="185"/>
      <c r="F11364" s="185"/>
      <c r="G11364" s="185"/>
      <c r="H11364" s="185"/>
      <c r="I11364" s="11"/>
    </row>
    <row r="11365" spans="1:12" ht="11.15" customHeight="1">
      <c r="A11365" s="29" t="s">
        <v>15069</v>
      </c>
      <c r="B11365" s="59" t="s">
        <v>22433</v>
      </c>
      <c r="C11365" s="147" t="s">
        <v>20221</v>
      </c>
      <c r="D11365" s="701" t="s">
        <v>1129</v>
      </c>
      <c r="E11365" s="178">
        <v>2023</v>
      </c>
      <c r="F11365" s="178" t="s">
        <v>4520</v>
      </c>
      <c r="G11365" s="496"/>
      <c r="H11365" s="994" t="s">
        <v>20221</v>
      </c>
      <c r="I11365" s="11" t="s">
        <v>15070</v>
      </c>
      <c r="J11365" s="1285"/>
      <c r="K11365" s="1285"/>
      <c r="L11365" s="1285"/>
    </row>
    <row r="11366" spans="1:12" ht="11.15" customHeight="1">
      <c r="A11366" s="451" t="s">
        <v>15071</v>
      </c>
      <c r="B11366" s="59" t="s">
        <v>22433</v>
      </c>
      <c r="C11366" s="147" t="s">
        <v>20221</v>
      </c>
      <c r="D11366" s="701" t="s">
        <v>1129</v>
      </c>
      <c r="E11366" s="178">
        <v>2022</v>
      </c>
      <c r="F11366" s="178" t="s">
        <v>4520</v>
      </c>
      <c r="G11366" s="496"/>
      <c r="H11366" s="994" t="s">
        <v>20221</v>
      </c>
      <c r="I11366" s="11" t="s">
        <v>15072</v>
      </c>
      <c r="J11366" s="1285"/>
      <c r="K11366" s="1285"/>
      <c r="L11366" s="1285"/>
    </row>
    <row r="11367" spans="1:12" ht="11.15" customHeight="1">
      <c r="A11367" s="29" t="s">
        <v>15073</v>
      </c>
      <c r="B11367" s="59" t="s">
        <v>22433</v>
      </c>
      <c r="C11367" s="147" t="s">
        <v>20221</v>
      </c>
      <c r="D11367" s="701" t="s">
        <v>1129</v>
      </c>
      <c r="E11367" s="178">
        <v>2021</v>
      </c>
      <c r="F11367" s="178" t="s">
        <v>4520</v>
      </c>
      <c r="G11367" s="496"/>
      <c r="H11367" s="994" t="s">
        <v>20221</v>
      </c>
      <c r="I11367" s="11" t="s">
        <v>15074</v>
      </c>
      <c r="J11367" s="1285"/>
      <c r="K11367" s="1285"/>
      <c r="L11367" s="1285"/>
    </row>
    <row r="11368" spans="1:12" ht="11.15" customHeight="1">
      <c r="A11368" s="181" t="s">
        <v>12505</v>
      </c>
      <c r="B11368" s="59" t="s">
        <v>22433</v>
      </c>
      <c r="C11368" s="147" t="s">
        <v>20221</v>
      </c>
      <c r="D11368" s="701" t="s">
        <v>1129</v>
      </c>
      <c r="E11368" s="178">
        <v>2020</v>
      </c>
      <c r="F11368" s="178" t="s">
        <v>4520</v>
      </c>
      <c r="G11368" s="496"/>
      <c r="H11368" s="994" t="s">
        <v>20277</v>
      </c>
      <c r="I11368" s="11" t="s">
        <v>15075</v>
      </c>
      <c r="J11368" s="1285"/>
      <c r="K11368" s="1285"/>
      <c r="L11368" s="1285"/>
    </row>
    <row r="11369" spans="1:12" ht="11.15" customHeight="1">
      <c r="A11369" s="29" t="s">
        <v>15076</v>
      </c>
      <c r="B11369" s="177" t="s">
        <v>15077</v>
      </c>
      <c r="C11369" s="147"/>
      <c r="D11369" s="129"/>
      <c r="E11369" s="185"/>
      <c r="F11369" s="185"/>
      <c r="G11369" s="185"/>
      <c r="H11369" s="185"/>
      <c r="I11369" s="11"/>
    </row>
    <row r="11370" spans="1:12" ht="11.15" customHeight="1">
      <c r="A11370" s="361" t="s">
        <v>15078</v>
      </c>
      <c r="B11370" s="59" t="s">
        <v>22434</v>
      </c>
      <c r="C11370" s="147" t="s">
        <v>20221</v>
      </c>
      <c r="D11370" s="701" t="s">
        <v>1129</v>
      </c>
      <c r="E11370" s="178">
        <v>2023</v>
      </c>
      <c r="F11370" s="178" t="s">
        <v>4520</v>
      </c>
      <c r="G11370" s="496"/>
      <c r="H11370" s="994" t="s">
        <v>20221</v>
      </c>
      <c r="I11370" s="11" t="s">
        <v>15079</v>
      </c>
      <c r="J11370" s="1285"/>
      <c r="K11370" s="1285"/>
      <c r="L11370" s="1285"/>
    </row>
    <row r="11371" spans="1:12" ht="11.15" customHeight="1">
      <c r="A11371" s="162" t="s">
        <v>15080</v>
      </c>
      <c r="B11371" s="59" t="s">
        <v>22434</v>
      </c>
      <c r="C11371" s="147" t="s">
        <v>20221</v>
      </c>
      <c r="D11371" s="701" t="s">
        <v>1129</v>
      </c>
      <c r="E11371" s="178">
        <v>2022</v>
      </c>
      <c r="F11371" s="178" t="s">
        <v>4520</v>
      </c>
      <c r="G11371" s="496"/>
      <c r="H11371" s="994" t="s">
        <v>20221</v>
      </c>
      <c r="I11371" s="11" t="s">
        <v>15081</v>
      </c>
      <c r="J11371" s="1285"/>
      <c r="K11371" s="1285"/>
      <c r="L11371" s="1285"/>
    </row>
    <row r="11372" spans="1:12" ht="11.15" customHeight="1">
      <c r="A11372" s="162" t="s">
        <v>15082</v>
      </c>
      <c r="B11372" s="177" t="s">
        <v>15083</v>
      </c>
      <c r="C11372" s="147"/>
      <c r="D11372" s="129"/>
      <c r="E11372" s="185"/>
      <c r="F11372" s="185"/>
      <c r="G11372" s="185"/>
      <c r="H11372" s="185"/>
      <c r="I11372" s="11"/>
    </row>
    <row r="11373" spans="1:12" ht="11.15" customHeight="1">
      <c r="A11373" s="162" t="s">
        <v>15084</v>
      </c>
      <c r="B11373" s="59" t="s">
        <v>22435</v>
      </c>
      <c r="C11373" s="147" t="s">
        <v>20221</v>
      </c>
      <c r="D11373" s="701" t="s">
        <v>1129</v>
      </c>
      <c r="E11373" s="178">
        <v>2018</v>
      </c>
      <c r="F11373" s="178" t="s">
        <v>4520</v>
      </c>
      <c r="G11373" s="496"/>
      <c r="H11373" s="994" t="s">
        <v>20224</v>
      </c>
      <c r="I11373" s="11" t="s">
        <v>15085</v>
      </c>
      <c r="J11373" s="1285"/>
      <c r="K11373" s="1285"/>
      <c r="L11373" s="1285"/>
    </row>
    <row r="11374" spans="1:12" ht="11.15" customHeight="1">
      <c r="A11374" s="162" t="s">
        <v>15086</v>
      </c>
      <c r="B11374" s="59" t="s">
        <v>22436</v>
      </c>
      <c r="C11374" s="147" t="s">
        <v>20221</v>
      </c>
      <c r="D11374" s="701" t="s">
        <v>1129</v>
      </c>
      <c r="E11374" s="178">
        <v>2023</v>
      </c>
      <c r="F11374" s="178" t="s">
        <v>4520</v>
      </c>
      <c r="G11374" s="496"/>
      <c r="H11374" s="994" t="s">
        <v>20221</v>
      </c>
      <c r="I11374" s="11" t="s">
        <v>15087</v>
      </c>
      <c r="J11374" s="1285"/>
      <c r="K11374" s="1285"/>
      <c r="L11374" s="1285"/>
    </row>
    <row r="11375" spans="1:12" ht="11.15" customHeight="1">
      <c r="A11375" s="162" t="s">
        <v>15088</v>
      </c>
      <c r="B11375" s="59" t="s">
        <v>22436</v>
      </c>
      <c r="C11375" s="147" t="s">
        <v>20221</v>
      </c>
      <c r="D11375" s="701" t="s">
        <v>1129</v>
      </c>
      <c r="E11375" s="178">
        <v>2022</v>
      </c>
      <c r="F11375" s="178" t="s">
        <v>4520</v>
      </c>
      <c r="G11375" s="496"/>
      <c r="H11375" s="994" t="s">
        <v>20221</v>
      </c>
      <c r="I11375" s="11" t="s">
        <v>15089</v>
      </c>
      <c r="J11375" s="1285"/>
      <c r="K11375" s="1285"/>
      <c r="L11375" s="1285"/>
    </row>
    <row r="11376" spans="1:12" ht="11.15" customHeight="1">
      <c r="A11376" s="162" t="s">
        <v>15090</v>
      </c>
      <c r="B11376" s="154" t="s">
        <v>15091</v>
      </c>
      <c r="C11376" s="147"/>
      <c r="D11376" s="159"/>
      <c r="E11376" s="36"/>
      <c r="F11376" s="178"/>
      <c r="G11376" s="60"/>
      <c r="H11376" s="36"/>
      <c r="I11376" s="11"/>
    </row>
    <row r="11377" spans="1:12" ht="11.15" customHeight="1">
      <c r="A11377" s="162" t="s">
        <v>15092</v>
      </c>
      <c r="B11377" s="59" t="s">
        <v>22437</v>
      </c>
      <c r="C11377" s="147" t="s">
        <v>20221</v>
      </c>
      <c r="D11377" s="739" t="s">
        <v>1410</v>
      </c>
      <c r="E11377" s="178">
        <v>2014</v>
      </c>
      <c r="F11377" s="178" t="s">
        <v>23404</v>
      </c>
      <c r="G11377" s="496"/>
      <c r="H11377" s="994" t="s">
        <v>20221</v>
      </c>
      <c r="I11377" s="11" t="s">
        <v>15093</v>
      </c>
      <c r="J11377" s="1285"/>
      <c r="K11377" s="1285"/>
      <c r="L11377" s="1285"/>
    </row>
    <row r="11378" spans="1:12" ht="11.15" customHeight="1">
      <c r="A11378" s="169" t="s">
        <v>15094</v>
      </c>
      <c r="B11378" s="59" t="s">
        <v>22438</v>
      </c>
      <c r="C11378" s="147" t="s">
        <v>20221</v>
      </c>
      <c r="D11378" s="739" t="s">
        <v>1410</v>
      </c>
      <c r="E11378" s="178">
        <v>2013</v>
      </c>
      <c r="F11378" s="178" t="s">
        <v>23398</v>
      </c>
      <c r="G11378" s="496"/>
      <c r="H11378" s="994" t="s">
        <v>20224</v>
      </c>
      <c r="I11378" s="11" t="s">
        <v>15095</v>
      </c>
      <c r="J11378" s="1285"/>
      <c r="K11378" s="1285"/>
      <c r="L11378" s="1285"/>
    </row>
    <row r="11379" spans="1:12" ht="11.15" customHeight="1">
      <c r="A11379" s="129" t="s">
        <v>15096</v>
      </c>
      <c r="B11379" s="59"/>
      <c r="C11379" s="147"/>
      <c r="D11379" s="739"/>
      <c r="E11379" s="178"/>
      <c r="F11379" s="178"/>
      <c r="G11379" s="496"/>
      <c r="H11379" s="994"/>
      <c r="I11379" s="11"/>
      <c r="J11379" s="1285"/>
      <c r="K11379" s="1285"/>
      <c r="L11379" s="1285"/>
    </row>
    <row r="11380" spans="1:12" ht="11.15" customHeight="1">
      <c r="A11380" s="129"/>
      <c r="B11380" s="185"/>
      <c r="C11380" s="147"/>
      <c r="D11380" s="185"/>
      <c r="E11380" s="185"/>
      <c r="F11380" s="185"/>
      <c r="G11380" s="185"/>
      <c r="H11380" s="185"/>
      <c r="I11380" s="11"/>
    </row>
    <row r="11381" spans="1:12" ht="11.25" customHeight="1">
      <c r="A11381" s="29"/>
      <c r="B11381" s="146" t="s">
        <v>15097</v>
      </c>
      <c r="C11381" s="147"/>
      <c r="D11381" s="159"/>
      <c r="E11381" s="185"/>
      <c r="F11381" s="185"/>
      <c r="G11381" s="185"/>
      <c r="H11381" s="185"/>
      <c r="I11381" s="11"/>
    </row>
    <row r="11382" spans="1:12" ht="9" customHeight="1">
      <c r="A11382" s="185"/>
      <c r="B11382" s="150" t="s">
        <v>15098</v>
      </c>
      <c r="C11382" s="147"/>
      <c r="D11382" s="159"/>
      <c r="E11382" s="185"/>
      <c r="F11382" s="185"/>
      <c r="G11382" s="185"/>
      <c r="H11382" s="185"/>
      <c r="I11382" s="11"/>
    </row>
    <row r="11383" spans="1:12" ht="9" customHeight="1">
      <c r="A11383" s="185"/>
      <c r="B11383" s="150" t="s">
        <v>15099</v>
      </c>
      <c r="C11383" s="147"/>
      <c r="D11383" s="159"/>
      <c r="E11383" s="185"/>
      <c r="F11383" s="185"/>
      <c r="G11383" s="185"/>
      <c r="H11383" s="185"/>
      <c r="I11383" s="11"/>
    </row>
    <row r="11384" spans="1:12" ht="9" customHeight="1">
      <c r="A11384" s="185"/>
      <c r="B11384" s="150" t="s">
        <v>15100</v>
      </c>
      <c r="C11384" s="147"/>
      <c r="D11384" s="159"/>
      <c r="E11384" s="185"/>
      <c r="F11384" s="185"/>
      <c r="G11384" s="185"/>
      <c r="H11384" s="185"/>
      <c r="I11384" s="11"/>
    </row>
    <row r="11385" spans="1:12" ht="9" customHeight="1">
      <c r="A11385" s="185"/>
      <c r="B11385" s="150" t="s">
        <v>15101</v>
      </c>
      <c r="C11385" s="147"/>
      <c r="D11385" s="159"/>
      <c r="E11385" s="185"/>
      <c r="F11385" s="185"/>
      <c r="G11385" s="185"/>
      <c r="H11385" s="185"/>
      <c r="I11385" s="11"/>
    </row>
    <row r="11386" spans="1:12" ht="9" customHeight="1" thickBot="1">
      <c r="A11386" s="185"/>
      <c r="B11386" s="150" t="s">
        <v>15102</v>
      </c>
      <c r="C11386" s="147"/>
      <c r="D11386" s="159"/>
      <c r="E11386" s="185"/>
      <c r="F11386" s="185"/>
      <c r="G11386" s="185"/>
      <c r="H11386" s="185"/>
      <c r="I11386" s="11"/>
    </row>
    <row r="11387" spans="1:12" ht="11.15" customHeight="1" thickBot="1">
      <c r="A11387" s="718" t="s">
        <v>15103</v>
      </c>
      <c r="B11387" s="59" t="s">
        <v>22439</v>
      </c>
      <c r="C11387" s="147" t="s">
        <v>20221</v>
      </c>
      <c r="D11387" s="701" t="s">
        <v>1129</v>
      </c>
      <c r="E11387" s="178">
        <v>2000</v>
      </c>
      <c r="F11387" s="178" t="s">
        <v>4520</v>
      </c>
      <c r="G11387" s="496"/>
      <c r="H11387" s="994" t="s">
        <v>20224</v>
      </c>
      <c r="I11387" s="11" t="s">
        <v>15104</v>
      </c>
      <c r="J11387" s="1285"/>
      <c r="K11387" s="1285"/>
      <c r="L11387" s="1285"/>
    </row>
    <row r="11388" spans="1:12" ht="11.15" customHeight="1">
      <c r="A11388" s="451" t="s">
        <v>15105</v>
      </c>
      <c r="B11388" s="90"/>
      <c r="C11388" s="147"/>
      <c r="D11388" s="159"/>
      <c r="E11388" s="36"/>
      <c r="F11388" s="178"/>
      <c r="G11388" s="496"/>
      <c r="H11388" s="36"/>
      <c r="I11388" s="11"/>
    </row>
    <row r="11389" spans="1:12" ht="11.15" customHeight="1">
      <c r="A11389" s="451" t="s">
        <v>15106</v>
      </c>
      <c r="B11389" s="154"/>
      <c r="C11389" s="147"/>
      <c r="D11389" s="129"/>
      <c r="E11389" s="185"/>
      <c r="F11389" s="185"/>
      <c r="G11389" s="185"/>
      <c r="H11389" s="185"/>
      <c r="I11389" s="11"/>
    </row>
    <row r="11390" spans="1:12" ht="11.15" customHeight="1">
      <c r="A11390" s="181" t="s">
        <v>8903</v>
      </c>
      <c r="B11390" s="185"/>
      <c r="C11390" s="147"/>
      <c r="D11390" s="185"/>
      <c r="E11390" s="185"/>
      <c r="F11390" s="185"/>
      <c r="G11390" s="185"/>
      <c r="H11390" s="185"/>
      <c r="I11390" s="11"/>
    </row>
    <row r="11391" spans="1:12" ht="11.15" customHeight="1">
      <c r="A11391" s="129" t="s">
        <v>3690</v>
      </c>
      <c r="B11391" s="90"/>
      <c r="C11391" s="147"/>
      <c r="D11391" s="159"/>
      <c r="E11391" s="36"/>
      <c r="F11391" s="183"/>
      <c r="G11391" s="496"/>
      <c r="H11391" s="34"/>
      <c r="I11391" s="11"/>
    </row>
    <row r="11392" spans="1:12" ht="11.15" customHeight="1">
      <c r="A11392" s="162" t="s">
        <v>15107</v>
      </c>
      <c r="B11392" s="185"/>
      <c r="C11392" s="147"/>
      <c r="D11392" s="185"/>
      <c r="E11392" s="185"/>
      <c r="F11392" s="185"/>
      <c r="G11392" s="185"/>
      <c r="H11392" s="185"/>
      <c r="I11392" s="11"/>
    </row>
    <row r="11393" spans="1:9" ht="11.15" customHeight="1">
      <c r="A11393" s="162" t="s">
        <v>15108</v>
      </c>
      <c r="B11393" s="185"/>
      <c r="C11393" s="147"/>
      <c r="D11393" s="185"/>
      <c r="E11393" s="185"/>
      <c r="F11393" s="185"/>
      <c r="G11393" s="185"/>
      <c r="H11393" s="185"/>
      <c r="I11393" s="11"/>
    </row>
    <row r="11394" spans="1:9" ht="11.15" customHeight="1">
      <c r="A11394" s="162" t="s">
        <v>15109</v>
      </c>
      <c r="B11394" s="185"/>
      <c r="C11394" s="147"/>
      <c r="D11394" s="185"/>
      <c r="E11394" s="185"/>
      <c r="F11394" s="185"/>
      <c r="G11394" s="185"/>
      <c r="H11394" s="185"/>
      <c r="I11394" s="11"/>
    </row>
    <row r="11395" spans="1:9" ht="11.15" customHeight="1">
      <c r="A11395" s="162" t="s">
        <v>15110</v>
      </c>
      <c r="B11395" s="185"/>
      <c r="C11395" s="147"/>
      <c r="D11395" s="129"/>
      <c r="E11395" s="185"/>
      <c r="F11395" s="185"/>
      <c r="G11395" s="185"/>
      <c r="H11395" s="185"/>
      <c r="I11395" s="11"/>
    </row>
    <row r="11396" spans="1:9" ht="11.15" customHeight="1">
      <c r="A11396" s="162" t="s">
        <v>15111</v>
      </c>
      <c r="B11396" s="185"/>
      <c r="C11396" s="147"/>
      <c r="D11396" s="129"/>
      <c r="E11396" s="185"/>
      <c r="F11396" s="185"/>
      <c r="G11396" s="185"/>
      <c r="H11396" s="185"/>
      <c r="I11396" s="11"/>
    </row>
    <row r="11397" spans="1:9" ht="11.15" customHeight="1">
      <c r="A11397" s="162" t="s">
        <v>15112</v>
      </c>
      <c r="B11397" s="185"/>
      <c r="C11397" s="147"/>
      <c r="D11397" s="129"/>
      <c r="E11397" s="185"/>
      <c r="F11397" s="185"/>
      <c r="G11397" s="185"/>
      <c r="H11397" s="185"/>
      <c r="I11397" s="11"/>
    </row>
    <row r="11398" spans="1:9" ht="11.15" customHeight="1">
      <c r="A11398" s="162" t="s">
        <v>15113</v>
      </c>
      <c r="B11398" s="185"/>
      <c r="C11398" s="147"/>
      <c r="D11398" s="129"/>
      <c r="E11398" s="185"/>
      <c r="F11398" s="185"/>
      <c r="G11398" s="185"/>
      <c r="H11398" s="185"/>
      <c r="I11398" s="11"/>
    </row>
    <row r="11399" spans="1:9" ht="11.15" customHeight="1">
      <c r="A11399" s="162" t="s">
        <v>15114</v>
      </c>
      <c r="B11399" s="185"/>
      <c r="C11399" s="147"/>
      <c r="D11399" s="129"/>
      <c r="E11399" s="185"/>
      <c r="F11399" s="185"/>
      <c r="G11399" s="185"/>
      <c r="H11399" s="185"/>
      <c r="I11399" s="11"/>
    </row>
    <row r="11400" spans="1:9" ht="11.15" customHeight="1">
      <c r="A11400" s="162" t="s">
        <v>15115</v>
      </c>
      <c r="B11400" s="185"/>
      <c r="C11400" s="147"/>
      <c r="D11400" s="129"/>
      <c r="E11400" s="185"/>
      <c r="F11400" s="185"/>
      <c r="G11400" s="185"/>
      <c r="H11400" s="185"/>
      <c r="I11400" s="11"/>
    </row>
    <row r="11401" spans="1:9" ht="11.15" customHeight="1">
      <c r="A11401" s="162" t="s">
        <v>15116</v>
      </c>
      <c r="B11401" s="90"/>
      <c r="C11401" s="147"/>
      <c r="D11401" s="159"/>
      <c r="E11401" s="36"/>
      <c r="F11401" s="183"/>
      <c r="G11401" s="496"/>
      <c r="H11401" s="34"/>
      <c r="I11401" s="11"/>
    </row>
    <row r="11402" spans="1:9" ht="11.15" customHeight="1">
      <c r="A11402" s="162" t="s">
        <v>15117</v>
      </c>
      <c r="B11402" s="90"/>
      <c r="C11402" s="147"/>
      <c r="D11402" s="159"/>
      <c r="E11402" s="36"/>
      <c r="F11402" s="183"/>
      <c r="G11402" s="496"/>
      <c r="H11402" s="34"/>
      <c r="I11402" s="11"/>
    </row>
    <row r="11403" spans="1:9" ht="11.15" customHeight="1">
      <c r="A11403" s="129" t="s">
        <v>3659</v>
      </c>
      <c r="B11403" s="90"/>
      <c r="C11403" s="147"/>
      <c r="D11403" s="159"/>
      <c r="E11403" s="36"/>
      <c r="F11403" s="183"/>
      <c r="G11403" s="496"/>
      <c r="H11403" s="34"/>
      <c r="I11403" s="11"/>
    </row>
    <row r="11404" spans="1:9" ht="11.15" customHeight="1">
      <c r="A11404" s="162" t="s">
        <v>15118</v>
      </c>
      <c r="B11404" s="90"/>
      <c r="C11404" s="147"/>
      <c r="D11404" s="159"/>
      <c r="E11404" s="36"/>
      <c r="F11404" s="183"/>
      <c r="G11404" s="496"/>
      <c r="H11404" s="34"/>
      <c r="I11404" s="11"/>
    </row>
    <row r="11405" spans="1:9" ht="11.15" customHeight="1">
      <c r="A11405" s="162" t="s">
        <v>15119</v>
      </c>
      <c r="B11405" s="90"/>
      <c r="C11405" s="147"/>
      <c r="D11405" s="159"/>
      <c r="E11405" s="36"/>
      <c r="F11405" s="183"/>
      <c r="G11405" s="496"/>
      <c r="H11405" s="34"/>
      <c r="I11405" s="11"/>
    </row>
    <row r="11406" spans="1:9" ht="11.15" customHeight="1">
      <c r="A11406" s="162" t="s">
        <v>15120</v>
      </c>
      <c r="B11406" s="90"/>
      <c r="C11406" s="147"/>
      <c r="D11406" s="159"/>
      <c r="E11406" s="36"/>
      <c r="F11406" s="183"/>
      <c r="G11406" s="496"/>
      <c r="H11406" s="34"/>
      <c r="I11406" s="11"/>
    </row>
    <row r="11407" spans="1:9" ht="11.15" customHeight="1">
      <c r="A11407" s="162" t="s">
        <v>15121</v>
      </c>
      <c r="B11407" s="90"/>
      <c r="C11407" s="147"/>
      <c r="D11407" s="159"/>
      <c r="E11407" s="36"/>
      <c r="F11407" s="183"/>
      <c r="G11407" s="496"/>
      <c r="H11407" s="34"/>
      <c r="I11407" s="11"/>
    </row>
    <row r="11408" spans="1:9" ht="11.15" customHeight="1">
      <c r="A11408" s="162" t="s">
        <v>9895</v>
      </c>
      <c r="B11408" s="185"/>
      <c r="C11408" s="147"/>
      <c r="D11408" s="159"/>
      <c r="E11408" s="36"/>
      <c r="F11408" s="183"/>
      <c r="G11408" s="496"/>
      <c r="H11408" s="34"/>
      <c r="I11408" s="11"/>
    </row>
    <row r="11409" spans="1:9" ht="11.15" customHeight="1">
      <c r="A11409" s="452" t="s">
        <v>1244</v>
      </c>
      <c r="B11409" s="90"/>
      <c r="C11409" s="147"/>
      <c r="D11409" s="159"/>
      <c r="E11409" s="36"/>
      <c r="F11409" s="183"/>
      <c r="G11409" s="496"/>
      <c r="H11409" s="34"/>
      <c r="I11409" s="11"/>
    </row>
    <row r="11410" spans="1:9" ht="11.15" customHeight="1">
      <c r="A11410" s="452" t="s">
        <v>15122</v>
      </c>
      <c r="B11410" s="185"/>
      <c r="C11410" s="147"/>
      <c r="D11410" s="159"/>
      <c r="E11410" s="36"/>
      <c r="F11410" s="183"/>
      <c r="G11410" s="496"/>
      <c r="H11410" s="34"/>
      <c r="I11410" s="11"/>
    </row>
    <row r="11411" spans="1:9" ht="11.15" customHeight="1">
      <c r="A11411" s="719" t="s">
        <v>15123</v>
      </c>
      <c r="B11411" s="361"/>
      <c r="C11411" s="147"/>
      <c r="D11411" s="159"/>
      <c r="E11411" s="36"/>
      <c r="F11411" s="183"/>
      <c r="G11411" s="496"/>
      <c r="H11411" s="34"/>
      <c r="I11411" s="11"/>
    </row>
    <row r="11412" spans="1:9" ht="11.15" customHeight="1">
      <c r="A11412" s="129" t="s">
        <v>2579</v>
      </c>
      <c r="B11412" s="185"/>
      <c r="C11412" s="147"/>
      <c r="D11412" s="159"/>
      <c r="E11412" s="36"/>
      <c r="F11412" s="183"/>
      <c r="G11412" s="496"/>
      <c r="H11412" s="34"/>
      <c r="I11412" s="11"/>
    </row>
    <row r="11413" spans="1:9" ht="11.15" customHeight="1">
      <c r="A11413" s="129" t="s">
        <v>15124</v>
      </c>
      <c r="B11413" s="185"/>
      <c r="C11413" s="147"/>
      <c r="D11413" s="159"/>
      <c r="E11413" s="36"/>
      <c r="F11413" s="183"/>
      <c r="G11413" s="496"/>
      <c r="H11413" s="34"/>
      <c r="I11413" s="11"/>
    </row>
    <row r="11414" spans="1:9" ht="11.15" customHeight="1">
      <c r="A11414" s="29"/>
      <c r="B11414" s="146" t="s">
        <v>15125</v>
      </c>
      <c r="C11414" s="147"/>
      <c r="D11414" s="159"/>
      <c r="E11414" s="36"/>
      <c r="F11414" s="183"/>
      <c r="G11414" s="496"/>
      <c r="H11414" s="34"/>
      <c r="I11414" s="11"/>
    </row>
    <row r="11415" spans="1:9" ht="9" customHeight="1">
      <c r="A11415" s="185"/>
      <c r="B11415" s="150" t="s">
        <v>15126</v>
      </c>
      <c r="C11415" s="147"/>
      <c r="D11415" s="122"/>
      <c r="E11415" s="36"/>
      <c r="F11415" s="178"/>
      <c r="G11415" s="1181"/>
      <c r="H11415" s="36"/>
      <c r="I11415" s="11"/>
    </row>
    <row r="11416" spans="1:9" ht="11.15" customHeight="1">
      <c r="A11416" s="29"/>
      <c r="B11416" s="150" t="s">
        <v>15127</v>
      </c>
      <c r="C11416" s="147"/>
      <c r="D11416" s="159"/>
      <c r="E11416" s="36"/>
      <c r="F11416" s="183"/>
      <c r="G11416" s="496"/>
      <c r="H11416" s="34"/>
      <c r="I11416" s="11"/>
    </row>
    <row r="11417" spans="1:9" ht="9" customHeight="1">
      <c r="A11417" s="185"/>
      <c r="B11417" s="150" t="s">
        <v>15128</v>
      </c>
      <c r="C11417" s="147"/>
      <c r="D11417" s="122"/>
      <c r="E11417" s="36"/>
      <c r="F11417" s="178"/>
      <c r="G11417" s="1181"/>
      <c r="H11417" s="36"/>
      <c r="I11417" s="11"/>
    </row>
    <row r="11418" spans="1:9" ht="9" customHeight="1">
      <c r="A11418" s="185"/>
      <c r="B11418" s="150" t="s">
        <v>15129</v>
      </c>
      <c r="C11418" s="147"/>
      <c r="D11418" s="122"/>
      <c r="E11418" s="36"/>
      <c r="F11418" s="178"/>
      <c r="G11418" s="1181"/>
      <c r="H11418" s="36"/>
      <c r="I11418" s="11"/>
    </row>
    <row r="11419" spans="1:9" ht="9" customHeight="1">
      <c r="A11419" s="185"/>
      <c r="B11419" s="150" t="s">
        <v>15130</v>
      </c>
      <c r="C11419" s="147"/>
      <c r="D11419" s="122"/>
      <c r="E11419" s="36"/>
      <c r="F11419" s="178"/>
      <c r="G11419" s="1181"/>
      <c r="H11419" s="36"/>
      <c r="I11419" s="11"/>
    </row>
    <row r="11420" spans="1:9" ht="9" customHeight="1">
      <c r="A11420" s="185"/>
      <c r="B11420" s="150" t="s">
        <v>15131</v>
      </c>
      <c r="C11420" s="147"/>
      <c r="D11420" s="122"/>
      <c r="E11420" s="36"/>
      <c r="F11420" s="178"/>
      <c r="G11420" s="1181"/>
      <c r="H11420" s="36"/>
      <c r="I11420" s="11"/>
    </row>
    <row r="11421" spans="1:9" ht="9" customHeight="1">
      <c r="A11421" s="185"/>
      <c r="B11421" s="720" t="s">
        <v>15132</v>
      </c>
      <c r="C11421" s="147"/>
      <c r="D11421" s="122"/>
      <c r="E11421" s="36"/>
      <c r="F11421" s="178"/>
      <c r="G11421" s="1181"/>
      <c r="H11421" s="36"/>
      <c r="I11421" s="11"/>
    </row>
    <row r="11422" spans="1:9" ht="9" customHeight="1">
      <c r="A11422" s="185"/>
      <c r="B11422" s="720" t="s">
        <v>15133</v>
      </c>
      <c r="C11422" s="147"/>
      <c r="D11422" s="122"/>
      <c r="E11422" s="36"/>
      <c r="F11422" s="178"/>
      <c r="G11422" s="1181"/>
      <c r="H11422" s="36"/>
      <c r="I11422" s="11"/>
    </row>
    <row r="11423" spans="1:9" ht="9" customHeight="1">
      <c r="A11423" s="185"/>
      <c r="B11423" s="720" t="s">
        <v>15134</v>
      </c>
      <c r="C11423" s="147"/>
      <c r="D11423" s="122"/>
      <c r="E11423" s="36"/>
      <c r="F11423" s="178"/>
      <c r="G11423" s="1181"/>
      <c r="H11423" s="36"/>
      <c r="I11423" s="11"/>
    </row>
    <row r="11424" spans="1:9" ht="9" customHeight="1" thickBot="1">
      <c r="A11424" s="185"/>
      <c r="B11424" s="150" t="s">
        <v>15135</v>
      </c>
      <c r="C11424" s="147"/>
      <c r="D11424" s="122"/>
      <c r="E11424" s="36"/>
      <c r="F11424" s="178"/>
      <c r="G11424" s="1181"/>
      <c r="H11424" s="36"/>
      <c r="I11424" s="11"/>
    </row>
    <row r="11425" spans="1:12" ht="12" customHeight="1">
      <c r="A11425" s="674" t="s">
        <v>15136</v>
      </c>
      <c r="B11425" s="651" t="s">
        <v>15137</v>
      </c>
      <c r="C11425" s="147"/>
      <c r="D11425" s="159"/>
      <c r="E11425" s="36"/>
      <c r="F11425" s="178"/>
      <c r="G11425" s="60"/>
      <c r="H11425" s="36"/>
      <c r="I11425" s="11"/>
    </row>
    <row r="11426" spans="1:12" ht="11.15" customHeight="1" thickBot="1">
      <c r="A11426" s="721" t="s">
        <v>15138</v>
      </c>
      <c r="B11426" s="59" t="s">
        <v>22440</v>
      </c>
      <c r="C11426" s="147" t="s">
        <v>20221</v>
      </c>
      <c r="D11426" s="701" t="s">
        <v>1129</v>
      </c>
      <c r="E11426" s="178">
        <v>2023</v>
      </c>
      <c r="F11426" s="178" t="s">
        <v>4520</v>
      </c>
      <c r="G11426" s="496"/>
      <c r="H11426" s="994" t="s">
        <v>20221</v>
      </c>
      <c r="I11426" s="11" t="s">
        <v>15139</v>
      </c>
      <c r="J11426" s="1285"/>
      <c r="K11426" s="1285"/>
      <c r="L11426" s="1285"/>
    </row>
    <row r="11427" spans="1:12" ht="11.15" customHeight="1">
      <c r="A11427" s="29" t="s">
        <v>15140</v>
      </c>
      <c r="B11427" s="177" t="s">
        <v>15141</v>
      </c>
      <c r="C11427" s="147"/>
      <c r="D11427" s="159"/>
      <c r="E11427" s="36"/>
      <c r="F11427" s="178"/>
      <c r="G11427" s="496"/>
      <c r="H11427" s="36"/>
      <c r="I11427" s="11"/>
    </row>
    <row r="11428" spans="1:12" ht="11.15" customHeight="1">
      <c r="A11428" s="29" t="s">
        <v>15142</v>
      </c>
      <c r="B11428" s="59" t="s">
        <v>22441</v>
      </c>
      <c r="C11428" s="147" t="s">
        <v>20221</v>
      </c>
      <c r="D11428" s="701" t="s">
        <v>1129</v>
      </c>
      <c r="E11428" s="178">
        <v>2022</v>
      </c>
      <c r="F11428" s="178" t="s">
        <v>7168</v>
      </c>
      <c r="G11428" s="496"/>
      <c r="H11428" s="994" t="s">
        <v>20221</v>
      </c>
      <c r="I11428" s="11" t="s">
        <v>15143</v>
      </c>
      <c r="J11428" s="1285"/>
      <c r="K11428" s="1285"/>
      <c r="L11428" s="1285"/>
    </row>
    <row r="11429" spans="1:12" ht="11.15" customHeight="1">
      <c r="A11429" s="29" t="s">
        <v>15144</v>
      </c>
      <c r="B11429" s="59" t="s">
        <v>22442</v>
      </c>
      <c r="C11429" s="147" t="s">
        <v>20221</v>
      </c>
      <c r="D11429" s="701" t="s">
        <v>1129</v>
      </c>
      <c r="E11429" s="178">
        <v>2022</v>
      </c>
      <c r="F11429" s="178" t="s">
        <v>7168</v>
      </c>
      <c r="G11429" s="496"/>
      <c r="H11429" s="994" t="s">
        <v>20221</v>
      </c>
      <c r="I11429" s="11" t="s">
        <v>15145</v>
      </c>
      <c r="J11429" s="1285"/>
      <c r="K11429" s="1285"/>
      <c r="L11429" s="1285"/>
    </row>
    <row r="11430" spans="1:12" ht="11.15" customHeight="1">
      <c r="A11430" s="129" t="s">
        <v>15146</v>
      </c>
      <c r="B11430" s="177" t="s">
        <v>15147</v>
      </c>
      <c r="C11430" s="147"/>
      <c r="D11430" s="159"/>
      <c r="E11430" s="36"/>
      <c r="F11430" s="178"/>
      <c r="G11430" s="496"/>
      <c r="H11430" s="36"/>
      <c r="I11430" s="11"/>
    </row>
    <row r="11431" spans="1:12" ht="11.15" customHeight="1">
      <c r="A11431" s="162" t="s">
        <v>15148</v>
      </c>
      <c r="B11431" s="59" t="s">
        <v>22443</v>
      </c>
      <c r="C11431" s="147" t="s">
        <v>20221</v>
      </c>
      <c r="D11431" s="701" t="s">
        <v>1129</v>
      </c>
      <c r="E11431" s="178">
        <v>2022</v>
      </c>
      <c r="F11431" s="178" t="s">
        <v>4520</v>
      </c>
      <c r="G11431" s="496"/>
      <c r="H11431" s="994" t="s">
        <v>20221</v>
      </c>
      <c r="I11431" s="11" t="s">
        <v>15149</v>
      </c>
      <c r="J11431" s="1285"/>
      <c r="K11431" s="1285"/>
      <c r="L11431" s="1285"/>
    </row>
    <row r="11432" spans="1:12" ht="11.15" customHeight="1">
      <c r="A11432" s="162" t="s">
        <v>15150</v>
      </c>
      <c r="B11432" s="59" t="s">
        <v>22444</v>
      </c>
      <c r="C11432" s="147" t="s">
        <v>20221</v>
      </c>
      <c r="D11432" s="701" t="s">
        <v>1129</v>
      </c>
      <c r="E11432" s="178">
        <v>2023</v>
      </c>
      <c r="F11432" s="178" t="s">
        <v>4520</v>
      </c>
      <c r="G11432" s="496"/>
      <c r="H11432" s="994" t="s">
        <v>20221</v>
      </c>
      <c r="I11432" s="11" t="s">
        <v>15151</v>
      </c>
      <c r="J11432" s="1285"/>
      <c r="K11432" s="1285"/>
      <c r="L11432" s="1285"/>
    </row>
    <row r="11433" spans="1:12" ht="11.15" customHeight="1">
      <c r="A11433" s="129" t="s">
        <v>15152</v>
      </c>
      <c r="B11433" s="59" t="s">
        <v>22444</v>
      </c>
      <c r="C11433" s="147" t="s">
        <v>20221</v>
      </c>
      <c r="D11433" s="701" t="s">
        <v>1129</v>
      </c>
      <c r="E11433" s="178">
        <v>2022</v>
      </c>
      <c r="F11433" s="178" t="s">
        <v>4520</v>
      </c>
      <c r="G11433" s="496"/>
      <c r="H11433" s="994" t="s">
        <v>20221</v>
      </c>
      <c r="I11433" s="11" t="s">
        <v>15153</v>
      </c>
      <c r="J11433" s="1285"/>
      <c r="K11433" s="1285"/>
      <c r="L11433" s="1285"/>
    </row>
    <row r="11434" spans="1:12" ht="11.15" customHeight="1">
      <c r="A11434" s="224" t="s">
        <v>15154</v>
      </c>
      <c r="B11434" s="59" t="s">
        <v>22445</v>
      </c>
      <c r="C11434" s="147" t="s">
        <v>20221</v>
      </c>
      <c r="D11434" s="701" t="s">
        <v>1129</v>
      </c>
      <c r="E11434" s="178">
        <v>2016</v>
      </c>
      <c r="F11434" s="178" t="s">
        <v>4520</v>
      </c>
      <c r="G11434" s="496"/>
      <c r="H11434" s="994" t="s">
        <v>20221</v>
      </c>
      <c r="I11434" s="12" t="s">
        <v>15155</v>
      </c>
      <c r="J11434" s="1285"/>
      <c r="K11434" s="1285"/>
      <c r="L11434" s="1285"/>
    </row>
    <row r="11435" spans="1:12" ht="11.15" customHeight="1">
      <c r="A11435" s="162" t="s">
        <v>15156</v>
      </c>
      <c r="B11435" s="59" t="s">
        <v>22445</v>
      </c>
      <c r="C11435" s="147" t="s">
        <v>20221</v>
      </c>
      <c r="D11435" s="701" t="s">
        <v>1129</v>
      </c>
      <c r="E11435" s="178">
        <v>2012</v>
      </c>
      <c r="F11435" s="178" t="s">
        <v>4520</v>
      </c>
      <c r="G11435" s="496"/>
      <c r="H11435" s="994" t="s">
        <v>20277</v>
      </c>
      <c r="I11435" s="11" t="s">
        <v>15157</v>
      </c>
      <c r="J11435" s="1285"/>
      <c r="K11435" s="1285"/>
      <c r="L11435" s="1285"/>
    </row>
    <row r="11436" spans="1:12" ht="11.15" customHeight="1">
      <c r="A11436" s="162" t="s">
        <v>15158</v>
      </c>
      <c r="B11436" s="59" t="s">
        <v>22446</v>
      </c>
      <c r="C11436" s="147" t="s">
        <v>20221</v>
      </c>
      <c r="D11436" s="701" t="s">
        <v>1129</v>
      </c>
      <c r="E11436" s="178">
        <v>2014</v>
      </c>
      <c r="F11436" s="178" t="s">
        <v>4520</v>
      </c>
      <c r="G11436" s="496"/>
      <c r="H11436" s="994" t="s">
        <v>20221</v>
      </c>
      <c r="I11436" s="11" t="s">
        <v>15159</v>
      </c>
      <c r="J11436" s="1285"/>
      <c r="K11436" s="1285"/>
      <c r="L11436" s="1285"/>
    </row>
    <row r="11437" spans="1:12" ht="11.15" customHeight="1">
      <c r="A11437" s="224" t="s">
        <v>15160</v>
      </c>
      <c r="B11437" s="59" t="s">
        <v>22447</v>
      </c>
      <c r="C11437" s="147" t="s">
        <v>20221</v>
      </c>
      <c r="D11437" s="701" t="s">
        <v>1129</v>
      </c>
      <c r="E11437" s="178">
        <v>2012</v>
      </c>
      <c r="F11437" s="178" t="s">
        <v>4520</v>
      </c>
      <c r="G11437" s="496"/>
      <c r="H11437" s="994" t="s">
        <v>20221</v>
      </c>
      <c r="I11437" s="12" t="s">
        <v>15161</v>
      </c>
      <c r="J11437" s="1285"/>
      <c r="K11437" s="1285"/>
      <c r="L11437" s="1285"/>
    </row>
    <row r="11438" spans="1:12" ht="11.15" customHeight="1">
      <c r="A11438" s="162" t="s">
        <v>15162</v>
      </c>
      <c r="B11438" s="59" t="s">
        <v>22448</v>
      </c>
      <c r="C11438" s="147" t="s">
        <v>20221</v>
      </c>
      <c r="D11438" s="701" t="s">
        <v>1129</v>
      </c>
      <c r="E11438" s="178">
        <v>2023</v>
      </c>
      <c r="F11438" s="178" t="s">
        <v>4520</v>
      </c>
      <c r="G11438" s="496"/>
      <c r="H11438" s="994" t="s">
        <v>20221</v>
      </c>
      <c r="I11438" s="11" t="s">
        <v>15163</v>
      </c>
      <c r="J11438" s="1285"/>
      <c r="K11438" s="1285"/>
      <c r="L11438" s="1285"/>
    </row>
    <row r="11439" spans="1:12" ht="11.15" customHeight="1">
      <c r="A11439" s="162" t="s">
        <v>15164</v>
      </c>
      <c r="B11439" s="59" t="s">
        <v>22448</v>
      </c>
      <c r="C11439" s="147" t="s">
        <v>20221</v>
      </c>
      <c r="D11439" s="701" t="s">
        <v>1129</v>
      </c>
      <c r="E11439" s="178">
        <v>2022</v>
      </c>
      <c r="F11439" s="178" t="s">
        <v>4520</v>
      </c>
      <c r="G11439" s="496"/>
      <c r="H11439" s="994" t="s">
        <v>20221</v>
      </c>
      <c r="I11439" s="11" t="s">
        <v>15165</v>
      </c>
      <c r="J11439" s="1285"/>
      <c r="K11439" s="1285"/>
      <c r="L11439" s="1285"/>
    </row>
    <row r="11440" spans="1:12" ht="11.15" customHeight="1">
      <c r="A11440" s="181" t="s">
        <v>15166</v>
      </c>
      <c r="B11440" s="59" t="s">
        <v>22449</v>
      </c>
      <c r="C11440" s="147" t="s">
        <v>20221</v>
      </c>
      <c r="D11440" s="701" t="s">
        <v>1129</v>
      </c>
      <c r="E11440" s="178">
        <v>2016</v>
      </c>
      <c r="F11440" s="178" t="s">
        <v>4520</v>
      </c>
      <c r="G11440" s="496"/>
      <c r="H11440" s="994" t="s">
        <v>20224</v>
      </c>
      <c r="I11440" s="12" t="s">
        <v>15167</v>
      </c>
      <c r="J11440" s="1285"/>
      <c r="K11440" s="1285"/>
      <c r="L11440" s="1285"/>
    </row>
    <row r="11441" spans="1:12" ht="11.15" customHeight="1">
      <c r="A11441" s="181" t="s">
        <v>15168</v>
      </c>
      <c r="B11441" s="59" t="s">
        <v>22449</v>
      </c>
      <c r="C11441" s="147" t="s">
        <v>20221</v>
      </c>
      <c r="D11441" s="701" t="s">
        <v>1129</v>
      </c>
      <c r="E11441" s="178">
        <v>2014</v>
      </c>
      <c r="F11441" s="178" t="s">
        <v>4520</v>
      </c>
      <c r="G11441" s="496"/>
      <c r="H11441" s="994" t="s">
        <v>20221</v>
      </c>
      <c r="I11441" s="11" t="s">
        <v>15169</v>
      </c>
      <c r="J11441" s="1285"/>
      <c r="K11441" s="1285"/>
      <c r="L11441" s="1285"/>
    </row>
    <row r="11442" spans="1:12" ht="11.15" customHeight="1">
      <c r="A11442" s="129" t="s">
        <v>1308</v>
      </c>
      <c r="B11442" s="177" t="s">
        <v>15170</v>
      </c>
      <c r="C11442" s="147"/>
      <c r="D11442" s="129"/>
      <c r="E11442" s="185"/>
      <c r="F11442" s="185"/>
      <c r="G11442" s="185"/>
      <c r="H11442" s="185"/>
      <c r="I11442" s="11"/>
    </row>
    <row r="11443" spans="1:12" ht="11.15" customHeight="1">
      <c r="A11443" s="162" t="s">
        <v>15171</v>
      </c>
      <c r="B11443" s="59" t="s">
        <v>22450</v>
      </c>
      <c r="C11443" s="147" t="s">
        <v>20221</v>
      </c>
      <c r="D11443" s="701" t="s">
        <v>1129</v>
      </c>
      <c r="E11443" s="178">
        <v>2021</v>
      </c>
      <c r="F11443" s="178" t="s">
        <v>4520</v>
      </c>
      <c r="G11443" s="496"/>
      <c r="H11443" s="994" t="s">
        <v>20224</v>
      </c>
      <c r="I11443" s="11" t="s">
        <v>15172</v>
      </c>
      <c r="J11443" s="1285"/>
      <c r="K11443" s="1285"/>
      <c r="L11443" s="1285"/>
    </row>
    <row r="11444" spans="1:12" ht="11.15" customHeight="1">
      <c r="A11444" s="162" t="s">
        <v>15173</v>
      </c>
      <c r="B11444" s="59" t="s">
        <v>22450</v>
      </c>
      <c r="C11444" s="147" t="s">
        <v>20221</v>
      </c>
      <c r="D11444" s="701" t="s">
        <v>1129</v>
      </c>
      <c r="E11444" s="178">
        <v>2017</v>
      </c>
      <c r="F11444" s="178" t="s">
        <v>4520</v>
      </c>
      <c r="G11444" s="496"/>
      <c r="H11444" s="994" t="s">
        <v>20224</v>
      </c>
      <c r="I11444" s="11" t="s">
        <v>15174</v>
      </c>
      <c r="J11444" s="1285"/>
      <c r="K11444" s="1285"/>
      <c r="L11444" s="1285"/>
    </row>
    <row r="11445" spans="1:12" ht="11.15" customHeight="1">
      <c r="A11445" s="162" t="s">
        <v>15175</v>
      </c>
      <c r="B11445" s="59" t="s">
        <v>22451</v>
      </c>
      <c r="C11445" s="147" t="s">
        <v>20221</v>
      </c>
      <c r="D11445" s="701" t="s">
        <v>1129</v>
      </c>
      <c r="E11445" s="178">
        <v>2017</v>
      </c>
      <c r="F11445" s="178" t="s">
        <v>9678</v>
      </c>
      <c r="G11445" s="496"/>
      <c r="H11445" s="994" t="s">
        <v>20224</v>
      </c>
      <c r="I11445" s="11" t="s">
        <v>15176</v>
      </c>
      <c r="J11445" s="1285"/>
      <c r="K11445" s="1285"/>
      <c r="L11445" s="1285"/>
    </row>
    <row r="11446" spans="1:12" ht="11.15" customHeight="1">
      <c r="A11446" s="162" t="s">
        <v>15177</v>
      </c>
      <c r="B11446" s="177" t="s">
        <v>15178</v>
      </c>
      <c r="C11446" s="147"/>
      <c r="D11446" s="159"/>
      <c r="E11446" s="36"/>
      <c r="F11446" s="183"/>
      <c r="G11446" s="60"/>
      <c r="H11446" s="34"/>
      <c r="I11446" s="11"/>
    </row>
    <row r="11447" spans="1:12" ht="11.15" customHeight="1">
      <c r="A11447" s="162" t="s">
        <v>15179</v>
      </c>
      <c r="B11447" s="59" t="s">
        <v>22452</v>
      </c>
      <c r="C11447" s="147" t="s">
        <v>20221</v>
      </c>
      <c r="D11447" s="701" t="s">
        <v>1129</v>
      </c>
      <c r="E11447" s="178">
        <v>2013</v>
      </c>
      <c r="F11447" s="178" t="s">
        <v>7168</v>
      </c>
      <c r="G11447" s="496"/>
      <c r="H11447" s="994" t="s">
        <v>20277</v>
      </c>
      <c r="I11447" s="11" t="s">
        <v>15180</v>
      </c>
      <c r="J11447" s="1285"/>
      <c r="K11447" s="1285"/>
      <c r="L11447" s="1285"/>
    </row>
    <row r="11448" spans="1:12" ht="11.15" customHeight="1">
      <c r="A11448" s="162" t="s">
        <v>15181</v>
      </c>
      <c r="B11448" s="177" t="s">
        <v>15182</v>
      </c>
      <c r="C11448" s="147"/>
      <c r="D11448" s="159"/>
      <c r="E11448" s="36"/>
      <c r="F11448" s="183"/>
      <c r="G11448" s="60"/>
      <c r="H11448" s="34"/>
      <c r="I11448" s="11"/>
    </row>
    <row r="11449" spans="1:12" ht="11.15" customHeight="1">
      <c r="A11449" s="162" t="s">
        <v>15183</v>
      </c>
      <c r="B11449" s="59" t="s">
        <v>22453</v>
      </c>
      <c r="C11449" s="147" t="s">
        <v>20221</v>
      </c>
      <c r="D11449" s="701" t="s">
        <v>1129</v>
      </c>
      <c r="E11449" s="178">
        <v>2014</v>
      </c>
      <c r="F11449" s="178" t="s">
        <v>5257</v>
      </c>
      <c r="G11449" s="496"/>
      <c r="H11449" s="994" t="s">
        <v>20221</v>
      </c>
      <c r="I11449" s="11" t="s">
        <v>15184</v>
      </c>
      <c r="J11449" s="1285"/>
      <c r="K11449" s="1285"/>
      <c r="L11449" s="1285"/>
    </row>
    <row r="11450" spans="1:12" ht="11.15" customHeight="1">
      <c r="A11450" s="162" t="s">
        <v>15185</v>
      </c>
      <c r="B11450" s="177" t="s">
        <v>15083</v>
      </c>
      <c r="C11450" s="147"/>
      <c r="D11450" s="159"/>
      <c r="E11450" s="36"/>
      <c r="F11450" s="183"/>
      <c r="G11450" s="60"/>
      <c r="H11450" s="34"/>
      <c r="I11450" s="11"/>
    </row>
    <row r="11451" spans="1:12" ht="11.15" customHeight="1">
      <c r="A11451" s="162" t="s">
        <v>15186</v>
      </c>
      <c r="B11451" s="59" t="s">
        <v>22454</v>
      </c>
      <c r="C11451" s="147" t="s">
        <v>20221</v>
      </c>
      <c r="D11451" s="701" t="s">
        <v>1129</v>
      </c>
      <c r="E11451" s="178">
        <v>2012</v>
      </c>
      <c r="F11451" s="178" t="s">
        <v>4520</v>
      </c>
      <c r="G11451" s="496"/>
      <c r="H11451" s="994" t="s">
        <v>20221</v>
      </c>
      <c r="I11451" s="11" t="s">
        <v>15187</v>
      </c>
      <c r="J11451" s="1285"/>
      <c r="K11451" s="1285"/>
      <c r="L11451" s="1285"/>
    </row>
    <row r="11452" spans="1:12" ht="11.15" customHeight="1">
      <c r="A11452" s="162" t="s">
        <v>15188</v>
      </c>
      <c r="B11452" s="59" t="s">
        <v>22454</v>
      </c>
      <c r="C11452" s="147" t="s">
        <v>20221</v>
      </c>
      <c r="D11452" s="701" t="s">
        <v>1129</v>
      </c>
      <c r="E11452" s="178">
        <v>2011</v>
      </c>
      <c r="F11452" s="178" t="s">
        <v>4520</v>
      </c>
      <c r="G11452" s="496"/>
      <c r="H11452" s="994" t="s">
        <v>20277</v>
      </c>
      <c r="I11452" s="11" t="s">
        <v>15189</v>
      </c>
      <c r="J11452" s="1285"/>
      <c r="K11452" s="1285"/>
      <c r="L11452" s="1285"/>
    </row>
    <row r="11453" spans="1:12" ht="11.15" customHeight="1">
      <c r="A11453" s="162" t="s">
        <v>15190</v>
      </c>
      <c r="B11453" s="59" t="s">
        <v>22455</v>
      </c>
      <c r="C11453" s="147" t="s">
        <v>20221</v>
      </c>
      <c r="D11453" s="701" t="s">
        <v>1129</v>
      </c>
      <c r="E11453" s="178">
        <v>2012</v>
      </c>
      <c r="F11453" s="178" t="s">
        <v>4520</v>
      </c>
      <c r="G11453" s="496"/>
      <c r="H11453" s="994" t="s">
        <v>20224</v>
      </c>
      <c r="I11453" s="11" t="s">
        <v>15191</v>
      </c>
      <c r="J11453" s="1285"/>
      <c r="K11453" s="1285"/>
      <c r="L11453" s="1285"/>
    </row>
    <row r="11454" spans="1:12" ht="11.15" customHeight="1">
      <c r="A11454" s="162" t="s">
        <v>15192</v>
      </c>
      <c r="B11454" s="59" t="s">
        <v>22455</v>
      </c>
      <c r="C11454" s="147" t="s">
        <v>20221</v>
      </c>
      <c r="D11454" s="701" t="s">
        <v>1129</v>
      </c>
      <c r="E11454" s="178">
        <v>2010</v>
      </c>
      <c r="F11454" s="178" t="s">
        <v>4520</v>
      </c>
      <c r="G11454" s="496"/>
      <c r="H11454" s="994" t="s">
        <v>20224</v>
      </c>
      <c r="I11454" s="11" t="s">
        <v>15193</v>
      </c>
      <c r="J11454" s="1285"/>
      <c r="K11454" s="1285"/>
      <c r="L11454" s="1285"/>
    </row>
    <row r="11455" spans="1:12" ht="11.15" customHeight="1">
      <c r="A11455" s="162" t="s">
        <v>15194</v>
      </c>
      <c r="B11455" s="59" t="s">
        <v>22456</v>
      </c>
      <c r="C11455" s="147" t="s">
        <v>20221</v>
      </c>
      <c r="D11455" s="701" t="s">
        <v>1129</v>
      </c>
      <c r="E11455" s="178">
        <v>2022</v>
      </c>
      <c r="F11455" s="178" t="s">
        <v>4520</v>
      </c>
      <c r="G11455" s="496"/>
      <c r="H11455" s="994" t="s">
        <v>20221</v>
      </c>
      <c r="I11455" s="11" t="s">
        <v>15195</v>
      </c>
      <c r="J11455" s="1285"/>
      <c r="K11455" s="1285"/>
      <c r="L11455" s="1285"/>
    </row>
    <row r="11456" spans="1:12" ht="9.75" customHeight="1">
      <c r="A11456" s="162" t="s">
        <v>15196</v>
      </c>
      <c r="B11456" s="59" t="s">
        <v>22457</v>
      </c>
      <c r="C11456" s="147" t="s">
        <v>20221</v>
      </c>
      <c r="D11456" s="701" t="s">
        <v>1129</v>
      </c>
      <c r="E11456" s="178">
        <v>2018</v>
      </c>
      <c r="F11456" s="178" t="s">
        <v>4520</v>
      </c>
      <c r="G11456" s="496"/>
      <c r="H11456" s="994" t="s">
        <v>20221</v>
      </c>
      <c r="I11456" s="11" t="s">
        <v>15197</v>
      </c>
      <c r="J11456" s="1285"/>
      <c r="K11456" s="1285"/>
      <c r="L11456" s="1285"/>
    </row>
    <row r="11457" spans="1:12" ht="9.75" customHeight="1">
      <c r="A11457" s="162" t="s">
        <v>15198</v>
      </c>
      <c r="B11457" s="59" t="s">
        <v>22457</v>
      </c>
      <c r="C11457" s="147" t="s">
        <v>20221</v>
      </c>
      <c r="D11457" s="701" t="s">
        <v>1129</v>
      </c>
      <c r="E11457" s="178">
        <v>2015</v>
      </c>
      <c r="F11457" s="178" t="s">
        <v>4520</v>
      </c>
      <c r="G11457" s="496"/>
      <c r="H11457" s="994" t="s">
        <v>20277</v>
      </c>
      <c r="I11457" s="12" t="s">
        <v>15199</v>
      </c>
      <c r="J11457" s="1285"/>
      <c r="K11457" s="1285"/>
      <c r="L11457" s="1285"/>
    </row>
    <row r="11458" spans="1:12" ht="11.15" customHeight="1">
      <c r="A11458" s="162" t="s">
        <v>15200</v>
      </c>
      <c r="B11458" s="59" t="s">
        <v>22457</v>
      </c>
      <c r="C11458" s="147" t="s">
        <v>20221</v>
      </c>
      <c r="D11458" s="701" t="s">
        <v>1129</v>
      </c>
      <c r="E11458" s="178">
        <v>2011</v>
      </c>
      <c r="F11458" s="178" t="s">
        <v>4520</v>
      </c>
      <c r="G11458" s="496"/>
      <c r="H11458" s="994" t="s">
        <v>20224</v>
      </c>
      <c r="I11458" s="12" t="s">
        <v>15201</v>
      </c>
      <c r="J11458" s="1285"/>
      <c r="K11458" s="1285"/>
      <c r="L11458" s="1285"/>
    </row>
    <row r="11459" spans="1:12" ht="11.15" customHeight="1">
      <c r="A11459" s="162" t="s">
        <v>15202</v>
      </c>
      <c r="B11459" s="177" t="s">
        <v>15203</v>
      </c>
      <c r="C11459" s="147"/>
      <c r="D11459" s="129"/>
      <c r="E11459" s="185"/>
      <c r="F11459" s="185"/>
      <c r="G11459" s="185"/>
      <c r="H11459" s="185"/>
      <c r="I11459" s="11"/>
    </row>
    <row r="11460" spans="1:12" ht="11.15" customHeight="1">
      <c r="A11460" s="162" t="s">
        <v>15204</v>
      </c>
      <c r="B11460" s="59" t="s">
        <v>22458</v>
      </c>
      <c r="C11460" s="147" t="s">
        <v>20221</v>
      </c>
      <c r="D11460" s="701" t="s">
        <v>1129</v>
      </c>
      <c r="E11460" s="178">
        <v>2021</v>
      </c>
      <c r="F11460" s="178" t="s">
        <v>4520</v>
      </c>
      <c r="G11460" s="496"/>
      <c r="H11460" s="994" t="s">
        <v>20224</v>
      </c>
      <c r="I11460" s="11" t="s">
        <v>15205</v>
      </c>
      <c r="J11460" s="1285"/>
      <c r="K11460" s="1285"/>
      <c r="L11460" s="1285"/>
    </row>
    <row r="11461" spans="1:12" ht="11.15" customHeight="1">
      <c r="A11461" s="162" t="s">
        <v>15206</v>
      </c>
      <c r="B11461" s="185"/>
      <c r="C11461" s="185"/>
      <c r="D11461" s="185"/>
      <c r="E11461" s="185"/>
      <c r="F11461" s="185"/>
      <c r="G11461" s="185"/>
      <c r="H11461" s="185"/>
      <c r="I11461" s="11"/>
    </row>
    <row r="11462" spans="1:12" ht="11.15" customHeight="1">
      <c r="A11462" s="162" t="s">
        <v>15207</v>
      </c>
      <c r="B11462" s="185"/>
      <c r="C11462" s="185"/>
      <c r="D11462" s="185"/>
      <c r="E11462" s="185"/>
      <c r="F11462" s="185"/>
      <c r="G11462" s="185"/>
      <c r="H11462" s="185"/>
      <c r="I11462" s="11"/>
    </row>
    <row r="11463" spans="1:12" ht="11.15" customHeight="1">
      <c r="A11463" s="162" t="s">
        <v>15208</v>
      </c>
      <c r="B11463" s="185"/>
      <c r="C11463" s="185"/>
      <c r="D11463" s="185"/>
      <c r="E11463" s="185"/>
      <c r="F11463" s="185"/>
      <c r="G11463" s="185"/>
      <c r="H11463" s="185"/>
      <c r="I11463" s="11"/>
    </row>
    <row r="11464" spans="1:12" ht="11.15" customHeight="1">
      <c r="A11464" s="129" t="s">
        <v>3659</v>
      </c>
      <c r="B11464" s="185"/>
      <c r="C11464" s="147"/>
      <c r="D11464" s="185"/>
      <c r="E11464" s="185"/>
      <c r="F11464" s="185"/>
      <c r="G11464" s="185"/>
      <c r="H11464" s="185"/>
      <c r="I11464" s="11"/>
    </row>
    <row r="11465" spans="1:12" ht="11.15" customHeight="1">
      <c r="A11465" s="162" t="s">
        <v>15209</v>
      </c>
      <c r="B11465" s="185"/>
      <c r="C11465" s="147"/>
      <c r="D11465" s="185"/>
      <c r="E11465" s="185"/>
      <c r="F11465" s="185"/>
      <c r="G11465" s="185"/>
      <c r="H11465" s="185"/>
      <c r="I11465" s="11"/>
    </row>
    <row r="11466" spans="1:12" ht="11.15" customHeight="1">
      <c r="A11466" s="162" t="s">
        <v>15210</v>
      </c>
      <c r="B11466" s="185"/>
      <c r="C11466" s="147"/>
      <c r="D11466" s="185"/>
      <c r="E11466" s="185"/>
      <c r="F11466" s="185"/>
      <c r="G11466" s="185"/>
      <c r="H11466" s="185"/>
      <c r="I11466" s="11"/>
    </row>
    <row r="11467" spans="1:12" ht="11.15" customHeight="1">
      <c r="A11467" s="162" t="s">
        <v>15211</v>
      </c>
      <c r="B11467" s="185"/>
      <c r="C11467" s="147"/>
      <c r="D11467" s="185"/>
      <c r="E11467" s="185"/>
      <c r="F11467" s="185"/>
      <c r="G11467" s="185"/>
      <c r="H11467" s="185"/>
      <c r="I11467" s="11"/>
    </row>
    <row r="11468" spans="1:12" ht="11.15" customHeight="1">
      <c r="A11468" s="162" t="s">
        <v>15212</v>
      </c>
      <c r="B11468" s="185"/>
      <c r="C11468" s="147"/>
      <c r="D11468" s="185"/>
      <c r="E11468" s="185"/>
      <c r="F11468" s="185"/>
      <c r="G11468" s="185"/>
      <c r="H11468" s="185"/>
      <c r="I11468" s="11"/>
    </row>
    <row r="11469" spans="1:12" ht="11.15" customHeight="1">
      <c r="A11469" s="162" t="s">
        <v>15213</v>
      </c>
      <c r="B11469" s="185"/>
      <c r="C11469" s="147"/>
      <c r="D11469" s="185"/>
      <c r="E11469" s="185"/>
      <c r="F11469" s="185"/>
      <c r="G11469" s="185"/>
      <c r="H11469" s="185"/>
      <c r="I11469" s="11"/>
    </row>
    <row r="11470" spans="1:12" ht="11.15" customHeight="1">
      <c r="A11470" s="162" t="s">
        <v>15214</v>
      </c>
      <c r="B11470" s="177"/>
      <c r="C11470" s="147"/>
      <c r="D11470" s="159"/>
      <c r="E11470" s="36"/>
      <c r="F11470" s="183"/>
      <c r="G11470" s="60"/>
      <c r="H11470" s="34"/>
      <c r="I11470" s="11"/>
    </row>
    <row r="11471" spans="1:12" ht="11.15" customHeight="1">
      <c r="A11471" s="162" t="s">
        <v>15215</v>
      </c>
      <c r="B11471" s="185"/>
      <c r="C11471" s="147"/>
      <c r="D11471" s="185"/>
      <c r="E11471" s="185"/>
      <c r="F11471" s="185"/>
      <c r="G11471" s="185"/>
      <c r="H11471" s="185"/>
      <c r="I11471" s="11"/>
    </row>
    <row r="11472" spans="1:12" ht="11.15" customHeight="1">
      <c r="A11472" s="162" t="s">
        <v>11339</v>
      </c>
      <c r="B11472" s="185"/>
      <c r="C11472" s="147"/>
      <c r="D11472" s="185"/>
      <c r="E11472" s="185"/>
      <c r="F11472" s="185"/>
      <c r="G11472" s="185"/>
      <c r="H11472" s="185"/>
      <c r="I11472" s="11"/>
    </row>
    <row r="11473" spans="1:9" ht="11.15" customHeight="1">
      <c r="A11473" s="162" t="s">
        <v>15216</v>
      </c>
      <c r="B11473" s="185"/>
      <c r="C11473" s="147"/>
      <c r="D11473" s="129"/>
      <c r="E11473" s="185"/>
      <c r="F11473" s="185"/>
      <c r="G11473" s="185"/>
      <c r="H11473" s="185"/>
      <c r="I11473" s="11"/>
    </row>
    <row r="11474" spans="1:9" ht="9" customHeight="1">
      <c r="A11474" s="162" t="s">
        <v>9828</v>
      </c>
      <c r="B11474" s="185"/>
      <c r="C11474" s="147"/>
      <c r="D11474" s="129"/>
      <c r="E11474" s="185"/>
      <c r="F11474" s="185"/>
      <c r="G11474" s="185"/>
      <c r="H11474" s="185"/>
      <c r="I11474" s="11"/>
    </row>
    <row r="11475" spans="1:9" ht="9" customHeight="1">
      <c r="A11475" s="166" t="s">
        <v>15217</v>
      </c>
      <c r="B11475" s="185"/>
      <c r="C11475" s="147"/>
      <c r="D11475" s="129"/>
      <c r="E11475" s="185"/>
      <c r="F11475" s="185"/>
      <c r="G11475" s="185"/>
      <c r="H11475" s="185"/>
      <c r="I11475" s="11"/>
    </row>
    <row r="11476" spans="1:9" ht="9" customHeight="1">
      <c r="A11476" s="129" t="s">
        <v>15218</v>
      </c>
      <c r="B11476" s="185"/>
      <c r="C11476" s="147"/>
      <c r="D11476" s="129"/>
      <c r="E11476" s="185"/>
      <c r="F11476" s="185"/>
      <c r="G11476" s="185"/>
      <c r="H11476" s="185"/>
      <c r="I11476" s="11"/>
    </row>
    <row r="11477" spans="1:9" ht="11.15" customHeight="1">
      <c r="A11477" s="29"/>
      <c r="B11477" s="146" t="s">
        <v>15219</v>
      </c>
      <c r="C11477" s="147"/>
      <c r="D11477" s="159"/>
      <c r="E11477" s="36"/>
      <c r="F11477" s="183"/>
      <c r="G11477" s="496"/>
      <c r="H11477" s="34"/>
      <c r="I11477" s="11"/>
    </row>
    <row r="11478" spans="1:9" ht="9" customHeight="1">
      <c r="A11478" s="185"/>
      <c r="B11478" s="209" t="s">
        <v>15220</v>
      </c>
      <c r="C11478" s="147"/>
      <c r="D11478" s="159"/>
      <c r="E11478" s="36"/>
      <c r="F11478" s="183"/>
      <c r="G11478" s="496"/>
      <c r="H11478" s="34"/>
      <c r="I11478" s="11"/>
    </row>
    <row r="11479" spans="1:9" ht="9" customHeight="1">
      <c r="A11479" s="185"/>
      <c r="B11479" s="150" t="s">
        <v>15221</v>
      </c>
      <c r="C11479" s="147"/>
      <c r="D11479" s="159"/>
      <c r="E11479" s="36"/>
      <c r="F11479" s="178"/>
      <c r="G11479" s="496"/>
      <c r="H11479" s="36"/>
      <c r="I11479" s="11"/>
    </row>
    <row r="11480" spans="1:9" ht="9" customHeight="1">
      <c r="A11480" s="185"/>
      <c r="B11480" s="150" t="s">
        <v>15222</v>
      </c>
      <c r="C11480" s="147"/>
      <c r="D11480" s="159"/>
      <c r="E11480" s="36"/>
      <c r="F11480" s="183"/>
      <c r="G11480" s="496"/>
      <c r="H11480" s="34"/>
      <c r="I11480" s="11"/>
    </row>
    <row r="11481" spans="1:9" ht="9" customHeight="1">
      <c r="A11481" s="185"/>
      <c r="B11481" s="150" t="s">
        <v>15223</v>
      </c>
      <c r="C11481" s="147"/>
      <c r="D11481" s="159"/>
      <c r="E11481" s="36"/>
      <c r="F11481" s="183"/>
      <c r="G11481" s="496"/>
      <c r="H11481" s="34"/>
      <c r="I11481" s="11"/>
    </row>
    <row r="11482" spans="1:9" ht="9" customHeight="1">
      <c r="A11482" s="185"/>
      <c r="B11482" s="150" t="s">
        <v>15224</v>
      </c>
      <c r="C11482" s="147"/>
      <c r="D11482" s="159"/>
      <c r="E11482" s="36"/>
      <c r="F11482" s="183"/>
      <c r="G11482" s="496"/>
      <c r="H11482" s="34"/>
      <c r="I11482" s="11"/>
    </row>
    <row r="11483" spans="1:9" ht="9" customHeight="1">
      <c r="A11483" s="185"/>
      <c r="B11483" s="150" t="s">
        <v>15225</v>
      </c>
      <c r="C11483" s="147"/>
      <c r="D11483" s="159"/>
      <c r="E11483" s="36"/>
      <c r="F11483" s="183"/>
      <c r="G11483" s="496"/>
      <c r="H11483" s="34"/>
      <c r="I11483" s="11"/>
    </row>
    <row r="11484" spans="1:9" ht="9" customHeight="1">
      <c r="A11484" s="185"/>
      <c r="B11484" s="150" t="s">
        <v>15226</v>
      </c>
      <c r="C11484" s="147"/>
      <c r="D11484" s="159"/>
      <c r="E11484" s="36"/>
      <c r="F11484" s="183"/>
      <c r="G11484" s="496"/>
      <c r="H11484" s="34"/>
      <c r="I11484" s="11"/>
    </row>
    <row r="11485" spans="1:9" ht="9" customHeight="1">
      <c r="A11485" s="185"/>
      <c r="B11485" s="150" t="s">
        <v>15227</v>
      </c>
      <c r="C11485" s="147"/>
      <c r="D11485" s="159"/>
      <c r="E11485" s="36"/>
      <c r="F11485" s="183"/>
      <c r="G11485" s="496"/>
      <c r="H11485" s="34"/>
      <c r="I11485" s="11"/>
    </row>
    <row r="11486" spans="1:9" ht="9" customHeight="1">
      <c r="A11486" s="185"/>
      <c r="B11486" s="152" t="s">
        <v>15228</v>
      </c>
      <c r="C11486" s="147"/>
      <c r="D11486" s="159"/>
      <c r="E11486" s="36"/>
      <c r="F11486" s="183"/>
      <c r="G11486" s="496"/>
      <c r="H11486" s="34"/>
      <c r="I11486" s="11"/>
    </row>
    <row r="11487" spans="1:9" ht="9" customHeight="1">
      <c r="A11487" s="185"/>
      <c r="B11487" s="150" t="s">
        <v>15229</v>
      </c>
      <c r="C11487" s="147"/>
      <c r="D11487" s="159"/>
      <c r="E11487" s="36"/>
      <c r="F11487" s="183"/>
      <c r="G11487" s="496"/>
      <c r="H11487" s="34"/>
      <c r="I11487" s="11"/>
    </row>
    <row r="11488" spans="1:9" ht="9" customHeight="1">
      <c r="A11488" s="185"/>
      <c r="B11488" s="150" t="s">
        <v>15230</v>
      </c>
      <c r="C11488" s="147"/>
      <c r="D11488" s="159"/>
      <c r="E11488" s="36"/>
      <c r="F11488" s="183"/>
      <c r="G11488" s="496"/>
      <c r="H11488" s="34"/>
      <c r="I11488" s="11"/>
    </row>
    <row r="11489" spans="1:12" ht="9" customHeight="1">
      <c r="A11489" s="185"/>
      <c r="B11489" s="150" t="s">
        <v>15231</v>
      </c>
      <c r="C11489" s="147"/>
      <c r="D11489" s="159"/>
      <c r="E11489" s="36"/>
      <c r="F11489" s="183"/>
      <c r="G11489" s="496"/>
      <c r="H11489" s="34"/>
      <c r="I11489" s="11"/>
    </row>
    <row r="11490" spans="1:12" ht="9" customHeight="1">
      <c r="A11490" s="185"/>
      <c r="B11490" s="150" t="s">
        <v>15232</v>
      </c>
      <c r="C11490" s="147"/>
      <c r="D11490" s="159"/>
      <c r="E11490" s="36"/>
      <c r="F11490" s="183"/>
      <c r="G11490" s="496"/>
      <c r="H11490" s="34"/>
      <c r="I11490" s="11"/>
    </row>
    <row r="11491" spans="1:12" ht="9" customHeight="1">
      <c r="A11491" s="185"/>
      <c r="B11491" s="150" t="s">
        <v>15233</v>
      </c>
      <c r="C11491" s="147"/>
      <c r="D11491" s="159"/>
      <c r="E11491" s="36"/>
      <c r="F11491" s="183"/>
      <c r="G11491" s="496"/>
      <c r="H11491" s="34"/>
      <c r="I11491" s="11"/>
    </row>
    <row r="11492" spans="1:12" ht="9" customHeight="1">
      <c r="A11492" s="29"/>
      <c r="B11492" s="150" t="s">
        <v>15234</v>
      </c>
      <c r="C11492" s="147"/>
      <c r="D11492" s="159"/>
      <c r="E11492" s="90"/>
      <c r="F11492" s="59"/>
      <c r="G11492" s="1191"/>
      <c r="H11492" s="90"/>
      <c r="I11492" s="11"/>
    </row>
    <row r="11493" spans="1:12" ht="9" customHeight="1">
      <c r="A11493" s="29"/>
      <c r="B11493" s="150" t="s">
        <v>15235</v>
      </c>
      <c r="C11493" s="147"/>
      <c r="D11493" s="159"/>
      <c r="E11493" s="90"/>
      <c r="F11493" s="59"/>
      <c r="G11493" s="1191"/>
      <c r="H11493" s="90"/>
      <c r="I11493" s="11"/>
    </row>
    <row r="11494" spans="1:12" ht="9" customHeight="1">
      <c r="A11494" s="29"/>
      <c r="B11494" s="150" t="s">
        <v>15236</v>
      </c>
      <c r="C11494" s="147"/>
      <c r="D11494" s="159"/>
      <c r="E11494" s="90"/>
      <c r="F11494" s="59"/>
      <c r="G11494" s="1191"/>
      <c r="H11494" s="90"/>
      <c r="I11494" s="11"/>
    </row>
    <row r="11495" spans="1:12" ht="9" customHeight="1">
      <c r="A11495" s="29"/>
      <c r="B11495" s="150" t="s">
        <v>15237</v>
      </c>
      <c r="C11495" s="147"/>
      <c r="D11495" s="159"/>
      <c r="E11495" s="90"/>
      <c r="F11495" s="59"/>
      <c r="G11495" s="1191"/>
      <c r="H11495" s="90"/>
      <c r="I11495" s="11"/>
    </row>
    <row r="11496" spans="1:12" ht="9" customHeight="1">
      <c r="A11496" s="29"/>
      <c r="B11496" s="150" t="s">
        <v>15238</v>
      </c>
      <c r="C11496" s="147"/>
      <c r="D11496" s="159"/>
      <c r="E11496" s="90"/>
      <c r="F11496" s="59"/>
      <c r="G11496" s="1191"/>
      <c r="H11496" s="90"/>
      <c r="I11496" s="11"/>
    </row>
    <row r="11497" spans="1:12" ht="9" customHeight="1">
      <c r="A11497" s="29"/>
      <c r="B11497" s="150" t="s">
        <v>15239</v>
      </c>
      <c r="C11497" s="147"/>
      <c r="D11497" s="159"/>
      <c r="E11497" s="90"/>
      <c r="F11497" s="59"/>
      <c r="G11497" s="1191"/>
      <c r="H11497" s="90"/>
      <c r="I11497" s="11"/>
    </row>
    <row r="11498" spans="1:12" ht="9" customHeight="1">
      <c r="A11498" s="29"/>
      <c r="B11498" s="150" t="s">
        <v>15240</v>
      </c>
      <c r="C11498" s="147"/>
      <c r="D11498" s="159"/>
      <c r="E11498" s="90"/>
      <c r="F11498" s="59"/>
      <c r="G11498" s="1191"/>
      <c r="H11498" s="90"/>
      <c r="I11498" s="11"/>
    </row>
    <row r="11499" spans="1:12" ht="9" customHeight="1">
      <c r="A11499" s="185"/>
      <c r="B11499" s="209" t="s">
        <v>15241</v>
      </c>
      <c r="C11499" s="147"/>
      <c r="D11499" s="159"/>
      <c r="E11499" s="36"/>
      <c r="F11499" s="183"/>
      <c r="G11499" s="496"/>
      <c r="H11499" s="34"/>
      <c r="I11499" s="11"/>
    </row>
    <row r="11500" spans="1:12" ht="9" customHeight="1" thickBot="1">
      <c r="A11500" s="185"/>
      <c r="B11500" s="209" t="s">
        <v>15242</v>
      </c>
      <c r="C11500" s="147"/>
      <c r="D11500" s="159"/>
      <c r="E11500" s="36"/>
      <c r="F11500" s="183"/>
      <c r="G11500" s="496"/>
      <c r="H11500" s="34"/>
      <c r="I11500" s="11"/>
    </row>
    <row r="11501" spans="1:12" ht="11.15" customHeight="1">
      <c r="A11501" s="674" t="s">
        <v>15243</v>
      </c>
      <c r="B11501" s="177" t="s">
        <v>15068</v>
      </c>
      <c r="C11501" s="147"/>
      <c r="D11501" s="159"/>
      <c r="E11501" s="36"/>
      <c r="F11501" s="183"/>
      <c r="G11501" s="496"/>
      <c r="H11501" s="34"/>
      <c r="I11501" s="11"/>
    </row>
    <row r="11502" spans="1:12" ht="11.15" customHeight="1" thickBot="1">
      <c r="A11502" s="675" t="s">
        <v>15244</v>
      </c>
      <c r="B11502" s="59" t="s">
        <v>22459</v>
      </c>
      <c r="C11502" s="147" t="s">
        <v>20221</v>
      </c>
      <c r="D11502" s="701" t="s">
        <v>1129</v>
      </c>
      <c r="E11502" s="178">
        <v>2023</v>
      </c>
      <c r="F11502" s="178" t="s">
        <v>4520</v>
      </c>
      <c r="G11502" s="496"/>
      <c r="H11502" s="994" t="s">
        <v>20221</v>
      </c>
      <c r="I11502" s="11" t="s">
        <v>15245</v>
      </c>
      <c r="J11502" s="1285"/>
      <c r="K11502" s="1285"/>
      <c r="L11502" s="1285"/>
    </row>
    <row r="11503" spans="1:12" ht="11.15" customHeight="1">
      <c r="A11503" s="451" t="s">
        <v>15246</v>
      </c>
      <c r="B11503" s="59" t="s">
        <v>22459</v>
      </c>
      <c r="C11503" s="147" t="s">
        <v>20221</v>
      </c>
      <c r="D11503" s="701" t="s">
        <v>1129</v>
      </c>
      <c r="E11503" s="178">
        <v>2022</v>
      </c>
      <c r="F11503" s="178" t="s">
        <v>4520</v>
      </c>
      <c r="G11503" s="496"/>
      <c r="H11503" s="994" t="s">
        <v>20221</v>
      </c>
      <c r="I11503" s="11" t="s">
        <v>15247</v>
      </c>
      <c r="J11503" s="1285"/>
      <c r="K11503" s="1285"/>
      <c r="L11503" s="1285"/>
    </row>
    <row r="11504" spans="1:12" ht="11.15" customHeight="1">
      <c r="A11504" s="29" t="s">
        <v>15248</v>
      </c>
      <c r="B11504" s="59" t="s">
        <v>22459</v>
      </c>
      <c r="C11504" s="147" t="s">
        <v>20221</v>
      </c>
      <c r="D11504" s="701" t="s">
        <v>1129</v>
      </c>
      <c r="E11504" s="178">
        <v>2021</v>
      </c>
      <c r="F11504" s="178" t="s">
        <v>4520</v>
      </c>
      <c r="G11504" s="496"/>
      <c r="H11504" s="994" t="s">
        <v>20221</v>
      </c>
      <c r="I11504" s="11" t="s">
        <v>15249</v>
      </c>
      <c r="J11504" s="1285"/>
      <c r="K11504" s="1285"/>
      <c r="L11504" s="1285"/>
    </row>
    <row r="11505" spans="1:12" ht="11.15" customHeight="1">
      <c r="A11505" s="29" t="s">
        <v>15250</v>
      </c>
      <c r="B11505" s="59" t="s">
        <v>22459</v>
      </c>
      <c r="C11505" s="147" t="s">
        <v>20221</v>
      </c>
      <c r="D11505" s="701" t="s">
        <v>1129</v>
      </c>
      <c r="E11505" s="178">
        <v>2020</v>
      </c>
      <c r="F11505" s="178" t="s">
        <v>4520</v>
      </c>
      <c r="G11505" s="496"/>
      <c r="H11505" s="994" t="s">
        <v>20221</v>
      </c>
      <c r="I11505" s="11" t="s">
        <v>15251</v>
      </c>
      <c r="J11505" s="1285"/>
      <c r="K11505" s="1285"/>
      <c r="L11505" s="1285"/>
    </row>
    <row r="11506" spans="1:12" ht="11.15" customHeight="1">
      <c r="A11506" s="29" t="s">
        <v>15252</v>
      </c>
      <c r="B11506" s="177" t="s">
        <v>15077</v>
      </c>
      <c r="C11506" s="147"/>
      <c r="D11506" s="159"/>
      <c r="E11506" s="36"/>
      <c r="F11506" s="183"/>
      <c r="G11506" s="496"/>
      <c r="H11506" s="34"/>
      <c r="I11506" s="11"/>
    </row>
    <row r="11507" spans="1:12" ht="11.15" customHeight="1">
      <c r="A11507" s="29" t="s">
        <v>15253</v>
      </c>
      <c r="B11507" s="59" t="s">
        <v>22460</v>
      </c>
      <c r="C11507" s="147" t="s">
        <v>20221</v>
      </c>
      <c r="D11507" s="701" t="s">
        <v>1129</v>
      </c>
      <c r="E11507" s="178">
        <v>2022</v>
      </c>
      <c r="F11507" s="178" t="s">
        <v>4520</v>
      </c>
      <c r="G11507" s="496"/>
      <c r="H11507" s="994" t="s">
        <v>20221</v>
      </c>
      <c r="I11507" s="11" t="s">
        <v>15254</v>
      </c>
      <c r="J11507" s="1285"/>
      <c r="K11507" s="1285"/>
      <c r="L11507" s="1285"/>
    </row>
    <row r="11508" spans="1:12" ht="11.15" customHeight="1">
      <c r="A11508" s="29" t="s">
        <v>15255</v>
      </c>
      <c r="B11508" s="59" t="s">
        <v>22461</v>
      </c>
      <c r="C11508" s="147" t="s">
        <v>20221</v>
      </c>
      <c r="D11508" s="701" t="s">
        <v>1129</v>
      </c>
      <c r="E11508" s="178">
        <v>2023</v>
      </c>
      <c r="F11508" s="178" t="s">
        <v>4520</v>
      </c>
      <c r="G11508" s="496"/>
      <c r="H11508" s="994" t="s">
        <v>20221</v>
      </c>
      <c r="I11508" s="11" t="s">
        <v>15256</v>
      </c>
      <c r="J11508" s="1285"/>
      <c r="K11508" s="1285"/>
      <c r="L11508" s="1285"/>
    </row>
    <row r="11509" spans="1:12" ht="11.15" customHeight="1">
      <c r="A11509" s="29" t="s">
        <v>15257</v>
      </c>
      <c r="B11509" s="59" t="s">
        <v>22461</v>
      </c>
      <c r="C11509" s="147" t="s">
        <v>20221</v>
      </c>
      <c r="D11509" s="701" t="s">
        <v>1129</v>
      </c>
      <c r="E11509" s="178">
        <v>2022</v>
      </c>
      <c r="F11509" s="178" t="s">
        <v>4520</v>
      </c>
      <c r="G11509" s="496"/>
      <c r="H11509" s="994" t="s">
        <v>20221</v>
      </c>
      <c r="I11509" s="11" t="s">
        <v>15258</v>
      </c>
      <c r="J11509" s="1285"/>
      <c r="K11509" s="1285"/>
      <c r="L11509" s="1285"/>
    </row>
    <row r="11510" spans="1:12" ht="11.15" customHeight="1">
      <c r="A11510" s="181" t="s">
        <v>15259</v>
      </c>
      <c r="B11510" s="59" t="s">
        <v>22461</v>
      </c>
      <c r="C11510" s="147" t="s">
        <v>20221</v>
      </c>
      <c r="D11510" s="701" t="s">
        <v>1129</v>
      </c>
      <c r="E11510" s="178">
        <v>2020</v>
      </c>
      <c r="F11510" s="178" t="s">
        <v>4520</v>
      </c>
      <c r="G11510" s="496"/>
      <c r="H11510" s="994" t="s">
        <v>20221</v>
      </c>
      <c r="I11510" s="11" t="s">
        <v>15260</v>
      </c>
      <c r="J11510" s="1285"/>
      <c r="K11510" s="1285"/>
      <c r="L11510" s="1285"/>
    </row>
    <row r="11511" spans="1:12" ht="11.15" customHeight="1">
      <c r="A11511" s="181" t="s">
        <v>15261</v>
      </c>
      <c r="B11511" s="59" t="s">
        <v>22461</v>
      </c>
      <c r="C11511" s="147" t="s">
        <v>20221</v>
      </c>
      <c r="D11511" s="701" t="s">
        <v>1129</v>
      </c>
      <c r="E11511" s="178">
        <v>2019</v>
      </c>
      <c r="F11511" s="178" t="s">
        <v>4520</v>
      </c>
      <c r="G11511" s="496"/>
      <c r="H11511" s="994" t="s">
        <v>20277</v>
      </c>
      <c r="I11511" s="11" t="s">
        <v>15262</v>
      </c>
      <c r="J11511" s="1285"/>
      <c r="K11511" s="1285"/>
      <c r="L11511" s="1285"/>
    </row>
    <row r="11512" spans="1:12" ht="11.15" customHeight="1">
      <c r="A11512" s="129" t="s">
        <v>1077</v>
      </c>
      <c r="B11512" s="59" t="s">
        <v>22462</v>
      </c>
      <c r="C11512" s="147" t="s">
        <v>20221</v>
      </c>
      <c r="D11512" s="701" t="s">
        <v>1129</v>
      </c>
      <c r="E11512" s="178">
        <v>2023</v>
      </c>
      <c r="F11512" s="178" t="s">
        <v>4520</v>
      </c>
      <c r="G11512" s="496"/>
      <c r="H11512" s="994" t="s">
        <v>20221</v>
      </c>
      <c r="I11512" s="11" t="s">
        <v>15263</v>
      </c>
      <c r="J11512" s="1285"/>
      <c r="K11512" s="1285"/>
      <c r="L11512" s="1285"/>
    </row>
    <row r="11513" spans="1:12" ht="11.15" customHeight="1">
      <c r="A11513" s="162" t="s">
        <v>15264</v>
      </c>
      <c r="B11513" s="59" t="s">
        <v>22462</v>
      </c>
      <c r="C11513" s="147" t="s">
        <v>20221</v>
      </c>
      <c r="D11513" s="701" t="s">
        <v>1129</v>
      </c>
      <c r="E11513" s="178">
        <v>2022</v>
      </c>
      <c r="F11513" s="178" t="s">
        <v>4520</v>
      </c>
      <c r="G11513" s="496"/>
      <c r="H11513" s="994" t="s">
        <v>20221</v>
      </c>
      <c r="I11513" s="11" t="s">
        <v>15265</v>
      </c>
      <c r="J11513" s="1285"/>
      <c r="K11513" s="1285"/>
      <c r="L11513" s="1285"/>
    </row>
    <row r="11514" spans="1:12" ht="11.15" customHeight="1">
      <c r="A11514" s="162" t="s">
        <v>15266</v>
      </c>
      <c r="B11514" s="59" t="s">
        <v>22462</v>
      </c>
      <c r="C11514" s="147" t="s">
        <v>20221</v>
      </c>
      <c r="D11514" s="701" t="s">
        <v>1129</v>
      </c>
      <c r="E11514" s="178">
        <v>2021</v>
      </c>
      <c r="F11514" s="178" t="s">
        <v>4520</v>
      </c>
      <c r="G11514" s="496"/>
      <c r="H11514" s="994" t="s">
        <v>20221</v>
      </c>
      <c r="I11514" s="11" t="s">
        <v>15267</v>
      </c>
      <c r="J11514" s="1285"/>
      <c r="K11514" s="1285"/>
      <c r="L11514" s="1285"/>
    </row>
    <row r="11515" spans="1:12" ht="11.15" customHeight="1">
      <c r="A11515" s="162" t="s">
        <v>15268</v>
      </c>
      <c r="B11515" s="59" t="s">
        <v>22462</v>
      </c>
      <c r="C11515" s="147" t="s">
        <v>20221</v>
      </c>
      <c r="D11515" s="701" t="s">
        <v>1129</v>
      </c>
      <c r="E11515" s="178">
        <v>2020</v>
      </c>
      <c r="F11515" s="178" t="s">
        <v>4520</v>
      </c>
      <c r="G11515" s="496"/>
      <c r="H11515" s="994" t="s">
        <v>20221</v>
      </c>
      <c r="I11515" s="11" t="s">
        <v>15269</v>
      </c>
      <c r="J11515" s="1285"/>
      <c r="K11515" s="1285"/>
      <c r="L11515" s="1285"/>
    </row>
    <row r="11516" spans="1:12" ht="11.15" customHeight="1">
      <c r="A11516" s="162" t="s">
        <v>15270</v>
      </c>
      <c r="B11516" s="59" t="s">
        <v>22462</v>
      </c>
      <c r="C11516" s="147" t="s">
        <v>20221</v>
      </c>
      <c r="D11516" s="701" t="s">
        <v>1129</v>
      </c>
      <c r="E11516" s="178">
        <v>2019</v>
      </c>
      <c r="F11516" s="178" t="s">
        <v>4520</v>
      </c>
      <c r="G11516" s="496"/>
      <c r="H11516" s="994" t="s">
        <v>20221</v>
      </c>
      <c r="I11516" s="11" t="s">
        <v>15271</v>
      </c>
      <c r="J11516" s="1285"/>
      <c r="K11516" s="1285"/>
      <c r="L11516" s="1285"/>
    </row>
    <row r="11517" spans="1:12" ht="11.15" customHeight="1">
      <c r="A11517" s="162" t="s">
        <v>15272</v>
      </c>
      <c r="B11517" s="59" t="s">
        <v>22463</v>
      </c>
      <c r="C11517" s="147" t="s">
        <v>20221</v>
      </c>
      <c r="D11517" s="701" t="s">
        <v>1129</v>
      </c>
      <c r="E11517" s="178">
        <v>2023</v>
      </c>
      <c r="F11517" s="178" t="s">
        <v>4520</v>
      </c>
      <c r="G11517" s="496"/>
      <c r="H11517" s="994" t="s">
        <v>20221</v>
      </c>
      <c r="I11517" s="11" t="s">
        <v>15273</v>
      </c>
      <c r="J11517" s="1285"/>
      <c r="K11517" s="1285"/>
      <c r="L11517" s="1285"/>
    </row>
    <row r="11518" spans="1:12" ht="11.15" customHeight="1">
      <c r="A11518" s="291" t="s">
        <v>15274</v>
      </c>
      <c r="B11518" s="59" t="s">
        <v>22463</v>
      </c>
      <c r="C11518" s="147" t="s">
        <v>20221</v>
      </c>
      <c r="D11518" s="701" t="s">
        <v>1129</v>
      </c>
      <c r="E11518" s="178">
        <v>2022</v>
      </c>
      <c r="F11518" s="178" t="s">
        <v>4520</v>
      </c>
      <c r="G11518" s="496"/>
      <c r="H11518" s="994" t="s">
        <v>20221</v>
      </c>
      <c r="I11518" s="11" t="s">
        <v>15275</v>
      </c>
      <c r="J11518" s="1285"/>
      <c r="K11518" s="1285"/>
      <c r="L11518" s="1285"/>
    </row>
    <row r="11519" spans="1:12" ht="11.15" customHeight="1">
      <c r="A11519" s="162" t="s">
        <v>15276</v>
      </c>
      <c r="B11519" s="59" t="s">
        <v>22463</v>
      </c>
      <c r="C11519" s="147" t="s">
        <v>20221</v>
      </c>
      <c r="D11519" s="701" t="s">
        <v>1129</v>
      </c>
      <c r="E11519" s="178">
        <v>2021</v>
      </c>
      <c r="F11519" s="178" t="s">
        <v>4520</v>
      </c>
      <c r="G11519" s="496"/>
      <c r="H11519" s="994" t="s">
        <v>20221</v>
      </c>
      <c r="I11519" s="11" t="s">
        <v>15277</v>
      </c>
      <c r="J11519" s="1285"/>
      <c r="K11519" s="1285"/>
      <c r="L11519" s="1285"/>
    </row>
    <row r="11520" spans="1:12" ht="11.15" customHeight="1">
      <c r="A11520" s="162" t="s">
        <v>15278</v>
      </c>
      <c r="B11520" s="59" t="s">
        <v>22463</v>
      </c>
      <c r="C11520" s="147" t="s">
        <v>20221</v>
      </c>
      <c r="D11520" s="701" t="s">
        <v>1129</v>
      </c>
      <c r="E11520" s="178">
        <v>2020</v>
      </c>
      <c r="F11520" s="178" t="s">
        <v>4520</v>
      </c>
      <c r="G11520" s="496"/>
      <c r="H11520" s="994" t="s">
        <v>20221</v>
      </c>
      <c r="I11520" s="11" t="s">
        <v>15279</v>
      </c>
      <c r="J11520" s="1285"/>
      <c r="K11520" s="1285"/>
      <c r="L11520" s="1285"/>
    </row>
    <row r="11521" spans="1:12" ht="11.15" customHeight="1">
      <c r="A11521" s="162" t="s">
        <v>15280</v>
      </c>
      <c r="B11521" s="59" t="s">
        <v>22463</v>
      </c>
      <c r="C11521" s="147" t="s">
        <v>20221</v>
      </c>
      <c r="D11521" s="701" t="s">
        <v>1129</v>
      </c>
      <c r="E11521" s="178">
        <v>2019</v>
      </c>
      <c r="F11521" s="178" t="s">
        <v>4520</v>
      </c>
      <c r="G11521" s="496"/>
      <c r="H11521" s="994" t="s">
        <v>20221</v>
      </c>
      <c r="I11521" s="11" t="s">
        <v>15281</v>
      </c>
      <c r="J11521" s="1285"/>
      <c r="K11521" s="1285"/>
      <c r="L11521" s="1285"/>
    </row>
    <row r="11522" spans="1:12" ht="11.15" customHeight="1">
      <c r="A11522" s="162" t="s">
        <v>15282</v>
      </c>
      <c r="B11522" s="59" t="s">
        <v>22463</v>
      </c>
      <c r="C11522" s="147" t="s">
        <v>20221</v>
      </c>
      <c r="D11522" s="701" t="s">
        <v>1129</v>
      </c>
      <c r="E11522" s="178">
        <v>2018</v>
      </c>
      <c r="F11522" s="178" t="s">
        <v>4520</v>
      </c>
      <c r="G11522" s="496"/>
      <c r="H11522" s="994" t="s">
        <v>20221</v>
      </c>
      <c r="I11522" s="11" t="s">
        <v>15283</v>
      </c>
      <c r="J11522" s="1285"/>
      <c r="K11522" s="1285"/>
      <c r="L11522" s="1285"/>
    </row>
    <row r="11523" spans="1:12" ht="11.15" customHeight="1">
      <c r="A11523" s="162" t="s">
        <v>15284</v>
      </c>
      <c r="B11523" s="59" t="s">
        <v>22463</v>
      </c>
      <c r="C11523" s="147" t="s">
        <v>20221</v>
      </c>
      <c r="D11523" s="701" t="s">
        <v>1129</v>
      </c>
      <c r="E11523" s="178">
        <v>2017</v>
      </c>
      <c r="F11523" s="178" t="s">
        <v>4520</v>
      </c>
      <c r="G11523" s="496"/>
      <c r="H11523" s="994" t="s">
        <v>20221</v>
      </c>
      <c r="I11523" s="11" t="s">
        <v>15285</v>
      </c>
      <c r="J11523" s="1285"/>
      <c r="K11523" s="1285"/>
      <c r="L11523" s="1285"/>
    </row>
    <row r="11524" spans="1:12" ht="11.15" customHeight="1">
      <c r="A11524" s="129" t="s">
        <v>15286</v>
      </c>
      <c r="B11524" s="177" t="s">
        <v>15287</v>
      </c>
      <c r="C11524" s="147"/>
      <c r="D11524" s="159"/>
      <c r="E11524" s="36"/>
      <c r="F11524" s="183"/>
      <c r="G11524" s="496"/>
      <c r="H11524" s="34"/>
      <c r="I11524" s="11"/>
    </row>
    <row r="11525" spans="1:12" ht="11.15" customHeight="1">
      <c r="A11525" s="162" t="s">
        <v>15288</v>
      </c>
      <c r="B11525" s="59" t="s">
        <v>22464</v>
      </c>
      <c r="C11525" s="147" t="s">
        <v>20221</v>
      </c>
      <c r="D11525" s="701" t="s">
        <v>1129</v>
      </c>
      <c r="E11525" s="178">
        <v>2023</v>
      </c>
      <c r="F11525" s="178" t="s">
        <v>5257</v>
      </c>
      <c r="G11525" s="496"/>
      <c r="H11525" s="994" t="s">
        <v>20224</v>
      </c>
      <c r="I11525" s="11" t="s">
        <v>15289</v>
      </c>
      <c r="J11525" s="1285"/>
      <c r="K11525" s="1285"/>
      <c r="L11525" s="1285"/>
    </row>
    <row r="11526" spans="1:12" ht="11.15" customHeight="1">
      <c r="A11526" s="162" t="s">
        <v>15290</v>
      </c>
      <c r="B11526" s="59" t="s">
        <v>22464</v>
      </c>
      <c r="C11526" s="147" t="s">
        <v>20221</v>
      </c>
      <c r="D11526" s="701" t="s">
        <v>1129</v>
      </c>
      <c r="E11526" s="178">
        <v>2022</v>
      </c>
      <c r="F11526" s="178" t="s">
        <v>5257</v>
      </c>
      <c r="G11526" s="496"/>
      <c r="H11526" s="994" t="s">
        <v>20224</v>
      </c>
      <c r="I11526" s="11" t="s">
        <v>15291</v>
      </c>
      <c r="J11526" s="1285"/>
      <c r="K11526" s="1285"/>
      <c r="L11526" s="1285"/>
    </row>
    <row r="11527" spans="1:12" ht="11.15" customHeight="1">
      <c r="A11527" s="162" t="s">
        <v>15292</v>
      </c>
      <c r="B11527" s="59" t="s">
        <v>22464</v>
      </c>
      <c r="C11527" s="147" t="s">
        <v>20221</v>
      </c>
      <c r="D11527" s="701" t="s">
        <v>1129</v>
      </c>
      <c r="E11527" s="178">
        <v>2020</v>
      </c>
      <c r="F11527" s="178" t="s">
        <v>5257</v>
      </c>
      <c r="G11527" s="496"/>
      <c r="H11527" s="994" t="s">
        <v>20224</v>
      </c>
      <c r="I11527" s="11" t="s">
        <v>15293</v>
      </c>
      <c r="J11527" s="1285"/>
      <c r="K11527" s="1285"/>
      <c r="L11527" s="1285"/>
    </row>
    <row r="11528" spans="1:12" ht="11.15" customHeight="1">
      <c r="A11528" s="162" t="s">
        <v>15294</v>
      </c>
      <c r="B11528" s="59" t="s">
        <v>22464</v>
      </c>
      <c r="C11528" s="147" t="s">
        <v>20221</v>
      </c>
      <c r="D11528" s="701" t="s">
        <v>1129</v>
      </c>
      <c r="E11528" s="178">
        <v>2019</v>
      </c>
      <c r="F11528" s="178" t="s">
        <v>5257</v>
      </c>
      <c r="G11528" s="496"/>
      <c r="H11528" s="994" t="s">
        <v>20224</v>
      </c>
      <c r="I11528" s="11" t="s">
        <v>15295</v>
      </c>
      <c r="J11528" s="1285"/>
      <c r="K11528" s="1285"/>
      <c r="L11528" s="1285"/>
    </row>
    <row r="11529" spans="1:12" ht="11.15" customHeight="1">
      <c r="A11529" s="162" t="s">
        <v>15296</v>
      </c>
      <c r="B11529" s="59" t="s">
        <v>22465</v>
      </c>
      <c r="C11529" s="147" t="s">
        <v>20221</v>
      </c>
      <c r="D11529" s="701" t="s">
        <v>1129</v>
      </c>
      <c r="E11529" s="178">
        <v>2023</v>
      </c>
      <c r="F11529" s="178" t="s">
        <v>5257</v>
      </c>
      <c r="G11529" s="496"/>
      <c r="H11529" s="994" t="s">
        <v>20224</v>
      </c>
      <c r="I11529" s="11" t="s">
        <v>15297</v>
      </c>
      <c r="J11529" s="1285"/>
      <c r="K11529" s="1285"/>
      <c r="L11529" s="1285"/>
    </row>
    <row r="11530" spans="1:12" ht="11.15" customHeight="1">
      <c r="A11530" s="162" t="s">
        <v>15298</v>
      </c>
      <c r="B11530" s="59" t="s">
        <v>22465</v>
      </c>
      <c r="C11530" s="147" t="s">
        <v>20221</v>
      </c>
      <c r="D11530" s="701" t="s">
        <v>1129</v>
      </c>
      <c r="E11530" s="178">
        <v>2022</v>
      </c>
      <c r="F11530" s="178" t="s">
        <v>5257</v>
      </c>
      <c r="G11530" s="496"/>
      <c r="H11530" s="994" t="s">
        <v>20224</v>
      </c>
      <c r="I11530" s="11" t="s">
        <v>15299</v>
      </c>
      <c r="J11530" s="1285"/>
      <c r="K11530" s="1285"/>
      <c r="L11530" s="1285"/>
    </row>
    <row r="11531" spans="1:12" ht="11.15" customHeight="1">
      <c r="A11531" s="162" t="s">
        <v>15300</v>
      </c>
      <c r="B11531" s="59" t="s">
        <v>22465</v>
      </c>
      <c r="C11531" s="147" t="s">
        <v>20221</v>
      </c>
      <c r="D11531" s="701" t="s">
        <v>1129</v>
      </c>
      <c r="E11531" s="178">
        <v>2020</v>
      </c>
      <c r="F11531" s="178" t="s">
        <v>5257</v>
      </c>
      <c r="G11531" s="496"/>
      <c r="H11531" s="994" t="s">
        <v>20224</v>
      </c>
      <c r="I11531" s="11" t="s">
        <v>15301</v>
      </c>
      <c r="J11531" s="1285"/>
      <c r="K11531" s="1285"/>
      <c r="L11531" s="1285"/>
    </row>
    <row r="11532" spans="1:12" ht="11.15" customHeight="1">
      <c r="A11532" s="162" t="s">
        <v>15302</v>
      </c>
      <c r="B11532" s="59" t="s">
        <v>22465</v>
      </c>
      <c r="C11532" s="147" t="s">
        <v>20221</v>
      </c>
      <c r="D11532" s="701" t="s">
        <v>1129</v>
      </c>
      <c r="E11532" s="178">
        <v>2019</v>
      </c>
      <c r="F11532" s="178" t="s">
        <v>5257</v>
      </c>
      <c r="G11532" s="496"/>
      <c r="H11532" s="994" t="s">
        <v>20224</v>
      </c>
      <c r="I11532" s="11" t="s">
        <v>15303</v>
      </c>
      <c r="J11532" s="1285"/>
      <c r="K11532" s="1285"/>
      <c r="L11532" s="1285"/>
    </row>
    <row r="11533" spans="1:12" ht="11.15" customHeight="1">
      <c r="A11533" s="162" t="s">
        <v>15304</v>
      </c>
      <c r="B11533" s="59" t="s">
        <v>22465</v>
      </c>
      <c r="C11533" s="147" t="s">
        <v>20221</v>
      </c>
      <c r="D11533" s="701" t="s">
        <v>1129</v>
      </c>
      <c r="E11533" s="178">
        <v>2018</v>
      </c>
      <c r="F11533" s="178" t="s">
        <v>5257</v>
      </c>
      <c r="G11533" s="496"/>
      <c r="H11533" s="994" t="s">
        <v>20224</v>
      </c>
      <c r="I11533" s="12" t="s">
        <v>15305</v>
      </c>
      <c r="J11533" s="1285"/>
      <c r="K11533" s="1285"/>
      <c r="L11533" s="1285"/>
    </row>
    <row r="11534" spans="1:12" ht="11.15" customHeight="1">
      <c r="A11534" s="162" t="s">
        <v>15306</v>
      </c>
      <c r="B11534" s="59" t="s">
        <v>22465</v>
      </c>
      <c r="C11534" s="147" t="s">
        <v>20221</v>
      </c>
      <c r="D11534" s="701" t="s">
        <v>1129</v>
      </c>
      <c r="E11534" s="178">
        <v>2017</v>
      </c>
      <c r="F11534" s="178" t="s">
        <v>9678</v>
      </c>
      <c r="G11534" s="496"/>
      <c r="H11534" s="994" t="s">
        <v>20224</v>
      </c>
      <c r="I11534" s="11" t="s">
        <v>15307</v>
      </c>
      <c r="J11534" s="1285"/>
      <c r="K11534" s="1285"/>
      <c r="L11534" s="1285"/>
    </row>
    <row r="11535" spans="1:12" ht="11.15" customHeight="1">
      <c r="A11535" s="162" t="s">
        <v>15308</v>
      </c>
      <c r="B11535" s="185"/>
      <c r="C11535" s="147"/>
      <c r="D11535" s="185"/>
      <c r="E11535" s="185"/>
      <c r="F11535" s="185"/>
      <c r="G11535" s="185"/>
      <c r="H11535" s="185"/>
      <c r="I11535" s="11"/>
    </row>
    <row r="11536" spans="1:12" ht="11.15" customHeight="1">
      <c r="A11536" s="162" t="s">
        <v>15309</v>
      </c>
      <c r="B11536" s="177" t="s">
        <v>15182</v>
      </c>
      <c r="C11536" s="147"/>
      <c r="D11536" s="159"/>
      <c r="E11536" s="36"/>
      <c r="F11536" s="183"/>
      <c r="G11536" s="496"/>
      <c r="H11536" s="34"/>
      <c r="I11536" s="11"/>
    </row>
    <row r="11537" spans="1:12" ht="11.15" customHeight="1">
      <c r="A11537" s="162" t="s">
        <v>15310</v>
      </c>
      <c r="B11537" s="59" t="s">
        <v>22466</v>
      </c>
      <c r="C11537" s="147" t="s">
        <v>20221</v>
      </c>
      <c r="D11537" s="701" t="s">
        <v>1129</v>
      </c>
      <c r="E11537" s="178">
        <v>2023</v>
      </c>
      <c r="F11537" s="178" t="s">
        <v>4520</v>
      </c>
      <c r="G11537" s="496"/>
      <c r="H11537" s="994" t="s">
        <v>20221</v>
      </c>
      <c r="I11537" s="11" t="s">
        <v>15311</v>
      </c>
      <c r="J11537" s="1285"/>
      <c r="K11537" s="1285"/>
      <c r="L11537" s="1285"/>
    </row>
    <row r="11538" spans="1:12" ht="11.15" customHeight="1">
      <c r="A11538" s="355" t="s">
        <v>15312</v>
      </c>
      <c r="B11538" s="59" t="s">
        <v>22466</v>
      </c>
      <c r="C11538" s="147" t="s">
        <v>20221</v>
      </c>
      <c r="D11538" s="701" t="s">
        <v>1129</v>
      </c>
      <c r="E11538" s="178">
        <v>2022</v>
      </c>
      <c r="F11538" s="178" t="s">
        <v>4520</v>
      </c>
      <c r="G11538" s="496"/>
      <c r="H11538" s="994" t="s">
        <v>20221</v>
      </c>
      <c r="I11538" s="11" t="s">
        <v>15313</v>
      </c>
      <c r="J11538" s="1285"/>
      <c r="K11538" s="1285"/>
      <c r="L11538" s="1285"/>
    </row>
    <row r="11539" spans="1:12" ht="11.15" customHeight="1">
      <c r="A11539" s="162" t="s">
        <v>15314</v>
      </c>
      <c r="B11539" s="59" t="s">
        <v>22466</v>
      </c>
      <c r="C11539" s="147" t="s">
        <v>20221</v>
      </c>
      <c r="D11539" s="701" t="s">
        <v>1129</v>
      </c>
      <c r="E11539" s="178">
        <v>2021</v>
      </c>
      <c r="F11539" s="178" t="s">
        <v>4520</v>
      </c>
      <c r="G11539" s="496"/>
      <c r="H11539" s="994" t="s">
        <v>20221</v>
      </c>
      <c r="I11539" s="11" t="s">
        <v>15315</v>
      </c>
      <c r="J11539" s="1285"/>
      <c r="K11539" s="1285"/>
      <c r="L11539" s="1285"/>
    </row>
    <row r="11540" spans="1:12" ht="11.15" customHeight="1">
      <c r="A11540" s="162" t="s">
        <v>15316</v>
      </c>
      <c r="B11540" s="59" t="s">
        <v>22466</v>
      </c>
      <c r="C11540" s="147" t="s">
        <v>20221</v>
      </c>
      <c r="D11540" s="701" t="s">
        <v>1129</v>
      </c>
      <c r="E11540" s="178">
        <v>2020</v>
      </c>
      <c r="F11540" s="178" t="s">
        <v>4520</v>
      </c>
      <c r="G11540" s="496"/>
      <c r="H11540" s="994" t="s">
        <v>20277</v>
      </c>
      <c r="I11540" s="11" t="s">
        <v>15317</v>
      </c>
      <c r="J11540" s="1285"/>
      <c r="K11540" s="1285"/>
      <c r="L11540" s="1285"/>
    </row>
    <row r="11541" spans="1:12" ht="11.15" customHeight="1">
      <c r="A11541" s="162" t="s">
        <v>15318</v>
      </c>
      <c r="B11541" s="177" t="s">
        <v>15319</v>
      </c>
      <c r="C11541" s="147"/>
      <c r="D11541" s="159"/>
      <c r="E11541" s="36"/>
      <c r="F11541" s="183"/>
      <c r="G11541" s="496"/>
      <c r="H11541" s="34"/>
      <c r="I11541" s="11"/>
    </row>
    <row r="11542" spans="1:12" ht="11.15" customHeight="1">
      <c r="A11542" s="162" t="s">
        <v>15320</v>
      </c>
      <c r="B11542" s="59" t="s">
        <v>22467</v>
      </c>
      <c r="C11542" s="147" t="s">
        <v>20221</v>
      </c>
      <c r="D11542" s="701" t="s">
        <v>1129</v>
      </c>
      <c r="E11542" s="178">
        <v>2023</v>
      </c>
      <c r="F11542" s="178" t="s">
        <v>4520</v>
      </c>
      <c r="G11542" s="496"/>
      <c r="H11542" s="994" t="s">
        <v>20221</v>
      </c>
      <c r="I11542" s="12" t="s">
        <v>15321</v>
      </c>
      <c r="J11542" s="1285"/>
      <c r="K11542" s="1285"/>
      <c r="L11542" s="1285"/>
    </row>
    <row r="11543" spans="1:12" ht="11.15" customHeight="1">
      <c r="A11543" s="162" t="s">
        <v>15322</v>
      </c>
      <c r="B11543" s="59" t="s">
        <v>22467</v>
      </c>
      <c r="C11543" s="147" t="s">
        <v>20221</v>
      </c>
      <c r="D11543" s="701" t="s">
        <v>1129</v>
      </c>
      <c r="E11543" s="178">
        <v>2022</v>
      </c>
      <c r="F11543" s="178" t="s">
        <v>4520</v>
      </c>
      <c r="G11543" s="496"/>
      <c r="H11543" s="994" t="s">
        <v>20221</v>
      </c>
      <c r="I11543" s="11" t="s">
        <v>15323</v>
      </c>
      <c r="J11543" s="1285"/>
      <c r="K11543" s="1285"/>
      <c r="L11543" s="1285"/>
    </row>
    <row r="11544" spans="1:12" ht="11.15" customHeight="1">
      <c r="A11544" s="355" t="s">
        <v>15324</v>
      </c>
      <c r="B11544" s="59" t="s">
        <v>22467</v>
      </c>
      <c r="C11544" s="147" t="s">
        <v>20221</v>
      </c>
      <c r="D11544" s="701" t="s">
        <v>1129</v>
      </c>
      <c r="E11544" s="178">
        <v>2021</v>
      </c>
      <c r="F11544" s="178" t="s">
        <v>4520</v>
      </c>
      <c r="G11544" s="496"/>
      <c r="H11544" s="994" t="s">
        <v>20221</v>
      </c>
      <c r="I11544" s="12" t="s">
        <v>15325</v>
      </c>
      <c r="J11544" s="1285"/>
      <c r="K11544" s="1285"/>
      <c r="L11544" s="1285"/>
    </row>
    <row r="11545" spans="1:12" ht="11.15" customHeight="1">
      <c r="A11545" s="162" t="s">
        <v>15326</v>
      </c>
      <c r="B11545" s="59" t="s">
        <v>22467</v>
      </c>
      <c r="C11545" s="147" t="s">
        <v>20221</v>
      </c>
      <c r="D11545" s="701" t="s">
        <v>1129</v>
      </c>
      <c r="E11545" s="178">
        <v>2020</v>
      </c>
      <c r="F11545" s="178" t="s">
        <v>4520</v>
      </c>
      <c r="G11545" s="496"/>
      <c r="H11545" s="994" t="s">
        <v>20221</v>
      </c>
      <c r="I11545" s="11" t="s">
        <v>15327</v>
      </c>
      <c r="J11545" s="1285"/>
      <c r="K11545" s="1285"/>
      <c r="L11545" s="1285"/>
    </row>
    <row r="11546" spans="1:12" ht="11.15" customHeight="1">
      <c r="A11546" s="355" t="s">
        <v>15328</v>
      </c>
      <c r="B11546" s="59" t="s">
        <v>22467</v>
      </c>
      <c r="C11546" s="147" t="s">
        <v>20221</v>
      </c>
      <c r="D11546" s="701" t="s">
        <v>1129</v>
      </c>
      <c r="E11546" s="178">
        <v>2019</v>
      </c>
      <c r="F11546" s="178" t="s">
        <v>4520</v>
      </c>
      <c r="G11546" s="496"/>
      <c r="H11546" s="994" t="s">
        <v>20221</v>
      </c>
      <c r="I11546" s="12" t="s">
        <v>15329</v>
      </c>
      <c r="J11546" s="1285"/>
      <c r="K11546" s="1285"/>
      <c r="L11546" s="1285"/>
    </row>
    <row r="11547" spans="1:12" ht="11.15" customHeight="1">
      <c r="A11547" s="162" t="s">
        <v>15330</v>
      </c>
      <c r="B11547" s="59" t="s">
        <v>22467</v>
      </c>
      <c r="C11547" s="147" t="s">
        <v>20221</v>
      </c>
      <c r="D11547" s="701" t="s">
        <v>1129</v>
      </c>
      <c r="E11547" s="178">
        <v>2018</v>
      </c>
      <c r="F11547" s="178" t="s">
        <v>4520</v>
      </c>
      <c r="G11547" s="496"/>
      <c r="H11547" s="994" t="s">
        <v>20221</v>
      </c>
      <c r="I11547" s="11" t="s">
        <v>15331</v>
      </c>
      <c r="J11547" s="1285"/>
      <c r="K11547" s="1285"/>
      <c r="L11547" s="1285"/>
    </row>
    <row r="11548" spans="1:12" ht="11.15" customHeight="1">
      <c r="A11548" s="129" t="s">
        <v>2461</v>
      </c>
      <c r="B11548" s="59" t="s">
        <v>22467</v>
      </c>
      <c r="C11548" s="147" t="s">
        <v>20221</v>
      </c>
      <c r="D11548" s="701" t="s">
        <v>1129</v>
      </c>
      <c r="E11548" s="178">
        <v>2017</v>
      </c>
      <c r="F11548" s="178" t="s">
        <v>4520</v>
      </c>
      <c r="G11548" s="496"/>
      <c r="H11548" s="994" t="s">
        <v>20224</v>
      </c>
      <c r="I11548" s="11" t="s">
        <v>15332</v>
      </c>
      <c r="J11548" s="1285"/>
      <c r="K11548" s="1285"/>
      <c r="L11548" s="1285"/>
    </row>
    <row r="11549" spans="1:12" ht="11.15" customHeight="1">
      <c r="A11549" s="162" t="s">
        <v>15333</v>
      </c>
      <c r="B11549" s="59" t="s">
        <v>22468</v>
      </c>
      <c r="C11549" s="147" t="s">
        <v>20221</v>
      </c>
      <c r="D11549" s="701" t="s">
        <v>1129</v>
      </c>
      <c r="E11549" s="178">
        <v>2023</v>
      </c>
      <c r="F11549" s="178" t="s">
        <v>4520</v>
      </c>
      <c r="G11549" s="496"/>
      <c r="H11549" s="994" t="s">
        <v>20221</v>
      </c>
      <c r="I11549" s="12" t="s">
        <v>15334</v>
      </c>
      <c r="J11549" s="1285"/>
      <c r="K11549" s="1285"/>
      <c r="L11549" s="1285"/>
    </row>
    <row r="11550" spans="1:12" ht="11.15" customHeight="1">
      <c r="A11550" s="162" t="s">
        <v>15335</v>
      </c>
      <c r="B11550" s="59" t="s">
        <v>22468</v>
      </c>
      <c r="C11550" s="147" t="s">
        <v>20221</v>
      </c>
      <c r="D11550" s="701" t="s">
        <v>1129</v>
      </c>
      <c r="E11550" s="178">
        <v>2021</v>
      </c>
      <c r="F11550" s="178" t="s">
        <v>4520</v>
      </c>
      <c r="G11550" s="496"/>
      <c r="H11550" s="994" t="s">
        <v>20221</v>
      </c>
      <c r="I11550" s="11" t="s">
        <v>15336</v>
      </c>
      <c r="J11550" s="1285"/>
      <c r="K11550" s="1285"/>
      <c r="L11550" s="1285"/>
    </row>
    <row r="11551" spans="1:12" ht="11.15" customHeight="1">
      <c r="A11551" s="162" t="s">
        <v>15337</v>
      </c>
      <c r="B11551" s="59" t="s">
        <v>22468</v>
      </c>
      <c r="C11551" s="147" t="s">
        <v>20221</v>
      </c>
      <c r="D11551" s="701" t="s">
        <v>1129</v>
      </c>
      <c r="E11551" s="178">
        <v>2020</v>
      </c>
      <c r="F11551" s="178" t="s">
        <v>4520</v>
      </c>
      <c r="G11551" s="496"/>
      <c r="H11551" s="994" t="s">
        <v>20221</v>
      </c>
      <c r="I11551" s="11" t="s">
        <v>15338</v>
      </c>
      <c r="J11551" s="1285"/>
      <c r="K11551" s="1285"/>
      <c r="L11551" s="1285"/>
    </row>
    <row r="11552" spans="1:12" ht="11.15" customHeight="1">
      <c r="A11552" s="166" t="s">
        <v>15339</v>
      </c>
      <c r="B11552" s="59" t="s">
        <v>22469</v>
      </c>
      <c r="C11552" s="147" t="s">
        <v>20221</v>
      </c>
      <c r="D11552" s="701" t="s">
        <v>1129</v>
      </c>
      <c r="E11552" s="178">
        <v>2023</v>
      </c>
      <c r="F11552" s="178" t="s">
        <v>4520</v>
      </c>
      <c r="G11552" s="496"/>
      <c r="H11552" s="994" t="s">
        <v>20221</v>
      </c>
      <c r="I11552" s="11" t="s">
        <v>15340</v>
      </c>
      <c r="J11552" s="1285"/>
      <c r="K11552" s="1285"/>
      <c r="L11552" s="1285"/>
    </row>
    <row r="11553" spans="1:12" ht="11.15" customHeight="1">
      <c r="A11553" s="492" t="s">
        <v>6714</v>
      </c>
      <c r="B11553" s="59" t="s">
        <v>22469</v>
      </c>
      <c r="C11553" s="147" t="s">
        <v>20221</v>
      </c>
      <c r="D11553" s="701" t="s">
        <v>1129</v>
      </c>
      <c r="E11553" s="178">
        <v>2021</v>
      </c>
      <c r="F11553" s="178" t="s">
        <v>4520</v>
      </c>
      <c r="G11553" s="496"/>
      <c r="H11553" s="994" t="s">
        <v>20221</v>
      </c>
      <c r="I11553" s="11" t="s">
        <v>15341</v>
      </c>
      <c r="J11553" s="1285"/>
      <c r="K11553" s="1285"/>
      <c r="L11553" s="1285"/>
    </row>
    <row r="11554" spans="1:12" ht="11.25" customHeight="1">
      <c r="A11554" s="129" t="s">
        <v>15342</v>
      </c>
      <c r="B11554" s="59" t="s">
        <v>22469</v>
      </c>
      <c r="C11554" s="147" t="s">
        <v>20221</v>
      </c>
      <c r="D11554" s="701" t="s">
        <v>1129</v>
      </c>
      <c r="E11554" s="178">
        <v>2020</v>
      </c>
      <c r="F11554" s="178" t="s">
        <v>4520</v>
      </c>
      <c r="G11554" s="496"/>
      <c r="H11554" s="994" t="s">
        <v>20221</v>
      </c>
      <c r="I11554" s="12" t="s">
        <v>15343</v>
      </c>
      <c r="J11554" s="1285"/>
      <c r="K11554" s="1285"/>
      <c r="L11554" s="1285"/>
    </row>
    <row r="11555" spans="1:12" ht="11.15" customHeight="1">
      <c r="A11555" s="29" t="s">
        <v>15344</v>
      </c>
      <c r="B11555" s="59" t="s">
        <v>22469</v>
      </c>
      <c r="C11555" s="147" t="s">
        <v>20221</v>
      </c>
      <c r="D11555" s="701" t="s">
        <v>1129</v>
      </c>
      <c r="E11555" s="178">
        <v>2019</v>
      </c>
      <c r="F11555" s="178" t="s">
        <v>4520</v>
      </c>
      <c r="G11555" s="496"/>
      <c r="H11555" s="994" t="s">
        <v>20221</v>
      </c>
      <c r="I11555" s="12" t="s">
        <v>15345</v>
      </c>
      <c r="J11555" s="1285"/>
      <c r="K11555" s="1285"/>
      <c r="L11555" s="1285"/>
    </row>
    <row r="11556" spans="1:12" ht="11.15" customHeight="1">
      <c r="A11556" s="29"/>
      <c r="B11556" s="59" t="s">
        <v>22469</v>
      </c>
      <c r="C11556" s="147" t="s">
        <v>20221</v>
      </c>
      <c r="D11556" s="701" t="s">
        <v>1129</v>
      </c>
      <c r="E11556" s="178">
        <v>2018</v>
      </c>
      <c r="F11556" s="178" t="s">
        <v>4520</v>
      </c>
      <c r="G11556" s="496"/>
      <c r="H11556" s="994" t="s">
        <v>20221</v>
      </c>
      <c r="I11556" s="11" t="s">
        <v>15346</v>
      </c>
      <c r="J11556" s="1285"/>
      <c r="K11556" s="1285"/>
      <c r="L11556" s="1285"/>
    </row>
    <row r="11557" spans="1:12" ht="11.15" customHeight="1">
      <c r="A11557" s="185"/>
      <c r="B11557" s="59" t="s">
        <v>22469</v>
      </c>
      <c r="C11557" s="147" t="s">
        <v>20221</v>
      </c>
      <c r="D11557" s="701" t="s">
        <v>1129</v>
      </c>
      <c r="E11557" s="178">
        <v>2017</v>
      </c>
      <c r="F11557" s="178" t="s">
        <v>4520</v>
      </c>
      <c r="G11557" s="496"/>
      <c r="H11557" s="994" t="s">
        <v>20277</v>
      </c>
      <c r="I11557" s="12" t="s">
        <v>15347</v>
      </c>
      <c r="J11557" s="1285"/>
      <c r="K11557" s="1285"/>
      <c r="L11557" s="1285"/>
    </row>
    <row r="11558" spans="1:12" ht="11.15" customHeight="1">
      <c r="A11558" s="185"/>
      <c r="B11558" s="177" t="s">
        <v>15348</v>
      </c>
      <c r="C11558" s="147"/>
      <c r="D11558" s="159"/>
      <c r="E11558" s="36"/>
      <c r="F11558" s="183"/>
      <c r="G11558" s="496"/>
      <c r="H11558" s="34"/>
      <c r="I11558" s="11"/>
    </row>
    <row r="11559" spans="1:12" ht="11.15" customHeight="1">
      <c r="A11559" s="185"/>
      <c r="B11559" s="59" t="s">
        <v>22470</v>
      </c>
      <c r="C11559" s="147" t="s">
        <v>20221</v>
      </c>
      <c r="D11559" s="701" t="s">
        <v>1129</v>
      </c>
      <c r="E11559" s="178">
        <v>2023</v>
      </c>
      <c r="F11559" s="178" t="s">
        <v>5257</v>
      </c>
      <c r="G11559" s="496"/>
      <c r="H11559" s="994" t="s">
        <v>20224</v>
      </c>
      <c r="I11559" s="12" t="s">
        <v>15349</v>
      </c>
      <c r="J11559" s="1285"/>
      <c r="K11559" s="1285"/>
      <c r="L11559" s="1285"/>
    </row>
    <row r="11560" spans="1:12" ht="11.15" customHeight="1">
      <c r="A11560" s="185"/>
      <c r="B11560" s="59" t="s">
        <v>22470</v>
      </c>
      <c r="C11560" s="147" t="s">
        <v>20221</v>
      </c>
      <c r="D11560" s="701" t="s">
        <v>1129</v>
      </c>
      <c r="E11560" s="178">
        <v>2022</v>
      </c>
      <c r="F11560" s="178" t="s">
        <v>5257</v>
      </c>
      <c r="G11560" s="496"/>
      <c r="H11560" s="994" t="s">
        <v>20224</v>
      </c>
      <c r="I11560" s="12" t="s">
        <v>15350</v>
      </c>
      <c r="J11560" s="1285"/>
      <c r="K11560" s="1285"/>
      <c r="L11560" s="1285"/>
    </row>
    <row r="11561" spans="1:12" ht="11.15" customHeight="1">
      <c r="A11561" s="185"/>
      <c r="B11561" s="59" t="s">
        <v>22470</v>
      </c>
      <c r="C11561" s="147" t="s">
        <v>20221</v>
      </c>
      <c r="D11561" s="701" t="s">
        <v>1129</v>
      </c>
      <c r="E11561" s="178">
        <v>2021</v>
      </c>
      <c r="F11561" s="178" t="s">
        <v>5257</v>
      </c>
      <c r="G11561" s="496"/>
      <c r="H11561" s="994" t="s">
        <v>20224</v>
      </c>
      <c r="I11561" s="12" t="s">
        <v>15351</v>
      </c>
      <c r="J11561" s="1285"/>
      <c r="K11561" s="1285"/>
      <c r="L11561" s="1285"/>
    </row>
    <row r="11562" spans="1:12" ht="11.15" customHeight="1">
      <c r="A11562" s="185"/>
      <c r="B11562" s="59" t="s">
        <v>22471</v>
      </c>
      <c r="C11562" s="147" t="s">
        <v>20221</v>
      </c>
      <c r="D11562" s="701" t="s">
        <v>1129</v>
      </c>
      <c r="E11562" s="178">
        <v>2021</v>
      </c>
      <c r="F11562" s="178" t="s">
        <v>5257</v>
      </c>
      <c r="G11562" s="496"/>
      <c r="H11562" s="994" t="s">
        <v>20224</v>
      </c>
      <c r="I11562" s="12" t="s">
        <v>15352</v>
      </c>
      <c r="J11562" s="1285"/>
      <c r="K11562" s="1285"/>
      <c r="L11562" s="1285"/>
    </row>
    <row r="11563" spans="1:12" ht="11.15" customHeight="1">
      <c r="A11563" s="185"/>
      <c r="B11563" s="59" t="s">
        <v>22472</v>
      </c>
      <c r="C11563" s="147" t="s">
        <v>20221</v>
      </c>
      <c r="D11563" s="701" t="s">
        <v>1129</v>
      </c>
      <c r="E11563" s="178">
        <v>2022</v>
      </c>
      <c r="F11563" s="178" t="s">
        <v>5257</v>
      </c>
      <c r="G11563" s="496"/>
      <c r="H11563" s="994" t="s">
        <v>20224</v>
      </c>
      <c r="I11563" s="12" t="s">
        <v>15353</v>
      </c>
      <c r="J11563" s="1285"/>
      <c r="K11563" s="1285"/>
      <c r="L11563" s="1285"/>
    </row>
    <row r="11564" spans="1:12" ht="11.15" customHeight="1">
      <c r="A11564" s="185"/>
      <c r="B11564" s="59" t="s">
        <v>22472</v>
      </c>
      <c r="C11564" s="147" t="s">
        <v>20221</v>
      </c>
      <c r="D11564" s="701" t="s">
        <v>1129</v>
      </c>
      <c r="E11564" s="178">
        <v>2021</v>
      </c>
      <c r="F11564" s="178" t="s">
        <v>5257</v>
      </c>
      <c r="G11564" s="496"/>
      <c r="H11564" s="994" t="s">
        <v>20224</v>
      </c>
      <c r="I11564" s="11" t="s">
        <v>15354</v>
      </c>
      <c r="J11564" s="1285"/>
      <c r="K11564" s="1285"/>
      <c r="L11564" s="1285"/>
    </row>
    <row r="11565" spans="1:12" ht="11.15" customHeight="1">
      <c r="A11565" s="185"/>
      <c r="B11565" s="59" t="s">
        <v>22472</v>
      </c>
      <c r="C11565" s="147" t="s">
        <v>20221</v>
      </c>
      <c r="D11565" s="701" t="s">
        <v>1129</v>
      </c>
      <c r="E11565" s="178">
        <v>2020</v>
      </c>
      <c r="F11565" s="178" t="s">
        <v>5257</v>
      </c>
      <c r="G11565" s="496"/>
      <c r="H11565" s="994" t="s">
        <v>20224</v>
      </c>
      <c r="I11565" s="11" t="s">
        <v>15355</v>
      </c>
      <c r="J11565" s="1285"/>
      <c r="K11565" s="1285"/>
      <c r="L11565" s="1285"/>
    </row>
    <row r="11566" spans="1:12" ht="11.15" customHeight="1">
      <c r="A11566" s="185"/>
      <c r="B11566" s="59" t="s">
        <v>22472</v>
      </c>
      <c r="C11566" s="147" t="s">
        <v>20221</v>
      </c>
      <c r="D11566" s="701" t="s">
        <v>1129</v>
      </c>
      <c r="E11566" s="178">
        <v>2019</v>
      </c>
      <c r="F11566" s="178" t="s">
        <v>5257</v>
      </c>
      <c r="G11566" s="496"/>
      <c r="H11566" s="994" t="s">
        <v>20224</v>
      </c>
      <c r="I11566" s="11" t="s">
        <v>15356</v>
      </c>
      <c r="J11566" s="1285"/>
      <c r="K11566" s="1285"/>
      <c r="L11566" s="1285"/>
    </row>
    <row r="11567" spans="1:12" ht="11.15" customHeight="1">
      <c r="A11567" s="185"/>
      <c r="B11567" s="59" t="s">
        <v>22472</v>
      </c>
      <c r="C11567" s="147" t="s">
        <v>20221</v>
      </c>
      <c r="D11567" s="701" t="s">
        <v>1129</v>
      </c>
      <c r="E11567" s="178">
        <v>2018</v>
      </c>
      <c r="F11567" s="178" t="s">
        <v>5257</v>
      </c>
      <c r="G11567" s="496"/>
      <c r="H11567" s="994" t="s">
        <v>20224</v>
      </c>
      <c r="I11567" s="12" t="s">
        <v>15357</v>
      </c>
      <c r="J11567" s="1285"/>
      <c r="K11567" s="1285"/>
      <c r="L11567" s="1285"/>
    </row>
    <row r="11568" spans="1:12" ht="11.15" customHeight="1">
      <c r="A11568" s="185"/>
      <c r="B11568" s="59" t="s">
        <v>22472</v>
      </c>
      <c r="C11568" s="147" t="s">
        <v>20221</v>
      </c>
      <c r="D11568" s="701" t="s">
        <v>1129</v>
      </c>
      <c r="E11568" s="178">
        <v>2017</v>
      </c>
      <c r="F11568" s="178" t="s">
        <v>9678</v>
      </c>
      <c r="G11568" s="496"/>
      <c r="H11568" s="994" t="s">
        <v>20224</v>
      </c>
      <c r="I11568" s="11" t="s">
        <v>15358</v>
      </c>
      <c r="J11568" s="1285"/>
      <c r="K11568" s="1285"/>
      <c r="L11568" s="1285"/>
    </row>
    <row r="11569" spans="1:12" ht="11.15" customHeight="1">
      <c r="A11569" s="185"/>
      <c r="B11569" s="177" t="s">
        <v>1408</v>
      </c>
      <c r="C11569" s="147"/>
      <c r="D11569" s="159"/>
      <c r="E11569" s="36"/>
      <c r="F11569" s="178"/>
      <c r="G11569" s="496"/>
      <c r="H11569" s="36"/>
      <c r="I11569" s="11"/>
    </row>
    <row r="11570" spans="1:12" ht="11.15" customHeight="1">
      <c r="A11570" s="185"/>
      <c r="B11570" s="59" t="s">
        <v>22473</v>
      </c>
      <c r="C11570" s="147" t="s">
        <v>20221</v>
      </c>
      <c r="D11570" s="739" t="s">
        <v>1410</v>
      </c>
      <c r="E11570" s="178">
        <v>2021</v>
      </c>
      <c r="F11570" s="178" t="s">
        <v>23398</v>
      </c>
      <c r="G11570" s="496"/>
      <c r="H11570" s="994" t="s">
        <v>20221</v>
      </c>
      <c r="I11570" s="11" t="s">
        <v>15359</v>
      </c>
      <c r="J11570" s="1285"/>
      <c r="K11570" s="1285"/>
      <c r="L11570" s="1285"/>
    </row>
    <row r="11571" spans="1:12" ht="11.15" customHeight="1">
      <c r="A11571" s="185"/>
      <c r="B11571" s="59" t="s">
        <v>22474</v>
      </c>
      <c r="C11571" s="147" t="s">
        <v>20221</v>
      </c>
      <c r="D11571" s="739" t="s">
        <v>1410</v>
      </c>
      <c r="E11571" s="178">
        <v>2009</v>
      </c>
      <c r="F11571" s="178" t="s">
        <v>23397</v>
      </c>
      <c r="G11571" s="496"/>
      <c r="H11571" s="994" t="s">
        <v>20277</v>
      </c>
      <c r="I11571" s="11" t="s">
        <v>15360</v>
      </c>
      <c r="J11571" s="1285"/>
      <c r="K11571" s="1285"/>
      <c r="L11571" s="1285"/>
    </row>
    <row r="11572" spans="1:12" ht="11.15" customHeight="1" thickBot="1">
      <c r="A11572" s="185"/>
      <c r="B11572" s="185"/>
      <c r="C11572" s="147"/>
      <c r="D11572" s="159"/>
      <c r="E11572" s="36"/>
      <c r="F11572" s="183"/>
      <c r="G11572" s="496"/>
      <c r="H11572" s="34"/>
      <c r="I11572" s="11"/>
    </row>
    <row r="11573" spans="1:12" ht="32.5" thickBot="1">
      <c r="A11573" s="542"/>
      <c r="B11573" s="64" t="s">
        <v>15361</v>
      </c>
      <c r="C11573" s="170"/>
      <c r="D11573" s="382"/>
      <c r="E11573" s="543"/>
      <c r="F11573" s="1082"/>
      <c r="G11573" s="1249"/>
      <c r="H11573" s="1132"/>
      <c r="I11573" s="11"/>
    </row>
    <row r="11574" spans="1:12" ht="11.15" customHeight="1">
      <c r="A11574" s="185"/>
      <c r="B11574" s="146" t="s">
        <v>15362</v>
      </c>
      <c r="C11574" s="147"/>
      <c r="D11574" s="129"/>
      <c r="E11574" s="185"/>
      <c r="F11574" s="185"/>
      <c r="G11574" s="185"/>
      <c r="H11574" s="185"/>
      <c r="I11574" s="11"/>
    </row>
    <row r="11575" spans="1:12" ht="9" customHeight="1">
      <c r="A11575" s="355"/>
      <c r="B11575" s="150" t="s">
        <v>15363</v>
      </c>
      <c r="C11575" s="147"/>
      <c r="D11575" s="209"/>
      <c r="E11575" s="216"/>
      <c r="F11575" s="209"/>
      <c r="G11575" s="1253"/>
      <c r="H11575" s="216"/>
      <c r="I11575" s="11"/>
    </row>
    <row r="11576" spans="1:12" ht="9" customHeight="1">
      <c r="A11576" s="355"/>
      <c r="B11576" s="150" t="s">
        <v>15364</v>
      </c>
      <c r="C11576" s="147"/>
      <c r="D11576" s="209"/>
      <c r="E11576" s="216"/>
      <c r="F11576" s="209"/>
      <c r="G11576" s="1253"/>
      <c r="H11576" s="216"/>
      <c r="I11576" s="11"/>
    </row>
    <row r="11577" spans="1:12" ht="9" customHeight="1">
      <c r="A11577" s="355"/>
      <c r="B11577" s="150" t="s">
        <v>15365</v>
      </c>
      <c r="C11577" s="147"/>
      <c r="D11577" s="209"/>
      <c r="E11577" s="216"/>
      <c r="F11577" s="209"/>
      <c r="G11577" s="1253"/>
      <c r="H11577" s="216"/>
      <c r="I11577" s="11"/>
    </row>
    <row r="11578" spans="1:12" ht="9" customHeight="1">
      <c r="A11578" s="355"/>
      <c r="B11578" s="150" t="s">
        <v>15366</v>
      </c>
      <c r="C11578" s="147"/>
      <c r="D11578" s="209"/>
      <c r="E11578" s="216"/>
      <c r="F11578" s="209"/>
      <c r="G11578" s="1253"/>
      <c r="H11578" s="216"/>
      <c r="I11578" s="11"/>
    </row>
    <row r="11579" spans="1:12" ht="9" customHeight="1">
      <c r="A11579" s="355"/>
      <c r="B11579" s="152" t="s">
        <v>15367</v>
      </c>
      <c r="C11579" s="147"/>
      <c r="D11579" s="209"/>
      <c r="E11579" s="216"/>
      <c r="F11579" s="209"/>
      <c r="G11579" s="1253"/>
      <c r="H11579" s="216"/>
      <c r="I11579" s="11"/>
    </row>
    <row r="11580" spans="1:12" ht="9" customHeight="1">
      <c r="A11580" s="355"/>
      <c r="B11580" s="150" t="s">
        <v>15368</v>
      </c>
      <c r="C11580" s="147"/>
      <c r="D11580" s="209"/>
      <c r="E11580" s="216"/>
      <c r="F11580" s="209"/>
      <c r="G11580" s="1253"/>
      <c r="H11580" s="216"/>
      <c r="I11580" s="11"/>
    </row>
    <row r="11581" spans="1:12" ht="9" customHeight="1">
      <c r="A11581" s="355"/>
      <c r="B11581" s="150" t="s">
        <v>15369</v>
      </c>
      <c r="C11581" s="147"/>
      <c r="D11581" s="209"/>
      <c r="E11581" s="216"/>
      <c r="F11581" s="209"/>
      <c r="G11581" s="1253"/>
      <c r="H11581" s="216"/>
      <c r="I11581" s="11"/>
    </row>
    <row r="11582" spans="1:12" ht="9" customHeight="1">
      <c r="A11582" s="355"/>
      <c r="B11582" s="150" t="s">
        <v>15370</v>
      </c>
      <c r="C11582" s="147"/>
      <c r="D11582" s="209"/>
      <c r="E11582" s="216"/>
      <c r="F11582" s="209"/>
      <c r="G11582" s="1253"/>
      <c r="H11582" s="216"/>
      <c r="I11582" s="11"/>
    </row>
    <row r="11583" spans="1:12" ht="9" customHeight="1" thickBot="1">
      <c r="A11583" s="355"/>
      <c r="B11583" s="152" t="s">
        <v>15371</v>
      </c>
      <c r="C11583" s="147"/>
      <c r="D11583" s="209"/>
      <c r="E11583" s="216"/>
      <c r="F11583" s="209"/>
      <c r="G11583" s="1253"/>
      <c r="H11583" s="216"/>
      <c r="I11583" s="11"/>
    </row>
    <row r="11584" spans="1:12" ht="11.15" customHeight="1" thickBot="1">
      <c r="A11584" s="718" t="s">
        <v>15372</v>
      </c>
      <c r="B11584" s="177" t="s">
        <v>15373</v>
      </c>
      <c r="C11584" s="147"/>
      <c r="D11584" s="122"/>
      <c r="E11584" s="36"/>
      <c r="F11584" s="178"/>
      <c r="G11584" s="1181"/>
      <c r="H11584" s="36"/>
      <c r="I11584" s="11"/>
    </row>
    <row r="11585" spans="1:12" ht="11.15" customHeight="1">
      <c r="A11585" s="29" t="s">
        <v>15374</v>
      </c>
      <c r="B11585" s="59" t="s">
        <v>22476</v>
      </c>
      <c r="C11585" s="147" t="s">
        <v>20221</v>
      </c>
      <c r="D11585" s="1034" t="s">
        <v>879</v>
      </c>
      <c r="E11585" s="178" t="s">
        <v>19060</v>
      </c>
      <c r="F11585" s="178" t="s">
        <v>23400</v>
      </c>
      <c r="G11585" s="496"/>
      <c r="H11585" s="994" t="s">
        <v>20224</v>
      </c>
      <c r="I11585" s="11" t="s">
        <v>15375</v>
      </c>
      <c r="J11585" s="1285"/>
      <c r="K11585" s="1285"/>
      <c r="L11585" s="1285"/>
    </row>
    <row r="11586" spans="1:12" ht="11.15" customHeight="1">
      <c r="A11586" s="29" t="s">
        <v>15376</v>
      </c>
      <c r="B11586" s="59" t="s">
        <v>22477</v>
      </c>
      <c r="C11586" s="147" t="s">
        <v>20221</v>
      </c>
      <c r="D11586" s="1034" t="s">
        <v>879</v>
      </c>
      <c r="E11586" s="178" t="s">
        <v>19060</v>
      </c>
      <c r="F11586" s="178" t="s">
        <v>4520</v>
      </c>
      <c r="G11586" s="496"/>
      <c r="H11586" s="994" t="s">
        <v>20224</v>
      </c>
      <c r="I11586" s="11" t="s">
        <v>15377</v>
      </c>
      <c r="J11586" s="1285"/>
      <c r="K11586" s="1285"/>
      <c r="L11586" s="1285"/>
    </row>
    <row r="11587" spans="1:12" ht="11.15" customHeight="1">
      <c r="A11587" s="29" t="s">
        <v>15378</v>
      </c>
      <c r="B11587" s="177" t="s">
        <v>1153</v>
      </c>
      <c r="C11587" s="147"/>
      <c r="D11587" s="122"/>
      <c r="E11587" s="36"/>
      <c r="F11587" s="178"/>
      <c r="G11587" s="1181"/>
      <c r="H11587" s="36"/>
      <c r="I11587" s="11"/>
    </row>
    <row r="11588" spans="1:12" ht="11.15" customHeight="1">
      <c r="A11588" s="181" t="s">
        <v>15379</v>
      </c>
      <c r="B11588" s="59" t="s">
        <v>22478</v>
      </c>
      <c r="C11588" s="147" t="s">
        <v>20221</v>
      </c>
      <c r="D11588" s="1037" t="s">
        <v>2573</v>
      </c>
      <c r="E11588" s="178">
        <v>2022</v>
      </c>
      <c r="F11588" s="178" t="s">
        <v>4520</v>
      </c>
      <c r="G11588" s="496"/>
      <c r="H11588" s="994" t="s">
        <v>20221</v>
      </c>
      <c r="I11588" s="11" t="s">
        <v>15380</v>
      </c>
      <c r="J11588" s="1285"/>
      <c r="K11588" s="1285"/>
      <c r="L11588" s="1285"/>
    </row>
    <row r="11589" spans="1:12" ht="11.15" customHeight="1">
      <c r="A11589" s="29" t="s">
        <v>15381</v>
      </c>
      <c r="B11589" s="59" t="s">
        <v>22478</v>
      </c>
      <c r="C11589" s="147" t="s">
        <v>20221</v>
      </c>
      <c r="D11589" s="1037" t="s">
        <v>2573</v>
      </c>
      <c r="E11589" s="178">
        <v>2021</v>
      </c>
      <c r="F11589" s="178" t="s">
        <v>4520</v>
      </c>
      <c r="G11589" s="496"/>
      <c r="H11589" s="994" t="s">
        <v>20221</v>
      </c>
      <c r="I11589" s="11" t="s">
        <v>15382</v>
      </c>
      <c r="J11589" s="1285"/>
      <c r="K11589" s="1285"/>
      <c r="L11589" s="1285"/>
    </row>
    <row r="11590" spans="1:12" ht="11.15" customHeight="1">
      <c r="A11590" s="29" t="s">
        <v>15383</v>
      </c>
      <c r="B11590" s="177" t="s">
        <v>15384</v>
      </c>
      <c r="C11590" s="147"/>
      <c r="D11590" s="122"/>
      <c r="E11590" s="36"/>
      <c r="F11590" s="178"/>
      <c r="G11590" s="1181"/>
      <c r="H11590" s="36"/>
      <c r="I11590" s="11"/>
    </row>
    <row r="11591" spans="1:12" ht="11.15" customHeight="1">
      <c r="A11591" s="129" t="s">
        <v>15385</v>
      </c>
      <c r="B11591" s="59" t="s">
        <v>21389</v>
      </c>
      <c r="C11591" s="147" t="s">
        <v>20221</v>
      </c>
      <c r="D11591" s="284" t="s">
        <v>897</v>
      </c>
      <c r="E11591" s="178">
        <v>2016</v>
      </c>
      <c r="F11591" s="178" t="s">
        <v>4520</v>
      </c>
      <c r="G11591" s="496"/>
      <c r="H11591" s="994" t="s">
        <v>20465</v>
      </c>
      <c r="I11591" s="11" t="s">
        <v>15386</v>
      </c>
      <c r="J11591" s="1285"/>
      <c r="K11591" s="1285"/>
      <c r="L11591" s="1285"/>
    </row>
    <row r="11592" spans="1:12" ht="11.15" customHeight="1">
      <c r="A11592" s="162" t="s">
        <v>15387</v>
      </c>
      <c r="B11592" s="177" t="s">
        <v>15388</v>
      </c>
      <c r="C11592" s="147"/>
      <c r="D11592" s="159"/>
      <c r="E11592" s="36"/>
      <c r="F11592" s="183"/>
      <c r="G11592" s="496"/>
      <c r="H11592" s="34"/>
      <c r="I11592" s="11"/>
    </row>
    <row r="11593" spans="1:12" ht="11.15" customHeight="1">
      <c r="A11593" s="162" t="s">
        <v>15389</v>
      </c>
      <c r="B11593" s="59" t="s">
        <v>22479</v>
      </c>
      <c r="C11593" s="147" t="s">
        <v>20221</v>
      </c>
      <c r="D11593" s="701" t="s">
        <v>1129</v>
      </c>
      <c r="E11593" s="178">
        <v>2022</v>
      </c>
      <c r="F11593" s="178" t="s">
        <v>7168</v>
      </c>
      <c r="G11593" s="496"/>
      <c r="H11593" s="994" t="s">
        <v>20221</v>
      </c>
      <c r="I11593" s="11" t="s">
        <v>15390</v>
      </c>
      <c r="J11593" s="1285"/>
      <c r="K11593" s="1285"/>
      <c r="L11593" s="1285"/>
    </row>
    <row r="11594" spans="1:12" ht="11.15" customHeight="1">
      <c r="A11594" s="129" t="s">
        <v>15391</v>
      </c>
      <c r="B11594" s="177" t="s">
        <v>15147</v>
      </c>
      <c r="C11594" s="147"/>
      <c r="D11594" s="159"/>
      <c r="E11594" s="36"/>
      <c r="F11594" s="183"/>
      <c r="G11594" s="496"/>
      <c r="H11594" s="183"/>
      <c r="I11594" s="11"/>
    </row>
    <row r="11595" spans="1:12" ht="11.15" customHeight="1">
      <c r="A11595" s="162" t="s">
        <v>15392</v>
      </c>
      <c r="B11595" s="59" t="s">
        <v>22480</v>
      </c>
      <c r="C11595" s="147" t="s">
        <v>20221</v>
      </c>
      <c r="D11595" s="701" t="s">
        <v>1129</v>
      </c>
      <c r="E11595" s="178">
        <v>2023</v>
      </c>
      <c r="F11595" s="178" t="s">
        <v>4520</v>
      </c>
      <c r="G11595" s="496"/>
      <c r="H11595" s="994" t="s">
        <v>20221</v>
      </c>
      <c r="I11595" s="11" t="s">
        <v>15393</v>
      </c>
      <c r="J11595" s="1285"/>
      <c r="K11595" s="1285"/>
      <c r="L11595" s="1285"/>
    </row>
    <row r="11596" spans="1:12" ht="11.15" customHeight="1">
      <c r="A11596" s="162" t="s">
        <v>3702</v>
      </c>
      <c r="B11596" s="59" t="s">
        <v>22481</v>
      </c>
      <c r="C11596" s="147" t="s">
        <v>20221</v>
      </c>
      <c r="D11596" s="701" t="s">
        <v>1129</v>
      </c>
      <c r="E11596" s="178">
        <v>2021</v>
      </c>
      <c r="F11596" s="178" t="s">
        <v>4520</v>
      </c>
      <c r="G11596" s="496"/>
      <c r="H11596" s="994" t="s">
        <v>20221</v>
      </c>
      <c r="I11596" s="11" t="s">
        <v>15395</v>
      </c>
      <c r="J11596" s="1285"/>
      <c r="K11596" s="1285"/>
      <c r="L11596" s="1285"/>
    </row>
    <row r="11597" spans="1:12" ht="11.15" customHeight="1">
      <c r="A11597" s="162" t="s">
        <v>15394</v>
      </c>
      <c r="B11597" s="59" t="s">
        <v>22481</v>
      </c>
      <c r="C11597" s="147" t="s">
        <v>20221</v>
      </c>
      <c r="D11597" s="701" t="s">
        <v>1129</v>
      </c>
      <c r="E11597" s="178">
        <v>2020</v>
      </c>
      <c r="F11597" s="178" t="s">
        <v>4520</v>
      </c>
      <c r="G11597" s="496"/>
      <c r="H11597" s="994" t="s">
        <v>20277</v>
      </c>
      <c r="I11597" s="12" t="s">
        <v>15397</v>
      </c>
      <c r="J11597" s="1285"/>
      <c r="K11597" s="1285"/>
      <c r="L11597" s="1285"/>
    </row>
    <row r="11598" spans="1:12" ht="11.15" customHeight="1">
      <c r="A11598" s="162" t="s">
        <v>15396</v>
      </c>
      <c r="B11598" s="177" t="s">
        <v>15083</v>
      </c>
      <c r="C11598" s="147"/>
      <c r="D11598" s="159"/>
      <c r="E11598" s="36"/>
      <c r="F11598" s="178"/>
      <c r="G11598" s="60"/>
      <c r="H11598" s="178"/>
      <c r="I11598" s="11"/>
    </row>
    <row r="11599" spans="1:12" ht="11.15" customHeight="1">
      <c r="A11599" s="212" t="s">
        <v>15398</v>
      </c>
      <c r="B11599" s="59" t="s">
        <v>22482</v>
      </c>
      <c r="C11599" s="147" t="s">
        <v>20221</v>
      </c>
      <c r="D11599" s="701" t="s">
        <v>1129</v>
      </c>
      <c r="E11599" s="178">
        <v>2018</v>
      </c>
      <c r="F11599" s="178" t="s">
        <v>7168</v>
      </c>
      <c r="G11599" s="496"/>
      <c r="H11599" s="994" t="s">
        <v>20221</v>
      </c>
      <c r="I11599" s="11" t="s">
        <v>15400</v>
      </c>
      <c r="J11599" s="1285"/>
      <c r="K11599" s="1285"/>
      <c r="L11599" s="1285"/>
    </row>
    <row r="11600" spans="1:12" ht="11.15" customHeight="1">
      <c r="A11600" s="169" t="s">
        <v>15399</v>
      </c>
      <c r="B11600" s="59" t="s">
        <v>22483</v>
      </c>
      <c r="C11600" s="147" t="s">
        <v>20221</v>
      </c>
      <c r="D11600" s="701" t="s">
        <v>1129</v>
      </c>
      <c r="E11600" s="178">
        <v>2020</v>
      </c>
      <c r="F11600" s="178" t="s">
        <v>4520</v>
      </c>
      <c r="G11600" s="496"/>
      <c r="H11600" s="994" t="s">
        <v>20224</v>
      </c>
      <c r="I11600" s="11" t="s">
        <v>15402</v>
      </c>
      <c r="J11600" s="1285"/>
      <c r="K11600" s="1285"/>
      <c r="L11600" s="1285"/>
    </row>
    <row r="11601" spans="1:12" ht="11.15" customHeight="1">
      <c r="A11601" s="129" t="s">
        <v>15401</v>
      </c>
      <c r="B11601" s="59" t="s">
        <v>22484</v>
      </c>
      <c r="C11601" s="147" t="s">
        <v>20221</v>
      </c>
      <c r="D11601" s="701" t="s">
        <v>1129</v>
      </c>
      <c r="E11601" s="178">
        <v>2022</v>
      </c>
      <c r="F11601" s="178" t="s">
        <v>4520</v>
      </c>
      <c r="G11601" s="496"/>
      <c r="H11601" s="994" t="s">
        <v>20221</v>
      </c>
      <c r="I11601" s="12" t="s">
        <v>15405</v>
      </c>
      <c r="J11601" s="1285"/>
      <c r="K11601" s="1285"/>
      <c r="L11601" s="1285"/>
    </row>
    <row r="11602" spans="1:12" ht="11.15" customHeight="1">
      <c r="A11602" s="129" t="s">
        <v>15403</v>
      </c>
      <c r="B11602" s="59" t="s">
        <v>22484</v>
      </c>
      <c r="C11602" s="147" t="s">
        <v>20221</v>
      </c>
      <c r="D11602" s="701" t="s">
        <v>1129</v>
      </c>
      <c r="E11602" s="178">
        <v>2018</v>
      </c>
      <c r="F11602" s="178" t="s">
        <v>4520</v>
      </c>
      <c r="G11602" s="496"/>
      <c r="H11602" s="994" t="s">
        <v>20221</v>
      </c>
      <c r="I11602" s="11" t="s">
        <v>15406</v>
      </c>
      <c r="J11602" s="1285"/>
      <c r="K11602" s="1285"/>
      <c r="L11602" s="1285"/>
    </row>
    <row r="11603" spans="1:12" ht="11.15" customHeight="1">
      <c r="A11603" s="129" t="s">
        <v>15404</v>
      </c>
      <c r="B11603" s="59" t="s">
        <v>22485</v>
      </c>
      <c r="C11603" s="147" t="s">
        <v>20221</v>
      </c>
      <c r="D11603" s="701" t="s">
        <v>1129</v>
      </c>
      <c r="E11603" s="178">
        <v>2011</v>
      </c>
      <c r="F11603" s="178" t="s">
        <v>4520</v>
      </c>
      <c r="G11603" s="496"/>
      <c r="H11603" s="994" t="s">
        <v>20277</v>
      </c>
      <c r="I11603" s="11" t="s">
        <v>15407</v>
      </c>
      <c r="J11603" s="1285"/>
      <c r="K11603" s="1285"/>
      <c r="L11603" s="1285"/>
    </row>
    <row r="11604" spans="1:12" ht="11.15" customHeight="1">
      <c r="A11604" s="29"/>
      <c r="B11604" s="177" t="s">
        <v>15408</v>
      </c>
      <c r="C11604" s="147"/>
      <c r="D11604" s="159"/>
      <c r="E11604" s="36"/>
      <c r="F11604" s="178"/>
      <c r="G11604" s="60"/>
      <c r="H11604" s="36"/>
      <c r="I11604" s="11"/>
    </row>
    <row r="11605" spans="1:12" ht="11.15" customHeight="1">
      <c r="B11605" s="59" t="s">
        <v>22486</v>
      </c>
      <c r="C11605" s="147" t="s">
        <v>20221</v>
      </c>
      <c r="D11605" s="739" t="s">
        <v>1410</v>
      </c>
      <c r="E11605" s="178">
        <v>2018</v>
      </c>
      <c r="F11605" s="178" t="s">
        <v>23400</v>
      </c>
      <c r="G11605" s="496"/>
      <c r="H11605" s="994" t="s">
        <v>20221</v>
      </c>
      <c r="I11605" s="11" t="s">
        <v>15409</v>
      </c>
      <c r="J11605" s="1285"/>
      <c r="K11605" s="1285"/>
      <c r="L11605" s="1285"/>
    </row>
    <row r="11606" spans="1:12" ht="11.15" customHeight="1">
      <c r="A11606" s="185"/>
      <c r="B11606" s="90"/>
      <c r="C11606" s="147"/>
      <c r="D11606" s="182"/>
      <c r="E11606" s="36"/>
      <c r="F11606" s="183"/>
      <c r="G11606" s="496"/>
      <c r="H11606" s="34"/>
      <c r="I11606" s="11"/>
    </row>
    <row r="11607" spans="1:12" ht="11.15" customHeight="1">
      <c r="A11607" s="185"/>
      <c r="B11607" s="413" t="s">
        <v>15410</v>
      </c>
      <c r="C11607" s="147"/>
      <c r="D11607" s="182"/>
      <c r="E11607" s="36"/>
      <c r="F11607" s="183"/>
      <c r="G11607" s="496"/>
      <c r="H11607" s="34"/>
      <c r="I11607" s="11"/>
    </row>
    <row r="11608" spans="1:12" ht="9" customHeight="1">
      <c r="A11608" s="185"/>
      <c r="B11608" s="150" t="s">
        <v>15411</v>
      </c>
      <c r="C11608" s="147"/>
      <c r="D11608" s="182"/>
      <c r="E11608" s="36"/>
      <c r="F11608" s="183"/>
      <c r="G11608" s="496"/>
      <c r="H11608" s="34"/>
      <c r="I11608" s="11"/>
    </row>
    <row r="11609" spans="1:12" ht="9" customHeight="1">
      <c r="A11609" s="185"/>
      <c r="B11609" s="210" t="s">
        <v>15412</v>
      </c>
      <c r="C11609" s="147"/>
      <c r="D11609" s="182"/>
      <c r="E11609" s="36"/>
      <c r="F11609" s="183"/>
      <c r="G11609" s="496"/>
      <c r="H11609" s="34"/>
      <c r="I11609" s="11"/>
    </row>
    <row r="11610" spans="1:12" ht="9" customHeight="1" thickBot="1">
      <c r="A11610" s="150"/>
      <c r="B11610" s="150" t="s">
        <v>15413</v>
      </c>
      <c r="C11610" s="147"/>
      <c r="D11610" s="209"/>
      <c r="E11610" s="150"/>
      <c r="F11610" s="150"/>
      <c r="G11610" s="150"/>
      <c r="H11610" s="150"/>
      <c r="I11610" s="11"/>
    </row>
    <row r="11611" spans="1:12" ht="11.15" customHeight="1" thickBot="1">
      <c r="A11611" s="718" t="s">
        <v>15414</v>
      </c>
      <c r="B11611" s="154" t="s">
        <v>9612</v>
      </c>
      <c r="C11611" s="147"/>
      <c r="D11611" s="129"/>
      <c r="E11611" s="185"/>
      <c r="F11611" s="185"/>
      <c r="G11611" s="185"/>
      <c r="H11611" s="185"/>
      <c r="I11611" s="11"/>
    </row>
    <row r="11612" spans="1:12" ht="11.15" customHeight="1">
      <c r="A11612" s="29" t="s">
        <v>15415</v>
      </c>
      <c r="B11612" s="59" t="s">
        <v>22487</v>
      </c>
      <c r="C11612" s="147" t="s">
        <v>20221</v>
      </c>
      <c r="D11612" s="701" t="s">
        <v>1129</v>
      </c>
      <c r="E11612" s="178">
        <v>2024</v>
      </c>
      <c r="F11612" s="178" t="s">
        <v>4520</v>
      </c>
      <c r="G11612" s="496"/>
      <c r="H11612" s="994" t="s">
        <v>20221</v>
      </c>
      <c r="I11612" s="11" t="s">
        <v>15416</v>
      </c>
      <c r="J11612" s="1285"/>
      <c r="K11612" s="1285"/>
      <c r="L11612" s="1285"/>
    </row>
    <row r="11613" spans="1:12" ht="11.15" customHeight="1">
      <c r="A11613" s="29" t="s">
        <v>15417</v>
      </c>
      <c r="B11613" s="59" t="s">
        <v>22488</v>
      </c>
      <c r="C11613" s="147" t="s">
        <v>20221</v>
      </c>
      <c r="D11613" s="701" t="s">
        <v>1129</v>
      </c>
      <c r="E11613" s="178">
        <v>2021</v>
      </c>
      <c r="F11613" s="178" t="s">
        <v>4520</v>
      </c>
      <c r="G11613" s="496"/>
      <c r="H11613" s="994" t="s">
        <v>20221</v>
      </c>
      <c r="I11613" s="12" t="s">
        <v>15419</v>
      </c>
      <c r="J11613" s="1285"/>
      <c r="K11613" s="1285"/>
      <c r="L11613" s="1285"/>
    </row>
    <row r="11614" spans="1:12" ht="11.15" customHeight="1">
      <c r="A11614" s="29" t="s">
        <v>15418</v>
      </c>
      <c r="B11614" s="59" t="s">
        <v>22489</v>
      </c>
      <c r="C11614" s="147" t="s">
        <v>20221</v>
      </c>
      <c r="D11614" s="701" t="s">
        <v>1129</v>
      </c>
      <c r="E11614" s="178">
        <v>2018</v>
      </c>
      <c r="F11614" s="178" t="s">
        <v>23395</v>
      </c>
      <c r="G11614" s="496"/>
      <c r="H11614" s="994" t="s">
        <v>20221</v>
      </c>
      <c r="I11614" s="11" t="s">
        <v>15421</v>
      </c>
      <c r="J11614" s="1285"/>
      <c r="K11614" s="1285"/>
      <c r="L11614" s="1285"/>
    </row>
    <row r="11615" spans="1:12" ht="11.15" customHeight="1">
      <c r="A11615" s="451" t="s">
        <v>15420</v>
      </c>
      <c r="B11615" s="154" t="s">
        <v>1153</v>
      </c>
      <c r="C11615" s="147"/>
      <c r="D11615" s="129"/>
      <c r="E11615" s="185"/>
      <c r="F11615" s="185"/>
      <c r="G11615" s="185"/>
      <c r="H11615" s="185"/>
      <c r="I11615" s="11"/>
    </row>
    <row r="11616" spans="1:12" ht="11.15" customHeight="1">
      <c r="A11616" s="722" t="s">
        <v>15422</v>
      </c>
      <c r="B11616" s="59" t="s">
        <v>22490</v>
      </c>
      <c r="C11616" s="147" t="s">
        <v>20221</v>
      </c>
      <c r="D11616" s="1040" t="s">
        <v>2573</v>
      </c>
      <c r="E11616" s="178">
        <v>2022</v>
      </c>
      <c r="F11616" s="178" t="s">
        <v>4520</v>
      </c>
      <c r="G11616" s="496"/>
      <c r="H11616" s="994" t="s">
        <v>20221</v>
      </c>
      <c r="I11616" s="11" t="s">
        <v>15424</v>
      </c>
      <c r="J11616" s="1285"/>
      <c r="K11616" s="1285"/>
      <c r="L11616" s="1285"/>
    </row>
    <row r="11617" spans="1:12" ht="11.15" customHeight="1">
      <c r="A11617" s="181" t="s">
        <v>15423</v>
      </c>
      <c r="B11617" s="154" t="s">
        <v>9634</v>
      </c>
      <c r="C11617" s="147"/>
      <c r="D11617" s="159"/>
      <c r="E11617" s="36"/>
      <c r="F11617" s="178"/>
      <c r="G11617" s="496"/>
      <c r="H11617" s="36"/>
      <c r="I11617" s="11"/>
    </row>
    <row r="11618" spans="1:12" ht="11.15" customHeight="1">
      <c r="A11618" s="29" t="s">
        <v>15425</v>
      </c>
      <c r="B11618" s="59" t="s">
        <v>22491</v>
      </c>
      <c r="C11618" s="147" t="s">
        <v>20221</v>
      </c>
      <c r="D11618" s="284" t="s">
        <v>897</v>
      </c>
      <c r="E11618" s="178">
        <v>2021</v>
      </c>
      <c r="F11618" s="178" t="s">
        <v>4520</v>
      </c>
      <c r="G11618" s="496"/>
      <c r="H11618" s="994" t="s">
        <v>20221</v>
      </c>
      <c r="I11618" s="12" t="s">
        <v>15427</v>
      </c>
      <c r="J11618" s="1285"/>
      <c r="K11618" s="1285"/>
      <c r="L11618" s="1285"/>
    </row>
    <row r="11619" spans="1:12" ht="11.15" customHeight="1">
      <c r="A11619" s="719" t="s">
        <v>15426</v>
      </c>
      <c r="B11619" s="59" t="s">
        <v>22492</v>
      </c>
      <c r="C11619" s="147" t="s">
        <v>20221</v>
      </c>
      <c r="D11619" s="284" t="s">
        <v>897</v>
      </c>
      <c r="E11619" s="178">
        <v>2015</v>
      </c>
      <c r="F11619" s="178" t="s">
        <v>23395</v>
      </c>
      <c r="G11619" s="496"/>
      <c r="H11619" s="994" t="s">
        <v>20221</v>
      </c>
      <c r="I11619" s="12" t="s">
        <v>15428</v>
      </c>
      <c r="J11619" s="1285"/>
      <c r="K11619" s="1285"/>
      <c r="L11619" s="1285"/>
    </row>
    <row r="11620" spans="1:12" ht="11.15" customHeight="1">
      <c r="A11620" s="169" t="s">
        <v>15399</v>
      </c>
      <c r="B11620" s="154" t="s">
        <v>1408</v>
      </c>
      <c r="C11620" s="147"/>
      <c r="D11620" s="159"/>
      <c r="E11620" s="36"/>
      <c r="F11620" s="178"/>
      <c r="G11620" s="496"/>
      <c r="H11620" s="36"/>
      <c r="I11620" s="11"/>
    </row>
    <row r="11621" spans="1:12" ht="11.15" customHeight="1">
      <c r="A11621" s="129" t="s">
        <v>15429</v>
      </c>
      <c r="B11621" s="59" t="s">
        <v>22493</v>
      </c>
      <c r="C11621" s="147" t="s">
        <v>20221</v>
      </c>
      <c r="D11621" s="739" t="s">
        <v>1410</v>
      </c>
      <c r="E11621" s="178" t="s">
        <v>20221</v>
      </c>
      <c r="F11621" s="178" t="s">
        <v>23400</v>
      </c>
      <c r="G11621" s="496" t="s">
        <v>20221</v>
      </c>
      <c r="H11621" s="994" t="s">
        <v>3907</v>
      </c>
      <c r="I11621" s="12" t="s">
        <v>15430</v>
      </c>
      <c r="J11621" s="1285"/>
      <c r="K11621" s="1285"/>
      <c r="L11621" s="1285"/>
    </row>
    <row r="11622" spans="1:12" ht="11.15" customHeight="1" thickBot="1">
      <c r="A11622" s="185"/>
      <c r="B11622" s="90"/>
      <c r="C11622" s="147"/>
      <c r="D11622" s="182"/>
      <c r="E11622" s="36"/>
      <c r="F11622" s="183"/>
      <c r="G11622" s="496"/>
      <c r="H11622" s="34"/>
      <c r="I11622" s="12"/>
    </row>
    <row r="11623" spans="1:12" ht="24" customHeight="1" thickBot="1">
      <c r="A11623" s="381"/>
      <c r="B11623" s="64" t="s">
        <v>15431</v>
      </c>
      <c r="C11623" s="170"/>
      <c r="D11623" s="382"/>
      <c r="E11623" s="235"/>
      <c r="F11623" s="383"/>
      <c r="G11623" s="1249"/>
      <c r="H11623" s="1132"/>
      <c r="I11623" s="11"/>
    </row>
    <row r="11624" spans="1:12" ht="11.15" customHeight="1">
      <c r="A11624" s="185"/>
      <c r="B11624" s="146" t="s">
        <v>15432</v>
      </c>
      <c r="C11624" s="147"/>
      <c r="D11624" s="129"/>
      <c r="E11624" s="185"/>
      <c r="F11624" s="185"/>
      <c r="G11624" s="185"/>
      <c r="H11624" s="185"/>
      <c r="I11624" s="11"/>
    </row>
    <row r="11625" spans="1:12" ht="9" customHeight="1">
      <c r="A11625" s="185"/>
      <c r="B11625" s="420" t="s">
        <v>15433</v>
      </c>
      <c r="C11625" s="147"/>
      <c r="D11625" s="129"/>
      <c r="E11625" s="185"/>
      <c r="F11625" s="185"/>
      <c r="G11625" s="185"/>
      <c r="H11625" s="185"/>
      <c r="I11625" s="11"/>
    </row>
    <row r="11626" spans="1:12" ht="9" customHeight="1">
      <c r="A11626" s="185"/>
      <c r="B11626" s="420" t="s">
        <v>15434</v>
      </c>
      <c r="C11626" s="147"/>
      <c r="D11626" s="129"/>
      <c r="E11626" s="185"/>
      <c r="F11626" s="185"/>
      <c r="G11626" s="185"/>
      <c r="H11626" s="185"/>
      <c r="I11626" s="11"/>
    </row>
    <row r="11627" spans="1:12" ht="9" customHeight="1">
      <c r="A11627" s="185"/>
      <c r="B11627" s="152" t="s">
        <v>15435</v>
      </c>
      <c r="C11627" s="147"/>
      <c r="D11627" s="129"/>
      <c r="E11627" s="185"/>
      <c r="F11627" s="185"/>
      <c r="G11627" s="185"/>
      <c r="H11627" s="185"/>
      <c r="I11627" s="11"/>
    </row>
    <row r="11628" spans="1:12" ht="9" customHeight="1">
      <c r="A11628" s="185"/>
      <c r="B11628" s="152" t="s">
        <v>15436</v>
      </c>
      <c r="C11628" s="147"/>
      <c r="D11628" s="129"/>
      <c r="E11628" s="185"/>
      <c r="F11628" s="185"/>
      <c r="G11628" s="185"/>
      <c r="H11628" s="185"/>
      <c r="I11628" s="11"/>
    </row>
    <row r="11629" spans="1:12" ht="9" customHeight="1">
      <c r="A11629" s="185"/>
      <c r="B11629" s="152" t="s">
        <v>15437</v>
      </c>
      <c r="C11629" s="147"/>
      <c r="D11629" s="129"/>
      <c r="E11629" s="185"/>
      <c r="F11629" s="185"/>
      <c r="G11629" s="185"/>
      <c r="H11629" s="185"/>
      <c r="I11629" s="11"/>
    </row>
    <row r="11630" spans="1:12" ht="9" customHeight="1">
      <c r="A11630" s="185"/>
      <c r="B11630" s="152" t="s">
        <v>15438</v>
      </c>
      <c r="C11630" s="147"/>
      <c r="D11630" s="129"/>
      <c r="E11630" s="185"/>
      <c r="F11630" s="185"/>
      <c r="G11630" s="185"/>
      <c r="H11630" s="185"/>
      <c r="I11630" s="11"/>
    </row>
    <row r="11631" spans="1:12" ht="9" customHeight="1">
      <c r="A11631" s="185"/>
      <c r="B11631" s="152" t="s">
        <v>15439</v>
      </c>
      <c r="C11631" s="147"/>
      <c r="D11631" s="129"/>
      <c r="E11631" s="185"/>
      <c r="F11631" s="185"/>
      <c r="G11631" s="185"/>
      <c r="H11631" s="185"/>
      <c r="I11631" s="11"/>
    </row>
    <row r="11632" spans="1:12" ht="9" customHeight="1" thickBot="1">
      <c r="A11632" s="185"/>
      <c r="B11632" s="152" t="s">
        <v>15440</v>
      </c>
      <c r="C11632" s="147"/>
      <c r="D11632" s="129"/>
      <c r="E11632" s="185"/>
      <c r="F11632" s="185"/>
      <c r="G11632" s="185"/>
      <c r="H11632" s="185"/>
      <c r="I11632" s="11"/>
    </row>
    <row r="11633" spans="1:12" ht="11.25" customHeight="1" thickBot="1">
      <c r="A11633" s="718" t="s">
        <v>15441</v>
      </c>
      <c r="B11633" s="221" t="s">
        <v>2242</v>
      </c>
      <c r="C11633" s="147"/>
      <c r="D11633" s="129"/>
      <c r="E11633" s="185"/>
      <c r="F11633" s="185"/>
      <c r="G11633" s="185"/>
      <c r="H11633" s="185"/>
      <c r="I11633" s="11"/>
    </row>
    <row r="11634" spans="1:12" ht="12" customHeight="1">
      <c r="A11634" s="451" t="s">
        <v>15442</v>
      </c>
      <c r="B11634" s="59" t="s">
        <v>22494</v>
      </c>
      <c r="C11634" s="147" t="s">
        <v>20221</v>
      </c>
      <c r="D11634" s="701" t="s">
        <v>1129</v>
      </c>
      <c r="E11634" s="178">
        <v>2020</v>
      </c>
      <c r="F11634" s="178" t="s">
        <v>23395</v>
      </c>
      <c r="G11634" s="496"/>
      <c r="H11634" s="994" t="s">
        <v>20221</v>
      </c>
      <c r="I11634" s="11" t="s">
        <v>15443</v>
      </c>
      <c r="J11634" s="1285"/>
      <c r="K11634" s="1285"/>
      <c r="L11634" s="1285"/>
    </row>
    <row r="11635" spans="1:12" ht="11.15" customHeight="1">
      <c r="A11635" s="29" t="s">
        <v>15444</v>
      </c>
      <c r="B11635" s="59" t="s">
        <v>22495</v>
      </c>
      <c r="C11635" s="147" t="s">
        <v>20221</v>
      </c>
      <c r="D11635" s="701" t="s">
        <v>1129</v>
      </c>
      <c r="E11635" s="178">
        <v>2020</v>
      </c>
      <c r="F11635" s="178" t="s">
        <v>4520</v>
      </c>
      <c r="G11635" s="496"/>
      <c r="H11635" s="994" t="s">
        <v>20221</v>
      </c>
      <c r="I11635" s="11" t="s">
        <v>15445</v>
      </c>
      <c r="J11635" s="1285"/>
      <c r="K11635" s="1285"/>
      <c r="L11635" s="1285"/>
    </row>
    <row r="11636" spans="1:12" ht="11.15" customHeight="1">
      <c r="A11636" s="29" t="s">
        <v>15446</v>
      </c>
      <c r="B11636" s="221" t="s">
        <v>15447</v>
      </c>
      <c r="C11636" s="147"/>
      <c r="D11636" s="129"/>
      <c r="E11636" s="185"/>
      <c r="F11636" s="185"/>
      <c r="G11636" s="185"/>
      <c r="H11636" s="185"/>
      <c r="I11636" s="11"/>
    </row>
    <row r="11637" spans="1:12" ht="11.15" customHeight="1">
      <c r="A11637" s="29" t="s">
        <v>15448</v>
      </c>
      <c r="B11637" s="59" t="s">
        <v>22496</v>
      </c>
      <c r="C11637" s="147" t="s">
        <v>20221</v>
      </c>
      <c r="D11637" s="1035" t="s">
        <v>1370</v>
      </c>
      <c r="E11637" s="178">
        <v>2015</v>
      </c>
      <c r="F11637" s="178" t="s">
        <v>23395</v>
      </c>
      <c r="G11637" s="496"/>
      <c r="H11637" s="994" t="s">
        <v>20221</v>
      </c>
      <c r="I11637" s="11" t="s">
        <v>15449</v>
      </c>
      <c r="J11637" s="1285"/>
      <c r="K11637" s="1285"/>
      <c r="L11637" s="1285"/>
    </row>
    <row r="11638" spans="1:12" ht="11.15" customHeight="1">
      <c r="A11638" s="29" t="s">
        <v>15450</v>
      </c>
      <c r="B11638" s="59" t="s">
        <v>22497</v>
      </c>
      <c r="C11638" s="147" t="s">
        <v>20221</v>
      </c>
      <c r="D11638" s="1035" t="s">
        <v>1370</v>
      </c>
      <c r="E11638" s="178">
        <v>2015</v>
      </c>
      <c r="F11638" s="178" t="s">
        <v>4520</v>
      </c>
      <c r="G11638" s="496"/>
      <c r="H11638" s="994" t="s">
        <v>20221</v>
      </c>
      <c r="I11638" s="11" t="s">
        <v>15451</v>
      </c>
      <c r="J11638" s="1285"/>
      <c r="K11638" s="1285"/>
      <c r="L11638" s="1285"/>
    </row>
    <row r="11639" spans="1:12" ht="11.15" customHeight="1">
      <c r="A11639" s="181" t="s">
        <v>15452</v>
      </c>
      <c r="B11639" s="59" t="s">
        <v>22498</v>
      </c>
      <c r="C11639" s="147" t="s">
        <v>20221</v>
      </c>
      <c r="D11639" s="1035" t="s">
        <v>1370</v>
      </c>
      <c r="E11639" s="178">
        <v>2015</v>
      </c>
      <c r="F11639" s="178" t="s">
        <v>5257</v>
      </c>
      <c r="G11639" s="496"/>
      <c r="H11639" s="994" t="s">
        <v>20224</v>
      </c>
      <c r="I11639" s="11" t="s">
        <v>15453</v>
      </c>
      <c r="J11639" s="1285"/>
      <c r="K11639" s="1285"/>
      <c r="L11639" s="1285"/>
    </row>
    <row r="11640" spans="1:12" ht="11.15" customHeight="1">
      <c r="A11640" s="29" t="s">
        <v>15454</v>
      </c>
      <c r="B11640" s="177" t="s">
        <v>15455</v>
      </c>
      <c r="C11640" s="147"/>
      <c r="D11640" s="231"/>
      <c r="E11640" s="36"/>
      <c r="F11640" s="178"/>
      <c r="G11640" s="496"/>
      <c r="H11640" s="36"/>
      <c r="I11640" s="11"/>
    </row>
    <row r="11641" spans="1:12" ht="11.15" customHeight="1">
      <c r="A11641" s="29" t="s">
        <v>15456</v>
      </c>
      <c r="B11641" s="59" t="s">
        <v>22499</v>
      </c>
      <c r="C11641" s="147" t="s">
        <v>20221</v>
      </c>
      <c r="D11641" s="284" t="s">
        <v>897</v>
      </c>
      <c r="E11641" s="178">
        <v>2015</v>
      </c>
      <c r="F11641" s="178" t="s">
        <v>7168</v>
      </c>
      <c r="G11641" s="496"/>
      <c r="H11641" s="994" t="s">
        <v>20277</v>
      </c>
      <c r="I11641" s="11" t="s">
        <v>15457</v>
      </c>
      <c r="J11641" s="1285"/>
      <c r="K11641" s="1285"/>
      <c r="L11641" s="1285"/>
    </row>
    <row r="11642" spans="1:12" ht="11.15" customHeight="1">
      <c r="A11642" s="129" t="s">
        <v>15458</v>
      </c>
      <c r="B11642" s="59" t="s">
        <v>22500</v>
      </c>
      <c r="C11642" s="147" t="s">
        <v>20221</v>
      </c>
      <c r="D11642" s="284" t="s">
        <v>897</v>
      </c>
      <c r="E11642" s="178">
        <v>2019</v>
      </c>
      <c r="F11642" s="178" t="s">
        <v>4520</v>
      </c>
      <c r="G11642" s="496"/>
      <c r="H11642" s="994" t="s">
        <v>20221</v>
      </c>
      <c r="I11642" s="11" t="s">
        <v>15459</v>
      </c>
      <c r="J11642" s="1285"/>
      <c r="K11642" s="1285"/>
      <c r="L11642" s="1285"/>
    </row>
    <row r="11643" spans="1:12" ht="11.15" customHeight="1">
      <c r="A11643" s="162" t="s">
        <v>15460</v>
      </c>
      <c r="B11643" s="59" t="s">
        <v>22500</v>
      </c>
      <c r="C11643" s="147" t="s">
        <v>20221</v>
      </c>
      <c r="D11643" s="284" t="s">
        <v>897</v>
      </c>
      <c r="E11643" s="178">
        <v>2017</v>
      </c>
      <c r="F11643" s="178" t="s">
        <v>4520</v>
      </c>
      <c r="G11643" s="496"/>
      <c r="H11643" s="994" t="s">
        <v>20221</v>
      </c>
      <c r="I11643" s="11" t="s">
        <v>15461</v>
      </c>
      <c r="J11643" s="1285"/>
      <c r="K11643" s="1285"/>
      <c r="L11643" s="1285"/>
    </row>
    <row r="11644" spans="1:12" ht="11.15" customHeight="1">
      <c r="A11644" s="162" t="s">
        <v>15462</v>
      </c>
      <c r="B11644" s="59" t="s">
        <v>22501</v>
      </c>
      <c r="C11644" s="147" t="s">
        <v>20221</v>
      </c>
      <c r="D11644" s="284" t="s">
        <v>897</v>
      </c>
      <c r="E11644" s="178">
        <v>2019</v>
      </c>
      <c r="F11644" s="178" t="s">
        <v>4520</v>
      </c>
      <c r="G11644" s="496"/>
      <c r="H11644" s="994" t="s">
        <v>20221</v>
      </c>
      <c r="I11644" s="11" t="s">
        <v>15463</v>
      </c>
      <c r="J11644" s="1285"/>
      <c r="K11644" s="1285"/>
      <c r="L11644" s="1285"/>
    </row>
    <row r="11645" spans="1:12" ht="11.15" customHeight="1">
      <c r="A11645" s="162" t="s">
        <v>15464</v>
      </c>
      <c r="B11645" s="59" t="s">
        <v>22501</v>
      </c>
      <c r="C11645" s="147" t="s">
        <v>20221</v>
      </c>
      <c r="D11645" s="284" t="s">
        <v>897</v>
      </c>
      <c r="E11645" s="178">
        <v>2017</v>
      </c>
      <c r="F11645" s="178" t="s">
        <v>4520</v>
      </c>
      <c r="G11645" s="496"/>
      <c r="H11645" s="994" t="s">
        <v>20221</v>
      </c>
      <c r="I11645" s="11" t="s">
        <v>15465</v>
      </c>
      <c r="J11645" s="1285"/>
      <c r="K11645" s="1285"/>
      <c r="L11645" s="1285"/>
    </row>
    <row r="11646" spans="1:12" ht="11.15" customHeight="1">
      <c r="A11646" s="162" t="s">
        <v>15462</v>
      </c>
      <c r="B11646" s="59" t="s">
        <v>22502</v>
      </c>
      <c r="C11646" s="147" t="s">
        <v>20221</v>
      </c>
      <c r="D11646" s="284" t="s">
        <v>897</v>
      </c>
      <c r="E11646" s="178">
        <v>2019</v>
      </c>
      <c r="F11646" s="178" t="s">
        <v>5257</v>
      </c>
      <c r="G11646" s="496"/>
      <c r="H11646" s="994" t="s">
        <v>20221</v>
      </c>
      <c r="I11646" s="11" t="s">
        <v>15466</v>
      </c>
      <c r="J11646" s="1285"/>
      <c r="K11646" s="1285"/>
      <c r="L11646" s="1285"/>
    </row>
    <row r="11647" spans="1:12" ht="11.15" customHeight="1">
      <c r="A11647" s="129" t="s">
        <v>15467</v>
      </c>
      <c r="B11647" s="59" t="s">
        <v>22503</v>
      </c>
      <c r="C11647" s="147" t="s">
        <v>20221</v>
      </c>
      <c r="D11647" s="284" t="s">
        <v>897</v>
      </c>
      <c r="E11647" s="178">
        <v>2015</v>
      </c>
      <c r="F11647" s="178" t="s">
        <v>5257</v>
      </c>
      <c r="G11647" s="496"/>
      <c r="H11647" s="994" t="s">
        <v>20221</v>
      </c>
      <c r="I11647" s="11" t="s">
        <v>15468</v>
      </c>
      <c r="J11647" s="1285"/>
      <c r="K11647" s="1285"/>
      <c r="L11647" s="1285"/>
    </row>
    <row r="11648" spans="1:12" ht="11.15" customHeight="1">
      <c r="A11648" s="162" t="s">
        <v>15469</v>
      </c>
      <c r="B11648" s="177" t="s">
        <v>15470</v>
      </c>
      <c r="C11648" s="147"/>
      <c r="D11648" s="185"/>
      <c r="E11648" s="185"/>
      <c r="F11648" s="185"/>
      <c r="G11648" s="185"/>
      <c r="H11648" s="185"/>
      <c r="I11648" s="11"/>
    </row>
    <row r="11649" spans="1:12" ht="11.15" customHeight="1">
      <c r="A11649" s="162" t="s">
        <v>15471</v>
      </c>
      <c r="B11649" s="59" t="s">
        <v>22504</v>
      </c>
      <c r="C11649" s="147" t="s">
        <v>20221</v>
      </c>
      <c r="D11649" s="284" t="s">
        <v>897</v>
      </c>
      <c r="E11649" s="178">
        <v>2017</v>
      </c>
      <c r="F11649" s="178" t="s">
        <v>7168</v>
      </c>
      <c r="G11649" s="496"/>
      <c r="H11649" s="994" t="s">
        <v>20221</v>
      </c>
      <c r="I11649" s="11" t="s">
        <v>15472</v>
      </c>
      <c r="J11649" s="1285"/>
      <c r="K11649" s="1285"/>
      <c r="L11649" s="1285"/>
    </row>
    <row r="11650" spans="1:12" ht="11.15" customHeight="1">
      <c r="A11650" s="162" t="s">
        <v>15473</v>
      </c>
      <c r="B11650" s="59" t="s">
        <v>22505</v>
      </c>
      <c r="C11650" s="147" t="s">
        <v>20221</v>
      </c>
      <c r="D11650" s="284" t="s">
        <v>897</v>
      </c>
      <c r="E11650" s="178">
        <v>2018</v>
      </c>
      <c r="F11650" s="178" t="s">
        <v>7168</v>
      </c>
      <c r="G11650" s="496"/>
      <c r="H11650" s="994" t="s">
        <v>20221</v>
      </c>
      <c r="I11650" s="11" t="s">
        <v>15474</v>
      </c>
      <c r="J11650" s="1285"/>
      <c r="K11650" s="1285"/>
      <c r="L11650" s="1285"/>
    </row>
    <row r="11651" spans="1:12" ht="11.15" customHeight="1">
      <c r="A11651" s="162" t="s">
        <v>15475</v>
      </c>
      <c r="B11651" s="59" t="s">
        <v>22506</v>
      </c>
      <c r="C11651" s="147" t="s">
        <v>20221</v>
      </c>
      <c r="D11651" s="284" t="s">
        <v>897</v>
      </c>
      <c r="E11651" s="178">
        <v>2017</v>
      </c>
      <c r="F11651" s="178" t="s">
        <v>7168</v>
      </c>
      <c r="G11651" s="496"/>
      <c r="H11651" s="994" t="s">
        <v>20221</v>
      </c>
      <c r="I11651" s="11" t="s">
        <v>15476</v>
      </c>
      <c r="J11651" s="1285"/>
      <c r="K11651" s="1285"/>
      <c r="L11651" s="1285"/>
    </row>
    <row r="11652" spans="1:12" ht="11.15" customHeight="1">
      <c r="A11652" s="162" t="s">
        <v>15477</v>
      </c>
      <c r="B11652" s="59" t="s">
        <v>22507</v>
      </c>
      <c r="C11652" s="147" t="s">
        <v>20221</v>
      </c>
      <c r="D11652" s="284" t="s">
        <v>897</v>
      </c>
      <c r="E11652" s="178">
        <v>2015</v>
      </c>
      <c r="F11652" s="178" t="s">
        <v>4520</v>
      </c>
      <c r="G11652" s="496"/>
      <c r="H11652" s="994" t="s">
        <v>20221</v>
      </c>
      <c r="I11652" s="12" t="s">
        <v>15478</v>
      </c>
      <c r="J11652" s="1285"/>
      <c r="K11652" s="1285"/>
      <c r="L11652" s="1285"/>
    </row>
    <row r="11653" spans="1:12" ht="11.15" customHeight="1">
      <c r="A11653" s="162" t="s">
        <v>15479</v>
      </c>
      <c r="B11653" s="59" t="s">
        <v>22509</v>
      </c>
      <c r="C11653" s="147" t="s">
        <v>20221</v>
      </c>
      <c r="D11653" s="284" t="s">
        <v>897</v>
      </c>
      <c r="E11653" s="178">
        <v>2019</v>
      </c>
      <c r="F11653" s="178" t="s">
        <v>4520</v>
      </c>
      <c r="G11653" s="496"/>
      <c r="H11653" s="994" t="s">
        <v>20221</v>
      </c>
      <c r="I11653" s="11" t="s">
        <v>15480</v>
      </c>
      <c r="J11653" s="1285"/>
      <c r="K11653" s="1285"/>
      <c r="L11653" s="1285"/>
    </row>
    <row r="11654" spans="1:12" ht="11.15" customHeight="1">
      <c r="A11654" s="162" t="s">
        <v>15481</v>
      </c>
      <c r="B11654" s="59" t="s">
        <v>22509</v>
      </c>
      <c r="C11654" s="147" t="s">
        <v>20221</v>
      </c>
      <c r="D11654" s="284" t="s">
        <v>897</v>
      </c>
      <c r="E11654" s="178">
        <v>2016</v>
      </c>
      <c r="F11654" s="178" t="s">
        <v>4520</v>
      </c>
      <c r="G11654" s="496"/>
      <c r="H11654" s="994" t="s">
        <v>20221</v>
      </c>
      <c r="I11654" s="11" t="s">
        <v>15482</v>
      </c>
      <c r="J11654" s="1285"/>
      <c r="K11654" s="1285"/>
      <c r="L11654" s="1285"/>
    </row>
    <row r="11655" spans="1:12" ht="11.15" customHeight="1">
      <c r="A11655" s="162" t="s">
        <v>15483</v>
      </c>
      <c r="B11655" s="59" t="s">
        <v>22510</v>
      </c>
      <c r="C11655" s="147" t="s">
        <v>20221</v>
      </c>
      <c r="D11655" s="284" t="s">
        <v>897</v>
      </c>
      <c r="E11655" s="178">
        <v>2018</v>
      </c>
      <c r="F11655" s="178" t="s">
        <v>4520</v>
      </c>
      <c r="G11655" s="496"/>
      <c r="H11655" s="994" t="s">
        <v>20221</v>
      </c>
      <c r="I11655" s="11" t="s">
        <v>15484</v>
      </c>
      <c r="J11655" s="1285"/>
      <c r="K11655" s="1285"/>
      <c r="L11655" s="1285"/>
    </row>
    <row r="11656" spans="1:12" ht="11.15" customHeight="1">
      <c r="A11656" s="162" t="s">
        <v>15485</v>
      </c>
      <c r="B11656" s="59" t="s">
        <v>22510</v>
      </c>
      <c r="C11656" s="147" t="s">
        <v>20221</v>
      </c>
      <c r="D11656" s="284" t="s">
        <v>897</v>
      </c>
      <c r="E11656" s="178">
        <v>2013</v>
      </c>
      <c r="F11656" s="178" t="s">
        <v>4520</v>
      </c>
      <c r="G11656" s="496"/>
      <c r="H11656" s="994" t="s">
        <v>20224</v>
      </c>
      <c r="I11656" s="12" t="s">
        <v>15486</v>
      </c>
      <c r="J11656" s="1285"/>
      <c r="K11656" s="1285"/>
      <c r="L11656" s="1285"/>
    </row>
    <row r="11657" spans="1:12" ht="11.15" customHeight="1">
      <c r="A11657" s="162" t="s">
        <v>15487</v>
      </c>
      <c r="B11657" s="59" t="s">
        <v>22511</v>
      </c>
      <c r="C11657" s="147" t="s">
        <v>20221</v>
      </c>
      <c r="D11657" s="284" t="s">
        <v>897</v>
      </c>
      <c r="E11657" s="178">
        <v>2021</v>
      </c>
      <c r="F11657" s="178" t="s">
        <v>4520</v>
      </c>
      <c r="G11657" s="496"/>
      <c r="H11657" s="994" t="s">
        <v>20221</v>
      </c>
      <c r="I11657" s="11" t="s">
        <v>15488</v>
      </c>
      <c r="J11657" s="1285"/>
      <c r="K11657" s="1285"/>
      <c r="L11657" s="1285"/>
    </row>
    <row r="11658" spans="1:12" ht="11.15" customHeight="1">
      <c r="A11658" s="162" t="s">
        <v>15489</v>
      </c>
      <c r="B11658" s="59" t="s">
        <v>22511</v>
      </c>
      <c r="C11658" s="147" t="s">
        <v>20221</v>
      </c>
      <c r="D11658" s="284" t="s">
        <v>897</v>
      </c>
      <c r="E11658" s="178">
        <v>2018</v>
      </c>
      <c r="F11658" s="178" t="s">
        <v>4520</v>
      </c>
      <c r="G11658" s="496"/>
      <c r="H11658" s="994" t="s">
        <v>20221</v>
      </c>
      <c r="I11658" s="11" t="s">
        <v>15490</v>
      </c>
      <c r="J11658" s="1285"/>
      <c r="K11658" s="1285"/>
      <c r="L11658" s="1285"/>
    </row>
    <row r="11659" spans="1:12" ht="11.15" customHeight="1">
      <c r="A11659" s="162" t="s">
        <v>15491</v>
      </c>
      <c r="B11659" s="59" t="s">
        <v>22511</v>
      </c>
      <c r="C11659" s="147" t="s">
        <v>20221</v>
      </c>
      <c r="D11659" s="284" t="s">
        <v>897</v>
      </c>
      <c r="E11659" s="178">
        <v>2007</v>
      </c>
      <c r="F11659" s="178" t="s">
        <v>4520</v>
      </c>
      <c r="G11659" s="496"/>
      <c r="H11659" s="994" t="s">
        <v>20277</v>
      </c>
      <c r="I11659" s="11" t="s">
        <v>15492</v>
      </c>
      <c r="J11659" s="1285"/>
      <c r="K11659" s="1285"/>
      <c r="L11659" s="1285"/>
    </row>
    <row r="11660" spans="1:12" ht="11.15" customHeight="1">
      <c r="A11660" s="162" t="s">
        <v>15493</v>
      </c>
      <c r="B11660" s="59" t="s">
        <v>22512</v>
      </c>
      <c r="C11660" s="147" t="s">
        <v>20221</v>
      </c>
      <c r="D11660" s="284" t="s">
        <v>897</v>
      </c>
      <c r="E11660" s="178">
        <v>2016</v>
      </c>
      <c r="F11660" s="178" t="s">
        <v>5257</v>
      </c>
      <c r="G11660" s="496"/>
      <c r="H11660" s="994" t="s">
        <v>20224</v>
      </c>
      <c r="I11660" s="11" t="s">
        <v>15494</v>
      </c>
      <c r="J11660" s="1285"/>
      <c r="K11660" s="1285"/>
      <c r="L11660" s="1285"/>
    </row>
    <row r="11661" spans="1:12" ht="11.15" customHeight="1">
      <c r="A11661" s="162" t="s">
        <v>15495</v>
      </c>
      <c r="B11661" s="185"/>
      <c r="C11661" s="147"/>
      <c r="D11661" s="185"/>
      <c r="E11661" s="185"/>
      <c r="F11661" s="185"/>
      <c r="G11661" s="185"/>
      <c r="H11661" s="185"/>
      <c r="I11661" s="11"/>
    </row>
    <row r="11662" spans="1:12" ht="11.15" customHeight="1">
      <c r="A11662" s="162" t="s">
        <v>15496</v>
      </c>
      <c r="B11662" s="185"/>
      <c r="C11662" s="147"/>
      <c r="D11662" s="185"/>
      <c r="E11662" s="185"/>
      <c r="F11662" s="185"/>
      <c r="G11662" s="185"/>
      <c r="H11662" s="185"/>
      <c r="I11662" s="11"/>
    </row>
    <row r="11663" spans="1:12" ht="11.15" customHeight="1">
      <c r="A11663" s="162" t="s">
        <v>15497</v>
      </c>
      <c r="B11663" s="185"/>
      <c r="C11663" s="147"/>
      <c r="D11663" s="185"/>
      <c r="E11663" s="185"/>
      <c r="F11663" s="185"/>
      <c r="G11663" s="185"/>
      <c r="H11663" s="185"/>
      <c r="I11663" s="11"/>
    </row>
    <row r="11664" spans="1:12" ht="11.15" customHeight="1">
      <c r="A11664" s="166" t="s">
        <v>15498</v>
      </c>
      <c r="B11664" s="185"/>
      <c r="C11664" s="147"/>
      <c r="D11664" s="185"/>
      <c r="E11664" s="185"/>
      <c r="F11664" s="185"/>
      <c r="G11664" s="185"/>
      <c r="H11664" s="185"/>
      <c r="I11664" s="11"/>
    </row>
    <row r="11665" spans="1:9" ht="11.15" customHeight="1">
      <c r="A11665" s="169" t="s">
        <v>15499</v>
      </c>
      <c r="B11665" s="185"/>
      <c r="C11665" s="147"/>
      <c r="D11665" s="185"/>
      <c r="E11665" s="185"/>
      <c r="F11665" s="185"/>
      <c r="G11665" s="185"/>
      <c r="H11665" s="185"/>
      <c r="I11665" s="11"/>
    </row>
    <row r="11666" spans="1:9" ht="11.15" customHeight="1">
      <c r="A11666" s="129" t="s">
        <v>15500</v>
      </c>
      <c r="B11666" s="185"/>
      <c r="C11666" s="147"/>
      <c r="D11666" s="185"/>
      <c r="E11666" s="185"/>
      <c r="F11666" s="185"/>
      <c r="G11666" s="185"/>
      <c r="H11666" s="185"/>
      <c r="I11666" s="11"/>
    </row>
    <row r="11667" spans="1:9" ht="11.15" customHeight="1" thickBot="1">
      <c r="A11667" s="185"/>
      <c r="B11667" s="185"/>
      <c r="C11667" s="147"/>
      <c r="D11667" s="129"/>
      <c r="E11667" s="185"/>
      <c r="F11667" s="185"/>
      <c r="G11667" s="185"/>
      <c r="H11667" s="185"/>
      <c r="I11667" s="11"/>
    </row>
    <row r="11668" spans="1:9" ht="24" customHeight="1" thickBot="1">
      <c r="A11668" s="49"/>
      <c r="B11668" s="64" t="s">
        <v>15501</v>
      </c>
      <c r="C11668" s="170"/>
      <c r="D11668" s="723"/>
      <c r="E11668" s="144"/>
      <c r="F11668" s="1060"/>
      <c r="G11668" s="1249"/>
      <c r="H11668" s="1132"/>
      <c r="I11668" s="1131"/>
    </row>
    <row r="11669" spans="1:9" ht="11.15" customHeight="1">
      <c r="A11669" s="724" t="s">
        <v>15502</v>
      </c>
      <c r="B11669" s="725" t="s">
        <v>15503</v>
      </c>
      <c r="C11669" s="147"/>
      <c r="D11669" s="726"/>
      <c r="E11669" s="172"/>
      <c r="F11669" s="1062"/>
      <c r="G11669" s="1254"/>
      <c r="H11669" s="172"/>
      <c r="I11669" s="11"/>
    </row>
    <row r="11670" spans="1:9" ht="11.15" customHeight="1">
      <c r="A11670" s="603" t="s">
        <v>15504</v>
      </c>
      <c r="B11670" s="727" t="s">
        <v>15505</v>
      </c>
      <c r="C11670" s="147"/>
      <c r="D11670" s="129"/>
      <c r="E11670" s="29"/>
      <c r="F11670" s="29"/>
      <c r="G11670" s="29"/>
      <c r="H11670" s="29"/>
      <c r="I11670" s="11"/>
    </row>
    <row r="11671" spans="1:9" ht="11.15" customHeight="1">
      <c r="A11671" s="603" t="s">
        <v>15506</v>
      </c>
      <c r="B11671" s="728" t="s">
        <v>15507</v>
      </c>
      <c r="C11671" s="147"/>
      <c r="D11671" s="129"/>
      <c r="E11671" s="29"/>
      <c r="F11671" s="29"/>
      <c r="G11671" s="29"/>
      <c r="H11671" s="29"/>
      <c r="I11671" s="11"/>
    </row>
    <row r="11672" spans="1:9" ht="11.15" customHeight="1">
      <c r="A11672" s="603" t="s">
        <v>15508</v>
      </c>
      <c r="B11672" s="603" t="s">
        <v>15509</v>
      </c>
      <c r="C11672" s="147"/>
      <c r="D11672" s="122"/>
      <c r="E11672" s="36"/>
      <c r="F11672" s="178"/>
      <c r="G11672" s="453"/>
      <c r="H11672" s="36"/>
      <c r="I11672" s="11"/>
    </row>
    <row r="11673" spans="1:9" ht="11.15" customHeight="1">
      <c r="A11673" s="603" t="s">
        <v>15510</v>
      </c>
      <c r="B11673" s="728" t="s">
        <v>15511</v>
      </c>
      <c r="C11673" s="147"/>
      <c r="D11673" s="122"/>
      <c r="E11673" s="36"/>
      <c r="F11673" s="178"/>
      <c r="G11673" s="453"/>
      <c r="H11673" s="36"/>
      <c r="I11673" s="11"/>
    </row>
    <row r="11674" spans="1:9" ht="11.15" customHeight="1">
      <c r="A11674" s="603" t="s">
        <v>15512</v>
      </c>
      <c r="B11674" s="728" t="s">
        <v>15513</v>
      </c>
      <c r="C11674" s="147"/>
      <c r="D11674" s="122"/>
      <c r="E11674" s="36"/>
      <c r="F11674" s="178"/>
      <c r="G11674" s="453"/>
      <c r="H11674" s="36"/>
      <c r="I11674" s="11"/>
    </row>
    <row r="11675" spans="1:9" ht="11.15" customHeight="1">
      <c r="A11675" s="603" t="s">
        <v>15514</v>
      </c>
      <c r="B11675" s="727" t="s">
        <v>15515</v>
      </c>
      <c r="C11675" s="147"/>
      <c r="D11675" s="122"/>
      <c r="E11675" s="36"/>
      <c r="F11675" s="178"/>
      <c r="G11675" s="453"/>
      <c r="H11675" s="36"/>
      <c r="I11675" s="11"/>
    </row>
    <row r="11676" spans="1:9" ht="11.15" customHeight="1">
      <c r="A11676" s="603" t="s">
        <v>15516</v>
      </c>
      <c r="B11676" s="728" t="s">
        <v>15517</v>
      </c>
      <c r="C11676" s="147"/>
      <c r="D11676" s="58"/>
      <c r="E11676" s="90"/>
      <c r="F11676" s="59"/>
      <c r="G11676" s="74"/>
      <c r="H11676" s="90"/>
      <c r="I11676" s="11"/>
    </row>
    <row r="11677" spans="1:9" ht="11.15" customHeight="1">
      <c r="A11677" s="603" t="s">
        <v>15518</v>
      </c>
      <c r="B11677" s="728" t="s">
        <v>15519</v>
      </c>
      <c r="C11677" s="147"/>
      <c r="D11677" s="58"/>
      <c r="E11677" s="90"/>
      <c r="F11677" s="59"/>
      <c r="G11677" s="74"/>
      <c r="H11677" s="90"/>
      <c r="I11677" s="11"/>
    </row>
    <row r="11678" spans="1:9" ht="11.15" customHeight="1">
      <c r="A11678" s="603" t="s">
        <v>15520</v>
      </c>
      <c r="B11678" s="728" t="s">
        <v>15521</v>
      </c>
      <c r="C11678" s="147"/>
      <c r="D11678" s="726"/>
      <c r="E11678" s="172"/>
      <c r="F11678" s="1062"/>
      <c r="G11678" s="1254"/>
      <c r="H11678" s="172"/>
      <c r="I11678" s="11"/>
    </row>
    <row r="11679" spans="1:9" ht="11.15" customHeight="1">
      <c r="A11679" s="603" t="s">
        <v>15522</v>
      </c>
      <c r="B11679" s="727" t="s">
        <v>15523</v>
      </c>
      <c r="C11679" s="147"/>
      <c r="D11679" s="58"/>
      <c r="E11679" s="90"/>
      <c r="F11679" s="59"/>
      <c r="G11679" s="74"/>
      <c r="H11679" s="90"/>
      <c r="I11679" s="11"/>
    </row>
    <row r="11680" spans="1:9" ht="11.15" customHeight="1">
      <c r="A11680" s="603" t="s">
        <v>15524</v>
      </c>
      <c r="B11680" s="729" t="s">
        <v>15525</v>
      </c>
      <c r="C11680" s="147"/>
      <c r="D11680" s="58"/>
      <c r="E11680" s="90"/>
      <c r="F11680" s="59"/>
      <c r="G11680" s="1187"/>
      <c r="H11680" s="90"/>
      <c r="I11680" s="11"/>
    </row>
    <row r="11681" spans="1:9" ht="11.15" customHeight="1">
      <c r="A11681" s="603" t="s">
        <v>15526</v>
      </c>
      <c r="B11681" s="727" t="s">
        <v>15527</v>
      </c>
      <c r="C11681" s="147"/>
      <c r="D11681" s="58"/>
      <c r="E11681" s="90"/>
      <c r="F11681" s="59"/>
      <c r="G11681" s="1187"/>
      <c r="H11681" s="90"/>
      <c r="I11681" s="11"/>
    </row>
    <row r="11682" spans="1:9" ht="11.15" customHeight="1" thickBot="1">
      <c r="A11682" s="606" t="s">
        <v>15528</v>
      </c>
      <c r="B11682" s="727" t="s">
        <v>15529</v>
      </c>
      <c r="C11682" s="147"/>
      <c r="D11682" s="58"/>
      <c r="E11682" s="90"/>
      <c r="F11682" s="59"/>
      <c r="G11682" s="1187"/>
      <c r="H11682" s="90"/>
      <c r="I11682" s="11"/>
    </row>
    <row r="11683" spans="1:9" ht="11.15" customHeight="1">
      <c r="A11683" s="29"/>
      <c r="B11683" s="728" t="s">
        <v>15530</v>
      </c>
      <c r="C11683" s="147"/>
      <c r="D11683" s="58"/>
      <c r="E11683" s="90"/>
      <c r="F11683" s="59"/>
      <c r="G11683" s="1187"/>
      <c r="H11683" s="90"/>
      <c r="I11683" s="11"/>
    </row>
    <row r="11684" spans="1:9" ht="11.15" customHeight="1">
      <c r="A11684" s="29"/>
      <c r="B11684" s="728" t="s">
        <v>15531</v>
      </c>
      <c r="C11684" s="147"/>
      <c r="D11684" s="58"/>
      <c r="E11684" s="90"/>
      <c r="F11684" s="59"/>
      <c r="G11684" s="1187"/>
      <c r="H11684" s="90"/>
      <c r="I11684" s="11"/>
    </row>
    <row r="11685" spans="1:9" ht="11.15" customHeight="1">
      <c r="A11685" s="29"/>
      <c r="B11685" s="728" t="s">
        <v>15532</v>
      </c>
      <c r="C11685" s="147"/>
      <c r="D11685" s="58"/>
      <c r="E11685" s="90"/>
      <c r="F11685" s="59"/>
      <c r="G11685" s="1187"/>
      <c r="H11685" s="90"/>
      <c r="I11685" s="11"/>
    </row>
    <row r="11686" spans="1:9" ht="11.15" customHeight="1">
      <c r="A11686" s="29"/>
      <c r="B11686" s="728" t="s">
        <v>15533</v>
      </c>
      <c r="C11686" s="147"/>
      <c r="D11686" s="59"/>
      <c r="E11686" s="90"/>
      <c r="F11686" s="59"/>
      <c r="G11686" s="1187"/>
      <c r="H11686" s="90"/>
      <c r="I11686" s="11"/>
    </row>
    <row r="11687" spans="1:9" ht="11.15" customHeight="1">
      <c r="A11687" s="29"/>
      <c r="B11687" s="728" t="s">
        <v>15534</v>
      </c>
      <c r="C11687" s="147"/>
      <c r="D11687" s="58"/>
      <c r="E11687" s="90"/>
      <c r="F11687" s="59"/>
      <c r="G11687" s="1187"/>
      <c r="H11687" s="90"/>
      <c r="I11687" s="11"/>
    </row>
    <row r="11688" spans="1:9" ht="11.15" customHeight="1">
      <c r="A11688" s="29"/>
      <c r="B11688" s="728" t="s">
        <v>15535</v>
      </c>
      <c r="C11688" s="147"/>
      <c r="D11688" s="58"/>
      <c r="E11688" s="90"/>
      <c r="F11688" s="59"/>
      <c r="G11688" s="1187"/>
      <c r="H11688" s="90"/>
      <c r="I11688" s="11"/>
    </row>
    <row r="11689" spans="1:9" ht="11.15" customHeight="1">
      <c r="A11689" s="29"/>
      <c r="B11689" s="728" t="s">
        <v>15536</v>
      </c>
      <c r="C11689" s="147"/>
      <c r="D11689" s="58"/>
      <c r="E11689" s="36"/>
      <c r="F11689" s="178"/>
      <c r="G11689" s="453"/>
      <c r="H11689" s="36"/>
      <c r="I11689" s="11"/>
    </row>
    <row r="11690" spans="1:9" ht="11.15" customHeight="1">
      <c r="A11690" s="29"/>
      <c r="B11690" s="728" t="s">
        <v>15537</v>
      </c>
      <c r="C11690" s="147"/>
      <c r="D11690" s="58"/>
      <c r="E11690" s="36"/>
      <c r="F11690" s="178"/>
      <c r="G11690" s="453"/>
      <c r="H11690" s="36"/>
      <c r="I11690" s="11"/>
    </row>
    <row r="11691" spans="1:9" ht="11.15" customHeight="1">
      <c r="A11691" s="29"/>
      <c r="B11691" s="728" t="s">
        <v>15538</v>
      </c>
      <c r="C11691" s="147"/>
      <c r="D11691" s="122"/>
      <c r="E11691" s="36"/>
      <c r="F11691" s="178"/>
      <c r="G11691" s="453"/>
      <c r="H11691" s="36"/>
      <c r="I11691" s="11"/>
    </row>
    <row r="11692" spans="1:9" ht="11.15" customHeight="1">
      <c r="A11692" s="29"/>
      <c r="B11692" s="729" t="s">
        <v>15539</v>
      </c>
      <c r="C11692" s="147"/>
      <c r="D11692" s="129"/>
      <c r="E11692" s="29"/>
      <c r="F11692" s="29"/>
      <c r="G11692" s="29"/>
      <c r="H11692" s="29"/>
      <c r="I11692" s="11"/>
    </row>
    <row r="11693" spans="1:9" ht="11.15" customHeight="1">
      <c r="A11693" s="29"/>
      <c r="B11693" s="727" t="s">
        <v>15540</v>
      </c>
      <c r="C11693" s="147"/>
      <c r="D11693" s="129"/>
      <c r="E11693" s="29"/>
      <c r="F11693" s="29"/>
      <c r="G11693" s="29"/>
      <c r="H11693" s="29"/>
      <c r="I11693" s="11"/>
    </row>
    <row r="11694" spans="1:9" ht="11.15" customHeight="1">
      <c r="A11694" s="29"/>
      <c r="B11694" s="728" t="s">
        <v>15541</v>
      </c>
      <c r="C11694" s="147"/>
      <c r="D11694" s="129"/>
      <c r="E11694" s="29"/>
      <c r="F11694" s="29"/>
      <c r="G11694" s="29"/>
      <c r="H11694" s="29"/>
      <c r="I11694" s="11"/>
    </row>
    <row r="11695" spans="1:9" ht="11.15" customHeight="1">
      <c r="A11695" s="29"/>
      <c r="B11695" s="728" t="s">
        <v>15542</v>
      </c>
      <c r="C11695" s="147"/>
      <c r="D11695" s="129"/>
      <c r="E11695" s="29"/>
      <c r="F11695" s="29"/>
      <c r="G11695" s="29"/>
      <c r="H11695" s="29"/>
      <c r="I11695" s="11"/>
    </row>
    <row r="11696" spans="1:9" ht="11.15" customHeight="1">
      <c r="A11696" s="29"/>
      <c r="B11696" s="728" t="s">
        <v>15543</v>
      </c>
      <c r="C11696" s="147"/>
      <c r="D11696" s="129"/>
      <c r="E11696" s="29"/>
      <c r="F11696" s="29"/>
      <c r="G11696" s="29"/>
      <c r="H11696" s="29"/>
      <c r="I11696" s="11"/>
    </row>
    <row r="11697" spans="1:9" ht="11.15" customHeight="1">
      <c r="A11697" s="29"/>
      <c r="B11697" s="729" t="s">
        <v>15544</v>
      </c>
      <c r="C11697" s="147"/>
      <c r="D11697" s="58"/>
      <c r="E11697" s="36"/>
      <c r="F11697" s="178"/>
      <c r="G11697" s="453"/>
      <c r="H11697" s="36"/>
      <c r="I11697" s="11"/>
    </row>
    <row r="11698" spans="1:9" ht="11.15" customHeight="1">
      <c r="A11698" s="29"/>
      <c r="B11698" s="728" t="s">
        <v>15545</v>
      </c>
      <c r="C11698" s="147"/>
      <c r="D11698" s="122"/>
      <c r="E11698" s="36"/>
      <c r="F11698" s="178"/>
      <c r="G11698" s="453"/>
      <c r="H11698" s="36"/>
      <c r="I11698" s="11"/>
    </row>
    <row r="11699" spans="1:9" ht="11.15" customHeight="1">
      <c r="A11699" s="29"/>
      <c r="B11699" s="728" t="s">
        <v>15546</v>
      </c>
      <c r="C11699" s="147"/>
      <c r="D11699" s="129"/>
      <c r="E11699" s="29"/>
      <c r="F11699" s="29"/>
      <c r="G11699" s="29"/>
      <c r="H11699" s="29"/>
      <c r="I11699" s="11"/>
    </row>
    <row r="11700" spans="1:9" ht="11.15" customHeight="1">
      <c r="A11700" s="29"/>
      <c r="B11700" s="728" t="s">
        <v>15547</v>
      </c>
      <c r="C11700" s="147"/>
      <c r="D11700" s="129"/>
      <c r="E11700" s="29"/>
      <c r="F11700" s="29"/>
      <c r="G11700" s="29"/>
      <c r="H11700" s="29"/>
      <c r="I11700" s="11"/>
    </row>
    <row r="11701" spans="1:9" ht="11.15" customHeight="1">
      <c r="A11701" s="29"/>
      <c r="B11701" s="728" t="s">
        <v>15548</v>
      </c>
      <c r="C11701" s="147"/>
      <c r="D11701" s="122"/>
      <c r="E11701" s="90"/>
      <c r="F11701" s="59"/>
      <c r="G11701" s="1187"/>
      <c r="H11701" s="90"/>
      <c r="I11701" s="11"/>
    </row>
    <row r="11702" spans="1:9" ht="11.15" customHeight="1">
      <c r="A11702" s="29"/>
      <c r="B11702" s="728" t="s">
        <v>15549</v>
      </c>
      <c r="C11702" s="147"/>
      <c r="D11702" s="122"/>
      <c r="E11702" s="90"/>
      <c r="F11702" s="59"/>
      <c r="G11702" s="1187"/>
      <c r="H11702" s="90"/>
      <c r="I11702" s="11"/>
    </row>
    <row r="11703" spans="1:9" ht="11.15" customHeight="1">
      <c r="A11703" s="29"/>
      <c r="B11703" s="728" t="s">
        <v>15550</v>
      </c>
      <c r="C11703" s="147"/>
      <c r="D11703" s="122"/>
      <c r="E11703" s="90"/>
      <c r="F11703" s="59"/>
      <c r="G11703" s="1187"/>
      <c r="H11703" s="90"/>
      <c r="I11703" s="11"/>
    </row>
    <row r="11704" spans="1:9" ht="11.15" customHeight="1">
      <c r="A11704" s="29"/>
      <c r="B11704" s="728" t="s">
        <v>15551</v>
      </c>
      <c r="C11704" s="147"/>
      <c r="D11704" s="122"/>
      <c r="E11704" s="90"/>
      <c r="F11704" s="59"/>
      <c r="G11704" s="1187"/>
      <c r="H11704" s="90"/>
      <c r="I11704" s="11"/>
    </row>
    <row r="11705" spans="1:9" ht="11.15" customHeight="1">
      <c r="A11705" s="29"/>
      <c r="B11705" s="727" t="s">
        <v>15552</v>
      </c>
      <c r="C11705" s="147"/>
      <c r="D11705" s="122"/>
      <c r="E11705" s="90"/>
      <c r="F11705" s="59"/>
      <c r="G11705" s="1187"/>
      <c r="H11705" s="90"/>
      <c r="I11705" s="11"/>
    </row>
    <row r="11706" spans="1:9" ht="11.15" customHeight="1">
      <c r="A11706" s="29"/>
      <c r="B11706" s="727" t="s">
        <v>15553</v>
      </c>
      <c r="C11706" s="147"/>
      <c r="D11706" s="129"/>
      <c r="E11706" s="29"/>
      <c r="F11706" s="29"/>
      <c r="G11706" s="29"/>
      <c r="H11706" s="29"/>
      <c r="I11706" s="11"/>
    </row>
    <row r="11707" spans="1:9" ht="11.15" customHeight="1" thickBot="1">
      <c r="A11707" s="29"/>
      <c r="B11707" s="730" t="s">
        <v>15554</v>
      </c>
      <c r="C11707" s="147"/>
      <c r="D11707" s="129"/>
      <c r="E11707" s="29"/>
      <c r="F11707" s="29"/>
      <c r="G11707" s="29"/>
      <c r="H11707" s="29"/>
      <c r="I11707" s="11"/>
    </row>
    <row r="11708" spans="1:9" ht="12" customHeight="1" thickBot="1">
      <c r="A11708" s="29"/>
      <c r="B11708" s="274"/>
      <c r="C11708" s="147"/>
      <c r="D11708" s="122"/>
      <c r="E11708" s="36"/>
      <c r="F11708" s="178"/>
      <c r="G11708" s="453"/>
      <c r="H11708" s="36"/>
      <c r="I11708" s="11"/>
    </row>
    <row r="11709" spans="1:9" ht="24" customHeight="1">
      <c r="A11709" s="584"/>
      <c r="B11709" s="298" t="s">
        <v>15555</v>
      </c>
      <c r="C11709" s="191"/>
      <c r="D11709" s="306"/>
      <c r="E11709" s="300"/>
      <c r="F11709" s="1067" t="s">
        <v>1220</v>
      </c>
      <c r="G11709" s="1198"/>
      <c r="H11709" s="1129"/>
      <c r="I11709" s="11"/>
    </row>
    <row r="11710" spans="1:9" ht="24" customHeight="1" thickBot="1">
      <c r="A11710" s="301"/>
      <c r="B11710" s="302" t="s">
        <v>15556</v>
      </c>
      <c r="C11710" s="203"/>
      <c r="D11710" s="303"/>
      <c r="E11710" s="304"/>
      <c r="F11710" s="1068"/>
      <c r="G11710" s="1199"/>
      <c r="H11710" s="1130"/>
      <c r="I11710" s="11"/>
    </row>
    <row r="11711" spans="1:9" ht="11.15" customHeight="1">
      <c r="A11711" s="185"/>
      <c r="B11711" s="146" t="s">
        <v>15557</v>
      </c>
      <c r="C11711" s="147"/>
      <c r="D11711" s="129"/>
      <c r="E11711" s="185"/>
      <c r="F11711" s="185"/>
      <c r="G11711" s="185"/>
      <c r="H11711" s="185"/>
      <c r="I11711" s="11"/>
    </row>
    <row r="11712" spans="1:9" ht="9" customHeight="1">
      <c r="A11712" s="185"/>
      <c r="B11712" s="209" t="s">
        <v>15558</v>
      </c>
      <c r="C11712" s="147"/>
      <c r="D11712" s="129"/>
      <c r="E11712" s="185"/>
      <c r="F11712" s="185"/>
      <c r="G11712" s="185"/>
      <c r="H11712" s="185"/>
      <c r="I11712" s="11"/>
    </row>
    <row r="11713" spans="1:9" ht="9" customHeight="1">
      <c r="A11713" s="185"/>
      <c r="B11713" s="150" t="s">
        <v>15559</v>
      </c>
      <c r="C11713" s="147"/>
      <c r="D11713" s="129"/>
      <c r="E11713" s="185"/>
      <c r="F11713" s="185"/>
      <c r="G11713" s="185"/>
      <c r="H11713" s="185"/>
      <c r="I11713" s="11"/>
    </row>
    <row r="11714" spans="1:9" ht="9" customHeight="1">
      <c r="A11714" s="185"/>
      <c r="B11714" s="209" t="s">
        <v>15560</v>
      </c>
      <c r="C11714" s="147"/>
      <c r="D11714" s="159"/>
      <c r="E11714" s="36"/>
      <c r="F11714" s="183"/>
      <c r="G11714" s="1217"/>
      <c r="H11714" s="34"/>
      <c r="I11714" s="11"/>
    </row>
    <row r="11715" spans="1:9" ht="9" customHeight="1">
      <c r="A11715" s="185"/>
      <c r="B11715" s="209" t="s">
        <v>15561</v>
      </c>
      <c r="C11715" s="147"/>
      <c r="D11715" s="159"/>
      <c r="E11715" s="36"/>
      <c r="F11715" s="183"/>
      <c r="G11715" s="1217"/>
      <c r="H11715" s="34"/>
      <c r="I11715" s="11"/>
    </row>
    <row r="11716" spans="1:9" ht="9" customHeight="1">
      <c r="A11716" s="185"/>
      <c r="B11716" s="216" t="s">
        <v>15562</v>
      </c>
      <c r="C11716" s="147"/>
      <c r="D11716" s="159"/>
      <c r="E11716" s="36"/>
      <c r="F11716" s="183"/>
      <c r="G11716" s="1217"/>
      <c r="H11716" s="34"/>
      <c r="I11716" s="11"/>
    </row>
    <row r="11717" spans="1:9" ht="9" customHeight="1">
      <c r="A11717" s="185"/>
      <c r="B11717" s="209" t="s">
        <v>15563</v>
      </c>
      <c r="C11717" s="147"/>
      <c r="D11717" s="159"/>
      <c r="E11717" s="36"/>
      <c r="F11717" s="183"/>
      <c r="G11717" s="1217"/>
      <c r="H11717" s="34"/>
      <c r="I11717" s="11"/>
    </row>
    <row r="11718" spans="1:9" ht="9" customHeight="1">
      <c r="A11718" s="185"/>
      <c r="B11718" s="672" t="s">
        <v>15564</v>
      </c>
      <c r="C11718" s="147"/>
      <c r="D11718" s="159"/>
      <c r="E11718" s="36"/>
      <c r="F11718" s="183"/>
      <c r="G11718" s="1217"/>
      <c r="H11718" s="34"/>
      <c r="I11718" s="11"/>
    </row>
    <row r="11719" spans="1:9" ht="9" customHeight="1">
      <c r="A11719" s="185"/>
      <c r="B11719" s="1348" t="s">
        <v>15565</v>
      </c>
      <c r="C11719" s="147"/>
      <c r="D11719" s="159"/>
      <c r="E11719" s="36"/>
      <c r="F11719" s="183"/>
      <c r="G11719" s="1217"/>
      <c r="H11719" s="34"/>
      <c r="I11719" s="11"/>
    </row>
    <row r="11720" spans="1:9" ht="9" customHeight="1">
      <c r="A11720" s="185"/>
      <c r="B11720" s="1348" t="s">
        <v>15566</v>
      </c>
      <c r="C11720" s="147"/>
      <c r="D11720" s="159"/>
      <c r="E11720" s="36"/>
      <c r="F11720" s="183"/>
      <c r="G11720" s="1217"/>
      <c r="H11720" s="34"/>
      <c r="I11720" s="11"/>
    </row>
    <row r="11721" spans="1:9" ht="9" customHeight="1">
      <c r="A11721" s="185"/>
      <c r="B11721" s="150" t="s">
        <v>15567</v>
      </c>
      <c r="C11721" s="147"/>
      <c r="D11721" s="159"/>
      <c r="E11721" s="36"/>
      <c r="F11721" s="183"/>
      <c r="G11721" s="1217"/>
      <c r="H11721" s="34"/>
      <c r="I11721" s="11"/>
    </row>
    <row r="11722" spans="1:9" ht="9" customHeight="1">
      <c r="A11722" s="185"/>
      <c r="B11722" s="150" t="s">
        <v>15568</v>
      </c>
      <c r="C11722" s="147"/>
      <c r="D11722" s="159"/>
      <c r="E11722" s="36"/>
      <c r="F11722" s="183"/>
      <c r="G11722" s="1217"/>
      <c r="H11722" s="34"/>
      <c r="I11722" s="11"/>
    </row>
    <row r="11723" spans="1:9" ht="9" customHeight="1">
      <c r="A11723" s="185"/>
      <c r="B11723" s="1348" t="s">
        <v>15569</v>
      </c>
      <c r="C11723" s="147"/>
      <c r="D11723" s="159"/>
      <c r="E11723" s="36"/>
      <c r="F11723" s="183"/>
      <c r="G11723" s="1217"/>
      <c r="H11723" s="34"/>
      <c r="I11723" s="11"/>
    </row>
    <row r="11724" spans="1:9" ht="9" customHeight="1">
      <c r="A11724" s="185"/>
      <c r="B11724" s="1348" t="s">
        <v>15570</v>
      </c>
      <c r="C11724" s="147"/>
      <c r="D11724" s="159"/>
      <c r="E11724" s="36"/>
      <c r="F11724" s="178"/>
      <c r="G11724" s="453"/>
      <c r="H11724" s="36"/>
      <c r="I11724" s="11"/>
    </row>
    <row r="11725" spans="1:9" ht="9" customHeight="1">
      <c r="A11725" s="185"/>
      <c r="B11725" s="150" t="s">
        <v>15571</v>
      </c>
      <c r="C11725" s="147"/>
      <c r="D11725" s="159"/>
      <c r="E11725" s="36"/>
      <c r="F11725" s="183"/>
      <c r="G11725" s="1217"/>
      <c r="H11725" s="34"/>
      <c r="I11725" s="11"/>
    </row>
    <row r="11726" spans="1:9" ht="9" customHeight="1">
      <c r="A11726" s="185"/>
      <c r="B11726" s="209" t="s">
        <v>15572</v>
      </c>
      <c r="C11726" s="147"/>
      <c r="D11726" s="159"/>
      <c r="E11726" s="36"/>
      <c r="F11726" s="183"/>
      <c r="G11726" s="1217"/>
      <c r="H11726" s="34"/>
      <c r="I11726" s="11"/>
    </row>
    <row r="11727" spans="1:9" ht="9" customHeight="1">
      <c r="A11727" s="185"/>
      <c r="B11727" s="150" t="s">
        <v>15573</v>
      </c>
      <c r="C11727" s="147"/>
      <c r="D11727" s="159"/>
      <c r="E11727" s="36"/>
      <c r="F11727" s="183"/>
      <c r="G11727" s="1217"/>
      <c r="H11727" s="34"/>
      <c r="I11727" s="11"/>
    </row>
    <row r="11728" spans="1:9" ht="9" customHeight="1">
      <c r="A11728" s="185"/>
      <c r="B11728" s="150" t="s">
        <v>15574</v>
      </c>
      <c r="C11728" s="147"/>
      <c r="D11728" s="159"/>
      <c r="E11728" s="36"/>
      <c r="F11728" s="183"/>
      <c r="G11728" s="1217"/>
      <c r="H11728" s="34"/>
      <c r="I11728" s="11"/>
    </row>
    <row r="11729" spans="1:12" ht="9" customHeight="1">
      <c r="A11729" s="185"/>
      <c r="B11729" s="150" t="s">
        <v>15575</v>
      </c>
      <c r="C11729" s="147"/>
      <c r="D11729" s="159"/>
      <c r="E11729" s="36"/>
      <c r="F11729" s="183"/>
      <c r="G11729" s="1217"/>
      <c r="H11729" s="34"/>
      <c r="I11729" s="11"/>
    </row>
    <row r="11730" spans="1:12" ht="9" customHeight="1">
      <c r="A11730" s="185"/>
      <c r="B11730" s="150" t="s">
        <v>15576</v>
      </c>
      <c r="C11730" s="147"/>
      <c r="D11730" s="159"/>
      <c r="E11730" s="36"/>
      <c r="F11730" s="183"/>
      <c r="G11730" s="1217"/>
      <c r="H11730" s="34"/>
      <c r="I11730" s="11"/>
    </row>
    <row r="11731" spans="1:12" ht="9" customHeight="1">
      <c r="A11731" s="185"/>
      <c r="B11731" s="146" t="s">
        <v>15577</v>
      </c>
      <c r="C11731" s="147"/>
      <c r="D11731" s="129"/>
      <c r="E11731" s="185"/>
      <c r="F11731" s="185"/>
      <c r="G11731" s="185"/>
      <c r="H11731" s="185"/>
      <c r="I11731" s="11"/>
    </row>
    <row r="11732" spans="1:12" ht="9" customHeight="1">
      <c r="A11732" s="185"/>
      <c r="B11732" s="150" t="s">
        <v>15578</v>
      </c>
      <c r="C11732" s="147"/>
      <c r="D11732" s="159"/>
      <c r="E11732" s="36"/>
      <c r="F11732" s="183"/>
      <c r="G11732" s="1217"/>
      <c r="H11732" s="34"/>
      <c r="I11732" s="11"/>
    </row>
    <row r="11733" spans="1:12" ht="9" customHeight="1">
      <c r="A11733" s="29"/>
      <c r="B11733" s="150" t="s">
        <v>15579</v>
      </c>
      <c r="C11733" s="147"/>
      <c r="D11733" s="159"/>
      <c r="E11733" s="36"/>
      <c r="F11733" s="178"/>
      <c r="G11733" s="453"/>
      <c r="H11733" s="36"/>
      <c r="I11733" s="11"/>
    </row>
    <row r="11734" spans="1:12" ht="9" customHeight="1">
      <c r="A11734" s="185"/>
      <c r="B11734" s="209" t="s">
        <v>15580</v>
      </c>
      <c r="C11734" s="147"/>
      <c r="D11734" s="159"/>
      <c r="E11734" s="36"/>
      <c r="F11734" s="183"/>
      <c r="G11734" s="1217"/>
      <c r="H11734" s="34"/>
      <c r="I11734" s="11"/>
    </row>
    <row r="11735" spans="1:12" ht="9" customHeight="1" thickBot="1">
      <c r="A11735" s="185"/>
      <c r="B11735" s="209" t="s">
        <v>15581</v>
      </c>
      <c r="C11735" s="147"/>
      <c r="D11735" s="159"/>
      <c r="E11735" s="36"/>
      <c r="F11735" s="183"/>
      <c r="G11735" s="1217"/>
      <c r="H11735" s="34"/>
      <c r="I11735" s="11"/>
    </row>
    <row r="11736" spans="1:12" ht="11.15" customHeight="1">
      <c r="A11736" s="674" t="s">
        <v>15582</v>
      </c>
      <c r="B11736" s="177" t="s">
        <v>15583</v>
      </c>
      <c r="C11736" s="147"/>
      <c r="D11736" s="159"/>
      <c r="E11736" s="36"/>
      <c r="F11736" s="183"/>
      <c r="G11736" s="1217"/>
      <c r="H11736" s="34"/>
      <c r="I11736" s="11"/>
    </row>
    <row r="11737" spans="1:12" ht="11.15" customHeight="1">
      <c r="A11737" s="731" t="s">
        <v>15584</v>
      </c>
      <c r="B11737" s="59" t="s">
        <v>22513</v>
      </c>
      <c r="C11737" s="147" t="s">
        <v>20221</v>
      </c>
      <c r="D11737" s="701" t="s">
        <v>1129</v>
      </c>
      <c r="E11737" s="178">
        <v>2022</v>
      </c>
      <c r="F11737" s="178" t="s">
        <v>4520</v>
      </c>
      <c r="G11737" s="496"/>
      <c r="H11737" s="994" t="s">
        <v>20221</v>
      </c>
      <c r="I11737" s="12" t="s">
        <v>15585</v>
      </c>
      <c r="J11737" s="1285"/>
      <c r="K11737" s="1285"/>
      <c r="L11737" s="1285"/>
    </row>
    <row r="11738" spans="1:12" ht="11.15" customHeight="1" thickBot="1">
      <c r="A11738" s="732" t="s">
        <v>15586</v>
      </c>
      <c r="B11738" s="59" t="s">
        <v>22513</v>
      </c>
      <c r="C11738" s="147" t="s">
        <v>20221</v>
      </c>
      <c r="D11738" s="701" t="s">
        <v>1129</v>
      </c>
      <c r="E11738" s="178">
        <v>2021</v>
      </c>
      <c r="F11738" s="178" t="s">
        <v>4520</v>
      </c>
      <c r="G11738" s="496"/>
      <c r="H11738" s="994" t="s">
        <v>20221</v>
      </c>
      <c r="I11738" s="12" t="s">
        <v>15587</v>
      </c>
      <c r="J11738" s="1285"/>
      <c r="K11738" s="1285"/>
      <c r="L11738" s="1285"/>
    </row>
    <row r="11739" spans="1:12" ht="11.15" customHeight="1">
      <c r="A11739" s="29" t="s">
        <v>15588</v>
      </c>
      <c r="B11739" s="59" t="s">
        <v>22515</v>
      </c>
      <c r="C11739" s="147" t="s">
        <v>20221</v>
      </c>
      <c r="D11739" s="701" t="s">
        <v>1129</v>
      </c>
      <c r="E11739" s="178">
        <v>2023</v>
      </c>
      <c r="F11739" s="178" t="s">
        <v>4520</v>
      </c>
      <c r="G11739" s="496"/>
      <c r="H11739" s="994" t="s">
        <v>20221</v>
      </c>
      <c r="I11739" s="11" t="s">
        <v>15589</v>
      </c>
      <c r="J11739" s="1285"/>
      <c r="K11739" s="1285"/>
      <c r="L11739" s="1285"/>
    </row>
    <row r="11740" spans="1:12" ht="11.15" customHeight="1">
      <c r="A11740" s="451" t="s">
        <v>15590</v>
      </c>
      <c r="B11740" s="59" t="s">
        <v>22515</v>
      </c>
      <c r="C11740" s="147" t="s">
        <v>20221</v>
      </c>
      <c r="D11740" s="701" t="s">
        <v>1129</v>
      </c>
      <c r="E11740" s="178">
        <v>2022</v>
      </c>
      <c r="F11740" s="178" t="s">
        <v>4520</v>
      </c>
      <c r="G11740" s="496"/>
      <c r="H11740" s="994" t="s">
        <v>20221</v>
      </c>
      <c r="I11740" s="12" t="s">
        <v>15591</v>
      </c>
      <c r="J11740" s="1285"/>
      <c r="K11740" s="1285"/>
      <c r="L11740" s="1285"/>
    </row>
    <row r="11741" spans="1:12" ht="11.15" customHeight="1">
      <c r="A11741" s="451" t="s">
        <v>15592</v>
      </c>
      <c r="B11741" s="59" t="s">
        <v>22515</v>
      </c>
      <c r="C11741" s="147" t="s">
        <v>20221</v>
      </c>
      <c r="D11741" s="701" t="s">
        <v>1129</v>
      </c>
      <c r="E11741" s="178">
        <v>2021</v>
      </c>
      <c r="F11741" s="178" t="s">
        <v>4520</v>
      </c>
      <c r="G11741" s="496"/>
      <c r="H11741" s="994" t="s">
        <v>20221</v>
      </c>
      <c r="I11741" s="12" t="s">
        <v>15593</v>
      </c>
      <c r="J11741" s="1285"/>
      <c r="K11741" s="1285"/>
      <c r="L11741" s="1285"/>
    </row>
    <row r="11742" spans="1:12" ht="11.15" customHeight="1">
      <c r="A11742" s="451" t="s">
        <v>15594</v>
      </c>
      <c r="B11742" s="59" t="s">
        <v>22515</v>
      </c>
      <c r="C11742" s="147" t="s">
        <v>20221</v>
      </c>
      <c r="D11742" s="701" t="s">
        <v>1129</v>
      </c>
      <c r="E11742" s="178">
        <v>2019</v>
      </c>
      <c r="F11742" s="178" t="s">
        <v>4520</v>
      </c>
      <c r="G11742" s="496"/>
      <c r="H11742" s="994" t="s">
        <v>20224</v>
      </c>
      <c r="I11742" s="11" t="s">
        <v>15595</v>
      </c>
      <c r="J11742" s="1285"/>
      <c r="K11742" s="1285"/>
      <c r="L11742" s="1285"/>
    </row>
    <row r="11743" spans="1:12" ht="11.15" customHeight="1">
      <c r="A11743" s="733" t="s">
        <v>15596</v>
      </c>
      <c r="B11743" s="59" t="s">
        <v>22516</v>
      </c>
      <c r="C11743" s="147" t="s">
        <v>20221</v>
      </c>
      <c r="D11743" s="701" t="s">
        <v>1129</v>
      </c>
      <c r="E11743" s="178">
        <v>2022</v>
      </c>
      <c r="F11743" s="178" t="s">
        <v>4520</v>
      </c>
      <c r="G11743" s="496"/>
      <c r="H11743" s="994" t="s">
        <v>20221</v>
      </c>
      <c r="I11743" s="12" t="s">
        <v>15597</v>
      </c>
      <c r="J11743" s="1285"/>
      <c r="K11743" s="1285"/>
      <c r="L11743" s="1285"/>
    </row>
    <row r="11744" spans="1:12" ht="11.15" customHeight="1">
      <c r="A11744" s="514" t="s">
        <v>15598</v>
      </c>
      <c r="B11744" s="59" t="s">
        <v>22517</v>
      </c>
      <c r="C11744" s="147" t="s">
        <v>20221</v>
      </c>
      <c r="D11744" s="701" t="s">
        <v>1129</v>
      </c>
      <c r="E11744" s="178">
        <v>2023</v>
      </c>
      <c r="F11744" s="178" t="s">
        <v>4520</v>
      </c>
      <c r="G11744" s="496"/>
      <c r="H11744" s="994" t="s">
        <v>20221</v>
      </c>
      <c r="I11744" s="11" t="s">
        <v>15599</v>
      </c>
      <c r="J11744" s="1285"/>
      <c r="K11744" s="1285"/>
      <c r="L11744" s="1285"/>
    </row>
    <row r="11745" spans="1:12" ht="11.15" customHeight="1">
      <c r="A11745" s="514" t="s">
        <v>15600</v>
      </c>
      <c r="B11745" s="59" t="s">
        <v>22517</v>
      </c>
      <c r="C11745" s="147" t="s">
        <v>20221</v>
      </c>
      <c r="D11745" s="701" t="s">
        <v>1129</v>
      </c>
      <c r="E11745" s="178">
        <v>2022</v>
      </c>
      <c r="F11745" s="178" t="s">
        <v>4520</v>
      </c>
      <c r="G11745" s="496"/>
      <c r="H11745" s="994" t="s">
        <v>20221</v>
      </c>
      <c r="I11745" s="11" t="s">
        <v>15601</v>
      </c>
      <c r="J11745" s="1285"/>
      <c r="K11745" s="1285"/>
      <c r="L11745" s="1285"/>
    </row>
    <row r="11746" spans="1:12" ht="11.15" customHeight="1">
      <c r="A11746" s="162" t="s">
        <v>15602</v>
      </c>
      <c r="B11746" s="59" t="s">
        <v>22517</v>
      </c>
      <c r="C11746" s="147" t="s">
        <v>20221</v>
      </c>
      <c r="D11746" s="701" t="s">
        <v>1129</v>
      </c>
      <c r="E11746" s="178">
        <v>2021</v>
      </c>
      <c r="F11746" s="178" t="s">
        <v>4520</v>
      </c>
      <c r="G11746" s="496"/>
      <c r="H11746" s="994" t="s">
        <v>20221</v>
      </c>
      <c r="I11746" s="11" t="s">
        <v>15603</v>
      </c>
      <c r="J11746" s="1285"/>
      <c r="K11746" s="1285"/>
      <c r="L11746" s="1285"/>
    </row>
    <row r="11747" spans="1:12" ht="11.15" customHeight="1">
      <c r="A11747" s="514" t="s">
        <v>15604</v>
      </c>
      <c r="B11747" s="59" t="s">
        <v>22517</v>
      </c>
      <c r="C11747" s="147" t="s">
        <v>20221</v>
      </c>
      <c r="D11747" s="701" t="s">
        <v>1129</v>
      </c>
      <c r="E11747" s="178">
        <v>2019</v>
      </c>
      <c r="F11747" s="178" t="s">
        <v>4520</v>
      </c>
      <c r="G11747" s="496"/>
      <c r="H11747" s="994" t="s">
        <v>20221</v>
      </c>
      <c r="I11747" s="11" t="s">
        <v>15605</v>
      </c>
      <c r="J11747" s="1285"/>
      <c r="K11747" s="1285"/>
      <c r="L11747" s="1285"/>
    </row>
    <row r="11748" spans="1:12" ht="11.15" customHeight="1">
      <c r="A11748" s="514" t="s">
        <v>15606</v>
      </c>
      <c r="B11748" s="59" t="s">
        <v>22517</v>
      </c>
      <c r="C11748" s="147" t="s">
        <v>20221</v>
      </c>
      <c r="D11748" s="701" t="s">
        <v>1129</v>
      </c>
      <c r="E11748" s="178">
        <v>2018</v>
      </c>
      <c r="F11748" s="178" t="s">
        <v>4520</v>
      </c>
      <c r="G11748" s="496"/>
      <c r="H11748" s="994" t="s">
        <v>20221</v>
      </c>
      <c r="I11748" s="11" t="s">
        <v>15607</v>
      </c>
      <c r="J11748" s="1285"/>
      <c r="K11748" s="1285"/>
      <c r="L11748" s="1285"/>
    </row>
    <row r="11749" spans="1:12" ht="11.15" customHeight="1">
      <c r="A11749" s="514" t="s">
        <v>15608</v>
      </c>
      <c r="B11749" s="59" t="s">
        <v>22517</v>
      </c>
      <c r="C11749" s="147" t="s">
        <v>20221</v>
      </c>
      <c r="D11749" s="701" t="s">
        <v>1129</v>
      </c>
      <c r="E11749" s="178">
        <v>2016</v>
      </c>
      <c r="F11749" s="178" t="s">
        <v>4520</v>
      </c>
      <c r="G11749" s="496"/>
      <c r="H11749" s="994" t="s">
        <v>20221</v>
      </c>
      <c r="I11749" s="11" t="s">
        <v>15609</v>
      </c>
      <c r="J11749" s="1285"/>
      <c r="K11749" s="1285"/>
      <c r="L11749" s="1285"/>
    </row>
    <row r="11750" spans="1:12" ht="11.15" customHeight="1">
      <c r="A11750" s="129" t="s">
        <v>15610</v>
      </c>
      <c r="B11750" s="59" t="s">
        <v>22518</v>
      </c>
      <c r="C11750" s="147" t="s">
        <v>20221</v>
      </c>
      <c r="D11750" s="701" t="s">
        <v>1129</v>
      </c>
      <c r="E11750" s="178">
        <v>2022</v>
      </c>
      <c r="F11750" s="178" t="s">
        <v>4520</v>
      </c>
      <c r="G11750" s="496"/>
      <c r="H11750" s="994" t="s">
        <v>20221</v>
      </c>
      <c r="I11750" s="12" t="s">
        <v>15611</v>
      </c>
      <c r="J11750" s="1285"/>
      <c r="K11750" s="1285"/>
      <c r="L11750" s="1285"/>
    </row>
    <row r="11751" spans="1:12" ht="11.15" customHeight="1">
      <c r="A11751" s="162" t="s">
        <v>15612</v>
      </c>
      <c r="B11751" s="59" t="s">
        <v>22518</v>
      </c>
      <c r="C11751" s="147" t="s">
        <v>20221</v>
      </c>
      <c r="D11751" s="701" t="s">
        <v>1129</v>
      </c>
      <c r="E11751" s="178">
        <v>2021</v>
      </c>
      <c r="F11751" s="178" t="s">
        <v>4520</v>
      </c>
      <c r="G11751" s="496"/>
      <c r="H11751" s="994" t="s">
        <v>20221</v>
      </c>
      <c r="I11751" s="11" t="s">
        <v>15613</v>
      </c>
      <c r="J11751" s="1285"/>
      <c r="K11751" s="1285"/>
      <c r="L11751" s="1285"/>
    </row>
    <row r="11752" spans="1:12" ht="11.15" customHeight="1">
      <c r="A11752" s="162" t="s">
        <v>15614</v>
      </c>
      <c r="B11752" s="59" t="s">
        <v>22518</v>
      </c>
      <c r="C11752" s="147" t="s">
        <v>20221</v>
      </c>
      <c r="D11752" s="701" t="s">
        <v>1129</v>
      </c>
      <c r="E11752" s="178">
        <v>2019</v>
      </c>
      <c r="F11752" s="178" t="s">
        <v>4520</v>
      </c>
      <c r="G11752" s="496"/>
      <c r="H11752" s="994" t="s">
        <v>20221</v>
      </c>
      <c r="I11752" s="11" t="s">
        <v>15615</v>
      </c>
      <c r="J11752" s="1285"/>
      <c r="K11752" s="1285"/>
      <c r="L11752" s="1285"/>
    </row>
    <row r="11753" spans="1:12" ht="11.15" customHeight="1">
      <c r="A11753" s="162" t="s">
        <v>15616</v>
      </c>
      <c r="B11753" s="59" t="s">
        <v>22518</v>
      </c>
      <c r="C11753" s="147" t="s">
        <v>20221</v>
      </c>
      <c r="D11753" s="701" t="s">
        <v>1129</v>
      </c>
      <c r="E11753" s="178">
        <v>2018</v>
      </c>
      <c r="F11753" s="178" t="s">
        <v>4520</v>
      </c>
      <c r="G11753" s="496"/>
      <c r="H11753" s="994" t="s">
        <v>20221</v>
      </c>
      <c r="I11753" s="11" t="s">
        <v>15617</v>
      </c>
      <c r="J11753" s="1285"/>
      <c r="K11753" s="1285"/>
      <c r="L11753" s="1285"/>
    </row>
    <row r="11754" spans="1:12" ht="11.15" customHeight="1">
      <c r="A11754" s="162" t="s">
        <v>15618</v>
      </c>
      <c r="B11754" s="59" t="s">
        <v>22519</v>
      </c>
      <c r="C11754" s="147" t="s">
        <v>20221</v>
      </c>
      <c r="D11754" s="701" t="s">
        <v>1129</v>
      </c>
      <c r="E11754" s="178" t="s">
        <v>20221</v>
      </c>
      <c r="F11754" s="178" t="s">
        <v>4520</v>
      </c>
      <c r="G11754" s="496" t="s">
        <v>20221</v>
      </c>
      <c r="H11754" s="994" t="s">
        <v>3907</v>
      </c>
      <c r="I11754" s="11" t="s">
        <v>15619</v>
      </c>
      <c r="J11754" s="1285"/>
      <c r="K11754" s="1285"/>
      <c r="L11754" s="1285"/>
    </row>
    <row r="11755" spans="1:12" ht="11.15" customHeight="1">
      <c r="A11755" s="162" t="s">
        <v>15620</v>
      </c>
      <c r="B11755" s="59" t="s">
        <v>22520</v>
      </c>
      <c r="C11755" s="147" t="s">
        <v>20221</v>
      </c>
      <c r="D11755" s="701" t="s">
        <v>1129</v>
      </c>
      <c r="E11755" s="178">
        <v>2020</v>
      </c>
      <c r="F11755" s="178" t="s">
        <v>4520</v>
      </c>
      <c r="G11755" s="496"/>
      <c r="H11755" s="994" t="s">
        <v>20224</v>
      </c>
      <c r="I11755" s="11" t="s">
        <v>15621</v>
      </c>
      <c r="J11755" s="1285"/>
      <c r="K11755" s="1285"/>
      <c r="L11755" s="1285"/>
    </row>
    <row r="11756" spans="1:12" ht="11.15" customHeight="1">
      <c r="A11756" s="162" t="s">
        <v>15622</v>
      </c>
      <c r="B11756" s="59" t="s">
        <v>22521</v>
      </c>
      <c r="C11756" s="147" t="s">
        <v>20221</v>
      </c>
      <c r="D11756" s="701" t="s">
        <v>1129</v>
      </c>
      <c r="E11756" s="178">
        <v>2023</v>
      </c>
      <c r="F11756" s="178" t="s">
        <v>4520</v>
      </c>
      <c r="G11756" s="496"/>
      <c r="H11756" s="994" t="s">
        <v>20221</v>
      </c>
      <c r="I11756" s="11" t="s">
        <v>15623</v>
      </c>
      <c r="J11756" s="1285"/>
      <c r="K11756" s="1285"/>
      <c r="L11756" s="1285"/>
    </row>
    <row r="11757" spans="1:12" ht="11.15" customHeight="1">
      <c r="A11757" s="162" t="s">
        <v>15624</v>
      </c>
      <c r="B11757" s="59" t="s">
        <v>22521</v>
      </c>
      <c r="C11757" s="147" t="s">
        <v>20221</v>
      </c>
      <c r="D11757" s="701" t="s">
        <v>1129</v>
      </c>
      <c r="E11757" s="178">
        <v>2022</v>
      </c>
      <c r="F11757" s="178" t="s">
        <v>4520</v>
      </c>
      <c r="G11757" s="496"/>
      <c r="H11757" s="994" t="s">
        <v>20221</v>
      </c>
      <c r="I11757" s="11" t="s">
        <v>15625</v>
      </c>
      <c r="J11757" s="1285"/>
      <c r="K11757" s="1285"/>
      <c r="L11757" s="1285"/>
    </row>
    <row r="11758" spans="1:12" ht="11.15" customHeight="1">
      <c r="A11758" s="162" t="s">
        <v>15626</v>
      </c>
      <c r="B11758" s="59" t="s">
        <v>22521</v>
      </c>
      <c r="C11758" s="147" t="s">
        <v>20221</v>
      </c>
      <c r="D11758" s="701" t="s">
        <v>1129</v>
      </c>
      <c r="E11758" s="178">
        <v>2021</v>
      </c>
      <c r="F11758" s="178" t="s">
        <v>4520</v>
      </c>
      <c r="G11758" s="496"/>
      <c r="H11758" s="994" t="s">
        <v>20221</v>
      </c>
      <c r="I11758" s="11" t="s">
        <v>15627</v>
      </c>
      <c r="J11758" s="1285"/>
      <c r="K11758" s="1285"/>
      <c r="L11758" s="1285"/>
    </row>
    <row r="11759" spans="1:12" ht="11.15" customHeight="1">
      <c r="A11759" s="162" t="s">
        <v>15628</v>
      </c>
      <c r="B11759" s="59" t="s">
        <v>22521</v>
      </c>
      <c r="C11759" s="147" t="s">
        <v>20221</v>
      </c>
      <c r="D11759" s="701" t="s">
        <v>1129</v>
      </c>
      <c r="E11759" s="178">
        <v>2019</v>
      </c>
      <c r="F11759" s="178" t="s">
        <v>4520</v>
      </c>
      <c r="G11759" s="496"/>
      <c r="H11759" s="994" t="s">
        <v>20221</v>
      </c>
      <c r="I11759" s="11" t="s">
        <v>15629</v>
      </c>
      <c r="J11759" s="1285"/>
      <c r="K11759" s="1285"/>
      <c r="L11759" s="1285"/>
    </row>
    <row r="11760" spans="1:12" ht="11.15" customHeight="1">
      <c r="A11760" s="355" t="s">
        <v>15630</v>
      </c>
      <c r="B11760" s="59" t="s">
        <v>22521</v>
      </c>
      <c r="C11760" s="147" t="s">
        <v>20221</v>
      </c>
      <c r="D11760" s="701" t="s">
        <v>1129</v>
      </c>
      <c r="E11760" s="178">
        <v>2018</v>
      </c>
      <c r="F11760" s="178" t="s">
        <v>4520</v>
      </c>
      <c r="G11760" s="496"/>
      <c r="H11760" s="994" t="s">
        <v>20221</v>
      </c>
      <c r="I11760" s="11" t="s">
        <v>15631</v>
      </c>
      <c r="J11760" s="1285"/>
      <c r="K11760" s="1285"/>
      <c r="L11760" s="1285"/>
    </row>
    <row r="11761" spans="1:12" ht="11.15" customHeight="1">
      <c r="A11761" s="162" t="s">
        <v>15632</v>
      </c>
      <c r="B11761" s="59" t="s">
        <v>22521</v>
      </c>
      <c r="C11761" s="147" t="s">
        <v>20221</v>
      </c>
      <c r="D11761" s="701" t="s">
        <v>1129</v>
      </c>
      <c r="E11761" s="178">
        <v>2016</v>
      </c>
      <c r="F11761" s="178" t="s">
        <v>4520</v>
      </c>
      <c r="G11761" s="496"/>
      <c r="H11761" s="994" t="s">
        <v>20221</v>
      </c>
      <c r="I11761" s="11" t="s">
        <v>15633</v>
      </c>
      <c r="J11761" s="1285"/>
      <c r="K11761" s="1285"/>
      <c r="L11761" s="1285"/>
    </row>
    <row r="11762" spans="1:12" ht="11.15" customHeight="1">
      <c r="A11762" s="162" t="s">
        <v>15634</v>
      </c>
      <c r="B11762" s="177" t="s">
        <v>15635</v>
      </c>
      <c r="C11762" s="147"/>
      <c r="D11762" s="159"/>
      <c r="E11762" s="36"/>
      <c r="F11762" s="183"/>
      <c r="G11762" s="496"/>
      <c r="H11762" s="34"/>
      <c r="I11762" s="11"/>
    </row>
    <row r="11763" spans="1:12" ht="11.15" customHeight="1">
      <c r="A11763" s="162" t="s">
        <v>15636</v>
      </c>
      <c r="B11763" s="59" t="s">
        <v>22522</v>
      </c>
      <c r="C11763" s="147" t="s">
        <v>20221</v>
      </c>
      <c r="D11763" s="701" t="s">
        <v>1129</v>
      </c>
      <c r="E11763" s="178" t="s">
        <v>20221</v>
      </c>
      <c r="F11763" s="178" t="s">
        <v>4520</v>
      </c>
      <c r="G11763" s="496" t="s">
        <v>20221</v>
      </c>
      <c r="H11763" s="994" t="s">
        <v>3907</v>
      </c>
      <c r="I11763" s="11" t="s">
        <v>15637</v>
      </c>
      <c r="J11763" s="1285"/>
      <c r="K11763" s="1285"/>
      <c r="L11763" s="1285"/>
    </row>
    <row r="11764" spans="1:12" ht="11.15" customHeight="1">
      <c r="A11764" s="129" t="s">
        <v>3690</v>
      </c>
      <c r="B11764" s="59" t="s">
        <v>22523</v>
      </c>
      <c r="C11764" s="147" t="s">
        <v>20221</v>
      </c>
      <c r="D11764" s="701" t="s">
        <v>1129</v>
      </c>
      <c r="E11764" s="178">
        <v>2023</v>
      </c>
      <c r="F11764" s="178" t="s">
        <v>4520</v>
      </c>
      <c r="G11764" s="496"/>
      <c r="H11764" s="994" t="s">
        <v>20221</v>
      </c>
      <c r="I11764" s="11" t="s">
        <v>15638</v>
      </c>
      <c r="J11764" s="1285"/>
      <c r="K11764" s="1285"/>
      <c r="L11764" s="1285"/>
    </row>
    <row r="11765" spans="1:12" ht="11.15" customHeight="1">
      <c r="A11765" s="162" t="s">
        <v>15639</v>
      </c>
      <c r="B11765" s="59" t="s">
        <v>22523</v>
      </c>
      <c r="C11765" s="147" t="s">
        <v>20221</v>
      </c>
      <c r="D11765" s="701" t="s">
        <v>1129</v>
      </c>
      <c r="E11765" s="178">
        <v>2022</v>
      </c>
      <c r="F11765" s="178" t="s">
        <v>4520</v>
      </c>
      <c r="G11765" s="496"/>
      <c r="H11765" s="994" t="s">
        <v>20221</v>
      </c>
      <c r="I11765" s="12" t="s">
        <v>15640</v>
      </c>
      <c r="J11765" s="1285"/>
      <c r="K11765" s="1285"/>
      <c r="L11765" s="1285"/>
    </row>
    <row r="11766" spans="1:12" ht="11.15" customHeight="1">
      <c r="A11766" s="162" t="s">
        <v>15641</v>
      </c>
      <c r="B11766" s="59" t="s">
        <v>22524</v>
      </c>
      <c r="C11766" s="147" t="s">
        <v>20221</v>
      </c>
      <c r="D11766" s="701" t="s">
        <v>1129</v>
      </c>
      <c r="E11766" s="178">
        <v>2022</v>
      </c>
      <c r="F11766" s="178" t="s">
        <v>4520</v>
      </c>
      <c r="G11766" s="496"/>
      <c r="H11766" s="994" t="s">
        <v>20221</v>
      </c>
      <c r="I11766" s="11" t="s">
        <v>15642</v>
      </c>
      <c r="J11766" s="1285"/>
      <c r="K11766" s="1285"/>
      <c r="L11766" s="1285"/>
    </row>
    <row r="11767" spans="1:12" ht="11.15" customHeight="1">
      <c r="A11767" s="162" t="s">
        <v>15643</v>
      </c>
      <c r="B11767" s="59" t="s">
        <v>22525</v>
      </c>
      <c r="C11767" s="147" t="s">
        <v>20221</v>
      </c>
      <c r="D11767" s="701" t="s">
        <v>1129</v>
      </c>
      <c r="E11767" s="178">
        <v>2022</v>
      </c>
      <c r="F11767" s="178" t="s">
        <v>4520</v>
      </c>
      <c r="G11767" s="496"/>
      <c r="H11767" s="994" t="s">
        <v>20221</v>
      </c>
      <c r="I11767" s="11" t="s">
        <v>15644</v>
      </c>
      <c r="J11767" s="1285"/>
      <c r="K11767" s="1285"/>
      <c r="L11767" s="1285"/>
    </row>
    <row r="11768" spans="1:12" ht="11.15" customHeight="1">
      <c r="A11768" s="162" t="s">
        <v>15645</v>
      </c>
      <c r="B11768" s="59" t="s">
        <v>22525</v>
      </c>
      <c r="C11768" s="147" t="s">
        <v>20221</v>
      </c>
      <c r="D11768" s="701" t="s">
        <v>1129</v>
      </c>
      <c r="E11768" s="178">
        <v>2018</v>
      </c>
      <c r="F11768" s="178" t="s">
        <v>4520</v>
      </c>
      <c r="G11768" s="496"/>
      <c r="H11768" s="994" t="s">
        <v>20221</v>
      </c>
      <c r="I11768" s="11" t="s">
        <v>15646</v>
      </c>
      <c r="J11768" s="1285"/>
      <c r="K11768" s="1285"/>
      <c r="L11768" s="1285"/>
    </row>
    <row r="11769" spans="1:12" ht="11.15" customHeight="1">
      <c r="A11769" s="734" t="s">
        <v>15647</v>
      </c>
      <c r="B11769" s="59" t="s">
        <v>22525</v>
      </c>
      <c r="C11769" s="147" t="s">
        <v>20221</v>
      </c>
      <c r="D11769" s="701" t="s">
        <v>1129</v>
      </c>
      <c r="E11769" s="178">
        <v>2015</v>
      </c>
      <c r="F11769" s="178" t="s">
        <v>4520</v>
      </c>
      <c r="G11769" s="496"/>
      <c r="H11769" s="994" t="s">
        <v>20221</v>
      </c>
      <c r="I11769" s="11" t="s">
        <v>15648</v>
      </c>
      <c r="J11769" s="1285"/>
      <c r="K11769" s="1285"/>
      <c r="L11769" s="1285"/>
    </row>
    <row r="11770" spans="1:12" ht="11.15" customHeight="1">
      <c r="A11770" s="734" t="s">
        <v>15649</v>
      </c>
      <c r="B11770" s="59" t="s">
        <v>22525</v>
      </c>
      <c r="C11770" s="147" t="s">
        <v>20221</v>
      </c>
      <c r="D11770" s="701" t="s">
        <v>1129</v>
      </c>
      <c r="E11770" s="178">
        <v>2014</v>
      </c>
      <c r="F11770" s="178" t="s">
        <v>4520</v>
      </c>
      <c r="G11770" s="496"/>
      <c r="H11770" s="994" t="s">
        <v>20221</v>
      </c>
      <c r="I11770" s="11" t="s">
        <v>15650</v>
      </c>
      <c r="J11770" s="1285"/>
      <c r="K11770" s="1285"/>
      <c r="L11770" s="1285"/>
    </row>
    <row r="11771" spans="1:12" ht="11.15" customHeight="1">
      <c r="A11771" s="734" t="s">
        <v>15651</v>
      </c>
      <c r="B11771" s="154" t="s">
        <v>15652</v>
      </c>
      <c r="C11771" s="147"/>
      <c r="D11771" s="129"/>
      <c r="E11771" s="185"/>
      <c r="F11771" s="185"/>
      <c r="G11771" s="185"/>
      <c r="H11771" s="185"/>
      <c r="I11771" s="11"/>
    </row>
    <row r="11772" spans="1:12" ht="11.15" customHeight="1">
      <c r="A11772" s="734" t="s">
        <v>15653</v>
      </c>
      <c r="B11772" s="59" t="s">
        <v>22526</v>
      </c>
      <c r="C11772" s="147" t="s">
        <v>20221</v>
      </c>
      <c r="D11772" s="739" t="s">
        <v>1410</v>
      </c>
      <c r="E11772" s="178">
        <v>2020</v>
      </c>
      <c r="F11772" s="178" t="s">
        <v>4520</v>
      </c>
      <c r="G11772" s="496"/>
      <c r="H11772" s="994" t="s">
        <v>20221</v>
      </c>
      <c r="I11772" s="11" t="s">
        <v>15654</v>
      </c>
      <c r="J11772" s="1285"/>
      <c r="K11772" s="1285"/>
      <c r="L11772" s="1285"/>
    </row>
    <row r="11773" spans="1:12" ht="11.15" customHeight="1">
      <c r="A11773" s="734" t="s">
        <v>15655</v>
      </c>
      <c r="B11773" s="59" t="s">
        <v>22526</v>
      </c>
      <c r="C11773" s="147" t="s">
        <v>20221</v>
      </c>
      <c r="D11773" s="739" t="s">
        <v>1410</v>
      </c>
      <c r="E11773" s="178">
        <v>2019</v>
      </c>
      <c r="F11773" s="178" t="s">
        <v>4520</v>
      </c>
      <c r="G11773" s="496"/>
      <c r="H11773" s="994" t="s">
        <v>20224</v>
      </c>
      <c r="I11773" s="11" t="s">
        <v>15656</v>
      </c>
      <c r="J11773" s="1285"/>
      <c r="K11773" s="1285"/>
      <c r="L11773" s="1285"/>
    </row>
    <row r="11774" spans="1:12" ht="11.15" customHeight="1">
      <c r="A11774" s="734" t="s">
        <v>15657</v>
      </c>
      <c r="B11774" s="59" t="s">
        <v>22526</v>
      </c>
      <c r="C11774" s="147" t="s">
        <v>20221</v>
      </c>
      <c r="D11774" s="739" t="s">
        <v>1410</v>
      </c>
      <c r="E11774" s="178">
        <v>2023</v>
      </c>
      <c r="F11774" s="178" t="s">
        <v>4520</v>
      </c>
      <c r="G11774" s="496"/>
      <c r="H11774" s="994" t="s">
        <v>20221</v>
      </c>
      <c r="I11774" s="11" t="s">
        <v>15658</v>
      </c>
      <c r="J11774" s="1285"/>
      <c r="K11774" s="1285"/>
      <c r="L11774" s="1285"/>
    </row>
    <row r="11775" spans="1:12" ht="11.15" customHeight="1">
      <c r="A11775" s="734" t="s">
        <v>15659</v>
      </c>
      <c r="B11775" s="59" t="s">
        <v>22527</v>
      </c>
      <c r="C11775" s="147" t="s">
        <v>20221</v>
      </c>
      <c r="D11775" s="739" t="s">
        <v>1410</v>
      </c>
      <c r="E11775" s="178">
        <v>2022</v>
      </c>
      <c r="F11775" s="178" t="s">
        <v>4520</v>
      </c>
      <c r="G11775" s="496"/>
      <c r="H11775" s="994" t="s">
        <v>20221</v>
      </c>
      <c r="I11775" s="11" t="s">
        <v>15660</v>
      </c>
      <c r="J11775" s="1285"/>
      <c r="K11775" s="1285"/>
      <c r="L11775" s="1285"/>
    </row>
    <row r="11776" spans="1:12" ht="11.15" customHeight="1">
      <c r="A11776" s="129" t="s">
        <v>3659</v>
      </c>
      <c r="B11776" s="59" t="s">
        <v>22528</v>
      </c>
      <c r="C11776" s="147" t="s">
        <v>20221</v>
      </c>
      <c r="D11776" s="739" t="s">
        <v>1410</v>
      </c>
      <c r="E11776" s="178">
        <v>2018</v>
      </c>
      <c r="F11776" s="178" t="s">
        <v>4520</v>
      </c>
      <c r="G11776" s="496"/>
      <c r="H11776" s="994" t="s">
        <v>20224</v>
      </c>
      <c r="I11776" s="11" t="s">
        <v>15661</v>
      </c>
      <c r="J11776" s="1285"/>
      <c r="K11776" s="1285"/>
      <c r="L11776" s="1285"/>
    </row>
    <row r="11777" spans="1:12" ht="11.15" customHeight="1">
      <c r="A11777" s="162" t="s">
        <v>15662</v>
      </c>
      <c r="B11777" s="154" t="s">
        <v>15663</v>
      </c>
      <c r="C11777" s="147"/>
      <c r="D11777" s="185"/>
      <c r="E11777" s="185"/>
      <c r="F11777" s="185"/>
      <c r="G11777" s="185"/>
      <c r="H11777" s="185"/>
      <c r="I11777" s="11"/>
    </row>
    <row r="11778" spans="1:12" ht="11.15" customHeight="1">
      <c r="A11778" s="162" t="s">
        <v>15664</v>
      </c>
      <c r="B11778" s="59" t="s">
        <v>22529</v>
      </c>
      <c r="C11778" s="147" t="s">
        <v>20221</v>
      </c>
      <c r="D11778" s="739" t="s">
        <v>1410</v>
      </c>
      <c r="E11778" s="178">
        <v>2021</v>
      </c>
      <c r="F11778" s="178" t="s">
        <v>23400</v>
      </c>
      <c r="G11778" s="496"/>
      <c r="H11778" s="994" t="s">
        <v>20224</v>
      </c>
      <c r="I11778" s="11" t="s">
        <v>15665</v>
      </c>
      <c r="J11778" s="1285"/>
      <c r="K11778" s="1285"/>
      <c r="L11778" s="1285"/>
    </row>
    <row r="11779" spans="1:12" ht="11.15" customHeight="1">
      <c r="A11779" s="162" t="s">
        <v>15666</v>
      </c>
      <c r="B11779" s="150" t="s">
        <v>15667</v>
      </c>
      <c r="C11779" s="147"/>
      <c r="D11779" s="185"/>
      <c r="E11779" s="185"/>
      <c r="F11779" s="185"/>
      <c r="G11779" s="185"/>
      <c r="H11779" s="185"/>
      <c r="I11779" s="11"/>
    </row>
    <row r="11780" spans="1:12" ht="11.15" customHeight="1">
      <c r="A11780" s="162" t="s">
        <v>15668</v>
      </c>
      <c r="B11780" s="59" t="s">
        <v>22530</v>
      </c>
      <c r="C11780" s="147" t="s">
        <v>20221</v>
      </c>
      <c r="D11780" s="739" t="s">
        <v>1410</v>
      </c>
      <c r="E11780" s="178">
        <v>2020</v>
      </c>
      <c r="F11780" s="178" t="s">
        <v>23400</v>
      </c>
      <c r="G11780" s="496"/>
      <c r="H11780" s="994" t="s">
        <v>20224</v>
      </c>
      <c r="I11780" s="11" t="s">
        <v>15669</v>
      </c>
      <c r="J11780" s="1285"/>
      <c r="K11780" s="1285"/>
      <c r="L11780" s="1285"/>
    </row>
    <row r="11781" spans="1:12" ht="11.15" customHeight="1">
      <c r="A11781" s="162" t="s">
        <v>15670</v>
      </c>
      <c r="B11781" s="59" t="s">
        <v>22531</v>
      </c>
      <c r="C11781" s="147" t="s">
        <v>20221</v>
      </c>
      <c r="D11781" s="739" t="s">
        <v>1410</v>
      </c>
      <c r="E11781" s="178">
        <v>2018</v>
      </c>
      <c r="F11781" s="178" t="s">
        <v>23423</v>
      </c>
      <c r="G11781" s="496"/>
      <c r="H11781" s="994" t="s">
        <v>20224</v>
      </c>
      <c r="I11781" s="11" t="s">
        <v>15671</v>
      </c>
      <c r="J11781" s="1285"/>
      <c r="K11781" s="1285"/>
      <c r="L11781" s="1285"/>
    </row>
    <row r="11782" spans="1:12" ht="11.15" customHeight="1">
      <c r="A11782" s="162" t="s">
        <v>15672</v>
      </c>
      <c r="B11782" s="150" t="s">
        <v>15673</v>
      </c>
      <c r="C11782" s="147"/>
      <c r="D11782" s="185"/>
      <c r="E11782" s="185"/>
      <c r="F11782" s="185"/>
      <c r="G11782" s="185"/>
      <c r="H11782" s="185"/>
      <c r="I11782" s="11"/>
    </row>
    <row r="11783" spans="1:12" ht="11.15" customHeight="1">
      <c r="A11783" s="291" t="s">
        <v>15674</v>
      </c>
      <c r="B11783" s="185"/>
      <c r="C11783" s="147"/>
      <c r="D11783" s="129"/>
      <c r="E11783" s="185"/>
      <c r="F11783" s="185"/>
      <c r="G11783" s="185"/>
      <c r="H11783" s="185"/>
      <c r="I11783" s="11"/>
    </row>
    <row r="11784" spans="1:12" ht="11.15" customHeight="1">
      <c r="A11784" s="291" t="s">
        <v>15675</v>
      </c>
      <c r="B11784" s="185"/>
      <c r="C11784" s="147"/>
      <c r="D11784" s="129"/>
      <c r="E11784" s="185"/>
      <c r="F11784" s="185"/>
      <c r="G11784" s="185"/>
      <c r="H11784" s="185"/>
      <c r="I11784" s="11"/>
    </row>
    <row r="11785" spans="1:12" ht="11.15" customHeight="1">
      <c r="A11785" s="734" t="s">
        <v>15676</v>
      </c>
      <c r="B11785" s="185"/>
      <c r="C11785" s="147"/>
      <c r="D11785" s="129"/>
      <c r="E11785" s="185"/>
      <c r="F11785" s="185"/>
      <c r="G11785" s="185"/>
      <c r="H11785" s="185"/>
      <c r="I11785" s="11"/>
    </row>
    <row r="11786" spans="1:12" ht="11.15" customHeight="1">
      <c r="A11786" s="162" t="s">
        <v>15677</v>
      </c>
      <c r="B11786" s="185"/>
      <c r="C11786" s="147"/>
      <c r="D11786" s="129"/>
      <c r="E11786" s="185"/>
      <c r="F11786" s="185"/>
      <c r="G11786" s="185"/>
      <c r="H11786" s="185"/>
      <c r="I11786" s="11"/>
    </row>
    <row r="11787" spans="1:12" ht="11.15" customHeight="1">
      <c r="A11787" s="162" t="s">
        <v>15678</v>
      </c>
      <c r="B11787" s="185"/>
      <c r="C11787" s="147"/>
      <c r="D11787" s="129"/>
      <c r="E11787" s="185"/>
      <c r="F11787" s="185"/>
      <c r="G11787" s="185"/>
      <c r="H11787" s="185"/>
      <c r="I11787" s="11"/>
    </row>
    <row r="11788" spans="1:12" ht="11.15" customHeight="1">
      <c r="A11788" s="733" t="s">
        <v>15679</v>
      </c>
      <c r="B11788" s="185"/>
      <c r="C11788" s="147"/>
      <c r="D11788" s="185"/>
      <c r="E11788" s="185"/>
      <c r="F11788" s="185"/>
      <c r="G11788" s="185"/>
      <c r="H11788" s="185"/>
      <c r="I11788" s="11"/>
    </row>
    <row r="11789" spans="1:12" ht="11.15" customHeight="1">
      <c r="A11789" s="719" t="s">
        <v>15680</v>
      </c>
      <c r="B11789" s="185"/>
      <c r="C11789" s="147"/>
      <c r="D11789" s="129"/>
      <c r="E11789" s="185"/>
      <c r="F11789" s="185"/>
      <c r="G11789" s="185"/>
      <c r="H11789" s="185"/>
      <c r="I11789" s="11"/>
    </row>
    <row r="11790" spans="1:12" ht="11.15" customHeight="1">
      <c r="A11790" s="719" t="s">
        <v>15681</v>
      </c>
      <c r="B11790" s="185"/>
      <c r="C11790" s="147"/>
      <c r="D11790" s="129"/>
      <c r="E11790" s="185"/>
      <c r="F11790" s="185"/>
      <c r="G11790" s="185"/>
      <c r="H11790" s="185"/>
      <c r="I11790" s="11"/>
    </row>
    <row r="11791" spans="1:12" ht="11.15" customHeight="1">
      <c r="A11791" s="129" t="s">
        <v>15682</v>
      </c>
      <c r="B11791" s="185"/>
      <c r="C11791" s="147"/>
      <c r="D11791" s="129"/>
      <c r="E11791" s="185"/>
      <c r="F11791" s="185"/>
      <c r="G11791" s="185"/>
      <c r="H11791" s="185"/>
      <c r="I11791" s="11"/>
    </row>
    <row r="11792" spans="1:12" ht="11.15" customHeight="1">
      <c r="A11792" s="29"/>
      <c r="B11792" s="185"/>
      <c r="C11792" s="147"/>
      <c r="D11792" s="129"/>
      <c r="E11792" s="185"/>
      <c r="F11792" s="185"/>
      <c r="G11792" s="185"/>
      <c r="H11792" s="185"/>
      <c r="I11792" s="11"/>
    </row>
    <row r="11793" spans="1:12" ht="9" customHeight="1">
      <c r="A11793" s="29"/>
      <c r="B11793" s="150" t="s">
        <v>15683</v>
      </c>
      <c r="C11793" s="147"/>
      <c r="D11793" s="159"/>
      <c r="E11793" s="36"/>
      <c r="F11793" s="178"/>
      <c r="G11793" s="453"/>
      <c r="H11793" s="36"/>
      <c r="I11793" s="11"/>
    </row>
    <row r="11794" spans="1:12" ht="9" customHeight="1">
      <c r="A11794" s="29"/>
      <c r="B11794" s="150" t="s">
        <v>15684</v>
      </c>
      <c r="C11794" s="147"/>
      <c r="D11794" s="159"/>
      <c r="E11794" s="36"/>
      <c r="F11794" s="178"/>
      <c r="G11794" s="453"/>
      <c r="H11794" s="36"/>
      <c r="I11794" s="11"/>
    </row>
    <row r="11795" spans="1:12" ht="9" customHeight="1">
      <c r="A11795" s="29"/>
      <c r="B11795" s="150" t="s">
        <v>15685</v>
      </c>
      <c r="C11795" s="147"/>
      <c r="D11795" s="159"/>
      <c r="E11795" s="36"/>
      <c r="F11795" s="178"/>
      <c r="G11795" s="453"/>
      <c r="H11795" s="36"/>
      <c r="I11795" s="11"/>
    </row>
    <row r="11796" spans="1:12" ht="9" customHeight="1" thickBot="1">
      <c r="A11796" s="29"/>
      <c r="B11796" s="150" t="s">
        <v>15686</v>
      </c>
      <c r="C11796" s="147"/>
      <c r="D11796" s="159"/>
      <c r="E11796" s="36"/>
      <c r="F11796" s="178"/>
      <c r="G11796" s="453"/>
      <c r="H11796" s="36"/>
      <c r="I11796" s="11"/>
    </row>
    <row r="11797" spans="1:12" ht="11.15" customHeight="1" thickBot="1">
      <c r="A11797" s="718" t="s">
        <v>15687</v>
      </c>
      <c r="B11797" s="221" t="s">
        <v>15688</v>
      </c>
      <c r="C11797" s="147"/>
      <c r="D11797" s="129"/>
      <c r="E11797" s="36"/>
      <c r="F11797" s="183"/>
      <c r="G11797" s="1217"/>
      <c r="H11797" s="34"/>
      <c r="I11797" s="11"/>
    </row>
    <row r="11798" spans="1:12" ht="11.15" customHeight="1">
      <c r="A11798" s="29" t="s">
        <v>15689</v>
      </c>
      <c r="B11798" s="59" t="s">
        <v>22532</v>
      </c>
      <c r="C11798" s="147" t="s">
        <v>20221</v>
      </c>
      <c r="D11798" s="701" t="s">
        <v>1129</v>
      </c>
      <c r="E11798" s="178">
        <v>2022</v>
      </c>
      <c r="F11798" s="178" t="s">
        <v>4520</v>
      </c>
      <c r="G11798" s="496"/>
      <c r="H11798" s="994" t="s">
        <v>20221</v>
      </c>
      <c r="I11798" s="11" t="s">
        <v>15690</v>
      </c>
      <c r="J11798" s="1285"/>
      <c r="K11798" s="1285"/>
      <c r="L11798" s="1285"/>
    </row>
    <row r="11799" spans="1:12" ht="11.15" customHeight="1">
      <c r="A11799" s="29" t="s">
        <v>15691</v>
      </c>
      <c r="B11799" s="221" t="s">
        <v>15692</v>
      </c>
      <c r="C11799" s="147"/>
      <c r="D11799" s="185"/>
      <c r="E11799" s="185"/>
      <c r="F11799" s="185"/>
      <c r="G11799" s="185"/>
      <c r="H11799" s="185"/>
      <c r="I11799" s="11"/>
    </row>
    <row r="11800" spans="1:12" ht="11.15" customHeight="1">
      <c r="A11800" s="29" t="s">
        <v>15693</v>
      </c>
      <c r="B11800" s="59" t="s">
        <v>22533</v>
      </c>
      <c r="C11800" s="147" t="s">
        <v>20221</v>
      </c>
      <c r="D11800" s="701" t="s">
        <v>1129</v>
      </c>
      <c r="E11800" s="178">
        <v>2022</v>
      </c>
      <c r="F11800" s="178" t="s">
        <v>4520</v>
      </c>
      <c r="G11800" s="496"/>
      <c r="H11800" s="994" t="s">
        <v>20221</v>
      </c>
      <c r="I11800" s="11" t="s">
        <v>15694</v>
      </c>
      <c r="J11800" s="1285"/>
      <c r="K11800" s="1285"/>
      <c r="L11800" s="1285"/>
    </row>
    <row r="11801" spans="1:12" ht="11.15" customHeight="1">
      <c r="A11801" s="29" t="s">
        <v>15695</v>
      </c>
      <c r="B11801" s="59" t="s">
        <v>22533</v>
      </c>
      <c r="C11801" s="147" t="s">
        <v>20221</v>
      </c>
      <c r="D11801" s="701" t="s">
        <v>1129</v>
      </c>
      <c r="E11801" s="178">
        <v>2020</v>
      </c>
      <c r="F11801" s="178" t="s">
        <v>4520</v>
      </c>
      <c r="G11801" s="496"/>
      <c r="H11801" s="994" t="s">
        <v>20221</v>
      </c>
      <c r="I11801" s="11" t="s">
        <v>15696</v>
      </c>
      <c r="J11801" s="1285"/>
      <c r="K11801" s="1285"/>
      <c r="L11801" s="1285"/>
    </row>
    <row r="11802" spans="1:12" ht="11.15" customHeight="1">
      <c r="A11802" s="29" t="s">
        <v>15697</v>
      </c>
      <c r="B11802" s="59" t="s">
        <v>22534</v>
      </c>
      <c r="C11802" s="147" t="s">
        <v>20221</v>
      </c>
      <c r="D11802" s="701" t="s">
        <v>1129</v>
      </c>
      <c r="E11802" s="178">
        <v>2022</v>
      </c>
      <c r="F11802" s="178" t="s">
        <v>4520</v>
      </c>
      <c r="G11802" s="496"/>
      <c r="H11802" s="994" t="s">
        <v>20221</v>
      </c>
      <c r="I11802" s="11" t="s">
        <v>15698</v>
      </c>
      <c r="J11802" s="1285"/>
      <c r="K11802" s="1285"/>
      <c r="L11802" s="1285"/>
    </row>
    <row r="11803" spans="1:12" ht="11.15" customHeight="1">
      <c r="A11803" s="29" t="s">
        <v>15699</v>
      </c>
      <c r="B11803" s="59" t="s">
        <v>22535</v>
      </c>
      <c r="C11803" s="147" t="s">
        <v>20221</v>
      </c>
      <c r="D11803" s="701" t="s">
        <v>1129</v>
      </c>
      <c r="E11803" s="178">
        <v>2022</v>
      </c>
      <c r="F11803" s="178" t="s">
        <v>4520</v>
      </c>
      <c r="G11803" s="496"/>
      <c r="H11803" s="994" t="s">
        <v>20221</v>
      </c>
      <c r="I11803" s="11" t="s">
        <v>15700</v>
      </c>
      <c r="J11803" s="1285"/>
      <c r="K11803" s="1285"/>
      <c r="L11803" s="1285"/>
    </row>
    <row r="11804" spans="1:12" ht="11.15" customHeight="1">
      <c r="A11804" s="29" t="s">
        <v>15701</v>
      </c>
      <c r="B11804" s="59" t="s">
        <v>22536</v>
      </c>
      <c r="C11804" s="147" t="s">
        <v>20221</v>
      </c>
      <c r="D11804" s="701" t="s">
        <v>1129</v>
      </c>
      <c r="E11804" s="178">
        <v>2022</v>
      </c>
      <c r="F11804" s="178" t="s">
        <v>4520</v>
      </c>
      <c r="G11804" s="496"/>
      <c r="H11804" s="994" t="s">
        <v>20224</v>
      </c>
      <c r="I11804" s="11" t="s">
        <v>15702</v>
      </c>
      <c r="J11804" s="1285"/>
      <c r="K11804" s="1285"/>
      <c r="L11804" s="1285"/>
    </row>
    <row r="11805" spans="1:12" ht="11.15" customHeight="1">
      <c r="A11805" s="129" t="s">
        <v>6076</v>
      </c>
      <c r="B11805" s="59" t="s">
        <v>22537</v>
      </c>
      <c r="C11805" s="147" t="s">
        <v>20221</v>
      </c>
      <c r="D11805" s="701" t="s">
        <v>1129</v>
      </c>
      <c r="E11805" s="178">
        <v>2022</v>
      </c>
      <c r="F11805" s="178" t="s">
        <v>4520</v>
      </c>
      <c r="G11805" s="496"/>
      <c r="H11805" s="994" t="s">
        <v>20221</v>
      </c>
      <c r="I11805" s="11" t="s">
        <v>15703</v>
      </c>
      <c r="J11805" s="1285"/>
      <c r="K11805" s="1285"/>
      <c r="L11805" s="1285"/>
    </row>
    <row r="11806" spans="1:12" ht="11.15" customHeight="1">
      <c r="A11806" s="162" t="s">
        <v>15704</v>
      </c>
      <c r="B11806" s="59" t="s">
        <v>22537</v>
      </c>
      <c r="C11806" s="147" t="s">
        <v>20221</v>
      </c>
      <c r="D11806" s="701" t="s">
        <v>1129</v>
      </c>
      <c r="E11806" s="178">
        <v>2020</v>
      </c>
      <c r="F11806" s="178" t="s">
        <v>4520</v>
      </c>
      <c r="G11806" s="496"/>
      <c r="H11806" s="994" t="s">
        <v>20221</v>
      </c>
      <c r="I11806" s="11" t="s">
        <v>15705</v>
      </c>
      <c r="J11806" s="1285"/>
      <c r="K11806" s="1285"/>
      <c r="L11806" s="1285"/>
    </row>
    <row r="11807" spans="1:12" ht="11.15" customHeight="1">
      <c r="A11807" s="162" t="s">
        <v>15706</v>
      </c>
      <c r="B11807" s="59" t="s">
        <v>22538</v>
      </c>
      <c r="C11807" s="147" t="s">
        <v>20221</v>
      </c>
      <c r="D11807" s="701" t="s">
        <v>1129</v>
      </c>
      <c r="E11807" s="178">
        <v>2022</v>
      </c>
      <c r="F11807" s="178" t="s">
        <v>4520</v>
      </c>
      <c r="G11807" s="496"/>
      <c r="H11807" s="994" t="s">
        <v>20277</v>
      </c>
      <c r="I11807" s="11" t="s">
        <v>15708</v>
      </c>
      <c r="J11807" s="1285"/>
      <c r="K11807" s="1285"/>
      <c r="L11807" s="1285"/>
    </row>
    <row r="11808" spans="1:12" ht="11.15" customHeight="1">
      <c r="A11808" s="162" t="s">
        <v>15707</v>
      </c>
      <c r="B11808" s="59" t="s">
        <v>22539</v>
      </c>
      <c r="C11808" s="147" t="s">
        <v>20221</v>
      </c>
      <c r="D11808" s="701" t="s">
        <v>1129</v>
      </c>
      <c r="E11808" s="178">
        <v>2018</v>
      </c>
      <c r="F11808" s="178" t="s">
        <v>11931</v>
      </c>
      <c r="G11808" s="496"/>
      <c r="H11808" s="994" t="s">
        <v>20224</v>
      </c>
      <c r="I11808" s="11" t="s">
        <v>15710</v>
      </c>
      <c r="J11808" s="1285"/>
      <c r="K11808" s="1285"/>
      <c r="L11808" s="1285"/>
    </row>
    <row r="11809" spans="1:12" ht="11.15" customHeight="1">
      <c r="A11809" s="162" t="s">
        <v>15709</v>
      </c>
      <c r="B11809" s="59" t="s">
        <v>22540</v>
      </c>
      <c r="C11809" s="147" t="s">
        <v>20221</v>
      </c>
      <c r="D11809" s="701" t="s">
        <v>1129</v>
      </c>
      <c r="E11809" s="178">
        <v>2020</v>
      </c>
      <c r="F11809" s="178" t="s">
        <v>11931</v>
      </c>
      <c r="G11809" s="496"/>
      <c r="H11809" s="994" t="s">
        <v>20224</v>
      </c>
      <c r="I11809" s="12" t="s">
        <v>15712</v>
      </c>
      <c r="J11809" s="1285"/>
      <c r="K11809" s="1285"/>
      <c r="L11809" s="1285"/>
    </row>
    <row r="11810" spans="1:12" ht="11.15" customHeight="1">
      <c r="A11810" s="162" t="s">
        <v>15711</v>
      </c>
      <c r="B11810" s="221" t="s">
        <v>15714</v>
      </c>
      <c r="C11810" s="147"/>
      <c r="D11810" s="159"/>
      <c r="E11810" s="36"/>
      <c r="F11810" s="178"/>
      <c r="G11810" s="496"/>
      <c r="H11810" s="36"/>
      <c r="I11810" s="11"/>
    </row>
    <row r="11811" spans="1:12" ht="11.15" customHeight="1">
      <c r="A11811" s="162" t="s">
        <v>15713</v>
      </c>
      <c r="B11811" s="59" t="s">
        <v>22541</v>
      </c>
      <c r="C11811" s="147" t="s">
        <v>20221</v>
      </c>
      <c r="D11811" s="739" t="s">
        <v>1410</v>
      </c>
      <c r="E11811" s="178">
        <v>2018</v>
      </c>
      <c r="F11811" s="178" t="s">
        <v>7168</v>
      </c>
      <c r="G11811" s="496"/>
      <c r="H11811" s="994" t="s">
        <v>20221</v>
      </c>
      <c r="I11811" s="11" t="s">
        <v>15716</v>
      </c>
      <c r="J11811" s="1285"/>
      <c r="K11811" s="1285"/>
      <c r="L11811" s="1285"/>
    </row>
    <row r="11812" spans="1:12" ht="11.15" customHeight="1">
      <c r="A11812" s="162" t="s">
        <v>15715</v>
      </c>
      <c r="B11812" s="59" t="s">
        <v>22542</v>
      </c>
      <c r="C11812" s="147" t="s">
        <v>20221</v>
      </c>
      <c r="D11812" s="739" t="s">
        <v>1410</v>
      </c>
      <c r="E11812" s="178">
        <v>2011</v>
      </c>
      <c r="F11812" s="178" t="s">
        <v>7168</v>
      </c>
      <c r="G11812" s="496"/>
      <c r="H11812" s="994" t="s">
        <v>20221</v>
      </c>
      <c r="I11812" s="11" t="s">
        <v>15717</v>
      </c>
      <c r="J11812" s="1285"/>
      <c r="K11812" s="1285"/>
      <c r="L11812" s="1285"/>
    </row>
    <row r="11813" spans="1:12" ht="11.15" customHeight="1">
      <c r="A11813" s="162" t="s">
        <v>23254</v>
      </c>
      <c r="B11813" s="221" t="s">
        <v>15408</v>
      </c>
      <c r="C11813" s="147"/>
      <c r="D11813" s="159"/>
      <c r="E11813" s="36"/>
      <c r="F11813" s="178"/>
      <c r="G11813" s="496"/>
      <c r="H11813" s="36"/>
      <c r="I11813" s="11"/>
    </row>
    <row r="11814" spans="1:12" ht="11.15" customHeight="1">
      <c r="A11814" s="212" t="s">
        <v>15718</v>
      </c>
      <c r="B11814" s="59" t="s">
        <v>22543</v>
      </c>
      <c r="C11814" s="147" t="s">
        <v>20221</v>
      </c>
      <c r="D11814" s="739" t="s">
        <v>1410</v>
      </c>
      <c r="E11814" s="178">
        <v>2022</v>
      </c>
      <c r="F11814" s="178" t="s">
        <v>4520</v>
      </c>
      <c r="G11814" s="496"/>
      <c r="H11814" s="994" t="s">
        <v>20221</v>
      </c>
      <c r="I11814" s="11" t="s">
        <v>15720</v>
      </c>
      <c r="J11814" s="1285"/>
      <c r="K11814" s="1285"/>
      <c r="L11814" s="1285"/>
    </row>
    <row r="11815" spans="1:12" ht="11.15" customHeight="1">
      <c r="A11815" s="166" t="s">
        <v>15719</v>
      </c>
      <c r="B11815" s="59" t="s">
        <v>22543</v>
      </c>
      <c r="C11815" s="147" t="s">
        <v>20221</v>
      </c>
      <c r="D11815" s="739" t="s">
        <v>1410</v>
      </c>
      <c r="E11815" s="178">
        <v>2020</v>
      </c>
      <c r="F11815" s="178" t="s">
        <v>4520</v>
      </c>
      <c r="G11815" s="496"/>
      <c r="H11815" s="994" t="s">
        <v>20221</v>
      </c>
      <c r="I11815" s="11" t="s">
        <v>15721</v>
      </c>
      <c r="J11815" s="1285"/>
      <c r="K11815" s="1285"/>
      <c r="L11815" s="1285"/>
    </row>
    <row r="11816" spans="1:12" ht="11.15" customHeight="1">
      <c r="A11816" s="483" t="s">
        <v>2482</v>
      </c>
      <c r="B11816" s="59" t="s">
        <v>22544</v>
      </c>
      <c r="C11816" s="147" t="s">
        <v>20221</v>
      </c>
      <c r="D11816" s="739" t="s">
        <v>1410</v>
      </c>
      <c r="E11816" s="178">
        <v>2019</v>
      </c>
      <c r="F11816" s="178" t="s">
        <v>4520</v>
      </c>
      <c r="G11816" s="496"/>
      <c r="H11816" s="994" t="s">
        <v>20221</v>
      </c>
      <c r="I11816" s="11" t="s">
        <v>15723</v>
      </c>
      <c r="J11816" s="1285"/>
      <c r="K11816" s="1285"/>
      <c r="L11816" s="1285"/>
    </row>
    <row r="11817" spans="1:12" ht="10.5" customHeight="1">
      <c r="A11817" s="129" t="s">
        <v>15722</v>
      </c>
      <c r="B11817" s="185"/>
      <c r="C11817" s="147"/>
      <c r="D11817" s="129"/>
      <c r="E11817" s="185"/>
      <c r="F11817" s="185"/>
      <c r="G11817" s="185"/>
      <c r="H11817" s="185"/>
      <c r="I11817" s="11"/>
    </row>
    <row r="11818" spans="1:12" ht="11.15" customHeight="1">
      <c r="A11818" s="185"/>
      <c r="B11818" s="185"/>
      <c r="C11818" s="147"/>
      <c r="D11818" s="129"/>
      <c r="E11818" s="185"/>
      <c r="F11818" s="185"/>
      <c r="G11818" s="185"/>
      <c r="H11818" s="185"/>
      <c r="I11818" s="11"/>
    </row>
    <row r="11819" spans="1:12" ht="11.15" customHeight="1">
      <c r="A11819" s="29"/>
      <c r="B11819" s="146" t="s">
        <v>15724</v>
      </c>
      <c r="C11819" s="147"/>
      <c r="D11819" s="129"/>
      <c r="E11819" s="185"/>
      <c r="F11819" s="185"/>
      <c r="G11819" s="185"/>
      <c r="H11819" s="185"/>
      <c r="I11819" s="11"/>
    </row>
    <row r="11820" spans="1:12" ht="9" customHeight="1">
      <c r="A11820" s="185"/>
      <c r="B11820" s="209" t="s">
        <v>15725</v>
      </c>
      <c r="C11820" s="147"/>
      <c r="D11820" s="159"/>
      <c r="E11820" s="178"/>
      <c r="F11820" s="178"/>
      <c r="G11820" s="453"/>
      <c r="H11820" s="178"/>
      <c r="I11820" s="11"/>
    </row>
    <row r="11821" spans="1:12" ht="9" customHeight="1">
      <c r="A11821" s="185"/>
      <c r="B11821" s="209" t="s">
        <v>15726</v>
      </c>
      <c r="C11821" s="147"/>
      <c r="D11821" s="159"/>
      <c r="E11821" s="178"/>
      <c r="F11821" s="178"/>
      <c r="G11821" s="453"/>
      <c r="H11821" s="178"/>
      <c r="I11821" s="11"/>
    </row>
    <row r="11822" spans="1:12" ht="9" customHeight="1">
      <c r="A11822" s="185"/>
      <c r="B11822" s="209" t="s">
        <v>15727</v>
      </c>
      <c r="C11822" s="147"/>
      <c r="D11822" s="159"/>
      <c r="E11822" s="178"/>
      <c r="F11822" s="178"/>
      <c r="G11822" s="453"/>
      <c r="H11822" s="178"/>
      <c r="I11822" s="11"/>
    </row>
    <row r="11823" spans="1:12" ht="9" customHeight="1">
      <c r="A11823" s="185"/>
      <c r="B11823" s="150" t="s">
        <v>15728</v>
      </c>
      <c r="C11823" s="147"/>
      <c r="D11823" s="159"/>
      <c r="E11823" s="178"/>
      <c r="F11823" s="178"/>
      <c r="G11823" s="453"/>
      <c r="H11823" s="178"/>
      <c r="I11823" s="11"/>
    </row>
    <row r="11824" spans="1:12" ht="9" customHeight="1">
      <c r="A11824" s="185"/>
      <c r="B11824" s="150" t="s">
        <v>15729</v>
      </c>
      <c r="C11824" s="147"/>
      <c r="D11824" s="159"/>
      <c r="E11824" s="178"/>
      <c r="F11824" s="178"/>
      <c r="G11824" s="453"/>
      <c r="H11824" s="178"/>
      <c r="I11824" s="11"/>
    </row>
    <row r="11825" spans="1:9" ht="9" customHeight="1">
      <c r="A11825" s="185"/>
      <c r="B11825" s="150" t="s">
        <v>15730</v>
      </c>
      <c r="C11825" s="147"/>
      <c r="D11825" s="159"/>
      <c r="E11825" s="178"/>
      <c r="F11825" s="178"/>
      <c r="G11825" s="453"/>
      <c r="H11825" s="178"/>
      <c r="I11825" s="11"/>
    </row>
    <row r="11826" spans="1:9" ht="9" customHeight="1">
      <c r="A11826" s="185"/>
      <c r="B11826" s="150" t="s">
        <v>15731</v>
      </c>
      <c r="C11826" s="147"/>
      <c r="D11826" s="159"/>
      <c r="E11826" s="178"/>
      <c r="F11826" s="178"/>
      <c r="G11826" s="453"/>
      <c r="H11826" s="178"/>
      <c r="I11826" s="11"/>
    </row>
    <row r="11827" spans="1:9" ht="9" customHeight="1">
      <c r="A11827" s="185"/>
      <c r="B11827" s="150" t="s">
        <v>15732</v>
      </c>
      <c r="C11827" s="147"/>
      <c r="D11827" s="159"/>
      <c r="E11827" s="178"/>
      <c r="F11827" s="178"/>
      <c r="G11827" s="453"/>
      <c r="H11827" s="178"/>
      <c r="I11827" s="11"/>
    </row>
    <row r="11828" spans="1:9" ht="9" customHeight="1">
      <c r="A11828" s="29"/>
      <c r="B11828" s="209" t="s">
        <v>15733</v>
      </c>
      <c r="C11828" s="147"/>
      <c r="D11828" s="129"/>
      <c r="E11828" s="185"/>
      <c r="F11828" s="185"/>
      <c r="G11828" s="185"/>
      <c r="H11828" s="185"/>
      <c r="I11828" s="11"/>
    </row>
    <row r="11829" spans="1:9" ht="9" customHeight="1">
      <c r="A11829" s="29"/>
      <c r="B11829" s="150" t="s">
        <v>15734</v>
      </c>
      <c r="C11829" s="147"/>
      <c r="D11829" s="129"/>
      <c r="E11829" s="185"/>
      <c r="F11829" s="185"/>
      <c r="G11829" s="185"/>
      <c r="H11829" s="185"/>
      <c r="I11829" s="11"/>
    </row>
    <row r="11830" spans="1:9" ht="9" customHeight="1">
      <c r="A11830" s="29"/>
      <c r="B11830" s="432" t="s">
        <v>15735</v>
      </c>
      <c r="C11830" s="147"/>
      <c r="D11830" s="129"/>
      <c r="E11830" s="185"/>
      <c r="F11830" s="185"/>
      <c r="G11830" s="185"/>
      <c r="H11830" s="185"/>
      <c r="I11830" s="11"/>
    </row>
    <row r="11831" spans="1:9" ht="9" customHeight="1">
      <c r="A11831" s="29"/>
      <c r="B11831" s="432" t="s">
        <v>15736</v>
      </c>
      <c r="C11831" s="147"/>
      <c r="D11831" s="129"/>
      <c r="E11831" s="185"/>
      <c r="F11831" s="185"/>
      <c r="G11831" s="185"/>
      <c r="H11831" s="185"/>
      <c r="I11831" s="11"/>
    </row>
    <row r="11832" spans="1:9" ht="9" customHeight="1">
      <c r="A11832" s="185"/>
      <c r="B11832" s="150" t="s">
        <v>15737</v>
      </c>
      <c r="C11832" s="147"/>
      <c r="D11832" s="159"/>
      <c r="E11832" s="178"/>
      <c r="F11832" s="178"/>
      <c r="G11832" s="453"/>
      <c r="H11832" s="178"/>
      <c r="I11832" s="11"/>
    </row>
    <row r="11833" spans="1:9" ht="9" customHeight="1">
      <c r="A11833" s="185"/>
      <c r="B11833" s="150" t="s">
        <v>15738</v>
      </c>
      <c r="C11833" s="147"/>
      <c r="D11833" s="159"/>
      <c r="E11833" s="178"/>
      <c r="F11833" s="178"/>
      <c r="G11833" s="453"/>
      <c r="H11833" s="178"/>
      <c r="I11833" s="11"/>
    </row>
    <row r="11834" spans="1:9" ht="11.15" customHeight="1">
      <c r="A11834" s="29"/>
      <c r="B11834" s="146" t="s">
        <v>15739</v>
      </c>
      <c r="C11834" s="147"/>
      <c r="D11834" s="129"/>
      <c r="E11834" s="185"/>
      <c r="F11834" s="185"/>
      <c r="G11834" s="185"/>
      <c r="H11834" s="185"/>
      <c r="I11834" s="11"/>
    </row>
    <row r="11835" spans="1:9" ht="9" customHeight="1">
      <c r="A11835" s="185"/>
      <c r="B11835" s="150" t="s">
        <v>15740</v>
      </c>
      <c r="C11835" s="147"/>
      <c r="D11835" s="159"/>
      <c r="E11835" s="178"/>
      <c r="F11835" s="178"/>
      <c r="G11835" s="453"/>
      <c r="H11835" s="178"/>
      <c r="I11835" s="11"/>
    </row>
    <row r="11836" spans="1:9" ht="9" customHeight="1">
      <c r="A11836" s="185"/>
      <c r="B11836" s="150" t="s">
        <v>15741</v>
      </c>
      <c r="C11836" s="147"/>
      <c r="D11836" s="159"/>
      <c r="E11836" s="178"/>
      <c r="F11836" s="178"/>
      <c r="G11836" s="453"/>
      <c r="H11836" s="178"/>
      <c r="I11836" s="11"/>
    </row>
    <row r="11837" spans="1:9" ht="9" customHeight="1">
      <c r="A11837" s="185"/>
      <c r="B11837" s="150" t="s">
        <v>15742</v>
      </c>
      <c r="C11837" s="147"/>
      <c r="D11837" s="159"/>
      <c r="E11837" s="178"/>
      <c r="F11837" s="178"/>
      <c r="G11837" s="453"/>
      <c r="H11837" s="178"/>
      <c r="I11837" s="11"/>
    </row>
    <row r="11838" spans="1:9" ht="9" customHeight="1">
      <c r="A11838" s="185"/>
      <c r="B11838" s="150" t="s">
        <v>15743</v>
      </c>
      <c r="C11838" s="147"/>
      <c r="D11838" s="159"/>
      <c r="E11838" s="178"/>
      <c r="F11838" s="178"/>
      <c r="G11838" s="453"/>
      <c r="H11838" s="178"/>
      <c r="I11838" s="11"/>
    </row>
    <row r="11839" spans="1:9" ht="9" customHeight="1">
      <c r="A11839" s="185"/>
      <c r="B11839" s="150" t="s">
        <v>15744</v>
      </c>
      <c r="C11839" s="147"/>
      <c r="D11839" s="159"/>
      <c r="E11839" s="178"/>
      <c r="F11839" s="178"/>
      <c r="G11839" s="453"/>
      <c r="H11839" s="178"/>
      <c r="I11839" s="11"/>
    </row>
    <row r="11840" spans="1:9" ht="9" customHeight="1">
      <c r="A11840" s="185"/>
      <c r="B11840" s="150" t="s">
        <v>15745</v>
      </c>
      <c r="C11840" s="147"/>
      <c r="D11840" s="159"/>
      <c r="E11840" s="178"/>
      <c r="F11840" s="178"/>
      <c r="G11840" s="453"/>
      <c r="H11840" s="178"/>
      <c r="I11840" s="11"/>
    </row>
    <row r="11841" spans="1:12" ht="9" customHeight="1">
      <c r="A11841" s="185"/>
      <c r="B11841" s="150" t="s">
        <v>15746</v>
      </c>
      <c r="C11841" s="147"/>
      <c r="D11841" s="159"/>
      <c r="E11841" s="178"/>
      <c r="F11841" s="178"/>
      <c r="G11841" s="453"/>
      <c r="H11841" s="178"/>
      <c r="I11841" s="11"/>
    </row>
    <row r="11842" spans="1:12" ht="9" customHeight="1">
      <c r="A11842" s="185"/>
      <c r="B11842" s="150" t="s">
        <v>15747</v>
      </c>
      <c r="C11842" s="147"/>
      <c r="D11842" s="159"/>
      <c r="E11842" s="178"/>
      <c r="F11842" s="178"/>
      <c r="G11842" s="453"/>
      <c r="H11842" s="178"/>
      <c r="I11842" s="11"/>
    </row>
    <row r="11843" spans="1:12" ht="9" customHeight="1">
      <c r="A11843" s="29"/>
      <c r="B11843" s="150" t="s">
        <v>15748</v>
      </c>
      <c r="C11843" s="147"/>
      <c r="D11843" s="159"/>
      <c r="E11843" s="178"/>
      <c r="F11843" s="178"/>
      <c r="G11843" s="453"/>
      <c r="H11843" s="178"/>
      <c r="I11843" s="11"/>
    </row>
    <row r="11844" spans="1:12" ht="9" customHeight="1">
      <c r="A11844" s="29"/>
      <c r="B11844" s="150" t="s">
        <v>15749</v>
      </c>
      <c r="C11844" s="147"/>
      <c r="D11844" s="159"/>
      <c r="E11844" s="178"/>
      <c r="F11844" s="178"/>
      <c r="G11844" s="453"/>
      <c r="H11844" s="178"/>
      <c r="I11844" s="11"/>
    </row>
    <row r="11845" spans="1:12" ht="9" customHeight="1">
      <c r="A11845" s="29"/>
      <c r="B11845" s="150" t="s">
        <v>15750</v>
      </c>
      <c r="C11845" s="147"/>
      <c r="D11845" s="159"/>
      <c r="E11845" s="178"/>
      <c r="F11845" s="178"/>
      <c r="G11845" s="453"/>
      <c r="H11845" s="178"/>
      <c r="I11845" s="11"/>
    </row>
    <row r="11846" spans="1:12" ht="9" customHeight="1">
      <c r="A11846" s="29"/>
      <c r="B11846" s="150" t="s">
        <v>15751</v>
      </c>
      <c r="C11846" s="147"/>
      <c r="D11846" s="159"/>
      <c r="E11846" s="178"/>
      <c r="F11846" s="178"/>
      <c r="G11846" s="453"/>
      <c r="H11846" s="178"/>
      <c r="I11846" s="11"/>
    </row>
    <row r="11847" spans="1:12" ht="9" customHeight="1" thickBot="1">
      <c r="A11847" s="29"/>
      <c r="B11847" s="150" t="s">
        <v>15752</v>
      </c>
      <c r="C11847" s="147"/>
      <c r="D11847" s="159"/>
      <c r="E11847" s="178"/>
      <c r="F11847" s="178"/>
      <c r="G11847" s="453"/>
      <c r="H11847" s="178"/>
      <c r="I11847" s="11"/>
    </row>
    <row r="11848" spans="1:12" ht="11.25" customHeight="1">
      <c r="A11848" s="674" t="s">
        <v>15753</v>
      </c>
      <c r="B11848" s="154" t="s">
        <v>15754</v>
      </c>
      <c r="C11848" s="147"/>
      <c r="D11848" s="159"/>
      <c r="E11848" s="178"/>
      <c r="F11848" s="178"/>
      <c r="G11848" s="453"/>
      <c r="H11848" s="178"/>
      <c r="I11848" s="11"/>
    </row>
    <row r="11849" spans="1:12" ht="11.25" customHeight="1" thickBot="1">
      <c r="A11849" s="675" t="s">
        <v>15755</v>
      </c>
      <c r="B11849" s="59" t="s">
        <v>22545</v>
      </c>
      <c r="C11849" s="147" t="s">
        <v>20221</v>
      </c>
      <c r="D11849" s="701" t="s">
        <v>1129</v>
      </c>
      <c r="E11849" s="178">
        <v>2019</v>
      </c>
      <c r="F11849" s="178" t="s">
        <v>4520</v>
      </c>
      <c r="G11849" s="496"/>
      <c r="H11849" s="994" t="s">
        <v>20221</v>
      </c>
      <c r="I11849" s="11" t="s">
        <v>15756</v>
      </c>
      <c r="J11849" s="1285"/>
      <c r="K11849" s="1285"/>
      <c r="L11849" s="1285"/>
    </row>
    <row r="11850" spans="1:12" ht="11.25" customHeight="1">
      <c r="A11850" s="29" t="s">
        <v>15757</v>
      </c>
      <c r="B11850" s="154" t="s">
        <v>15758</v>
      </c>
      <c r="C11850" s="147"/>
      <c r="D11850" s="159"/>
      <c r="E11850" s="178"/>
      <c r="F11850" s="178"/>
      <c r="G11850" s="453"/>
      <c r="H11850" s="178"/>
      <c r="I11850" s="11"/>
    </row>
    <row r="11851" spans="1:12" ht="11.15" customHeight="1">
      <c r="A11851" s="29" t="s">
        <v>15759</v>
      </c>
      <c r="B11851" s="59" t="s">
        <v>22546</v>
      </c>
      <c r="C11851" s="147" t="s">
        <v>20221</v>
      </c>
      <c r="D11851" s="701" t="s">
        <v>1129</v>
      </c>
      <c r="E11851" s="178">
        <v>2018</v>
      </c>
      <c r="F11851" s="178" t="s">
        <v>7168</v>
      </c>
      <c r="G11851" s="496"/>
      <c r="H11851" s="994" t="s">
        <v>20221</v>
      </c>
      <c r="I11851" s="11" t="s">
        <v>15760</v>
      </c>
      <c r="J11851" s="1285"/>
      <c r="K11851" s="1285"/>
      <c r="L11851" s="1285"/>
    </row>
    <row r="11852" spans="1:12" ht="11.15" customHeight="1">
      <c r="A11852" s="29" t="s">
        <v>15761</v>
      </c>
      <c r="B11852" s="59" t="s">
        <v>22547</v>
      </c>
      <c r="C11852" s="147" t="s">
        <v>20221</v>
      </c>
      <c r="D11852" s="701" t="s">
        <v>1129</v>
      </c>
      <c r="E11852" s="178">
        <v>2020</v>
      </c>
      <c r="F11852" s="178" t="s">
        <v>7168</v>
      </c>
      <c r="G11852" s="496"/>
      <c r="H11852" s="994" t="s">
        <v>20224</v>
      </c>
      <c r="I11852" s="12" t="s">
        <v>15762</v>
      </c>
      <c r="J11852" s="1285"/>
      <c r="K11852" s="1285"/>
      <c r="L11852" s="1285"/>
    </row>
    <row r="11853" spans="1:12" ht="11.15" customHeight="1">
      <c r="A11853" s="451" t="s">
        <v>15763</v>
      </c>
      <c r="B11853" s="59" t="s">
        <v>22548</v>
      </c>
      <c r="C11853" s="147" t="s">
        <v>20221</v>
      </c>
      <c r="D11853" s="701" t="s">
        <v>1129</v>
      </c>
      <c r="E11853" s="178" t="s">
        <v>20221</v>
      </c>
      <c r="F11853" s="178" t="s">
        <v>4520</v>
      </c>
      <c r="G11853" s="496" t="s">
        <v>20221</v>
      </c>
      <c r="H11853" s="994" t="s">
        <v>3907</v>
      </c>
      <c r="I11853" s="11" t="s">
        <v>15764</v>
      </c>
      <c r="J11853" s="1285"/>
      <c r="K11853" s="1285"/>
      <c r="L11853" s="1285"/>
    </row>
    <row r="11854" spans="1:12" ht="11.15" customHeight="1">
      <c r="A11854" s="29" t="s">
        <v>15765</v>
      </c>
      <c r="B11854" s="59" t="s">
        <v>22549</v>
      </c>
      <c r="C11854" s="147" t="s">
        <v>20221</v>
      </c>
      <c r="D11854" s="701" t="s">
        <v>1129</v>
      </c>
      <c r="E11854" s="178">
        <v>2021</v>
      </c>
      <c r="F11854" s="178" t="s">
        <v>4520</v>
      </c>
      <c r="G11854" s="496"/>
      <c r="H11854" s="994" t="s">
        <v>20221</v>
      </c>
      <c r="I11854" s="12" t="s">
        <v>15766</v>
      </c>
      <c r="J11854" s="1285"/>
      <c r="K11854" s="1285"/>
      <c r="L11854" s="1285"/>
    </row>
    <row r="11855" spans="1:12" ht="11.15" customHeight="1">
      <c r="A11855" s="29" t="s">
        <v>15767</v>
      </c>
      <c r="B11855" s="59" t="s">
        <v>22549</v>
      </c>
      <c r="C11855" s="147" t="s">
        <v>20221</v>
      </c>
      <c r="D11855" s="701" t="s">
        <v>1129</v>
      </c>
      <c r="E11855" s="178">
        <v>2020</v>
      </c>
      <c r="F11855" s="178" t="s">
        <v>4520</v>
      </c>
      <c r="G11855" s="496"/>
      <c r="H11855" s="994" t="s">
        <v>20221</v>
      </c>
      <c r="I11855" s="12" t="s">
        <v>15768</v>
      </c>
      <c r="J11855" s="1285"/>
      <c r="K11855" s="1285"/>
      <c r="L11855" s="1285"/>
    </row>
    <row r="11856" spans="1:12" ht="11.15" customHeight="1">
      <c r="A11856" s="29" t="s">
        <v>15769</v>
      </c>
      <c r="B11856" s="154" t="s">
        <v>15770</v>
      </c>
      <c r="C11856" s="147"/>
      <c r="D11856" s="159"/>
      <c r="E11856" s="178"/>
      <c r="F11856" s="178"/>
      <c r="G11856" s="453"/>
      <c r="H11856" s="178"/>
      <c r="I11856" s="11"/>
    </row>
    <row r="11857" spans="1:12" ht="11.15" customHeight="1">
      <c r="A11857" s="733" t="s">
        <v>15771</v>
      </c>
      <c r="B11857" s="59" t="s">
        <v>22550</v>
      </c>
      <c r="C11857" s="147" t="s">
        <v>20221</v>
      </c>
      <c r="D11857" s="701" t="s">
        <v>1129</v>
      </c>
      <c r="E11857" s="178" t="s">
        <v>20221</v>
      </c>
      <c r="F11857" s="178" t="s">
        <v>4520</v>
      </c>
      <c r="G11857" s="496" t="s">
        <v>20221</v>
      </c>
      <c r="H11857" s="994" t="s">
        <v>3907</v>
      </c>
      <c r="I11857" s="12" t="s">
        <v>15772</v>
      </c>
      <c r="J11857" s="1285"/>
      <c r="K11857" s="1285"/>
      <c r="L11857" s="1285"/>
    </row>
    <row r="11858" spans="1:12" ht="11.15" customHeight="1">
      <c r="A11858" s="162" t="s">
        <v>15773</v>
      </c>
      <c r="B11858" s="59" t="s">
        <v>22551</v>
      </c>
      <c r="C11858" s="147" t="s">
        <v>20221</v>
      </c>
      <c r="D11858" s="701" t="s">
        <v>1129</v>
      </c>
      <c r="E11858" s="178">
        <v>2019</v>
      </c>
      <c r="F11858" s="178" t="s">
        <v>4520</v>
      </c>
      <c r="G11858" s="496"/>
      <c r="H11858" s="994" t="s">
        <v>20277</v>
      </c>
      <c r="I11858" s="11" t="s">
        <v>15774</v>
      </c>
      <c r="J11858" s="1285"/>
      <c r="K11858" s="1285"/>
      <c r="L11858" s="1285"/>
    </row>
    <row r="11859" spans="1:12" ht="11.15" customHeight="1">
      <c r="A11859" s="162" t="s">
        <v>15775</v>
      </c>
      <c r="B11859" s="59" t="s">
        <v>22552</v>
      </c>
      <c r="C11859" s="147" t="s">
        <v>20221</v>
      </c>
      <c r="D11859" s="701" t="s">
        <v>1129</v>
      </c>
      <c r="E11859" s="178">
        <v>2021</v>
      </c>
      <c r="F11859" s="178" t="s">
        <v>4520</v>
      </c>
      <c r="G11859" s="496"/>
      <c r="H11859" s="994" t="s">
        <v>20221</v>
      </c>
      <c r="I11859" s="11" t="s">
        <v>15776</v>
      </c>
      <c r="J11859" s="1285"/>
      <c r="K11859" s="1285"/>
      <c r="L11859" s="1285"/>
    </row>
    <row r="11860" spans="1:12" ht="11.25" customHeight="1">
      <c r="A11860" s="162" t="s">
        <v>15777</v>
      </c>
      <c r="B11860" s="59" t="s">
        <v>22552</v>
      </c>
      <c r="C11860" s="147" t="s">
        <v>20221</v>
      </c>
      <c r="D11860" s="701" t="s">
        <v>1129</v>
      </c>
      <c r="E11860" s="178">
        <v>2020</v>
      </c>
      <c r="F11860" s="178" t="s">
        <v>4520</v>
      </c>
      <c r="G11860" s="496"/>
      <c r="H11860" s="994" t="s">
        <v>20224</v>
      </c>
      <c r="I11860" s="11" t="s">
        <v>15778</v>
      </c>
      <c r="J11860" s="1285"/>
      <c r="K11860" s="1285"/>
      <c r="L11860" s="1285"/>
    </row>
    <row r="11861" spans="1:12" ht="11.25" customHeight="1">
      <c r="A11861" s="162" t="s">
        <v>15779</v>
      </c>
      <c r="B11861" s="59" t="s">
        <v>22553</v>
      </c>
      <c r="C11861" s="147" t="s">
        <v>20221</v>
      </c>
      <c r="D11861" s="701" t="s">
        <v>1129</v>
      </c>
      <c r="E11861" s="178">
        <v>2018</v>
      </c>
      <c r="F11861" s="178" t="s">
        <v>4520</v>
      </c>
      <c r="G11861" s="496"/>
      <c r="H11861" s="994" t="s">
        <v>20221</v>
      </c>
      <c r="I11861" s="11" t="s">
        <v>15780</v>
      </c>
      <c r="J11861" s="1285"/>
      <c r="K11861" s="1285"/>
      <c r="L11861" s="1285"/>
    </row>
    <row r="11862" spans="1:12" ht="11.15" customHeight="1">
      <c r="A11862" s="162" t="s">
        <v>15781</v>
      </c>
      <c r="B11862" s="154" t="s">
        <v>15782</v>
      </c>
      <c r="C11862" s="147"/>
      <c r="D11862" s="129"/>
      <c r="E11862" s="185"/>
      <c r="F11862" s="185"/>
      <c r="G11862" s="185"/>
      <c r="H11862" s="185"/>
      <c r="I11862" s="11"/>
    </row>
    <row r="11863" spans="1:12" ht="11.15" customHeight="1">
      <c r="A11863" s="162" t="s">
        <v>15783</v>
      </c>
      <c r="B11863" s="59" t="s">
        <v>22554</v>
      </c>
      <c r="C11863" s="147" t="s">
        <v>20221</v>
      </c>
      <c r="D11863" s="701" t="s">
        <v>1129</v>
      </c>
      <c r="E11863" s="178">
        <v>2004</v>
      </c>
      <c r="F11863" s="178" t="s">
        <v>23400</v>
      </c>
      <c r="G11863" s="496"/>
      <c r="H11863" s="994" t="s">
        <v>20221</v>
      </c>
      <c r="I11863" s="11" t="s">
        <v>15784</v>
      </c>
      <c r="J11863" s="1285"/>
      <c r="K11863" s="1285"/>
      <c r="L11863" s="1285"/>
    </row>
    <row r="11864" spans="1:12" ht="11.15" customHeight="1">
      <c r="A11864" s="162" t="s">
        <v>15785</v>
      </c>
      <c r="B11864" s="59" t="s">
        <v>22555</v>
      </c>
      <c r="C11864" s="147" t="s">
        <v>20221</v>
      </c>
      <c r="D11864" s="701" t="s">
        <v>1129</v>
      </c>
      <c r="E11864" s="178">
        <v>2021</v>
      </c>
      <c r="F11864" s="178" t="s">
        <v>4520</v>
      </c>
      <c r="G11864" s="496"/>
      <c r="H11864" s="994" t="s">
        <v>20221</v>
      </c>
      <c r="I11864" s="11" t="s">
        <v>15786</v>
      </c>
      <c r="J11864" s="1285"/>
      <c r="K11864" s="1285"/>
      <c r="L11864" s="1285"/>
    </row>
    <row r="11865" spans="1:12" ht="11.15" customHeight="1">
      <c r="A11865" s="162" t="s">
        <v>15787</v>
      </c>
      <c r="B11865" s="59" t="s">
        <v>22555</v>
      </c>
      <c r="C11865" s="147" t="s">
        <v>20221</v>
      </c>
      <c r="D11865" s="701" t="s">
        <v>1129</v>
      </c>
      <c r="E11865" s="178">
        <v>2020</v>
      </c>
      <c r="F11865" s="178" t="s">
        <v>4520</v>
      </c>
      <c r="G11865" s="496"/>
      <c r="H11865" s="994" t="s">
        <v>20221</v>
      </c>
      <c r="I11865" s="11" t="s">
        <v>15788</v>
      </c>
      <c r="J11865" s="1285"/>
      <c r="K11865" s="1285"/>
      <c r="L11865" s="1285"/>
    </row>
    <row r="11866" spans="1:12" ht="9.75" customHeight="1">
      <c r="A11866" s="162" t="s">
        <v>15789</v>
      </c>
      <c r="B11866" s="59" t="s">
        <v>22555</v>
      </c>
      <c r="C11866" s="147" t="s">
        <v>20221</v>
      </c>
      <c r="D11866" s="701" t="s">
        <v>1129</v>
      </c>
      <c r="E11866" s="178">
        <v>2019</v>
      </c>
      <c r="F11866" s="178" t="s">
        <v>4520</v>
      </c>
      <c r="G11866" s="496"/>
      <c r="H11866" s="994" t="s">
        <v>20224</v>
      </c>
      <c r="I11866" s="11" t="s">
        <v>15790</v>
      </c>
      <c r="J11866" s="1285"/>
      <c r="K11866" s="1285"/>
      <c r="L11866" s="1285"/>
    </row>
    <row r="11867" spans="1:12" ht="9.75" customHeight="1">
      <c r="A11867" s="162" t="s">
        <v>15791</v>
      </c>
      <c r="B11867" s="59" t="s">
        <v>22556</v>
      </c>
      <c r="C11867" s="147" t="s">
        <v>20221</v>
      </c>
      <c r="D11867" s="701" t="s">
        <v>1129</v>
      </c>
      <c r="E11867" s="178">
        <v>2018</v>
      </c>
      <c r="F11867" s="178" t="s">
        <v>4520</v>
      </c>
      <c r="G11867" s="496"/>
      <c r="H11867" s="994" t="s">
        <v>20221</v>
      </c>
      <c r="I11867" s="11" t="s">
        <v>15792</v>
      </c>
      <c r="J11867" s="1285"/>
      <c r="K11867" s="1285"/>
      <c r="L11867" s="1285"/>
    </row>
    <row r="11868" spans="1:12" ht="9.75" customHeight="1">
      <c r="A11868" s="162" t="s">
        <v>15793</v>
      </c>
      <c r="B11868" s="59" t="s">
        <v>22555</v>
      </c>
      <c r="C11868" s="147" t="s">
        <v>20221</v>
      </c>
      <c r="D11868" s="701" t="s">
        <v>1129</v>
      </c>
      <c r="E11868" s="178">
        <v>2016</v>
      </c>
      <c r="F11868" s="178" t="s">
        <v>4520</v>
      </c>
      <c r="G11868" s="496"/>
      <c r="H11868" s="994" t="s">
        <v>20221</v>
      </c>
      <c r="I11868" s="11" t="s">
        <v>15794</v>
      </c>
      <c r="J11868" s="1285"/>
      <c r="K11868" s="1285"/>
      <c r="L11868" s="1285"/>
    </row>
    <row r="11869" spans="1:12" ht="11.15" customHeight="1">
      <c r="A11869" s="162" t="s">
        <v>15795</v>
      </c>
      <c r="B11869" s="177" t="s">
        <v>15714</v>
      </c>
      <c r="C11869" s="147"/>
      <c r="D11869" s="129"/>
      <c r="E11869" s="185"/>
      <c r="F11869" s="185"/>
      <c r="G11869" s="185"/>
      <c r="H11869" s="185"/>
      <c r="I11869" s="11"/>
    </row>
    <row r="11870" spans="1:12" ht="11.15" customHeight="1">
      <c r="A11870" s="162" t="s">
        <v>15796</v>
      </c>
      <c r="B11870" s="59" t="s">
        <v>22557</v>
      </c>
      <c r="C11870" s="147" t="s">
        <v>20221</v>
      </c>
      <c r="D11870" s="739" t="s">
        <v>1410</v>
      </c>
      <c r="E11870" s="178">
        <v>2021</v>
      </c>
      <c r="F11870" s="178" t="s">
        <v>7168</v>
      </c>
      <c r="G11870" s="496"/>
      <c r="H11870" s="994" t="s">
        <v>20221</v>
      </c>
      <c r="I11870" s="12" t="s">
        <v>15797</v>
      </c>
      <c r="J11870" s="1285"/>
      <c r="K11870" s="1285"/>
      <c r="L11870" s="1285"/>
    </row>
    <row r="11871" spans="1:12" ht="11.15" customHeight="1">
      <c r="A11871" s="162" t="s">
        <v>15798</v>
      </c>
      <c r="B11871" s="59" t="s">
        <v>22557</v>
      </c>
      <c r="C11871" s="147" t="s">
        <v>20221</v>
      </c>
      <c r="D11871" s="739" t="s">
        <v>1410</v>
      </c>
      <c r="E11871" s="178">
        <v>2020</v>
      </c>
      <c r="F11871" s="178" t="s">
        <v>7168</v>
      </c>
      <c r="G11871" s="496"/>
      <c r="H11871" s="994" t="s">
        <v>20221</v>
      </c>
      <c r="I11871" s="12" t="s">
        <v>15799</v>
      </c>
      <c r="J11871" s="1285"/>
      <c r="K11871" s="1285"/>
      <c r="L11871" s="1285"/>
    </row>
    <row r="11872" spans="1:12" ht="11.15" customHeight="1">
      <c r="A11872" s="162" t="s">
        <v>15800</v>
      </c>
      <c r="B11872" s="59" t="s">
        <v>22557</v>
      </c>
      <c r="C11872" s="147" t="s">
        <v>20221</v>
      </c>
      <c r="D11872" s="739" t="s">
        <v>1410</v>
      </c>
      <c r="E11872" s="178">
        <v>2019</v>
      </c>
      <c r="F11872" s="178" t="s">
        <v>7168</v>
      </c>
      <c r="G11872" s="496"/>
      <c r="H11872" s="994" t="s">
        <v>20221</v>
      </c>
      <c r="I11872" s="11" t="s">
        <v>15801</v>
      </c>
      <c r="J11872" s="1285"/>
      <c r="K11872" s="1285"/>
      <c r="L11872" s="1285"/>
    </row>
    <row r="11873" spans="1:12" ht="11.15" customHeight="1">
      <c r="A11873" s="162" t="s">
        <v>15802</v>
      </c>
      <c r="B11873" s="59" t="s">
        <v>22558</v>
      </c>
      <c r="C11873" s="147" t="s">
        <v>20221</v>
      </c>
      <c r="D11873" s="739" t="s">
        <v>1410</v>
      </c>
      <c r="E11873" s="178">
        <v>2018</v>
      </c>
      <c r="F11873" s="178" t="s">
        <v>7168</v>
      </c>
      <c r="G11873" s="496"/>
      <c r="H11873" s="994" t="s">
        <v>20221</v>
      </c>
      <c r="I11873" s="11" t="s">
        <v>15803</v>
      </c>
      <c r="J11873" s="1285"/>
      <c r="K11873" s="1285"/>
      <c r="L11873" s="1285"/>
    </row>
    <row r="11874" spans="1:12" ht="11.15" customHeight="1">
      <c r="A11874" s="162" t="s">
        <v>15804</v>
      </c>
      <c r="B11874" s="177" t="s">
        <v>15408</v>
      </c>
      <c r="C11874" s="147"/>
      <c r="D11874" s="129"/>
      <c r="E11874" s="185"/>
      <c r="F11874" s="185"/>
      <c r="G11874" s="185"/>
      <c r="H11874" s="185"/>
      <c r="I11874" s="11"/>
    </row>
    <row r="11875" spans="1:12" ht="11.15" customHeight="1">
      <c r="A11875" s="734" t="s">
        <v>15805</v>
      </c>
      <c r="B11875" s="59" t="s">
        <v>22559</v>
      </c>
      <c r="C11875" s="147" t="s">
        <v>20221</v>
      </c>
      <c r="D11875" s="739" t="s">
        <v>1410</v>
      </c>
      <c r="E11875" s="178">
        <v>2021</v>
      </c>
      <c r="F11875" s="178" t="s">
        <v>4520</v>
      </c>
      <c r="G11875" s="496"/>
      <c r="H11875" s="994" t="s">
        <v>20221</v>
      </c>
      <c r="I11875" s="11" t="s">
        <v>15806</v>
      </c>
      <c r="J11875" s="1285"/>
      <c r="K11875" s="1285"/>
      <c r="L11875" s="1285"/>
    </row>
    <row r="11876" spans="1:12" ht="11.15" customHeight="1">
      <c r="A11876" s="733" t="s">
        <v>6076</v>
      </c>
      <c r="B11876" s="59" t="s">
        <v>22559</v>
      </c>
      <c r="C11876" s="147" t="s">
        <v>20221</v>
      </c>
      <c r="D11876" s="739" t="s">
        <v>1410</v>
      </c>
      <c r="E11876" s="178">
        <v>2020</v>
      </c>
      <c r="F11876" s="178" t="s">
        <v>4520</v>
      </c>
      <c r="G11876" s="496"/>
      <c r="H11876" s="994" t="s">
        <v>20221</v>
      </c>
      <c r="I11876" s="11" t="s">
        <v>15807</v>
      </c>
      <c r="J11876" s="1285"/>
      <c r="K11876" s="1285"/>
      <c r="L11876" s="1285"/>
    </row>
    <row r="11877" spans="1:12" ht="11.15" customHeight="1">
      <c r="A11877" s="162" t="s">
        <v>15808</v>
      </c>
      <c r="B11877" s="59" t="s">
        <v>22560</v>
      </c>
      <c r="C11877" s="147" t="s">
        <v>20221</v>
      </c>
      <c r="D11877" s="739" t="s">
        <v>1410</v>
      </c>
      <c r="E11877" s="178">
        <v>2021</v>
      </c>
      <c r="F11877" s="178" t="s">
        <v>4520</v>
      </c>
      <c r="G11877" s="496"/>
      <c r="H11877" s="994" t="s">
        <v>20221</v>
      </c>
      <c r="I11877" s="11" t="s">
        <v>15809</v>
      </c>
      <c r="J11877" s="1285"/>
      <c r="K11877" s="1285"/>
      <c r="L11877" s="1285"/>
    </row>
    <row r="11878" spans="1:12" ht="11.15" customHeight="1">
      <c r="A11878" s="162" t="s">
        <v>15810</v>
      </c>
      <c r="B11878" s="59" t="s">
        <v>22560</v>
      </c>
      <c r="C11878" s="147" t="s">
        <v>20221</v>
      </c>
      <c r="D11878" s="739" t="s">
        <v>1410</v>
      </c>
      <c r="E11878" s="178">
        <v>2020</v>
      </c>
      <c r="F11878" s="178" t="s">
        <v>4520</v>
      </c>
      <c r="G11878" s="496"/>
      <c r="H11878" s="994" t="s">
        <v>20221</v>
      </c>
      <c r="I11878" s="11" t="s">
        <v>15811</v>
      </c>
      <c r="J11878" s="1285"/>
      <c r="K11878" s="1285"/>
      <c r="L11878" s="1285"/>
    </row>
    <row r="11879" spans="1:12" ht="11.15" customHeight="1">
      <c r="A11879" s="162" t="s">
        <v>15812</v>
      </c>
      <c r="B11879" s="177" t="s">
        <v>15813</v>
      </c>
      <c r="C11879" s="147"/>
      <c r="D11879" s="159"/>
      <c r="E11879" s="36"/>
      <c r="F11879" s="183"/>
      <c r="G11879" s="496"/>
      <c r="H11879" s="34"/>
      <c r="I11879" s="11"/>
    </row>
    <row r="11880" spans="1:12" ht="11.15" customHeight="1">
      <c r="A11880" s="162" t="s">
        <v>15814</v>
      </c>
      <c r="B11880" s="59" t="s">
        <v>22561</v>
      </c>
      <c r="C11880" s="147" t="s">
        <v>20221</v>
      </c>
      <c r="D11880" s="739" t="s">
        <v>1410</v>
      </c>
      <c r="E11880" s="178">
        <v>2019</v>
      </c>
      <c r="F11880" s="178" t="s">
        <v>7168</v>
      </c>
      <c r="G11880" s="496"/>
      <c r="H11880" s="994" t="s">
        <v>20221</v>
      </c>
      <c r="I11880" s="11" t="s">
        <v>15815</v>
      </c>
      <c r="J11880" s="1285"/>
      <c r="K11880" s="1285"/>
      <c r="L11880" s="1285"/>
    </row>
    <row r="11881" spans="1:12" ht="11.15" customHeight="1">
      <c r="A11881" s="162" t="s">
        <v>15816</v>
      </c>
      <c r="B11881" s="59" t="s">
        <v>22562</v>
      </c>
      <c r="C11881" s="147" t="s">
        <v>20221</v>
      </c>
      <c r="D11881" s="739" t="s">
        <v>1410</v>
      </c>
      <c r="E11881" s="178">
        <v>2018</v>
      </c>
      <c r="F11881" s="178" t="s">
        <v>7168</v>
      </c>
      <c r="G11881" s="496"/>
      <c r="H11881" s="994" t="s">
        <v>20221</v>
      </c>
      <c r="I11881" s="11" t="s">
        <v>15817</v>
      </c>
      <c r="J11881" s="1285"/>
      <c r="K11881" s="1285"/>
      <c r="L11881" s="1285"/>
    </row>
    <row r="11882" spans="1:12" ht="11.15" customHeight="1">
      <c r="A11882" s="733" t="s">
        <v>3842</v>
      </c>
      <c r="B11882" s="59" t="s">
        <v>22563</v>
      </c>
      <c r="C11882" s="147" t="s">
        <v>20221</v>
      </c>
      <c r="D11882" s="739" t="s">
        <v>1410</v>
      </c>
      <c r="E11882" s="178">
        <v>2006</v>
      </c>
      <c r="F11882" s="178" t="s">
        <v>7168</v>
      </c>
      <c r="G11882" s="496"/>
      <c r="H11882" s="994" t="s">
        <v>20221</v>
      </c>
      <c r="I11882" s="11" t="s">
        <v>15818</v>
      </c>
      <c r="J11882" s="1285"/>
      <c r="K11882" s="1285"/>
      <c r="L11882" s="1285"/>
    </row>
    <row r="11883" spans="1:12" ht="11.15" customHeight="1">
      <c r="A11883" s="162" t="s">
        <v>9435</v>
      </c>
      <c r="B11883" s="59" t="s">
        <v>22564</v>
      </c>
      <c r="C11883" s="147" t="s">
        <v>20221</v>
      </c>
      <c r="D11883" s="739" t="s">
        <v>1410</v>
      </c>
      <c r="E11883" s="178">
        <v>2002</v>
      </c>
      <c r="F11883" s="178" t="s">
        <v>7168</v>
      </c>
      <c r="G11883" s="496"/>
      <c r="H11883" s="994" t="s">
        <v>20221</v>
      </c>
      <c r="I11883" s="11" t="s">
        <v>15819</v>
      </c>
      <c r="J11883" s="1285"/>
      <c r="K11883" s="1285"/>
      <c r="L11883" s="1285"/>
    </row>
    <row r="11884" spans="1:12" ht="11.15" customHeight="1">
      <c r="A11884" s="162" t="s">
        <v>15820</v>
      </c>
      <c r="B11884" s="177" t="s">
        <v>15821</v>
      </c>
      <c r="C11884" s="147"/>
      <c r="D11884" s="159"/>
      <c r="E11884" s="36"/>
      <c r="F11884" s="183"/>
      <c r="G11884" s="496"/>
      <c r="H11884" s="34"/>
      <c r="I11884" s="11"/>
    </row>
    <row r="11885" spans="1:12" ht="11.15" customHeight="1">
      <c r="A11885" s="162" t="s">
        <v>15822</v>
      </c>
      <c r="B11885" s="59" t="s">
        <v>22565</v>
      </c>
      <c r="C11885" s="147" t="s">
        <v>20221</v>
      </c>
      <c r="D11885" s="739" t="s">
        <v>1410</v>
      </c>
      <c r="E11885" s="178">
        <v>2019</v>
      </c>
      <c r="F11885" s="178" t="s">
        <v>4520</v>
      </c>
      <c r="G11885" s="496"/>
      <c r="H11885" s="994" t="s">
        <v>20224</v>
      </c>
      <c r="I11885" s="11" t="s">
        <v>15823</v>
      </c>
      <c r="J11885" s="1285"/>
      <c r="K11885" s="1285"/>
      <c r="L11885" s="1285"/>
    </row>
    <row r="11886" spans="1:12" ht="11.15" customHeight="1">
      <c r="A11886" s="162" t="s">
        <v>15824</v>
      </c>
      <c r="B11886" s="59" t="s">
        <v>22566</v>
      </c>
      <c r="C11886" s="147" t="s">
        <v>20221</v>
      </c>
      <c r="D11886" s="739" t="s">
        <v>1410</v>
      </c>
      <c r="E11886" s="178">
        <v>2018</v>
      </c>
      <c r="F11886" s="178" t="s">
        <v>4520</v>
      </c>
      <c r="G11886" s="496"/>
      <c r="H11886" s="994" t="s">
        <v>20221</v>
      </c>
      <c r="I11886" s="11" t="s">
        <v>15825</v>
      </c>
      <c r="J11886" s="1285"/>
      <c r="K11886" s="1285"/>
      <c r="L11886" s="1285"/>
    </row>
    <row r="11887" spans="1:12" ht="11.15" customHeight="1">
      <c r="A11887" s="162" t="s">
        <v>15826</v>
      </c>
      <c r="B11887" s="59" t="s">
        <v>22567</v>
      </c>
      <c r="C11887" s="147" t="s">
        <v>20221</v>
      </c>
      <c r="D11887" s="739" t="s">
        <v>1410</v>
      </c>
      <c r="E11887" s="178">
        <v>2016</v>
      </c>
      <c r="F11887" s="178" t="s">
        <v>4520</v>
      </c>
      <c r="G11887" s="496"/>
      <c r="H11887" s="994" t="s">
        <v>20221</v>
      </c>
      <c r="I11887" s="11" t="s">
        <v>15827</v>
      </c>
      <c r="J11887" s="1285"/>
      <c r="K11887" s="1285"/>
      <c r="L11887" s="1285"/>
    </row>
    <row r="11888" spans="1:12" ht="11.15" customHeight="1">
      <c r="A11888" s="291" t="s">
        <v>15828</v>
      </c>
      <c r="B11888" s="59" t="s">
        <v>22568</v>
      </c>
      <c r="C11888" s="147" t="s">
        <v>20221</v>
      </c>
      <c r="D11888" s="739" t="s">
        <v>1410</v>
      </c>
      <c r="E11888" s="178">
        <v>2010</v>
      </c>
      <c r="F11888" s="178" t="s">
        <v>4520</v>
      </c>
      <c r="G11888" s="496"/>
      <c r="H11888" s="994" t="s">
        <v>20221</v>
      </c>
      <c r="I11888" s="11" t="s">
        <v>15829</v>
      </c>
      <c r="J11888" s="1285"/>
      <c r="K11888" s="1285"/>
      <c r="L11888" s="1285"/>
    </row>
    <row r="11889" spans="1:12" ht="11.15" customHeight="1">
      <c r="A11889" s="162" t="s">
        <v>15830</v>
      </c>
      <c r="B11889" s="59" t="s">
        <v>22569</v>
      </c>
      <c r="C11889" s="147" t="s">
        <v>20221</v>
      </c>
      <c r="D11889" s="739" t="s">
        <v>1410</v>
      </c>
      <c r="E11889" s="178">
        <v>2009</v>
      </c>
      <c r="F11889" s="178" t="s">
        <v>4520</v>
      </c>
      <c r="G11889" s="496"/>
      <c r="H11889" s="994" t="s">
        <v>20224</v>
      </c>
      <c r="I11889" s="11" t="s">
        <v>15831</v>
      </c>
      <c r="J11889" s="1285"/>
      <c r="K11889" s="1285"/>
      <c r="L11889" s="1285"/>
    </row>
    <row r="11890" spans="1:12" ht="11.15" customHeight="1">
      <c r="A11890" s="162" t="s">
        <v>15832</v>
      </c>
      <c r="B11890" s="59" t="s">
        <v>22570</v>
      </c>
      <c r="C11890" s="147" t="s">
        <v>20221</v>
      </c>
      <c r="D11890" s="739" t="s">
        <v>1410</v>
      </c>
      <c r="E11890" s="178">
        <v>2003</v>
      </c>
      <c r="F11890" s="178" t="s">
        <v>23395</v>
      </c>
      <c r="G11890" s="496"/>
      <c r="H11890" s="994" t="s">
        <v>20465</v>
      </c>
      <c r="I11890" s="11" t="s">
        <v>15833</v>
      </c>
      <c r="J11890" s="1285"/>
      <c r="K11890" s="1285"/>
      <c r="L11890" s="1285"/>
    </row>
    <row r="11891" spans="1:12" ht="11.15" customHeight="1">
      <c r="A11891" s="162" t="s">
        <v>15834</v>
      </c>
      <c r="B11891" s="154" t="s">
        <v>15663</v>
      </c>
      <c r="C11891" s="147"/>
      <c r="D11891" s="129"/>
      <c r="E11891" s="185"/>
      <c r="F11891" s="185"/>
      <c r="G11891" s="185"/>
      <c r="H11891" s="185"/>
      <c r="I11891" s="11"/>
    </row>
    <row r="11892" spans="1:12" ht="11.15" customHeight="1">
      <c r="A11892" s="129" t="s">
        <v>15835</v>
      </c>
      <c r="B11892" s="59" t="s">
        <v>22571</v>
      </c>
      <c r="C11892" s="147" t="s">
        <v>20221</v>
      </c>
      <c r="D11892" s="739" t="s">
        <v>1410</v>
      </c>
      <c r="E11892" s="178" t="s">
        <v>20221</v>
      </c>
      <c r="F11892" s="178" t="s">
        <v>23424</v>
      </c>
      <c r="G11892" s="496" t="s">
        <v>20221</v>
      </c>
      <c r="H11892" s="994" t="s">
        <v>3907</v>
      </c>
      <c r="I11892" s="11" t="s">
        <v>15836</v>
      </c>
      <c r="J11892" s="1285"/>
      <c r="K11892" s="1285"/>
      <c r="L11892" s="1285"/>
    </row>
    <row r="11893" spans="1:12" ht="11.15" customHeight="1">
      <c r="A11893" s="162" t="s">
        <v>15837</v>
      </c>
      <c r="B11893" s="59" t="s">
        <v>22572</v>
      </c>
      <c r="C11893" s="147" t="s">
        <v>20221</v>
      </c>
      <c r="D11893" s="739" t="s">
        <v>1410</v>
      </c>
      <c r="E11893" s="178">
        <v>2018</v>
      </c>
      <c r="F11893" s="178" t="s">
        <v>23400</v>
      </c>
      <c r="G11893" s="496"/>
      <c r="H11893" s="994" t="s">
        <v>20221</v>
      </c>
      <c r="I11893" s="11" t="s">
        <v>15838</v>
      </c>
      <c r="J11893" s="1285"/>
      <c r="K11893" s="1285"/>
      <c r="L11893" s="1285"/>
    </row>
    <row r="11894" spans="1:12" ht="11.15" customHeight="1">
      <c r="A11894" s="162" t="s">
        <v>15839</v>
      </c>
      <c r="B11894" s="59" t="s">
        <v>22573</v>
      </c>
      <c r="C11894" s="147" t="s">
        <v>20221</v>
      </c>
      <c r="D11894" s="739" t="s">
        <v>1410</v>
      </c>
      <c r="E11894" s="178">
        <v>2015</v>
      </c>
      <c r="F11894" s="178" t="s">
        <v>23424</v>
      </c>
      <c r="G11894" s="496"/>
      <c r="H11894" s="994" t="s">
        <v>20224</v>
      </c>
      <c r="I11894" s="11" t="s">
        <v>15840</v>
      </c>
      <c r="J11894" s="1285"/>
      <c r="K11894" s="1285"/>
      <c r="L11894" s="1285"/>
    </row>
    <row r="11895" spans="1:12" ht="11.15" customHeight="1" thickBot="1">
      <c r="A11895" s="162" t="s">
        <v>15841</v>
      </c>
      <c r="B11895" s="59" t="s">
        <v>22574</v>
      </c>
      <c r="C11895" s="147" t="s">
        <v>20221</v>
      </c>
      <c r="D11895" s="739" t="s">
        <v>1410</v>
      </c>
      <c r="E11895" s="178">
        <v>2010</v>
      </c>
      <c r="F11895" s="178" t="s">
        <v>23400</v>
      </c>
      <c r="G11895" s="496"/>
      <c r="H11895" s="994" t="s">
        <v>20224</v>
      </c>
      <c r="I11895" s="12" t="s">
        <v>15842</v>
      </c>
      <c r="J11895" s="1285"/>
      <c r="K11895" s="1285"/>
      <c r="L11895" s="1285"/>
    </row>
    <row r="11896" spans="1:12" ht="11.15" customHeight="1" thickBot="1">
      <c r="A11896" s="735" t="s">
        <v>15843</v>
      </c>
      <c r="B11896" s="59" t="s">
        <v>22575</v>
      </c>
      <c r="C11896" s="147" t="s">
        <v>20221</v>
      </c>
      <c r="D11896" s="739" t="s">
        <v>1410</v>
      </c>
      <c r="E11896" s="178">
        <v>2009</v>
      </c>
      <c r="F11896" s="178" t="s">
        <v>23400</v>
      </c>
      <c r="G11896" s="496"/>
      <c r="H11896" s="994" t="s">
        <v>20224</v>
      </c>
      <c r="I11896" s="12" t="s">
        <v>15844</v>
      </c>
      <c r="J11896" s="1285"/>
      <c r="K11896" s="1285"/>
      <c r="L11896" s="1285"/>
    </row>
    <row r="11897" spans="1:12" ht="11.15" customHeight="1">
      <c r="A11897" s="166" t="s">
        <v>15718</v>
      </c>
      <c r="B11897" s="59" t="s">
        <v>22576</v>
      </c>
      <c r="C11897" s="147" t="s">
        <v>20221</v>
      </c>
      <c r="D11897" s="739" t="s">
        <v>1410</v>
      </c>
      <c r="E11897" s="178">
        <v>2006</v>
      </c>
      <c r="F11897" s="178" t="s">
        <v>7168</v>
      </c>
      <c r="G11897" s="496"/>
      <c r="H11897" s="994" t="s">
        <v>20224</v>
      </c>
      <c r="I11897" s="11" t="s">
        <v>15845</v>
      </c>
      <c r="J11897" s="1285"/>
      <c r="K11897" s="1285"/>
      <c r="L11897" s="1285"/>
    </row>
    <row r="11898" spans="1:12" ht="11.15" customHeight="1">
      <c r="A11898" s="1174" t="s">
        <v>15846</v>
      </c>
      <c r="B11898" s="154" t="s">
        <v>15847</v>
      </c>
      <c r="C11898" s="147"/>
      <c r="D11898" s="129"/>
      <c r="E11898" s="185"/>
      <c r="F11898" s="185"/>
      <c r="G11898" s="185"/>
      <c r="H11898" s="185"/>
      <c r="I11898" s="11"/>
    </row>
    <row r="11899" spans="1:12" ht="11.15" customHeight="1">
      <c r="A11899" s="129" t="s">
        <v>15848</v>
      </c>
      <c r="B11899" s="59" t="s">
        <v>22577</v>
      </c>
      <c r="C11899" s="147" t="s">
        <v>20221</v>
      </c>
      <c r="D11899" s="739" t="s">
        <v>1410</v>
      </c>
      <c r="E11899" s="178">
        <v>2018</v>
      </c>
      <c r="F11899" s="178" t="s">
        <v>23400</v>
      </c>
      <c r="G11899" s="496"/>
      <c r="H11899" s="994" t="s">
        <v>20221</v>
      </c>
      <c r="I11899" s="11" t="s">
        <v>15849</v>
      </c>
      <c r="J11899" s="1285"/>
      <c r="K11899" s="1285"/>
      <c r="L11899" s="1285"/>
    </row>
    <row r="11900" spans="1:12" ht="11.15" customHeight="1">
      <c r="A11900" s="129" t="s">
        <v>15850</v>
      </c>
      <c r="B11900" s="210" t="s">
        <v>15851</v>
      </c>
      <c r="C11900" s="147"/>
      <c r="D11900" s="182"/>
      <c r="E11900" s="36"/>
      <c r="F11900" s="183"/>
      <c r="G11900" s="496"/>
      <c r="H11900" s="183"/>
      <c r="I11900" s="11"/>
    </row>
    <row r="11901" spans="1:12" ht="11.15" customHeight="1">
      <c r="B11901" s="59" t="s">
        <v>22578</v>
      </c>
      <c r="C11901" s="147" t="s">
        <v>20221</v>
      </c>
      <c r="D11901" s="739" t="s">
        <v>1410</v>
      </c>
      <c r="E11901" s="178">
        <v>2009</v>
      </c>
      <c r="F11901" s="178" t="s">
        <v>23424</v>
      </c>
      <c r="G11901" s="496"/>
      <c r="H11901" s="994" t="s">
        <v>20224</v>
      </c>
      <c r="I11901" s="11" t="s">
        <v>15852</v>
      </c>
      <c r="J11901" s="1285"/>
      <c r="K11901" s="1285"/>
      <c r="L11901" s="1285"/>
    </row>
    <row r="11902" spans="1:12" ht="11.25" customHeight="1">
      <c r="A11902" s="185"/>
      <c r="B11902" s="90"/>
      <c r="C11902" s="147"/>
      <c r="D11902" s="182"/>
      <c r="E11902" s="34"/>
      <c r="F11902" s="183"/>
      <c r="G11902" s="496"/>
      <c r="H11902" s="183"/>
      <c r="I11902" s="11"/>
    </row>
    <row r="11903" spans="1:12" ht="11.25" customHeight="1">
      <c r="A11903" s="29"/>
      <c r="B11903" s="146" t="s">
        <v>15853</v>
      </c>
      <c r="C11903" s="147"/>
      <c r="D11903" s="182"/>
      <c r="E11903" s="36"/>
      <c r="F11903" s="183"/>
      <c r="G11903" s="496"/>
      <c r="H11903" s="34"/>
      <c r="I11903" s="11"/>
    </row>
    <row r="11904" spans="1:12" ht="9" customHeight="1">
      <c r="A11904" s="29"/>
      <c r="B11904" s="150" t="s">
        <v>15854</v>
      </c>
      <c r="C11904" s="147"/>
      <c r="D11904" s="182"/>
      <c r="E11904" s="36"/>
      <c r="F11904" s="183"/>
      <c r="G11904" s="496"/>
      <c r="H11904" s="34"/>
      <c r="I11904" s="11"/>
    </row>
    <row r="11905" spans="1:12" ht="9" customHeight="1">
      <c r="A11905" s="185"/>
      <c r="B11905" s="150" t="s">
        <v>15855</v>
      </c>
      <c r="C11905" s="147"/>
      <c r="D11905" s="182"/>
      <c r="E11905" s="36"/>
      <c r="F11905" s="183"/>
      <c r="G11905" s="496"/>
      <c r="H11905" s="34"/>
      <c r="I11905" s="11"/>
    </row>
    <row r="11906" spans="1:12" ht="9" customHeight="1">
      <c r="A11906" s="185"/>
      <c r="B11906" s="150" t="s">
        <v>15856</v>
      </c>
      <c r="C11906" s="147"/>
      <c r="D11906" s="182"/>
      <c r="E11906" s="36"/>
      <c r="F11906" s="183"/>
      <c r="G11906" s="496"/>
      <c r="H11906" s="34"/>
      <c r="I11906" s="11"/>
    </row>
    <row r="11907" spans="1:12" ht="9" customHeight="1" thickBot="1">
      <c r="A11907" s="185"/>
      <c r="B11907" s="150" t="s">
        <v>15857</v>
      </c>
      <c r="C11907" s="147"/>
      <c r="D11907" s="182"/>
      <c r="E11907" s="36"/>
      <c r="F11907" s="183"/>
      <c r="G11907" s="496"/>
      <c r="H11907" s="34"/>
      <c r="I11907" s="11"/>
    </row>
    <row r="11908" spans="1:12" ht="11.25" customHeight="1" thickBot="1">
      <c r="A11908" s="718" t="s">
        <v>15858</v>
      </c>
      <c r="B11908" s="154" t="s">
        <v>15859</v>
      </c>
      <c r="C11908" s="147"/>
      <c r="D11908" s="182"/>
      <c r="E11908" s="36"/>
      <c r="F11908" s="183"/>
      <c r="G11908" s="496"/>
      <c r="H11908" s="34"/>
      <c r="I11908" s="11"/>
    </row>
    <row r="11909" spans="1:12" ht="11.25" customHeight="1">
      <c r="A11909" s="722" t="s">
        <v>15860</v>
      </c>
      <c r="B11909" s="59" t="s">
        <v>22579</v>
      </c>
      <c r="C11909" s="147" t="s">
        <v>20221</v>
      </c>
      <c r="D11909" s="701" t="s">
        <v>1129</v>
      </c>
      <c r="E11909" s="178">
        <v>2021</v>
      </c>
      <c r="F11909" s="178" t="s">
        <v>4520</v>
      </c>
      <c r="G11909" s="496"/>
      <c r="H11909" s="994" t="s">
        <v>20221</v>
      </c>
      <c r="I11909" s="11" t="s">
        <v>15861</v>
      </c>
      <c r="J11909" s="1285"/>
      <c r="K11909" s="1285"/>
      <c r="L11909" s="1285"/>
    </row>
    <row r="11910" spans="1:12" ht="11.15" customHeight="1">
      <c r="A11910" s="29" t="s">
        <v>15862</v>
      </c>
      <c r="B11910" s="59" t="s">
        <v>22580</v>
      </c>
      <c r="C11910" s="147" t="s">
        <v>20221</v>
      </c>
      <c r="D11910" s="701" t="s">
        <v>1129</v>
      </c>
      <c r="E11910" s="178">
        <v>2018</v>
      </c>
      <c r="F11910" s="178" t="s">
        <v>4520</v>
      </c>
      <c r="G11910" s="496"/>
      <c r="H11910" s="994" t="s">
        <v>20221</v>
      </c>
      <c r="I11910" s="11" t="s">
        <v>15863</v>
      </c>
      <c r="J11910" s="1285"/>
      <c r="K11910" s="1285"/>
      <c r="L11910" s="1285"/>
    </row>
    <row r="11911" spans="1:12" ht="11.15" customHeight="1">
      <c r="A11911" s="29" t="s">
        <v>15864</v>
      </c>
      <c r="B11911" s="59" t="s">
        <v>22581</v>
      </c>
      <c r="C11911" s="147" t="s">
        <v>20221</v>
      </c>
      <c r="D11911" s="701" t="s">
        <v>1129</v>
      </c>
      <c r="E11911" s="178">
        <v>2017</v>
      </c>
      <c r="F11911" s="178" t="s">
        <v>4520</v>
      </c>
      <c r="G11911" s="496"/>
      <c r="H11911" s="994" t="s">
        <v>20221</v>
      </c>
      <c r="I11911" s="11" t="s">
        <v>15865</v>
      </c>
      <c r="J11911" s="1285"/>
      <c r="K11911" s="1285"/>
      <c r="L11911" s="1285"/>
    </row>
    <row r="11912" spans="1:12" ht="11.15" customHeight="1">
      <c r="A11912" s="29" t="s">
        <v>15866</v>
      </c>
      <c r="B11912" s="59" t="s">
        <v>22583</v>
      </c>
      <c r="C11912" s="147" t="s">
        <v>20221</v>
      </c>
      <c r="D11912" s="701" t="s">
        <v>1129</v>
      </c>
      <c r="E11912" s="178">
        <v>2012</v>
      </c>
      <c r="F11912" s="178" t="s">
        <v>4520</v>
      </c>
      <c r="G11912" s="496"/>
      <c r="H11912" s="994" t="s">
        <v>20221</v>
      </c>
      <c r="I11912" s="11" t="s">
        <v>15867</v>
      </c>
      <c r="J11912" s="1285"/>
      <c r="K11912" s="1285"/>
      <c r="L11912" s="1285"/>
    </row>
    <row r="11913" spans="1:12" ht="11.15" customHeight="1">
      <c r="A11913" s="181" t="s">
        <v>15868</v>
      </c>
      <c r="B11913" s="154" t="s">
        <v>15782</v>
      </c>
      <c r="C11913" s="147"/>
      <c r="D11913" s="159"/>
      <c r="E11913" s="36"/>
      <c r="F11913" s="178"/>
      <c r="G11913" s="496"/>
      <c r="H11913" s="36"/>
      <c r="I11913" s="11"/>
    </row>
    <row r="11914" spans="1:12" ht="11.15" customHeight="1">
      <c r="A11914" s="181" t="s">
        <v>10288</v>
      </c>
      <c r="B11914" s="59" t="s">
        <v>22582</v>
      </c>
      <c r="C11914" s="147" t="s">
        <v>20221</v>
      </c>
      <c r="D11914" s="701" t="s">
        <v>1129</v>
      </c>
      <c r="E11914" s="178">
        <v>2011</v>
      </c>
      <c r="F11914" s="178" t="s">
        <v>23395</v>
      </c>
      <c r="G11914" s="496"/>
      <c r="H11914" s="994" t="s">
        <v>20221</v>
      </c>
      <c r="I11914" s="11" t="s">
        <v>15869</v>
      </c>
      <c r="J11914" s="1285"/>
      <c r="K11914" s="1285"/>
      <c r="L11914" s="1285"/>
    </row>
    <row r="11915" spans="1:12" ht="11.15" customHeight="1">
      <c r="A11915" s="129" t="s">
        <v>6076</v>
      </c>
      <c r="B11915" s="59" t="s">
        <v>22582</v>
      </c>
      <c r="C11915" s="147" t="s">
        <v>20221</v>
      </c>
      <c r="D11915" s="701" t="s">
        <v>1129</v>
      </c>
      <c r="E11915" s="178">
        <v>2003</v>
      </c>
      <c r="F11915" s="178" t="s">
        <v>4520</v>
      </c>
      <c r="G11915" s="496"/>
      <c r="H11915" s="994" t="s">
        <v>20221</v>
      </c>
      <c r="I11915" s="11" t="s">
        <v>15870</v>
      </c>
      <c r="J11915" s="1285"/>
      <c r="K11915" s="1285"/>
      <c r="L11915" s="1285"/>
    </row>
    <row r="11916" spans="1:12" ht="11.15" customHeight="1">
      <c r="A11916" s="162" t="s">
        <v>15871</v>
      </c>
      <c r="B11916" s="59" t="s">
        <v>22584</v>
      </c>
      <c r="C11916" s="147" t="s">
        <v>20221</v>
      </c>
      <c r="D11916" s="701" t="s">
        <v>1129</v>
      </c>
      <c r="E11916" s="178">
        <v>2011</v>
      </c>
      <c r="F11916" s="178" t="s">
        <v>23395</v>
      </c>
      <c r="G11916" s="496"/>
      <c r="H11916" s="994" t="s">
        <v>20224</v>
      </c>
      <c r="I11916" s="11" t="s">
        <v>15872</v>
      </c>
      <c r="J11916" s="1285"/>
      <c r="K11916" s="1285"/>
      <c r="L11916" s="1285"/>
    </row>
    <row r="11917" spans="1:12" ht="11.15" customHeight="1">
      <c r="A11917" s="162" t="s">
        <v>15873</v>
      </c>
      <c r="B11917" s="59" t="s">
        <v>22585</v>
      </c>
      <c r="C11917" s="147" t="s">
        <v>20221</v>
      </c>
      <c r="D11917" s="701" t="s">
        <v>1129</v>
      </c>
      <c r="E11917" s="178">
        <v>2002</v>
      </c>
      <c r="F11917" s="178" t="s">
        <v>4520</v>
      </c>
      <c r="G11917" s="496"/>
      <c r="H11917" s="994" t="s">
        <v>20221</v>
      </c>
      <c r="I11917" s="11" t="s">
        <v>15874</v>
      </c>
      <c r="J11917" s="1285"/>
      <c r="K11917" s="1285"/>
      <c r="L11917" s="1285"/>
    </row>
    <row r="11918" spans="1:12" ht="11.15" customHeight="1">
      <c r="A11918" s="162" t="s">
        <v>15875</v>
      </c>
      <c r="B11918" s="59" t="s">
        <v>22586</v>
      </c>
      <c r="C11918" s="147" t="s">
        <v>20221</v>
      </c>
      <c r="D11918" s="701" t="s">
        <v>1129</v>
      </c>
      <c r="E11918" s="178">
        <v>2018</v>
      </c>
      <c r="F11918" s="178" t="s">
        <v>4520</v>
      </c>
      <c r="G11918" s="496"/>
      <c r="H11918" s="994" t="s">
        <v>20224</v>
      </c>
      <c r="I11918" s="11" t="s">
        <v>15876</v>
      </c>
      <c r="J11918" s="1285"/>
      <c r="K11918" s="1285"/>
      <c r="L11918" s="1285"/>
    </row>
    <row r="11919" spans="1:12" ht="11.15" customHeight="1">
      <c r="A11919" s="162" t="s">
        <v>15877</v>
      </c>
      <c r="B11919" s="59" t="s">
        <v>22587</v>
      </c>
      <c r="C11919" s="147" t="s">
        <v>20221</v>
      </c>
      <c r="D11919" s="701" t="s">
        <v>1129</v>
      </c>
      <c r="E11919" s="178">
        <v>2014</v>
      </c>
      <c r="F11919" s="178" t="s">
        <v>4520</v>
      </c>
      <c r="G11919" s="496"/>
      <c r="H11919" s="994" t="s">
        <v>20221</v>
      </c>
      <c r="I11919" s="11" t="s">
        <v>15878</v>
      </c>
      <c r="J11919" s="1285"/>
      <c r="K11919" s="1285"/>
      <c r="L11919" s="1285"/>
    </row>
    <row r="11920" spans="1:12" ht="11.15" customHeight="1">
      <c r="A11920" s="162" t="s">
        <v>15879</v>
      </c>
      <c r="B11920" s="177" t="s">
        <v>15408</v>
      </c>
      <c r="C11920" s="147"/>
      <c r="D11920" s="159"/>
      <c r="E11920" s="34"/>
      <c r="F11920" s="178"/>
      <c r="G11920" s="496"/>
      <c r="H11920" s="36"/>
      <c r="I11920" s="11"/>
    </row>
    <row r="11921" spans="1:12" ht="11.15" customHeight="1">
      <c r="A11921" s="162" t="s">
        <v>15880</v>
      </c>
      <c r="B11921" s="59" t="s">
        <v>22588</v>
      </c>
      <c r="C11921" s="147" t="s">
        <v>20221</v>
      </c>
      <c r="D11921" s="739" t="s">
        <v>1410</v>
      </c>
      <c r="E11921" s="178">
        <v>2023</v>
      </c>
      <c r="F11921" s="178" t="s">
        <v>4520</v>
      </c>
      <c r="G11921" s="496"/>
      <c r="H11921" s="994" t="s">
        <v>20221</v>
      </c>
      <c r="I11921" s="11" t="s">
        <v>15881</v>
      </c>
      <c r="J11921" s="1285"/>
      <c r="K11921" s="1285"/>
      <c r="L11921" s="1285"/>
    </row>
    <row r="11922" spans="1:12" ht="11.15" customHeight="1">
      <c r="A11922" s="162" t="s">
        <v>15882</v>
      </c>
      <c r="B11922" s="59" t="s">
        <v>22589</v>
      </c>
      <c r="C11922" s="147" t="s">
        <v>20221</v>
      </c>
      <c r="D11922" s="739" t="s">
        <v>1410</v>
      </c>
      <c r="E11922" s="178">
        <v>2002</v>
      </c>
      <c r="F11922" s="178" t="s">
        <v>4520</v>
      </c>
      <c r="G11922" s="496"/>
      <c r="H11922" s="994" t="s">
        <v>20277</v>
      </c>
      <c r="I11922" s="11" t="s">
        <v>15883</v>
      </c>
      <c r="J11922" s="1285"/>
      <c r="K11922" s="1285"/>
      <c r="L11922" s="1285"/>
    </row>
    <row r="11923" spans="1:12" ht="11.15" customHeight="1">
      <c r="A11923" s="129" t="s">
        <v>1308</v>
      </c>
      <c r="B11923" s="154" t="s">
        <v>15884</v>
      </c>
      <c r="C11923" s="147"/>
      <c r="D11923" s="159"/>
      <c r="E11923" s="34"/>
      <c r="F11923" s="178"/>
      <c r="G11923" s="496"/>
      <c r="H11923" s="36"/>
      <c r="I11923" s="11"/>
    </row>
    <row r="11924" spans="1:12" ht="11.15" customHeight="1">
      <c r="A11924" s="162" t="s">
        <v>15885</v>
      </c>
      <c r="B11924" s="59" t="s">
        <v>22590</v>
      </c>
      <c r="C11924" s="147" t="s">
        <v>20221</v>
      </c>
      <c r="D11924" s="739" t="s">
        <v>1410</v>
      </c>
      <c r="E11924" s="178">
        <v>2010</v>
      </c>
      <c r="F11924" s="178" t="s">
        <v>7168</v>
      </c>
      <c r="G11924" s="496"/>
      <c r="H11924" s="994" t="s">
        <v>20221</v>
      </c>
      <c r="I11924" s="11" t="s">
        <v>15886</v>
      </c>
      <c r="J11924" s="1285"/>
      <c r="K11924" s="1285"/>
      <c r="L11924" s="1285"/>
    </row>
    <row r="11925" spans="1:12" ht="11.15" customHeight="1">
      <c r="A11925" s="162" t="s">
        <v>15887</v>
      </c>
      <c r="B11925" s="59" t="s">
        <v>22590</v>
      </c>
      <c r="C11925" s="147" t="s">
        <v>20221</v>
      </c>
      <c r="D11925" s="739" t="s">
        <v>1410</v>
      </c>
      <c r="E11925" s="178">
        <v>2006</v>
      </c>
      <c r="F11925" s="178" t="s">
        <v>7168</v>
      </c>
      <c r="G11925" s="496"/>
      <c r="H11925" s="994" t="s">
        <v>20221</v>
      </c>
      <c r="I11925" s="11" t="s">
        <v>15888</v>
      </c>
      <c r="J11925" s="1285"/>
      <c r="K11925" s="1285"/>
      <c r="L11925" s="1285"/>
    </row>
    <row r="11926" spans="1:12" ht="11.15" customHeight="1">
      <c r="A11926" s="162" t="s">
        <v>15889</v>
      </c>
      <c r="B11926" s="59" t="s">
        <v>22591</v>
      </c>
      <c r="C11926" s="147" t="s">
        <v>20221</v>
      </c>
      <c r="D11926" s="739" t="s">
        <v>1410</v>
      </c>
      <c r="E11926" s="178">
        <v>2010</v>
      </c>
      <c r="F11926" s="178" t="s">
        <v>7168</v>
      </c>
      <c r="G11926" s="496"/>
      <c r="H11926" s="994" t="s">
        <v>20221</v>
      </c>
      <c r="I11926" s="11" t="s">
        <v>15890</v>
      </c>
      <c r="J11926" s="1285"/>
      <c r="K11926" s="1285"/>
      <c r="L11926" s="1285"/>
    </row>
    <row r="11927" spans="1:12" ht="11.15" customHeight="1">
      <c r="A11927" s="291" t="s">
        <v>15891</v>
      </c>
      <c r="B11927" s="154" t="s">
        <v>15892</v>
      </c>
      <c r="C11927" s="147"/>
      <c r="D11927" s="185"/>
      <c r="E11927" s="61"/>
      <c r="F11927" s="185"/>
      <c r="G11927" s="185"/>
      <c r="H11927" s="185"/>
      <c r="I11927" s="11"/>
    </row>
    <row r="11928" spans="1:12" ht="11.15" customHeight="1">
      <c r="A11928" s="291" t="s">
        <v>15893</v>
      </c>
      <c r="B11928" s="59" t="s">
        <v>22592</v>
      </c>
      <c r="C11928" s="147" t="s">
        <v>20221</v>
      </c>
      <c r="D11928" s="701" t="s">
        <v>1129</v>
      </c>
      <c r="E11928" s="178">
        <v>2011</v>
      </c>
      <c r="F11928" s="178" t="s">
        <v>23425</v>
      </c>
      <c r="G11928" s="496"/>
      <c r="H11928" s="994" t="s">
        <v>20224</v>
      </c>
      <c r="I11928" s="11" t="s">
        <v>15894</v>
      </c>
      <c r="J11928" s="1285"/>
      <c r="K11928" s="1285"/>
      <c r="L11928" s="1285"/>
    </row>
    <row r="11929" spans="1:12" ht="11.15" customHeight="1">
      <c r="A11929" s="291" t="s">
        <v>15895</v>
      </c>
      <c r="B11929" s="185"/>
      <c r="C11929" s="147"/>
      <c r="D11929" s="185"/>
      <c r="E11929" s="185"/>
      <c r="F11929" s="185"/>
      <c r="G11929" s="185"/>
      <c r="H11929" s="185"/>
      <c r="I11929" s="11"/>
    </row>
    <row r="11930" spans="1:12" ht="11.15" customHeight="1">
      <c r="A11930" s="291" t="s">
        <v>15896</v>
      </c>
      <c r="B11930" s="185"/>
      <c r="C11930" s="147"/>
      <c r="D11930" s="185"/>
      <c r="E11930" s="185"/>
      <c r="F11930" s="185"/>
      <c r="G11930" s="185"/>
      <c r="H11930" s="185"/>
      <c r="I11930" s="11"/>
    </row>
    <row r="11931" spans="1:12" ht="11.15" customHeight="1">
      <c r="A11931" s="162" t="s">
        <v>15897</v>
      </c>
      <c r="B11931" s="185"/>
      <c r="C11931" s="147"/>
      <c r="D11931" s="185"/>
      <c r="E11931" s="185"/>
      <c r="F11931" s="185"/>
      <c r="G11931" s="185"/>
      <c r="H11931" s="185"/>
      <c r="I11931" s="11"/>
    </row>
    <row r="11932" spans="1:12" ht="11.15" customHeight="1">
      <c r="A11932" s="162" t="s">
        <v>15898</v>
      </c>
      <c r="B11932" s="185"/>
      <c r="C11932" s="147"/>
      <c r="D11932" s="185"/>
      <c r="E11932" s="185"/>
      <c r="F11932" s="185"/>
      <c r="G11932" s="185"/>
      <c r="H11932" s="185"/>
      <c r="I11932" s="11"/>
    </row>
    <row r="11933" spans="1:12" ht="11.15" customHeight="1">
      <c r="A11933" s="162" t="s">
        <v>15899</v>
      </c>
      <c r="B11933" s="185"/>
      <c r="C11933" s="147"/>
      <c r="D11933" s="129"/>
      <c r="E11933" s="185"/>
      <c r="F11933" s="185"/>
      <c r="G11933" s="185"/>
      <c r="H11933" s="185"/>
      <c r="I11933" s="11"/>
    </row>
    <row r="11934" spans="1:12" ht="11.15" customHeight="1">
      <c r="A11934" s="734" t="s">
        <v>15900</v>
      </c>
      <c r="B11934" s="185"/>
      <c r="C11934" s="147"/>
      <c r="D11934" s="185"/>
      <c r="E11934" s="185"/>
      <c r="F11934" s="185"/>
      <c r="G11934" s="185"/>
      <c r="H11934" s="185"/>
      <c r="I11934" s="11"/>
    </row>
    <row r="11935" spans="1:12" ht="11.15" customHeight="1">
      <c r="A11935" s="734" t="s">
        <v>15901</v>
      </c>
      <c r="B11935" s="185"/>
      <c r="C11935" s="147"/>
      <c r="D11935" s="159"/>
      <c r="E11935" s="36"/>
      <c r="F11935" s="178"/>
      <c r="G11935" s="453"/>
      <c r="H11935" s="36"/>
      <c r="I11935" s="11"/>
    </row>
    <row r="11936" spans="1:12" ht="11.15" customHeight="1">
      <c r="A11936" s="719" t="s">
        <v>15902</v>
      </c>
      <c r="B11936" s="185"/>
      <c r="C11936" s="147"/>
      <c r="D11936" s="159"/>
      <c r="E11936" s="36"/>
      <c r="F11936" s="178"/>
      <c r="G11936" s="453"/>
      <c r="H11936" s="36"/>
      <c r="I11936" s="11"/>
    </row>
    <row r="11937" spans="1:9" ht="11.15" customHeight="1">
      <c r="A11937" s="719" t="s">
        <v>15903</v>
      </c>
      <c r="B11937" s="185"/>
      <c r="C11937" s="147"/>
      <c r="D11937" s="159"/>
      <c r="E11937" s="36"/>
      <c r="F11937" s="178"/>
      <c r="G11937" s="453"/>
      <c r="H11937" s="36"/>
      <c r="I11937" s="11"/>
    </row>
    <row r="11938" spans="1:9" ht="11.15" customHeight="1">
      <c r="A11938" s="129" t="s">
        <v>15904</v>
      </c>
      <c r="B11938" s="185"/>
      <c r="C11938" s="147"/>
      <c r="D11938" s="159"/>
      <c r="E11938" s="36"/>
      <c r="F11938" s="178"/>
      <c r="G11938" s="453"/>
      <c r="H11938" s="36"/>
      <c r="I11938" s="11"/>
    </row>
    <row r="11939" spans="1:9" ht="11.15" customHeight="1">
      <c r="A11939" s="29"/>
      <c r="B11939" s="185"/>
      <c r="C11939" s="147"/>
      <c r="D11939" s="159"/>
      <c r="E11939" s="36"/>
      <c r="F11939" s="178"/>
      <c r="G11939" s="453"/>
      <c r="H11939" s="36"/>
      <c r="I11939" s="11"/>
    </row>
    <row r="11940" spans="1:9" ht="11.15" customHeight="1">
      <c r="A11940" s="29"/>
      <c r="B11940" s="146" t="s">
        <v>15905</v>
      </c>
      <c r="C11940" s="147"/>
      <c r="D11940" s="159"/>
      <c r="E11940" s="36"/>
      <c r="F11940" s="178"/>
      <c r="G11940" s="453"/>
      <c r="H11940" s="36"/>
      <c r="I11940" s="11"/>
    </row>
    <row r="11941" spans="1:9" ht="9" customHeight="1">
      <c r="A11941" s="185"/>
      <c r="B11941" s="150" t="s">
        <v>15906</v>
      </c>
      <c r="C11941" s="147"/>
      <c r="D11941" s="159"/>
      <c r="E11941" s="36"/>
      <c r="F11941" s="178"/>
      <c r="G11941" s="453"/>
      <c r="H11941" s="36"/>
      <c r="I11941" s="11"/>
    </row>
    <row r="11942" spans="1:9" ht="9" customHeight="1">
      <c r="A11942" s="29"/>
      <c r="B11942" s="150" t="s">
        <v>15907</v>
      </c>
      <c r="C11942" s="147"/>
      <c r="D11942" s="159"/>
      <c r="E11942" s="90"/>
      <c r="F11942" s="59"/>
      <c r="G11942" s="1187"/>
      <c r="H11942" s="90"/>
      <c r="I11942" s="11"/>
    </row>
    <row r="11943" spans="1:9" ht="9" customHeight="1">
      <c r="A11943" s="29"/>
      <c r="B11943" s="150" t="s">
        <v>15908</v>
      </c>
      <c r="C11943" s="147"/>
      <c r="D11943" s="159"/>
      <c r="E11943" s="90"/>
      <c r="F11943" s="59"/>
      <c r="G11943" s="1187"/>
      <c r="H11943" s="90"/>
      <c r="I11943" s="11"/>
    </row>
    <row r="11944" spans="1:9" ht="9" customHeight="1">
      <c r="A11944" s="29"/>
      <c r="B11944" s="150" t="s">
        <v>15909</v>
      </c>
      <c r="C11944" s="147"/>
      <c r="D11944" s="159"/>
      <c r="E11944" s="90"/>
      <c r="F11944" s="59"/>
      <c r="G11944" s="1187"/>
      <c r="H11944" s="90"/>
      <c r="I11944" s="11"/>
    </row>
    <row r="11945" spans="1:9" ht="9" customHeight="1">
      <c r="A11945" s="29"/>
      <c r="B11945" s="150" t="s">
        <v>15910</v>
      </c>
      <c r="C11945" s="147"/>
      <c r="D11945" s="159"/>
      <c r="E11945" s="90"/>
      <c r="F11945" s="59"/>
      <c r="G11945" s="1187"/>
      <c r="H11945" s="90"/>
      <c r="I11945" s="11"/>
    </row>
    <row r="11946" spans="1:9" ht="9" customHeight="1">
      <c r="A11946" s="29"/>
      <c r="B11946" s="150" t="s">
        <v>15911</v>
      </c>
      <c r="C11946" s="147"/>
      <c r="D11946" s="159"/>
      <c r="E11946" s="90"/>
      <c r="F11946" s="59"/>
      <c r="G11946" s="1187"/>
      <c r="H11946" s="90"/>
      <c r="I11946" s="11"/>
    </row>
    <row r="11947" spans="1:9" ht="9" customHeight="1">
      <c r="A11947" s="29"/>
      <c r="B11947" s="150" t="s">
        <v>15912</v>
      </c>
      <c r="C11947" s="147"/>
      <c r="D11947" s="159"/>
      <c r="E11947" s="90"/>
      <c r="F11947" s="59"/>
      <c r="G11947" s="1187"/>
      <c r="H11947" s="90"/>
      <c r="I11947" s="11"/>
    </row>
    <row r="11948" spans="1:9" ht="9" customHeight="1">
      <c r="A11948" s="29"/>
      <c r="B11948" s="150" t="s">
        <v>15913</v>
      </c>
      <c r="C11948" s="147"/>
      <c r="D11948" s="159"/>
      <c r="E11948" s="90"/>
      <c r="F11948" s="59"/>
      <c r="G11948" s="1187"/>
      <c r="H11948" s="90"/>
      <c r="I11948" s="11"/>
    </row>
    <row r="11949" spans="1:9" ht="9" customHeight="1">
      <c r="A11949" s="29"/>
      <c r="B11949" s="150" t="s">
        <v>15914</v>
      </c>
      <c r="C11949" s="147"/>
      <c r="D11949" s="159"/>
      <c r="E11949" s="90"/>
      <c r="F11949" s="59"/>
      <c r="G11949" s="1187"/>
      <c r="H11949" s="90"/>
      <c r="I11949" s="11"/>
    </row>
    <row r="11950" spans="1:9" ht="9" customHeight="1">
      <c r="A11950" s="29"/>
      <c r="B11950" s="150" t="s">
        <v>15915</v>
      </c>
      <c r="C11950" s="147"/>
      <c r="D11950" s="159"/>
      <c r="E11950" s="90"/>
      <c r="F11950" s="59"/>
      <c r="G11950" s="1187"/>
      <c r="H11950" s="90"/>
      <c r="I11950" s="11"/>
    </row>
    <row r="11951" spans="1:9" ht="9" customHeight="1">
      <c r="A11951" s="29"/>
      <c r="B11951" s="150" t="s">
        <v>15916</v>
      </c>
      <c r="C11951" s="147"/>
      <c r="D11951" s="159"/>
      <c r="E11951" s="90"/>
      <c r="F11951" s="59"/>
      <c r="G11951" s="1187"/>
      <c r="H11951" s="90"/>
      <c r="I11951" s="11"/>
    </row>
    <row r="11952" spans="1:9" ht="9" customHeight="1">
      <c r="A11952" s="29"/>
      <c r="B11952" s="150" t="s">
        <v>15917</v>
      </c>
      <c r="C11952" s="147"/>
      <c r="D11952" s="159"/>
      <c r="E11952" s="90"/>
      <c r="F11952" s="59"/>
      <c r="G11952" s="1187"/>
      <c r="H11952" s="90"/>
      <c r="I11952" s="11"/>
    </row>
    <row r="11953" spans="1:12" ht="9" customHeight="1">
      <c r="A11953" s="29"/>
      <c r="B11953" s="150" t="s">
        <v>15918</v>
      </c>
      <c r="C11953" s="147"/>
      <c r="D11953" s="159"/>
      <c r="E11953" s="90"/>
      <c r="F11953" s="59"/>
      <c r="G11953" s="1187"/>
      <c r="H11953" s="90"/>
      <c r="I11953" s="11"/>
    </row>
    <row r="11954" spans="1:12" ht="9" customHeight="1">
      <c r="A11954" s="29"/>
      <c r="B11954" s="150" t="s">
        <v>15919</v>
      </c>
      <c r="C11954" s="147"/>
      <c r="D11954" s="159"/>
      <c r="E11954" s="90"/>
      <c r="F11954" s="59"/>
      <c r="G11954" s="1187"/>
      <c r="H11954" s="90"/>
      <c r="I11954" s="11"/>
    </row>
    <row r="11955" spans="1:12" ht="9" customHeight="1">
      <c r="A11955" s="29"/>
      <c r="B11955" s="150" t="s">
        <v>15920</v>
      </c>
      <c r="C11955" s="147"/>
      <c r="D11955" s="159"/>
      <c r="E11955" s="90"/>
      <c r="F11955" s="59"/>
      <c r="G11955" s="1187"/>
      <c r="H11955" s="90"/>
      <c r="I11955" s="11"/>
    </row>
    <row r="11956" spans="1:12" ht="9" customHeight="1">
      <c r="A11956" s="29"/>
      <c r="B11956" s="150" t="s">
        <v>15921</v>
      </c>
      <c r="C11956" s="147"/>
      <c r="D11956" s="159"/>
      <c r="E11956" s="90"/>
      <c r="F11956" s="59"/>
      <c r="G11956" s="1187"/>
      <c r="H11956" s="90"/>
      <c r="I11956" s="11"/>
    </row>
    <row r="11957" spans="1:12" ht="9" customHeight="1">
      <c r="A11957" s="29"/>
      <c r="B11957" s="150" t="s">
        <v>15922</v>
      </c>
      <c r="C11957" s="147"/>
      <c r="D11957" s="159"/>
      <c r="E11957" s="90"/>
      <c r="F11957" s="59"/>
      <c r="G11957" s="1187"/>
      <c r="H11957" s="90"/>
      <c r="I11957" s="11"/>
    </row>
    <row r="11958" spans="1:12" ht="9" customHeight="1" thickBot="1">
      <c r="A11958" s="29"/>
      <c r="B11958" s="152" t="s">
        <v>15923</v>
      </c>
      <c r="C11958" s="147"/>
      <c r="D11958" s="159"/>
      <c r="E11958" s="90"/>
      <c r="F11958" s="59"/>
      <c r="G11958" s="1187"/>
      <c r="H11958" s="90"/>
      <c r="I11958" s="11"/>
    </row>
    <row r="11959" spans="1:12" ht="11.15" customHeight="1">
      <c r="A11959" s="674" t="s">
        <v>15924</v>
      </c>
      <c r="B11959" s="154" t="s">
        <v>15925</v>
      </c>
      <c r="C11959" s="147"/>
      <c r="D11959" s="159"/>
      <c r="E11959" s="90"/>
      <c r="F11959" s="59"/>
      <c r="G11959" s="1187"/>
      <c r="H11959" s="90"/>
      <c r="I11959" s="11"/>
    </row>
    <row r="11960" spans="1:12" ht="11.15" customHeight="1">
      <c r="A11960" s="736" t="s">
        <v>15926</v>
      </c>
      <c r="B11960" s="59" t="s">
        <v>22593</v>
      </c>
      <c r="C11960" s="147" t="s">
        <v>20221</v>
      </c>
      <c r="D11960" s="701" t="s">
        <v>1129</v>
      </c>
      <c r="E11960" s="178">
        <v>2023</v>
      </c>
      <c r="F11960" s="178" t="s">
        <v>4520</v>
      </c>
      <c r="G11960" s="496"/>
      <c r="H11960" s="994" t="s">
        <v>20221</v>
      </c>
      <c r="I11960" s="11" t="s">
        <v>15927</v>
      </c>
      <c r="J11960" s="1285"/>
      <c r="K11960" s="1285"/>
      <c r="L11960" s="1285"/>
    </row>
    <row r="11961" spans="1:12" ht="11.15" customHeight="1" thickBot="1">
      <c r="A11961" s="155" t="s">
        <v>15928</v>
      </c>
      <c r="B11961" s="59" t="s">
        <v>22594</v>
      </c>
      <c r="C11961" s="147" t="s">
        <v>20221</v>
      </c>
      <c r="D11961" s="701" t="s">
        <v>1129</v>
      </c>
      <c r="E11961" s="178">
        <v>2022</v>
      </c>
      <c r="F11961" s="178" t="s">
        <v>4520</v>
      </c>
      <c r="G11961" s="496"/>
      <c r="H11961" s="994" t="s">
        <v>20221</v>
      </c>
      <c r="I11961" s="11" t="s">
        <v>15929</v>
      </c>
      <c r="J11961" s="1285"/>
      <c r="K11961" s="1285"/>
      <c r="L11961" s="1285"/>
    </row>
    <row r="11962" spans="1:12" ht="11.15" customHeight="1">
      <c r="A11962" s="451" t="s">
        <v>15930</v>
      </c>
      <c r="B11962" s="59" t="s">
        <v>22595</v>
      </c>
      <c r="C11962" s="147" t="s">
        <v>20221</v>
      </c>
      <c r="D11962" s="701" t="s">
        <v>1129</v>
      </c>
      <c r="E11962" s="178">
        <v>2021</v>
      </c>
      <c r="F11962" s="178" t="s">
        <v>4520</v>
      </c>
      <c r="G11962" s="496"/>
      <c r="H11962" s="994" t="s">
        <v>20221</v>
      </c>
      <c r="I11962" s="11" t="s">
        <v>15931</v>
      </c>
      <c r="J11962" s="1285"/>
      <c r="K11962" s="1285"/>
      <c r="L11962" s="1285"/>
    </row>
    <row r="11963" spans="1:12" ht="11.15" customHeight="1">
      <c r="A11963" s="451" t="s">
        <v>15932</v>
      </c>
      <c r="B11963" s="59" t="s">
        <v>22596</v>
      </c>
      <c r="C11963" s="147" t="s">
        <v>20221</v>
      </c>
      <c r="D11963" s="701" t="s">
        <v>1129</v>
      </c>
      <c r="E11963" s="178">
        <v>2020</v>
      </c>
      <c r="F11963" s="178" t="s">
        <v>4520</v>
      </c>
      <c r="G11963" s="496"/>
      <c r="H11963" s="994" t="s">
        <v>20221</v>
      </c>
      <c r="I11963" s="11" t="s">
        <v>15933</v>
      </c>
      <c r="J11963" s="1285"/>
      <c r="K11963" s="1285"/>
      <c r="L11963" s="1285"/>
    </row>
    <row r="11964" spans="1:12" ht="11.15" customHeight="1">
      <c r="A11964" s="29" t="s">
        <v>15934</v>
      </c>
      <c r="B11964" s="59" t="s">
        <v>22597</v>
      </c>
      <c r="C11964" s="147" t="s">
        <v>20221</v>
      </c>
      <c r="D11964" s="701" t="s">
        <v>1129</v>
      </c>
      <c r="E11964" s="178">
        <v>2023</v>
      </c>
      <c r="F11964" s="178" t="s">
        <v>4520</v>
      </c>
      <c r="G11964" s="496"/>
      <c r="H11964" s="994" t="s">
        <v>20221</v>
      </c>
      <c r="I11964" s="11" t="s">
        <v>15935</v>
      </c>
      <c r="J11964" s="1285"/>
      <c r="K11964" s="1285"/>
      <c r="L11964" s="1285"/>
    </row>
    <row r="11965" spans="1:12" ht="11.15" customHeight="1">
      <c r="A11965" s="195" t="s">
        <v>15936</v>
      </c>
      <c r="B11965" s="59" t="s">
        <v>22598</v>
      </c>
      <c r="C11965" s="147" t="s">
        <v>20221</v>
      </c>
      <c r="D11965" s="701" t="s">
        <v>1129</v>
      </c>
      <c r="E11965" s="178">
        <v>2022</v>
      </c>
      <c r="F11965" s="178" t="s">
        <v>4520</v>
      </c>
      <c r="G11965" s="496"/>
      <c r="H11965" s="994" t="s">
        <v>20221</v>
      </c>
      <c r="I11965" s="11" t="s">
        <v>15937</v>
      </c>
      <c r="J11965" s="1285"/>
      <c r="K11965" s="1285"/>
      <c r="L11965" s="1285"/>
    </row>
    <row r="11966" spans="1:12" ht="11.15" customHeight="1">
      <c r="A11966" s="29" t="s">
        <v>15938</v>
      </c>
      <c r="B11966" s="59" t="s">
        <v>22599</v>
      </c>
      <c r="C11966" s="147" t="s">
        <v>20221</v>
      </c>
      <c r="D11966" s="701" t="s">
        <v>1129</v>
      </c>
      <c r="E11966" s="178">
        <v>2021</v>
      </c>
      <c r="F11966" s="178" t="s">
        <v>4520</v>
      </c>
      <c r="G11966" s="496"/>
      <c r="H11966" s="994" t="s">
        <v>20221</v>
      </c>
      <c r="I11966" s="11" t="s">
        <v>15939</v>
      </c>
      <c r="J11966" s="1285"/>
      <c r="K11966" s="1285"/>
      <c r="L11966" s="1285"/>
    </row>
    <row r="11967" spans="1:12" ht="11.15" customHeight="1">
      <c r="A11967" s="29" t="s">
        <v>8987</v>
      </c>
      <c r="B11967" s="59" t="s">
        <v>22600</v>
      </c>
      <c r="C11967" s="147" t="s">
        <v>20221</v>
      </c>
      <c r="D11967" s="701" t="s">
        <v>1129</v>
      </c>
      <c r="E11967" s="178">
        <v>2020</v>
      </c>
      <c r="F11967" s="178" t="s">
        <v>4520</v>
      </c>
      <c r="G11967" s="496"/>
      <c r="H11967" s="994" t="s">
        <v>20221</v>
      </c>
      <c r="I11967" s="12" t="s">
        <v>15940</v>
      </c>
      <c r="J11967" s="1285"/>
      <c r="K11967" s="1285"/>
      <c r="L11967" s="1285"/>
    </row>
    <row r="11968" spans="1:12" ht="11.15" customHeight="1">
      <c r="A11968" s="129" t="s">
        <v>15771</v>
      </c>
      <c r="B11968" s="59" t="s">
        <v>22601</v>
      </c>
      <c r="C11968" s="147" t="s">
        <v>20221</v>
      </c>
      <c r="D11968" s="701" t="s">
        <v>1129</v>
      </c>
      <c r="E11968" s="178">
        <v>2023</v>
      </c>
      <c r="F11968" s="178" t="s">
        <v>4520</v>
      </c>
      <c r="G11968" s="496"/>
      <c r="H11968" s="994" t="s">
        <v>20221</v>
      </c>
      <c r="I11968" s="12" t="s">
        <v>15941</v>
      </c>
      <c r="J11968" s="1285"/>
      <c r="K11968" s="1285"/>
      <c r="L11968" s="1285"/>
    </row>
    <row r="11969" spans="1:12" ht="11.15" customHeight="1">
      <c r="A11969" s="162" t="s">
        <v>15942</v>
      </c>
      <c r="B11969" s="59" t="s">
        <v>22602</v>
      </c>
      <c r="C11969" s="147" t="s">
        <v>20221</v>
      </c>
      <c r="D11969" s="701" t="s">
        <v>1129</v>
      </c>
      <c r="E11969" s="178">
        <v>2022</v>
      </c>
      <c r="F11969" s="178" t="s">
        <v>4520</v>
      </c>
      <c r="G11969" s="496"/>
      <c r="H11969" s="994" t="s">
        <v>20221</v>
      </c>
      <c r="I11969" s="12" t="s">
        <v>15943</v>
      </c>
      <c r="J11969" s="1285"/>
      <c r="K11969" s="1285"/>
      <c r="L11969" s="1285"/>
    </row>
    <row r="11970" spans="1:12" ht="11.15" customHeight="1">
      <c r="A11970" s="162" t="s">
        <v>15944</v>
      </c>
      <c r="B11970" s="59" t="s">
        <v>22603</v>
      </c>
      <c r="C11970" s="147" t="s">
        <v>20221</v>
      </c>
      <c r="D11970" s="701" t="s">
        <v>1129</v>
      </c>
      <c r="E11970" s="178">
        <v>2021</v>
      </c>
      <c r="F11970" s="178" t="s">
        <v>4520</v>
      </c>
      <c r="G11970" s="496"/>
      <c r="H11970" s="994" t="s">
        <v>20221</v>
      </c>
      <c r="I11970" s="11" t="s">
        <v>15945</v>
      </c>
      <c r="J11970" s="1285"/>
      <c r="K11970" s="1285"/>
      <c r="L11970" s="1285"/>
    </row>
    <row r="11971" spans="1:12" ht="11.15" customHeight="1">
      <c r="A11971" s="162" t="s">
        <v>15946</v>
      </c>
      <c r="B11971" s="59" t="s">
        <v>22604</v>
      </c>
      <c r="C11971" s="147" t="s">
        <v>20221</v>
      </c>
      <c r="D11971" s="701" t="s">
        <v>1129</v>
      </c>
      <c r="E11971" s="178">
        <v>2019</v>
      </c>
      <c r="F11971" s="178" t="s">
        <v>4520</v>
      </c>
      <c r="G11971" s="496"/>
      <c r="H11971" s="994" t="s">
        <v>20221</v>
      </c>
      <c r="I11971" s="11" t="s">
        <v>15947</v>
      </c>
      <c r="J11971" s="1285"/>
      <c r="K11971" s="1285"/>
      <c r="L11971" s="1285"/>
    </row>
    <row r="11972" spans="1:12" ht="11.15" customHeight="1">
      <c r="A11972" s="162" t="s">
        <v>15948</v>
      </c>
      <c r="B11972" s="59" t="s">
        <v>22605</v>
      </c>
      <c r="C11972" s="147" t="s">
        <v>20221</v>
      </c>
      <c r="D11972" s="701" t="s">
        <v>1129</v>
      </c>
      <c r="E11972" s="178">
        <v>2022</v>
      </c>
      <c r="F11972" s="178" t="s">
        <v>5257</v>
      </c>
      <c r="G11972" s="496"/>
      <c r="H11972" s="994" t="s">
        <v>20224</v>
      </c>
      <c r="I11972" s="11" t="s">
        <v>15949</v>
      </c>
      <c r="J11972" s="1285"/>
      <c r="K11972" s="1285"/>
      <c r="L11972" s="1285"/>
    </row>
    <row r="11973" spans="1:12" ht="11.15" customHeight="1">
      <c r="A11973" s="162" t="s">
        <v>15950</v>
      </c>
      <c r="B11973" s="59" t="s">
        <v>22606</v>
      </c>
      <c r="C11973" s="147" t="s">
        <v>20221</v>
      </c>
      <c r="D11973" s="701" t="s">
        <v>1129</v>
      </c>
      <c r="E11973" s="178">
        <v>2020</v>
      </c>
      <c r="F11973" s="178" t="s">
        <v>5257</v>
      </c>
      <c r="G11973" s="496"/>
      <c r="H11973" s="994" t="s">
        <v>20224</v>
      </c>
      <c r="I11973" s="12" t="s">
        <v>15951</v>
      </c>
      <c r="J11973" s="1285"/>
      <c r="K11973" s="1285"/>
      <c r="L11973" s="1285"/>
    </row>
    <row r="11974" spans="1:12" ht="11.15" customHeight="1">
      <c r="A11974" s="162" t="s">
        <v>15952</v>
      </c>
      <c r="B11974" s="59" t="s">
        <v>22607</v>
      </c>
      <c r="C11974" s="147" t="s">
        <v>20221</v>
      </c>
      <c r="D11974" s="701" t="s">
        <v>1129</v>
      </c>
      <c r="E11974" s="178">
        <v>2022</v>
      </c>
      <c r="F11974" s="178" t="s">
        <v>5257</v>
      </c>
      <c r="G11974" s="496"/>
      <c r="H11974" s="994" t="s">
        <v>20224</v>
      </c>
      <c r="I11974" s="12" t="s">
        <v>15953</v>
      </c>
      <c r="J11974" s="1285"/>
      <c r="K11974" s="1285"/>
      <c r="L11974" s="1285"/>
    </row>
    <row r="11975" spans="1:12" ht="11.15" customHeight="1">
      <c r="A11975" s="162" t="s">
        <v>15954</v>
      </c>
      <c r="B11975" s="59" t="s">
        <v>22608</v>
      </c>
      <c r="C11975" s="147" t="s">
        <v>20221</v>
      </c>
      <c r="D11975" s="701" t="s">
        <v>1129</v>
      </c>
      <c r="E11975" s="178">
        <v>2021</v>
      </c>
      <c r="F11975" s="178" t="s">
        <v>5257</v>
      </c>
      <c r="G11975" s="496"/>
      <c r="H11975" s="994" t="s">
        <v>20224</v>
      </c>
      <c r="I11975" s="11" t="s">
        <v>15955</v>
      </c>
      <c r="J11975" s="1285"/>
      <c r="K11975" s="1285"/>
      <c r="L11975" s="1285"/>
    </row>
    <row r="11976" spans="1:12" ht="11.15" customHeight="1">
      <c r="A11976" s="162" t="s">
        <v>15956</v>
      </c>
      <c r="B11976" s="59" t="s">
        <v>22609</v>
      </c>
      <c r="C11976" s="147" t="s">
        <v>20221</v>
      </c>
      <c r="D11976" s="701" t="s">
        <v>1129</v>
      </c>
      <c r="E11976" s="178">
        <v>2019</v>
      </c>
      <c r="F11976" s="178" t="s">
        <v>5257</v>
      </c>
      <c r="G11976" s="496"/>
      <c r="H11976" s="994" t="s">
        <v>20224</v>
      </c>
      <c r="I11976" s="11" t="s">
        <v>15957</v>
      </c>
      <c r="J11976" s="1285"/>
      <c r="K11976" s="1285"/>
      <c r="L11976" s="1285"/>
    </row>
    <row r="11977" spans="1:12" ht="11.15" customHeight="1">
      <c r="A11977" s="162" t="s">
        <v>15958</v>
      </c>
      <c r="B11977" s="154" t="s">
        <v>15782</v>
      </c>
      <c r="C11977" s="147"/>
      <c r="D11977" s="159"/>
      <c r="E11977" s="36"/>
      <c r="F11977" s="178"/>
      <c r="G11977" s="1217"/>
      <c r="H11977" s="36"/>
      <c r="I11977" s="11"/>
    </row>
    <row r="11978" spans="1:12" ht="11.15" customHeight="1">
      <c r="A11978" s="162" t="s">
        <v>15959</v>
      </c>
      <c r="B11978" s="59" t="s">
        <v>22610</v>
      </c>
      <c r="C11978" s="147" t="s">
        <v>20221</v>
      </c>
      <c r="D11978" s="701" t="s">
        <v>1129</v>
      </c>
      <c r="E11978" s="178">
        <v>2022</v>
      </c>
      <c r="F11978" s="178" t="s">
        <v>4520</v>
      </c>
      <c r="G11978" s="496"/>
      <c r="H11978" s="994" t="s">
        <v>20221</v>
      </c>
      <c r="I11978" s="11" t="s">
        <v>15960</v>
      </c>
      <c r="J11978" s="1285"/>
      <c r="K11978" s="1285"/>
      <c r="L11978" s="1285"/>
    </row>
    <row r="11979" spans="1:12" ht="11.15" customHeight="1">
      <c r="A11979" s="162" t="s">
        <v>15961</v>
      </c>
      <c r="B11979" s="59" t="s">
        <v>22611</v>
      </c>
      <c r="C11979" s="147" t="s">
        <v>20221</v>
      </c>
      <c r="D11979" s="701" t="s">
        <v>1129</v>
      </c>
      <c r="E11979" s="178">
        <v>2023</v>
      </c>
      <c r="F11979" s="178" t="s">
        <v>4520</v>
      </c>
      <c r="G11979" s="496"/>
      <c r="H11979" s="994" t="s">
        <v>20221</v>
      </c>
      <c r="I11979" s="12" t="s">
        <v>15962</v>
      </c>
      <c r="J11979" s="1285"/>
      <c r="K11979" s="1285"/>
      <c r="L11979" s="1285"/>
    </row>
    <row r="11980" spans="1:12" ht="11.15" customHeight="1">
      <c r="A11980" s="162" t="s">
        <v>15963</v>
      </c>
      <c r="B11980" s="59" t="s">
        <v>22612</v>
      </c>
      <c r="C11980" s="147" t="s">
        <v>20221</v>
      </c>
      <c r="D11980" s="701" t="s">
        <v>1129</v>
      </c>
      <c r="E11980" s="178">
        <v>2022</v>
      </c>
      <c r="F11980" s="178" t="s">
        <v>4520</v>
      </c>
      <c r="G11980" s="496"/>
      <c r="H11980" s="994" t="s">
        <v>20224</v>
      </c>
      <c r="I11980" s="12" t="s">
        <v>15964</v>
      </c>
      <c r="J11980" s="1285"/>
      <c r="K11980" s="1285"/>
      <c r="L11980" s="1285"/>
    </row>
    <row r="11981" spans="1:12" ht="11.15" customHeight="1">
      <c r="A11981" s="162" t="s">
        <v>15965</v>
      </c>
      <c r="B11981" s="59" t="s">
        <v>22613</v>
      </c>
      <c r="C11981" s="147" t="s">
        <v>20221</v>
      </c>
      <c r="D11981" s="701" t="s">
        <v>1129</v>
      </c>
      <c r="E11981" s="178">
        <v>2021</v>
      </c>
      <c r="F11981" s="178" t="s">
        <v>4520</v>
      </c>
      <c r="G11981" s="496"/>
      <c r="H11981" s="994" t="s">
        <v>20224</v>
      </c>
      <c r="I11981" s="11" t="s">
        <v>15966</v>
      </c>
      <c r="J11981" s="1285"/>
      <c r="K11981" s="1285"/>
      <c r="L11981" s="1285"/>
    </row>
    <row r="11982" spans="1:12" ht="11.15" customHeight="1">
      <c r="A11982" s="162" t="s">
        <v>15967</v>
      </c>
      <c r="B11982" s="59" t="s">
        <v>22614</v>
      </c>
      <c r="C11982" s="147" t="s">
        <v>20221</v>
      </c>
      <c r="D11982" s="701" t="s">
        <v>1129</v>
      </c>
      <c r="E11982" s="178">
        <v>2019</v>
      </c>
      <c r="F11982" s="178" t="s">
        <v>4520</v>
      </c>
      <c r="G11982" s="496"/>
      <c r="H11982" s="994" t="s">
        <v>20277</v>
      </c>
      <c r="I11982" s="11" t="s">
        <v>15968</v>
      </c>
      <c r="J11982" s="1285"/>
      <c r="K11982" s="1285"/>
      <c r="L11982" s="1285"/>
    </row>
    <row r="11983" spans="1:12" ht="11.15" customHeight="1">
      <c r="A11983" s="162" t="s">
        <v>15969</v>
      </c>
      <c r="B11983" s="59" t="s">
        <v>22615</v>
      </c>
      <c r="C11983" s="147" t="s">
        <v>20221</v>
      </c>
      <c r="D11983" s="701" t="s">
        <v>1129</v>
      </c>
      <c r="E11983" s="178">
        <v>2023</v>
      </c>
      <c r="F11983" s="178" t="s">
        <v>4520</v>
      </c>
      <c r="G11983" s="496"/>
      <c r="H11983" s="994" t="s">
        <v>20221</v>
      </c>
      <c r="I11983" s="11" t="s">
        <v>15970</v>
      </c>
      <c r="J11983" s="1285"/>
      <c r="K11983" s="1285"/>
      <c r="L11983" s="1285"/>
    </row>
    <row r="11984" spans="1:12" ht="11.15" customHeight="1">
      <c r="A11984" s="162" t="s">
        <v>15971</v>
      </c>
      <c r="B11984" s="59" t="s">
        <v>22616</v>
      </c>
      <c r="C11984" s="147" t="s">
        <v>20221</v>
      </c>
      <c r="D11984" s="701" t="s">
        <v>1129</v>
      </c>
      <c r="E11984" s="178">
        <v>2022</v>
      </c>
      <c r="F11984" s="178" t="s">
        <v>4520</v>
      </c>
      <c r="G11984" s="496"/>
      <c r="H11984" s="994" t="s">
        <v>20221</v>
      </c>
      <c r="I11984" s="11" t="s">
        <v>15972</v>
      </c>
      <c r="J11984" s="1285"/>
      <c r="K11984" s="1285"/>
      <c r="L11984" s="1285"/>
    </row>
    <row r="11985" spans="1:12" ht="11.15" customHeight="1">
      <c r="A11985" s="162" t="s">
        <v>15973</v>
      </c>
      <c r="B11985" s="59" t="s">
        <v>22617</v>
      </c>
      <c r="C11985" s="147" t="s">
        <v>20221</v>
      </c>
      <c r="D11985" s="701" t="s">
        <v>1129</v>
      </c>
      <c r="E11985" s="178">
        <v>2021</v>
      </c>
      <c r="F11985" s="178" t="s">
        <v>4520</v>
      </c>
      <c r="G11985" s="496"/>
      <c r="H11985" s="994" t="s">
        <v>20221</v>
      </c>
      <c r="I11985" s="12" t="s">
        <v>15974</v>
      </c>
      <c r="J11985" s="1285"/>
      <c r="K11985" s="1285"/>
      <c r="L11985" s="1285"/>
    </row>
    <row r="11986" spans="1:12" ht="11.15" customHeight="1">
      <c r="A11986" s="129" t="s">
        <v>3842</v>
      </c>
      <c r="B11986" s="59" t="s">
        <v>22618</v>
      </c>
      <c r="C11986" s="147" t="s">
        <v>20221</v>
      </c>
      <c r="D11986" s="701" t="s">
        <v>1129</v>
      </c>
      <c r="E11986" s="178">
        <v>2020</v>
      </c>
      <c r="F11986" s="178" t="s">
        <v>4520</v>
      </c>
      <c r="G11986" s="496"/>
      <c r="H11986" s="994" t="s">
        <v>20224</v>
      </c>
      <c r="I11986" s="11" t="s">
        <v>15975</v>
      </c>
      <c r="J11986" s="1285"/>
      <c r="K11986" s="1285"/>
      <c r="L11986" s="1285"/>
    </row>
    <row r="11987" spans="1:12" ht="11.15" customHeight="1">
      <c r="A11987" s="162" t="s">
        <v>3177</v>
      </c>
      <c r="B11987" s="59" t="s">
        <v>22619</v>
      </c>
      <c r="C11987" s="147" t="s">
        <v>20221</v>
      </c>
      <c r="D11987" s="701" t="s">
        <v>1129</v>
      </c>
      <c r="E11987" s="178">
        <v>2020</v>
      </c>
      <c r="F11987" s="178" t="s">
        <v>4520</v>
      </c>
      <c r="G11987" s="496"/>
      <c r="H11987" s="994" t="s">
        <v>20224</v>
      </c>
      <c r="I11987" s="11" t="s">
        <v>15976</v>
      </c>
      <c r="J11987" s="1285"/>
      <c r="K11987" s="1285"/>
      <c r="L11987" s="1285"/>
    </row>
    <row r="11988" spans="1:12" ht="11.15" customHeight="1">
      <c r="A11988" s="162" t="s">
        <v>9895</v>
      </c>
      <c r="B11988" s="59" t="s">
        <v>22620</v>
      </c>
      <c r="C11988" s="147" t="s">
        <v>20221</v>
      </c>
      <c r="D11988" s="701" t="s">
        <v>1129</v>
      </c>
      <c r="E11988" s="178">
        <v>2021</v>
      </c>
      <c r="F11988" s="178" t="s">
        <v>5257</v>
      </c>
      <c r="G11988" s="496"/>
      <c r="H11988" s="994" t="s">
        <v>20224</v>
      </c>
      <c r="I11988" s="11" t="s">
        <v>15977</v>
      </c>
      <c r="J11988" s="1285"/>
      <c r="K11988" s="1285"/>
      <c r="L11988" s="1285"/>
    </row>
    <row r="11989" spans="1:12" ht="11.15" customHeight="1">
      <c r="A11989" s="162" t="s">
        <v>15978</v>
      </c>
      <c r="B11989" s="59" t="s">
        <v>22621</v>
      </c>
      <c r="C11989" s="147" t="s">
        <v>20221</v>
      </c>
      <c r="D11989" s="701" t="s">
        <v>1129</v>
      </c>
      <c r="E11989" s="178">
        <v>2019</v>
      </c>
      <c r="F11989" s="178" t="s">
        <v>5257</v>
      </c>
      <c r="G11989" s="496"/>
      <c r="H11989" s="994" t="s">
        <v>20224</v>
      </c>
      <c r="I11989" s="11" t="s">
        <v>15979</v>
      </c>
      <c r="J11989" s="1285"/>
      <c r="K11989" s="1285"/>
      <c r="L11989" s="1285"/>
    </row>
    <row r="11990" spans="1:12" ht="11.15" customHeight="1">
      <c r="A11990" s="162" t="s">
        <v>15980</v>
      </c>
      <c r="B11990" s="154" t="s">
        <v>15981</v>
      </c>
      <c r="C11990" s="147"/>
      <c r="D11990" s="159"/>
      <c r="E11990" s="36"/>
      <c r="F11990" s="178"/>
      <c r="G11990" s="496"/>
      <c r="H11990" s="36"/>
      <c r="I11990" s="11"/>
    </row>
    <row r="11991" spans="1:12" ht="11.15" customHeight="1">
      <c r="A11991" s="162" t="s">
        <v>15118</v>
      </c>
      <c r="B11991" s="59" t="s">
        <v>22622</v>
      </c>
      <c r="C11991" s="147" t="s">
        <v>20221</v>
      </c>
      <c r="D11991" s="739" t="s">
        <v>1410</v>
      </c>
      <c r="E11991" s="178">
        <v>2020</v>
      </c>
      <c r="F11991" s="178" t="s">
        <v>7168</v>
      </c>
      <c r="G11991" s="496"/>
      <c r="H11991" s="994" t="s">
        <v>20221</v>
      </c>
      <c r="I11991" s="11" t="s">
        <v>15982</v>
      </c>
      <c r="J11991" s="1285"/>
      <c r="K11991" s="1285"/>
      <c r="L11991" s="1285"/>
    </row>
    <row r="11992" spans="1:12" ht="11.15" customHeight="1">
      <c r="A11992" s="162" t="s">
        <v>15983</v>
      </c>
      <c r="B11992" s="59" t="s">
        <v>22623</v>
      </c>
      <c r="C11992" s="147" t="s">
        <v>20221</v>
      </c>
      <c r="D11992" s="739" t="s">
        <v>1410</v>
      </c>
      <c r="E11992" s="178">
        <v>2019</v>
      </c>
      <c r="F11992" s="178" t="s">
        <v>7168</v>
      </c>
      <c r="G11992" s="496"/>
      <c r="H11992" s="994" t="s">
        <v>20221</v>
      </c>
      <c r="I11992" s="12" t="s">
        <v>15984</v>
      </c>
      <c r="J11992" s="1285"/>
      <c r="K11992" s="1285"/>
      <c r="L11992" s="1285"/>
    </row>
    <row r="11993" spans="1:12" ht="11.15" customHeight="1">
      <c r="A11993" s="162" t="s">
        <v>15985</v>
      </c>
      <c r="B11993" s="59" t="s">
        <v>22624</v>
      </c>
      <c r="C11993" s="147" t="s">
        <v>20221</v>
      </c>
      <c r="D11993" s="739" t="s">
        <v>1410</v>
      </c>
      <c r="E11993" s="178">
        <v>2023</v>
      </c>
      <c r="F11993" s="178" t="s">
        <v>23400</v>
      </c>
      <c r="G11993" s="496"/>
      <c r="H11993" s="994" t="s">
        <v>20221</v>
      </c>
      <c r="I11993" s="11" t="s">
        <v>15986</v>
      </c>
      <c r="J11993" s="1285"/>
      <c r="K11993" s="1285"/>
      <c r="L11993" s="1285"/>
    </row>
    <row r="11994" spans="1:12" ht="11.15" customHeight="1">
      <c r="A11994" s="162" t="s">
        <v>15987</v>
      </c>
      <c r="B11994" s="59" t="s">
        <v>22625</v>
      </c>
      <c r="C11994" s="147" t="s">
        <v>20221</v>
      </c>
      <c r="D11994" s="739" t="s">
        <v>1410</v>
      </c>
      <c r="E11994" s="178">
        <v>2022</v>
      </c>
      <c r="F11994" s="178" t="s">
        <v>23400</v>
      </c>
      <c r="G11994" s="496"/>
      <c r="H11994" s="994" t="s">
        <v>20221</v>
      </c>
      <c r="I11994" s="11" t="s">
        <v>15988</v>
      </c>
      <c r="J11994" s="1285"/>
      <c r="K11994" s="1285"/>
      <c r="L11994" s="1285"/>
    </row>
    <row r="11995" spans="1:12" ht="11.15" customHeight="1">
      <c r="A11995" s="162" t="s">
        <v>15989</v>
      </c>
      <c r="B11995" s="59" t="s">
        <v>22626</v>
      </c>
      <c r="C11995" s="147" t="s">
        <v>20221</v>
      </c>
      <c r="D11995" s="739" t="s">
        <v>1410</v>
      </c>
      <c r="E11995" s="178">
        <v>2021</v>
      </c>
      <c r="F11995" s="178" t="s">
        <v>7168</v>
      </c>
      <c r="G11995" s="496"/>
      <c r="H11995" s="994" t="s">
        <v>20221</v>
      </c>
      <c r="I11995" s="11" t="s">
        <v>15990</v>
      </c>
      <c r="J11995" s="1285"/>
      <c r="K11995" s="1285"/>
      <c r="L11995" s="1285"/>
    </row>
    <row r="11996" spans="1:12" ht="11.15" customHeight="1">
      <c r="A11996" s="162" t="s">
        <v>15991</v>
      </c>
      <c r="B11996" s="59" t="s">
        <v>22627</v>
      </c>
      <c r="C11996" s="147" t="s">
        <v>20221</v>
      </c>
      <c r="D11996" s="739" t="s">
        <v>1410</v>
      </c>
      <c r="E11996" s="178">
        <v>2019</v>
      </c>
      <c r="F11996" s="178" t="s">
        <v>7168</v>
      </c>
      <c r="G11996" s="496"/>
      <c r="H11996" s="994" t="s">
        <v>20224</v>
      </c>
      <c r="I11996" s="11" t="s">
        <v>15992</v>
      </c>
      <c r="J11996" s="1285"/>
      <c r="K11996" s="1285"/>
      <c r="L11996" s="1285"/>
    </row>
    <row r="11997" spans="1:12" ht="11.15" customHeight="1">
      <c r="A11997" s="162" t="s">
        <v>15832</v>
      </c>
      <c r="B11997" s="154" t="s">
        <v>15408</v>
      </c>
      <c r="C11997" s="147"/>
      <c r="D11997" s="182"/>
      <c r="E11997" s="36"/>
      <c r="F11997" s="178"/>
      <c r="G11997" s="496"/>
      <c r="H11997" s="36"/>
      <c r="I11997" s="11"/>
    </row>
    <row r="11998" spans="1:12" ht="11.15" customHeight="1">
      <c r="A11998" s="162" t="s">
        <v>15993</v>
      </c>
      <c r="B11998" s="59" t="s">
        <v>22628</v>
      </c>
      <c r="C11998" s="147" t="s">
        <v>20221</v>
      </c>
      <c r="D11998" s="739" t="s">
        <v>1410</v>
      </c>
      <c r="E11998" s="178">
        <v>2023</v>
      </c>
      <c r="F11998" s="178" t="s">
        <v>4520</v>
      </c>
      <c r="G11998" s="496"/>
      <c r="H11998" s="994" t="s">
        <v>20221</v>
      </c>
      <c r="I11998" s="11" t="s">
        <v>15994</v>
      </c>
      <c r="J11998" s="1285"/>
      <c r="K11998" s="1285"/>
      <c r="L11998" s="1285"/>
    </row>
    <row r="11999" spans="1:12" ht="11.15" customHeight="1">
      <c r="A11999" s="162" t="s">
        <v>15995</v>
      </c>
      <c r="B11999" s="59" t="s">
        <v>22629</v>
      </c>
      <c r="C11999" s="147" t="s">
        <v>20221</v>
      </c>
      <c r="D11999" s="739" t="s">
        <v>1410</v>
      </c>
      <c r="E11999" s="178">
        <v>2022</v>
      </c>
      <c r="F11999" s="178" t="s">
        <v>4520</v>
      </c>
      <c r="G11999" s="496"/>
      <c r="H11999" s="994" t="s">
        <v>20221</v>
      </c>
      <c r="I11999" s="11" t="s">
        <v>15996</v>
      </c>
      <c r="J11999" s="1285"/>
      <c r="K11999" s="1285"/>
      <c r="L11999" s="1285"/>
    </row>
    <row r="12000" spans="1:12" ht="11.15" customHeight="1">
      <c r="A12000" s="129" t="s">
        <v>15835</v>
      </c>
      <c r="B12000" s="59" t="s">
        <v>22630</v>
      </c>
      <c r="C12000" s="147" t="s">
        <v>20221</v>
      </c>
      <c r="D12000" s="739" t="s">
        <v>1410</v>
      </c>
      <c r="E12000" s="178">
        <v>2021</v>
      </c>
      <c r="F12000" s="178" t="s">
        <v>4520</v>
      </c>
      <c r="G12000" s="496"/>
      <c r="H12000" s="994" t="s">
        <v>20221</v>
      </c>
      <c r="I12000" s="11" t="s">
        <v>15997</v>
      </c>
      <c r="J12000" s="1285"/>
      <c r="K12000" s="1285"/>
      <c r="L12000" s="1285"/>
    </row>
    <row r="12001" spans="1:12" ht="11.15" customHeight="1">
      <c r="A12001" s="162" t="s">
        <v>15839</v>
      </c>
      <c r="B12001" s="59" t="s">
        <v>22631</v>
      </c>
      <c r="C12001" s="147" t="s">
        <v>20221</v>
      </c>
      <c r="D12001" s="739" t="s">
        <v>1410</v>
      </c>
      <c r="E12001" s="178">
        <v>2020</v>
      </c>
      <c r="F12001" s="178" t="s">
        <v>4520</v>
      </c>
      <c r="G12001" s="496"/>
      <c r="H12001" s="994" t="s">
        <v>20221</v>
      </c>
      <c r="I12001" s="11" t="s">
        <v>15998</v>
      </c>
      <c r="J12001" s="1285"/>
      <c r="K12001" s="1285"/>
      <c r="L12001" s="1285"/>
    </row>
    <row r="12002" spans="1:12" ht="11.15" customHeight="1">
      <c r="A12002" s="162" t="s">
        <v>15841</v>
      </c>
      <c r="B12002" s="59" t="s">
        <v>22632</v>
      </c>
      <c r="C12002" s="147" t="s">
        <v>20221</v>
      </c>
      <c r="D12002" s="739" t="s">
        <v>1410</v>
      </c>
      <c r="E12002" s="178">
        <v>2015</v>
      </c>
      <c r="F12002" s="178" t="s">
        <v>4520</v>
      </c>
      <c r="G12002" s="496"/>
      <c r="H12002" s="994" t="s">
        <v>20224</v>
      </c>
      <c r="I12002" s="11" t="s">
        <v>15999</v>
      </c>
      <c r="J12002" s="1285"/>
      <c r="K12002" s="1285"/>
      <c r="L12002" s="1285"/>
    </row>
    <row r="12003" spans="1:12" ht="11.15" customHeight="1">
      <c r="A12003" s="166" t="s">
        <v>15718</v>
      </c>
      <c r="B12003" s="59" t="s">
        <v>22633</v>
      </c>
      <c r="C12003" s="147" t="s">
        <v>20221</v>
      </c>
      <c r="D12003" s="739" t="s">
        <v>1410</v>
      </c>
      <c r="E12003" s="178">
        <v>2023</v>
      </c>
      <c r="F12003" s="178" t="s">
        <v>4520</v>
      </c>
      <c r="G12003" s="496"/>
      <c r="H12003" s="994" t="s">
        <v>20221</v>
      </c>
      <c r="I12003" s="11" t="s">
        <v>16000</v>
      </c>
      <c r="J12003" s="1285"/>
      <c r="K12003" s="1285"/>
      <c r="L12003" s="1285"/>
    </row>
    <row r="12004" spans="1:12" ht="11.15" customHeight="1">
      <c r="A12004" s="166" t="s">
        <v>16001</v>
      </c>
      <c r="B12004" s="59" t="s">
        <v>22634</v>
      </c>
      <c r="C12004" s="147" t="s">
        <v>20221</v>
      </c>
      <c r="D12004" s="739" t="s">
        <v>1410</v>
      </c>
      <c r="E12004" s="178">
        <v>2022</v>
      </c>
      <c r="F12004" s="178" t="s">
        <v>4520</v>
      </c>
      <c r="G12004" s="496"/>
      <c r="H12004" s="994" t="s">
        <v>20221</v>
      </c>
      <c r="I12004" s="11" t="s">
        <v>16002</v>
      </c>
      <c r="J12004" s="1285"/>
      <c r="K12004" s="1285"/>
      <c r="L12004" s="1285"/>
    </row>
    <row r="12005" spans="1:12" ht="11.15" customHeight="1">
      <c r="A12005" s="129" t="s">
        <v>16003</v>
      </c>
      <c r="B12005" s="59" t="s">
        <v>22635</v>
      </c>
      <c r="C12005" s="147" t="s">
        <v>20221</v>
      </c>
      <c r="D12005" s="739" t="s">
        <v>1410</v>
      </c>
      <c r="E12005" s="178">
        <v>2021</v>
      </c>
      <c r="F12005" s="178" t="s">
        <v>4520</v>
      </c>
      <c r="G12005" s="496"/>
      <c r="H12005" s="994" t="s">
        <v>20221</v>
      </c>
      <c r="I12005" s="11" t="s">
        <v>16004</v>
      </c>
      <c r="J12005" s="1285"/>
      <c r="K12005" s="1285"/>
      <c r="L12005" s="1285"/>
    </row>
    <row r="12006" spans="1:12" ht="11.15" customHeight="1">
      <c r="A12006" s="129" t="s">
        <v>16005</v>
      </c>
      <c r="B12006" s="59" t="s">
        <v>22636</v>
      </c>
      <c r="C12006" s="147" t="s">
        <v>20221</v>
      </c>
      <c r="D12006" s="739" t="s">
        <v>1410</v>
      </c>
      <c r="E12006" s="178">
        <v>2015</v>
      </c>
      <c r="F12006" s="178" t="s">
        <v>4520</v>
      </c>
      <c r="G12006" s="496"/>
      <c r="H12006" s="994" t="s">
        <v>20465</v>
      </c>
      <c r="I12006" s="11" t="s">
        <v>16006</v>
      </c>
      <c r="J12006" s="1285"/>
      <c r="K12006" s="1285"/>
      <c r="L12006" s="1285"/>
    </row>
    <row r="12007" spans="1:12" ht="11.15" customHeight="1">
      <c r="A12007" s="129" t="s">
        <v>16007</v>
      </c>
      <c r="B12007" s="59" t="s">
        <v>22637</v>
      </c>
      <c r="C12007" s="147" t="s">
        <v>20221</v>
      </c>
      <c r="D12007" s="739" t="s">
        <v>1410</v>
      </c>
      <c r="E12007" s="178">
        <v>2013</v>
      </c>
      <c r="F12007" s="178" t="s">
        <v>4520</v>
      </c>
      <c r="G12007" s="496"/>
      <c r="H12007" s="994" t="s">
        <v>20224</v>
      </c>
      <c r="I12007" s="11" t="s">
        <v>16008</v>
      </c>
      <c r="J12007" s="1285"/>
      <c r="K12007" s="1285"/>
      <c r="L12007" s="1285"/>
    </row>
    <row r="12008" spans="1:12" ht="11.15" customHeight="1">
      <c r="A12008" s="129" t="s">
        <v>16009</v>
      </c>
      <c r="B12008" s="59" t="s">
        <v>22638</v>
      </c>
      <c r="C12008" s="147" t="s">
        <v>20221</v>
      </c>
      <c r="D12008" s="739" t="s">
        <v>1410</v>
      </c>
      <c r="E12008" s="178">
        <v>2012</v>
      </c>
      <c r="F12008" s="178" t="s">
        <v>9678</v>
      </c>
      <c r="G12008" s="496"/>
      <c r="H12008" s="994" t="s">
        <v>20224</v>
      </c>
      <c r="I12008" s="11" t="s">
        <v>16010</v>
      </c>
      <c r="J12008" s="1285"/>
      <c r="K12008" s="1285"/>
      <c r="L12008" s="1285"/>
    </row>
    <row r="12009" spans="1:12" ht="11.15" customHeight="1">
      <c r="B12009" s="154" t="s">
        <v>16011</v>
      </c>
      <c r="C12009" s="147"/>
      <c r="D12009" s="159"/>
      <c r="E12009" s="36"/>
      <c r="F12009" s="178"/>
      <c r="G12009" s="496"/>
      <c r="H12009" s="178"/>
      <c r="I12009" s="11"/>
    </row>
    <row r="12010" spans="1:12" ht="11.15" customHeight="1">
      <c r="A12010" s="29"/>
      <c r="B12010" s="59" t="s">
        <v>22639</v>
      </c>
      <c r="C12010" s="147" t="s">
        <v>20221</v>
      </c>
      <c r="D12010" s="739" t="s">
        <v>1410</v>
      </c>
      <c r="E12010" s="178">
        <v>2023</v>
      </c>
      <c r="F12010" s="178" t="s">
        <v>23400</v>
      </c>
      <c r="G12010" s="496"/>
      <c r="H12010" s="994" t="s">
        <v>20221</v>
      </c>
      <c r="I12010" s="11" t="s">
        <v>16012</v>
      </c>
      <c r="J12010" s="1285"/>
      <c r="K12010" s="1285"/>
      <c r="L12010" s="1285"/>
    </row>
    <row r="12011" spans="1:12" ht="11.15" customHeight="1">
      <c r="A12011" s="185"/>
      <c r="B12011" s="59" t="s">
        <v>22640</v>
      </c>
      <c r="C12011" s="147" t="s">
        <v>20221</v>
      </c>
      <c r="D12011" s="739" t="s">
        <v>1410</v>
      </c>
      <c r="E12011" s="178">
        <v>2022</v>
      </c>
      <c r="F12011" s="178" t="s">
        <v>23400</v>
      </c>
      <c r="G12011" s="496"/>
      <c r="H12011" s="994" t="s">
        <v>20221</v>
      </c>
      <c r="I12011" s="11" t="s">
        <v>16013</v>
      </c>
      <c r="J12011" s="1285"/>
      <c r="K12011" s="1285"/>
      <c r="L12011" s="1285"/>
    </row>
    <row r="12012" spans="1:12" ht="11.15" customHeight="1">
      <c r="A12012" s="185"/>
      <c r="B12012" s="59" t="s">
        <v>22641</v>
      </c>
      <c r="C12012" s="147" t="s">
        <v>20221</v>
      </c>
      <c r="D12012" s="739" t="s">
        <v>1410</v>
      </c>
      <c r="E12012" s="178">
        <v>2019</v>
      </c>
      <c r="F12012" s="178" t="s">
        <v>7168</v>
      </c>
      <c r="G12012" s="496"/>
      <c r="H12012" s="994" t="s">
        <v>20221</v>
      </c>
      <c r="I12012" s="11" t="s">
        <v>16014</v>
      </c>
      <c r="J12012" s="1285"/>
      <c r="K12012" s="1285"/>
      <c r="L12012" s="1285"/>
    </row>
    <row r="12013" spans="1:12" ht="11.15" customHeight="1">
      <c r="A12013" s="185"/>
      <c r="B12013" s="59" t="s">
        <v>22642</v>
      </c>
      <c r="C12013" s="147" t="s">
        <v>20221</v>
      </c>
      <c r="D12013" s="739" t="s">
        <v>1410</v>
      </c>
      <c r="E12013" s="178">
        <v>2015</v>
      </c>
      <c r="F12013" s="178" t="s">
        <v>7168</v>
      </c>
      <c r="G12013" s="496"/>
      <c r="H12013" s="994" t="s">
        <v>20221</v>
      </c>
      <c r="I12013" s="11" t="s">
        <v>16015</v>
      </c>
      <c r="J12013" s="1285"/>
      <c r="K12013" s="1285"/>
      <c r="L12013" s="1285"/>
    </row>
    <row r="12014" spans="1:12" ht="11.15" customHeight="1">
      <c r="A12014" s="185"/>
      <c r="B12014" s="59" t="s">
        <v>22643</v>
      </c>
      <c r="C12014" s="147" t="s">
        <v>20221</v>
      </c>
      <c r="D12014" s="739" t="s">
        <v>1410</v>
      </c>
      <c r="E12014" s="178">
        <v>2009</v>
      </c>
      <c r="F12014" s="178" t="s">
        <v>7168</v>
      </c>
      <c r="G12014" s="496"/>
      <c r="H12014" s="994" t="s">
        <v>20221</v>
      </c>
      <c r="I12014" s="11" t="s">
        <v>16016</v>
      </c>
      <c r="J12014" s="1285"/>
      <c r="K12014" s="1285"/>
      <c r="L12014" s="1285"/>
    </row>
    <row r="12015" spans="1:12" ht="11.15" customHeight="1">
      <c r="A12015" s="185"/>
      <c r="B12015" s="59" t="s">
        <v>22644</v>
      </c>
      <c r="C12015" s="147" t="s">
        <v>20221</v>
      </c>
      <c r="D12015" s="739" t="s">
        <v>1410</v>
      </c>
      <c r="E12015" s="178">
        <v>2023</v>
      </c>
      <c r="F12015" s="178" t="s">
        <v>23400</v>
      </c>
      <c r="G12015" s="496"/>
      <c r="H12015" s="994" t="s">
        <v>20221</v>
      </c>
      <c r="I12015" s="11" t="s">
        <v>16017</v>
      </c>
      <c r="J12015" s="1285"/>
      <c r="K12015" s="1285"/>
      <c r="L12015" s="1285"/>
    </row>
    <row r="12016" spans="1:12" ht="11.15" customHeight="1">
      <c r="A12016" s="185"/>
      <c r="B12016" s="59" t="s">
        <v>22645</v>
      </c>
      <c r="C12016" s="147" t="s">
        <v>20221</v>
      </c>
      <c r="D12016" s="739" t="s">
        <v>1410</v>
      </c>
      <c r="E12016" s="178">
        <v>2006</v>
      </c>
      <c r="F12016" s="178" t="s">
        <v>7168</v>
      </c>
      <c r="G12016" s="496"/>
      <c r="H12016" s="994" t="s">
        <v>20224</v>
      </c>
      <c r="I12016" s="11" t="s">
        <v>16018</v>
      </c>
      <c r="J12016" s="1285"/>
      <c r="K12016" s="1285"/>
      <c r="L12016" s="1285"/>
    </row>
    <row r="12017" spans="1:12" ht="11.15" customHeight="1">
      <c r="A12017" s="185"/>
      <c r="B12017" s="154" t="s">
        <v>16019</v>
      </c>
      <c r="C12017" s="147"/>
      <c r="D12017" s="182"/>
      <c r="E12017" s="36"/>
      <c r="F12017" s="178"/>
      <c r="G12017" s="496"/>
      <c r="H12017" s="36"/>
      <c r="I12017" s="11"/>
    </row>
    <row r="12018" spans="1:12" ht="11.15" customHeight="1">
      <c r="A12018" s="185"/>
      <c r="B12018" s="59" t="s">
        <v>22646</v>
      </c>
      <c r="C12018" s="147" t="s">
        <v>20221</v>
      </c>
      <c r="D12018" s="739" t="s">
        <v>1410</v>
      </c>
      <c r="E12018" s="178">
        <v>2020</v>
      </c>
      <c r="F12018" s="178" t="s">
        <v>4520</v>
      </c>
      <c r="G12018" s="496"/>
      <c r="H12018" s="994" t="s">
        <v>20221</v>
      </c>
      <c r="I12018" s="11" t="s">
        <v>16020</v>
      </c>
      <c r="J12018" s="1285"/>
      <c r="K12018" s="1285"/>
      <c r="L12018" s="1285"/>
    </row>
    <row r="12019" spans="1:12" ht="11.15" customHeight="1">
      <c r="A12019" s="185"/>
      <c r="B12019" s="59" t="s">
        <v>22647</v>
      </c>
      <c r="C12019" s="147" t="s">
        <v>20221</v>
      </c>
      <c r="D12019" s="739" t="s">
        <v>1410</v>
      </c>
      <c r="E12019" s="178">
        <v>2022</v>
      </c>
      <c r="F12019" s="178" t="s">
        <v>4520</v>
      </c>
      <c r="G12019" s="496"/>
      <c r="H12019" s="994" t="s">
        <v>20221</v>
      </c>
      <c r="I12019" s="11" t="s">
        <v>16021</v>
      </c>
      <c r="J12019" s="1285"/>
      <c r="K12019" s="1285"/>
      <c r="L12019" s="1285"/>
    </row>
    <row r="12020" spans="1:12" ht="11.15" customHeight="1">
      <c r="A12020" s="185"/>
      <c r="B12020" s="59" t="s">
        <v>22648</v>
      </c>
      <c r="C12020" s="147" t="s">
        <v>20221</v>
      </c>
      <c r="D12020" s="739" t="s">
        <v>1410</v>
      </c>
      <c r="E12020" s="178">
        <v>2020</v>
      </c>
      <c r="F12020" s="178" t="s">
        <v>4520</v>
      </c>
      <c r="G12020" s="496"/>
      <c r="H12020" s="994" t="s">
        <v>20221</v>
      </c>
      <c r="I12020" s="11" t="s">
        <v>16022</v>
      </c>
      <c r="J12020" s="1285"/>
      <c r="K12020" s="1285"/>
      <c r="L12020" s="1285"/>
    </row>
    <row r="12021" spans="1:12" ht="11.15" customHeight="1">
      <c r="A12021" s="185"/>
      <c r="B12021" s="59" t="s">
        <v>22649</v>
      </c>
      <c r="C12021" s="147" t="s">
        <v>20221</v>
      </c>
      <c r="D12021" s="739" t="s">
        <v>1410</v>
      </c>
      <c r="E12021" s="178">
        <v>2019</v>
      </c>
      <c r="F12021" s="178" t="s">
        <v>4520</v>
      </c>
      <c r="G12021" s="496"/>
      <c r="H12021" s="994" t="s">
        <v>20224</v>
      </c>
      <c r="I12021" s="11" t="s">
        <v>16023</v>
      </c>
      <c r="J12021" s="1285"/>
      <c r="K12021" s="1285"/>
      <c r="L12021" s="1285"/>
    </row>
    <row r="12022" spans="1:12" ht="11.15" customHeight="1">
      <c r="A12022" s="185"/>
      <c r="B12022" s="59" t="s">
        <v>22650</v>
      </c>
      <c r="C12022" s="147" t="s">
        <v>20221</v>
      </c>
      <c r="D12022" s="739" t="s">
        <v>1410</v>
      </c>
      <c r="E12022" s="178">
        <v>2015</v>
      </c>
      <c r="F12022" s="178" t="s">
        <v>4520</v>
      </c>
      <c r="G12022" s="496"/>
      <c r="H12022" s="994" t="s">
        <v>20221</v>
      </c>
      <c r="I12022" s="11" t="s">
        <v>16024</v>
      </c>
      <c r="J12022" s="1285"/>
      <c r="K12022" s="1285"/>
      <c r="L12022" s="1285"/>
    </row>
    <row r="12023" spans="1:12" ht="11.15" customHeight="1">
      <c r="A12023" s="185"/>
      <c r="B12023" s="59" t="s">
        <v>22651</v>
      </c>
      <c r="C12023" s="147" t="s">
        <v>20221</v>
      </c>
      <c r="D12023" s="739" t="s">
        <v>1410</v>
      </c>
      <c r="E12023" s="178">
        <v>2009</v>
      </c>
      <c r="F12023" s="178" t="s">
        <v>4520</v>
      </c>
      <c r="G12023" s="496"/>
      <c r="H12023" s="994" t="s">
        <v>20224</v>
      </c>
      <c r="I12023" s="12" t="s">
        <v>16025</v>
      </c>
      <c r="J12023" s="1285"/>
      <c r="K12023" s="1285"/>
      <c r="L12023" s="1285"/>
    </row>
    <row r="12024" spans="1:12" ht="11.15" customHeight="1">
      <c r="A12024" s="185"/>
      <c r="B12024" s="59" t="s">
        <v>22651</v>
      </c>
      <c r="C12024" s="147" t="s">
        <v>20221</v>
      </c>
      <c r="D12024" s="739" t="s">
        <v>1410</v>
      </c>
      <c r="E12024" s="178">
        <v>2006</v>
      </c>
      <c r="F12024" s="178" t="s">
        <v>23395</v>
      </c>
      <c r="G12024" s="496"/>
      <c r="H12024" s="994" t="s">
        <v>20277</v>
      </c>
      <c r="I12024" s="11" t="s">
        <v>16026</v>
      </c>
      <c r="J12024" s="1285"/>
      <c r="K12024" s="1285"/>
      <c r="L12024" s="1285"/>
    </row>
    <row r="12025" spans="1:12" ht="11.15" customHeight="1">
      <c r="A12025" s="185"/>
      <c r="B12025" s="59" t="s">
        <v>22652</v>
      </c>
      <c r="C12025" s="147" t="s">
        <v>20221</v>
      </c>
      <c r="D12025" s="739" t="s">
        <v>1410</v>
      </c>
      <c r="E12025" s="178">
        <v>2023</v>
      </c>
      <c r="F12025" s="178" t="s">
        <v>4520</v>
      </c>
      <c r="G12025" s="496"/>
      <c r="H12025" s="994" t="s">
        <v>20224</v>
      </c>
      <c r="I12025" s="11" t="s">
        <v>16027</v>
      </c>
      <c r="J12025" s="1285"/>
      <c r="K12025" s="1285"/>
      <c r="L12025" s="1285"/>
    </row>
    <row r="12026" spans="1:12" ht="11.15" customHeight="1">
      <c r="A12026" s="185"/>
      <c r="B12026" s="59" t="s">
        <v>22653</v>
      </c>
      <c r="C12026" s="147" t="s">
        <v>20221</v>
      </c>
      <c r="D12026" s="739" t="s">
        <v>1410</v>
      </c>
      <c r="E12026" s="178">
        <v>2015</v>
      </c>
      <c r="F12026" s="178" t="s">
        <v>4520</v>
      </c>
      <c r="G12026" s="496"/>
      <c r="H12026" s="994" t="s">
        <v>20221</v>
      </c>
      <c r="I12026" s="11" t="s">
        <v>16028</v>
      </c>
      <c r="J12026" s="1285"/>
      <c r="K12026" s="1285"/>
      <c r="L12026" s="1285"/>
    </row>
    <row r="12027" spans="1:12" ht="11.15" customHeight="1">
      <c r="A12027" s="185"/>
      <c r="B12027" s="59" t="s">
        <v>22654</v>
      </c>
      <c r="C12027" s="147" t="s">
        <v>20221</v>
      </c>
      <c r="D12027" s="739" t="s">
        <v>1410</v>
      </c>
      <c r="E12027" s="178">
        <v>2012</v>
      </c>
      <c r="F12027" s="178" t="s">
        <v>9678</v>
      </c>
      <c r="G12027" s="496"/>
      <c r="H12027" s="994" t="s">
        <v>20224</v>
      </c>
      <c r="I12027" s="11" t="s">
        <v>16029</v>
      </c>
      <c r="J12027" s="1285"/>
      <c r="K12027" s="1285"/>
      <c r="L12027" s="1285"/>
    </row>
    <row r="12028" spans="1:12" ht="11.15" customHeight="1">
      <c r="A12028" s="185"/>
      <c r="B12028" s="154" t="s">
        <v>16030</v>
      </c>
      <c r="C12028" s="147"/>
      <c r="D12028" s="182"/>
      <c r="E12028" s="36"/>
      <c r="F12028" s="178"/>
      <c r="G12028" s="496"/>
      <c r="H12028" s="36"/>
      <c r="I12028" s="11"/>
    </row>
    <row r="12029" spans="1:12" ht="11.15" customHeight="1">
      <c r="A12029" s="185"/>
      <c r="B12029" s="59" t="s">
        <v>22655</v>
      </c>
      <c r="C12029" s="147" t="s">
        <v>20221</v>
      </c>
      <c r="D12029" s="739" t="s">
        <v>1410</v>
      </c>
      <c r="E12029" s="178">
        <v>2022</v>
      </c>
      <c r="F12029" s="178" t="s">
        <v>23400</v>
      </c>
      <c r="G12029" s="496"/>
      <c r="H12029" s="994" t="s">
        <v>20221</v>
      </c>
      <c r="I12029" s="11" t="s">
        <v>16031</v>
      </c>
      <c r="J12029" s="1285"/>
      <c r="K12029" s="1285"/>
      <c r="L12029" s="1285"/>
    </row>
    <row r="12030" spans="1:12" ht="11.15" customHeight="1">
      <c r="A12030" s="185"/>
      <c r="B12030" s="59" t="s">
        <v>22656</v>
      </c>
      <c r="C12030" s="147" t="s">
        <v>20221</v>
      </c>
      <c r="D12030" s="739" t="s">
        <v>1410</v>
      </c>
      <c r="E12030" s="178">
        <v>2022</v>
      </c>
      <c r="F12030" s="178" t="s">
        <v>4520</v>
      </c>
      <c r="G12030" s="496"/>
      <c r="H12030" s="994" t="s">
        <v>20224</v>
      </c>
      <c r="I12030" s="11" t="s">
        <v>16032</v>
      </c>
      <c r="J12030" s="1285"/>
      <c r="K12030" s="1285"/>
      <c r="L12030" s="1285"/>
    </row>
    <row r="12031" spans="1:12" ht="11.15" customHeight="1">
      <c r="A12031" s="185"/>
      <c r="B12031" s="59"/>
      <c r="C12031" s="147"/>
      <c r="D12031" s="739"/>
      <c r="E12031" s="178"/>
      <c r="F12031" s="178"/>
      <c r="G12031" s="496"/>
      <c r="H12031" s="994"/>
      <c r="I12031" s="11"/>
    </row>
    <row r="12032" spans="1:12" ht="11.15" customHeight="1">
      <c r="A12032" s="185"/>
      <c r="B12032" s="413" t="s">
        <v>16033</v>
      </c>
      <c r="C12032" s="147"/>
      <c r="D12032" s="182"/>
      <c r="E12032" s="36"/>
      <c r="F12032" s="183"/>
      <c r="G12032" s="496"/>
      <c r="H12032" s="34"/>
      <c r="I12032" s="11"/>
    </row>
    <row r="12033" spans="1:12" ht="9" customHeight="1">
      <c r="A12033" s="185"/>
      <c r="B12033" s="209" t="s">
        <v>16034</v>
      </c>
      <c r="C12033" s="147"/>
      <c r="D12033" s="159"/>
      <c r="E12033" s="36"/>
      <c r="F12033" s="178"/>
      <c r="G12033" s="496"/>
      <c r="H12033" s="36"/>
      <c r="I12033" s="11"/>
    </row>
    <row r="12034" spans="1:12" ht="9" customHeight="1">
      <c r="A12034" s="185"/>
      <c r="B12034" s="209" t="s">
        <v>16035</v>
      </c>
      <c r="C12034" s="147"/>
      <c r="D12034" s="159"/>
      <c r="E12034" s="36"/>
      <c r="F12034" s="178"/>
      <c r="G12034" s="496"/>
      <c r="H12034" s="36"/>
      <c r="I12034" s="11"/>
    </row>
    <row r="12035" spans="1:12" ht="9" customHeight="1">
      <c r="A12035" s="185"/>
      <c r="B12035" s="150" t="s">
        <v>16036</v>
      </c>
      <c r="C12035" s="147"/>
      <c r="D12035" s="159"/>
      <c r="E12035" s="36"/>
      <c r="F12035" s="178"/>
      <c r="G12035" s="496"/>
      <c r="H12035" s="36"/>
      <c r="I12035" s="11"/>
    </row>
    <row r="12036" spans="1:12" ht="9" customHeight="1">
      <c r="A12036" s="185"/>
      <c r="B12036" s="150" t="s">
        <v>16037</v>
      </c>
      <c r="C12036" s="147"/>
      <c r="D12036" s="159"/>
      <c r="E12036" s="36"/>
      <c r="F12036" s="178"/>
      <c r="G12036" s="496"/>
      <c r="H12036" s="36"/>
      <c r="I12036" s="11"/>
    </row>
    <row r="12037" spans="1:12" ht="9" customHeight="1">
      <c r="A12037" s="737"/>
      <c r="B12037" s="150" t="s">
        <v>16038</v>
      </c>
      <c r="C12037" s="147"/>
      <c r="D12037" s="159"/>
      <c r="E12037" s="36"/>
      <c r="F12037" s="178"/>
      <c r="G12037" s="496"/>
      <c r="H12037" s="36"/>
      <c r="I12037" s="11"/>
    </row>
    <row r="12038" spans="1:12" ht="9" customHeight="1">
      <c r="A12038" s="737"/>
      <c r="B12038" s="209" t="s">
        <v>16039</v>
      </c>
      <c r="C12038" s="147"/>
      <c r="D12038" s="159"/>
      <c r="E12038" s="36"/>
      <c r="F12038" s="178"/>
      <c r="G12038" s="496"/>
      <c r="H12038" s="36"/>
      <c r="I12038" s="11"/>
    </row>
    <row r="12039" spans="1:12" ht="9" customHeight="1">
      <c r="A12039" s="737"/>
      <c r="B12039" s="209" t="s">
        <v>16040</v>
      </c>
      <c r="C12039" s="147"/>
      <c r="D12039" s="159"/>
      <c r="E12039" s="36"/>
      <c r="F12039" s="178"/>
      <c r="G12039" s="496"/>
      <c r="H12039" s="36"/>
      <c r="I12039" s="11"/>
    </row>
    <row r="12040" spans="1:12" ht="9" customHeight="1">
      <c r="A12040" s="29"/>
      <c r="B12040" s="150" t="s">
        <v>15907</v>
      </c>
      <c r="C12040" s="147"/>
      <c r="D12040" s="159"/>
      <c r="E12040" s="90"/>
      <c r="F12040" s="59"/>
      <c r="G12040" s="1187"/>
      <c r="H12040" s="90"/>
      <c r="I12040" s="11"/>
    </row>
    <row r="12041" spans="1:12" ht="9" customHeight="1">
      <c r="A12041" s="29"/>
      <c r="B12041" s="150" t="s">
        <v>16041</v>
      </c>
      <c r="C12041" s="147"/>
      <c r="D12041" s="159"/>
      <c r="E12041" s="90"/>
      <c r="F12041" s="59"/>
      <c r="G12041" s="1187"/>
      <c r="H12041" s="90"/>
      <c r="I12041" s="11"/>
    </row>
    <row r="12042" spans="1:12" ht="9" customHeight="1">
      <c r="A12042" s="29"/>
      <c r="B12042" s="150" t="s">
        <v>16042</v>
      </c>
      <c r="C12042" s="147"/>
      <c r="D12042" s="159"/>
      <c r="E12042" s="90"/>
      <c r="F12042" s="59"/>
      <c r="G12042" s="1187"/>
      <c r="H12042" s="90"/>
      <c r="I12042" s="11"/>
    </row>
    <row r="12043" spans="1:12" ht="9" customHeight="1">
      <c r="A12043" s="29"/>
      <c r="B12043" s="150" t="s">
        <v>16043</v>
      </c>
      <c r="C12043" s="147"/>
      <c r="D12043" s="159"/>
      <c r="E12043" s="90"/>
      <c r="F12043" s="59"/>
      <c r="G12043" s="1187"/>
      <c r="H12043" s="90"/>
      <c r="I12043" s="11"/>
    </row>
    <row r="12044" spans="1:12" ht="9" customHeight="1">
      <c r="A12044" s="29"/>
      <c r="B12044" s="150" t="s">
        <v>16044</v>
      </c>
      <c r="C12044" s="147"/>
      <c r="D12044" s="159"/>
      <c r="E12044" s="90"/>
      <c r="F12044" s="59"/>
      <c r="G12044" s="1187"/>
      <c r="H12044" s="90"/>
      <c r="I12044" s="11"/>
    </row>
    <row r="12045" spans="1:12" ht="9" customHeight="1" thickBot="1">
      <c r="A12045" s="29"/>
      <c r="B12045" s="150" t="s">
        <v>16045</v>
      </c>
      <c r="C12045" s="147"/>
      <c r="D12045" s="159"/>
      <c r="E12045" s="90"/>
      <c r="F12045" s="59"/>
      <c r="G12045" s="1187"/>
      <c r="H12045" s="90"/>
      <c r="I12045" s="11"/>
    </row>
    <row r="12046" spans="1:12" ht="11.15" customHeight="1">
      <c r="A12046" s="153" t="s">
        <v>16046</v>
      </c>
      <c r="B12046" s="154" t="s">
        <v>15384</v>
      </c>
      <c r="C12046" s="147"/>
      <c r="D12046" s="129"/>
      <c r="E12046" s="185"/>
      <c r="F12046" s="185"/>
      <c r="G12046" s="185"/>
      <c r="H12046" s="185"/>
      <c r="I12046" s="11"/>
    </row>
    <row r="12047" spans="1:12" ht="11.15" customHeight="1" thickBot="1">
      <c r="A12047" s="230" t="s">
        <v>16047</v>
      </c>
      <c r="B12047" s="59" t="s">
        <v>22658</v>
      </c>
      <c r="C12047" s="147" t="s">
        <v>20221</v>
      </c>
      <c r="D12047" s="284" t="s">
        <v>897</v>
      </c>
      <c r="E12047" s="178">
        <v>2022</v>
      </c>
      <c r="F12047" s="178" t="s">
        <v>4520</v>
      </c>
      <c r="G12047" s="496"/>
      <c r="H12047" s="994" t="s">
        <v>20221</v>
      </c>
      <c r="I12047" s="11" t="s">
        <v>16048</v>
      </c>
      <c r="J12047" s="1285"/>
      <c r="K12047" s="1285"/>
      <c r="L12047" s="1285"/>
    </row>
    <row r="12048" spans="1:12" ht="11.15" customHeight="1">
      <c r="A12048" s="29" t="s">
        <v>16049</v>
      </c>
      <c r="B12048" s="59" t="s">
        <v>22659</v>
      </c>
      <c r="C12048" s="147" t="s">
        <v>20221</v>
      </c>
      <c r="D12048" s="284" t="s">
        <v>897</v>
      </c>
      <c r="E12048" s="178">
        <v>2020</v>
      </c>
      <c r="F12048" s="178" t="s">
        <v>4520</v>
      </c>
      <c r="G12048" s="496"/>
      <c r="H12048" s="994" t="s">
        <v>20221</v>
      </c>
      <c r="I12048" s="11" t="s">
        <v>16050</v>
      </c>
      <c r="J12048" s="1285"/>
      <c r="K12048" s="1285"/>
      <c r="L12048" s="1285"/>
    </row>
    <row r="12049" spans="1:12" ht="11.15" customHeight="1">
      <c r="A12049" s="29" t="s">
        <v>16051</v>
      </c>
      <c r="B12049" s="59" t="s">
        <v>22659</v>
      </c>
      <c r="C12049" s="147" t="s">
        <v>20221</v>
      </c>
      <c r="D12049" s="284" t="s">
        <v>897</v>
      </c>
      <c r="E12049" s="178">
        <v>2019</v>
      </c>
      <c r="F12049" s="178" t="s">
        <v>4520</v>
      </c>
      <c r="G12049" s="496"/>
      <c r="H12049" s="994" t="s">
        <v>20221</v>
      </c>
      <c r="I12049" s="11" t="s">
        <v>16052</v>
      </c>
      <c r="J12049" s="1285"/>
      <c r="K12049" s="1285"/>
      <c r="L12049" s="1285"/>
    </row>
    <row r="12050" spans="1:12" ht="11.15" customHeight="1">
      <c r="A12050" s="29" t="s">
        <v>16053</v>
      </c>
      <c r="B12050" s="59" t="s">
        <v>22660</v>
      </c>
      <c r="C12050" s="147" t="s">
        <v>20221</v>
      </c>
      <c r="D12050" s="284" t="s">
        <v>897</v>
      </c>
      <c r="E12050" s="178">
        <v>2020</v>
      </c>
      <c r="F12050" s="178" t="s">
        <v>4520</v>
      </c>
      <c r="G12050" s="496"/>
      <c r="H12050" s="994" t="s">
        <v>20224</v>
      </c>
      <c r="I12050" s="11" t="s">
        <v>16054</v>
      </c>
      <c r="J12050" s="1285"/>
      <c r="K12050" s="1285"/>
      <c r="L12050" s="1285"/>
    </row>
    <row r="12051" spans="1:12" ht="11.15" customHeight="1">
      <c r="A12051" s="29" t="s">
        <v>16055</v>
      </c>
      <c r="B12051" s="59" t="s">
        <v>22660</v>
      </c>
      <c r="C12051" s="147" t="s">
        <v>20221</v>
      </c>
      <c r="D12051" s="284" t="s">
        <v>897</v>
      </c>
      <c r="E12051" s="178">
        <v>2019</v>
      </c>
      <c r="F12051" s="178" t="s">
        <v>4520</v>
      </c>
      <c r="G12051" s="496"/>
      <c r="H12051" s="994" t="s">
        <v>20224</v>
      </c>
      <c r="I12051" s="11" t="s">
        <v>16056</v>
      </c>
      <c r="J12051" s="1285"/>
      <c r="K12051" s="1285"/>
      <c r="L12051" s="1285"/>
    </row>
    <row r="12052" spans="1:12" ht="11.15" customHeight="1">
      <c r="A12052" s="29" t="s">
        <v>16057</v>
      </c>
      <c r="B12052" s="59" t="s">
        <v>22661</v>
      </c>
      <c r="C12052" s="147" t="s">
        <v>20221</v>
      </c>
      <c r="D12052" s="284" t="s">
        <v>897</v>
      </c>
      <c r="E12052" s="178">
        <v>2020</v>
      </c>
      <c r="F12052" s="178" t="s">
        <v>11931</v>
      </c>
      <c r="G12052" s="496"/>
      <c r="H12052" s="994" t="s">
        <v>20224</v>
      </c>
      <c r="I12052" s="11" t="s">
        <v>16058</v>
      </c>
      <c r="J12052" s="1285"/>
      <c r="K12052" s="1285"/>
      <c r="L12052" s="1285"/>
    </row>
    <row r="12053" spans="1:12" ht="11.15" customHeight="1">
      <c r="A12053" s="29" t="s">
        <v>16059</v>
      </c>
      <c r="B12053" s="59" t="s">
        <v>22661</v>
      </c>
      <c r="C12053" s="147" t="s">
        <v>20221</v>
      </c>
      <c r="D12053" s="284" t="s">
        <v>897</v>
      </c>
      <c r="E12053" s="178">
        <v>2017</v>
      </c>
      <c r="F12053" s="178" t="s">
        <v>5257</v>
      </c>
      <c r="G12053" s="496"/>
      <c r="H12053" s="994" t="s">
        <v>20224</v>
      </c>
      <c r="I12053" s="11" t="s">
        <v>16060</v>
      </c>
      <c r="J12053" s="1285"/>
      <c r="K12053" s="1285"/>
      <c r="L12053" s="1285"/>
    </row>
    <row r="12054" spans="1:12" ht="11.15" customHeight="1">
      <c r="A12054" s="29" t="s">
        <v>16061</v>
      </c>
      <c r="B12054" s="177" t="s">
        <v>16062</v>
      </c>
      <c r="C12054" s="147"/>
      <c r="D12054" s="159"/>
      <c r="E12054" s="36"/>
      <c r="F12054" s="178"/>
      <c r="G12054" s="496"/>
      <c r="H12054" s="36"/>
      <c r="I12054" s="11"/>
    </row>
    <row r="12055" spans="1:12" ht="11.15" customHeight="1">
      <c r="A12055" s="29" t="s">
        <v>16063</v>
      </c>
      <c r="B12055" s="177" t="s">
        <v>16064</v>
      </c>
      <c r="C12055" s="147"/>
      <c r="D12055" s="159"/>
      <c r="E12055" s="36"/>
      <c r="F12055" s="178"/>
      <c r="G12055" s="496"/>
      <c r="H12055" s="36"/>
      <c r="I12055" s="11"/>
    </row>
    <row r="12056" spans="1:12" ht="11.15" customHeight="1">
      <c r="A12056" s="29" t="s">
        <v>16065</v>
      </c>
      <c r="B12056" s="59" t="s">
        <v>22662</v>
      </c>
      <c r="C12056" s="147" t="s">
        <v>20221</v>
      </c>
      <c r="D12056" s="701" t="s">
        <v>1129</v>
      </c>
      <c r="E12056" s="178">
        <v>2021</v>
      </c>
      <c r="F12056" s="178" t="s">
        <v>4520</v>
      </c>
      <c r="G12056" s="496"/>
      <c r="H12056" s="994" t="s">
        <v>20224</v>
      </c>
      <c r="I12056" s="11" t="s">
        <v>16066</v>
      </c>
      <c r="J12056" s="1285"/>
      <c r="K12056" s="1285"/>
      <c r="L12056" s="1285"/>
    </row>
    <row r="12057" spans="1:12" ht="11.15" customHeight="1">
      <c r="A12057" s="29" t="s">
        <v>16067</v>
      </c>
      <c r="B12057" s="177" t="s">
        <v>16068</v>
      </c>
      <c r="C12057" s="147"/>
      <c r="D12057" s="159"/>
      <c r="E12057" s="36"/>
      <c r="F12057" s="178"/>
      <c r="G12057" s="496"/>
      <c r="H12057" s="36"/>
      <c r="I12057" s="11"/>
    </row>
    <row r="12058" spans="1:12" ht="11.15" customHeight="1">
      <c r="A12058" s="29" t="s">
        <v>16069</v>
      </c>
      <c r="B12058" s="59" t="s">
        <v>22665</v>
      </c>
      <c r="C12058" s="147" t="s">
        <v>20221</v>
      </c>
      <c r="D12058" s="701" t="s">
        <v>1129</v>
      </c>
      <c r="E12058" s="178">
        <v>2023</v>
      </c>
      <c r="F12058" s="178" t="s">
        <v>23395</v>
      </c>
      <c r="G12058" s="496"/>
      <c r="H12058" s="994" t="s">
        <v>20221</v>
      </c>
      <c r="I12058" s="11" t="s">
        <v>16070</v>
      </c>
      <c r="J12058" s="1285"/>
      <c r="K12058" s="1285"/>
      <c r="L12058" s="1285"/>
    </row>
    <row r="12059" spans="1:12" ht="11.15" customHeight="1">
      <c r="A12059" s="29" t="s">
        <v>16071</v>
      </c>
      <c r="B12059" s="59" t="s">
        <v>22665</v>
      </c>
      <c r="C12059" s="147" t="s">
        <v>20221</v>
      </c>
      <c r="D12059" s="701" t="s">
        <v>1129</v>
      </c>
      <c r="E12059" s="178">
        <v>2022</v>
      </c>
      <c r="F12059" s="178" t="s">
        <v>23395</v>
      </c>
      <c r="G12059" s="496"/>
      <c r="H12059" s="994" t="s">
        <v>20221</v>
      </c>
      <c r="I12059" s="11" t="s">
        <v>16072</v>
      </c>
      <c r="J12059" s="1285"/>
      <c r="K12059" s="1285"/>
      <c r="L12059" s="1285"/>
    </row>
    <row r="12060" spans="1:12" ht="11.15" customHeight="1">
      <c r="A12060" s="181" t="s">
        <v>1253</v>
      </c>
      <c r="B12060" s="59" t="s">
        <v>22663</v>
      </c>
      <c r="C12060" s="147" t="s">
        <v>20221</v>
      </c>
      <c r="D12060" s="701" t="s">
        <v>1129</v>
      </c>
      <c r="E12060" s="178">
        <v>2019</v>
      </c>
      <c r="F12060" s="178" t="s">
        <v>4520</v>
      </c>
      <c r="G12060" s="496"/>
      <c r="H12060" s="994" t="s">
        <v>20224</v>
      </c>
      <c r="I12060" s="11" t="s">
        <v>16073</v>
      </c>
      <c r="J12060" s="1285"/>
      <c r="K12060" s="1285"/>
      <c r="L12060" s="1285"/>
    </row>
    <row r="12061" spans="1:12" ht="11.15" customHeight="1">
      <c r="A12061" s="29" t="s">
        <v>16074</v>
      </c>
      <c r="B12061" s="59" t="s">
        <v>22664</v>
      </c>
      <c r="C12061" s="147" t="s">
        <v>20221</v>
      </c>
      <c r="D12061" s="701" t="s">
        <v>1129</v>
      </c>
      <c r="E12061" s="178">
        <v>2019</v>
      </c>
      <c r="F12061" s="178" t="s">
        <v>4520</v>
      </c>
      <c r="G12061" s="496"/>
      <c r="H12061" s="994" t="s">
        <v>20221</v>
      </c>
      <c r="I12061" s="11" t="s">
        <v>16075</v>
      </c>
      <c r="J12061" s="1285"/>
      <c r="K12061" s="1285"/>
      <c r="L12061" s="1285"/>
    </row>
    <row r="12062" spans="1:12" ht="11.15" customHeight="1">
      <c r="A12062" s="129" t="s">
        <v>16076</v>
      </c>
      <c r="B12062" s="59" t="s">
        <v>22666</v>
      </c>
      <c r="C12062" s="147" t="s">
        <v>20221</v>
      </c>
      <c r="D12062" s="701" t="s">
        <v>1129</v>
      </c>
      <c r="E12062" s="178">
        <v>2023</v>
      </c>
      <c r="F12062" s="178" t="s">
        <v>4520</v>
      </c>
      <c r="G12062" s="496"/>
      <c r="H12062" s="994" t="s">
        <v>20221</v>
      </c>
      <c r="I12062" s="11" t="s">
        <v>16077</v>
      </c>
      <c r="J12062" s="1285"/>
      <c r="K12062" s="1285"/>
      <c r="L12062" s="1285"/>
    </row>
    <row r="12063" spans="1:12" ht="11.15" customHeight="1">
      <c r="A12063" s="162" t="s">
        <v>16078</v>
      </c>
      <c r="B12063" s="59" t="s">
        <v>22666</v>
      </c>
      <c r="C12063" s="147" t="s">
        <v>20221</v>
      </c>
      <c r="D12063" s="701" t="s">
        <v>1129</v>
      </c>
      <c r="E12063" s="178">
        <v>2022</v>
      </c>
      <c r="F12063" s="178" t="s">
        <v>4520</v>
      </c>
      <c r="G12063" s="496"/>
      <c r="H12063" s="994" t="s">
        <v>20221</v>
      </c>
      <c r="I12063" s="11" t="s">
        <v>16079</v>
      </c>
      <c r="J12063" s="1285"/>
      <c r="K12063" s="1285"/>
      <c r="L12063" s="1285"/>
    </row>
    <row r="12064" spans="1:12" ht="11.15" customHeight="1">
      <c r="A12064" s="162" t="s">
        <v>16080</v>
      </c>
      <c r="B12064" s="59" t="s">
        <v>22666</v>
      </c>
      <c r="C12064" s="147" t="s">
        <v>20221</v>
      </c>
      <c r="D12064" s="701" t="s">
        <v>1129</v>
      </c>
      <c r="E12064" s="178">
        <v>2018</v>
      </c>
      <c r="F12064" s="178" t="s">
        <v>4520</v>
      </c>
      <c r="G12064" s="496"/>
      <c r="H12064" s="994" t="s">
        <v>20221</v>
      </c>
      <c r="I12064" s="11" t="s">
        <v>16081</v>
      </c>
      <c r="J12064" s="1285"/>
      <c r="K12064" s="1285"/>
      <c r="L12064" s="1285"/>
    </row>
    <row r="12065" spans="1:12" ht="11.15" customHeight="1">
      <c r="A12065" s="162" t="s">
        <v>16082</v>
      </c>
      <c r="B12065" s="59" t="s">
        <v>22667</v>
      </c>
      <c r="C12065" s="147" t="s">
        <v>20221</v>
      </c>
      <c r="D12065" s="701" t="s">
        <v>1129</v>
      </c>
      <c r="E12065" s="178">
        <v>2023</v>
      </c>
      <c r="F12065" s="178" t="s">
        <v>4520</v>
      </c>
      <c r="G12065" s="496"/>
      <c r="H12065" s="994" t="s">
        <v>20221</v>
      </c>
      <c r="I12065" s="11" t="s">
        <v>16083</v>
      </c>
      <c r="J12065" s="1285"/>
      <c r="K12065" s="1285"/>
      <c r="L12065" s="1285"/>
    </row>
    <row r="12066" spans="1:12" ht="11.15" customHeight="1">
      <c r="A12066" s="129" t="s">
        <v>15771</v>
      </c>
      <c r="B12066" s="59" t="s">
        <v>22668</v>
      </c>
      <c r="C12066" s="147" t="s">
        <v>20221</v>
      </c>
      <c r="D12066" s="701" t="s">
        <v>1129</v>
      </c>
      <c r="E12066" s="178">
        <v>2022</v>
      </c>
      <c r="F12066" s="178" t="s">
        <v>5257</v>
      </c>
      <c r="G12066" s="496"/>
      <c r="H12066" s="994" t="s">
        <v>20224</v>
      </c>
      <c r="I12066" s="11" t="s">
        <v>16084</v>
      </c>
      <c r="J12066" s="1285"/>
      <c r="K12066" s="1285"/>
      <c r="L12066" s="1285"/>
    </row>
    <row r="12067" spans="1:12" ht="11.15" customHeight="1">
      <c r="A12067" s="162" t="s">
        <v>16085</v>
      </c>
      <c r="B12067" s="59" t="s">
        <v>22668</v>
      </c>
      <c r="C12067" s="147" t="s">
        <v>20221</v>
      </c>
      <c r="D12067" s="701" t="s">
        <v>1129</v>
      </c>
      <c r="E12067" s="178">
        <v>2021</v>
      </c>
      <c r="F12067" s="178" t="s">
        <v>11931</v>
      </c>
      <c r="G12067" s="496"/>
      <c r="H12067" s="994" t="s">
        <v>20224</v>
      </c>
      <c r="I12067" s="11" t="s">
        <v>16086</v>
      </c>
      <c r="J12067" s="1285"/>
      <c r="K12067" s="1285"/>
      <c r="L12067" s="1285"/>
    </row>
    <row r="12068" spans="1:12" ht="11.15" customHeight="1">
      <c r="A12068" s="162" t="s">
        <v>16087</v>
      </c>
      <c r="B12068" s="221" t="s">
        <v>16088</v>
      </c>
      <c r="C12068" s="147"/>
      <c r="D12068" s="159"/>
      <c r="E12068" s="36"/>
      <c r="F12068" s="178"/>
      <c r="G12068" s="496"/>
      <c r="H12068" s="178"/>
      <c r="I12068" s="11"/>
    </row>
    <row r="12069" spans="1:12" ht="11.15" customHeight="1">
      <c r="A12069" s="162" t="s">
        <v>16089</v>
      </c>
      <c r="B12069" s="702" t="s">
        <v>16090</v>
      </c>
      <c r="C12069" s="147"/>
      <c r="D12069" s="159"/>
      <c r="E12069" s="36"/>
      <c r="F12069" s="178"/>
      <c r="G12069" s="496"/>
      <c r="H12069" s="178"/>
      <c r="I12069" s="11"/>
    </row>
    <row r="12070" spans="1:12" ht="11.15" customHeight="1">
      <c r="A12070" s="162" t="s">
        <v>16091</v>
      </c>
      <c r="B12070" s="59" t="s">
        <v>22669</v>
      </c>
      <c r="C12070" s="147" t="s">
        <v>20221</v>
      </c>
      <c r="D12070" s="701" t="s">
        <v>1129</v>
      </c>
      <c r="E12070" s="178">
        <v>2018</v>
      </c>
      <c r="F12070" s="178" t="s">
        <v>7168</v>
      </c>
      <c r="G12070" s="496"/>
      <c r="H12070" s="994" t="s">
        <v>20221</v>
      </c>
      <c r="I12070" s="11" t="s">
        <v>16092</v>
      </c>
      <c r="J12070" s="1285"/>
      <c r="K12070" s="1285"/>
      <c r="L12070" s="1285"/>
    </row>
    <row r="12071" spans="1:12" ht="11.15" customHeight="1">
      <c r="A12071" s="162" t="s">
        <v>16093</v>
      </c>
      <c r="B12071" s="59" t="s">
        <v>22669</v>
      </c>
      <c r="C12071" s="147" t="s">
        <v>20221</v>
      </c>
      <c r="D12071" s="701" t="s">
        <v>1129</v>
      </c>
      <c r="E12071" s="178">
        <v>2017</v>
      </c>
      <c r="F12071" s="178" t="s">
        <v>7168</v>
      </c>
      <c r="G12071" s="496"/>
      <c r="H12071" s="994" t="s">
        <v>20221</v>
      </c>
      <c r="I12071" s="11" t="s">
        <v>16094</v>
      </c>
      <c r="J12071" s="1285"/>
      <c r="K12071" s="1285"/>
      <c r="L12071" s="1285"/>
    </row>
    <row r="12072" spans="1:12" ht="11.15" customHeight="1">
      <c r="A12072" s="291" t="s">
        <v>16095</v>
      </c>
      <c r="B12072" s="59" t="s">
        <v>22669</v>
      </c>
      <c r="C12072" s="147" t="s">
        <v>20221</v>
      </c>
      <c r="D12072" s="701" t="s">
        <v>1129</v>
      </c>
      <c r="E12072" s="178">
        <v>2015</v>
      </c>
      <c r="F12072" s="178" t="s">
        <v>7168</v>
      </c>
      <c r="G12072" s="496"/>
      <c r="H12072" s="994" t="s">
        <v>20221</v>
      </c>
      <c r="I12072" s="11" t="s">
        <v>16096</v>
      </c>
      <c r="J12072" s="1285"/>
      <c r="K12072" s="1285"/>
      <c r="L12072" s="1285"/>
    </row>
    <row r="12073" spans="1:12" ht="11.15" customHeight="1">
      <c r="A12073" s="162" t="s">
        <v>16097</v>
      </c>
      <c r="B12073" s="59" t="s">
        <v>22670</v>
      </c>
      <c r="C12073" s="147" t="s">
        <v>20221</v>
      </c>
      <c r="D12073" s="701" t="s">
        <v>1129</v>
      </c>
      <c r="E12073" s="178">
        <v>2022</v>
      </c>
      <c r="F12073" s="178" t="s">
        <v>4520</v>
      </c>
      <c r="G12073" s="496"/>
      <c r="H12073" s="994" t="s">
        <v>20221</v>
      </c>
      <c r="I12073" s="11" t="s">
        <v>16098</v>
      </c>
      <c r="J12073" s="1285"/>
      <c r="K12073" s="1285"/>
      <c r="L12073" s="1285"/>
    </row>
    <row r="12074" spans="1:12" ht="11.15" customHeight="1">
      <c r="A12074" s="291" t="s">
        <v>16099</v>
      </c>
      <c r="B12074" s="59" t="s">
        <v>22671</v>
      </c>
      <c r="C12074" s="147" t="s">
        <v>20221</v>
      </c>
      <c r="D12074" s="701" t="s">
        <v>1129</v>
      </c>
      <c r="E12074" s="178">
        <v>2022</v>
      </c>
      <c r="F12074" s="178" t="s">
        <v>4520</v>
      </c>
      <c r="G12074" s="496"/>
      <c r="H12074" s="994" t="s">
        <v>20221</v>
      </c>
      <c r="I12074" s="11" t="s">
        <v>16100</v>
      </c>
      <c r="J12074" s="1285"/>
      <c r="K12074" s="1285"/>
      <c r="L12074" s="1285"/>
    </row>
    <row r="12075" spans="1:12" ht="11.15" customHeight="1">
      <c r="A12075" s="162" t="s">
        <v>16101</v>
      </c>
      <c r="B12075" s="59" t="s">
        <v>22671</v>
      </c>
      <c r="C12075" s="147" t="s">
        <v>20221</v>
      </c>
      <c r="D12075" s="701" t="s">
        <v>1129</v>
      </c>
      <c r="E12075" s="178">
        <v>2021</v>
      </c>
      <c r="F12075" s="178" t="s">
        <v>4520</v>
      </c>
      <c r="G12075" s="496"/>
      <c r="H12075" s="994" t="s">
        <v>20224</v>
      </c>
      <c r="I12075" s="11" t="s">
        <v>16102</v>
      </c>
      <c r="J12075" s="1285"/>
      <c r="K12075" s="1285"/>
      <c r="L12075" s="1285"/>
    </row>
    <row r="12076" spans="1:12" ht="11.15" customHeight="1">
      <c r="A12076" s="291" t="s">
        <v>16103</v>
      </c>
      <c r="B12076" s="59" t="s">
        <v>22671</v>
      </c>
      <c r="C12076" s="147" t="s">
        <v>20221</v>
      </c>
      <c r="D12076" s="701" t="s">
        <v>1129</v>
      </c>
      <c r="E12076" s="178">
        <v>2019</v>
      </c>
      <c r="F12076" s="178" t="s">
        <v>4520</v>
      </c>
      <c r="G12076" s="496"/>
      <c r="H12076" s="994" t="s">
        <v>20221</v>
      </c>
      <c r="I12076" s="11" t="s">
        <v>16104</v>
      </c>
      <c r="J12076" s="1285"/>
      <c r="K12076" s="1285"/>
      <c r="L12076" s="1285"/>
    </row>
    <row r="12077" spans="1:12" ht="11.15" customHeight="1">
      <c r="A12077" s="291" t="s">
        <v>16105</v>
      </c>
      <c r="B12077" s="59" t="s">
        <v>22671</v>
      </c>
      <c r="C12077" s="147" t="s">
        <v>20221</v>
      </c>
      <c r="D12077" s="701" t="s">
        <v>1129</v>
      </c>
      <c r="E12077" s="178">
        <v>2017</v>
      </c>
      <c r="F12077" s="178" t="s">
        <v>4520</v>
      </c>
      <c r="G12077" s="496"/>
      <c r="H12077" s="994" t="s">
        <v>20221</v>
      </c>
      <c r="I12077" s="11" t="s">
        <v>16106</v>
      </c>
      <c r="J12077" s="1285"/>
      <c r="K12077" s="1285"/>
      <c r="L12077" s="1285"/>
    </row>
    <row r="12078" spans="1:12" ht="11.15" customHeight="1">
      <c r="A12078" s="291" t="s">
        <v>16107</v>
      </c>
      <c r="B12078" s="59" t="s">
        <v>22671</v>
      </c>
      <c r="C12078" s="147" t="s">
        <v>20221</v>
      </c>
      <c r="D12078" s="701" t="s">
        <v>1129</v>
      </c>
      <c r="E12078" s="178">
        <v>2015</v>
      </c>
      <c r="F12078" s="178" t="s">
        <v>4520</v>
      </c>
      <c r="G12078" s="496"/>
      <c r="H12078" s="994" t="s">
        <v>20221</v>
      </c>
      <c r="I12078" s="11" t="s">
        <v>16108</v>
      </c>
      <c r="J12078" s="1285"/>
      <c r="K12078" s="1285"/>
      <c r="L12078" s="1285"/>
    </row>
    <row r="12079" spans="1:12" ht="11.15" customHeight="1">
      <c r="A12079" s="162" t="s">
        <v>16109</v>
      </c>
      <c r="B12079" s="59" t="s">
        <v>22672</v>
      </c>
      <c r="C12079" s="147" t="s">
        <v>20221</v>
      </c>
      <c r="D12079" s="701" t="s">
        <v>1129</v>
      </c>
      <c r="E12079" s="178">
        <v>2013</v>
      </c>
      <c r="F12079" s="178" t="s">
        <v>4520</v>
      </c>
      <c r="G12079" s="496"/>
      <c r="H12079" s="994" t="s">
        <v>20221</v>
      </c>
      <c r="I12079" s="11" t="s">
        <v>16110</v>
      </c>
      <c r="J12079" s="1285"/>
      <c r="K12079" s="1285"/>
      <c r="L12079" s="1285"/>
    </row>
    <row r="12080" spans="1:12" ht="11.15" customHeight="1">
      <c r="A12080" s="291" t="s">
        <v>16111</v>
      </c>
      <c r="B12080" s="59" t="s">
        <v>22673</v>
      </c>
      <c r="C12080" s="147" t="s">
        <v>20221</v>
      </c>
      <c r="D12080" s="701" t="s">
        <v>1129</v>
      </c>
      <c r="E12080" s="178">
        <v>2013</v>
      </c>
      <c r="F12080" s="178" t="s">
        <v>11931</v>
      </c>
      <c r="G12080" s="496"/>
      <c r="H12080" s="994" t="s">
        <v>20224</v>
      </c>
      <c r="I12080" s="11" t="s">
        <v>16112</v>
      </c>
      <c r="J12080" s="1285"/>
      <c r="K12080" s="1285"/>
      <c r="L12080" s="1285"/>
    </row>
    <row r="12081" spans="1:12" ht="11.15" customHeight="1">
      <c r="A12081" s="291" t="s">
        <v>16113</v>
      </c>
      <c r="B12081" s="154" t="s">
        <v>15925</v>
      </c>
      <c r="C12081" s="147"/>
      <c r="D12081" s="159"/>
      <c r="E12081" s="185"/>
      <c r="F12081" s="185"/>
      <c r="G12081" s="185"/>
      <c r="H12081" s="185"/>
      <c r="I12081" s="11"/>
    </row>
    <row r="12082" spans="1:12" ht="11.15" customHeight="1">
      <c r="A12082" s="291" t="s">
        <v>16114</v>
      </c>
      <c r="B12082" s="59" t="s">
        <v>22674</v>
      </c>
      <c r="C12082" s="147" t="s">
        <v>20221</v>
      </c>
      <c r="D12082" s="701" t="s">
        <v>1129</v>
      </c>
      <c r="E12082" s="178">
        <v>2021</v>
      </c>
      <c r="F12082" s="178" t="s">
        <v>4520</v>
      </c>
      <c r="G12082" s="496"/>
      <c r="H12082" s="994" t="s">
        <v>20221</v>
      </c>
      <c r="I12082" s="11" t="s">
        <v>16115</v>
      </c>
      <c r="J12082" s="1285"/>
      <c r="K12082" s="1285"/>
      <c r="L12082" s="1285"/>
    </row>
    <row r="12083" spans="1:12" ht="11.15" customHeight="1">
      <c r="A12083" s="291" t="s">
        <v>16116</v>
      </c>
      <c r="B12083" s="59" t="s">
        <v>22674</v>
      </c>
      <c r="C12083" s="147" t="s">
        <v>20221</v>
      </c>
      <c r="D12083" s="701" t="s">
        <v>1129</v>
      </c>
      <c r="E12083" s="178">
        <v>2017</v>
      </c>
      <c r="F12083" s="178" t="s">
        <v>4520</v>
      </c>
      <c r="G12083" s="496"/>
      <c r="H12083" s="994" t="s">
        <v>20221</v>
      </c>
      <c r="I12083" s="11" t="s">
        <v>16117</v>
      </c>
      <c r="J12083" s="1285"/>
      <c r="K12083" s="1285"/>
      <c r="L12083" s="1285"/>
    </row>
    <row r="12084" spans="1:12" ht="11.15" customHeight="1">
      <c r="A12084" s="291" t="s">
        <v>16118</v>
      </c>
      <c r="B12084" s="59" t="s">
        <v>22675</v>
      </c>
      <c r="C12084" s="147" t="s">
        <v>20221</v>
      </c>
      <c r="D12084" s="701" t="s">
        <v>1129</v>
      </c>
      <c r="E12084" s="178">
        <v>2022</v>
      </c>
      <c r="F12084" s="178" t="s">
        <v>4520</v>
      </c>
      <c r="G12084" s="496"/>
      <c r="H12084" s="994" t="s">
        <v>20221</v>
      </c>
      <c r="I12084" s="11" t="s">
        <v>16119</v>
      </c>
      <c r="J12084" s="1285"/>
      <c r="K12084" s="1285"/>
      <c r="L12084" s="1285"/>
    </row>
    <row r="12085" spans="1:12" ht="11.15" customHeight="1">
      <c r="A12085" s="291" t="s">
        <v>16120</v>
      </c>
      <c r="B12085" s="59" t="s">
        <v>22676</v>
      </c>
      <c r="C12085" s="147" t="s">
        <v>20221</v>
      </c>
      <c r="D12085" s="701" t="s">
        <v>1129</v>
      </c>
      <c r="E12085" s="178">
        <v>2022</v>
      </c>
      <c r="F12085" s="178" t="s">
        <v>4520</v>
      </c>
      <c r="G12085" s="496"/>
      <c r="H12085" s="994" t="s">
        <v>20221</v>
      </c>
      <c r="I12085" s="11" t="s">
        <v>16121</v>
      </c>
      <c r="J12085" s="1285"/>
      <c r="K12085" s="1285"/>
      <c r="L12085" s="1285"/>
    </row>
    <row r="12086" spans="1:12" ht="11.15" customHeight="1">
      <c r="A12086" s="162" t="s">
        <v>16122</v>
      </c>
      <c r="B12086" s="59" t="s">
        <v>22676</v>
      </c>
      <c r="C12086" s="147" t="s">
        <v>20221</v>
      </c>
      <c r="D12086" s="701" t="s">
        <v>1129</v>
      </c>
      <c r="E12086" s="178">
        <v>2020</v>
      </c>
      <c r="F12086" s="178" t="s">
        <v>4520</v>
      </c>
      <c r="G12086" s="496"/>
      <c r="H12086" s="994" t="s">
        <v>20221</v>
      </c>
      <c r="I12086" s="11" t="s">
        <v>16123</v>
      </c>
      <c r="J12086" s="1285"/>
      <c r="K12086" s="1285"/>
      <c r="L12086" s="1285"/>
    </row>
    <row r="12087" spans="1:12" ht="11.15" customHeight="1">
      <c r="A12087" s="129" t="s">
        <v>3842</v>
      </c>
      <c r="B12087" s="59" t="s">
        <v>22676</v>
      </c>
      <c r="C12087" s="147" t="s">
        <v>20221</v>
      </c>
      <c r="D12087" s="701" t="s">
        <v>1129</v>
      </c>
      <c r="E12087" s="178">
        <v>2019</v>
      </c>
      <c r="F12087" s="178" t="s">
        <v>4520</v>
      </c>
      <c r="G12087" s="496"/>
      <c r="H12087" s="994" t="s">
        <v>20221</v>
      </c>
      <c r="I12087" s="11" t="s">
        <v>16124</v>
      </c>
      <c r="J12087" s="1285"/>
      <c r="K12087" s="1285"/>
      <c r="L12087" s="1285"/>
    </row>
    <row r="12088" spans="1:12" ht="11.15" customHeight="1">
      <c r="A12088" s="162" t="s">
        <v>9435</v>
      </c>
      <c r="B12088" s="59" t="s">
        <v>22677</v>
      </c>
      <c r="C12088" s="147" t="s">
        <v>20221</v>
      </c>
      <c r="D12088" s="701" t="s">
        <v>1129</v>
      </c>
      <c r="E12088" s="178">
        <v>2022</v>
      </c>
      <c r="F12088" s="178" t="s">
        <v>4520</v>
      </c>
      <c r="G12088" s="496"/>
      <c r="H12088" s="994" t="s">
        <v>20224</v>
      </c>
      <c r="I12088" s="11" t="s">
        <v>16125</v>
      </c>
      <c r="J12088" s="1285"/>
      <c r="K12088" s="1285"/>
      <c r="L12088" s="1285"/>
    </row>
    <row r="12089" spans="1:12" ht="11.15" customHeight="1">
      <c r="A12089" s="162" t="s">
        <v>3177</v>
      </c>
      <c r="B12089" s="59" t="s">
        <v>22678</v>
      </c>
      <c r="C12089" s="147" t="s">
        <v>20221</v>
      </c>
      <c r="D12089" s="701" t="s">
        <v>1129</v>
      </c>
      <c r="E12089" s="178">
        <v>2020</v>
      </c>
      <c r="F12089" s="178" t="s">
        <v>4520</v>
      </c>
      <c r="G12089" s="496"/>
      <c r="H12089" s="994" t="s">
        <v>20221</v>
      </c>
      <c r="I12089" s="11" t="s">
        <v>16126</v>
      </c>
      <c r="J12089" s="1285"/>
      <c r="K12089" s="1285"/>
      <c r="L12089" s="1285"/>
    </row>
    <row r="12090" spans="1:12" ht="11.15" customHeight="1">
      <c r="A12090" s="162" t="s">
        <v>16127</v>
      </c>
      <c r="B12090" s="59" t="s">
        <v>22679</v>
      </c>
      <c r="C12090" s="147" t="s">
        <v>20221</v>
      </c>
      <c r="D12090" s="701" t="s">
        <v>1129</v>
      </c>
      <c r="E12090" s="178">
        <v>2022</v>
      </c>
      <c r="F12090" s="178" t="s">
        <v>5257</v>
      </c>
      <c r="G12090" s="496"/>
      <c r="H12090" s="994" t="s">
        <v>20224</v>
      </c>
      <c r="I12090" s="11" t="s">
        <v>16128</v>
      </c>
      <c r="J12090" s="1285"/>
      <c r="K12090" s="1285"/>
      <c r="L12090" s="1285"/>
    </row>
    <row r="12091" spans="1:12" ht="11.15" customHeight="1">
      <c r="A12091" s="162" t="s">
        <v>16129</v>
      </c>
      <c r="B12091" s="59" t="s">
        <v>22680</v>
      </c>
      <c r="C12091" s="147" t="s">
        <v>20221</v>
      </c>
      <c r="D12091" s="701" t="s">
        <v>1129</v>
      </c>
      <c r="E12091" s="178">
        <v>2019</v>
      </c>
      <c r="F12091" s="178" t="s">
        <v>5257</v>
      </c>
      <c r="G12091" s="496"/>
      <c r="H12091" s="994" t="s">
        <v>20224</v>
      </c>
      <c r="I12091" s="11" t="s">
        <v>16130</v>
      </c>
      <c r="J12091" s="1285"/>
      <c r="K12091" s="1285"/>
      <c r="L12091" s="1285"/>
    </row>
    <row r="12092" spans="1:12" ht="11.15" customHeight="1">
      <c r="A12092" s="162" t="s">
        <v>16131</v>
      </c>
      <c r="B12092" s="59" t="s">
        <v>22681</v>
      </c>
      <c r="C12092" s="147" t="s">
        <v>20221</v>
      </c>
      <c r="D12092" s="701" t="s">
        <v>1129</v>
      </c>
      <c r="E12092" s="178">
        <v>2012</v>
      </c>
      <c r="F12092" s="178" t="s">
        <v>9678</v>
      </c>
      <c r="G12092" s="496"/>
      <c r="H12092" s="994" t="s">
        <v>20224</v>
      </c>
      <c r="I12092" s="11" t="s">
        <v>16132</v>
      </c>
      <c r="J12092" s="1285"/>
      <c r="K12092" s="1285"/>
      <c r="L12092" s="1285"/>
    </row>
    <row r="12093" spans="1:12" ht="11.15" customHeight="1">
      <c r="A12093" s="291" t="s">
        <v>16133</v>
      </c>
      <c r="B12093" s="177" t="s">
        <v>16134</v>
      </c>
      <c r="C12093" s="147"/>
      <c r="D12093" s="159"/>
      <c r="E12093" s="36"/>
      <c r="F12093" s="183"/>
      <c r="G12093" s="496"/>
      <c r="H12093" s="34"/>
      <c r="I12093" s="11"/>
    </row>
    <row r="12094" spans="1:12" ht="11.15" customHeight="1">
      <c r="A12094" s="162" t="s">
        <v>16135</v>
      </c>
      <c r="B12094" s="59" t="s">
        <v>22682</v>
      </c>
      <c r="C12094" s="147" t="s">
        <v>20221</v>
      </c>
      <c r="D12094" s="701" t="s">
        <v>1129</v>
      </c>
      <c r="E12094" s="178">
        <v>2020</v>
      </c>
      <c r="F12094" s="178" t="s">
        <v>7168</v>
      </c>
      <c r="G12094" s="496"/>
      <c r="H12094" s="994" t="s">
        <v>20221</v>
      </c>
      <c r="I12094" s="11" t="s">
        <v>16136</v>
      </c>
      <c r="J12094" s="1285"/>
      <c r="K12094" s="1285"/>
      <c r="L12094" s="1285"/>
    </row>
    <row r="12095" spans="1:12" ht="11.15" customHeight="1">
      <c r="A12095" s="291" t="s">
        <v>16137</v>
      </c>
      <c r="B12095" s="59" t="s">
        <v>22682</v>
      </c>
      <c r="C12095" s="147" t="s">
        <v>20221</v>
      </c>
      <c r="D12095" s="701" t="s">
        <v>1129</v>
      </c>
      <c r="E12095" s="178">
        <v>2019</v>
      </c>
      <c r="F12095" s="178" t="s">
        <v>7168</v>
      </c>
      <c r="G12095" s="496"/>
      <c r="H12095" s="994" t="s">
        <v>20221</v>
      </c>
      <c r="I12095" s="11" t="s">
        <v>16138</v>
      </c>
      <c r="J12095" s="1285"/>
      <c r="K12095" s="1285"/>
      <c r="L12095" s="1285"/>
    </row>
    <row r="12096" spans="1:12" ht="11.15" customHeight="1">
      <c r="A12096" s="162" t="s">
        <v>15995</v>
      </c>
      <c r="B12096" s="59" t="s">
        <v>22682</v>
      </c>
      <c r="C12096" s="147" t="s">
        <v>20221</v>
      </c>
      <c r="D12096" s="701" t="s">
        <v>1129</v>
      </c>
      <c r="E12096" s="178">
        <v>2018</v>
      </c>
      <c r="F12096" s="178" t="s">
        <v>7168</v>
      </c>
      <c r="G12096" s="496"/>
      <c r="H12096" s="994" t="s">
        <v>20221</v>
      </c>
      <c r="I12096" s="11" t="s">
        <v>16139</v>
      </c>
      <c r="J12096" s="1285"/>
      <c r="K12096" s="1285"/>
      <c r="L12096" s="1285"/>
    </row>
    <row r="12097" spans="1:12" ht="11.15" customHeight="1">
      <c r="A12097" s="129" t="s">
        <v>16140</v>
      </c>
      <c r="B12097" s="59" t="s">
        <v>22682</v>
      </c>
      <c r="C12097" s="147" t="s">
        <v>20221</v>
      </c>
      <c r="D12097" s="701" t="s">
        <v>1129</v>
      </c>
      <c r="E12097" s="178">
        <v>2017</v>
      </c>
      <c r="F12097" s="178" t="s">
        <v>7168</v>
      </c>
      <c r="G12097" s="496"/>
      <c r="H12097" s="994" t="s">
        <v>20221</v>
      </c>
      <c r="I12097" s="11" t="s">
        <v>16141</v>
      </c>
      <c r="J12097" s="1285"/>
      <c r="K12097" s="1285"/>
      <c r="L12097" s="1285"/>
    </row>
    <row r="12098" spans="1:12" ht="11.15" customHeight="1">
      <c r="A12098" s="162" t="s">
        <v>15839</v>
      </c>
      <c r="B12098" s="59" t="s">
        <v>22683</v>
      </c>
      <c r="C12098" s="147" t="s">
        <v>20221</v>
      </c>
      <c r="D12098" s="701" t="s">
        <v>1129</v>
      </c>
      <c r="E12098" s="178">
        <v>2012</v>
      </c>
      <c r="F12098" s="178" t="s">
        <v>7168</v>
      </c>
      <c r="G12098" s="496"/>
      <c r="H12098" s="994" t="s">
        <v>20221</v>
      </c>
      <c r="I12098" s="11" t="s">
        <v>16142</v>
      </c>
      <c r="J12098" s="1285"/>
      <c r="K12098" s="1285"/>
      <c r="L12098" s="1285"/>
    </row>
    <row r="12099" spans="1:12" ht="11.15" customHeight="1">
      <c r="A12099" s="166" t="s">
        <v>15718</v>
      </c>
      <c r="B12099" s="177" t="s">
        <v>15782</v>
      </c>
      <c r="C12099" s="147"/>
      <c r="D12099" s="159"/>
      <c r="E12099" s="36"/>
      <c r="F12099" s="183"/>
      <c r="G12099" s="496"/>
      <c r="H12099" s="34"/>
      <c r="I12099" s="11"/>
    </row>
    <row r="12100" spans="1:12" ht="11.15" customHeight="1">
      <c r="A12100" s="169" t="s">
        <v>16143</v>
      </c>
      <c r="B12100" s="59" t="s">
        <v>22684</v>
      </c>
      <c r="C12100" s="147" t="s">
        <v>20221</v>
      </c>
      <c r="D12100" s="701" t="s">
        <v>1129</v>
      </c>
      <c r="E12100" s="178">
        <v>2020</v>
      </c>
      <c r="F12100" s="178" t="s">
        <v>4520</v>
      </c>
      <c r="G12100" s="496"/>
      <c r="H12100" s="994" t="s">
        <v>20221</v>
      </c>
      <c r="I12100" s="11" t="s">
        <v>16144</v>
      </c>
      <c r="J12100" s="1285"/>
      <c r="K12100" s="1285"/>
      <c r="L12100" s="1285"/>
    </row>
    <row r="12101" spans="1:12" ht="11.15" customHeight="1">
      <c r="A12101" s="129" t="s">
        <v>16145</v>
      </c>
      <c r="B12101" s="59" t="s">
        <v>22685</v>
      </c>
      <c r="C12101" s="147" t="s">
        <v>20221</v>
      </c>
      <c r="D12101" s="701" t="s">
        <v>1129</v>
      </c>
      <c r="E12101" s="178">
        <v>2020</v>
      </c>
      <c r="F12101" s="178" t="s">
        <v>4520</v>
      </c>
      <c r="G12101" s="496"/>
      <c r="H12101" s="994" t="s">
        <v>20221</v>
      </c>
      <c r="I12101" s="11" t="s">
        <v>16146</v>
      </c>
      <c r="J12101" s="1285"/>
      <c r="K12101" s="1285"/>
      <c r="L12101" s="1285"/>
    </row>
    <row r="12102" spans="1:12" ht="11.15" customHeight="1">
      <c r="A12102" s="129" t="s">
        <v>16147</v>
      </c>
      <c r="B12102" s="59" t="s">
        <v>22686</v>
      </c>
      <c r="C12102" s="147" t="s">
        <v>20221</v>
      </c>
      <c r="D12102" s="701" t="s">
        <v>1129</v>
      </c>
      <c r="E12102" s="178">
        <v>2022</v>
      </c>
      <c r="F12102" s="178" t="s">
        <v>4520</v>
      </c>
      <c r="G12102" s="496"/>
      <c r="H12102" s="994" t="s">
        <v>20221</v>
      </c>
      <c r="I12102" s="11" t="s">
        <v>16148</v>
      </c>
      <c r="J12102" s="1285"/>
      <c r="K12102" s="1285"/>
      <c r="L12102" s="1285"/>
    </row>
    <row r="12103" spans="1:12" ht="11.15" customHeight="1">
      <c r="B12103" s="59" t="s">
        <v>22686</v>
      </c>
      <c r="C12103" s="147" t="s">
        <v>20221</v>
      </c>
      <c r="D12103" s="701" t="s">
        <v>1129</v>
      </c>
      <c r="E12103" s="178">
        <v>2019</v>
      </c>
      <c r="F12103" s="178" t="s">
        <v>4520</v>
      </c>
      <c r="G12103" s="496"/>
      <c r="H12103" s="994" t="s">
        <v>20221</v>
      </c>
      <c r="I12103" s="11" t="s">
        <v>16149</v>
      </c>
      <c r="J12103" s="1285"/>
      <c r="K12103" s="1285"/>
      <c r="L12103" s="1285"/>
    </row>
    <row r="12104" spans="1:12" ht="11.15" customHeight="1">
      <c r="A12104" s="29"/>
      <c r="B12104" s="59" t="s">
        <v>22687</v>
      </c>
      <c r="C12104" s="147" t="s">
        <v>20221</v>
      </c>
      <c r="D12104" s="701" t="s">
        <v>1129</v>
      </c>
      <c r="E12104" s="178">
        <v>2018</v>
      </c>
      <c r="F12104" s="178" t="s">
        <v>4520</v>
      </c>
      <c r="G12104" s="496"/>
      <c r="H12104" s="994" t="s">
        <v>20221</v>
      </c>
      <c r="I12104" s="11" t="s">
        <v>16150</v>
      </c>
      <c r="J12104" s="1285"/>
      <c r="K12104" s="1285"/>
      <c r="L12104" s="1285"/>
    </row>
    <row r="12105" spans="1:12" ht="11.15" customHeight="1">
      <c r="A12105" s="185"/>
      <c r="B12105" s="59" t="s">
        <v>22688</v>
      </c>
      <c r="C12105" s="147" t="s">
        <v>20221</v>
      </c>
      <c r="D12105" s="701" t="s">
        <v>1129</v>
      </c>
      <c r="E12105" s="178">
        <v>2022</v>
      </c>
      <c r="F12105" s="178" t="s">
        <v>5257</v>
      </c>
      <c r="G12105" s="496"/>
      <c r="H12105" s="994" t="s">
        <v>20224</v>
      </c>
      <c r="I12105" s="11" t="s">
        <v>16151</v>
      </c>
      <c r="J12105" s="1285"/>
      <c r="K12105" s="1285"/>
      <c r="L12105" s="1285"/>
    </row>
    <row r="12106" spans="1:12" ht="11.15" customHeight="1">
      <c r="A12106" s="185"/>
      <c r="B12106" s="59" t="s">
        <v>22688</v>
      </c>
      <c r="C12106" s="147" t="s">
        <v>20221</v>
      </c>
      <c r="D12106" s="701" t="s">
        <v>1129</v>
      </c>
      <c r="E12106" s="178">
        <v>2020</v>
      </c>
      <c r="F12106" s="178" t="s">
        <v>5257</v>
      </c>
      <c r="G12106" s="496"/>
      <c r="H12106" s="994" t="s">
        <v>20224</v>
      </c>
      <c r="I12106" s="11" t="s">
        <v>16152</v>
      </c>
      <c r="J12106" s="1285"/>
      <c r="K12106" s="1285"/>
      <c r="L12106" s="1285"/>
    </row>
    <row r="12107" spans="1:12" ht="11.15" customHeight="1">
      <c r="A12107" s="185"/>
      <c r="B12107" s="59" t="s">
        <v>22688</v>
      </c>
      <c r="C12107" s="147" t="s">
        <v>20221</v>
      </c>
      <c r="D12107" s="701" t="s">
        <v>1129</v>
      </c>
      <c r="E12107" s="178">
        <v>2017</v>
      </c>
      <c r="F12107" s="178" t="s">
        <v>9678</v>
      </c>
      <c r="G12107" s="496"/>
      <c r="H12107" s="994" t="s">
        <v>20224</v>
      </c>
      <c r="I12107" s="11" t="s">
        <v>16153</v>
      </c>
      <c r="J12107" s="1285"/>
      <c r="K12107" s="1285"/>
      <c r="L12107" s="1285"/>
    </row>
    <row r="12108" spans="1:12" ht="11.15" customHeight="1">
      <c r="A12108" s="185"/>
      <c r="B12108" s="59" t="s">
        <v>22688</v>
      </c>
      <c r="C12108" s="147" t="s">
        <v>20221</v>
      </c>
      <c r="D12108" s="701" t="s">
        <v>1129</v>
      </c>
      <c r="E12108" s="178">
        <v>2015</v>
      </c>
      <c r="F12108" s="178" t="s">
        <v>9678</v>
      </c>
      <c r="G12108" s="496"/>
      <c r="H12108" s="994" t="s">
        <v>20224</v>
      </c>
      <c r="I12108" s="11" t="s">
        <v>16154</v>
      </c>
      <c r="J12108" s="1285"/>
      <c r="K12108" s="1285"/>
      <c r="L12108" s="1285"/>
    </row>
    <row r="12109" spans="1:12" ht="11.15" customHeight="1">
      <c r="A12109" s="185"/>
      <c r="B12109" s="177" t="s">
        <v>15981</v>
      </c>
      <c r="C12109" s="147"/>
      <c r="D12109" s="159"/>
      <c r="E12109" s="36"/>
      <c r="F12109" s="183"/>
      <c r="G12109" s="496"/>
      <c r="H12109" s="34"/>
      <c r="I12109" s="11"/>
    </row>
    <row r="12110" spans="1:12" ht="11.15" customHeight="1">
      <c r="A12110" s="185"/>
      <c r="B12110" s="59" t="s">
        <v>22689</v>
      </c>
      <c r="C12110" s="147" t="s">
        <v>20221</v>
      </c>
      <c r="D12110" s="739" t="s">
        <v>1410</v>
      </c>
      <c r="E12110" s="178">
        <v>2019</v>
      </c>
      <c r="F12110" s="178" t="s">
        <v>7168</v>
      </c>
      <c r="G12110" s="496"/>
      <c r="H12110" s="994" t="s">
        <v>20221</v>
      </c>
      <c r="I12110" s="11" t="s">
        <v>16155</v>
      </c>
      <c r="J12110" s="1285"/>
      <c r="K12110" s="1285"/>
      <c r="L12110" s="1285"/>
    </row>
    <row r="12111" spans="1:12" ht="11.15" customHeight="1">
      <c r="A12111" s="185"/>
      <c r="B12111" s="59" t="s">
        <v>22689</v>
      </c>
      <c r="C12111" s="147" t="s">
        <v>20221</v>
      </c>
      <c r="D12111" s="739" t="s">
        <v>1410</v>
      </c>
      <c r="E12111" s="178">
        <v>2015</v>
      </c>
      <c r="F12111" s="178" t="s">
        <v>7168</v>
      </c>
      <c r="G12111" s="496"/>
      <c r="H12111" s="994" t="s">
        <v>20221</v>
      </c>
      <c r="I12111" s="11" t="s">
        <v>16156</v>
      </c>
      <c r="J12111" s="1285"/>
      <c r="K12111" s="1285"/>
      <c r="L12111" s="1285"/>
    </row>
    <row r="12112" spans="1:12" ht="11.15" customHeight="1">
      <c r="A12112" s="185"/>
      <c r="B12112" s="59" t="s">
        <v>22690</v>
      </c>
      <c r="C12112" s="147" t="s">
        <v>20221</v>
      </c>
      <c r="D12112" s="739" t="s">
        <v>1410</v>
      </c>
      <c r="E12112" s="178">
        <v>2009</v>
      </c>
      <c r="F12112" s="178" t="s">
        <v>7168</v>
      </c>
      <c r="G12112" s="496"/>
      <c r="H12112" s="994" t="s">
        <v>20221</v>
      </c>
      <c r="I12112" s="11" t="s">
        <v>16157</v>
      </c>
      <c r="J12112" s="1285"/>
      <c r="K12112" s="1285"/>
      <c r="L12112" s="1285"/>
    </row>
    <row r="12113" spans="1:12" ht="11.15" customHeight="1">
      <c r="A12113" s="185"/>
      <c r="B12113" s="59" t="s">
        <v>22691</v>
      </c>
      <c r="C12113" s="147" t="s">
        <v>20221</v>
      </c>
      <c r="D12113" s="739" t="s">
        <v>1410</v>
      </c>
      <c r="E12113" s="178">
        <v>2012</v>
      </c>
      <c r="F12113" s="178" t="s">
        <v>7168</v>
      </c>
      <c r="G12113" s="496"/>
      <c r="H12113" s="994" t="s">
        <v>20221</v>
      </c>
      <c r="I12113" s="11" t="s">
        <v>16158</v>
      </c>
      <c r="J12113" s="1285"/>
      <c r="K12113" s="1285"/>
      <c r="L12113" s="1285"/>
    </row>
    <row r="12114" spans="1:12" ht="11.15" customHeight="1">
      <c r="A12114" s="185"/>
      <c r="B12114" s="177" t="s">
        <v>15408</v>
      </c>
      <c r="C12114" s="147"/>
      <c r="D12114" s="159"/>
      <c r="E12114" s="36"/>
      <c r="F12114" s="183"/>
      <c r="G12114" s="496"/>
      <c r="H12114" s="183"/>
      <c r="I12114" s="11"/>
    </row>
    <row r="12115" spans="1:12" ht="11.15" customHeight="1">
      <c r="A12115" s="185"/>
      <c r="B12115" s="59" t="s">
        <v>22692</v>
      </c>
      <c r="C12115" s="147" t="s">
        <v>20221</v>
      </c>
      <c r="D12115" s="739" t="s">
        <v>1410</v>
      </c>
      <c r="E12115" s="178">
        <v>2019</v>
      </c>
      <c r="F12115" s="178" t="s">
        <v>4520</v>
      </c>
      <c r="G12115" s="496"/>
      <c r="H12115" s="994" t="s">
        <v>20221</v>
      </c>
      <c r="I12115" s="11" t="s">
        <v>16159</v>
      </c>
      <c r="J12115" s="1285"/>
      <c r="K12115" s="1285"/>
      <c r="L12115" s="1285"/>
    </row>
    <row r="12116" spans="1:12" ht="11.15" customHeight="1">
      <c r="A12116" s="79"/>
      <c r="B12116" s="59" t="s">
        <v>22692</v>
      </c>
      <c r="C12116" s="147" t="s">
        <v>20221</v>
      </c>
      <c r="D12116" s="739" t="s">
        <v>1410</v>
      </c>
      <c r="E12116" s="178">
        <v>2009</v>
      </c>
      <c r="F12116" s="178" t="s">
        <v>4520</v>
      </c>
      <c r="G12116" s="496"/>
      <c r="H12116" s="994" t="s">
        <v>20221</v>
      </c>
      <c r="I12116" s="11" t="s">
        <v>16160</v>
      </c>
      <c r="J12116" s="1285"/>
      <c r="K12116" s="1285"/>
      <c r="L12116" s="1285"/>
    </row>
    <row r="12117" spans="1:12" ht="11.15" customHeight="1">
      <c r="A12117" s="185"/>
      <c r="B12117" s="59" t="s">
        <v>22693</v>
      </c>
      <c r="C12117" s="147" t="s">
        <v>20221</v>
      </c>
      <c r="D12117" s="739" t="s">
        <v>1410</v>
      </c>
      <c r="E12117" s="178">
        <v>2019</v>
      </c>
      <c r="F12117" s="178" t="s">
        <v>4520</v>
      </c>
      <c r="G12117" s="496"/>
      <c r="H12117" s="994" t="s">
        <v>20221</v>
      </c>
      <c r="I12117" s="11" t="s">
        <v>16161</v>
      </c>
      <c r="J12117" s="1285"/>
      <c r="K12117" s="1285"/>
      <c r="L12117" s="1285"/>
    </row>
    <row r="12118" spans="1:12" ht="11.15" customHeight="1">
      <c r="A12118" s="185"/>
      <c r="B12118" s="59" t="s">
        <v>22694</v>
      </c>
      <c r="C12118" s="147" t="s">
        <v>20221</v>
      </c>
      <c r="D12118" s="739" t="s">
        <v>1410</v>
      </c>
      <c r="E12118" s="178">
        <v>2015</v>
      </c>
      <c r="F12118" s="178" t="s">
        <v>9678</v>
      </c>
      <c r="G12118" s="496"/>
      <c r="H12118" s="994" t="s">
        <v>20224</v>
      </c>
      <c r="I12118" s="11" t="s">
        <v>16162</v>
      </c>
      <c r="J12118" s="1285"/>
      <c r="K12118" s="1285"/>
      <c r="L12118" s="1285"/>
    </row>
    <row r="12119" spans="1:12" ht="11.15" customHeight="1">
      <c r="A12119" s="185"/>
      <c r="B12119" s="177" t="s">
        <v>16163</v>
      </c>
      <c r="C12119" s="147"/>
      <c r="D12119" s="129"/>
      <c r="E12119" s="185"/>
      <c r="F12119" s="185"/>
      <c r="G12119" s="185"/>
      <c r="H12119" s="185"/>
      <c r="I12119" s="11"/>
    </row>
    <row r="12120" spans="1:12" ht="11.15" customHeight="1">
      <c r="A12120" s="185"/>
      <c r="B12120" s="59" t="s">
        <v>22695</v>
      </c>
      <c r="C12120" s="147" t="s">
        <v>20221</v>
      </c>
      <c r="D12120" s="739" t="s">
        <v>1410</v>
      </c>
      <c r="E12120" s="178">
        <v>2018</v>
      </c>
      <c r="F12120" s="178" t="s">
        <v>7168</v>
      </c>
      <c r="G12120" s="496"/>
      <c r="H12120" s="994" t="s">
        <v>20221</v>
      </c>
      <c r="I12120" s="11" t="s">
        <v>16164</v>
      </c>
      <c r="J12120" s="1285"/>
      <c r="K12120" s="1285"/>
      <c r="L12120" s="1285"/>
    </row>
    <row r="12121" spans="1:12" ht="11.15" customHeight="1">
      <c r="A12121" s="185"/>
      <c r="B12121" s="59" t="s">
        <v>22696</v>
      </c>
      <c r="C12121" s="147" t="s">
        <v>20221</v>
      </c>
      <c r="D12121" s="739" t="s">
        <v>1410</v>
      </c>
      <c r="E12121" s="178">
        <v>2015</v>
      </c>
      <c r="F12121" s="178" t="s">
        <v>23400</v>
      </c>
      <c r="G12121" s="496"/>
      <c r="H12121" s="994" t="s">
        <v>20221</v>
      </c>
      <c r="I12121" s="11" t="s">
        <v>16165</v>
      </c>
      <c r="J12121" s="1285"/>
      <c r="K12121" s="1285"/>
      <c r="L12121" s="1285"/>
    </row>
    <row r="12122" spans="1:12" ht="11.15" customHeight="1">
      <c r="A12122" s="185"/>
      <c r="B12122" s="59" t="s">
        <v>22697</v>
      </c>
      <c r="C12122" s="147" t="s">
        <v>20221</v>
      </c>
      <c r="D12122" s="739" t="s">
        <v>1410</v>
      </c>
      <c r="E12122" s="178">
        <v>2012</v>
      </c>
      <c r="F12122" s="178" t="s">
        <v>7168</v>
      </c>
      <c r="G12122" s="496"/>
      <c r="H12122" s="994" t="s">
        <v>20221</v>
      </c>
      <c r="I12122" s="11" t="s">
        <v>16166</v>
      </c>
      <c r="J12122" s="1285"/>
      <c r="K12122" s="1285"/>
      <c r="L12122" s="1285"/>
    </row>
    <row r="12123" spans="1:12" ht="11.15" customHeight="1">
      <c r="A12123" s="185"/>
      <c r="B12123" s="59" t="s">
        <v>22698</v>
      </c>
      <c r="C12123" s="147" t="s">
        <v>20221</v>
      </c>
      <c r="D12123" s="739" t="s">
        <v>1410</v>
      </c>
      <c r="E12123" s="178">
        <v>2006</v>
      </c>
      <c r="F12123" s="178" t="s">
        <v>7168</v>
      </c>
      <c r="G12123" s="496"/>
      <c r="H12123" s="994" t="s">
        <v>20221</v>
      </c>
      <c r="I12123" s="11" t="s">
        <v>16167</v>
      </c>
      <c r="J12123" s="1285"/>
      <c r="K12123" s="1285"/>
      <c r="L12123" s="1285"/>
    </row>
    <row r="12124" spans="1:12" ht="11.15" customHeight="1">
      <c r="A12124" s="185"/>
      <c r="B12124" s="59" t="s">
        <v>22699</v>
      </c>
      <c r="C12124" s="147" t="s">
        <v>20221</v>
      </c>
      <c r="D12124" s="739" t="s">
        <v>1410</v>
      </c>
      <c r="E12124" s="178">
        <v>2018</v>
      </c>
      <c r="F12124" s="178" t="s">
        <v>7168</v>
      </c>
      <c r="G12124" s="496"/>
      <c r="H12124" s="994" t="s">
        <v>20221</v>
      </c>
      <c r="I12124" s="11" t="s">
        <v>16168</v>
      </c>
      <c r="J12124" s="1285"/>
      <c r="K12124" s="1285"/>
      <c r="L12124" s="1285"/>
    </row>
    <row r="12125" spans="1:12" ht="11.15" customHeight="1">
      <c r="A12125" s="185"/>
      <c r="B12125" s="59" t="s">
        <v>22700</v>
      </c>
      <c r="C12125" s="147" t="s">
        <v>20221</v>
      </c>
      <c r="D12125" s="739" t="s">
        <v>1410</v>
      </c>
      <c r="E12125" s="178">
        <v>2015</v>
      </c>
      <c r="F12125" s="178" t="s">
        <v>23400</v>
      </c>
      <c r="G12125" s="496"/>
      <c r="H12125" s="994" t="s">
        <v>20221</v>
      </c>
      <c r="I12125" s="11" t="s">
        <v>16169</v>
      </c>
      <c r="J12125" s="1285"/>
      <c r="K12125" s="1285"/>
      <c r="L12125" s="1285"/>
    </row>
    <row r="12126" spans="1:12" ht="11.15" customHeight="1">
      <c r="A12126" s="185"/>
      <c r="B12126" s="59" t="s">
        <v>22701</v>
      </c>
      <c r="C12126" s="147" t="s">
        <v>20221</v>
      </c>
      <c r="D12126" s="739" t="s">
        <v>1410</v>
      </c>
      <c r="E12126" s="178">
        <v>2011</v>
      </c>
      <c r="F12126" s="178" t="s">
        <v>23400</v>
      </c>
      <c r="G12126" s="496"/>
      <c r="H12126" s="994" t="s">
        <v>20224</v>
      </c>
      <c r="I12126" s="11" t="s">
        <v>16170</v>
      </c>
      <c r="J12126" s="1285"/>
      <c r="K12126" s="1285"/>
      <c r="L12126" s="1285"/>
    </row>
    <row r="12127" spans="1:12" ht="11.15" customHeight="1">
      <c r="A12127" s="185"/>
      <c r="B12127" s="59" t="s">
        <v>22702</v>
      </c>
      <c r="C12127" s="147" t="s">
        <v>20221</v>
      </c>
      <c r="D12127" s="739" t="s">
        <v>1410</v>
      </c>
      <c r="E12127" s="178">
        <v>2010</v>
      </c>
      <c r="F12127" s="178" t="s">
        <v>7168</v>
      </c>
      <c r="G12127" s="496"/>
      <c r="H12127" s="994" t="s">
        <v>20221</v>
      </c>
      <c r="I12127" s="11" t="s">
        <v>16171</v>
      </c>
      <c r="J12127" s="1285"/>
      <c r="K12127" s="1285"/>
      <c r="L12127" s="1285"/>
    </row>
    <row r="12128" spans="1:12" ht="11.15" customHeight="1">
      <c r="A12128" s="185"/>
      <c r="B12128" s="59" t="s">
        <v>22703</v>
      </c>
      <c r="C12128" s="147" t="s">
        <v>20221</v>
      </c>
      <c r="D12128" s="739" t="s">
        <v>1410</v>
      </c>
      <c r="E12128" s="178">
        <v>2010</v>
      </c>
      <c r="F12128" s="178" t="s">
        <v>7168</v>
      </c>
      <c r="G12128" s="496"/>
      <c r="H12128" s="994" t="s">
        <v>20224</v>
      </c>
      <c r="I12128" s="11" t="s">
        <v>16172</v>
      </c>
      <c r="J12128" s="1285"/>
      <c r="K12128" s="1285"/>
      <c r="L12128" s="1285"/>
    </row>
    <row r="12129" spans="1:12" ht="11.15" customHeight="1">
      <c r="A12129" s="185"/>
      <c r="B12129" s="59" t="s">
        <v>22704</v>
      </c>
      <c r="C12129" s="147" t="s">
        <v>20221</v>
      </c>
      <c r="D12129" s="739" t="s">
        <v>1410</v>
      </c>
      <c r="E12129" s="178">
        <v>2009</v>
      </c>
      <c r="F12129" s="178" t="s">
        <v>7168</v>
      </c>
      <c r="G12129" s="496"/>
      <c r="H12129" s="994" t="s">
        <v>20221</v>
      </c>
      <c r="I12129" s="11" t="s">
        <v>16173</v>
      </c>
      <c r="J12129" s="1285"/>
      <c r="K12129" s="1285"/>
      <c r="L12129" s="1285"/>
    </row>
    <row r="12130" spans="1:12" ht="11.15" customHeight="1">
      <c r="A12130" s="185"/>
      <c r="B12130" s="59" t="s">
        <v>22705</v>
      </c>
      <c r="C12130" s="147" t="s">
        <v>20221</v>
      </c>
      <c r="D12130" s="739" t="s">
        <v>1410</v>
      </c>
      <c r="E12130" s="178">
        <v>2009</v>
      </c>
      <c r="F12130" s="178" t="s">
        <v>7168</v>
      </c>
      <c r="G12130" s="496"/>
      <c r="H12130" s="994" t="s">
        <v>20221</v>
      </c>
      <c r="I12130" s="11" t="s">
        <v>16174</v>
      </c>
      <c r="J12130" s="1285"/>
      <c r="K12130" s="1285"/>
      <c r="L12130" s="1285"/>
    </row>
    <row r="12131" spans="1:12" ht="11.15" customHeight="1">
      <c r="A12131" s="185"/>
      <c r="B12131" s="59" t="s">
        <v>22706</v>
      </c>
      <c r="C12131" s="147" t="s">
        <v>20221</v>
      </c>
      <c r="D12131" s="739" t="s">
        <v>1410</v>
      </c>
      <c r="E12131" s="178">
        <v>2006</v>
      </c>
      <c r="F12131" s="178" t="s">
        <v>7168</v>
      </c>
      <c r="G12131" s="496"/>
      <c r="H12131" s="994" t="s">
        <v>20224</v>
      </c>
      <c r="I12131" s="11" t="s">
        <v>16175</v>
      </c>
      <c r="J12131" s="1285"/>
      <c r="K12131" s="1285"/>
      <c r="L12131" s="1285"/>
    </row>
    <row r="12132" spans="1:12" ht="11.15" customHeight="1">
      <c r="A12132" s="185"/>
      <c r="B12132" s="177" t="s">
        <v>16176</v>
      </c>
      <c r="C12132" s="147"/>
      <c r="D12132" s="129"/>
      <c r="E12132" s="185"/>
      <c r="F12132" s="185"/>
      <c r="G12132" s="185"/>
      <c r="H12132" s="185"/>
      <c r="I12132" s="11"/>
    </row>
    <row r="12133" spans="1:12" ht="11.15" customHeight="1">
      <c r="A12133" s="185"/>
      <c r="B12133" s="59" t="s">
        <v>22707</v>
      </c>
      <c r="C12133" s="147" t="s">
        <v>20221</v>
      </c>
      <c r="D12133" s="739" t="s">
        <v>1410</v>
      </c>
      <c r="E12133" s="178">
        <v>2018</v>
      </c>
      <c r="F12133" s="178" t="s">
        <v>4520</v>
      </c>
      <c r="G12133" s="496"/>
      <c r="H12133" s="994" t="s">
        <v>20221</v>
      </c>
      <c r="I12133" s="11" t="s">
        <v>16177</v>
      </c>
      <c r="J12133" s="1285"/>
      <c r="K12133" s="1285"/>
      <c r="L12133" s="1285"/>
    </row>
    <row r="12134" spans="1:12" ht="11.15" customHeight="1">
      <c r="A12134" s="738"/>
      <c r="B12134" s="59" t="s">
        <v>22708</v>
      </c>
      <c r="C12134" s="147" t="s">
        <v>20221</v>
      </c>
      <c r="D12134" s="739" t="s">
        <v>1410</v>
      </c>
      <c r="E12134" s="178">
        <v>2015</v>
      </c>
      <c r="F12134" s="178" t="s">
        <v>4520</v>
      </c>
      <c r="G12134" s="496"/>
      <c r="H12134" s="994" t="s">
        <v>20221</v>
      </c>
      <c r="I12134" s="11" t="s">
        <v>16178</v>
      </c>
      <c r="J12134" s="1285"/>
      <c r="K12134" s="1285"/>
      <c r="L12134" s="1285"/>
    </row>
    <row r="12135" spans="1:12" ht="11.15" customHeight="1">
      <c r="A12135" s="738"/>
      <c r="B12135" s="59" t="s">
        <v>22709</v>
      </c>
      <c r="C12135" s="147" t="s">
        <v>20221</v>
      </c>
      <c r="D12135" s="739" t="s">
        <v>1410</v>
      </c>
      <c r="E12135" s="178">
        <v>2012</v>
      </c>
      <c r="F12135" s="178" t="s">
        <v>4520</v>
      </c>
      <c r="G12135" s="496"/>
      <c r="H12135" s="994" t="s">
        <v>20221</v>
      </c>
      <c r="I12135" s="11" t="s">
        <v>16179</v>
      </c>
      <c r="J12135" s="1285"/>
      <c r="K12135" s="1285"/>
      <c r="L12135" s="1285"/>
    </row>
    <row r="12136" spans="1:12" ht="11.15" customHeight="1">
      <c r="A12136" s="738"/>
      <c r="B12136" s="59" t="s">
        <v>22710</v>
      </c>
      <c r="C12136" s="147" t="s">
        <v>20221</v>
      </c>
      <c r="D12136" s="739" t="s">
        <v>1410</v>
      </c>
      <c r="E12136" s="178">
        <v>2006</v>
      </c>
      <c r="F12136" s="178" t="s">
        <v>23395</v>
      </c>
      <c r="G12136" s="496"/>
      <c r="H12136" s="994" t="s">
        <v>20221</v>
      </c>
      <c r="I12136" s="11" t="s">
        <v>16180</v>
      </c>
      <c r="J12136" s="1285"/>
      <c r="K12136" s="1285"/>
      <c r="L12136" s="1285"/>
    </row>
    <row r="12137" spans="1:12" ht="11.15" customHeight="1">
      <c r="A12137" s="738"/>
      <c r="B12137" s="59" t="s">
        <v>22711</v>
      </c>
      <c r="C12137" s="147" t="s">
        <v>20221</v>
      </c>
      <c r="D12137" s="739" t="s">
        <v>1410</v>
      </c>
      <c r="E12137" s="178">
        <v>2005</v>
      </c>
      <c r="F12137" s="178" t="s">
        <v>23395</v>
      </c>
      <c r="G12137" s="496"/>
      <c r="H12137" s="994" t="s">
        <v>20277</v>
      </c>
      <c r="I12137" s="11" t="s">
        <v>16181</v>
      </c>
      <c r="J12137" s="1285"/>
      <c r="K12137" s="1285"/>
      <c r="L12137" s="1285"/>
    </row>
    <row r="12138" spans="1:12" ht="11.15" customHeight="1">
      <c r="A12138" s="738"/>
      <c r="B12138" s="59" t="s">
        <v>22712</v>
      </c>
      <c r="C12138" s="147" t="s">
        <v>20221</v>
      </c>
      <c r="D12138" s="739" t="s">
        <v>1410</v>
      </c>
      <c r="E12138" s="178">
        <v>2018</v>
      </c>
      <c r="F12138" s="178" t="s">
        <v>4520</v>
      </c>
      <c r="G12138" s="496"/>
      <c r="H12138" s="994" t="s">
        <v>20221</v>
      </c>
      <c r="I12138" s="11" t="s">
        <v>16182</v>
      </c>
      <c r="J12138" s="1285"/>
      <c r="K12138" s="1285"/>
      <c r="L12138" s="1285"/>
    </row>
    <row r="12139" spans="1:12" ht="11.15" customHeight="1">
      <c r="A12139" s="738"/>
      <c r="B12139" s="59" t="s">
        <v>22713</v>
      </c>
      <c r="C12139" s="147" t="s">
        <v>20221</v>
      </c>
      <c r="D12139" s="739" t="s">
        <v>1410</v>
      </c>
      <c r="E12139" s="178">
        <v>2015</v>
      </c>
      <c r="F12139" s="178" t="s">
        <v>4520</v>
      </c>
      <c r="G12139" s="496"/>
      <c r="H12139" s="994" t="s">
        <v>20221</v>
      </c>
      <c r="I12139" s="11" t="s">
        <v>16183</v>
      </c>
      <c r="J12139" s="1285"/>
      <c r="K12139" s="1285"/>
      <c r="L12139" s="1285"/>
    </row>
    <row r="12140" spans="1:12" ht="11.15" customHeight="1">
      <c r="A12140" s="738"/>
      <c r="B12140" s="59" t="s">
        <v>22714</v>
      </c>
      <c r="C12140" s="147" t="s">
        <v>20221</v>
      </c>
      <c r="D12140" s="739" t="s">
        <v>1410</v>
      </c>
      <c r="E12140" s="178">
        <v>2011</v>
      </c>
      <c r="F12140" s="178" t="s">
        <v>4520</v>
      </c>
      <c r="G12140" s="496"/>
      <c r="H12140" s="994" t="s">
        <v>20221</v>
      </c>
      <c r="I12140" s="11" t="s">
        <v>16184</v>
      </c>
      <c r="J12140" s="1285"/>
      <c r="K12140" s="1285"/>
      <c r="L12140" s="1285"/>
    </row>
    <row r="12141" spans="1:12" ht="11.15" customHeight="1">
      <c r="A12141" s="738"/>
      <c r="B12141" s="177" t="s">
        <v>16185</v>
      </c>
      <c r="C12141" s="147"/>
      <c r="D12141" s="182"/>
      <c r="E12141" s="36"/>
      <c r="F12141" s="178"/>
      <c r="G12141" s="496"/>
      <c r="H12141" s="36"/>
      <c r="I12141" s="11"/>
    </row>
    <row r="12142" spans="1:12" ht="11.15" customHeight="1">
      <c r="A12142" s="738"/>
      <c r="B12142" s="59" t="s">
        <v>22715</v>
      </c>
      <c r="C12142" s="147" t="s">
        <v>20221</v>
      </c>
      <c r="D12142" s="739" t="s">
        <v>1410</v>
      </c>
      <c r="E12142" s="178">
        <v>2018</v>
      </c>
      <c r="F12142" s="178" t="s">
        <v>23424</v>
      </c>
      <c r="G12142" s="496"/>
      <c r="H12142" s="994" t="s">
        <v>20224</v>
      </c>
      <c r="I12142" s="11" t="s">
        <v>16186</v>
      </c>
      <c r="J12142" s="1285"/>
      <c r="K12142" s="1285"/>
      <c r="L12142" s="1285"/>
    </row>
    <row r="12143" spans="1:12" ht="11.15" customHeight="1">
      <c r="A12143" s="185"/>
      <c r="B12143" s="59" t="s">
        <v>22716</v>
      </c>
      <c r="C12143" s="147" t="s">
        <v>20221</v>
      </c>
      <c r="D12143" s="739" t="s">
        <v>1410</v>
      </c>
      <c r="E12143" s="178">
        <v>2015</v>
      </c>
      <c r="F12143" s="178" t="s">
        <v>23424</v>
      </c>
      <c r="G12143" s="496"/>
      <c r="H12143" s="994" t="s">
        <v>20224</v>
      </c>
      <c r="I12143" s="11" t="s">
        <v>16187</v>
      </c>
      <c r="J12143" s="1285"/>
      <c r="K12143" s="1285"/>
      <c r="L12143" s="1285"/>
    </row>
    <row r="12144" spans="1:12" ht="11.15" customHeight="1">
      <c r="A12144" s="185"/>
      <c r="B12144" s="177" t="s">
        <v>16188</v>
      </c>
      <c r="C12144" s="147"/>
      <c r="D12144" s="182"/>
      <c r="E12144" s="36"/>
      <c r="F12144" s="178"/>
      <c r="G12144" s="496"/>
      <c r="H12144" s="178"/>
      <c r="I12144" s="11"/>
    </row>
    <row r="12145" spans="1:12" ht="11.15" customHeight="1">
      <c r="A12145" s="185"/>
      <c r="B12145" s="59" t="s">
        <v>22717</v>
      </c>
      <c r="C12145" s="147" t="s">
        <v>20221</v>
      </c>
      <c r="D12145" s="739" t="s">
        <v>1410</v>
      </c>
      <c r="E12145" s="178">
        <v>2012</v>
      </c>
      <c r="F12145" s="178" t="s">
        <v>23400</v>
      </c>
      <c r="G12145" s="496"/>
      <c r="H12145" s="994" t="s">
        <v>20224</v>
      </c>
      <c r="I12145" s="11" t="s">
        <v>16189</v>
      </c>
      <c r="J12145" s="1285"/>
      <c r="K12145" s="1285"/>
      <c r="L12145" s="1285"/>
    </row>
    <row r="12146" spans="1:12" ht="11.15" customHeight="1">
      <c r="A12146" s="185"/>
      <c r="B12146" s="59" t="s">
        <v>22718</v>
      </c>
      <c r="C12146" s="147" t="s">
        <v>20221</v>
      </c>
      <c r="D12146" s="739" t="s">
        <v>1410</v>
      </c>
      <c r="E12146" s="178">
        <v>2009</v>
      </c>
      <c r="F12146" s="178" t="s">
        <v>23424</v>
      </c>
      <c r="G12146" s="496"/>
      <c r="H12146" s="994" t="s">
        <v>20224</v>
      </c>
      <c r="I12146" s="11" t="s">
        <v>16190</v>
      </c>
      <c r="J12146" s="1285"/>
      <c r="K12146" s="1285"/>
      <c r="L12146" s="1285"/>
    </row>
    <row r="12147" spans="1:12" ht="11.15" customHeight="1">
      <c r="A12147" s="185"/>
      <c r="B12147" s="59" t="s">
        <v>22719</v>
      </c>
      <c r="C12147" s="147" t="s">
        <v>20221</v>
      </c>
      <c r="D12147" s="739" t="s">
        <v>1410</v>
      </c>
      <c r="E12147" s="178">
        <v>2010</v>
      </c>
      <c r="F12147" s="178" t="s">
        <v>7168</v>
      </c>
      <c r="G12147" s="496"/>
      <c r="H12147" s="994" t="s">
        <v>20224</v>
      </c>
      <c r="I12147" s="11" t="s">
        <v>16191</v>
      </c>
      <c r="J12147" s="1285"/>
      <c r="K12147" s="1285"/>
      <c r="L12147" s="1285"/>
    </row>
    <row r="12148" spans="1:12" ht="11.15" customHeight="1">
      <c r="A12148" s="185"/>
      <c r="B12148" s="59" t="s">
        <v>22720</v>
      </c>
      <c r="C12148" s="147" t="s">
        <v>20221</v>
      </c>
      <c r="D12148" s="739" t="s">
        <v>1410</v>
      </c>
      <c r="E12148" s="178">
        <v>2009</v>
      </c>
      <c r="F12148" s="178" t="s">
        <v>23394</v>
      </c>
      <c r="G12148" s="496"/>
      <c r="H12148" s="994" t="s">
        <v>20224</v>
      </c>
      <c r="I12148" s="11" t="s">
        <v>16192</v>
      </c>
      <c r="J12148" s="1285"/>
      <c r="K12148" s="1285"/>
      <c r="L12148" s="1285"/>
    </row>
    <row r="12149" spans="1:12" ht="11.15" customHeight="1" thickBot="1">
      <c r="A12149" s="185"/>
      <c r="B12149" s="90"/>
      <c r="C12149" s="147"/>
      <c r="D12149" s="182"/>
      <c r="E12149" s="34"/>
      <c r="F12149" s="178"/>
      <c r="G12149" s="496"/>
      <c r="H12149" s="36"/>
      <c r="I12149" s="11"/>
    </row>
    <row r="12150" spans="1:12" ht="11.15" customHeight="1">
      <c r="A12150" s="674" t="s">
        <v>16193</v>
      </c>
      <c r="B12150" s="154" t="s">
        <v>15770</v>
      </c>
      <c r="C12150" s="147"/>
      <c r="D12150" s="182"/>
      <c r="E12150" s="36"/>
      <c r="F12150" s="178"/>
      <c r="G12150" s="496"/>
      <c r="H12150" s="36"/>
      <c r="I12150" s="11"/>
    </row>
    <row r="12151" spans="1:12" ht="11.15" customHeight="1" thickBot="1">
      <c r="A12151" s="675" t="s">
        <v>16194</v>
      </c>
      <c r="B12151" s="59" t="s">
        <v>22721</v>
      </c>
      <c r="C12151" s="147" t="s">
        <v>20221</v>
      </c>
      <c r="D12151" s="701" t="s">
        <v>1129</v>
      </c>
      <c r="E12151" s="178">
        <v>2022</v>
      </c>
      <c r="F12151" s="178" t="s">
        <v>4520</v>
      </c>
      <c r="G12151" s="496"/>
      <c r="H12151" s="994" t="s">
        <v>20221</v>
      </c>
      <c r="I12151" s="11" t="s">
        <v>16195</v>
      </c>
      <c r="J12151" s="1285"/>
      <c r="K12151" s="1285"/>
      <c r="L12151" s="1285"/>
    </row>
    <row r="12152" spans="1:12" ht="11.15" customHeight="1">
      <c r="A12152" s="451" t="s">
        <v>16196</v>
      </c>
      <c r="B12152" s="59" t="s">
        <v>22722</v>
      </c>
      <c r="C12152" s="147" t="s">
        <v>20221</v>
      </c>
      <c r="D12152" s="701" t="s">
        <v>1129</v>
      </c>
      <c r="E12152" s="178">
        <v>2019</v>
      </c>
      <c r="F12152" s="178" t="s">
        <v>4520</v>
      </c>
      <c r="G12152" s="496"/>
      <c r="H12152" s="994" t="s">
        <v>20221</v>
      </c>
      <c r="I12152" s="11" t="s">
        <v>16197</v>
      </c>
      <c r="J12152" s="1285"/>
      <c r="K12152" s="1285"/>
      <c r="L12152" s="1285"/>
    </row>
    <row r="12153" spans="1:12" ht="11.15" customHeight="1">
      <c r="A12153" s="29" t="s">
        <v>16198</v>
      </c>
      <c r="B12153" s="154" t="s">
        <v>15925</v>
      </c>
      <c r="C12153" s="147"/>
      <c r="D12153" s="159"/>
      <c r="E12153" s="36"/>
      <c r="F12153" s="178"/>
      <c r="G12153" s="496"/>
      <c r="H12153" s="36"/>
      <c r="I12153" s="11"/>
    </row>
    <row r="12154" spans="1:12" ht="11.15" customHeight="1">
      <c r="A12154" s="451" t="s">
        <v>16199</v>
      </c>
      <c r="B12154" s="59" t="s">
        <v>22723</v>
      </c>
      <c r="C12154" s="147" t="s">
        <v>20221</v>
      </c>
      <c r="D12154" s="701" t="s">
        <v>1129</v>
      </c>
      <c r="E12154" s="178">
        <v>2023</v>
      </c>
      <c r="F12154" s="178" t="s">
        <v>4520</v>
      </c>
      <c r="G12154" s="496"/>
      <c r="H12154" s="994" t="s">
        <v>20221</v>
      </c>
      <c r="I12154" s="11" t="s">
        <v>16200</v>
      </c>
      <c r="J12154" s="1285"/>
      <c r="K12154" s="1285"/>
      <c r="L12154" s="1285"/>
    </row>
    <row r="12155" spans="1:12" ht="11.15" customHeight="1">
      <c r="A12155" s="451" t="s">
        <v>16201</v>
      </c>
      <c r="B12155" s="59" t="s">
        <v>22723</v>
      </c>
      <c r="C12155" s="147" t="s">
        <v>20221</v>
      </c>
      <c r="D12155" s="701" t="s">
        <v>1129</v>
      </c>
      <c r="E12155" s="178">
        <v>2022</v>
      </c>
      <c r="F12155" s="178" t="s">
        <v>4520</v>
      </c>
      <c r="G12155" s="496"/>
      <c r="H12155" s="994" t="s">
        <v>20224</v>
      </c>
      <c r="I12155" s="11" t="s">
        <v>16202</v>
      </c>
      <c r="J12155" s="1285"/>
      <c r="K12155" s="1285"/>
      <c r="L12155" s="1285"/>
    </row>
    <row r="12156" spans="1:12" ht="11.15" customHeight="1">
      <c r="A12156" s="451" t="s">
        <v>16203</v>
      </c>
      <c r="B12156" s="59" t="s">
        <v>22724</v>
      </c>
      <c r="C12156" s="147" t="s">
        <v>20221</v>
      </c>
      <c r="D12156" s="701" t="s">
        <v>1129</v>
      </c>
      <c r="E12156" s="178">
        <v>2023</v>
      </c>
      <c r="F12156" s="178" t="s">
        <v>4520</v>
      </c>
      <c r="G12156" s="496"/>
      <c r="H12156" s="994" t="s">
        <v>20221</v>
      </c>
      <c r="I12156" s="11" t="s">
        <v>16204</v>
      </c>
      <c r="J12156" s="1285"/>
      <c r="K12156" s="1285"/>
      <c r="L12156" s="1285"/>
    </row>
    <row r="12157" spans="1:12" ht="11.15" customHeight="1">
      <c r="A12157" s="129" t="s">
        <v>3659</v>
      </c>
      <c r="B12157" s="59" t="s">
        <v>22724</v>
      </c>
      <c r="C12157" s="147" t="s">
        <v>20221</v>
      </c>
      <c r="D12157" s="701" t="s">
        <v>1129</v>
      </c>
      <c r="E12157" s="178">
        <v>2022</v>
      </c>
      <c r="F12157" s="178" t="s">
        <v>4520</v>
      </c>
      <c r="G12157" s="496"/>
      <c r="H12157" s="994" t="s">
        <v>20221</v>
      </c>
      <c r="I12157" s="11" t="s">
        <v>16205</v>
      </c>
      <c r="J12157" s="1285"/>
      <c r="K12157" s="1285"/>
      <c r="L12157" s="1285"/>
    </row>
    <row r="12158" spans="1:12" ht="11.15" customHeight="1">
      <c r="A12158" s="162" t="s">
        <v>9895</v>
      </c>
      <c r="B12158" s="59" t="s">
        <v>22725</v>
      </c>
      <c r="C12158" s="147" t="s">
        <v>20221</v>
      </c>
      <c r="D12158" s="701" t="s">
        <v>1129</v>
      </c>
      <c r="E12158" s="178">
        <v>2023</v>
      </c>
      <c r="F12158" s="178" t="s">
        <v>4520</v>
      </c>
      <c r="G12158" s="496"/>
      <c r="H12158" s="994" t="s">
        <v>20221</v>
      </c>
      <c r="I12158" s="11" t="s">
        <v>16206</v>
      </c>
      <c r="J12158" s="1285"/>
      <c r="K12158" s="1285"/>
      <c r="L12158" s="1285"/>
    </row>
    <row r="12159" spans="1:12" ht="11.15" customHeight="1">
      <c r="A12159" s="162" t="s">
        <v>15826</v>
      </c>
      <c r="B12159" s="59" t="s">
        <v>22726</v>
      </c>
      <c r="C12159" s="147" t="s">
        <v>20221</v>
      </c>
      <c r="D12159" s="701" t="s">
        <v>1129</v>
      </c>
      <c r="E12159" s="178">
        <v>2023</v>
      </c>
      <c r="F12159" s="178" t="s">
        <v>5257</v>
      </c>
      <c r="G12159" s="496"/>
      <c r="H12159" s="994" t="s">
        <v>20224</v>
      </c>
      <c r="I12159" s="11" t="s">
        <v>16207</v>
      </c>
      <c r="J12159" s="1285"/>
      <c r="K12159" s="1285"/>
      <c r="L12159" s="1285"/>
    </row>
    <row r="12160" spans="1:12" ht="11.15" customHeight="1">
      <c r="A12160" s="162" t="s">
        <v>12426</v>
      </c>
      <c r="B12160" s="59" t="s">
        <v>22726</v>
      </c>
      <c r="C12160" s="147" t="s">
        <v>20221</v>
      </c>
      <c r="D12160" s="701" t="s">
        <v>1129</v>
      </c>
      <c r="E12160" s="178">
        <v>2022</v>
      </c>
      <c r="F12160" s="178" t="s">
        <v>5257</v>
      </c>
      <c r="G12160" s="496"/>
      <c r="H12160" s="994" t="s">
        <v>20224</v>
      </c>
      <c r="I12160" s="11" t="s">
        <v>16208</v>
      </c>
      <c r="J12160" s="1285"/>
      <c r="K12160" s="1285"/>
      <c r="L12160" s="1285"/>
    </row>
    <row r="12161" spans="1:12" ht="11.15" customHeight="1">
      <c r="A12161" s="162" t="s">
        <v>15832</v>
      </c>
      <c r="B12161" s="177" t="s">
        <v>15782</v>
      </c>
      <c r="C12161" s="147"/>
      <c r="D12161" s="159"/>
      <c r="E12161" s="185"/>
      <c r="F12161" s="185"/>
      <c r="G12161" s="185"/>
      <c r="H12161" s="185"/>
      <c r="I12161" s="11"/>
    </row>
    <row r="12162" spans="1:12" ht="11.15" customHeight="1">
      <c r="A12162" s="162" t="s">
        <v>16209</v>
      </c>
      <c r="B12162" s="59" t="s">
        <v>22727</v>
      </c>
      <c r="C12162" s="147" t="s">
        <v>20221</v>
      </c>
      <c r="D12162" s="701" t="s">
        <v>1129</v>
      </c>
      <c r="E12162" s="178">
        <v>2023</v>
      </c>
      <c r="F12162" s="178" t="s">
        <v>4520</v>
      </c>
      <c r="G12162" s="496"/>
      <c r="H12162" s="994" t="s">
        <v>20221</v>
      </c>
      <c r="I12162" s="11" t="s">
        <v>16210</v>
      </c>
      <c r="J12162" s="1285"/>
      <c r="K12162" s="1285"/>
      <c r="L12162" s="1285"/>
    </row>
    <row r="12163" spans="1:12" ht="11.15" customHeight="1">
      <c r="A12163" s="129" t="s">
        <v>16140</v>
      </c>
      <c r="B12163" s="59" t="s">
        <v>22727</v>
      </c>
      <c r="C12163" s="147" t="s">
        <v>20221</v>
      </c>
      <c r="D12163" s="701" t="s">
        <v>1129</v>
      </c>
      <c r="E12163" s="178">
        <v>2022</v>
      </c>
      <c r="F12163" s="178" t="s">
        <v>4520</v>
      </c>
      <c r="G12163" s="496"/>
      <c r="H12163" s="994" t="s">
        <v>20221</v>
      </c>
      <c r="I12163" s="11" t="s">
        <v>16211</v>
      </c>
      <c r="J12163" s="1285"/>
      <c r="K12163" s="1285"/>
      <c r="L12163" s="1285"/>
    </row>
    <row r="12164" spans="1:12" ht="11.15" customHeight="1">
      <c r="A12164" s="162" t="s">
        <v>16212</v>
      </c>
      <c r="B12164" s="59" t="s">
        <v>22727</v>
      </c>
      <c r="C12164" s="147" t="s">
        <v>20221</v>
      </c>
      <c r="D12164" s="701" t="s">
        <v>1129</v>
      </c>
      <c r="E12164" s="178">
        <v>2020</v>
      </c>
      <c r="F12164" s="178" t="s">
        <v>4520</v>
      </c>
      <c r="G12164" s="496"/>
      <c r="H12164" s="994" t="s">
        <v>20221</v>
      </c>
      <c r="I12164" s="11" t="s">
        <v>16213</v>
      </c>
      <c r="J12164" s="1285"/>
      <c r="K12164" s="1285"/>
      <c r="L12164" s="1285"/>
    </row>
    <row r="12165" spans="1:12" ht="11.15" customHeight="1">
      <c r="A12165" s="166" t="s">
        <v>15718</v>
      </c>
      <c r="B12165" s="59" t="s">
        <v>22728</v>
      </c>
      <c r="C12165" s="147" t="s">
        <v>20221</v>
      </c>
      <c r="D12165" s="701" t="s">
        <v>1129</v>
      </c>
      <c r="E12165" s="178">
        <v>2017</v>
      </c>
      <c r="F12165" s="178" t="s">
        <v>4520</v>
      </c>
      <c r="G12165" s="496"/>
      <c r="H12165" s="994" t="s">
        <v>20221</v>
      </c>
      <c r="I12165" s="11" t="s">
        <v>16214</v>
      </c>
      <c r="J12165" s="1285"/>
      <c r="K12165" s="1285"/>
      <c r="L12165" s="1285"/>
    </row>
    <row r="12166" spans="1:12" ht="11.15" customHeight="1">
      <c r="A12166" s="169" t="s">
        <v>16215</v>
      </c>
      <c r="B12166" s="59" t="s">
        <v>22728</v>
      </c>
      <c r="C12166" s="147" t="s">
        <v>20221</v>
      </c>
      <c r="D12166" s="701" t="s">
        <v>1129</v>
      </c>
      <c r="E12166" s="178">
        <v>2016</v>
      </c>
      <c r="F12166" s="178" t="s">
        <v>4520</v>
      </c>
      <c r="G12166" s="496"/>
      <c r="H12166" s="994" t="s">
        <v>20221</v>
      </c>
      <c r="I12166" s="11" t="s">
        <v>16216</v>
      </c>
      <c r="J12166" s="1285"/>
      <c r="K12166" s="1285"/>
      <c r="L12166" s="1285"/>
    </row>
    <row r="12167" spans="1:12" ht="11.15" customHeight="1">
      <c r="A12167" s="129" t="s">
        <v>16217</v>
      </c>
      <c r="B12167" s="59" t="s">
        <v>22728</v>
      </c>
      <c r="C12167" s="147" t="s">
        <v>20221</v>
      </c>
      <c r="D12167" s="701" t="s">
        <v>1129</v>
      </c>
      <c r="E12167" s="178">
        <v>2015</v>
      </c>
      <c r="F12167" s="178" t="s">
        <v>4520</v>
      </c>
      <c r="G12167" s="496"/>
      <c r="H12167" s="994" t="s">
        <v>20224</v>
      </c>
      <c r="I12167" s="11" t="s">
        <v>16218</v>
      </c>
      <c r="J12167" s="1285"/>
      <c r="K12167" s="1285"/>
      <c r="L12167" s="1285"/>
    </row>
    <row r="12168" spans="1:12" ht="11.15" customHeight="1">
      <c r="A12168" s="129" t="s">
        <v>16219</v>
      </c>
      <c r="B12168" s="59" t="s">
        <v>22727</v>
      </c>
      <c r="C12168" s="147" t="s">
        <v>20221</v>
      </c>
      <c r="D12168" s="701" t="s">
        <v>1129</v>
      </c>
      <c r="E12168" s="178">
        <v>2014</v>
      </c>
      <c r="F12168" s="178" t="s">
        <v>4520</v>
      </c>
      <c r="G12168" s="496"/>
      <c r="H12168" s="994" t="s">
        <v>20224</v>
      </c>
      <c r="I12168" s="11" t="s">
        <v>16220</v>
      </c>
      <c r="J12168" s="1285"/>
      <c r="K12168" s="1285"/>
      <c r="L12168" s="1285"/>
    </row>
    <row r="12169" spans="1:12" ht="11.15" customHeight="1">
      <c r="A12169" s="129" t="s">
        <v>16221</v>
      </c>
      <c r="B12169" s="59" t="s">
        <v>22727</v>
      </c>
      <c r="C12169" s="147" t="s">
        <v>20221</v>
      </c>
      <c r="D12169" s="701" t="s">
        <v>1129</v>
      </c>
      <c r="E12169" s="178">
        <v>2013</v>
      </c>
      <c r="F12169" s="178" t="s">
        <v>4520</v>
      </c>
      <c r="G12169" s="496"/>
      <c r="H12169" s="994" t="s">
        <v>20224</v>
      </c>
      <c r="I12169" s="12" t="s">
        <v>16222</v>
      </c>
      <c r="J12169" s="1285"/>
      <c r="K12169" s="1285"/>
      <c r="L12169" s="1285"/>
    </row>
    <row r="12170" spans="1:12" ht="11.15" customHeight="1">
      <c r="B12170" s="59" t="s">
        <v>22729</v>
      </c>
      <c r="C12170" s="147" t="s">
        <v>20221</v>
      </c>
      <c r="D12170" s="701" t="s">
        <v>1129</v>
      </c>
      <c r="E12170" s="178">
        <v>2023</v>
      </c>
      <c r="F12170" s="178" t="s">
        <v>4520</v>
      </c>
      <c r="G12170" s="496"/>
      <c r="H12170" s="994" t="s">
        <v>20224</v>
      </c>
      <c r="I12170" s="11" t="s">
        <v>16223</v>
      </c>
      <c r="J12170" s="1285"/>
      <c r="K12170" s="1285"/>
      <c r="L12170" s="1285"/>
    </row>
    <row r="12171" spans="1:12" ht="11.15" customHeight="1">
      <c r="A12171" s="29"/>
      <c r="B12171" s="59" t="s">
        <v>22729</v>
      </c>
      <c r="C12171" s="147" t="s">
        <v>20221</v>
      </c>
      <c r="D12171" s="701" t="s">
        <v>1129</v>
      </c>
      <c r="E12171" s="178">
        <v>2022</v>
      </c>
      <c r="F12171" s="178" t="s">
        <v>4520</v>
      </c>
      <c r="G12171" s="496"/>
      <c r="H12171" s="994" t="s">
        <v>20221</v>
      </c>
      <c r="I12171" s="11" t="s">
        <v>16224</v>
      </c>
      <c r="J12171" s="1285"/>
      <c r="K12171" s="1285"/>
      <c r="L12171" s="1285"/>
    </row>
    <row r="12172" spans="1:12" ht="11.15" customHeight="1">
      <c r="A12172" s="185"/>
      <c r="B12172" s="59" t="s">
        <v>22729</v>
      </c>
      <c r="C12172" s="147" t="s">
        <v>20221</v>
      </c>
      <c r="D12172" s="701" t="s">
        <v>1129</v>
      </c>
      <c r="E12172" s="178">
        <v>2018</v>
      </c>
      <c r="F12172" s="178" t="s">
        <v>4520</v>
      </c>
      <c r="G12172" s="496"/>
      <c r="H12172" s="994" t="s">
        <v>20221</v>
      </c>
      <c r="I12172" s="11" t="s">
        <v>16225</v>
      </c>
      <c r="J12172" s="1285"/>
      <c r="K12172" s="1285"/>
      <c r="L12172" s="1285"/>
    </row>
    <row r="12173" spans="1:12" ht="11.15" customHeight="1">
      <c r="A12173" s="185"/>
      <c r="B12173" s="59" t="s">
        <v>22729</v>
      </c>
      <c r="C12173" s="147" t="s">
        <v>20221</v>
      </c>
      <c r="D12173" s="701" t="s">
        <v>1129</v>
      </c>
      <c r="E12173" s="178">
        <v>2017</v>
      </c>
      <c r="F12173" s="178" t="s">
        <v>4520</v>
      </c>
      <c r="G12173" s="496"/>
      <c r="H12173" s="994" t="s">
        <v>20224</v>
      </c>
      <c r="I12173" s="11" t="s">
        <v>16226</v>
      </c>
      <c r="J12173" s="1285"/>
      <c r="K12173" s="1285"/>
      <c r="L12173" s="1285"/>
    </row>
    <row r="12174" spans="1:12" ht="11.15" customHeight="1">
      <c r="A12174" s="185"/>
      <c r="B12174" s="59" t="s">
        <v>22730</v>
      </c>
      <c r="C12174" s="147" t="s">
        <v>20221</v>
      </c>
      <c r="D12174" s="701" t="s">
        <v>1129</v>
      </c>
      <c r="E12174" s="178">
        <v>2023</v>
      </c>
      <c r="F12174" s="178" t="s">
        <v>4520</v>
      </c>
      <c r="G12174" s="496"/>
      <c r="H12174" s="994" t="s">
        <v>20221</v>
      </c>
      <c r="I12174" s="11" t="s">
        <v>16227</v>
      </c>
      <c r="J12174" s="1285"/>
      <c r="K12174" s="1285"/>
      <c r="L12174" s="1285"/>
    </row>
    <row r="12175" spans="1:12" ht="11.15" customHeight="1">
      <c r="A12175" s="185"/>
      <c r="B12175" s="59" t="s">
        <v>22730</v>
      </c>
      <c r="C12175" s="147" t="s">
        <v>20221</v>
      </c>
      <c r="D12175" s="701" t="s">
        <v>1129</v>
      </c>
      <c r="E12175" s="178">
        <v>2020</v>
      </c>
      <c r="F12175" s="178" t="s">
        <v>4520</v>
      </c>
      <c r="G12175" s="496"/>
      <c r="H12175" s="994" t="s">
        <v>20221</v>
      </c>
      <c r="I12175" s="11" t="s">
        <v>16228</v>
      </c>
      <c r="J12175" s="1285"/>
      <c r="K12175" s="1285"/>
      <c r="L12175" s="1285"/>
    </row>
    <row r="12176" spans="1:12" ht="11.15" customHeight="1">
      <c r="A12176" s="185"/>
      <c r="B12176" s="59" t="s">
        <v>22730</v>
      </c>
      <c r="C12176" s="147" t="s">
        <v>20221</v>
      </c>
      <c r="D12176" s="701" t="s">
        <v>1129</v>
      </c>
      <c r="E12176" s="178">
        <v>2018</v>
      </c>
      <c r="F12176" s="178" t="s">
        <v>4520</v>
      </c>
      <c r="G12176" s="496"/>
      <c r="H12176" s="994" t="s">
        <v>20221</v>
      </c>
      <c r="I12176" s="11" t="s">
        <v>16229</v>
      </c>
      <c r="J12176" s="1285"/>
      <c r="K12176" s="1285"/>
      <c r="L12176" s="1285"/>
    </row>
    <row r="12177" spans="1:12" ht="11.15" customHeight="1">
      <c r="A12177" s="185"/>
      <c r="B12177" s="59" t="s">
        <v>22730</v>
      </c>
      <c r="C12177" s="147" t="s">
        <v>20221</v>
      </c>
      <c r="D12177" s="701" t="s">
        <v>1129</v>
      </c>
      <c r="E12177" s="178">
        <v>2016</v>
      </c>
      <c r="F12177" s="178" t="s">
        <v>4520</v>
      </c>
      <c r="G12177" s="496"/>
      <c r="H12177" s="994" t="s">
        <v>20221</v>
      </c>
      <c r="I12177" s="11" t="s">
        <v>16230</v>
      </c>
      <c r="J12177" s="1285"/>
      <c r="K12177" s="1285"/>
      <c r="L12177" s="1285"/>
    </row>
    <row r="12178" spans="1:12" ht="11.15" customHeight="1">
      <c r="A12178" s="733"/>
      <c r="B12178" s="59" t="s">
        <v>22731</v>
      </c>
      <c r="C12178" s="147" t="s">
        <v>20221</v>
      </c>
      <c r="D12178" s="701" t="s">
        <v>1129</v>
      </c>
      <c r="E12178" s="178">
        <v>2018</v>
      </c>
      <c r="F12178" s="178" t="s">
        <v>4520</v>
      </c>
      <c r="G12178" s="496"/>
      <c r="H12178" s="994" t="s">
        <v>20224</v>
      </c>
      <c r="I12178" s="11" t="s">
        <v>16231</v>
      </c>
      <c r="J12178" s="1285"/>
      <c r="K12178" s="1285"/>
      <c r="L12178" s="1285"/>
    </row>
    <row r="12179" spans="1:12" ht="11.15" customHeight="1">
      <c r="A12179" s="185"/>
      <c r="B12179" s="59" t="s">
        <v>22732</v>
      </c>
      <c r="C12179" s="147" t="s">
        <v>20221</v>
      </c>
      <c r="D12179" s="701" t="s">
        <v>1129</v>
      </c>
      <c r="E12179" s="178">
        <v>2016</v>
      </c>
      <c r="F12179" s="178" t="s">
        <v>4520</v>
      </c>
      <c r="G12179" s="496"/>
      <c r="H12179" s="994" t="s">
        <v>20221</v>
      </c>
      <c r="I12179" s="11" t="s">
        <v>16232</v>
      </c>
      <c r="J12179" s="1285"/>
      <c r="K12179" s="1285"/>
      <c r="L12179" s="1285"/>
    </row>
    <row r="12180" spans="1:12" ht="11.15" customHeight="1">
      <c r="A12180" s="185"/>
      <c r="B12180" s="59" t="s">
        <v>22733</v>
      </c>
      <c r="C12180" s="147" t="s">
        <v>20221</v>
      </c>
      <c r="D12180" s="701" t="s">
        <v>1129</v>
      </c>
      <c r="E12180" s="178">
        <v>2020</v>
      </c>
      <c r="F12180" s="178" t="s">
        <v>5257</v>
      </c>
      <c r="G12180" s="496"/>
      <c r="H12180" s="994" t="s">
        <v>20224</v>
      </c>
      <c r="I12180" s="11" t="s">
        <v>16233</v>
      </c>
      <c r="J12180" s="1285"/>
      <c r="K12180" s="1285"/>
      <c r="L12180" s="1285"/>
    </row>
    <row r="12181" spans="1:12" ht="11.15" customHeight="1">
      <c r="A12181" s="733"/>
      <c r="B12181" s="177" t="s">
        <v>15981</v>
      </c>
      <c r="C12181" s="147"/>
      <c r="D12181" s="159"/>
      <c r="E12181" s="36"/>
      <c r="F12181" s="178"/>
      <c r="G12181" s="496"/>
      <c r="H12181" s="36"/>
      <c r="I12181" s="11"/>
    </row>
    <row r="12182" spans="1:12" ht="11.15" customHeight="1">
      <c r="A12182" s="737"/>
      <c r="B12182" s="59" t="s">
        <v>22734</v>
      </c>
      <c r="C12182" s="147" t="s">
        <v>20221</v>
      </c>
      <c r="D12182" s="739" t="s">
        <v>1410</v>
      </c>
      <c r="E12182" s="178">
        <v>2016</v>
      </c>
      <c r="F12182" s="178" t="s">
        <v>7168</v>
      </c>
      <c r="G12182" s="496"/>
      <c r="H12182" s="994" t="s">
        <v>20221</v>
      </c>
      <c r="I12182" s="11" t="s">
        <v>16234</v>
      </c>
      <c r="J12182" s="1285"/>
      <c r="K12182" s="1285"/>
      <c r="L12182" s="1285"/>
    </row>
    <row r="12183" spans="1:12" ht="11.15" customHeight="1">
      <c r="A12183" s="737"/>
      <c r="B12183" s="59" t="s">
        <v>22734</v>
      </c>
      <c r="C12183" s="147" t="s">
        <v>20221</v>
      </c>
      <c r="D12183" s="739" t="s">
        <v>1410</v>
      </c>
      <c r="E12183" s="178">
        <v>2015</v>
      </c>
      <c r="F12183" s="178" t="s">
        <v>7168</v>
      </c>
      <c r="G12183" s="496"/>
      <c r="H12183" s="994" t="s">
        <v>20221</v>
      </c>
      <c r="I12183" s="11" t="s">
        <v>16235</v>
      </c>
      <c r="J12183" s="1285"/>
      <c r="K12183" s="1285"/>
      <c r="L12183" s="1285"/>
    </row>
    <row r="12184" spans="1:12" ht="11.15" customHeight="1">
      <c r="A12184" s="737"/>
      <c r="B12184" s="59" t="s">
        <v>22735</v>
      </c>
      <c r="C12184" s="147" t="s">
        <v>20221</v>
      </c>
      <c r="D12184" s="739" t="s">
        <v>1410</v>
      </c>
      <c r="E12184" s="178">
        <v>2013</v>
      </c>
      <c r="F12184" s="178" t="s">
        <v>7168</v>
      </c>
      <c r="G12184" s="496"/>
      <c r="H12184" s="994" t="s">
        <v>20221</v>
      </c>
      <c r="I12184" s="11" t="s">
        <v>16236</v>
      </c>
      <c r="J12184" s="1285"/>
      <c r="K12184" s="1285"/>
      <c r="L12184" s="1285"/>
    </row>
    <row r="12185" spans="1:12" ht="11.15" customHeight="1">
      <c r="A12185" s="185"/>
      <c r="B12185" s="59" t="s">
        <v>22735</v>
      </c>
      <c r="C12185" s="147" t="s">
        <v>20221</v>
      </c>
      <c r="D12185" s="739" t="s">
        <v>1410</v>
      </c>
      <c r="E12185" s="178">
        <v>2012</v>
      </c>
      <c r="F12185" s="178" t="s">
        <v>7168</v>
      </c>
      <c r="G12185" s="496"/>
      <c r="H12185" s="994" t="s">
        <v>20221</v>
      </c>
      <c r="I12185" s="11" t="s">
        <v>16237</v>
      </c>
      <c r="J12185" s="1285"/>
      <c r="K12185" s="1285"/>
      <c r="L12185" s="1285"/>
    </row>
    <row r="12186" spans="1:12" ht="11.15" customHeight="1">
      <c r="A12186" s="737"/>
      <c r="B12186" s="59" t="s">
        <v>22736</v>
      </c>
      <c r="C12186" s="147" t="s">
        <v>20221</v>
      </c>
      <c r="D12186" s="739" t="s">
        <v>1410</v>
      </c>
      <c r="E12186" s="178">
        <v>2012</v>
      </c>
      <c r="F12186" s="178" t="s">
        <v>7168</v>
      </c>
      <c r="G12186" s="496"/>
      <c r="H12186" s="994" t="s">
        <v>20221</v>
      </c>
      <c r="I12186" s="11" t="s">
        <v>16238</v>
      </c>
      <c r="J12186" s="1285"/>
      <c r="K12186" s="1285"/>
      <c r="L12186" s="1285"/>
    </row>
    <row r="12187" spans="1:12" ht="11.15" customHeight="1">
      <c r="A12187" s="185"/>
      <c r="B12187" s="59" t="s">
        <v>22736</v>
      </c>
      <c r="C12187" s="147" t="s">
        <v>20221</v>
      </c>
      <c r="D12187" s="739" t="s">
        <v>1410</v>
      </c>
      <c r="E12187" s="178">
        <v>2005</v>
      </c>
      <c r="F12187" s="178" t="s">
        <v>7168</v>
      </c>
      <c r="G12187" s="496"/>
      <c r="H12187" s="994" t="s">
        <v>20221</v>
      </c>
      <c r="I12187" s="11" t="s">
        <v>16239</v>
      </c>
      <c r="J12187" s="1285"/>
      <c r="K12187" s="1285"/>
      <c r="L12187" s="1285"/>
    </row>
    <row r="12188" spans="1:12" ht="11.15" customHeight="1">
      <c r="A12188" s="737"/>
      <c r="B12188" s="59" t="s">
        <v>22737</v>
      </c>
      <c r="C12188" s="147" t="s">
        <v>20221</v>
      </c>
      <c r="D12188" s="739" t="s">
        <v>1410</v>
      </c>
      <c r="E12188" s="178">
        <v>2007</v>
      </c>
      <c r="F12188" s="178" t="s">
        <v>7168</v>
      </c>
      <c r="G12188" s="496"/>
      <c r="H12188" s="994" t="s">
        <v>20221</v>
      </c>
      <c r="I12188" s="11" t="s">
        <v>16240</v>
      </c>
      <c r="J12188" s="1285"/>
      <c r="K12188" s="1285"/>
      <c r="L12188" s="1285"/>
    </row>
    <row r="12189" spans="1:12" ht="11.25" customHeight="1">
      <c r="A12189" s="185"/>
      <c r="B12189" s="59" t="s">
        <v>22738</v>
      </c>
      <c r="C12189" s="147" t="s">
        <v>20221</v>
      </c>
      <c r="D12189" s="739" t="s">
        <v>1410</v>
      </c>
      <c r="E12189" s="178">
        <v>2020</v>
      </c>
      <c r="F12189" s="178" t="s">
        <v>7168</v>
      </c>
      <c r="G12189" s="496"/>
      <c r="H12189" s="994" t="s">
        <v>20221</v>
      </c>
      <c r="I12189" s="11" t="s">
        <v>16241</v>
      </c>
      <c r="J12189" s="1285"/>
      <c r="K12189" s="1285"/>
      <c r="L12189" s="1285"/>
    </row>
    <row r="12190" spans="1:12" ht="11.15" customHeight="1">
      <c r="A12190" s="737"/>
      <c r="B12190" s="59" t="s">
        <v>22738</v>
      </c>
      <c r="C12190" s="147" t="s">
        <v>20221</v>
      </c>
      <c r="D12190" s="739" t="s">
        <v>1410</v>
      </c>
      <c r="E12190" s="178">
        <v>2018</v>
      </c>
      <c r="F12190" s="178" t="s">
        <v>7168</v>
      </c>
      <c r="G12190" s="496"/>
      <c r="H12190" s="994" t="s">
        <v>20221</v>
      </c>
      <c r="I12190" s="11" t="s">
        <v>16242</v>
      </c>
      <c r="J12190" s="1285"/>
      <c r="K12190" s="1285"/>
      <c r="L12190" s="1285"/>
    </row>
    <row r="12191" spans="1:12" ht="11.25" customHeight="1">
      <c r="A12191" s="185"/>
      <c r="B12191" s="59" t="s">
        <v>22739</v>
      </c>
      <c r="C12191" s="147" t="s">
        <v>20221</v>
      </c>
      <c r="D12191" s="739" t="s">
        <v>1410</v>
      </c>
      <c r="E12191" s="178">
        <v>2016</v>
      </c>
      <c r="F12191" s="178" t="s">
        <v>7168</v>
      </c>
      <c r="G12191" s="496"/>
      <c r="H12191" s="994" t="s">
        <v>20224</v>
      </c>
      <c r="I12191" s="11" t="s">
        <v>16243</v>
      </c>
      <c r="J12191" s="1285"/>
      <c r="K12191" s="1285"/>
      <c r="L12191" s="1285"/>
    </row>
    <row r="12192" spans="1:12" ht="11.25" customHeight="1">
      <c r="A12192" s="737"/>
      <c r="B12192" s="59" t="s">
        <v>22740</v>
      </c>
      <c r="C12192" s="147" t="s">
        <v>20221</v>
      </c>
      <c r="D12192" s="739" t="s">
        <v>1410</v>
      </c>
      <c r="E12192" s="178">
        <v>2013</v>
      </c>
      <c r="F12192" s="178" t="s">
        <v>7168</v>
      </c>
      <c r="G12192" s="496"/>
      <c r="H12192" s="994" t="s">
        <v>20221</v>
      </c>
      <c r="I12192" s="11" t="s">
        <v>16244</v>
      </c>
      <c r="J12192" s="1285"/>
      <c r="K12192" s="1285"/>
      <c r="L12192" s="1285"/>
    </row>
    <row r="12193" spans="1:12" ht="11.25" customHeight="1">
      <c r="A12193" s="737"/>
      <c r="B12193" s="59" t="s">
        <v>22738</v>
      </c>
      <c r="C12193" s="147" t="s">
        <v>20221</v>
      </c>
      <c r="D12193" s="739" t="s">
        <v>1410</v>
      </c>
      <c r="E12193" s="178">
        <v>2012</v>
      </c>
      <c r="F12193" s="178" t="s">
        <v>7168</v>
      </c>
      <c r="G12193" s="496"/>
      <c r="H12193" s="994" t="s">
        <v>20221</v>
      </c>
      <c r="I12193" s="11" t="s">
        <v>16245</v>
      </c>
      <c r="J12193" s="1285"/>
      <c r="K12193" s="1285"/>
      <c r="L12193" s="1285"/>
    </row>
    <row r="12194" spans="1:12" ht="11.15" customHeight="1">
      <c r="A12194" s="737"/>
      <c r="B12194" s="59" t="s">
        <v>22741</v>
      </c>
      <c r="C12194" s="147" t="s">
        <v>20221</v>
      </c>
      <c r="D12194" s="739" t="s">
        <v>1410</v>
      </c>
      <c r="E12194" s="178">
        <v>2023</v>
      </c>
      <c r="F12194" s="178" t="s">
        <v>23400</v>
      </c>
      <c r="G12194" s="496"/>
      <c r="H12194" s="994" t="s">
        <v>20224</v>
      </c>
      <c r="I12194" s="11" t="s">
        <v>16246</v>
      </c>
      <c r="J12194" s="1285"/>
      <c r="K12194" s="1285"/>
      <c r="L12194" s="1285"/>
    </row>
    <row r="12195" spans="1:12" ht="11.15" customHeight="1">
      <c r="A12195" s="737"/>
      <c r="B12195" s="59" t="s">
        <v>22742</v>
      </c>
      <c r="C12195" s="147" t="s">
        <v>20221</v>
      </c>
      <c r="D12195" s="739" t="s">
        <v>1410</v>
      </c>
      <c r="E12195" s="178">
        <v>2016</v>
      </c>
      <c r="F12195" s="178" t="s">
        <v>7168</v>
      </c>
      <c r="G12195" s="496"/>
      <c r="H12195" s="994" t="s">
        <v>20224</v>
      </c>
      <c r="I12195" s="11" t="s">
        <v>16247</v>
      </c>
      <c r="J12195" s="1285"/>
      <c r="K12195" s="1285"/>
      <c r="L12195" s="1285"/>
    </row>
    <row r="12196" spans="1:12" ht="11.25" customHeight="1">
      <c r="A12196" s="737"/>
      <c r="B12196" s="59" t="s">
        <v>22741</v>
      </c>
      <c r="C12196" s="147" t="s">
        <v>20221</v>
      </c>
      <c r="D12196" s="739" t="s">
        <v>1410</v>
      </c>
      <c r="E12196" s="178">
        <v>2013</v>
      </c>
      <c r="F12196" s="178" t="s">
        <v>7168</v>
      </c>
      <c r="G12196" s="496"/>
      <c r="H12196" s="994" t="s">
        <v>20221</v>
      </c>
      <c r="I12196" s="11" t="s">
        <v>16248</v>
      </c>
      <c r="J12196" s="1285"/>
      <c r="K12196" s="1285"/>
      <c r="L12196" s="1285"/>
    </row>
    <row r="12197" spans="1:12" ht="11.15" customHeight="1">
      <c r="A12197" s="185"/>
      <c r="B12197" s="59" t="s">
        <v>22743</v>
      </c>
      <c r="C12197" s="147" t="s">
        <v>20221</v>
      </c>
      <c r="D12197" s="739" t="s">
        <v>1410</v>
      </c>
      <c r="E12197" s="178">
        <v>2012</v>
      </c>
      <c r="F12197" s="178" t="s">
        <v>7168</v>
      </c>
      <c r="G12197" s="496"/>
      <c r="H12197" s="994" t="s">
        <v>20221</v>
      </c>
      <c r="I12197" s="11" t="s">
        <v>16249</v>
      </c>
      <c r="J12197" s="1285"/>
      <c r="K12197" s="1285"/>
      <c r="L12197" s="1285"/>
    </row>
    <row r="12198" spans="1:12" ht="11.15" customHeight="1">
      <c r="A12198" s="737"/>
      <c r="B12198" s="59" t="s">
        <v>22744</v>
      </c>
      <c r="C12198" s="147" t="s">
        <v>20221</v>
      </c>
      <c r="D12198" s="739" t="s">
        <v>1410</v>
      </c>
      <c r="E12198" s="178">
        <v>2011</v>
      </c>
      <c r="F12198" s="178" t="s">
        <v>7168</v>
      </c>
      <c r="G12198" s="496"/>
      <c r="H12198" s="994" t="s">
        <v>20221</v>
      </c>
      <c r="I12198" s="12" t="s">
        <v>16250</v>
      </c>
      <c r="J12198" s="1285"/>
      <c r="K12198" s="1285"/>
      <c r="L12198" s="1285"/>
    </row>
    <row r="12199" spans="1:12" ht="11.15" customHeight="1">
      <c r="A12199" s="737"/>
      <c r="B12199" s="177" t="s">
        <v>16251</v>
      </c>
      <c r="C12199" s="147"/>
      <c r="D12199" s="159"/>
      <c r="E12199" s="36"/>
      <c r="F12199" s="183"/>
      <c r="G12199" s="496"/>
      <c r="H12199" s="34"/>
      <c r="I12199" s="11"/>
    </row>
    <row r="12200" spans="1:12" ht="11.15" customHeight="1">
      <c r="A12200" s="737"/>
      <c r="B12200" s="59" t="s">
        <v>22745</v>
      </c>
      <c r="C12200" s="147" t="s">
        <v>20221</v>
      </c>
      <c r="D12200" s="739" t="s">
        <v>1410</v>
      </c>
      <c r="E12200" s="178">
        <v>2016</v>
      </c>
      <c r="F12200" s="178" t="s">
        <v>4520</v>
      </c>
      <c r="G12200" s="496"/>
      <c r="H12200" s="994" t="s">
        <v>20224</v>
      </c>
      <c r="I12200" s="11" t="s">
        <v>16252</v>
      </c>
      <c r="J12200" s="1285"/>
      <c r="K12200" s="1285"/>
      <c r="L12200" s="1285"/>
    </row>
    <row r="12201" spans="1:12" ht="11.15" customHeight="1">
      <c r="A12201" s="737"/>
      <c r="B12201" s="59" t="s">
        <v>22746</v>
      </c>
      <c r="C12201" s="147" t="s">
        <v>20221</v>
      </c>
      <c r="D12201" s="739" t="s">
        <v>1410</v>
      </c>
      <c r="E12201" s="178">
        <v>2010</v>
      </c>
      <c r="F12201" s="178" t="s">
        <v>4520</v>
      </c>
      <c r="G12201" s="496"/>
      <c r="H12201" s="994" t="s">
        <v>20224</v>
      </c>
      <c r="I12201" s="11" t="s">
        <v>16253</v>
      </c>
      <c r="J12201" s="1285"/>
      <c r="K12201" s="1285"/>
      <c r="L12201" s="1285"/>
    </row>
    <row r="12202" spans="1:12" ht="11.15" customHeight="1">
      <c r="A12202" s="737"/>
      <c r="B12202" s="59" t="s">
        <v>22747</v>
      </c>
      <c r="C12202" s="147" t="s">
        <v>20221</v>
      </c>
      <c r="D12202" s="739" t="s">
        <v>1410</v>
      </c>
      <c r="E12202" s="178">
        <v>2010</v>
      </c>
      <c r="F12202" s="178" t="s">
        <v>4520</v>
      </c>
      <c r="G12202" s="496"/>
      <c r="H12202" s="994" t="s">
        <v>20465</v>
      </c>
      <c r="I12202" s="11" t="s">
        <v>16254</v>
      </c>
      <c r="J12202" s="1285"/>
      <c r="K12202" s="1285"/>
      <c r="L12202" s="1285"/>
    </row>
    <row r="12203" spans="1:12" ht="11.15" customHeight="1">
      <c r="A12203" s="737"/>
      <c r="B12203" s="59" t="s">
        <v>22748</v>
      </c>
      <c r="C12203" s="147" t="s">
        <v>20221</v>
      </c>
      <c r="D12203" s="739" t="s">
        <v>1410</v>
      </c>
      <c r="E12203" s="178">
        <v>2020</v>
      </c>
      <c r="F12203" s="178" t="s">
        <v>4520</v>
      </c>
      <c r="G12203" s="496"/>
      <c r="H12203" s="994" t="s">
        <v>20224</v>
      </c>
      <c r="I12203" s="12" t="s">
        <v>16255</v>
      </c>
      <c r="J12203" s="1285"/>
      <c r="K12203" s="1285"/>
      <c r="L12203" s="1285"/>
    </row>
    <row r="12204" spans="1:12" ht="11.15" customHeight="1">
      <c r="A12204" s="185"/>
      <c r="B12204" s="59" t="s">
        <v>22749</v>
      </c>
      <c r="C12204" s="147" t="s">
        <v>20221</v>
      </c>
      <c r="D12204" s="739" t="s">
        <v>1410</v>
      </c>
      <c r="E12204" s="178">
        <v>2016</v>
      </c>
      <c r="F12204" s="178" t="s">
        <v>4520</v>
      </c>
      <c r="G12204" s="496"/>
      <c r="H12204" s="994" t="s">
        <v>20224</v>
      </c>
      <c r="I12204" s="11" t="s">
        <v>16256</v>
      </c>
      <c r="J12204" s="1285"/>
      <c r="K12204" s="1285"/>
      <c r="L12204" s="1285"/>
    </row>
    <row r="12205" spans="1:12" ht="11.15" customHeight="1">
      <c r="A12205" s="737"/>
      <c r="B12205" s="59" t="s">
        <v>22750</v>
      </c>
      <c r="C12205" s="147" t="s">
        <v>20221</v>
      </c>
      <c r="D12205" s="739" t="s">
        <v>1410</v>
      </c>
      <c r="E12205" s="178">
        <v>2013</v>
      </c>
      <c r="F12205" s="178" t="s">
        <v>4520</v>
      </c>
      <c r="G12205" s="496"/>
      <c r="H12205" s="994" t="s">
        <v>20221</v>
      </c>
      <c r="I12205" s="11" t="s">
        <v>16257</v>
      </c>
      <c r="J12205" s="1285"/>
      <c r="K12205" s="1285"/>
      <c r="L12205" s="1285"/>
    </row>
    <row r="12206" spans="1:12" ht="11.15" customHeight="1">
      <c r="A12206" s="737"/>
      <c r="B12206" s="59" t="s">
        <v>22748</v>
      </c>
      <c r="C12206" s="147" t="s">
        <v>20221</v>
      </c>
      <c r="D12206" s="739" t="s">
        <v>1410</v>
      </c>
      <c r="E12206" s="178">
        <v>2012</v>
      </c>
      <c r="F12206" s="178" t="s">
        <v>4520</v>
      </c>
      <c r="G12206" s="496"/>
      <c r="H12206" s="994" t="s">
        <v>20224</v>
      </c>
      <c r="I12206" s="12" t="s">
        <v>16258</v>
      </c>
      <c r="J12206" s="1285"/>
      <c r="K12206" s="1285"/>
      <c r="L12206" s="1285"/>
    </row>
    <row r="12207" spans="1:12" ht="11.15" customHeight="1">
      <c r="A12207" s="737"/>
      <c r="B12207" s="59" t="s">
        <v>22751</v>
      </c>
      <c r="C12207" s="147" t="s">
        <v>20221</v>
      </c>
      <c r="D12207" s="739" t="s">
        <v>1410</v>
      </c>
      <c r="E12207" s="178">
        <v>2016</v>
      </c>
      <c r="F12207" s="178" t="s">
        <v>4520</v>
      </c>
      <c r="G12207" s="496"/>
      <c r="H12207" s="994" t="s">
        <v>20221</v>
      </c>
      <c r="I12207" s="11" t="s">
        <v>16259</v>
      </c>
      <c r="J12207" s="1285"/>
      <c r="K12207" s="1285"/>
      <c r="L12207" s="1285"/>
    </row>
    <row r="12208" spans="1:12" ht="11.15" customHeight="1">
      <c r="A12208" s="737"/>
      <c r="B12208" s="59" t="s">
        <v>22752</v>
      </c>
      <c r="C12208" s="147" t="s">
        <v>20221</v>
      </c>
      <c r="D12208" s="739" t="s">
        <v>1410</v>
      </c>
      <c r="E12208" s="178">
        <v>2013</v>
      </c>
      <c r="F12208" s="178" t="s">
        <v>4520</v>
      </c>
      <c r="G12208" s="496"/>
      <c r="H12208" s="994" t="s">
        <v>20221</v>
      </c>
      <c r="I12208" s="11" t="s">
        <v>16260</v>
      </c>
      <c r="J12208" s="1285"/>
      <c r="K12208" s="1285"/>
      <c r="L12208" s="1285"/>
    </row>
    <row r="12209" spans="1:12" ht="11.15" customHeight="1">
      <c r="A12209" s="737"/>
      <c r="B12209" s="59" t="s">
        <v>22753</v>
      </c>
      <c r="C12209" s="147" t="s">
        <v>20221</v>
      </c>
      <c r="D12209" s="739" t="s">
        <v>1410</v>
      </c>
      <c r="E12209" s="178">
        <v>2012</v>
      </c>
      <c r="F12209" s="178" t="s">
        <v>4520</v>
      </c>
      <c r="G12209" s="496"/>
      <c r="H12209" s="994" t="s">
        <v>20221</v>
      </c>
      <c r="I12209" s="11" t="s">
        <v>16261</v>
      </c>
      <c r="J12209" s="1285"/>
      <c r="K12209" s="1285"/>
      <c r="L12209" s="1285"/>
    </row>
    <row r="12210" spans="1:12" ht="11.15" customHeight="1">
      <c r="A12210" s="737"/>
      <c r="B12210" s="59" t="s">
        <v>22754</v>
      </c>
      <c r="C12210" s="147" t="s">
        <v>20221</v>
      </c>
      <c r="D12210" s="739" t="s">
        <v>1410</v>
      </c>
      <c r="E12210" s="178">
        <v>2011</v>
      </c>
      <c r="F12210" s="178" t="s">
        <v>4520</v>
      </c>
      <c r="G12210" s="496"/>
      <c r="H12210" s="994" t="s">
        <v>20224</v>
      </c>
      <c r="I12210" s="12" t="s">
        <v>16262</v>
      </c>
      <c r="J12210" s="1285"/>
      <c r="K12210" s="1285"/>
      <c r="L12210" s="1285"/>
    </row>
    <row r="12211" spans="1:12" ht="11.15" customHeight="1">
      <c r="A12211" s="737"/>
      <c r="B12211" s="59" t="s">
        <v>22755</v>
      </c>
      <c r="C12211" s="147" t="s">
        <v>20221</v>
      </c>
      <c r="D12211" s="739" t="s">
        <v>1410</v>
      </c>
      <c r="E12211" s="178">
        <v>2017</v>
      </c>
      <c r="F12211" s="178" t="s">
        <v>4520</v>
      </c>
      <c r="G12211" s="496"/>
      <c r="H12211" s="994" t="s">
        <v>20221</v>
      </c>
      <c r="I12211" s="11" t="s">
        <v>16263</v>
      </c>
      <c r="J12211" s="1285"/>
      <c r="K12211" s="1285"/>
      <c r="L12211" s="1285"/>
    </row>
    <row r="12212" spans="1:12" ht="11.15" customHeight="1">
      <c r="A12212" s="737"/>
      <c r="B12212" s="177" t="s">
        <v>16264</v>
      </c>
      <c r="C12212" s="147"/>
      <c r="D12212" s="159"/>
      <c r="E12212" s="36"/>
      <c r="F12212" s="178"/>
      <c r="G12212" s="496"/>
      <c r="H12212" s="36"/>
      <c r="I12212" s="11"/>
    </row>
    <row r="12213" spans="1:12" ht="11.15" customHeight="1">
      <c r="A12213" s="737"/>
      <c r="B12213" s="59" t="s">
        <v>22756</v>
      </c>
      <c r="C12213" s="147" t="s">
        <v>20221</v>
      </c>
      <c r="D12213" s="739" t="s">
        <v>1410</v>
      </c>
      <c r="E12213" s="178">
        <v>2011</v>
      </c>
      <c r="F12213" s="178" t="s">
        <v>7168</v>
      </c>
      <c r="G12213" s="496"/>
      <c r="H12213" s="994" t="s">
        <v>20224</v>
      </c>
      <c r="I12213" s="11" t="s">
        <v>16265</v>
      </c>
      <c r="J12213" s="1285"/>
      <c r="K12213" s="1285"/>
      <c r="L12213" s="1285"/>
    </row>
    <row r="12214" spans="1:12" ht="11.15" customHeight="1">
      <c r="A12214" s="737"/>
      <c r="B12214" s="90"/>
      <c r="C12214" s="147"/>
      <c r="D12214" s="182"/>
      <c r="E12214" s="34"/>
      <c r="F12214" s="183"/>
      <c r="G12214" s="496"/>
      <c r="H12214" s="183"/>
      <c r="I12214" s="11"/>
    </row>
    <row r="12215" spans="1:12" ht="9" customHeight="1">
      <c r="A12215" s="283"/>
      <c r="B12215" s="150" t="s">
        <v>16266</v>
      </c>
      <c r="C12215" s="147"/>
      <c r="D12215" s="739"/>
      <c r="E12215" s="36"/>
      <c r="F12215" s="183"/>
      <c r="G12215" s="1230"/>
      <c r="H12215" s="34"/>
      <c r="I12215" s="11"/>
    </row>
    <row r="12216" spans="1:12" ht="9" customHeight="1">
      <c r="A12216" s="137"/>
      <c r="B12216" s="150" t="s">
        <v>16267</v>
      </c>
      <c r="C12216" s="147"/>
      <c r="D12216" s="701"/>
      <c r="E12216" s="36"/>
      <c r="F12216" s="178"/>
      <c r="G12216" s="453"/>
      <c r="H12216" s="36"/>
      <c r="I12216" s="11"/>
    </row>
    <row r="12217" spans="1:12" ht="9" customHeight="1" thickBot="1">
      <c r="A12217" s="283"/>
      <c r="B12217" s="150" t="s">
        <v>16268</v>
      </c>
      <c r="C12217" s="147"/>
      <c r="D12217" s="739"/>
      <c r="E12217" s="36"/>
      <c r="F12217" s="183"/>
      <c r="G12217" s="1230"/>
      <c r="H12217" s="34"/>
      <c r="I12217" s="11"/>
    </row>
    <row r="12218" spans="1:12" ht="11.15" customHeight="1" thickBot="1">
      <c r="A12218" s="718" t="s">
        <v>16269</v>
      </c>
      <c r="B12218" s="154" t="s">
        <v>16270</v>
      </c>
      <c r="C12218" s="147"/>
      <c r="D12218" s="585"/>
      <c r="E12218" s="36"/>
      <c r="F12218" s="183"/>
      <c r="G12218" s="1230"/>
      <c r="H12218" s="34"/>
      <c r="I12218" s="11"/>
    </row>
    <row r="12219" spans="1:12" ht="11.15" customHeight="1">
      <c r="A12219" s="451" t="s">
        <v>16271</v>
      </c>
      <c r="B12219" s="59" t="s">
        <v>22757</v>
      </c>
      <c r="C12219" s="147" t="s">
        <v>20221</v>
      </c>
      <c r="D12219" s="701" t="s">
        <v>1129</v>
      </c>
      <c r="E12219" s="178">
        <v>2019</v>
      </c>
      <c r="F12219" s="178" t="s">
        <v>4520</v>
      </c>
      <c r="G12219" s="496"/>
      <c r="H12219" s="994" t="s">
        <v>20221</v>
      </c>
      <c r="I12219" s="11" t="s">
        <v>16272</v>
      </c>
      <c r="J12219" s="1285"/>
      <c r="K12219" s="1285"/>
      <c r="L12219" s="1285"/>
    </row>
    <row r="12220" spans="1:12" ht="11.15" customHeight="1">
      <c r="A12220" s="451" t="s">
        <v>16273</v>
      </c>
      <c r="B12220" s="154" t="s">
        <v>16274</v>
      </c>
      <c r="C12220" s="147"/>
      <c r="D12220" s="585"/>
      <c r="E12220" s="36"/>
      <c r="F12220" s="183"/>
      <c r="G12220" s="1239"/>
      <c r="H12220" s="34"/>
      <c r="I12220" s="11"/>
    </row>
    <row r="12221" spans="1:12" ht="11.15" customHeight="1">
      <c r="A12221" s="451" t="s">
        <v>16275</v>
      </c>
      <c r="B12221" s="59" t="s">
        <v>22758</v>
      </c>
      <c r="C12221" s="147" t="s">
        <v>20221</v>
      </c>
      <c r="D12221" s="701" t="s">
        <v>1129</v>
      </c>
      <c r="E12221" s="178">
        <v>2019</v>
      </c>
      <c r="F12221" s="178" t="s">
        <v>4520</v>
      </c>
      <c r="G12221" s="496"/>
      <c r="H12221" s="994" t="s">
        <v>20221</v>
      </c>
      <c r="I12221" s="11" t="s">
        <v>16276</v>
      </c>
      <c r="J12221" s="1285"/>
      <c r="K12221" s="1285"/>
      <c r="L12221" s="1285"/>
    </row>
    <row r="12222" spans="1:12" ht="11.15" customHeight="1">
      <c r="A12222" s="29" t="s">
        <v>16277</v>
      </c>
      <c r="B12222" s="59" t="s">
        <v>22759</v>
      </c>
      <c r="C12222" s="147" t="s">
        <v>20221</v>
      </c>
      <c r="D12222" s="701" t="s">
        <v>1129</v>
      </c>
      <c r="E12222" s="178">
        <v>2019</v>
      </c>
      <c r="F12222" s="178" t="s">
        <v>4520</v>
      </c>
      <c r="G12222" s="496"/>
      <c r="H12222" s="994" t="s">
        <v>20221</v>
      </c>
      <c r="I12222" s="11" t="s">
        <v>16278</v>
      </c>
      <c r="J12222" s="1285"/>
      <c r="K12222" s="1285"/>
      <c r="L12222" s="1285"/>
    </row>
    <row r="12223" spans="1:12" ht="11.15" customHeight="1">
      <c r="A12223" s="451" t="s">
        <v>16279</v>
      </c>
      <c r="B12223" s="177" t="s">
        <v>15408</v>
      </c>
      <c r="C12223" s="147"/>
      <c r="D12223" s="585"/>
      <c r="E12223" s="36"/>
      <c r="F12223" s="183"/>
      <c r="G12223" s="1239"/>
      <c r="H12223" s="34"/>
      <c r="I12223" s="11"/>
    </row>
    <row r="12224" spans="1:12" ht="11.15" customHeight="1">
      <c r="A12224" s="451" t="s">
        <v>16280</v>
      </c>
      <c r="B12224" s="59" t="s">
        <v>22760</v>
      </c>
      <c r="C12224" s="147" t="s">
        <v>20221</v>
      </c>
      <c r="D12224" s="739" t="s">
        <v>1410</v>
      </c>
      <c r="E12224" s="178">
        <v>2019</v>
      </c>
      <c r="F12224" s="178" t="s">
        <v>4520</v>
      </c>
      <c r="G12224" s="496"/>
      <c r="H12224" s="994" t="s">
        <v>20221</v>
      </c>
      <c r="I12224" s="11" t="s">
        <v>16281</v>
      </c>
      <c r="J12224" s="1285"/>
      <c r="K12224" s="1285"/>
      <c r="L12224" s="1285"/>
    </row>
    <row r="12225" spans="1:12" ht="11.15" customHeight="1">
      <c r="A12225" s="29" t="s">
        <v>16282</v>
      </c>
      <c r="B12225" s="59" t="s">
        <v>22761</v>
      </c>
      <c r="C12225" s="147" t="s">
        <v>20221</v>
      </c>
      <c r="D12225" s="739" t="s">
        <v>1410</v>
      </c>
      <c r="E12225" s="178">
        <v>2019</v>
      </c>
      <c r="F12225" s="178" t="s">
        <v>4520</v>
      </c>
      <c r="G12225" s="496"/>
      <c r="H12225" s="994" t="s">
        <v>20221</v>
      </c>
      <c r="I12225" s="11" t="s">
        <v>16283</v>
      </c>
      <c r="J12225" s="1285"/>
      <c r="K12225" s="1285"/>
      <c r="L12225" s="1285"/>
    </row>
    <row r="12226" spans="1:12" ht="11.15" customHeight="1">
      <c r="A12226" s="719" t="s">
        <v>16284</v>
      </c>
      <c r="B12226" s="59" t="s">
        <v>22762</v>
      </c>
      <c r="C12226" s="147" t="s">
        <v>20221</v>
      </c>
      <c r="D12226" s="739" t="s">
        <v>1410</v>
      </c>
      <c r="E12226" s="178">
        <v>1995</v>
      </c>
      <c r="F12226" s="178" t="s">
        <v>4520</v>
      </c>
      <c r="G12226" s="496"/>
      <c r="H12226" s="994" t="s">
        <v>20224</v>
      </c>
      <c r="I12226" s="11" t="s">
        <v>16285</v>
      </c>
      <c r="J12226" s="1285"/>
      <c r="K12226" s="1285"/>
      <c r="L12226" s="1285"/>
    </row>
    <row r="12227" spans="1:12" ht="11.15" customHeight="1">
      <c r="A12227" s="363" t="s">
        <v>1327</v>
      </c>
      <c r="B12227" s="177" t="s">
        <v>16286</v>
      </c>
      <c r="C12227" s="147"/>
      <c r="D12227" s="585"/>
      <c r="E12227" s="36"/>
      <c r="F12227" s="183"/>
      <c r="G12227" s="1239"/>
      <c r="H12227" s="34"/>
      <c r="I12227" s="11"/>
    </row>
    <row r="12228" spans="1:12" ht="11.15" customHeight="1">
      <c r="A12228" s="129" t="s">
        <v>16287</v>
      </c>
      <c r="B12228" s="59" t="s">
        <v>22763</v>
      </c>
      <c r="C12228" s="147" t="s">
        <v>20221</v>
      </c>
      <c r="D12228" s="739" t="s">
        <v>1410</v>
      </c>
      <c r="E12228" s="178">
        <v>2019</v>
      </c>
      <c r="F12228" s="178" t="s">
        <v>7168</v>
      </c>
      <c r="G12228" s="496"/>
      <c r="H12228" s="994" t="s">
        <v>20221</v>
      </c>
      <c r="I12228" s="11" t="s">
        <v>16288</v>
      </c>
      <c r="J12228" s="1285"/>
      <c r="K12228" s="1285"/>
      <c r="L12228" s="1285"/>
    </row>
    <row r="12229" spans="1:12" ht="11.15" customHeight="1">
      <c r="A12229" s="29"/>
      <c r="B12229" s="59" t="s">
        <v>22764</v>
      </c>
      <c r="C12229" s="147" t="s">
        <v>20221</v>
      </c>
      <c r="D12229" s="739" t="s">
        <v>1410</v>
      </c>
      <c r="E12229" s="178">
        <v>2019</v>
      </c>
      <c r="F12229" s="178" t="s">
        <v>7168</v>
      </c>
      <c r="G12229" s="496"/>
      <c r="H12229" s="994" t="s">
        <v>20221</v>
      </c>
      <c r="I12229" s="11" t="s">
        <v>16289</v>
      </c>
      <c r="J12229" s="1285"/>
      <c r="K12229" s="1285"/>
      <c r="L12229" s="1285"/>
    </row>
    <row r="12230" spans="1:12" ht="11.15" customHeight="1">
      <c r="A12230" s="185"/>
      <c r="B12230" s="59" t="s">
        <v>22765</v>
      </c>
      <c r="C12230" s="147" t="s">
        <v>20221</v>
      </c>
      <c r="D12230" s="739" t="s">
        <v>1410</v>
      </c>
      <c r="E12230" s="178">
        <v>2018</v>
      </c>
      <c r="F12230" s="178" t="s">
        <v>7168</v>
      </c>
      <c r="G12230" s="496"/>
      <c r="H12230" s="994" t="s">
        <v>20224</v>
      </c>
      <c r="I12230" s="11" t="s">
        <v>16290</v>
      </c>
      <c r="J12230" s="1285"/>
      <c r="K12230" s="1285"/>
      <c r="L12230" s="1285"/>
    </row>
    <row r="12231" spans="1:12" ht="11.15" customHeight="1" thickBot="1">
      <c r="A12231" s="181"/>
      <c r="B12231" s="90"/>
      <c r="C12231" s="147"/>
      <c r="D12231" s="182"/>
      <c r="E12231" s="36"/>
      <c r="F12231" s="183"/>
      <c r="G12231" s="496"/>
      <c r="H12231" s="34"/>
      <c r="I12231" s="11"/>
    </row>
    <row r="12232" spans="1:12" ht="24" customHeight="1" thickBot="1">
      <c r="A12232" s="542"/>
      <c r="B12232" s="64" t="s">
        <v>16291</v>
      </c>
      <c r="C12232" s="170"/>
      <c r="D12232" s="541"/>
      <c r="E12232" s="510"/>
      <c r="F12232" s="1080"/>
      <c r="G12232" s="750"/>
      <c r="H12232" s="751"/>
      <c r="I12232" s="11"/>
    </row>
    <row r="12233" spans="1:12" ht="11.15" customHeight="1">
      <c r="A12233" s="740" t="s">
        <v>16292</v>
      </c>
      <c r="B12233" s="239"/>
      <c r="C12233" s="147"/>
      <c r="D12233" s="87"/>
      <c r="E12233" s="226"/>
      <c r="F12233" s="122"/>
      <c r="G12233" s="68"/>
      <c r="H12233" s="226"/>
      <c r="I12233" s="11"/>
    </row>
    <row r="12234" spans="1:12" ht="11.15" customHeight="1">
      <c r="A12234" s="29"/>
      <c r="B12234" s="413" t="s">
        <v>16293</v>
      </c>
      <c r="C12234" s="147"/>
      <c r="D12234" s="161"/>
      <c r="E12234" s="36"/>
      <c r="F12234" s="178"/>
      <c r="G12234" s="453"/>
      <c r="H12234" s="36"/>
      <c r="I12234" s="11"/>
    </row>
    <row r="12235" spans="1:12" ht="9" customHeight="1">
      <c r="A12235" s="137"/>
      <c r="B12235" s="150" t="s">
        <v>16294</v>
      </c>
      <c r="C12235" s="147"/>
      <c r="D12235" s="284"/>
      <c r="E12235" s="36"/>
      <c r="F12235" s="178"/>
      <c r="G12235" s="453"/>
      <c r="H12235" s="36"/>
      <c r="I12235" s="11"/>
    </row>
    <row r="12236" spans="1:12" ht="9" customHeight="1">
      <c r="A12236" s="137"/>
      <c r="B12236" s="150" t="s">
        <v>16295</v>
      </c>
      <c r="C12236" s="147"/>
      <c r="D12236" s="284"/>
      <c r="E12236" s="36"/>
      <c r="F12236" s="178"/>
      <c r="G12236" s="453"/>
      <c r="H12236" s="36"/>
      <c r="I12236" s="11"/>
    </row>
    <row r="12237" spans="1:12" ht="9" customHeight="1">
      <c r="A12237" s="137"/>
      <c r="B12237" s="150" t="s">
        <v>16296</v>
      </c>
      <c r="C12237" s="147"/>
      <c r="D12237" s="284"/>
      <c r="E12237" s="36"/>
      <c r="F12237" s="178"/>
      <c r="G12237" s="453"/>
      <c r="H12237" s="36"/>
      <c r="I12237" s="11"/>
    </row>
    <row r="12238" spans="1:12" ht="9" customHeight="1">
      <c r="A12238" s="137"/>
      <c r="B12238" s="150" t="s">
        <v>16297</v>
      </c>
      <c r="C12238" s="147"/>
      <c r="D12238" s="284"/>
      <c r="E12238" s="36"/>
      <c r="F12238" s="178"/>
      <c r="G12238" s="453"/>
      <c r="H12238" s="36"/>
      <c r="I12238" s="11"/>
    </row>
    <row r="12239" spans="1:12" ht="9" customHeight="1">
      <c r="A12239" s="137"/>
      <c r="B12239" s="150" t="s">
        <v>16298</v>
      </c>
      <c r="C12239" s="147"/>
      <c r="D12239" s="701"/>
      <c r="E12239" s="36"/>
      <c r="F12239" s="178"/>
      <c r="G12239" s="453"/>
      <c r="H12239" s="36"/>
      <c r="I12239" s="11"/>
    </row>
    <row r="12240" spans="1:12" ht="9" customHeight="1">
      <c r="A12240" s="137"/>
      <c r="B12240" s="150" t="s">
        <v>16299</v>
      </c>
      <c r="C12240" s="147"/>
      <c r="D12240" s="701"/>
      <c r="E12240" s="36"/>
      <c r="F12240" s="178"/>
      <c r="G12240" s="453"/>
      <c r="H12240" s="36"/>
      <c r="I12240" s="11"/>
    </row>
    <row r="12241" spans="1:12" ht="9" customHeight="1">
      <c r="A12241" s="137"/>
      <c r="B12241" s="150" t="s">
        <v>16300</v>
      </c>
      <c r="C12241" s="147"/>
      <c r="D12241" s="701"/>
      <c r="E12241" s="36"/>
      <c r="F12241" s="178"/>
      <c r="G12241" s="453"/>
      <c r="H12241" s="36"/>
      <c r="I12241" s="11"/>
    </row>
    <row r="12242" spans="1:12" ht="9" customHeight="1">
      <c r="A12242" s="137"/>
      <c r="B12242" s="150" t="s">
        <v>16301</v>
      </c>
      <c r="C12242" s="147"/>
      <c r="D12242" s="701"/>
      <c r="E12242" s="36"/>
      <c r="F12242" s="178"/>
      <c r="G12242" s="453"/>
      <c r="H12242" s="36"/>
      <c r="I12242" s="11"/>
    </row>
    <row r="12243" spans="1:12" ht="9" customHeight="1">
      <c r="A12243" s="137"/>
      <c r="B12243" s="150" t="s">
        <v>16302</v>
      </c>
      <c r="C12243" s="147"/>
      <c r="D12243" s="701"/>
      <c r="E12243" s="36"/>
      <c r="F12243" s="178"/>
      <c r="G12243" s="453"/>
      <c r="H12243" s="36"/>
      <c r="I12243" s="11"/>
    </row>
    <row r="12244" spans="1:12" ht="9" customHeight="1">
      <c r="A12244" s="137"/>
      <c r="B12244" s="150" t="s">
        <v>16303</v>
      </c>
      <c r="C12244" s="147"/>
      <c r="D12244" s="701"/>
      <c r="E12244" s="36"/>
      <c r="F12244" s="178"/>
      <c r="G12244" s="453"/>
      <c r="H12244" s="36"/>
      <c r="I12244" s="11"/>
    </row>
    <row r="12245" spans="1:12" ht="11.15" customHeight="1">
      <c r="A12245" s="29"/>
      <c r="B12245" s="413" t="s">
        <v>16304</v>
      </c>
      <c r="C12245" s="147"/>
      <c r="D12245" s="161"/>
      <c r="E12245" s="36"/>
      <c r="F12245" s="178"/>
      <c r="G12245" s="453"/>
      <c r="H12245" s="36"/>
      <c r="I12245" s="11"/>
    </row>
    <row r="12246" spans="1:12" ht="9" customHeight="1">
      <c r="A12246" s="137"/>
      <c r="B12246" s="150" t="s">
        <v>16305</v>
      </c>
      <c r="C12246" s="147"/>
      <c r="D12246" s="701"/>
      <c r="E12246" s="36"/>
      <c r="F12246" s="178"/>
      <c r="G12246" s="453"/>
      <c r="H12246" s="36"/>
      <c r="I12246" s="11"/>
    </row>
    <row r="12247" spans="1:12" ht="9" customHeight="1">
      <c r="A12247" s="137"/>
      <c r="B12247" s="150" t="s">
        <v>16306</v>
      </c>
      <c r="C12247" s="147"/>
      <c r="D12247" s="701"/>
      <c r="E12247" s="36"/>
      <c r="F12247" s="178"/>
      <c r="G12247" s="453"/>
      <c r="H12247" s="36"/>
      <c r="I12247" s="11"/>
    </row>
    <row r="12248" spans="1:12" ht="9" customHeight="1">
      <c r="A12248" s="137"/>
      <c r="B12248" s="150" t="s">
        <v>16307</v>
      </c>
      <c r="C12248" s="147"/>
      <c r="D12248" s="701"/>
      <c r="E12248" s="36"/>
      <c r="F12248" s="178"/>
      <c r="G12248" s="453"/>
      <c r="H12248" s="36"/>
      <c r="I12248" s="11"/>
    </row>
    <row r="12249" spans="1:12" ht="9" customHeight="1">
      <c r="A12249" s="137"/>
      <c r="B12249" s="150" t="s">
        <v>16308</v>
      </c>
      <c r="C12249" s="147"/>
      <c r="D12249" s="701"/>
      <c r="E12249" s="36"/>
      <c r="F12249" s="178"/>
      <c r="G12249" s="453"/>
      <c r="H12249" s="36"/>
      <c r="I12249" s="11"/>
    </row>
    <row r="12250" spans="1:12" ht="9" customHeight="1">
      <c r="A12250" s="137"/>
      <c r="B12250" s="150" t="s">
        <v>16309</v>
      </c>
      <c r="C12250" s="147"/>
      <c r="D12250" s="701"/>
      <c r="E12250" s="36"/>
      <c r="F12250" s="178"/>
      <c r="G12250" s="453"/>
      <c r="H12250" s="36"/>
      <c r="I12250" s="11"/>
    </row>
    <row r="12251" spans="1:12" ht="9" customHeight="1">
      <c r="A12251" s="137"/>
      <c r="B12251" s="150" t="s">
        <v>16310</v>
      </c>
      <c r="C12251" s="147"/>
      <c r="D12251" s="701"/>
      <c r="E12251" s="36"/>
      <c r="F12251" s="178"/>
      <c r="G12251" s="453"/>
      <c r="H12251" s="36"/>
      <c r="I12251" s="11"/>
    </row>
    <row r="12252" spans="1:12" ht="9" customHeight="1">
      <c r="A12252" s="137"/>
      <c r="B12252" s="150" t="s">
        <v>16311</v>
      </c>
      <c r="C12252" s="147"/>
      <c r="D12252" s="701"/>
      <c r="E12252" s="36"/>
      <c r="F12252" s="178"/>
      <c r="G12252" s="453"/>
      <c r="H12252" s="36"/>
      <c r="I12252" s="11"/>
    </row>
    <row r="12253" spans="1:12" ht="9" customHeight="1">
      <c r="A12253" s="137"/>
      <c r="B12253" s="150" t="s">
        <v>16312</v>
      </c>
      <c r="C12253" s="147"/>
      <c r="D12253" s="701"/>
      <c r="E12253" s="36"/>
      <c r="F12253" s="178"/>
      <c r="G12253" s="453"/>
      <c r="H12253" s="36"/>
      <c r="I12253" s="11"/>
    </row>
    <row r="12254" spans="1:12" ht="9" customHeight="1" thickBot="1">
      <c r="A12254" s="137"/>
      <c r="B12254" s="150" t="s">
        <v>16313</v>
      </c>
      <c r="C12254" s="147"/>
      <c r="D12254" s="701"/>
      <c r="E12254" s="36"/>
      <c r="F12254" s="178"/>
      <c r="G12254" s="453"/>
      <c r="H12254" s="36"/>
      <c r="I12254" s="11"/>
    </row>
    <row r="12255" spans="1:12" ht="11.15" customHeight="1">
      <c r="A12255" s="741" t="s">
        <v>16314</v>
      </c>
      <c r="B12255" s="154" t="s">
        <v>16315</v>
      </c>
      <c r="C12255" s="147"/>
      <c r="D12255" s="159"/>
      <c r="E12255" s="36"/>
      <c r="F12255" s="178"/>
      <c r="G12255" s="453"/>
      <c r="H12255" s="36"/>
      <c r="I12255" s="11"/>
    </row>
    <row r="12256" spans="1:12" ht="11.15" customHeight="1" thickBot="1">
      <c r="A12256" s="742" t="s">
        <v>16316</v>
      </c>
      <c r="B12256" s="59" t="s">
        <v>22767</v>
      </c>
      <c r="C12256" s="147" t="s">
        <v>20221</v>
      </c>
      <c r="D12256" s="701" t="s">
        <v>1129</v>
      </c>
      <c r="E12256" s="178">
        <v>2022</v>
      </c>
      <c r="F12256" s="178" t="s">
        <v>4520</v>
      </c>
      <c r="G12256" s="496"/>
      <c r="H12256" s="994" t="s">
        <v>20221</v>
      </c>
      <c r="I12256" s="11" t="s">
        <v>16317</v>
      </c>
      <c r="J12256" s="1285"/>
      <c r="K12256" s="1285"/>
      <c r="L12256" s="1285"/>
    </row>
    <row r="12257" spans="1:12" ht="11.15" customHeight="1">
      <c r="A12257" s="29" t="s">
        <v>16318</v>
      </c>
      <c r="B12257" s="59" t="s">
        <v>22767</v>
      </c>
      <c r="C12257" s="147" t="s">
        <v>20221</v>
      </c>
      <c r="D12257" s="701" t="s">
        <v>1129</v>
      </c>
      <c r="E12257" s="178">
        <v>2019</v>
      </c>
      <c r="F12257" s="178" t="s">
        <v>4520</v>
      </c>
      <c r="G12257" s="496"/>
      <c r="H12257" s="994" t="s">
        <v>20221</v>
      </c>
      <c r="I12257" s="11" t="s">
        <v>16319</v>
      </c>
      <c r="J12257" s="1285"/>
      <c r="K12257" s="1285"/>
      <c r="L12257" s="1285"/>
    </row>
    <row r="12258" spans="1:12" ht="11.15" customHeight="1">
      <c r="A12258" s="29" t="s">
        <v>16320</v>
      </c>
      <c r="B12258" s="59" t="s">
        <v>22768</v>
      </c>
      <c r="C12258" s="147" t="s">
        <v>20221</v>
      </c>
      <c r="D12258" s="701" t="s">
        <v>1129</v>
      </c>
      <c r="E12258" s="178">
        <v>2022</v>
      </c>
      <c r="F12258" s="178" t="s">
        <v>4520</v>
      </c>
      <c r="G12258" s="496"/>
      <c r="H12258" s="994" t="s">
        <v>20221</v>
      </c>
      <c r="I12258" s="11" t="s">
        <v>16321</v>
      </c>
      <c r="J12258" s="1285"/>
      <c r="K12258" s="1285"/>
      <c r="L12258" s="1285"/>
    </row>
    <row r="12259" spans="1:12" ht="11.15" customHeight="1">
      <c r="A12259" s="181" t="s">
        <v>16322</v>
      </c>
      <c r="B12259" s="59" t="s">
        <v>22769</v>
      </c>
      <c r="C12259" s="147" t="s">
        <v>20221</v>
      </c>
      <c r="D12259" s="701" t="s">
        <v>1129</v>
      </c>
      <c r="E12259" s="178">
        <v>2021</v>
      </c>
      <c r="F12259" s="178" t="s">
        <v>4520</v>
      </c>
      <c r="G12259" s="496"/>
      <c r="H12259" s="994" t="s">
        <v>20221</v>
      </c>
      <c r="I12259" s="11" t="s">
        <v>16323</v>
      </c>
      <c r="J12259" s="1285"/>
      <c r="K12259" s="1285"/>
      <c r="L12259" s="1285"/>
    </row>
    <row r="12260" spans="1:12" ht="11.15" customHeight="1">
      <c r="A12260" s="181" t="s">
        <v>950</v>
      </c>
      <c r="B12260" s="59" t="s">
        <v>22769</v>
      </c>
      <c r="C12260" s="147" t="s">
        <v>20221</v>
      </c>
      <c r="D12260" s="701" t="s">
        <v>1129</v>
      </c>
      <c r="E12260" s="178">
        <v>2017</v>
      </c>
      <c r="F12260" s="178" t="s">
        <v>4520</v>
      </c>
      <c r="G12260" s="496"/>
      <c r="H12260" s="994" t="s">
        <v>20277</v>
      </c>
      <c r="I12260" s="11" t="s">
        <v>16324</v>
      </c>
      <c r="J12260" s="1285"/>
      <c r="K12260" s="1285"/>
      <c r="L12260" s="1285"/>
    </row>
    <row r="12261" spans="1:12" ht="11.15" customHeight="1">
      <c r="A12261" s="29" t="s">
        <v>16325</v>
      </c>
      <c r="B12261" s="59" t="s">
        <v>22770</v>
      </c>
      <c r="C12261" s="147" t="s">
        <v>20221</v>
      </c>
      <c r="D12261" s="701" t="s">
        <v>1129</v>
      </c>
      <c r="E12261" s="178">
        <v>2018</v>
      </c>
      <c r="F12261" s="178" t="s">
        <v>4520</v>
      </c>
      <c r="G12261" s="496"/>
      <c r="H12261" s="994" t="s">
        <v>20224</v>
      </c>
      <c r="I12261" s="11" t="s">
        <v>16326</v>
      </c>
      <c r="J12261" s="1285"/>
      <c r="K12261" s="1285"/>
      <c r="L12261" s="1285"/>
    </row>
    <row r="12262" spans="1:12" ht="11.15" customHeight="1">
      <c r="A12262" s="29" t="s">
        <v>16327</v>
      </c>
      <c r="B12262" s="154" t="s">
        <v>16328</v>
      </c>
      <c r="C12262" s="147"/>
      <c r="D12262" s="159"/>
      <c r="E12262" s="36"/>
      <c r="F12262" s="178"/>
      <c r="G12262" s="496"/>
      <c r="H12262" s="36"/>
      <c r="I12262" s="11"/>
    </row>
    <row r="12263" spans="1:12" ht="11.15" customHeight="1">
      <c r="A12263" s="162" t="s">
        <v>16329</v>
      </c>
      <c r="B12263" s="59" t="s">
        <v>22771</v>
      </c>
      <c r="C12263" s="147" t="s">
        <v>20221</v>
      </c>
      <c r="D12263" s="284" t="s">
        <v>897</v>
      </c>
      <c r="E12263" s="178">
        <v>2020</v>
      </c>
      <c r="F12263" s="178" t="s">
        <v>4520</v>
      </c>
      <c r="G12263" s="496"/>
      <c r="H12263" s="994" t="s">
        <v>20221</v>
      </c>
      <c r="I12263" s="11" t="s">
        <v>16330</v>
      </c>
      <c r="J12263" s="1285"/>
      <c r="K12263" s="1285"/>
      <c r="L12263" s="1285"/>
    </row>
    <row r="12264" spans="1:12" ht="11.15" customHeight="1">
      <c r="A12264" s="162" t="s">
        <v>16331</v>
      </c>
      <c r="B12264" s="59" t="s">
        <v>22771</v>
      </c>
      <c r="C12264" s="147" t="s">
        <v>20221</v>
      </c>
      <c r="D12264" s="284" t="s">
        <v>897</v>
      </c>
      <c r="E12264" s="178">
        <v>2018</v>
      </c>
      <c r="F12264" s="178" t="s">
        <v>4520</v>
      </c>
      <c r="G12264" s="496"/>
      <c r="H12264" s="994" t="s">
        <v>20221</v>
      </c>
      <c r="I12264" s="11" t="s">
        <v>16332</v>
      </c>
      <c r="J12264" s="1285"/>
      <c r="K12264" s="1285"/>
      <c r="L12264" s="1285"/>
    </row>
    <row r="12265" spans="1:12" ht="11.15" customHeight="1">
      <c r="A12265" s="162" t="s">
        <v>16333</v>
      </c>
      <c r="B12265" s="59" t="s">
        <v>22771</v>
      </c>
      <c r="C12265" s="147" t="s">
        <v>20221</v>
      </c>
      <c r="D12265" s="284" t="s">
        <v>897</v>
      </c>
      <c r="E12265" s="178">
        <v>2016</v>
      </c>
      <c r="F12265" s="178" t="s">
        <v>4520</v>
      </c>
      <c r="G12265" s="496"/>
      <c r="H12265" s="994" t="s">
        <v>20221</v>
      </c>
      <c r="I12265" s="11" t="s">
        <v>16334</v>
      </c>
      <c r="J12265" s="1285"/>
      <c r="K12265" s="1285"/>
      <c r="L12265" s="1285"/>
    </row>
    <row r="12266" spans="1:12" ht="11.15" customHeight="1">
      <c r="A12266" s="162" t="s">
        <v>16335</v>
      </c>
      <c r="B12266" s="59" t="s">
        <v>22772</v>
      </c>
      <c r="C12266" s="147" t="s">
        <v>20221</v>
      </c>
      <c r="D12266" s="284" t="s">
        <v>897</v>
      </c>
      <c r="E12266" s="178">
        <v>2019</v>
      </c>
      <c r="F12266" s="178" t="s">
        <v>4520</v>
      </c>
      <c r="G12266" s="496"/>
      <c r="H12266" s="994" t="s">
        <v>20221</v>
      </c>
      <c r="I12266" s="11" t="s">
        <v>16336</v>
      </c>
      <c r="J12266" s="1285"/>
      <c r="K12266" s="1285"/>
      <c r="L12266" s="1285"/>
    </row>
    <row r="12267" spans="1:12" ht="11.15" customHeight="1">
      <c r="A12267" s="162" t="s">
        <v>16337</v>
      </c>
      <c r="B12267" s="59" t="s">
        <v>22772</v>
      </c>
      <c r="C12267" s="147" t="s">
        <v>20221</v>
      </c>
      <c r="D12267" s="284" t="s">
        <v>897</v>
      </c>
      <c r="E12267" s="178">
        <v>2018</v>
      </c>
      <c r="F12267" s="178" t="s">
        <v>4520</v>
      </c>
      <c r="G12267" s="496"/>
      <c r="H12267" s="994" t="s">
        <v>20221</v>
      </c>
      <c r="I12267" s="11" t="s">
        <v>16338</v>
      </c>
      <c r="J12267" s="1285"/>
      <c r="K12267" s="1285"/>
      <c r="L12267" s="1285"/>
    </row>
    <row r="12268" spans="1:12" ht="11.15" customHeight="1">
      <c r="A12268" s="162" t="s">
        <v>16339</v>
      </c>
      <c r="B12268" s="59" t="s">
        <v>22772</v>
      </c>
      <c r="C12268" s="147" t="s">
        <v>20221</v>
      </c>
      <c r="D12268" s="284" t="s">
        <v>897</v>
      </c>
      <c r="E12268" s="178">
        <v>2016</v>
      </c>
      <c r="F12268" s="178" t="s">
        <v>4520</v>
      </c>
      <c r="G12268" s="496"/>
      <c r="H12268" s="994" t="s">
        <v>20221</v>
      </c>
      <c r="I12268" s="11" t="s">
        <v>16340</v>
      </c>
      <c r="J12268" s="1285"/>
      <c r="K12268" s="1285"/>
      <c r="L12268" s="1285"/>
    </row>
    <row r="12269" spans="1:12" ht="11.15" customHeight="1">
      <c r="A12269" s="162" t="s">
        <v>16341</v>
      </c>
      <c r="B12269" s="154" t="s">
        <v>16342</v>
      </c>
      <c r="C12269" s="147"/>
      <c r="D12269" s="159"/>
      <c r="E12269" s="36"/>
      <c r="F12269" s="178"/>
      <c r="G12269" s="496"/>
      <c r="H12269" s="36"/>
      <c r="I12269" s="11"/>
    </row>
    <row r="12270" spans="1:12" ht="11.15" customHeight="1">
      <c r="A12270" s="129" t="s">
        <v>903</v>
      </c>
      <c r="B12270" s="59" t="s">
        <v>22773</v>
      </c>
      <c r="C12270" s="147" t="s">
        <v>20221</v>
      </c>
      <c r="D12270" s="284" t="s">
        <v>897</v>
      </c>
      <c r="E12270" s="178">
        <v>2019</v>
      </c>
      <c r="F12270" s="178" t="s">
        <v>4520</v>
      </c>
      <c r="G12270" s="496"/>
      <c r="H12270" s="994" t="s">
        <v>20221</v>
      </c>
      <c r="I12270" s="11" t="s">
        <v>16343</v>
      </c>
      <c r="J12270" s="1285"/>
      <c r="K12270" s="1285"/>
      <c r="L12270" s="1285"/>
    </row>
    <row r="12271" spans="1:12" ht="11.15" customHeight="1">
      <c r="A12271" s="162" t="s">
        <v>16344</v>
      </c>
      <c r="B12271" s="59" t="s">
        <v>22773</v>
      </c>
      <c r="C12271" s="147" t="s">
        <v>20221</v>
      </c>
      <c r="D12271" s="284" t="s">
        <v>897</v>
      </c>
      <c r="E12271" s="178">
        <v>2018</v>
      </c>
      <c r="F12271" s="178" t="s">
        <v>4520</v>
      </c>
      <c r="G12271" s="496"/>
      <c r="H12271" s="994" t="s">
        <v>20221</v>
      </c>
      <c r="I12271" s="11" t="s">
        <v>16345</v>
      </c>
      <c r="J12271" s="1285"/>
      <c r="K12271" s="1285"/>
      <c r="L12271" s="1285"/>
    </row>
    <row r="12272" spans="1:12" ht="11.15" customHeight="1">
      <c r="A12272" s="162" t="s">
        <v>16346</v>
      </c>
      <c r="B12272" s="59" t="s">
        <v>22774</v>
      </c>
      <c r="C12272" s="147" t="s">
        <v>20221</v>
      </c>
      <c r="D12272" s="284" t="s">
        <v>897</v>
      </c>
      <c r="E12272" s="178">
        <v>2019</v>
      </c>
      <c r="F12272" s="178" t="s">
        <v>4520</v>
      </c>
      <c r="G12272" s="496"/>
      <c r="H12272" s="994" t="s">
        <v>20221</v>
      </c>
      <c r="I12272" s="11" t="s">
        <v>16347</v>
      </c>
      <c r="J12272" s="1285"/>
      <c r="K12272" s="1285"/>
      <c r="L12272" s="1285"/>
    </row>
    <row r="12273" spans="1:12" ht="11.15" customHeight="1">
      <c r="A12273" s="162" t="s">
        <v>16348</v>
      </c>
      <c r="B12273" s="59" t="s">
        <v>22774</v>
      </c>
      <c r="C12273" s="147" t="s">
        <v>20221</v>
      </c>
      <c r="D12273" s="284" t="s">
        <v>897</v>
      </c>
      <c r="E12273" s="178">
        <v>2016</v>
      </c>
      <c r="F12273" s="178" t="s">
        <v>4520</v>
      </c>
      <c r="G12273" s="496"/>
      <c r="H12273" s="994" t="s">
        <v>20224</v>
      </c>
      <c r="I12273" s="11" t="s">
        <v>16349</v>
      </c>
      <c r="J12273" s="1285"/>
      <c r="K12273" s="1285"/>
      <c r="L12273" s="1285"/>
    </row>
    <row r="12274" spans="1:12" ht="11.15" customHeight="1">
      <c r="A12274" s="387" t="s">
        <v>16350</v>
      </c>
      <c r="B12274" s="90"/>
      <c r="C12274" s="147"/>
      <c r="D12274" s="161"/>
      <c r="E12274" s="36"/>
      <c r="F12274" s="178"/>
      <c r="G12274" s="496"/>
      <c r="H12274" s="36"/>
      <c r="I12274" s="11"/>
    </row>
    <row r="12275" spans="1:12" ht="11.15" customHeight="1">
      <c r="A12275" s="162" t="s">
        <v>16351</v>
      </c>
      <c r="B12275" s="90"/>
      <c r="C12275" s="147"/>
      <c r="D12275" s="161"/>
      <c r="E12275" s="36"/>
      <c r="F12275" s="178"/>
      <c r="G12275" s="496"/>
      <c r="H12275" s="36"/>
      <c r="I12275" s="11"/>
    </row>
    <row r="12276" spans="1:12" ht="11.15" customHeight="1">
      <c r="A12276" s="162" t="s">
        <v>16352</v>
      </c>
      <c r="B12276" s="185"/>
      <c r="C12276" s="147"/>
      <c r="D12276" s="185"/>
      <c r="E12276" s="185"/>
      <c r="F12276" s="185"/>
      <c r="G12276" s="185"/>
      <c r="H12276" s="185"/>
      <c r="I12276" s="11"/>
    </row>
    <row r="12277" spans="1:12" ht="11.15" customHeight="1">
      <c r="A12277" s="162" t="s">
        <v>16353</v>
      </c>
      <c r="B12277" s="90"/>
      <c r="C12277" s="147"/>
      <c r="D12277" s="161"/>
      <c r="E12277" s="36"/>
      <c r="F12277" s="178"/>
      <c r="G12277" s="496"/>
      <c r="H12277" s="36"/>
      <c r="I12277" s="11"/>
    </row>
    <row r="12278" spans="1:12" ht="11.15" customHeight="1">
      <c r="A12278" s="162" t="s">
        <v>16354</v>
      </c>
      <c r="B12278" s="67"/>
      <c r="C12278" s="147"/>
      <c r="D12278" s="161"/>
      <c r="E12278" s="36"/>
      <c r="F12278" s="178"/>
      <c r="G12278" s="496"/>
      <c r="H12278" s="36"/>
      <c r="I12278" s="11"/>
    </row>
    <row r="12279" spans="1:12" ht="11.15" customHeight="1">
      <c r="A12279" s="162" t="s">
        <v>16355</v>
      </c>
      <c r="B12279" s="90"/>
      <c r="C12279" s="147"/>
      <c r="D12279" s="129"/>
      <c r="E12279" s="185"/>
      <c r="F12279" s="185"/>
      <c r="G12279" s="496"/>
      <c r="H12279" s="185"/>
      <c r="I12279" s="11"/>
    </row>
    <row r="12280" spans="1:12" ht="11.15" customHeight="1">
      <c r="A12280" s="162" t="s">
        <v>16356</v>
      </c>
      <c r="B12280" s="90"/>
      <c r="C12280" s="147"/>
      <c r="D12280" s="159"/>
      <c r="E12280" s="36"/>
      <c r="F12280" s="178"/>
      <c r="G12280" s="496"/>
      <c r="H12280" s="36"/>
      <c r="I12280" s="11"/>
    </row>
    <row r="12281" spans="1:12" ht="11.15" customHeight="1">
      <c r="A12281" s="162" t="s">
        <v>16357</v>
      </c>
      <c r="B12281" s="90"/>
      <c r="C12281" s="147"/>
      <c r="D12281" s="159"/>
      <c r="E12281" s="36"/>
      <c r="F12281" s="178"/>
      <c r="G12281" s="496"/>
      <c r="H12281" s="36"/>
      <c r="I12281" s="11"/>
    </row>
    <row r="12282" spans="1:12" ht="11.15" customHeight="1">
      <c r="A12282" s="162" t="s">
        <v>16358</v>
      </c>
      <c r="B12282" s="90"/>
      <c r="C12282" s="147"/>
      <c r="D12282" s="159"/>
      <c r="E12282" s="36"/>
      <c r="F12282" s="178"/>
      <c r="G12282" s="496"/>
      <c r="H12282" s="36"/>
      <c r="I12282" s="11"/>
    </row>
    <row r="12283" spans="1:12" ht="11.15" customHeight="1">
      <c r="A12283" s="162" t="s">
        <v>16359</v>
      </c>
      <c r="B12283" s="90"/>
      <c r="C12283" s="147"/>
      <c r="D12283" s="159"/>
      <c r="E12283" s="36"/>
      <c r="F12283" s="178"/>
      <c r="G12283" s="496"/>
      <c r="H12283" s="36"/>
      <c r="I12283" s="11"/>
    </row>
    <row r="12284" spans="1:12" ht="11.15" customHeight="1">
      <c r="A12284" s="162" t="s">
        <v>16360</v>
      </c>
      <c r="B12284" s="90"/>
      <c r="C12284" s="147"/>
      <c r="D12284" s="159"/>
      <c r="E12284" s="36"/>
      <c r="F12284" s="178"/>
      <c r="G12284" s="496"/>
      <c r="H12284" s="36"/>
      <c r="I12284" s="11"/>
    </row>
    <row r="12285" spans="1:12" ht="11.15" customHeight="1">
      <c r="A12285" s="129" t="s">
        <v>16140</v>
      </c>
      <c r="B12285" s="90"/>
      <c r="C12285" s="147"/>
      <c r="D12285" s="159"/>
      <c r="E12285" s="36"/>
      <c r="F12285" s="178"/>
      <c r="G12285" s="496"/>
      <c r="H12285" s="36"/>
      <c r="I12285" s="11"/>
    </row>
    <row r="12286" spans="1:12" ht="11.15" customHeight="1">
      <c r="A12286" s="162" t="s">
        <v>16361</v>
      </c>
      <c r="B12286" s="90"/>
      <c r="C12286" s="147"/>
      <c r="D12286" s="159"/>
      <c r="E12286" s="36"/>
      <c r="F12286" s="178"/>
      <c r="G12286" s="496"/>
      <c r="H12286" s="36"/>
      <c r="I12286" s="11"/>
    </row>
    <row r="12287" spans="1:12" ht="11.15" customHeight="1">
      <c r="A12287" s="162" t="s">
        <v>16362</v>
      </c>
      <c r="B12287" s="90"/>
      <c r="C12287" s="147"/>
      <c r="D12287" s="129"/>
      <c r="E12287" s="185"/>
      <c r="F12287" s="185"/>
      <c r="G12287" s="496"/>
      <c r="H12287" s="185"/>
      <c r="I12287" s="11"/>
    </row>
    <row r="12288" spans="1:12" ht="11.15" customHeight="1">
      <c r="A12288" s="166" t="s">
        <v>15718</v>
      </c>
      <c r="B12288" s="90"/>
      <c r="C12288" s="147"/>
      <c r="D12288" s="129"/>
      <c r="E12288" s="185"/>
      <c r="F12288" s="185"/>
      <c r="G12288" s="496"/>
      <c r="H12288" s="185"/>
      <c r="I12288" s="11"/>
    </row>
    <row r="12289" spans="1:12" ht="11.15" customHeight="1">
      <c r="A12289" s="166" t="s">
        <v>16363</v>
      </c>
      <c r="B12289" s="90"/>
      <c r="C12289" s="147"/>
      <c r="D12289" s="129"/>
      <c r="E12289" s="185"/>
      <c r="F12289" s="185"/>
      <c r="G12289" s="496"/>
      <c r="H12289" s="185"/>
      <c r="I12289" s="11"/>
    </row>
    <row r="12290" spans="1:12" ht="11.15" customHeight="1">
      <c r="A12290" s="166" t="s">
        <v>16364</v>
      </c>
      <c r="B12290" s="90"/>
      <c r="C12290" s="147"/>
      <c r="D12290" s="129"/>
      <c r="E12290" s="185"/>
      <c r="F12290" s="185"/>
      <c r="G12290" s="496"/>
      <c r="H12290" s="185"/>
      <c r="I12290" s="11"/>
    </row>
    <row r="12291" spans="1:12" ht="11.15" customHeight="1">
      <c r="A12291" s="129" t="s">
        <v>16365</v>
      </c>
      <c r="B12291" s="90"/>
      <c r="C12291" s="147"/>
      <c r="D12291" s="129"/>
      <c r="E12291" s="185"/>
      <c r="F12291" s="185"/>
      <c r="G12291" s="496"/>
      <c r="H12291" s="185"/>
      <c r="I12291" s="11"/>
    </row>
    <row r="12292" spans="1:12" ht="11.15" customHeight="1">
      <c r="A12292" s="129" t="s">
        <v>16366</v>
      </c>
      <c r="B12292" s="90"/>
      <c r="C12292" s="147"/>
      <c r="D12292" s="129"/>
      <c r="E12292" s="185"/>
      <c r="F12292" s="185"/>
      <c r="G12292" s="496"/>
      <c r="H12292" s="185"/>
      <c r="I12292" s="11"/>
    </row>
    <row r="12293" spans="1:12" ht="11.15" customHeight="1" thickBot="1">
      <c r="A12293" s="29"/>
      <c r="B12293" s="90"/>
      <c r="C12293" s="147"/>
      <c r="D12293" s="129"/>
      <c r="E12293" s="185"/>
      <c r="F12293" s="185"/>
      <c r="G12293" s="496"/>
      <c r="H12293" s="185"/>
      <c r="I12293" s="11"/>
    </row>
    <row r="12294" spans="1:12" ht="24" customHeight="1" thickBot="1">
      <c r="A12294" s="542"/>
      <c r="B12294" s="64" t="s">
        <v>16367</v>
      </c>
      <c r="C12294" s="170"/>
      <c r="D12294" s="541"/>
      <c r="E12294" s="510"/>
      <c r="F12294" s="1080"/>
      <c r="G12294" s="750"/>
      <c r="H12294" s="751"/>
      <c r="I12294" s="11"/>
    </row>
    <row r="12295" spans="1:12" ht="11.15" customHeight="1" thickBot="1">
      <c r="A12295" s="184" t="s">
        <v>16368</v>
      </c>
      <c r="B12295" s="177" t="s">
        <v>16369</v>
      </c>
      <c r="C12295" s="147"/>
      <c r="D12295" s="182"/>
      <c r="E12295" s="34"/>
      <c r="F12295" s="183"/>
      <c r="G12295" s="496"/>
      <c r="H12295" s="183"/>
      <c r="I12295" s="11"/>
    </row>
    <row r="12296" spans="1:12" ht="11.15" customHeight="1">
      <c r="A12296" s="29" t="s">
        <v>16370</v>
      </c>
      <c r="B12296" s="59" t="s">
        <v>22776</v>
      </c>
      <c r="C12296" s="147" t="s">
        <v>20221</v>
      </c>
      <c r="D12296" s="739" t="s">
        <v>1410</v>
      </c>
      <c r="E12296" s="178">
        <v>2009</v>
      </c>
      <c r="F12296" s="178" t="s">
        <v>7168</v>
      </c>
      <c r="G12296" s="496"/>
      <c r="H12296" s="994" t="s">
        <v>20221</v>
      </c>
      <c r="I12296" s="11" t="s">
        <v>16371</v>
      </c>
      <c r="J12296" s="1285"/>
      <c r="K12296" s="1285"/>
      <c r="L12296" s="1285"/>
    </row>
    <row r="12297" spans="1:12" ht="11.25" customHeight="1">
      <c r="A12297" s="29" t="s">
        <v>16372</v>
      </c>
      <c r="B12297" s="185"/>
      <c r="C12297" s="147"/>
      <c r="D12297" s="185"/>
      <c r="E12297" s="185"/>
      <c r="F12297" s="185"/>
      <c r="G12297" s="185"/>
      <c r="H12297" s="185"/>
      <c r="I12297" s="11"/>
    </row>
    <row r="12298" spans="1:12" ht="11.15" customHeight="1">
      <c r="A12298" s="29" t="s">
        <v>16373</v>
      </c>
      <c r="B12298" s="185"/>
      <c r="C12298" s="147"/>
      <c r="D12298" s="185"/>
      <c r="E12298" s="185"/>
      <c r="F12298" s="185"/>
      <c r="G12298" s="185"/>
      <c r="H12298" s="185"/>
      <c r="I12298" s="11"/>
    </row>
    <row r="12299" spans="1:12" ht="11.15" customHeight="1">
      <c r="A12299" s="29" t="s">
        <v>16374</v>
      </c>
      <c r="B12299" s="185"/>
      <c r="C12299" s="147"/>
      <c r="D12299" s="185"/>
      <c r="E12299" s="185"/>
      <c r="F12299" s="185"/>
      <c r="G12299" s="185"/>
      <c r="H12299" s="185"/>
      <c r="I12299" s="11"/>
    </row>
    <row r="12300" spans="1:12" ht="11.25" customHeight="1">
      <c r="A12300" s="29" t="s">
        <v>16375</v>
      </c>
      <c r="B12300" s="185"/>
      <c r="C12300" s="147"/>
      <c r="D12300" s="185"/>
      <c r="E12300" s="185"/>
      <c r="F12300" s="185"/>
      <c r="G12300" s="185"/>
      <c r="H12300" s="185"/>
      <c r="I12300" s="11"/>
    </row>
    <row r="12301" spans="1:12" ht="11.15" customHeight="1">
      <c r="A12301" s="129" t="s">
        <v>9299</v>
      </c>
      <c r="B12301" s="185"/>
      <c r="C12301" s="147"/>
      <c r="D12301" s="185"/>
      <c r="E12301" s="185"/>
      <c r="F12301" s="185"/>
      <c r="G12301" s="185"/>
      <c r="H12301" s="185"/>
      <c r="I12301" s="11"/>
    </row>
    <row r="12302" spans="1:12" ht="11.15" customHeight="1">
      <c r="A12302" s="162" t="s">
        <v>16376</v>
      </c>
      <c r="B12302" s="185"/>
      <c r="C12302" s="147"/>
      <c r="D12302" s="185"/>
      <c r="E12302" s="185"/>
      <c r="F12302" s="185"/>
      <c r="G12302" s="185"/>
      <c r="H12302" s="185"/>
      <c r="I12302" s="11"/>
    </row>
    <row r="12303" spans="1:12" ht="11.15" customHeight="1">
      <c r="A12303" s="162" t="s">
        <v>16377</v>
      </c>
      <c r="B12303" s="185"/>
      <c r="C12303" s="147"/>
      <c r="D12303" s="185"/>
      <c r="E12303" s="185"/>
      <c r="F12303" s="185"/>
      <c r="G12303" s="185"/>
      <c r="H12303" s="185"/>
      <c r="I12303" s="11"/>
    </row>
    <row r="12304" spans="1:12" ht="11.15" customHeight="1">
      <c r="A12304" s="162" t="s">
        <v>16378</v>
      </c>
      <c r="B12304" s="185"/>
      <c r="C12304" s="147"/>
      <c r="D12304" s="129"/>
      <c r="E12304" s="185"/>
      <c r="F12304" s="185"/>
      <c r="G12304" s="185"/>
      <c r="H12304" s="185"/>
      <c r="I12304" s="11"/>
    </row>
    <row r="12305" spans="1:9" ht="11.15" customHeight="1">
      <c r="A12305" s="162" t="s">
        <v>16379</v>
      </c>
      <c r="B12305" s="185"/>
      <c r="C12305" s="147"/>
      <c r="D12305" s="129"/>
      <c r="E12305" s="185"/>
      <c r="F12305" s="185"/>
      <c r="G12305" s="185"/>
      <c r="H12305" s="185"/>
      <c r="I12305" s="11"/>
    </row>
    <row r="12306" spans="1:9" ht="11.15" customHeight="1">
      <c r="A12306" s="734" t="s">
        <v>16380</v>
      </c>
      <c r="B12306" s="185"/>
      <c r="C12306" s="147"/>
      <c r="D12306" s="129"/>
      <c r="E12306" s="185"/>
      <c r="F12306" s="185"/>
      <c r="G12306" s="185"/>
      <c r="H12306" s="185"/>
      <c r="I12306" s="11"/>
    </row>
    <row r="12307" spans="1:9" ht="11.15" customHeight="1">
      <c r="A12307" s="734" t="s">
        <v>16381</v>
      </c>
      <c r="B12307" s="185"/>
      <c r="C12307" s="147"/>
      <c r="D12307" s="129"/>
      <c r="E12307" s="185"/>
      <c r="F12307" s="185"/>
      <c r="G12307" s="185"/>
      <c r="H12307" s="185"/>
      <c r="I12307" s="11"/>
    </row>
    <row r="12308" spans="1:9" ht="11.15" customHeight="1">
      <c r="A12308" s="129" t="s">
        <v>16382</v>
      </c>
      <c r="B12308" s="185"/>
      <c r="C12308" s="147"/>
      <c r="D12308" s="129"/>
      <c r="E12308" s="185"/>
      <c r="F12308" s="185"/>
      <c r="G12308" s="185"/>
      <c r="H12308" s="185"/>
      <c r="I12308" s="11"/>
    </row>
    <row r="12309" spans="1:9" ht="11.15" customHeight="1">
      <c r="A12309" s="162" t="s">
        <v>16383</v>
      </c>
      <c r="B12309" s="185"/>
      <c r="C12309" s="147"/>
      <c r="D12309" s="129"/>
      <c r="E12309" s="185"/>
      <c r="F12309" s="185"/>
      <c r="G12309" s="185"/>
      <c r="H12309" s="185"/>
      <c r="I12309" s="11"/>
    </row>
    <row r="12310" spans="1:9" ht="11.15" customHeight="1">
      <c r="A12310" s="162" t="s">
        <v>14239</v>
      </c>
      <c r="B12310" s="185"/>
      <c r="C12310" s="147"/>
      <c r="D12310" s="129"/>
      <c r="E12310" s="185"/>
      <c r="F12310" s="185"/>
      <c r="G12310" s="185"/>
      <c r="H12310" s="185"/>
      <c r="I12310" s="11"/>
    </row>
    <row r="12311" spans="1:9" ht="11.15" customHeight="1">
      <c r="A12311" s="162" t="s">
        <v>16384</v>
      </c>
      <c r="B12311" s="90"/>
      <c r="C12311" s="147"/>
      <c r="D12311" s="182"/>
      <c r="E12311" s="36"/>
      <c r="F12311" s="183"/>
      <c r="G12311" s="496"/>
      <c r="H12311" s="34"/>
      <c r="I12311" s="11"/>
    </row>
    <row r="12312" spans="1:9" ht="11.15" customHeight="1">
      <c r="A12312" s="162" t="s">
        <v>9889</v>
      </c>
      <c r="B12312" s="185"/>
      <c r="C12312" s="147"/>
      <c r="D12312" s="129"/>
      <c r="E12312" s="185"/>
      <c r="F12312" s="185"/>
      <c r="G12312" s="185"/>
      <c r="H12312" s="185"/>
      <c r="I12312" s="11"/>
    </row>
    <row r="12313" spans="1:9" ht="11.15" customHeight="1">
      <c r="A12313" s="162" t="s">
        <v>16385</v>
      </c>
      <c r="B12313" s="185"/>
      <c r="C12313" s="147"/>
      <c r="D12313" s="129"/>
      <c r="E12313" s="185"/>
      <c r="F12313" s="185"/>
      <c r="G12313" s="185"/>
      <c r="H12313" s="185"/>
      <c r="I12313" s="11"/>
    </row>
    <row r="12314" spans="1:9" ht="11.15" customHeight="1">
      <c r="A12314" s="162" t="s">
        <v>16386</v>
      </c>
      <c r="B12314" s="185"/>
      <c r="C12314" s="147"/>
      <c r="D12314" s="129"/>
      <c r="E12314" s="185"/>
      <c r="F12314" s="185"/>
      <c r="G12314" s="185"/>
      <c r="H12314" s="185"/>
      <c r="I12314" s="11"/>
    </row>
    <row r="12315" spans="1:9" ht="11.15" customHeight="1">
      <c r="A12315" s="162" t="s">
        <v>15672</v>
      </c>
      <c r="B12315" s="185"/>
      <c r="C12315" s="147"/>
      <c r="D12315" s="185"/>
      <c r="E12315" s="185"/>
      <c r="F12315" s="185"/>
      <c r="G12315" s="185"/>
      <c r="H12315" s="185"/>
      <c r="I12315" s="11"/>
    </row>
    <row r="12316" spans="1:9" ht="11.15" customHeight="1">
      <c r="A12316" s="162" t="s">
        <v>16387</v>
      </c>
      <c r="B12316" s="185"/>
      <c r="C12316" s="147"/>
      <c r="D12316" s="185"/>
      <c r="E12316" s="185"/>
      <c r="F12316" s="185"/>
      <c r="G12316" s="185"/>
      <c r="H12316" s="185"/>
      <c r="I12316" s="11"/>
    </row>
    <row r="12317" spans="1:9" ht="11.15" customHeight="1">
      <c r="A12317" s="162" t="s">
        <v>15832</v>
      </c>
      <c r="B12317" s="185"/>
      <c r="C12317" s="147"/>
      <c r="D12317" s="185"/>
      <c r="E12317" s="185"/>
      <c r="F12317" s="185"/>
      <c r="G12317" s="185"/>
      <c r="H12317" s="185"/>
      <c r="I12317" s="11"/>
    </row>
    <row r="12318" spans="1:9" ht="11.15" customHeight="1">
      <c r="A12318" s="162" t="s">
        <v>10522</v>
      </c>
      <c r="B12318" s="185"/>
      <c r="C12318" s="147"/>
      <c r="D12318" s="185"/>
      <c r="E12318" s="185"/>
      <c r="F12318" s="185"/>
      <c r="G12318" s="185"/>
      <c r="H12318" s="185"/>
      <c r="I12318" s="11"/>
    </row>
    <row r="12319" spans="1:9" ht="11.15" customHeight="1">
      <c r="A12319" s="162" t="s">
        <v>16388</v>
      </c>
      <c r="B12319" s="185"/>
      <c r="C12319" s="147"/>
      <c r="D12319" s="185"/>
      <c r="E12319" s="185"/>
      <c r="F12319" s="185"/>
      <c r="G12319" s="185"/>
      <c r="H12319" s="185"/>
      <c r="I12319" s="11"/>
    </row>
    <row r="12320" spans="1:9" ht="9.75" customHeight="1">
      <c r="A12320" s="733" t="s">
        <v>16140</v>
      </c>
      <c r="B12320" s="185"/>
      <c r="C12320" s="147"/>
      <c r="D12320" s="185"/>
      <c r="E12320" s="185"/>
      <c r="F12320" s="185"/>
      <c r="G12320" s="185"/>
      <c r="H12320" s="185"/>
      <c r="I12320" s="11"/>
    </row>
    <row r="12321" spans="1:12" ht="11.15" customHeight="1">
      <c r="A12321" s="162" t="s">
        <v>15839</v>
      </c>
      <c r="B12321" s="185"/>
      <c r="C12321" s="147"/>
      <c r="D12321" s="185"/>
      <c r="E12321" s="185"/>
      <c r="F12321" s="185"/>
      <c r="G12321" s="185"/>
      <c r="H12321" s="185"/>
      <c r="I12321" s="11"/>
    </row>
    <row r="12322" spans="1:12" ht="11.15" customHeight="1">
      <c r="A12322" s="162" t="s">
        <v>15841</v>
      </c>
      <c r="B12322" s="185"/>
      <c r="C12322" s="147"/>
      <c r="D12322" s="185"/>
      <c r="E12322" s="185"/>
      <c r="F12322" s="185"/>
      <c r="G12322" s="185"/>
      <c r="H12322" s="185"/>
      <c r="I12322" s="11"/>
    </row>
    <row r="12323" spans="1:12" ht="11.15" customHeight="1">
      <c r="A12323" s="162" t="s">
        <v>16389</v>
      </c>
      <c r="B12323" s="185"/>
      <c r="C12323" s="147"/>
      <c r="D12323" s="185"/>
      <c r="E12323" s="185"/>
      <c r="F12323" s="185"/>
      <c r="G12323" s="185"/>
      <c r="H12323" s="185"/>
      <c r="I12323" s="11"/>
    </row>
    <row r="12324" spans="1:12" ht="11.15" customHeight="1">
      <c r="A12324" s="212" t="s">
        <v>15718</v>
      </c>
      <c r="B12324" s="185"/>
      <c r="C12324" s="147"/>
      <c r="D12324" s="185"/>
      <c r="E12324" s="185"/>
      <c r="F12324" s="185"/>
      <c r="G12324" s="185"/>
      <c r="H12324" s="185"/>
      <c r="I12324" s="11"/>
    </row>
    <row r="12325" spans="1:12" ht="11.15" customHeight="1">
      <c r="A12325" s="212" t="s">
        <v>16390</v>
      </c>
      <c r="B12325" s="185"/>
      <c r="C12325" s="147"/>
      <c r="D12325" s="185"/>
      <c r="E12325" s="185"/>
      <c r="F12325" s="185"/>
      <c r="G12325" s="185"/>
      <c r="H12325" s="185"/>
      <c r="I12325" s="11"/>
    </row>
    <row r="12326" spans="1:12" ht="11.15" customHeight="1">
      <c r="A12326" s="212" t="s">
        <v>16391</v>
      </c>
      <c r="B12326" s="185"/>
      <c r="C12326" s="147"/>
      <c r="D12326" s="129"/>
      <c r="E12326" s="185"/>
      <c r="F12326" s="185"/>
      <c r="G12326" s="185"/>
      <c r="H12326" s="185"/>
      <c r="I12326" s="11"/>
    </row>
    <row r="12327" spans="1:12" ht="11.15" customHeight="1">
      <c r="A12327" s="129" t="s">
        <v>16392</v>
      </c>
      <c r="B12327" s="90"/>
      <c r="C12327" s="147"/>
      <c r="D12327" s="159"/>
      <c r="E12327" s="36"/>
      <c r="F12327" s="178"/>
      <c r="G12327" s="496"/>
      <c r="H12327" s="36"/>
      <c r="I12327" s="11"/>
    </row>
    <row r="12328" spans="1:12" ht="11.15" customHeight="1" thickBot="1">
      <c r="A12328" s="185"/>
      <c r="B12328" s="90"/>
      <c r="C12328" s="147"/>
      <c r="D12328" s="122"/>
      <c r="E12328" s="36"/>
      <c r="F12328" s="183"/>
      <c r="G12328" s="496"/>
      <c r="H12328" s="34"/>
      <c r="I12328" s="11"/>
    </row>
    <row r="12329" spans="1:12" ht="24" customHeight="1" thickBot="1">
      <c r="A12329" s="542"/>
      <c r="B12329" s="64" t="s">
        <v>16393</v>
      </c>
      <c r="C12329" s="170"/>
      <c r="D12329" s="541"/>
      <c r="E12329" s="510"/>
      <c r="F12329" s="1080"/>
      <c r="G12329" s="750"/>
      <c r="H12329" s="751"/>
      <c r="I12329" s="11"/>
    </row>
    <row r="12330" spans="1:12" ht="11.15" customHeight="1" thickBot="1">
      <c r="A12330" s="331"/>
      <c r="B12330" s="547" t="s">
        <v>12321</v>
      </c>
      <c r="C12330" s="321"/>
      <c r="D12330" s="341"/>
      <c r="E12330" s="322"/>
      <c r="F12330" s="578"/>
      <c r="G12330" s="1204"/>
      <c r="H12330" s="322"/>
      <c r="I12330" s="11"/>
    </row>
    <row r="12331" spans="1:12" ht="11.15" customHeight="1" thickBot="1">
      <c r="A12331" s="743" t="s">
        <v>16394</v>
      </c>
      <c r="B12331" s="324" t="s">
        <v>22777</v>
      </c>
      <c r="C12331" s="321" t="s">
        <v>20221</v>
      </c>
      <c r="D12331" s="1297" t="s">
        <v>1129</v>
      </c>
      <c r="E12331" s="578">
        <v>2003</v>
      </c>
      <c r="F12331" s="578" t="s">
        <v>4520</v>
      </c>
      <c r="G12331" s="1204"/>
      <c r="H12331" s="1296" t="s">
        <v>20277</v>
      </c>
      <c r="I12331" s="11" t="s">
        <v>16395</v>
      </c>
      <c r="J12331" s="1285"/>
      <c r="K12331" s="1285"/>
      <c r="L12331" s="1285"/>
    </row>
    <row r="12332" spans="1:12" ht="11.15" customHeight="1">
      <c r="A12332" s="744" t="s">
        <v>16396</v>
      </c>
      <c r="B12332" s="324" t="s">
        <v>22778</v>
      </c>
      <c r="C12332" s="321" t="s">
        <v>20221</v>
      </c>
      <c r="D12332" s="1297" t="s">
        <v>1129</v>
      </c>
      <c r="E12332" s="578">
        <v>2003</v>
      </c>
      <c r="F12332" s="578" t="s">
        <v>4520</v>
      </c>
      <c r="G12332" s="1204"/>
      <c r="H12332" s="1296" t="s">
        <v>20465</v>
      </c>
      <c r="I12332" s="11" t="s">
        <v>16397</v>
      </c>
      <c r="J12332" s="1285"/>
      <c r="K12332" s="1285"/>
      <c r="L12332" s="1285"/>
    </row>
    <row r="12333" spans="1:12" ht="11.15" customHeight="1">
      <c r="A12333" s="744" t="s">
        <v>16398</v>
      </c>
      <c r="B12333" s="324" t="s">
        <v>22778</v>
      </c>
      <c r="C12333" s="321" t="s">
        <v>20221</v>
      </c>
      <c r="D12333" s="1297" t="s">
        <v>1129</v>
      </c>
      <c r="E12333" s="578">
        <v>2002</v>
      </c>
      <c r="F12333" s="578" t="s">
        <v>4520</v>
      </c>
      <c r="G12333" s="1204"/>
      <c r="H12333" s="1296" t="s">
        <v>20224</v>
      </c>
      <c r="I12333" s="11" t="s">
        <v>16399</v>
      </c>
      <c r="J12333" s="1285"/>
      <c r="K12333" s="1285"/>
      <c r="L12333" s="1285"/>
    </row>
    <row r="12334" spans="1:12" ht="11.15" customHeight="1">
      <c r="A12334" s="745" t="s">
        <v>890</v>
      </c>
      <c r="B12334" s="580"/>
      <c r="C12334" s="321"/>
      <c r="D12334" s="348"/>
      <c r="E12334" s="322"/>
      <c r="F12334" s="347"/>
      <c r="G12334" s="1235"/>
      <c r="H12334" s="326" t="s">
        <v>20221</v>
      </c>
      <c r="I12334" s="11"/>
    </row>
    <row r="12335" spans="1:12" ht="11.15" customHeight="1">
      <c r="A12335" s="746" t="s">
        <v>3659</v>
      </c>
      <c r="B12335" s="329"/>
      <c r="C12335" s="321"/>
      <c r="D12335" s="330"/>
      <c r="E12335" s="329"/>
      <c r="F12335" s="329"/>
      <c r="G12335" s="329"/>
      <c r="H12335" s="329" t="s">
        <v>20221</v>
      </c>
      <c r="I12335" s="11"/>
    </row>
    <row r="12336" spans="1:12" ht="11.15" customHeight="1">
      <c r="A12336" s="331" t="s">
        <v>16400</v>
      </c>
      <c r="B12336" s="324"/>
      <c r="C12336" s="321"/>
      <c r="D12336" s="341"/>
      <c r="E12336" s="322"/>
      <c r="F12336" s="578"/>
      <c r="G12336" s="1204"/>
      <c r="H12336" s="322" t="s">
        <v>20221</v>
      </c>
      <c r="I12336" s="11"/>
    </row>
    <row r="12337" spans="1:12" ht="11.15" customHeight="1">
      <c r="A12337" s="331" t="s">
        <v>16401</v>
      </c>
      <c r="B12337" s="324"/>
      <c r="C12337" s="321"/>
      <c r="D12337" s="341"/>
      <c r="E12337" s="322"/>
      <c r="F12337" s="578"/>
      <c r="G12337" s="1204"/>
      <c r="H12337" s="322" t="s">
        <v>20221</v>
      </c>
      <c r="I12337" s="11"/>
    </row>
    <row r="12338" spans="1:12" ht="11.15" customHeight="1">
      <c r="A12338" s="331" t="s">
        <v>16402</v>
      </c>
      <c r="B12338" s="324"/>
      <c r="C12338" s="321"/>
      <c r="D12338" s="341"/>
      <c r="E12338" s="322"/>
      <c r="F12338" s="578"/>
      <c r="G12338" s="1204"/>
      <c r="H12338" s="322" t="s">
        <v>20221</v>
      </c>
      <c r="I12338" s="11"/>
    </row>
    <row r="12339" spans="1:12" ht="11.15" customHeight="1">
      <c r="A12339" s="331" t="s">
        <v>9794</v>
      </c>
      <c r="B12339" s="324"/>
      <c r="C12339" s="321"/>
      <c r="D12339" s="341"/>
      <c r="E12339" s="322"/>
      <c r="F12339" s="578"/>
      <c r="G12339" s="1204"/>
      <c r="H12339" s="322" t="s">
        <v>20221</v>
      </c>
      <c r="I12339" s="11"/>
    </row>
    <row r="12340" spans="1:12" ht="11.15" customHeight="1">
      <c r="A12340" s="332" t="s">
        <v>16403</v>
      </c>
      <c r="B12340" s="324"/>
      <c r="C12340" s="321"/>
      <c r="D12340" s="341"/>
      <c r="E12340" s="322"/>
      <c r="F12340" s="578"/>
      <c r="G12340" s="1204"/>
      <c r="H12340" s="322" t="s">
        <v>20221</v>
      </c>
      <c r="I12340" s="11"/>
    </row>
    <row r="12341" spans="1:12" ht="11.15" customHeight="1">
      <c r="A12341" s="330" t="s">
        <v>16404</v>
      </c>
      <c r="B12341" s="324"/>
      <c r="C12341" s="321"/>
      <c r="D12341" s="341"/>
      <c r="E12341" s="322"/>
      <c r="F12341" s="578"/>
      <c r="G12341" s="1204"/>
      <c r="H12341" s="322" t="s">
        <v>20221</v>
      </c>
      <c r="I12341" s="11"/>
    </row>
    <row r="12342" spans="1:12" ht="11.15" customHeight="1">
      <c r="A12342" s="330" t="s">
        <v>16405</v>
      </c>
      <c r="B12342" s="324"/>
      <c r="C12342" s="321"/>
      <c r="D12342" s="341"/>
      <c r="E12342" s="322"/>
      <c r="F12342" s="578"/>
      <c r="G12342" s="1204"/>
      <c r="H12342" s="322" t="s">
        <v>20221</v>
      </c>
      <c r="I12342" s="11"/>
    </row>
    <row r="12343" spans="1:12" ht="11.15" customHeight="1" thickBot="1">
      <c r="A12343" s="29"/>
      <c r="B12343" s="90"/>
      <c r="C12343" s="147"/>
      <c r="D12343" s="159"/>
      <c r="E12343" s="36"/>
      <c r="F12343" s="178"/>
      <c r="G12343" s="496"/>
      <c r="H12343" s="36" t="s">
        <v>20221</v>
      </c>
      <c r="I12343" s="11"/>
    </row>
    <row r="12344" spans="1:12" ht="24" customHeight="1" thickBot="1">
      <c r="A12344" s="549"/>
      <c r="B12344" s="50" t="s">
        <v>16406</v>
      </c>
      <c r="C12344" s="170"/>
      <c r="D12344" s="382"/>
      <c r="E12344" s="235"/>
      <c r="F12344" s="383"/>
      <c r="G12344" s="750"/>
      <c r="H12344" s="751"/>
      <c r="I12344" s="11"/>
    </row>
    <row r="12345" spans="1:12" ht="11.15" customHeight="1" thickBot="1">
      <c r="A12345" s="319"/>
      <c r="B12345" s="547" t="s">
        <v>16407</v>
      </c>
      <c r="C12345" s="321"/>
      <c r="D12345" s="345"/>
      <c r="E12345" s="322"/>
      <c r="F12345" s="578"/>
      <c r="G12345" s="1204"/>
      <c r="H12345" s="322" t="s">
        <v>20221</v>
      </c>
      <c r="I12345" s="11"/>
    </row>
    <row r="12346" spans="1:12" ht="11.25" customHeight="1">
      <c r="A12346" s="323" t="s">
        <v>16408</v>
      </c>
      <c r="B12346" s="324" t="s">
        <v>22779</v>
      </c>
      <c r="C12346" s="321" t="s">
        <v>20221</v>
      </c>
      <c r="D12346" s="1297" t="s">
        <v>1129</v>
      </c>
      <c r="E12346" s="578">
        <v>2021</v>
      </c>
      <c r="F12346" s="578" t="s">
        <v>4520</v>
      </c>
      <c r="G12346" s="1204"/>
      <c r="H12346" s="1296" t="s">
        <v>20465</v>
      </c>
      <c r="I12346" s="11" t="s">
        <v>16409</v>
      </c>
      <c r="J12346" s="1285"/>
      <c r="K12346" s="1285"/>
      <c r="L12346" s="1285"/>
    </row>
    <row r="12347" spans="1:12" ht="11.25" customHeight="1" thickBot="1">
      <c r="A12347" s="327" t="s">
        <v>16410</v>
      </c>
      <c r="B12347" s="324" t="s">
        <v>22780</v>
      </c>
      <c r="C12347" s="321" t="s">
        <v>20221</v>
      </c>
      <c r="D12347" s="1036" t="s">
        <v>2573</v>
      </c>
      <c r="E12347" s="578">
        <v>2022</v>
      </c>
      <c r="F12347" s="578" t="s">
        <v>4520</v>
      </c>
      <c r="G12347" s="1204"/>
      <c r="H12347" s="1296" t="s">
        <v>20465</v>
      </c>
      <c r="I12347" s="11" t="s">
        <v>16411</v>
      </c>
      <c r="J12347" s="1285"/>
      <c r="K12347" s="1285"/>
      <c r="L12347" s="1285"/>
    </row>
    <row r="12348" spans="1:12" ht="11.15" customHeight="1">
      <c r="A12348" s="747" t="s">
        <v>16412</v>
      </c>
      <c r="B12348" s="324" t="s">
        <v>22781</v>
      </c>
      <c r="C12348" s="321" t="s">
        <v>20221</v>
      </c>
      <c r="D12348" s="1295" t="s">
        <v>897</v>
      </c>
      <c r="E12348" s="578">
        <v>2021</v>
      </c>
      <c r="F12348" s="578" t="s">
        <v>4520</v>
      </c>
      <c r="G12348" s="1204"/>
      <c r="H12348" s="322" t="s">
        <v>20221</v>
      </c>
      <c r="I12348" s="11" t="s">
        <v>16413</v>
      </c>
      <c r="J12348" s="1285"/>
      <c r="K12348" s="1285"/>
      <c r="L12348" s="1285"/>
    </row>
    <row r="12349" spans="1:12" ht="11.15" customHeight="1">
      <c r="A12349" s="319" t="s">
        <v>16414</v>
      </c>
      <c r="B12349" s="329"/>
      <c r="C12349" s="321"/>
      <c r="D12349" s="329"/>
      <c r="E12349" s="329"/>
      <c r="F12349" s="329"/>
      <c r="G12349" s="329"/>
      <c r="H12349" s="329"/>
      <c r="I12349" s="11"/>
    </row>
    <row r="12350" spans="1:12" ht="11.15" customHeight="1">
      <c r="A12350" s="342" t="s">
        <v>950</v>
      </c>
      <c r="B12350" s="329"/>
      <c r="C12350" s="321"/>
      <c r="D12350" s="329"/>
      <c r="E12350" s="329"/>
      <c r="F12350" s="329"/>
      <c r="G12350" s="329"/>
      <c r="H12350" s="329"/>
      <c r="I12350" s="11"/>
    </row>
    <row r="12351" spans="1:12" ht="11.15" customHeight="1">
      <c r="A12351" s="330" t="s">
        <v>896</v>
      </c>
      <c r="B12351" s="329"/>
      <c r="C12351" s="321"/>
      <c r="D12351" s="329"/>
      <c r="E12351" s="329"/>
      <c r="F12351" s="329"/>
      <c r="G12351" s="329"/>
      <c r="H12351" s="329"/>
      <c r="I12351" s="11"/>
    </row>
    <row r="12352" spans="1:12" ht="11.15" customHeight="1">
      <c r="A12352" s="331" t="s">
        <v>16415</v>
      </c>
      <c r="B12352" s="324"/>
      <c r="C12352" s="321"/>
      <c r="D12352" s="341"/>
      <c r="E12352" s="322"/>
      <c r="F12352" s="578"/>
      <c r="G12352" s="1204"/>
      <c r="H12352" s="322"/>
      <c r="I12352" s="11"/>
    </row>
    <row r="12353" spans="1:12" ht="11.15" customHeight="1">
      <c r="A12353" s="331" t="s">
        <v>16416</v>
      </c>
      <c r="B12353" s="324"/>
      <c r="C12353" s="321"/>
      <c r="D12353" s="341"/>
      <c r="E12353" s="322"/>
      <c r="F12353" s="578"/>
      <c r="G12353" s="1204"/>
      <c r="H12353" s="322"/>
      <c r="I12353" s="11"/>
    </row>
    <row r="12354" spans="1:12" ht="11.15" customHeight="1">
      <c r="A12354" s="331" t="s">
        <v>16417</v>
      </c>
      <c r="B12354" s="324"/>
      <c r="C12354" s="321"/>
      <c r="D12354" s="341"/>
      <c r="E12354" s="322"/>
      <c r="F12354" s="578"/>
      <c r="G12354" s="1204"/>
      <c r="H12354" s="322"/>
      <c r="I12354" s="11"/>
    </row>
    <row r="12355" spans="1:12" ht="11.15" customHeight="1">
      <c r="A12355" s="346" t="s">
        <v>16418</v>
      </c>
      <c r="B12355" s="324"/>
      <c r="C12355" s="321"/>
      <c r="D12355" s="320"/>
      <c r="E12355" s="322"/>
      <c r="F12355" s="578"/>
      <c r="G12355" s="1204"/>
      <c r="H12355" s="322"/>
      <c r="I12355" s="11"/>
    </row>
    <row r="12356" spans="1:12" ht="11.15" customHeight="1">
      <c r="A12356" s="330" t="s">
        <v>16419</v>
      </c>
      <c r="B12356" s="324"/>
      <c r="C12356" s="321"/>
      <c r="D12356" s="325"/>
      <c r="E12356" s="322"/>
      <c r="F12356" s="578"/>
      <c r="G12356" s="1204"/>
      <c r="H12356" s="322"/>
      <c r="I12356" s="11"/>
    </row>
    <row r="12357" spans="1:12" ht="11.15" customHeight="1">
      <c r="A12357" s="29"/>
      <c r="B12357" s="185"/>
      <c r="C12357" s="147"/>
      <c r="D12357" s="156"/>
      <c r="E12357" s="36"/>
      <c r="F12357" s="178"/>
      <c r="G12357" s="496"/>
      <c r="H12357" s="36" t="s">
        <v>20221</v>
      </c>
      <c r="I12357" s="11"/>
    </row>
    <row r="12358" spans="1:12" ht="11.15" customHeight="1" thickBot="1">
      <c r="A12358" s="329"/>
      <c r="B12358" s="547" t="s">
        <v>16420</v>
      </c>
      <c r="C12358" s="321"/>
      <c r="D12358" s="345"/>
      <c r="E12358" s="322"/>
      <c r="F12358" s="578"/>
      <c r="G12358" s="1204"/>
      <c r="H12358" s="322"/>
      <c r="I12358" s="11"/>
    </row>
    <row r="12359" spans="1:12" ht="11.25" customHeight="1">
      <c r="A12359" s="323" t="s">
        <v>16421</v>
      </c>
      <c r="B12359" s="339" t="s">
        <v>2242</v>
      </c>
      <c r="C12359" s="321"/>
      <c r="D12359" s="341"/>
      <c r="E12359" s="322"/>
      <c r="F12359" s="578"/>
      <c r="G12359" s="1204"/>
      <c r="H12359" s="322"/>
      <c r="I12359" s="11"/>
    </row>
    <row r="12360" spans="1:12" ht="11.15" customHeight="1" thickBot="1">
      <c r="A12360" s="327" t="s">
        <v>16410</v>
      </c>
      <c r="B12360" s="324" t="s">
        <v>22782</v>
      </c>
      <c r="C12360" s="321" t="s">
        <v>20221</v>
      </c>
      <c r="D12360" s="1297" t="s">
        <v>1129</v>
      </c>
      <c r="E12360" s="578">
        <v>2018</v>
      </c>
      <c r="F12360" s="578" t="s">
        <v>4520</v>
      </c>
      <c r="G12360" s="1204"/>
      <c r="H12360" s="322" t="s">
        <v>20221</v>
      </c>
      <c r="I12360" s="11" t="s">
        <v>16422</v>
      </c>
      <c r="J12360" s="1285"/>
      <c r="K12360" s="1285"/>
      <c r="L12360" s="1285"/>
    </row>
    <row r="12361" spans="1:12" ht="11.15" customHeight="1">
      <c r="A12361" s="747" t="s">
        <v>16423</v>
      </c>
      <c r="B12361" s="324"/>
      <c r="C12361" s="321"/>
      <c r="D12361" s="341"/>
      <c r="E12361" s="322"/>
      <c r="F12361" s="347"/>
      <c r="G12361" s="1204"/>
      <c r="H12361" s="326"/>
      <c r="I12361" s="11"/>
    </row>
    <row r="12362" spans="1:12" ht="11.15" customHeight="1">
      <c r="A12362" s="319" t="s">
        <v>16424</v>
      </c>
      <c r="B12362" s="339" t="s">
        <v>16425</v>
      </c>
      <c r="C12362" s="321"/>
      <c r="D12362" s="345"/>
      <c r="E12362" s="322"/>
      <c r="F12362" s="578"/>
      <c r="G12362" s="1204"/>
      <c r="H12362" s="322"/>
      <c r="I12362" s="11"/>
    </row>
    <row r="12363" spans="1:12" ht="11.15" customHeight="1">
      <c r="A12363" s="319" t="s">
        <v>16426</v>
      </c>
      <c r="B12363" s="324" t="s">
        <v>22783</v>
      </c>
      <c r="C12363" s="321" t="s">
        <v>20221</v>
      </c>
      <c r="D12363" s="1295" t="s">
        <v>897</v>
      </c>
      <c r="E12363" s="578">
        <v>2019</v>
      </c>
      <c r="F12363" s="578" t="s">
        <v>4520</v>
      </c>
      <c r="G12363" s="1204"/>
      <c r="H12363" s="1296" t="s">
        <v>20465</v>
      </c>
      <c r="I12363" s="11" t="s">
        <v>16427</v>
      </c>
      <c r="J12363" s="1285"/>
      <c r="K12363" s="1285"/>
      <c r="L12363" s="1285"/>
    </row>
    <row r="12364" spans="1:12" ht="11.15" customHeight="1">
      <c r="A12364" s="319" t="s">
        <v>16428</v>
      </c>
      <c r="B12364" s="324" t="s">
        <v>22783</v>
      </c>
      <c r="C12364" s="321" t="s">
        <v>20221</v>
      </c>
      <c r="D12364" s="1295" t="s">
        <v>897</v>
      </c>
      <c r="E12364" s="578">
        <v>2017</v>
      </c>
      <c r="F12364" s="578" t="s">
        <v>4520</v>
      </c>
      <c r="G12364" s="1204"/>
      <c r="H12364" s="322" t="s">
        <v>20221</v>
      </c>
      <c r="I12364" s="11" t="s">
        <v>16429</v>
      </c>
      <c r="J12364" s="1285"/>
      <c r="K12364" s="1285"/>
      <c r="L12364" s="1285"/>
    </row>
    <row r="12365" spans="1:12" ht="11.15" customHeight="1">
      <c r="A12365" s="330" t="s">
        <v>951</v>
      </c>
      <c r="B12365" s="324" t="s">
        <v>22784</v>
      </c>
      <c r="C12365" s="321" t="s">
        <v>20221</v>
      </c>
      <c r="D12365" s="1295" t="s">
        <v>897</v>
      </c>
      <c r="E12365" s="578">
        <v>2015</v>
      </c>
      <c r="F12365" s="578" t="s">
        <v>5257</v>
      </c>
      <c r="G12365" s="1204"/>
      <c r="H12365" s="1296" t="s">
        <v>20277</v>
      </c>
      <c r="I12365" s="11" t="s">
        <v>16430</v>
      </c>
      <c r="J12365" s="1285"/>
      <c r="K12365" s="1285"/>
      <c r="L12365" s="1285"/>
    </row>
    <row r="12366" spans="1:12" ht="11.15" customHeight="1">
      <c r="A12366" s="331" t="s">
        <v>16431</v>
      </c>
      <c r="B12366" s="329"/>
      <c r="C12366" s="321"/>
      <c r="D12366" s="329"/>
      <c r="E12366" s="329"/>
      <c r="F12366" s="329"/>
      <c r="G12366" s="329"/>
      <c r="H12366" s="329"/>
      <c r="I12366" s="11"/>
    </row>
    <row r="12367" spans="1:12" ht="11.15" customHeight="1">
      <c r="A12367" s="748" t="s">
        <v>16432</v>
      </c>
      <c r="B12367" s="339" t="s">
        <v>6391</v>
      </c>
      <c r="C12367" s="321"/>
      <c r="D12367" s="325"/>
      <c r="E12367" s="322"/>
      <c r="F12367" s="578"/>
      <c r="G12367" s="1204"/>
      <c r="H12367" s="322"/>
      <c r="I12367" s="11"/>
    </row>
    <row r="12368" spans="1:12" ht="11.15" customHeight="1">
      <c r="A12368" s="749" t="s">
        <v>16433</v>
      </c>
      <c r="B12368" s="324" t="s">
        <v>22785</v>
      </c>
      <c r="C12368" s="321" t="s">
        <v>20221</v>
      </c>
      <c r="D12368" s="1295" t="s">
        <v>897</v>
      </c>
      <c r="E12368" s="578">
        <v>2018</v>
      </c>
      <c r="F12368" s="578" t="s">
        <v>7168</v>
      </c>
      <c r="G12368" s="1204"/>
      <c r="H12368" s="322" t="s">
        <v>20221</v>
      </c>
      <c r="I12368" s="11" t="s">
        <v>16434</v>
      </c>
      <c r="J12368" s="1285"/>
      <c r="K12368" s="1285"/>
      <c r="L12368" s="1285"/>
    </row>
    <row r="12369" spans="1:12" ht="11.15" customHeight="1">
      <c r="A12369" s="331" t="s">
        <v>16435</v>
      </c>
      <c r="B12369" s="324" t="s">
        <v>22785</v>
      </c>
      <c r="C12369" s="321" t="s">
        <v>20221</v>
      </c>
      <c r="D12369" s="1295" t="s">
        <v>897</v>
      </c>
      <c r="E12369" s="578">
        <v>2017</v>
      </c>
      <c r="F12369" s="578" t="s">
        <v>7168</v>
      </c>
      <c r="G12369" s="1204"/>
      <c r="H12369" s="322" t="s">
        <v>20221</v>
      </c>
      <c r="I12369" s="11" t="s">
        <v>16436</v>
      </c>
      <c r="J12369" s="1285"/>
      <c r="K12369" s="1285"/>
      <c r="L12369" s="1285"/>
    </row>
    <row r="12370" spans="1:12" ht="11.15" customHeight="1">
      <c r="A12370" s="331" t="s">
        <v>16437</v>
      </c>
      <c r="B12370" s="324" t="s">
        <v>22785</v>
      </c>
      <c r="C12370" s="321" t="s">
        <v>20221</v>
      </c>
      <c r="D12370" s="1295" t="s">
        <v>897</v>
      </c>
      <c r="E12370" s="578">
        <v>2016</v>
      </c>
      <c r="F12370" s="578" t="s">
        <v>7168</v>
      </c>
      <c r="G12370" s="1204"/>
      <c r="H12370" s="322" t="s">
        <v>20221</v>
      </c>
      <c r="I12370" s="11" t="s">
        <v>16438</v>
      </c>
      <c r="J12370" s="1285"/>
      <c r="K12370" s="1285"/>
      <c r="L12370" s="1285"/>
    </row>
    <row r="12371" spans="1:12" ht="11.15" customHeight="1">
      <c r="A12371" s="331" t="s">
        <v>16439</v>
      </c>
      <c r="B12371" s="324" t="s">
        <v>22785</v>
      </c>
      <c r="C12371" s="321" t="s">
        <v>20221</v>
      </c>
      <c r="D12371" s="1295" t="s">
        <v>897</v>
      </c>
      <c r="E12371" s="578">
        <v>1998</v>
      </c>
      <c r="F12371" s="578" t="s">
        <v>7168</v>
      </c>
      <c r="G12371" s="1204"/>
      <c r="H12371" s="322" t="s">
        <v>20277</v>
      </c>
      <c r="I12371" s="11" t="s">
        <v>16440</v>
      </c>
      <c r="J12371" s="1285"/>
      <c r="K12371" s="1285"/>
      <c r="L12371" s="1285"/>
    </row>
    <row r="12372" spans="1:12" ht="11.15" customHeight="1">
      <c r="A12372" s="331" t="s">
        <v>16441</v>
      </c>
      <c r="B12372" s="339" t="s">
        <v>1398</v>
      </c>
      <c r="C12372" s="321"/>
      <c r="D12372" s="325"/>
      <c r="E12372" s="322"/>
      <c r="F12372" s="578"/>
      <c r="G12372" s="1204"/>
      <c r="H12372" s="322"/>
      <c r="I12372" s="11"/>
    </row>
    <row r="12373" spans="1:12" ht="11.15" customHeight="1">
      <c r="A12373" s="331" t="s">
        <v>16442</v>
      </c>
      <c r="B12373" s="324" t="s">
        <v>22786</v>
      </c>
      <c r="C12373" s="321" t="s">
        <v>20221</v>
      </c>
      <c r="D12373" s="1295" t="s">
        <v>897</v>
      </c>
      <c r="E12373" s="578">
        <v>2018</v>
      </c>
      <c r="F12373" s="578" t="s">
        <v>4520</v>
      </c>
      <c r="G12373" s="1204"/>
      <c r="H12373" s="322" t="s">
        <v>20221</v>
      </c>
      <c r="I12373" s="11" t="s">
        <v>16443</v>
      </c>
      <c r="J12373" s="1285"/>
      <c r="K12373" s="1285"/>
      <c r="L12373" s="1285"/>
    </row>
    <row r="12374" spans="1:12" ht="11.15" customHeight="1">
      <c r="A12374" s="330" t="s">
        <v>1077</v>
      </c>
      <c r="B12374" s="339" t="s">
        <v>2582</v>
      </c>
      <c r="C12374" s="321"/>
      <c r="D12374" s="325"/>
      <c r="E12374" s="322"/>
      <c r="F12374" s="578"/>
      <c r="G12374" s="1204"/>
      <c r="H12374" s="322"/>
      <c r="I12374" s="11"/>
    </row>
    <row r="12375" spans="1:12" ht="11.15" customHeight="1">
      <c r="A12375" s="748" t="s">
        <v>16444</v>
      </c>
      <c r="B12375" s="324" t="s">
        <v>22787</v>
      </c>
      <c r="C12375" s="321" t="s">
        <v>20221</v>
      </c>
      <c r="D12375" s="1295" t="s">
        <v>897</v>
      </c>
      <c r="E12375" s="578">
        <v>2018</v>
      </c>
      <c r="F12375" s="578" t="s">
        <v>5257</v>
      </c>
      <c r="G12375" s="1204"/>
      <c r="H12375" s="1296" t="s">
        <v>20277</v>
      </c>
      <c r="I12375" s="11" t="s">
        <v>16446</v>
      </c>
      <c r="J12375" s="1285"/>
      <c r="K12375" s="1285"/>
      <c r="L12375" s="1285"/>
    </row>
    <row r="12376" spans="1:12" ht="11.15" customHeight="1">
      <c r="A12376" s="748" t="s">
        <v>16445</v>
      </c>
      <c r="B12376" s="324" t="s">
        <v>22788</v>
      </c>
      <c r="C12376" s="321" t="s">
        <v>20221</v>
      </c>
      <c r="D12376" s="1295" t="s">
        <v>897</v>
      </c>
      <c r="E12376" s="578">
        <v>2017</v>
      </c>
      <c r="F12376" s="578" t="s">
        <v>11938</v>
      </c>
      <c r="G12376" s="1204"/>
      <c r="H12376" s="1296" t="s">
        <v>20224</v>
      </c>
      <c r="I12376" s="11" t="s">
        <v>16448</v>
      </c>
      <c r="J12376" s="1285"/>
      <c r="K12376" s="1285"/>
      <c r="L12376" s="1285"/>
    </row>
    <row r="12377" spans="1:12" ht="11.15" customHeight="1">
      <c r="A12377" s="748" t="s">
        <v>16447</v>
      </c>
      <c r="B12377" s="329"/>
      <c r="C12377" s="321"/>
      <c r="D12377" s="329"/>
      <c r="E12377" s="329"/>
      <c r="F12377" s="329"/>
      <c r="G12377" s="329"/>
      <c r="H12377" s="329"/>
      <c r="I12377" s="11"/>
    </row>
    <row r="12378" spans="1:12" ht="11.15" customHeight="1">
      <c r="A12378" s="331" t="s">
        <v>16449</v>
      </c>
      <c r="B12378" s="329"/>
      <c r="C12378" s="321"/>
      <c r="D12378" s="329"/>
      <c r="E12378" s="329"/>
      <c r="F12378" s="329"/>
      <c r="G12378" s="329"/>
      <c r="H12378" s="329"/>
      <c r="I12378" s="11"/>
    </row>
    <row r="12379" spans="1:12" ht="11.15" customHeight="1">
      <c r="A12379" s="748" t="s">
        <v>16450</v>
      </c>
      <c r="B12379" s="329"/>
      <c r="C12379" s="321"/>
      <c r="D12379" s="329"/>
      <c r="E12379" s="329"/>
      <c r="F12379" s="329"/>
      <c r="G12379" s="329"/>
      <c r="H12379" s="329"/>
      <c r="I12379" s="11"/>
    </row>
    <row r="12380" spans="1:12" ht="11.15" customHeight="1">
      <c r="A12380" s="748" t="s">
        <v>16451</v>
      </c>
      <c r="B12380" s="329"/>
      <c r="C12380" s="321"/>
      <c r="D12380" s="329"/>
      <c r="E12380" s="329"/>
      <c r="F12380" s="329"/>
      <c r="G12380" s="329"/>
      <c r="H12380" s="329"/>
      <c r="I12380" s="11"/>
    </row>
    <row r="12381" spans="1:12" ht="11.15" customHeight="1">
      <c r="A12381" s="748" t="s">
        <v>16452</v>
      </c>
      <c r="B12381" s="329"/>
      <c r="C12381" s="321"/>
      <c r="D12381" s="329"/>
      <c r="E12381" s="329"/>
      <c r="F12381" s="329"/>
      <c r="G12381" s="329"/>
      <c r="H12381" s="329"/>
      <c r="I12381" s="11"/>
    </row>
    <row r="12382" spans="1:12" ht="11.15" customHeight="1">
      <c r="A12382" s="331" t="s">
        <v>16453</v>
      </c>
      <c r="B12382" s="329"/>
      <c r="C12382" s="321"/>
      <c r="D12382" s="329"/>
      <c r="E12382" s="329"/>
      <c r="F12382" s="329"/>
      <c r="G12382" s="329"/>
      <c r="H12382" s="329"/>
      <c r="I12382" s="11"/>
    </row>
    <row r="12383" spans="1:12" ht="11.15" customHeight="1">
      <c r="A12383" s="331" t="s">
        <v>16454</v>
      </c>
      <c r="B12383" s="329"/>
      <c r="C12383" s="321"/>
      <c r="D12383" s="329"/>
      <c r="E12383" s="329"/>
      <c r="F12383" s="329"/>
      <c r="G12383" s="329"/>
      <c r="H12383" s="329"/>
      <c r="I12383" s="11"/>
    </row>
    <row r="12384" spans="1:12" ht="11.15" customHeight="1">
      <c r="A12384" s="331" t="s">
        <v>16455</v>
      </c>
      <c r="B12384" s="329"/>
      <c r="C12384" s="321"/>
      <c r="D12384" s="329"/>
      <c r="E12384" s="329"/>
      <c r="F12384" s="329"/>
      <c r="G12384" s="329"/>
      <c r="H12384" s="329"/>
      <c r="I12384" s="11"/>
    </row>
    <row r="12385" spans="1:12" ht="11.15" customHeight="1">
      <c r="A12385" s="331" t="s">
        <v>16456</v>
      </c>
      <c r="B12385" s="329"/>
      <c r="C12385" s="321"/>
      <c r="D12385" s="329"/>
      <c r="E12385" s="329"/>
      <c r="F12385" s="329"/>
      <c r="G12385" s="329"/>
      <c r="H12385" s="329"/>
      <c r="I12385" s="11"/>
    </row>
    <row r="12386" spans="1:12" ht="11.15" customHeight="1">
      <c r="A12386" s="346" t="s">
        <v>16418</v>
      </c>
      <c r="B12386" s="329"/>
      <c r="C12386" s="321"/>
      <c r="D12386" s="329"/>
      <c r="E12386" s="329"/>
      <c r="F12386" s="329"/>
      <c r="G12386" s="329"/>
      <c r="H12386" s="329"/>
      <c r="I12386" s="11"/>
    </row>
    <row r="12387" spans="1:12" ht="11.15" customHeight="1">
      <c r="A12387" s="330" t="s">
        <v>16457</v>
      </c>
      <c r="B12387" s="329"/>
      <c r="C12387" s="321"/>
      <c r="D12387" s="329"/>
      <c r="E12387" s="329"/>
      <c r="F12387" s="329"/>
      <c r="G12387" s="329"/>
      <c r="H12387" s="329"/>
      <c r="I12387" s="11"/>
    </row>
    <row r="12388" spans="1:12" ht="11.15" customHeight="1" thickBot="1">
      <c r="A12388" s="330" t="s">
        <v>16419</v>
      </c>
      <c r="B12388" s="329"/>
      <c r="C12388" s="321"/>
      <c r="D12388" s="329"/>
      <c r="E12388" s="329"/>
      <c r="F12388" s="329"/>
      <c r="G12388" s="329"/>
      <c r="H12388" s="329"/>
      <c r="I12388" s="11"/>
    </row>
    <row r="12389" spans="1:12" ht="24" customHeight="1" thickBot="1">
      <c r="A12389" s="542"/>
      <c r="B12389" s="50" t="s">
        <v>16458</v>
      </c>
      <c r="C12389" s="170"/>
      <c r="D12389" s="596"/>
      <c r="E12389" s="750"/>
      <c r="F12389" s="750"/>
      <c r="G12389" s="750"/>
      <c r="H12389" s="751"/>
      <c r="I12389" s="11"/>
    </row>
    <row r="12390" spans="1:12" ht="11.25" customHeight="1">
      <c r="A12390" s="153" t="s">
        <v>16459</v>
      </c>
      <c r="B12390" s="59" t="s">
        <v>18769</v>
      </c>
      <c r="C12390" s="147" t="s">
        <v>20221</v>
      </c>
      <c r="D12390" s="284" t="s">
        <v>897</v>
      </c>
      <c r="E12390" s="178">
        <v>2019</v>
      </c>
      <c r="F12390" s="178" t="s">
        <v>4520</v>
      </c>
      <c r="G12390" s="496"/>
      <c r="H12390" s="994" t="s">
        <v>20277</v>
      </c>
      <c r="I12390" s="11" t="s">
        <v>16460</v>
      </c>
      <c r="J12390" s="1285"/>
      <c r="K12390" s="1285"/>
      <c r="L12390" s="1285"/>
    </row>
    <row r="12391" spans="1:12" ht="11.15" customHeight="1" thickBot="1">
      <c r="A12391" s="230" t="s">
        <v>16461</v>
      </c>
      <c r="B12391" s="185"/>
      <c r="C12391" s="147"/>
      <c r="D12391" s="129"/>
      <c r="E12391" s="185"/>
      <c r="F12391" s="185"/>
      <c r="G12391" s="185"/>
      <c r="H12391" s="185"/>
      <c r="I12391" s="11"/>
    </row>
    <row r="12392" spans="1:12" ht="11.15" customHeight="1">
      <c r="A12392" s="29" t="s">
        <v>16462</v>
      </c>
      <c r="B12392" s="185"/>
      <c r="C12392" s="147"/>
      <c r="D12392" s="129"/>
      <c r="E12392" s="185"/>
      <c r="F12392" s="185"/>
      <c r="G12392" s="185"/>
      <c r="H12392" s="185"/>
      <c r="I12392" s="11"/>
    </row>
    <row r="12393" spans="1:12" ht="11.15" customHeight="1">
      <c r="A12393" s="29" t="s">
        <v>16463</v>
      </c>
      <c r="B12393" s="90"/>
      <c r="C12393" s="147"/>
      <c r="D12393" s="161"/>
      <c r="E12393" s="36"/>
      <c r="F12393" s="178"/>
      <c r="G12393" s="496"/>
      <c r="H12393" s="36"/>
      <c r="I12393" s="11"/>
    </row>
    <row r="12394" spans="1:12" ht="11.15" customHeight="1">
      <c r="A12394" s="29" t="s">
        <v>16464</v>
      </c>
      <c r="B12394" s="90"/>
      <c r="C12394" s="147"/>
      <c r="D12394" s="161"/>
      <c r="E12394" s="36"/>
      <c r="F12394" s="178"/>
      <c r="G12394" s="496"/>
      <c r="H12394" s="36"/>
      <c r="I12394" s="11"/>
    </row>
    <row r="12395" spans="1:12" ht="11.15" customHeight="1">
      <c r="A12395" s="333" t="s">
        <v>2482</v>
      </c>
      <c r="B12395" s="90"/>
      <c r="C12395" s="147"/>
      <c r="D12395" s="161"/>
      <c r="E12395" s="36"/>
      <c r="F12395" s="178"/>
      <c r="G12395" s="496"/>
      <c r="H12395" s="36"/>
      <c r="I12395" s="11"/>
    </row>
    <row r="12396" spans="1:12" ht="11.15" customHeight="1">
      <c r="A12396" s="129" t="s">
        <v>16465</v>
      </c>
      <c r="B12396" s="90"/>
      <c r="C12396" s="147"/>
      <c r="D12396" s="161"/>
      <c r="E12396" s="36"/>
      <c r="F12396" s="178"/>
      <c r="G12396" s="496"/>
      <c r="H12396" s="36"/>
      <c r="I12396" s="11"/>
    </row>
    <row r="12397" spans="1:12" ht="11.15" customHeight="1" thickBot="1">
      <c r="A12397" s="185"/>
      <c r="B12397" s="90"/>
      <c r="C12397" s="147"/>
      <c r="D12397" s="161"/>
      <c r="E12397" s="36"/>
      <c r="F12397" s="178"/>
      <c r="G12397" s="496"/>
      <c r="H12397" s="36"/>
      <c r="I12397" s="11"/>
    </row>
    <row r="12398" spans="1:12" ht="24" customHeight="1" thickBot="1">
      <c r="A12398" s="752"/>
      <c r="B12398" s="50" t="s">
        <v>16466</v>
      </c>
      <c r="C12398" s="170"/>
      <c r="D12398" s="633"/>
      <c r="E12398" s="235"/>
      <c r="F12398" s="383"/>
      <c r="G12398" s="1210"/>
      <c r="H12398" s="516"/>
      <c r="I12398" s="11"/>
    </row>
    <row r="12399" spans="1:12" ht="11.25" customHeight="1">
      <c r="A12399" s="153" t="s">
        <v>16467</v>
      </c>
      <c r="B12399" s="59" t="s">
        <v>22789</v>
      </c>
      <c r="C12399" s="147" t="s">
        <v>20221</v>
      </c>
      <c r="D12399" s="284" t="s">
        <v>897</v>
      </c>
      <c r="E12399" s="178">
        <v>2019</v>
      </c>
      <c r="F12399" s="178" t="s">
        <v>23395</v>
      </c>
      <c r="G12399" s="496"/>
      <c r="H12399" s="994" t="s">
        <v>20221</v>
      </c>
      <c r="I12399" s="11" t="s">
        <v>16468</v>
      </c>
      <c r="J12399" s="1285"/>
      <c r="K12399" s="1285"/>
      <c r="L12399" s="1285"/>
    </row>
    <row r="12400" spans="1:12" ht="11.25" customHeight="1" thickBot="1">
      <c r="A12400" s="230" t="s">
        <v>1535</v>
      </c>
      <c r="B12400" s="90"/>
      <c r="C12400" s="147"/>
      <c r="D12400" s="161"/>
      <c r="E12400" s="36"/>
      <c r="F12400" s="178"/>
      <c r="G12400" s="496"/>
      <c r="H12400" s="36"/>
      <c r="I12400" s="11"/>
    </row>
    <row r="12401" spans="1:9" ht="11.25" customHeight="1">
      <c r="A12401" s="29" t="s">
        <v>1539</v>
      </c>
      <c r="B12401" s="36"/>
      <c r="C12401" s="147"/>
      <c r="D12401" s="122"/>
      <c r="E12401" s="36"/>
      <c r="F12401" s="178"/>
      <c r="G12401" s="1217"/>
      <c r="H12401" s="36"/>
      <c r="I12401" s="11"/>
    </row>
    <row r="12402" spans="1:9" ht="11.25" customHeight="1">
      <c r="A12402" s="29" t="s">
        <v>16469</v>
      </c>
      <c r="B12402" s="36"/>
      <c r="C12402" s="147"/>
      <c r="D12402" s="122"/>
      <c r="E12402" s="36"/>
      <c r="F12402" s="178"/>
      <c r="G12402" s="1217"/>
      <c r="H12402" s="36"/>
      <c r="I12402" s="11"/>
    </row>
    <row r="12403" spans="1:9" ht="11.25" customHeight="1">
      <c r="A12403" s="29" t="s">
        <v>16470</v>
      </c>
      <c r="B12403" s="185"/>
      <c r="C12403" s="147"/>
      <c r="D12403" s="122"/>
      <c r="E12403" s="36"/>
      <c r="F12403" s="178"/>
      <c r="G12403" s="1217"/>
      <c r="H12403" s="36"/>
      <c r="I12403" s="11"/>
    </row>
    <row r="12404" spans="1:9" ht="11.15" customHeight="1">
      <c r="A12404" s="218" t="s">
        <v>1543</v>
      </c>
      <c r="B12404" s="29"/>
      <c r="C12404" s="147"/>
      <c r="D12404" s="122"/>
      <c r="E12404" s="36"/>
      <c r="F12404" s="178"/>
      <c r="G12404" s="1217"/>
      <c r="H12404" s="36"/>
      <c r="I12404" s="11"/>
    </row>
    <row r="12405" spans="1:9" ht="11.15" customHeight="1">
      <c r="A12405" s="218" t="s">
        <v>1595</v>
      </c>
      <c r="B12405" s="29"/>
      <c r="C12405" s="147"/>
      <c r="D12405" s="122"/>
      <c r="E12405" s="36"/>
      <c r="F12405" s="178"/>
      <c r="G12405" s="1217"/>
      <c r="H12405" s="36"/>
      <c r="I12405" s="11"/>
    </row>
    <row r="12406" spans="1:9" ht="10.5" customHeight="1">
      <c r="A12406" s="212" t="s">
        <v>1544</v>
      </c>
      <c r="B12406" s="90"/>
      <c r="C12406" s="147"/>
      <c r="D12406" s="122"/>
      <c r="E12406" s="36"/>
      <c r="F12406" s="178"/>
      <c r="G12406" s="1217"/>
      <c r="H12406" s="36"/>
      <c r="I12406" s="11"/>
    </row>
    <row r="12407" spans="1:9" ht="11.15" customHeight="1" thickBot="1">
      <c r="A12407" s="129" t="s">
        <v>16471</v>
      </c>
      <c r="B12407" s="90"/>
      <c r="C12407" s="147"/>
      <c r="D12407" s="161"/>
      <c r="E12407" s="36"/>
      <c r="F12407" s="178"/>
      <c r="G12407" s="496"/>
      <c r="H12407" s="36"/>
      <c r="I12407" s="11"/>
    </row>
    <row r="12408" spans="1:9" ht="24" customHeight="1" thickBot="1">
      <c r="A12408" s="753"/>
      <c r="B12408" s="25" t="s">
        <v>16472</v>
      </c>
      <c r="C12408" s="170"/>
      <c r="D12408" s="382"/>
      <c r="E12408" s="235"/>
      <c r="F12408" s="383"/>
      <c r="G12408" s="1210"/>
      <c r="H12408" s="516"/>
      <c r="I12408" s="11"/>
    </row>
    <row r="12409" spans="1:9" ht="11.15" customHeight="1">
      <c r="A12409" s="29"/>
      <c r="B12409" s="413" t="s">
        <v>16473</v>
      </c>
      <c r="C12409" s="147"/>
      <c r="D12409" s="161"/>
      <c r="E12409" s="36"/>
      <c r="F12409" s="178"/>
      <c r="G12409" s="453"/>
      <c r="H12409" s="36"/>
      <c r="I12409" s="11"/>
    </row>
    <row r="12410" spans="1:9" ht="9" customHeight="1">
      <c r="A12410" s="29"/>
      <c r="B12410" s="150" t="s">
        <v>16474</v>
      </c>
      <c r="C12410" s="147"/>
      <c r="D12410" s="161"/>
      <c r="E12410" s="36"/>
      <c r="F12410" s="178"/>
      <c r="G12410" s="453"/>
      <c r="H12410" s="36"/>
      <c r="I12410" s="11"/>
    </row>
    <row r="12411" spans="1:9" ht="9" customHeight="1">
      <c r="A12411" s="29"/>
      <c r="B12411" s="150" t="s">
        <v>16475</v>
      </c>
      <c r="C12411" s="147"/>
      <c r="D12411" s="161"/>
      <c r="E12411" s="36"/>
      <c r="F12411" s="178"/>
      <c r="G12411" s="453"/>
      <c r="H12411" s="36"/>
      <c r="I12411" s="11"/>
    </row>
    <row r="12412" spans="1:9" ht="9" customHeight="1">
      <c r="A12412" s="29"/>
      <c r="B12412" s="150" t="s">
        <v>16476</v>
      </c>
      <c r="C12412" s="147"/>
      <c r="D12412" s="161"/>
      <c r="E12412" s="36"/>
      <c r="F12412" s="178"/>
      <c r="G12412" s="453"/>
      <c r="H12412" s="36"/>
      <c r="I12412" s="11"/>
    </row>
    <row r="12413" spans="1:9" ht="9" customHeight="1">
      <c r="A12413" s="29"/>
      <c r="B12413" s="150" t="s">
        <v>16477</v>
      </c>
      <c r="C12413" s="147"/>
      <c r="D12413" s="161"/>
      <c r="E12413" s="36"/>
      <c r="F12413" s="178"/>
      <c r="G12413" s="453"/>
      <c r="H12413" s="36"/>
      <c r="I12413" s="11"/>
    </row>
    <row r="12414" spans="1:9" ht="9" customHeight="1">
      <c r="A12414" s="29"/>
      <c r="B12414" s="150" t="s">
        <v>16478</v>
      </c>
      <c r="C12414" s="147"/>
      <c r="D12414" s="161"/>
      <c r="E12414" s="36"/>
      <c r="F12414" s="178"/>
      <c r="G12414" s="453"/>
      <c r="H12414" s="36"/>
      <c r="I12414" s="11"/>
    </row>
    <row r="12415" spans="1:9" ht="9" customHeight="1">
      <c r="A12415" s="29"/>
      <c r="B12415" s="150" t="s">
        <v>16479</v>
      </c>
      <c r="C12415" s="147"/>
      <c r="D12415" s="161"/>
      <c r="E12415" s="36"/>
      <c r="F12415" s="178"/>
      <c r="G12415" s="453"/>
      <c r="H12415" s="36"/>
      <c r="I12415" s="11"/>
    </row>
    <row r="12416" spans="1:9" ht="9" customHeight="1">
      <c r="A12416" s="29"/>
      <c r="B12416" s="150" t="s">
        <v>16480</v>
      </c>
      <c r="C12416" s="147"/>
      <c r="D12416" s="161"/>
      <c r="E12416" s="36"/>
      <c r="F12416" s="178"/>
      <c r="G12416" s="453"/>
      <c r="H12416" s="36"/>
      <c r="I12416" s="11"/>
    </row>
    <row r="12417" spans="1:9" ht="9" customHeight="1">
      <c r="A12417" s="29"/>
      <c r="B12417" s="150" t="s">
        <v>16481</v>
      </c>
      <c r="C12417" s="147"/>
      <c r="D12417" s="161"/>
      <c r="E12417" s="36"/>
      <c r="F12417" s="178"/>
      <c r="G12417" s="453"/>
      <c r="H12417" s="36"/>
      <c r="I12417" s="11"/>
    </row>
    <row r="12418" spans="1:9" ht="9" customHeight="1">
      <c r="A12418" s="29"/>
      <c r="B12418" s="150" t="s">
        <v>16482</v>
      </c>
      <c r="C12418" s="147"/>
      <c r="D12418" s="161"/>
      <c r="E12418" s="36"/>
      <c r="F12418" s="178"/>
      <c r="G12418" s="453"/>
      <c r="H12418" s="36"/>
      <c r="I12418" s="11"/>
    </row>
    <row r="12419" spans="1:9" ht="9" customHeight="1">
      <c r="A12419" s="29"/>
      <c r="B12419" s="150" t="s">
        <v>16483</v>
      </c>
      <c r="C12419" s="147"/>
      <c r="D12419" s="161"/>
      <c r="E12419" s="36"/>
      <c r="F12419" s="178"/>
      <c r="G12419" s="453"/>
      <c r="H12419" s="36"/>
      <c r="I12419" s="11"/>
    </row>
    <row r="12420" spans="1:9" ht="9" customHeight="1">
      <c r="A12420" s="29"/>
      <c r="B12420" s="150" t="s">
        <v>16484</v>
      </c>
      <c r="C12420" s="147"/>
      <c r="D12420" s="161"/>
      <c r="E12420" s="36"/>
      <c r="F12420" s="178"/>
      <c r="G12420" s="453"/>
      <c r="H12420" s="36"/>
      <c r="I12420" s="11"/>
    </row>
    <row r="12421" spans="1:9" ht="9" customHeight="1">
      <c r="A12421" s="29"/>
      <c r="B12421" s="150" t="s">
        <v>16485</v>
      </c>
      <c r="C12421" s="147"/>
      <c r="D12421" s="161"/>
      <c r="E12421" s="36"/>
      <c r="F12421" s="178"/>
      <c r="G12421" s="453"/>
      <c r="H12421" s="36"/>
      <c r="I12421" s="11"/>
    </row>
    <row r="12422" spans="1:9" ht="9" customHeight="1">
      <c r="A12422" s="29"/>
      <c r="B12422" s="150" t="s">
        <v>16486</v>
      </c>
      <c r="C12422" s="147"/>
      <c r="D12422" s="161"/>
      <c r="E12422" s="36"/>
      <c r="F12422" s="178"/>
      <c r="G12422" s="453"/>
      <c r="H12422" s="36"/>
      <c r="I12422" s="11"/>
    </row>
    <row r="12423" spans="1:9" ht="9" customHeight="1">
      <c r="A12423" s="29"/>
      <c r="B12423" s="150" t="s">
        <v>16487</v>
      </c>
      <c r="C12423" s="147"/>
      <c r="D12423" s="161"/>
      <c r="E12423" s="36"/>
      <c r="F12423" s="178"/>
      <c r="G12423" s="453"/>
      <c r="H12423" s="36"/>
      <c r="I12423" s="11"/>
    </row>
    <row r="12424" spans="1:9" ht="9" customHeight="1">
      <c r="A12424" s="29"/>
      <c r="B12424" s="150" t="s">
        <v>16488</v>
      </c>
      <c r="C12424" s="147"/>
      <c r="D12424" s="161"/>
      <c r="E12424" s="36"/>
      <c r="F12424" s="178"/>
      <c r="G12424" s="453"/>
      <c r="H12424" s="36"/>
      <c r="I12424" s="11"/>
    </row>
    <row r="12425" spans="1:9" ht="9" customHeight="1">
      <c r="A12425" s="29"/>
      <c r="B12425" s="150" t="s">
        <v>16489</v>
      </c>
      <c r="C12425" s="147"/>
      <c r="D12425" s="161"/>
      <c r="E12425" s="36"/>
      <c r="F12425" s="178"/>
      <c r="G12425" s="453"/>
      <c r="H12425" s="36"/>
      <c r="I12425" s="11"/>
    </row>
    <row r="12426" spans="1:9" ht="9" customHeight="1">
      <c r="A12426" s="29"/>
      <c r="B12426" s="150" t="s">
        <v>16490</v>
      </c>
      <c r="C12426" s="147"/>
      <c r="D12426" s="161"/>
      <c r="E12426" s="36"/>
      <c r="F12426" s="178"/>
      <c r="G12426" s="453"/>
      <c r="H12426" s="36"/>
      <c r="I12426" s="11"/>
    </row>
    <row r="12427" spans="1:9" ht="9" customHeight="1">
      <c r="A12427" s="185"/>
      <c r="B12427" s="150" t="s">
        <v>16491</v>
      </c>
      <c r="C12427" s="147"/>
      <c r="D12427" s="161"/>
      <c r="E12427" s="36"/>
      <c r="F12427" s="178"/>
      <c r="G12427" s="453"/>
      <c r="H12427" s="36"/>
      <c r="I12427" s="11"/>
    </row>
    <row r="12428" spans="1:9" ht="9" customHeight="1">
      <c r="A12428" s="185"/>
      <c r="B12428" s="150" t="s">
        <v>16492</v>
      </c>
      <c r="C12428" s="147"/>
      <c r="D12428" s="161"/>
      <c r="E12428" s="36"/>
      <c r="F12428" s="178"/>
      <c r="G12428" s="453"/>
      <c r="H12428" s="36"/>
      <c r="I12428" s="11"/>
    </row>
    <row r="12429" spans="1:9" ht="9" customHeight="1">
      <c r="A12429" s="185"/>
      <c r="B12429" s="150" t="s">
        <v>16493</v>
      </c>
      <c r="C12429" s="147"/>
      <c r="D12429" s="161"/>
      <c r="E12429" s="36"/>
      <c r="F12429" s="178"/>
      <c r="G12429" s="453"/>
      <c r="H12429" s="36"/>
      <c r="I12429" s="11"/>
    </row>
    <row r="12430" spans="1:9" ht="9" customHeight="1">
      <c r="A12430" s="185"/>
      <c r="B12430" s="150" t="s">
        <v>16494</v>
      </c>
      <c r="C12430" s="147"/>
      <c r="D12430" s="161"/>
      <c r="E12430" s="36"/>
      <c r="F12430" s="178"/>
      <c r="G12430" s="453"/>
      <c r="H12430" s="36"/>
      <c r="I12430" s="11"/>
    </row>
    <row r="12431" spans="1:9" ht="9" customHeight="1">
      <c r="A12431" s="185"/>
      <c r="B12431" s="150" t="s">
        <v>16495</v>
      </c>
      <c r="C12431" s="147"/>
      <c r="D12431" s="161"/>
      <c r="E12431" s="36"/>
      <c r="F12431" s="178"/>
      <c r="G12431" s="453"/>
      <c r="H12431" s="36"/>
      <c r="I12431" s="11"/>
    </row>
    <row r="12432" spans="1:9" ht="9" customHeight="1">
      <c r="A12432" s="185"/>
      <c r="B12432" s="150" t="s">
        <v>16496</v>
      </c>
      <c r="C12432" s="147"/>
      <c r="D12432" s="161"/>
      <c r="E12432" s="36"/>
      <c r="F12432" s="178"/>
      <c r="G12432" s="453"/>
      <c r="H12432" s="36"/>
      <c r="I12432" s="11"/>
    </row>
    <row r="12433" spans="1:9" ht="9" customHeight="1">
      <c r="A12433" s="185"/>
      <c r="B12433" s="150" t="s">
        <v>16497</v>
      </c>
      <c r="C12433" s="147"/>
      <c r="D12433" s="161"/>
      <c r="E12433" s="36"/>
      <c r="F12433" s="178"/>
      <c r="G12433" s="453"/>
      <c r="H12433" s="36"/>
      <c r="I12433" s="11"/>
    </row>
    <row r="12434" spans="1:9" ht="9" customHeight="1">
      <c r="A12434" s="185"/>
      <c r="B12434" s="150" t="s">
        <v>16498</v>
      </c>
      <c r="C12434" s="147"/>
      <c r="D12434" s="161"/>
      <c r="E12434" s="36"/>
      <c r="F12434" s="178"/>
      <c r="G12434" s="453"/>
      <c r="H12434" s="36"/>
      <c r="I12434" s="11"/>
    </row>
    <row r="12435" spans="1:9" ht="9" customHeight="1">
      <c r="A12435" s="185"/>
      <c r="B12435" s="150" t="s">
        <v>16499</v>
      </c>
      <c r="C12435" s="147"/>
      <c r="D12435" s="161"/>
      <c r="E12435" s="36"/>
      <c r="F12435" s="178"/>
      <c r="G12435" s="453"/>
      <c r="H12435" s="36"/>
      <c r="I12435" s="11"/>
    </row>
    <row r="12436" spans="1:9" ht="9" customHeight="1">
      <c r="A12436" s="29"/>
      <c r="B12436" s="150" t="s">
        <v>16500</v>
      </c>
      <c r="C12436" s="147"/>
      <c r="D12436" s="122"/>
      <c r="E12436" s="36"/>
      <c r="F12436" s="178"/>
      <c r="G12436" s="1217"/>
      <c r="H12436" s="36"/>
      <c r="I12436" s="11"/>
    </row>
    <row r="12437" spans="1:9" ht="9" customHeight="1">
      <c r="A12437" s="185"/>
      <c r="B12437" s="150" t="s">
        <v>16501</v>
      </c>
      <c r="C12437" s="147"/>
      <c r="D12437" s="161"/>
      <c r="E12437" s="36"/>
      <c r="F12437" s="178"/>
      <c r="G12437" s="453"/>
      <c r="H12437" s="36"/>
      <c r="I12437" s="11"/>
    </row>
    <row r="12438" spans="1:9" ht="9" customHeight="1">
      <c r="A12438" s="185"/>
      <c r="B12438" s="150" t="s">
        <v>16502</v>
      </c>
      <c r="C12438" s="147"/>
      <c r="D12438" s="161"/>
      <c r="E12438" s="36"/>
      <c r="F12438" s="178"/>
      <c r="G12438" s="453"/>
      <c r="H12438" s="36"/>
      <c r="I12438" s="11"/>
    </row>
    <row r="12439" spans="1:9" ht="9" customHeight="1">
      <c r="A12439" s="185"/>
      <c r="B12439" s="150" t="s">
        <v>16503</v>
      </c>
      <c r="C12439" s="147"/>
      <c r="D12439" s="122"/>
      <c r="E12439" s="36"/>
      <c r="F12439" s="178"/>
      <c r="G12439" s="60"/>
      <c r="H12439" s="36"/>
      <c r="I12439" s="11"/>
    </row>
    <row r="12440" spans="1:9" ht="9" customHeight="1">
      <c r="A12440" s="185"/>
      <c r="B12440" s="150" t="s">
        <v>16504</v>
      </c>
      <c r="C12440" s="147"/>
      <c r="D12440" s="122"/>
      <c r="E12440" s="36"/>
      <c r="F12440" s="178"/>
      <c r="G12440" s="60"/>
      <c r="H12440" s="36"/>
      <c r="I12440" s="11"/>
    </row>
    <row r="12441" spans="1:9" ht="9" customHeight="1">
      <c r="A12441" s="29"/>
      <c r="B12441" s="150" t="s">
        <v>16505</v>
      </c>
      <c r="C12441" s="147"/>
      <c r="D12441" s="122"/>
      <c r="E12441" s="36"/>
      <c r="F12441" s="178"/>
      <c r="G12441" s="1217"/>
      <c r="H12441" s="36"/>
      <c r="I12441" s="11"/>
    </row>
    <row r="12442" spans="1:9" ht="9" customHeight="1">
      <c r="A12442" s="29"/>
      <c r="B12442" s="150" t="s">
        <v>16506</v>
      </c>
      <c r="C12442" s="147"/>
      <c r="D12442" s="122"/>
      <c r="E12442" s="36"/>
      <c r="F12442" s="178"/>
      <c r="G12442" s="1217"/>
      <c r="H12442" s="36"/>
      <c r="I12442" s="11"/>
    </row>
    <row r="12443" spans="1:9" ht="9" customHeight="1">
      <c r="A12443" s="29"/>
      <c r="B12443" s="150" t="s">
        <v>16507</v>
      </c>
      <c r="C12443" s="147"/>
      <c r="D12443" s="122"/>
      <c r="E12443" s="36"/>
      <c r="F12443" s="178"/>
      <c r="G12443" s="1217"/>
      <c r="H12443" s="36"/>
      <c r="I12443" s="11"/>
    </row>
    <row r="12444" spans="1:9" ht="9" customHeight="1">
      <c r="A12444" s="29"/>
      <c r="B12444" s="150" t="s">
        <v>16508</v>
      </c>
      <c r="C12444" s="147"/>
      <c r="D12444" s="122"/>
      <c r="E12444" s="36"/>
      <c r="F12444" s="178"/>
      <c r="G12444" s="1217"/>
      <c r="H12444" s="36"/>
      <c r="I12444" s="11"/>
    </row>
    <row r="12445" spans="1:9" ht="9" customHeight="1">
      <c r="A12445" s="29"/>
      <c r="B12445" s="150" t="s">
        <v>16509</v>
      </c>
      <c r="C12445" s="147"/>
      <c r="D12445" s="122"/>
      <c r="E12445" s="36"/>
      <c r="F12445" s="178"/>
      <c r="G12445" s="1217"/>
      <c r="H12445" s="36"/>
      <c r="I12445" s="11"/>
    </row>
    <row r="12446" spans="1:9" ht="9" customHeight="1">
      <c r="A12446" s="29"/>
      <c r="B12446" s="150" t="s">
        <v>16510</v>
      </c>
      <c r="C12446" s="147"/>
      <c r="D12446" s="122"/>
      <c r="E12446" s="36"/>
      <c r="F12446" s="178"/>
      <c r="G12446" s="1217"/>
      <c r="H12446" s="36"/>
      <c r="I12446" s="11"/>
    </row>
    <row r="12447" spans="1:9" ht="9" customHeight="1">
      <c r="A12447" s="29"/>
      <c r="B12447" s="150" t="s">
        <v>16511</v>
      </c>
      <c r="C12447" s="147"/>
      <c r="D12447" s="122"/>
      <c r="E12447" s="36"/>
      <c r="F12447" s="178"/>
      <c r="G12447" s="1217"/>
      <c r="H12447" s="36"/>
      <c r="I12447" s="11"/>
    </row>
    <row r="12448" spans="1:9" ht="9" customHeight="1">
      <c r="A12448" s="29"/>
      <c r="B12448" s="150" t="s">
        <v>16512</v>
      </c>
      <c r="C12448" s="147"/>
      <c r="D12448" s="122"/>
      <c r="E12448" s="36"/>
      <c r="F12448" s="178"/>
      <c r="G12448" s="1217"/>
      <c r="H12448" s="36"/>
      <c r="I12448" s="11"/>
    </row>
    <row r="12449" spans="1:9" ht="9" customHeight="1">
      <c r="A12449" s="29"/>
      <c r="B12449" s="150" t="s">
        <v>16513</v>
      </c>
      <c r="C12449" s="147"/>
      <c r="D12449" s="122"/>
      <c r="E12449" s="36"/>
      <c r="F12449" s="178"/>
      <c r="G12449" s="1217"/>
      <c r="H12449" s="36"/>
      <c r="I12449" s="11"/>
    </row>
    <row r="12450" spans="1:9" ht="9" customHeight="1">
      <c r="A12450" s="29"/>
      <c r="B12450" s="150" t="s">
        <v>16514</v>
      </c>
      <c r="C12450" s="147"/>
      <c r="D12450" s="122"/>
      <c r="E12450" s="36"/>
      <c r="F12450" s="178"/>
      <c r="G12450" s="1217"/>
      <c r="H12450" s="36"/>
      <c r="I12450" s="11"/>
    </row>
    <row r="12451" spans="1:9" ht="9" customHeight="1">
      <c r="A12451" s="29"/>
      <c r="B12451" s="150" t="s">
        <v>16515</v>
      </c>
      <c r="C12451" s="147"/>
      <c r="D12451" s="122"/>
      <c r="E12451" s="36"/>
      <c r="F12451" s="178"/>
      <c r="G12451" s="1217"/>
      <c r="H12451" s="36"/>
      <c r="I12451" s="11"/>
    </row>
    <row r="12452" spans="1:9" ht="9" customHeight="1">
      <c r="A12452" s="29"/>
      <c r="B12452" s="150" t="s">
        <v>16516</v>
      </c>
      <c r="C12452" s="147"/>
      <c r="D12452" s="122"/>
      <c r="E12452" s="36"/>
      <c r="F12452" s="178"/>
      <c r="G12452" s="1217"/>
      <c r="H12452" s="36"/>
      <c r="I12452" s="11"/>
    </row>
    <row r="12453" spans="1:9" ht="9" customHeight="1">
      <c r="A12453" s="29"/>
      <c r="B12453" s="150" t="s">
        <v>16517</v>
      </c>
      <c r="C12453" s="147"/>
      <c r="D12453" s="122"/>
      <c r="E12453" s="36"/>
      <c r="F12453" s="178"/>
      <c r="G12453" s="1217"/>
      <c r="H12453" s="36"/>
      <c r="I12453" s="11"/>
    </row>
    <row r="12454" spans="1:9" ht="9" customHeight="1">
      <c r="A12454" s="29"/>
      <c r="B12454" s="150" t="s">
        <v>16518</v>
      </c>
      <c r="C12454" s="147"/>
      <c r="D12454" s="122"/>
      <c r="E12454" s="36"/>
      <c r="F12454" s="178"/>
      <c r="G12454" s="1217"/>
      <c r="H12454" s="36"/>
      <c r="I12454" s="11"/>
    </row>
    <row r="12455" spans="1:9" ht="9" customHeight="1">
      <c r="A12455" s="29"/>
      <c r="B12455" s="150" t="s">
        <v>16519</v>
      </c>
      <c r="C12455" s="147"/>
      <c r="D12455" s="122"/>
      <c r="E12455" s="36"/>
      <c r="F12455" s="178"/>
      <c r="G12455" s="1217"/>
      <c r="H12455" s="36"/>
      <c r="I12455" s="11"/>
    </row>
    <row r="12456" spans="1:9" ht="9" customHeight="1">
      <c r="A12456" s="29"/>
      <c r="B12456" s="150" t="s">
        <v>16520</v>
      </c>
      <c r="C12456" s="147"/>
      <c r="D12456" s="161"/>
      <c r="E12456" s="36"/>
      <c r="F12456" s="178"/>
      <c r="G12456" s="453"/>
      <c r="H12456" s="36"/>
      <c r="I12456" s="11"/>
    </row>
    <row r="12457" spans="1:9" ht="9" customHeight="1">
      <c r="A12457" s="29"/>
      <c r="B12457" s="150" t="s">
        <v>16521</v>
      </c>
      <c r="C12457" s="147"/>
      <c r="D12457" s="161"/>
      <c r="E12457" s="36"/>
      <c r="F12457" s="178"/>
      <c r="G12457" s="453"/>
      <c r="H12457" s="36"/>
      <c r="I12457" s="11"/>
    </row>
    <row r="12458" spans="1:9" ht="9" customHeight="1" thickBot="1">
      <c r="A12458" s="29"/>
      <c r="B12458" s="150" t="s">
        <v>16522</v>
      </c>
      <c r="C12458" s="147"/>
      <c r="D12458" s="161"/>
      <c r="E12458" s="36"/>
      <c r="F12458" s="178"/>
      <c r="G12458" s="453"/>
      <c r="H12458" s="36"/>
      <c r="I12458" s="11"/>
    </row>
    <row r="12459" spans="1:9" ht="10.5" customHeight="1">
      <c r="A12459" s="443"/>
      <c r="B12459" s="663" t="s">
        <v>16523</v>
      </c>
      <c r="C12459" s="191"/>
      <c r="D12459" s="307"/>
      <c r="E12459" s="31"/>
      <c r="F12459" s="563"/>
      <c r="G12459" s="1255"/>
      <c r="H12459" s="1121"/>
      <c r="I12459" s="11"/>
    </row>
    <row r="12460" spans="1:9" ht="9" customHeight="1">
      <c r="A12460" s="41"/>
      <c r="B12460" s="150" t="s">
        <v>16524</v>
      </c>
      <c r="C12460" s="147"/>
      <c r="D12460" s="122"/>
      <c r="E12460" s="36"/>
      <c r="F12460" s="178"/>
      <c r="G12460" s="1217"/>
      <c r="H12460" s="628"/>
      <c r="I12460" s="11"/>
    </row>
    <row r="12461" spans="1:9" ht="9" customHeight="1">
      <c r="A12461" s="41"/>
      <c r="B12461" s="152" t="s">
        <v>16525</v>
      </c>
      <c r="C12461" s="147"/>
      <c r="D12461" s="122"/>
      <c r="E12461" s="36"/>
      <c r="F12461" s="178"/>
      <c r="G12461" s="1217"/>
      <c r="H12461" s="628"/>
      <c r="I12461" s="11"/>
    </row>
    <row r="12462" spans="1:9" ht="9" customHeight="1">
      <c r="A12462" s="41"/>
      <c r="B12462" s="152" t="s">
        <v>16526</v>
      </c>
      <c r="C12462" s="147"/>
      <c r="D12462" s="122"/>
      <c r="E12462" s="36"/>
      <c r="F12462" s="178"/>
      <c r="G12462" s="1217"/>
      <c r="H12462" s="628"/>
      <c r="I12462" s="11"/>
    </row>
    <row r="12463" spans="1:9" ht="9" customHeight="1">
      <c r="A12463" s="41"/>
      <c r="B12463" s="152" t="s">
        <v>16527</v>
      </c>
      <c r="C12463" s="147"/>
      <c r="D12463" s="122"/>
      <c r="E12463" s="36"/>
      <c r="F12463" s="178"/>
      <c r="G12463" s="1217"/>
      <c r="H12463" s="628"/>
      <c r="I12463" s="11"/>
    </row>
    <row r="12464" spans="1:9" ht="9" customHeight="1">
      <c r="A12464" s="41"/>
      <c r="B12464" s="152" t="s">
        <v>16528</v>
      </c>
      <c r="C12464" s="147"/>
      <c r="D12464" s="122"/>
      <c r="E12464" s="36"/>
      <c r="F12464" s="178"/>
      <c r="G12464" s="1217"/>
      <c r="H12464" s="628"/>
      <c r="I12464" s="11"/>
    </row>
    <row r="12465" spans="1:9" ht="9" customHeight="1">
      <c r="A12465" s="41"/>
      <c r="B12465" s="152" t="s">
        <v>16529</v>
      </c>
      <c r="C12465" s="147"/>
      <c r="D12465" s="122"/>
      <c r="E12465" s="36"/>
      <c r="F12465" s="178"/>
      <c r="G12465" s="1217"/>
      <c r="H12465" s="628"/>
      <c r="I12465" s="11"/>
    </row>
    <row r="12466" spans="1:9" ht="9" customHeight="1">
      <c r="A12466" s="41"/>
      <c r="B12466" s="150" t="s">
        <v>16530</v>
      </c>
      <c r="C12466" s="147"/>
      <c r="D12466" s="122"/>
      <c r="E12466" s="36"/>
      <c r="F12466" s="178"/>
      <c r="G12466" s="1217"/>
      <c r="H12466" s="628"/>
      <c r="I12466" s="11"/>
    </row>
    <row r="12467" spans="1:9" ht="10.5" customHeight="1">
      <c r="A12467" s="41"/>
      <c r="B12467" s="413" t="s">
        <v>16531</v>
      </c>
      <c r="C12467" s="147"/>
      <c r="D12467" s="161"/>
      <c r="E12467" s="36"/>
      <c r="F12467" s="178"/>
      <c r="G12467" s="453"/>
      <c r="H12467" s="628"/>
      <c r="I12467" s="11"/>
    </row>
    <row r="12468" spans="1:9" ht="9" customHeight="1">
      <c r="A12468" s="41"/>
      <c r="B12468" s="209" t="s">
        <v>16532</v>
      </c>
      <c r="C12468" s="147"/>
      <c r="D12468" s="122"/>
      <c r="E12468" s="36"/>
      <c r="F12468" s="178"/>
      <c r="G12468" s="1217"/>
      <c r="H12468" s="628"/>
      <c r="I12468" s="11"/>
    </row>
    <row r="12469" spans="1:9" ht="9" customHeight="1">
      <c r="A12469" s="41"/>
      <c r="B12469" s="150" t="s">
        <v>16533</v>
      </c>
      <c r="C12469" s="147"/>
      <c r="D12469" s="122"/>
      <c r="E12469" s="36"/>
      <c r="F12469" s="178"/>
      <c r="G12469" s="1217"/>
      <c r="H12469" s="628"/>
      <c r="I12469" s="11"/>
    </row>
    <row r="12470" spans="1:9" ht="9" customHeight="1">
      <c r="A12470" s="41"/>
      <c r="B12470" s="150" t="s">
        <v>16534</v>
      </c>
      <c r="C12470" s="147"/>
      <c r="D12470" s="122"/>
      <c r="E12470" s="36"/>
      <c r="F12470" s="178"/>
      <c r="G12470" s="1217"/>
      <c r="H12470" s="628"/>
      <c r="I12470" s="11"/>
    </row>
    <row r="12471" spans="1:9" ht="10.5" customHeight="1">
      <c r="A12471" s="41"/>
      <c r="B12471" s="413" t="s">
        <v>16535</v>
      </c>
      <c r="C12471" s="147"/>
      <c r="D12471" s="161"/>
      <c r="E12471" s="36"/>
      <c r="F12471" s="178"/>
      <c r="G12471" s="453"/>
      <c r="H12471" s="628"/>
      <c r="I12471" s="11"/>
    </row>
    <row r="12472" spans="1:9" ht="9" customHeight="1">
      <c r="A12472" s="41"/>
      <c r="B12472" s="150" t="s">
        <v>16536</v>
      </c>
      <c r="C12472" s="147"/>
      <c r="D12472" s="122"/>
      <c r="E12472" s="36"/>
      <c r="F12472" s="178"/>
      <c r="G12472" s="1217"/>
      <c r="H12472" s="628"/>
      <c r="I12472" s="11"/>
    </row>
    <row r="12473" spans="1:9" ht="9" customHeight="1">
      <c r="A12473" s="41"/>
      <c r="B12473" s="150" t="s">
        <v>16537</v>
      </c>
      <c r="C12473" s="147"/>
      <c r="D12473" s="122"/>
      <c r="E12473" s="36"/>
      <c r="F12473" s="178"/>
      <c r="G12473" s="1217"/>
      <c r="H12473" s="628"/>
      <c r="I12473" s="11"/>
    </row>
    <row r="12474" spans="1:9" ht="9" customHeight="1">
      <c r="A12474" s="41"/>
      <c r="B12474" s="150" t="s">
        <v>16538</v>
      </c>
      <c r="C12474" s="147"/>
      <c r="D12474" s="122"/>
      <c r="E12474" s="36"/>
      <c r="F12474" s="178"/>
      <c r="G12474" s="1217"/>
      <c r="H12474" s="628"/>
      <c r="I12474" s="11"/>
    </row>
    <row r="12475" spans="1:9" ht="9" customHeight="1">
      <c r="A12475" s="41"/>
      <c r="B12475" s="150" t="s">
        <v>16539</v>
      </c>
      <c r="C12475" s="147"/>
      <c r="D12475" s="122"/>
      <c r="E12475" s="36"/>
      <c r="F12475" s="178"/>
      <c r="G12475" s="1217"/>
      <c r="H12475" s="628"/>
      <c r="I12475" s="11"/>
    </row>
    <row r="12476" spans="1:9" ht="9" customHeight="1">
      <c r="A12476" s="41"/>
      <c r="B12476" s="150" t="s">
        <v>16540</v>
      </c>
      <c r="C12476" s="147"/>
      <c r="D12476" s="122"/>
      <c r="E12476" s="36"/>
      <c r="F12476" s="178"/>
      <c r="G12476" s="1217"/>
      <c r="H12476" s="628"/>
      <c r="I12476" s="11"/>
    </row>
    <row r="12477" spans="1:9" ht="10.5" customHeight="1">
      <c r="A12477" s="41"/>
      <c r="B12477" s="413" t="s">
        <v>16541</v>
      </c>
      <c r="C12477" s="147"/>
      <c r="D12477" s="161"/>
      <c r="E12477" s="36"/>
      <c r="F12477" s="178"/>
      <c r="G12477" s="453"/>
      <c r="H12477" s="628"/>
      <c r="I12477" s="11"/>
    </row>
    <row r="12478" spans="1:9" ht="10.5" customHeight="1">
      <c r="A12478" s="41"/>
      <c r="B12478" s="150" t="s">
        <v>16542</v>
      </c>
      <c r="C12478" s="147"/>
      <c r="D12478" s="161"/>
      <c r="E12478" s="36"/>
      <c r="F12478" s="178"/>
      <c r="G12478" s="453"/>
      <c r="H12478" s="628"/>
      <c r="I12478" s="11"/>
    </row>
    <row r="12479" spans="1:9" ht="9" customHeight="1">
      <c r="A12479" s="41"/>
      <c r="B12479" s="150" t="s">
        <v>16543</v>
      </c>
      <c r="C12479" s="147"/>
      <c r="D12479" s="161"/>
      <c r="E12479" s="36"/>
      <c r="F12479" s="178"/>
      <c r="G12479" s="453"/>
      <c r="H12479" s="628"/>
      <c r="I12479" s="11"/>
    </row>
    <row r="12480" spans="1:9" ht="9" customHeight="1">
      <c r="A12480" s="41"/>
      <c r="B12480" s="150" t="s">
        <v>16544</v>
      </c>
      <c r="C12480" s="147"/>
      <c r="D12480" s="161"/>
      <c r="E12480" s="36"/>
      <c r="F12480" s="178"/>
      <c r="G12480" s="453"/>
      <c r="H12480" s="628"/>
      <c r="I12480" s="11"/>
    </row>
    <row r="12481" spans="1:9" ht="9" customHeight="1">
      <c r="A12481" s="41"/>
      <c r="B12481" s="150" t="s">
        <v>16545</v>
      </c>
      <c r="C12481" s="147"/>
      <c r="D12481" s="161"/>
      <c r="E12481" s="36"/>
      <c r="F12481" s="178"/>
      <c r="G12481" s="453"/>
      <c r="H12481" s="628"/>
      <c r="I12481" s="11"/>
    </row>
    <row r="12482" spans="1:9" ht="10.5" customHeight="1">
      <c r="A12482" s="41"/>
      <c r="B12482" s="413" t="s">
        <v>16546</v>
      </c>
      <c r="C12482" s="147"/>
      <c r="D12482" s="161"/>
      <c r="E12482" s="36"/>
      <c r="F12482" s="178"/>
      <c r="G12482" s="453"/>
      <c r="H12482" s="628"/>
      <c r="I12482" s="11"/>
    </row>
    <row r="12483" spans="1:9" ht="9" customHeight="1">
      <c r="A12483" s="41"/>
      <c r="B12483" s="150" t="s">
        <v>16547</v>
      </c>
      <c r="C12483" s="147"/>
      <c r="D12483" s="122"/>
      <c r="E12483" s="36"/>
      <c r="F12483" s="178"/>
      <c r="G12483" s="1217"/>
      <c r="H12483" s="628"/>
      <c r="I12483" s="11"/>
    </row>
    <row r="12484" spans="1:9" ht="9" customHeight="1">
      <c r="A12484" s="41"/>
      <c r="B12484" s="150" t="s">
        <v>16548</v>
      </c>
      <c r="C12484" s="147"/>
      <c r="D12484" s="122"/>
      <c r="E12484" s="36"/>
      <c r="F12484" s="178"/>
      <c r="G12484" s="1217"/>
      <c r="H12484" s="628"/>
      <c r="I12484" s="11"/>
    </row>
    <row r="12485" spans="1:9" ht="9" customHeight="1">
      <c r="A12485" s="41"/>
      <c r="B12485" s="150" t="s">
        <v>16549</v>
      </c>
      <c r="C12485" s="147"/>
      <c r="D12485" s="122"/>
      <c r="E12485" s="36"/>
      <c r="F12485" s="178"/>
      <c r="G12485" s="1217"/>
      <c r="H12485" s="628"/>
      <c r="I12485" s="11"/>
    </row>
    <row r="12486" spans="1:9" ht="9" customHeight="1">
      <c r="A12486" s="41"/>
      <c r="B12486" s="150" t="s">
        <v>16550</v>
      </c>
      <c r="C12486" s="147"/>
      <c r="D12486" s="122"/>
      <c r="E12486" s="36"/>
      <c r="F12486" s="178"/>
      <c r="G12486" s="1217"/>
      <c r="H12486" s="628"/>
      <c r="I12486" s="11"/>
    </row>
    <row r="12487" spans="1:9" ht="9" customHeight="1">
      <c r="A12487" s="41"/>
      <c r="B12487" s="209" t="s">
        <v>16551</v>
      </c>
      <c r="C12487" s="147"/>
      <c r="D12487" s="122"/>
      <c r="E12487" s="36"/>
      <c r="F12487" s="178"/>
      <c r="G12487" s="1217"/>
      <c r="H12487" s="628"/>
      <c r="I12487" s="11"/>
    </row>
    <row r="12488" spans="1:9" ht="9" customHeight="1">
      <c r="A12488" s="41"/>
      <c r="B12488" s="150" t="s">
        <v>16552</v>
      </c>
      <c r="C12488" s="147"/>
      <c r="D12488" s="122"/>
      <c r="E12488" s="36"/>
      <c r="F12488" s="178"/>
      <c r="G12488" s="1217"/>
      <c r="H12488" s="628"/>
      <c r="I12488" s="11"/>
    </row>
    <row r="12489" spans="1:9" ht="9" customHeight="1">
      <c r="A12489" s="41"/>
      <c r="B12489" s="150" t="s">
        <v>16553</v>
      </c>
      <c r="C12489" s="147"/>
      <c r="D12489" s="122"/>
      <c r="E12489" s="36"/>
      <c r="F12489" s="178"/>
      <c r="G12489" s="1217"/>
      <c r="H12489" s="628"/>
      <c r="I12489" s="11"/>
    </row>
    <row r="12490" spans="1:9" ht="9" customHeight="1">
      <c r="A12490" s="41"/>
      <c r="B12490" s="150" t="s">
        <v>16554</v>
      </c>
      <c r="C12490" s="147"/>
      <c r="D12490" s="122"/>
      <c r="E12490" s="36"/>
      <c r="F12490" s="178"/>
      <c r="G12490" s="1217"/>
      <c r="H12490" s="628"/>
      <c r="I12490" s="11"/>
    </row>
    <row r="12491" spans="1:9" ht="9" customHeight="1">
      <c r="A12491" s="41"/>
      <c r="B12491" s="150" t="s">
        <v>16555</v>
      </c>
      <c r="C12491" s="147"/>
      <c r="D12491" s="122"/>
      <c r="E12491" s="36"/>
      <c r="F12491" s="178"/>
      <c r="G12491" s="1217"/>
      <c r="H12491" s="628"/>
      <c r="I12491" s="11"/>
    </row>
    <row r="12492" spans="1:9" ht="9" customHeight="1">
      <c r="A12492" s="41"/>
      <c r="B12492" s="150" t="s">
        <v>16556</v>
      </c>
      <c r="C12492" s="147"/>
      <c r="D12492" s="122"/>
      <c r="E12492" s="36"/>
      <c r="F12492" s="178"/>
      <c r="G12492" s="1217"/>
      <c r="H12492" s="628"/>
      <c r="I12492" s="11"/>
    </row>
    <row r="12493" spans="1:9" ht="9" customHeight="1">
      <c r="A12493" s="41"/>
      <c r="B12493" s="150" t="s">
        <v>16557</v>
      </c>
      <c r="C12493" s="147"/>
      <c r="D12493" s="122"/>
      <c r="E12493" s="36"/>
      <c r="F12493" s="178"/>
      <c r="G12493" s="1217"/>
      <c r="H12493" s="628"/>
      <c r="I12493" s="11"/>
    </row>
    <row r="12494" spans="1:9" ht="9" customHeight="1">
      <c r="A12494" s="41"/>
      <c r="B12494" s="150" t="s">
        <v>16558</v>
      </c>
      <c r="C12494" s="147"/>
      <c r="D12494" s="122"/>
      <c r="E12494" s="36"/>
      <c r="F12494" s="178"/>
      <c r="G12494" s="1217"/>
      <c r="H12494" s="628"/>
      <c r="I12494" s="11"/>
    </row>
    <row r="12495" spans="1:9" ht="9" customHeight="1">
      <c r="A12495" s="41"/>
      <c r="B12495" s="150" t="s">
        <v>16559</v>
      </c>
      <c r="C12495" s="147"/>
      <c r="D12495" s="122"/>
      <c r="E12495" s="36"/>
      <c r="F12495" s="178"/>
      <c r="G12495" s="1217"/>
      <c r="H12495" s="628"/>
      <c r="I12495" s="11"/>
    </row>
    <row r="12496" spans="1:9" ht="9" customHeight="1">
      <c r="A12496" s="41"/>
      <c r="B12496" s="150" t="s">
        <v>16560</v>
      </c>
      <c r="C12496" s="147"/>
      <c r="D12496" s="122"/>
      <c r="E12496" s="36"/>
      <c r="F12496" s="178"/>
      <c r="G12496" s="1217"/>
      <c r="H12496" s="628"/>
      <c r="I12496" s="11"/>
    </row>
    <row r="12497" spans="1:9" ht="9" customHeight="1">
      <c r="A12497" s="41"/>
      <c r="B12497" s="150" t="s">
        <v>16561</v>
      </c>
      <c r="C12497" s="147"/>
      <c r="D12497" s="122"/>
      <c r="E12497" s="36"/>
      <c r="F12497" s="178"/>
      <c r="G12497" s="1217"/>
      <c r="H12497" s="628"/>
      <c r="I12497" s="11"/>
    </row>
    <row r="12498" spans="1:9" ht="9" customHeight="1">
      <c r="A12498" s="41"/>
      <c r="B12498" s="150" t="s">
        <v>16562</v>
      </c>
      <c r="C12498" s="147"/>
      <c r="D12498" s="122"/>
      <c r="E12498" s="36"/>
      <c r="F12498" s="178"/>
      <c r="G12498" s="1217"/>
      <c r="H12498" s="628"/>
      <c r="I12498" s="11"/>
    </row>
    <row r="12499" spans="1:9" ht="9" customHeight="1">
      <c r="A12499" s="41"/>
      <c r="B12499" s="150" t="s">
        <v>16563</v>
      </c>
      <c r="C12499" s="147"/>
      <c r="D12499" s="122"/>
      <c r="E12499" s="36"/>
      <c r="F12499" s="178"/>
      <c r="G12499" s="1217"/>
      <c r="H12499" s="628"/>
      <c r="I12499" s="11"/>
    </row>
    <row r="12500" spans="1:9" ht="10.5" customHeight="1">
      <c r="A12500" s="41"/>
      <c r="B12500" s="413" t="s">
        <v>16564</v>
      </c>
      <c r="C12500" s="147"/>
      <c r="D12500" s="161"/>
      <c r="E12500" s="36"/>
      <c r="F12500" s="178"/>
      <c r="G12500" s="453"/>
      <c r="H12500" s="628"/>
      <c r="I12500" s="11"/>
    </row>
    <row r="12501" spans="1:9" ht="9" customHeight="1">
      <c r="A12501" s="41"/>
      <c r="B12501" s="150" t="s">
        <v>16565</v>
      </c>
      <c r="C12501" s="147"/>
      <c r="D12501" s="122"/>
      <c r="E12501" s="36"/>
      <c r="F12501" s="178"/>
      <c r="G12501" s="1217"/>
      <c r="H12501" s="628"/>
      <c r="I12501" s="11"/>
    </row>
    <row r="12502" spans="1:9" ht="9" customHeight="1">
      <c r="A12502" s="41"/>
      <c r="B12502" s="150" t="s">
        <v>16566</v>
      </c>
      <c r="C12502" s="147"/>
      <c r="D12502" s="122"/>
      <c r="E12502" s="36"/>
      <c r="F12502" s="178"/>
      <c r="G12502" s="1217"/>
      <c r="H12502" s="628"/>
      <c r="I12502" s="11"/>
    </row>
    <row r="12503" spans="1:9" ht="9" customHeight="1">
      <c r="A12503" s="41"/>
      <c r="B12503" s="150" t="s">
        <v>16567</v>
      </c>
      <c r="C12503" s="147"/>
      <c r="D12503" s="122"/>
      <c r="E12503" s="36"/>
      <c r="F12503" s="178"/>
      <c r="G12503" s="1217"/>
      <c r="H12503" s="628"/>
      <c r="I12503" s="11"/>
    </row>
    <row r="12504" spans="1:9" ht="9" customHeight="1">
      <c r="A12504" s="41"/>
      <c r="B12504" s="150" t="s">
        <v>16568</v>
      </c>
      <c r="C12504" s="147"/>
      <c r="D12504" s="122"/>
      <c r="E12504" s="36"/>
      <c r="F12504" s="178"/>
      <c r="G12504" s="1217"/>
      <c r="H12504" s="628"/>
      <c r="I12504" s="11"/>
    </row>
    <row r="12505" spans="1:9" ht="9" customHeight="1">
      <c r="A12505" s="41"/>
      <c r="B12505" s="150" t="s">
        <v>16569</v>
      </c>
      <c r="C12505" s="147"/>
      <c r="D12505" s="122"/>
      <c r="E12505" s="36"/>
      <c r="F12505" s="178"/>
      <c r="G12505" s="1217"/>
      <c r="H12505" s="628"/>
      <c r="I12505" s="11"/>
    </row>
    <row r="12506" spans="1:9" ht="9" customHeight="1">
      <c r="A12506" s="41"/>
      <c r="B12506" s="150" t="s">
        <v>16570</v>
      </c>
      <c r="C12506" s="147"/>
      <c r="D12506" s="122"/>
      <c r="E12506" s="36"/>
      <c r="F12506" s="178"/>
      <c r="G12506" s="1217"/>
      <c r="H12506" s="628"/>
      <c r="I12506" s="11"/>
    </row>
    <row r="12507" spans="1:9" ht="9" customHeight="1">
      <c r="A12507" s="41"/>
      <c r="B12507" s="150" t="s">
        <v>16571</v>
      </c>
      <c r="C12507" s="147"/>
      <c r="D12507" s="122"/>
      <c r="E12507" s="36"/>
      <c r="F12507" s="178"/>
      <c r="G12507" s="1217"/>
      <c r="H12507" s="628"/>
      <c r="I12507" s="11"/>
    </row>
    <row r="12508" spans="1:9" ht="10.5" customHeight="1">
      <c r="A12508" s="41"/>
      <c r="B12508" s="413" t="s">
        <v>16572</v>
      </c>
      <c r="C12508" s="147"/>
      <c r="D12508" s="161"/>
      <c r="E12508" s="36"/>
      <c r="F12508" s="178"/>
      <c r="G12508" s="453"/>
      <c r="H12508" s="628"/>
      <c r="I12508" s="11"/>
    </row>
    <row r="12509" spans="1:9" ht="9" customHeight="1">
      <c r="A12509" s="41"/>
      <c r="B12509" s="150" t="s">
        <v>16573</v>
      </c>
      <c r="C12509" s="147"/>
      <c r="D12509" s="122"/>
      <c r="E12509" s="36"/>
      <c r="F12509" s="178"/>
      <c r="G12509" s="1217"/>
      <c r="H12509" s="628"/>
      <c r="I12509" s="11"/>
    </row>
    <row r="12510" spans="1:9" ht="9" customHeight="1">
      <c r="A12510" s="41"/>
      <c r="B12510" s="150" t="s">
        <v>16574</v>
      </c>
      <c r="C12510" s="147"/>
      <c r="D12510" s="122"/>
      <c r="E12510" s="36"/>
      <c r="F12510" s="178"/>
      <c r="G12510" s="1217"/>
      <c r="H12510" s="628"/>
      <c r="I12510" s="11"/>
    </row>
    <row r="12511" spans="1:9" ht="9" customHeight="1">
      <c r="A12511" s="41"/>
      <c r="B12511" s="150" t="s">
        <v>16575</v>
      </c>
      <c r="C12511" s="147"/>
      <c r="D12511" s="122"/>
      <c r="E12511" s="36"/>
      <c r="F12511" s="178"/>
      <c r="G12511" s="1217"/>
      <c r="H12511" s="628"/>
      <c r="I12511" s="11"/>
    </row>
    <row r="12512" spans="1:9" ht="10.5" customHeight="1">
      <c r="A12512" s="41"/>
      <c r="B12512" s="413" t="s">
        <v>16576</v>
      </c>
      <c r="C12512" s="147"/>
      <c r="D12512" s="161"/>
      <c r="E12512" s="36"/>
      <c r="F12512" s="178"/>
      <c r="G12512" s="453"/>
      <c r="H12512" s="628"/>
      <c r="I12512" s="11"/>
    </row>
    <row r="12513" spans="1:9" ht="9" customHeight="1">
      <c r="A12513" s="41"/>
      <c r="B12513" s="209" t="s">
        <v>16577</v>
      </c>
      <c r="C12513" s="147"/>
      <c r="D12513" s="122"/>
      <c r="E12513" s="36"/>
      <c r="F12513" s="178"/>
      <c r="G12513" s="1217"/>
      <c r="H12513" s="628"/>
      <c r="I12513" s="11"/>
    </row>
    <row r="12514" spans="1:9" ht="9" customHeight="1">
      <c r="A12514" s="41"/>
      <c r="B12514" s="150" t="s">
        <v>16578</v>
      </c>
      <c r="C12514" s="147"/>
      <c r="D12514" s="122"/>
      <c r="E12514" s="36"/>
      <c r="F12514" s="178"/>
      <c r="G12514" s="1217"/>
      <c r="H12514" s="628"/>
      <c r="I12514" s="11"/>
    </row>
    <row r="12515" spans="1:9" ht="9" customHeight="1">
      <c r="A12515" s="41"/>
      <c r="B12515" s="150" t="s">
        <v>16579</v>
      </c>
      <c r="C12515" s="147"/>
      <c r="D12515" s="122"/>
      <c r="E12515" s="36"/>
      <c r="F12515" s="178"/>
      <c r="G12515" s="1217"/>
      <c r="H12515" s="628"/>
      <c r="I12515" s="11"/>
    </row>
    <row r="12516" spans="1:9" ht="9" customHeight="1">
      <c r="A12516" s="41"/>
      <c r="B12516" s="150" t="s">
        <v>16580</v>
      </c>
      <c r="C12516" s="147"/>
      <c r="D12516" s="122"/>
      <c r="E12516" s="36"/>
      <c r="F12516" s="178"/>
      <c r="G12516" s="1217"/>
      <c r="H12516" s="628"/>
      <c r="I12516" s="11"/>
    </row>
    <row r="12517" spans="1:9" ht="9" customHeight="1">
      <c r="A12517" s="41"/>
      <c r="B12517" s="150" t="s">
        <v>16581</v>
      </c>
      <c r="C12517" s="147"/>
      <c r="D12517" s="122"/>
      <c r="E12517" s="36"/>
      <c r="F12517" s="178"/>
      <c r="G12517" s="1217"/>
      <c r="H12517" s="628"/>
      <c r="I12517" s="11"/>
    </row>
    <row r="12518" spans="1:9" ht="9" customHeight="1">
      <c r="A12518" s="41"/>
      <c r="B12518" s="150" t="s">
        <v>16582</v>
      </c>
      <c r="C12518" s="147"/>
      <c r="D12518" s="122"/>
      <c r="E12518" s="36"/>
      <c r="F12518" s="178"/>
      <c r="G12518" s="1217"/>
      <c r="H12518" s="628"/>
      <c r="I12518" s="11"/>
    </row>
    <row r="12519" spans="1:9" ht="9" customHeight="1">
      <c r="A12519" s="41"/>
      <c r="B12519" s="150" t="s">
        <v>16583</v>
      </c>
      <c r="C12519" s="147"/>
      <c r="D12519" s="122"/>
      <c r="E12519" s="36"/>
      <c r="F12519" s="178"/>
      <c r="G12519" s="1217"/>
      <c r="H12519" s="628"/>
      <c r="I12519" s="11"/>
    </row>
    <row r="12520" spans="1:9" ht="9" customHeight="1">
      <c r="A12520" s="41"/>
      <c r="B12520" s="150" t="s">
        <v>16584</v>
      </c>
      <c r="C12520" s="147"/>
      <c r="D12520" s="122"/>
      <c r="E12520" s="36"/>
      <c r="F12520" s="178"/>
      <c r="G12520" s="1217"/>
      <c r="H12520" s="628"/>
      <c r="I12520" s="11"/>
    </row>
    <row r="12521" spans="1:9" ht="10.5" customHeight="1">
      <c r="A12521" s="41"/>
      <c r="B12521" s="413" t="s">
        <v>16585</v>
      </c>
      <c r="C12521" s="147"/>
      <c r="D12521" s="161"/>
      <c r="E12521" s="36"/>
      <c r="F12521" s="178"/>
      <c r="G12521" s="453"/>
      <c r="H12521" s="628"/>
      <c r="I12521" s="11"/>
    </row>
    <row r="12522" spans="1:9" ht="9" customHeight="1">
      <c r="A12522" s="41"/>
      <c r="B12522" s="209" t="s">
        <v>16586</v>
      </c>
      <c r="C12522" s="147"/>
      <c r="D12522" s="161"/>
      <c r="E12522" s="36"/>
      <c r="F12522" s="178"/>
      <c r="G12522" s="453"/>
      <c r="H12522" s="628"/>
      <c r="I12522" s="11"/>
    </row>
    <row r="12523" spans="1:9" ht="9" customHeight="1">
      <c r="A12523" s="41"/>
      <c r="B12523" s="150"/>
      <c r="C12523" s="147"/>
      <c r="D12523" s="161"/>
      <c r="E12523" s="36"/>
      <c r="F12523" s="178"/>
      <c r="G12523" s="453"/>
      <c r="H12523" s="628"/>
      <c r="I12523" s="11"/>
    </row>
    <row r="12524" spans="1:9" ht="9" customHeight="1">
      <c r="A12524" s="41"/>
      <c r="B12524" s="209" t="s">
        <v>16587</v>
      </c>
      <c r="C12524" s="147"/>
      <c r="D12524" s="161"/>
      <c r="E12524" s="36"/>
      <c r="F12524" s="178"/>
      <c r="G12524" s="453"/>
      <c r="H12524" s="628"/>
      <c r="I12524" s="11"/>
    </row>
    <row r="12525" spans="1:9" ht="9" customHeight="1">
      <c r="A12525" s="41"/>
      <c r="B12525" s="150" t="s">
        <v>16588</v>
      </c>
      <c r="C12525" s="147"/>
      <c r="D12525" s="122"/>
      <c r="E12525" s="36"/>
      <c r="F12525" s="178"/>
      <c r="G12525" s="1217"/>
      <c r="H12525" s="628"/>
      <c r="I12525" s="11"/>
    </row>
    <row r="12526" spans="1:9" ht="9" customHeight="1">
      <c r="A12526" s="41"/>
      <c r="B12526" s="150" t="s">
        <v>16589</v>
      </c>
      <c r="C12526" s="147"/>
      <c r="D12526" s="122"/>
      <c r="E12526" s="36"/>
      <c r="F12526" s="178"/>
      <c r="G12526" s="1217"/>
      <c r="H12526" s="628"/>
      <c r="I12526" s="11"/>
    </row>
    <row r="12527" spans="1:9" ht="9" customHeight="1">
      <c r="A12527" s="41"/>
      <c r="B12527" s="150" t="s">
        <v>16590</v>
      </c>
      <c r="C12527" s="147"/>
      <c r="D12527" s="122"/>
      <c r="E12527" s="36"/>
      <c r="F12527" s="178"/>
      <c r="G12527" s="1217"/>
      <c r="H12527" s="628"/>
      <c r="I12527" s="11"/>
    </row>
    <row r="12528" spans="1:9" ht="9" customHeight="1">
      <c r="A12528" s="41"/>
      <c r="B12528" s="150" t="s">
        <v>16591</v>
      </c>
      <c r="C12528" s="147"/>
      <c r="D12528" s="122"/>
      <c r="E12528" s="36"/>
      <c r="F12528" s="178"/>
      <c r="G12528" s="1217"/>
      <c r="H12528" s="628"/>
      <c r="I12528" s="11"/>
    </row>
    <row r="12529" spans="1:12" ht="10.5" customHeight="1">
      <c r="A12529" s="41"/>
      <c r="B12529" s="413" t="s">
        <v>16592</v>
      </c>
      <c r="C12529" s="147"/>
      <c r="D12529" s="161"/>
      <c r="E12529" s="36"/>
      <c r="F12529" s="178"/>
      <c r="G12529" s="453"/>
      <c r="H12529" s="628"/>
      <c r="I12529" s="11"/>
    </row>
    <row r="12530" spans="1:12" ht="9" customHeight="1">
      <c r="A12530" s="41"/>
      <c r="B12530" s="150" t="s">
        <v>16593</v>
      </c>
      <c r="C12530" s="147"/>
      <c r="D12530" s="161"/>
      <c r="E12530" s="36"/>
      <c r="F12530" s="178"/>
      <c r="G12530" s="453"/>
      <c r="H12530" s="628"/>
      <c r="I12530" s="11"/>
    </row>
    <row r="12531" spans="1:12" ht="9" customHeight="1">
      <c r="A12531" s="41"/>
      <c r="B12531" s="150" t="s">
        <v>16594</v>
      </c>
      <c r="C12531" s="147"/>
      <c r="D12531" s="161"/>
      <c r="E12531" s="36"/>
      <c r="F12531" s="178"/>
      <c r="G12531" s="453"/>
      <c r="H12531" s="628"/>
      <c r="I12531" s="11"/>
    </row>
    <row r="12532" spans="1:12" ht="9" customHeight="1" thickBot="1">
      <c r="A12532" s="636"/>
      <c r="B12532" s="488" t="s">
        <v>16595</v>
      </c>
      <c r="C12532" s="203"/>
      <c r="D12532" s="204"/>
      <c r="E12532" s="374"/>
      <c r="F12532" s="568"/>
      <c r="G12532" s="1236"/>
      <c r="H12532" s="630"/>
      <c r="I12532" s="11"/>
    </row>
    <row r="12533" spans="1:12" ht="11.15" customHeight="1">
      <c r="A12533" s="754" t="s">
        <v>587</v>
      </c>
      <c r="B12533" s="154" t="s">
        <v>16596</v>
      </c>
      <c r="C12533" s="147"/>
      <c r="D12533" s="122"/>
      <c r="E12533" s="36"/>
      <c r="F12533" s="178"/>
      <c r="G12533" s="1217"/>
      <c r="H12533" s="36"/>
      <c r="I12533" s="11"/>
    </row>
    <row r="12534" spans="1:12" ht="11.15" customHeight="1" thickBot="1">
      <c r="A12534" s="1346" t="s">
        <v>16597</v>
      </c>
      <c r="B12534" s="59" t="s">
        <v>22790</v>
      </c>
      <c r="C12534" s="147" t="s">
        <v>20221</v>
      </c>
      <c r="D12534" s="701" t="s">
        <v>1129</v>
      </c>
      <c r="E12534" s="178">
        <v>2022</v>
      </c>
      <c r="F12534" s="178" t="s">
        <v>4520</v>
      </c>
      <c r="G12534" s="496"/>
      <c r="H12534" s="994" t="s">
        <v>20221</v>
      </c>
      <c r="I12534" s="11" t="s">
        <v>16598</v>
      </c>
      <c r="J12534" s="1285"/>
      <c r="K12534" s="1285"/>
      <c r="L12534" s="1285"/>
    </row>
    <row r="12535" spans="1:12" ht="11.15" customHeight="1">
      <c r="A12535" s="29" t="s">
        <v>16599</v>
      </c>
      <c r="B12535" s="59" t="s">
        <v>22790</v>
      </c>
      <c r="C12535" s="147" t="s">
        <v>20221</v>
      </c>
      <c r="D12535" s="701" t="s">
        <v>1129</v>
      </c>
      <c r="E12535" s="178">
        <v>2021</v>
      </c>
      <c r="F12535" s="178" t="s">
        <v>4520</v>
      </c>
      <c r="G12535" s="496"/>
      <c r="H12535" s="994" t="s">
        <v>20221</v>
      </c>
      <c r="I12535" s="11" t="s">
        <v>16600</v>
      </c>
      <c r="J12535" s="1285"/>
      <c r="K12535" s="1285"/>
      <c r="L12535" s="1285"/>
    </row>
    <row r="12536" spans="1:12" ht="11.15" customHeight="1">
      <c r="A12536" s="29" t="s">
        <v>16601</v>
      </c>
      <c r="B12536" s="59" t="s">
        <v>22790</v>
      </c>
      <c r="C12536" s="147" t="s">
        <v>20221</v>
      </c>
      <c r="D12536" s="701" t="s">
        <v>1129</v>
      </c>
      <c r="E12536" s="178">
        <v>2020</v>
      </c>
      <c r="F12536" s="178" t="s">
        <v>4520</v>
      </c>
      <c r="G12536" s="496"/>
      <c r="H12536" s="994" t="s">
        <v>20221</v>
      </c>
      <c r="I12536" s="11" t="s">
        <v>16602</v>
      </c>
      <c r="J12536" s="1285"/>
      <c r="K12536" s="1285"/>
      <c r="L12536" s="1285"/>
    </row>
    <row r="12537" spans="1:12" ht="11.15" customHeight="1">
      <c r="A12537" s="29" t="s">
        <v>16603</v>
      </c>
      <c r="B12537" s="59" t="s">
        <v>22790</v>
      </c>
      <c r="C12537" s="147" t="s">
        <v>20221</v>
      </c>
      <c r="D12537" s="701" t="s">
        <v>1129</v>
      </c>
      <c r="E12537" s="178">
        <v>2019</v>
      </c>
      <c r="F12537" s="178" t="s">
        <v>4520</v>
      </c>
      <c r="G12537" s="496"/>
      <c r="H12537" s="994" t="s">
        <v>20277</v>
      </c>
      <c r="I12537" s="11" t="s">
        <v>16604</v>
      </c>
      <c r="J12537" s="1285"/>
      <c r="K12537" s="1285"/>
      <c r="L12537" s="1285"/>
    </row>
    <row r="12538" spans="1:12" ht="11.15" customHeight="1">
      <c r="A12538" s="104" t="s">
        <v>16605</v>
      </c>
      <c r="B12538" s="154" t="s">
        <v>16606</v>
      </c>
      <c r="C12538" s="147"/>
      <c r="D12538" s="122"/>
      <c r="E12538" s="36"/>
      <c r="F12538" s="178"/>
      <c r="G12538" s="1217"/>
      <c r="H12538" s="36"/>
      <c r="I12538" s="11"/>
    </row>
    <row r="12539" spans="1:12" ht="11.15" customHeight="1">
      <c r="A12539" s="755" t="s">
        <v>16607</v>
      </c>
      <c r="B12539" s="59" t="s">
        <v>22792</v>
      </c>
      <c r="C12539" s="147" t="s">
        <v>20221</v>
      </c>
      <c r="D12539" s="701" t="s">
        <v>1129</v>
      </c>
      <c r="E12539" s="178">
        <v>2022</v>
      </c>
      <c r="F12539" s="178" t="s">
        <v>4520</v>
      </c>
      <c r="G12539" s="496"/>
      <c r="H12539" s="994" t="s">
        <v>20221</v>
      </c>
      <c r="I12539" s="11" t="s">
        <v>16608</v>
      </c>
      <c r="J12539" s="1285"/>
      <c r="K12539" s="1285"/>
      <c r="L12539" s="1285"/>
    </row>
    <row r="12540" spans="1:12" ht="11.15" customHeight="1">
      <c r="A12540" s="29" t="s">
        <v>16609</v>
      </c>
      <c r="B12540" s="59" t="s">
        <v>22792</v>
      </c>
      <c r="C12540" s="147" t="s">
        <v>20221</v>
      </c>
      <c r="D12540" s="701" t="s">
        <v>1129</v>
      </c>
      <c r="E12540" s="178">
        <v>2021</v>
      </c>
      <c r="F12540" s="178" t="s">
        <v>4520</v>
      </c>
      <c r="G12540" s="496"/>
      <c r="H12540" s="994" t="s">
        <v>20224</v>
      </c>
      <c r="I12540" s="11" t="s">
        <v>16610</v>
      </c>
      <c r="J12540" s="1285"/>
      <c r="K12540" s="1285"/>
      <c r="L12540" s="1285"/>
    </row>
    <row r="12541" spans="1:12" ht="11.15" customHeight="1">
      <c r="A12541" s="29" t="s">
        <v>16611</v>
      </c>
      <c r="B12541" s="59" t="s">
        <v>22792</v>
      </c>
      <c r="C12541" s="147" t="s">
        <v>20221</v>
      </c>
      <c r="D12541" s="701" t="s">
        <v>1129</v>
      </c>
      <c r="E12541" s="178">
        <v>2020</v>
      </c>
      <c r="F12541" s="178" t="s">
        <v>4520</v>
      </c>
      <c r="G12541" s="496"/>
      <c r="H12541" s="994" t="s">
        <v>20221</v>
      </c>
      <c r="I12541" s="11" t="s">
        <v>16612</v>
      </c>
      <c r="J12541" s="1285"/>
      <c r="K12541" s="1285"/>
      <c r="L12541" s="1285"/>
    </row>
    <row r="12542" spans="1:12" ht="11.15" customHeight="1">
      <c r="A12542" s="29" t="s">
        <v>16613</v>
      </c>
      <c r="B12542" s="59" t="s">
        <v>22794</v>
      </c>
      <c r="C12542" s="147" t="s">
        <v>20221</v>
      </c>
      <c r="D12542" s="701" t="s">
        <v>1129</v>
      </c>
      <c r="E12542" s="178">
        <v>2022</v>
      </c>
      <c r="F12542" s="178" t="s">
        <v>4520</v>
      </c>
      <c r="G12542" s="496"/>
      <c r="H12542" s="994" t="s">
        <v>20224</v>
      </c>
      <c r="I12542" s="11" t="s">
        <v>16614</v>
      </c>
      <c r="J12542" s="1285"/>
      <c r="K12542" s="1285"/>
      <c r="L12542" s="1285"/>
    </row>
    <row r="12543" spans="1:12" ht="11.15" customHeight="1">
      <c r="A12543" s="29" t="s">
        <v>16615</v>
      </c>
      <c r="B12543" s="59" t="s">
        <v>22794</v>
      </c>
      <c r="C12543" s="147" t="s">
        <v>20221</v>
      </c>
      <c r="D12543" s="701" t="s">
        <v>1129</v>
      </c>
      <c r="E12543" s="178">
        <v>2020</v>
      </c>
      <c r="F12543" s="178" t="s">
        <v>4520</v>
      </c>
      <c r="G12543" s="496"/>
      <c r="H12543" s="994" t="s">
        <v>20221</v>
      </c>
      <c r="I12543" s="11" t="s">
        <v>16616</v>
      </c>
      <c r="J12543" s="1285"/>
      <c r="K12543" s="1285"/>
      <c r="L12543" s="1285"/>
    </row>
    <row r="12544" spans="1:12" ht="11.15" customHeight="1">
      <c r="A12544" s="129" t="s">
        <v>16617</v>
      </c>
      <c r="B12544" s="59" t="s">
        <v>22794</v>
      </c>
      <c r="C12544" s="147" t="s">
        <v>20221</v>
      </c>
      <c r="D12544" s="701" t="s">
        <v>1129</v>
      </c>
      <c r="E12544" s="178">
        <v>2019</v>
      </c>
      <c r="F12544" s="178" t="s">
        <v>4520</v>
      </c>
      <c r="G12544" s="496"/>
      <c r="H12544" s="994" t="s">
        <v>20221</v>
      </c>
      <c r="I12544" s="11" t="s">
        <v>16618</v>
      </c>
      <c r="J12544" s="1285"/>
      <c r="K12544" s="1285"/>
      <c r="L12544" s="1285"/>
    </row>
    <row r="12545" spans="1:12" ht="11.15" customHeight="1">
      <c r="A12545" s="162" t="s">
        <v>16619</v>
      </c>
      <c r="B12545" s="59" t="s">
        <v>22794</v>
      </c>
      <c r="C12545" s="147" t="s">
        <v>20221</v>
      </c>
      <c r="D12545" s="701" t="s">
        <v>1129</v>
      </c>
      <c r="E12545" s="178">
        <v>2018</v>
      </c>
      <c r="F12545" s="178" t="s">
        <v>4520</v>
      </c>
      <c r="G12545" s="496"/>
      <c r="H12545" s="994" t="s">
        <v>20221</v>
      </c>
      <c r="I12545" s="11" t="s">
        <v>16620</v>
      </c>
      <c r="J12545" s="1285"/>
      <c r="K12545" s="1285"/>
      <c r="L12545" s="1285"/>
    </row>
    <row r="12546" spans="1:12" ht="11.15" customHeight="1">
      <c r="A12546" s="164" t="s">
        <v>16621</v>
      </c>
      <c r="B12546" s="59" t="s">
        <v>22794</v>
      </c>
      <c r="C12546" s="147" t="s">
        <v>20221</v>
      </c>
      <c r="D12546" s="701" t="s">
        <v>1129</v>
      </c>
      <c r="E12546" s="178">
        <v>2017</v>
      </c>
      <c r="F12546" s="178" t="s">
        <v>4520</v>
      </c>
      <c r="G12546" s="496"/>
      <c r="H12546" s="994" t="s">
        <v>20224</v>
      </c>
      <c r="I12546" s="11" t="s">
        <v>16622</v>
      </c>
      <c r="J12546" s="1285"/>
      <c r="K12546" s="1285"/>
      <c r="L12546" s="1285"/>
    </row>
    <row r="12547" spans="1:12" ht="11.15" customHeight="1">
      <c r="A12547" s="162" t="s">
        <v>16623</v>
      </c>
      <c r="B12547" s="154" t="s">
        <v>16624</v>
      </c>
      <c r="C12547" s="147"/>
      <c r="D12547" s="122"/>
      <c r="E12547" s="36"/>
      <c r="F12547" s="178"/>
      <c r="G12547" s="1217"/>
      <c r="H12547" s="36"/>
      <c r="I12547" s="11"/>
    </row>
    <row r="12548" spans="1:12" ht="11.15" customHeight="1">
      <c r="A12548" s="162" t="s">
        <v>16625</v>
      </c>
      <c r="B12548" s="154" t="s">
        <v>16626</v>
      </c>
      <c r="C12548" s="147"/>
      <c r="D12548" s="122"/>
      <c r="E12548" s="36"/>
      <c r="F12548" s="178"/>
      <c r="G12548" s="1217"/>
      <c r="H12548" s="36"/>
      <c r="I12548" s="11"/>
    </row>
    <row r="12549" spans="1:12" ht="11.15" customHeight="1">
      <c r="A12549" s="129" t="s">
        <v>16627</v>
      </c>
      <c r="B12549" s="59" t="s">
        <v>22796</v>
      </c>
      <c r="C12549" s="147" t="s">
        <v>20221</v>
      </c>
      <c r="D12549" s="701" t="s">
        <v>1129</v>
      </c>
      <c r="E12549" s="178">
        <v>2022</v>
      </c>
      <c r="F12549" s="178" t="s">
        <v>4520</v>
      </c>
      <c r="G12549" s="496"/>
      <c r="H12549" s="994" t="s">
        <v>20221</v>
      </c>
      <c r="I12549" s="11" t="s">
        <v>16628</v>
      </c>
      <c r="J12549" s="1285"/>
      <c r="K12549" s="1285"/>
      <c r="L12549" s="1285"/>
    </row>
    <row r="12550" spans="1:12" ht="11.15" customHeight="1">
      <c r="A12550" s="162" t="s">
        <v>16629</v>
      </c>
      <c r="B12550" s="59" t="s">
        <v>22796</v>
      </c>
      <c r="C12550" s="147" t="s">
        <v>20221</v>
      </c>
      <c r="D12550" s="701" t="s">
        <v>1129</v>
      </c>
      <c r="E12550" s="178">
        <v>2021</v>
      </c>
      <c r="F12550" s="178" t="s">
        <v>4520</v>
      </c>
      <c r="G12550" s="496"/>
      <c r="H12550" s="994" t="s">
        <v>20221</v>
      </c>
      <c r="I12550" s="11" t="s">
        <v>16630</v>
      </c>
      <c r="J12550" s="1285"/>
      <c r="K12550" s="1285"/>
      <c r="L12550" s="1285"/>
    </row>
    <row r="12551" spans="1:12" ht="11.15" customHeight="1">
      <c r="A12551" s="162" t="s">
        <v>16631</v>
      </c>
      <c r="B12551" s="59" t="s">
        <v>22796</v>
      </c>
      <c r="C12551" s="147" t="s">
        <v>20221</v>
      </c>
      <c r="D12551" s="701" t="s">
        <v>1129</v>
      </c>
      <c r="E12551" s="178">
        <v>2020</v>
      </c>
      <c r="F12551" s="178" t="s">
        <v>4520</v>
      </c>
      <c r="G12551" s="496"/>
      <c r="H12551" s="994" t="s">
        <v>20221</v>
      </c>
      <c r="I12551" s="11" t="s">
        <v>16632</v>
      </c>
      <c r="J12551" s="1285"/>
      <c r="K12551" s="1285"/>
      <c r="L12551" s="1285"/>
    </row>
    <row r="12552" spans="1:12" ht="11.15" customHeight="1">
      <c r="A12552" s="162" t="s">
        <v>16633</v>
      </c>
      <c r="B12552" s="59" t="s">
        <v>22796</v>
      </c>
      <c r="C12552" s="147" t="s">
        <v>20221</v>
      </c>
      <c r="D12552" s="701" t="s">
        <v>1129</v>
      </c>
      <c r="E12552" s="178">
        <v>2019</v>
      </c>
      <c r="F12552" s="178" t="s">
        <v>4520</v>
      </c>
      <c r="G12552" s="496"/>
      <c r="H12552" s="994" t="s">
        <v>20224</v>
      </c>
      <c r="I12552" s="11" t="s">
        <v>16634</v>
      </c>
      <c r="J12552" s="1285"/>
      <c r="K12552" s="1285"/>
      <c r="L12552" s="1285"/>
    </row>
    <row r="12553" spans="1:12" ht="11.15" customHeight="1">
      <c r="A12553" s="162" t="s">
        <v>16635</v>
      </c>
      <c r="B12553" s="59" t="s">
        <v>22796</v>
      </c>
      <c r="C12553" s="147" t="s">
        <v>20221</v>
      </c>
      <c r="D12553" s="701" t="s">
        <v>1129</v>
      </c>
      <c r="E12553" s="178">
        <v>2018</v>
      </c>
      <c r="F12553" s="178" t="s">
        <v>4520</v>
      </c>
      <c r="G12553" s="496"/>
      <c r="H12553" s="994" t="s">
        <v>20277</v>
      </c>
      <c r="I12553" s="11" t="s">
        <v>16636</v>
      </c>
      <c r="J12553" s="1285"/>
      <c r="K12553" s="1285"/>
      <c r="L12553" s="1285"/>
    </row>
    <row r="12554" spans="1:12" ht="11.15" customHeight="1">
      <c r="A12554" s="162" t="s">
        <v>16637</v>
      </c>
      <c r="B12554" s="154" t="s">
        <v>16638</v>
      </c>
      <c r="C12554" s="147"/>
      <c r="D12554" s="122"/>
      <c r="E12554" s="36"/>
      <c r="F12554" s="178"/>
      <c r="G12554" s="1181"/>
      <c r="H12554" s="36"/>
      <c r="I12554" s="11"/>
    </row>
    <row r="12555" spans="1:12" ht="11.15" customHeight="1">
      <c r="A12555" s="162" t="s">
        <v>16639</v>
      </c>
      <c r="B12555" s="59" t="s">
        <v>22797</v>
      </c>
      <c r="C12555" s="147" t="s">
        <v>20221</v>
      </c>
      <c r="D12555" s="284" t="s">
        <v>897</v>
      </c>
      <c r="E12555" s="178">
        <v>2022</v>
      </c>
      <c r="F12555" s="178" t="s">
        <v>4520</v>
      </c>
      <c r="G12555" s="496"/>
      <c r="H12555" s="994" t="s">
        <v>20221</v>
      </c>
      <c r="I12555" s="11" t="s">
        <v>16640</v>
      </c>
      <c r="J12555" s="1285"/>
      <c r="K12555" s="1285"/>
      <c r="L12555" s="1285"/>
    </row>
    <row r="12556" spans="1:12" ht="11.15" customHeight="1">
      <c r="A12556" s="162" t="s">
        <v>16641</v>
      </c>
      <c r="B12556" s="59" t="s">
        <v>22797</v>
      </c>
      <c r="C12556" s="147" t="s">
        <v>20221</v>
      </c>
      <c r="D12556" s="284" t="s">
        <v>897</v>
      </c>
      <c r="E12556" s="178">
        <v>2021</v>
      </c>
      <c r="F12556" s="178" t="s">
        <v>4520</v>
      </c>
      <c r="G12556" s="496"/>
      <c r="H12556" s="994" t="s">
        <v>20221</v>
      </c>
      <c r="I12556" s="11" t="s">
        <v>16642</v>
      </c>
      <c r="J12556" s="1285"/>
      <c r="K12556" s="1285"/>
      <c r="L12556" s="1285"/>
    </row>
    <row r="12557" spans="1:12" ht="11.15" customHeight="1">
      <c r="A12557" s="162" t="s">
        <v>16643</v>
      </c>
      <c r="B12557" s="59" t="s">
        <v>22797</v>
      </c>
      <c r="C12557" s="147" t="s">
        <v>20221</v>
      </c>
      <c r="D12557" s="284" t="s">
        <v>897</v>
      </c>
      <c r="E12557" s="178">
        <v>2020</v>
      </c>
      <c r="F12557" s="178" t="s">
        <v>4520</v>
      </c>
      <c r="G12557" s="496"/>
      <c r="H12557" s="994" t="s">
        <v>20221</v>
      </c>
      <c r="I12557" s="11" t="s">
        <v>16644</v>
      </c>
      <c r="J12557" s="1285"/>
      <c r="K12557" s="1285"/>
      <c r="L12557" s="1285"/>
    </row>
    <row r="12558" spans="1:12" ht="11.15" customHeight="1">
      <c r="A12558" s="162" t="s">
        <v>16645</v>
      </c>
      <c r="B12558" s="59" t="s">
        <v>22797</v>
      </c>
      <c r="C12558" s="147" t="s">
        <v>20221</v>
      </c>
      <c r="D12558" s="284" t="s">
        <v>897</v>
      </c>
      <c r="E12558" s="178">
        <v>2019</v>
      </c>
      <c r="F12558" s="178" t="s">
        <v>4520</v>
      </c>
      <c r="G12558" s="496"/>
      <c r="H12558" s="994" t="s">
        <v>20221</v>
      </c>
      <c r="I12558" s="11" t="s">
        <v>16646</v>
      </c>
      <c r="J12558" s="1285"/>
      <c r="K12558" s="1285"/>
      <c r="L12558" s="1285"/>
    </row>
    <row r="12559" spans="1:12" ht="11.15" customHeight="1">
      <c r="A12559" s="162" t="s">
        <v>16647</v>
      </c>
      <c r="B12559" s="59" t="s">
        <v>22797</v>
      </c>
      <c r="C12559" s="147" t="s">
        <v>20221</v>
      </c>
      <c r="D12559" s="284" t="s">
        <v>897</v>
      </c>
      <c r="E12559" s="178">
        <v>2018</v>
      </c>
      <c r="F12559" s="178" t="s">
        <v>4520</v>
      </c>
      <c r="G12559" s="496"/>
      <c r="H12559" s="994" t="s">
        <v>20224</v>
      </c>
      <c r="I12559" s="11" t="s">
        <v>23294</v>
      </c>
      <c r="J12559" s="1285"/>
      <c r="K12559" s="1285"/>
      <c r="L12559" s="1285"/>
    </row>
    <row r="12560" spans="1:12" ht="11.15" customHeight="1">
      <c r="A12560" s="162" t="s">
        <v>16648</v>
      </c>
      <c r="B12560" s="154" t="s">
        <v>16649</v>
      </c>
      <c r="C12560" s="147"/>
      <c r="D12560" s="122"/>
      <c r="E12560" s="36"/>
      <c r="F12560" s="178"/>
      <c r="G12560" s="1181"/>
      <c r="H12560" s="36"/>
      <c r="I12560" s="11"/>
    </row>
    <row r="12561" spans="1:12" ht="11.15" customHeight="1">
      <c r="A12561" s="162" t="s">
        <v>16650</v>
      </c>
      <c r="B12561" s="59" t="s">
        <v>22798</v>
      </c>
      <c r="C12561" s="147" t="s">
        <v>20221</v>
      </c>
      <c r="D12561" s="284" t="s">
        <v>897</v>
      </c>
      <c r="E12561" s="178">
        <v>2010</v>
      </c>
      <c r="F12561" s="178" t="s">
        <v>4520</v>
      </c>
      <c r="G12561" s="496"/>
      <c r="H12561" s="994" t="s">
        <v>20224</v>
      </c>
      <c r="I12561" s="11" t="s">
        <v>16651</v>
      </c>
      <c r="J12561" s="1285"/>
      <c r="K12561" s="1285"/>
      <c r="L12561" s="1285"/>
    </row>
    <row r="12562" spans="1:12" ht="11.15" customHeight="1">
      <c r="A12562" s="162" t="s">
        <v>16652</v>
      </c>
      <c r="B12562" s="59" t="s">
        <v>22798</v>
      </c>
      <c r="C12562" s="147" t="s">
        <v>20221</v>
      </c>
      <c r="D12562" s="284" t="s">
        <v>897</v>
      </c>
      <c r="E12562" s="178">
        <v>2009</v>
      </c>
      <c r="F12562" s="178" t="s">
        <v>4520</v>
      </c>
      <c r="G12562" s="496"/>
      <c r="H12562" s="994" t="s">
        <v>20224</v>
      </c>
      <c r="I12562" s="11" t="s">
        <v>16653</v>
      </c>
      <c r="J12562" s="1285"/>
      <c r="K12562" s="1285"/>
      <c r="L12562" s="1285"/>
    </row>
    <row r="12563" spans="1:12" ht="11.15" customHeight="1">
      <c r="A12563" s="162" t="s">
        <v>16654</v>
      </c>
      <c r="B12563" s="59" t="s">
        <v>22799</v>
      </c>
      <c r="C12563" s="147" t="s">
        <v>20221</v>
      </c>
      <c r="D12563" s="284" t="s">
        <v>897</v>
      </c>
      <c r="E12563" s="178">
        <v>2019</v>
      </c>
      <c r="F12563" s="178" t="s">
        <v>4520</v>
      </c>
      <c r="G12563" s="496"/>
      <c r="H12563" s="994" t="s">
        <v>20221</v>
      </c>
      <c r="I12563" s="11" t="s">
        <v>16655</v>
      </c>
      <c r="J12563" s="1285"/>
      <c r="K12563" s="1285"/>
      <c r="L12563" s="1285"/>
    </row>
    <row r="12564" spans="1:12" ht="11.15" customHeight="1">
      <c r="A12564" s="162" t="s">
        <v>16656</v>
      </c>
      <c r="B12564" s="59" t="s">
        <v>22799</v>
      </c>
      <c r="C12564" s="147" t="s">
        <v>20221</v>
      </c>
      <c r="D12564" s="284" t="s">
        <v>897</v>
      </c>
      <c r="E12564" s="178">
        <v>2018</v>
      </c>
      <c r="F12564" s="178" t="s">
        <v>4520</v>
      </c>
      <c r="G12564" s="496"/>
      <c r="H12564" s="994" t="s">
        <v>20221</v>
      </c>
      <c r="I12564" s="11" t="s">
        <v>16657</v>
      </c>
      <c r="J12564" s="1285"/>
      <c r="K12564" s="1285"/>
      <c r="L12564" s="1285"/>
    </row>
    <row r="12565" spans="1:12" ht="11.15" customHeight="1">
      <c r="A12565" s="162" t="s">
        <v>16658</v>
      </c>
      <c r="B12565" s="59" t="s">
        <v>22799</v>
      </c>
      <c r="C12565" s="147" t="s">
        <v>20221</v>
      </c>
      <c r="D12565" s="284" t="s">
        <v>897</v>
      </c>
      <c r="E12565" s="178">
        <v>2017</v>
      </c>
      <c r="F12565" s="178" t="s">
        <v>4520</v>
      </c>
      <c r="G12565" s="496"/>
      <c r="H12565" s="994" t="s">
        <v>20221</v>
      </c>
      <c r="I12565" s="11" t="s">
        <v>16659</v>
      </c>
      <c r="J12565" s="1285"/>
      <c r="K12565" s="1285"/>
      <c r="L12565" s="1285"/>
    </row>
    <row r="12566" spans="1:12" ht="11.15" customHeight="1">
      <c r="A12566" s="162" t="s">
        <v>16660</v>
      </c>
      <c r="B12566" s="59" t="s">
        <v>22800</v>
      </c>
      <c r="C12566" s="147" t="s">
        <v>20221</v>
      </c>
      <c r="D12566" s="284" t="s">
        <v>897</v>
      </c>
      <c r="E12566" s="178">
        <v>2019</v>
      </c>
      <c r="F12566" s="178" t="s">
        <v>4520</v>
      </c>
      <c r="G12566" s="496"/>
      <c r="H12566" s="994" t="s">
        <v>20221</v>
      </c>
      <c r="I12566" s="11" t="s">
        <v>16661</v>
      </c>
      <c r="J12566" s="1285"/>
      <c r="K12566" s="1285"/>
      <c r="L12566" s="1285"/>
    </row>
    <row r="12567" spans="1:12" ht="11.15" customHeight="1">
      <c r="A12567" s="162" t="s">
        <v>16662</v>
      </c>
      <c r="B12567" s="59" t="s">
        <v>22800</v>
      </c>
      <c r="C12567" s="147" t="s">
        <v>20221</v>
      </c>
      <c r="D12567" s="284" t="s">
        <v>897</v>
      </c>
      <c r="E12567" s="178">
        <v>2016</v>
      </c>
      <c r="F12567" s="178" t="s">
        <v>4520</v>
      </c>
      <c r="G12567" s="496"/>
      <c r="H12567" s="994" t="s">
        <v>20221</v>
      </c>
      <c r="I12567" s="11" t="s">
        <v>16663</v>
      </c>
      <c r="J12567" s="1285"/>
      <c r="K12567" s="1285"/>
      <c r="L12567" s="1285"/>
    </row>
    <row r="12568" spans="1:12" ht="11.15" customHeight="1">
      <c r="A12568" s="162" t="s">
        <v>16664</v>
      </c>
      <c r="B12568" s="59" t="s">
        <v>22801</v>
      </c>
      <c r="C12568" s="147" t="s">
        <v>20221</v>
      </c>
      <c r="D12568" s="284" t="s">
        <v>897</v>
      </c>
      <c r="E12568" s="178">
        <v>2015</v>
      </c>
      <c r="F12568" s="178" t="s">
        <v>4520</v>
      </c>
      <c r="G12568" s="496"/>
      <c r="H12568" s="994" t="s">
        <v>20224</v>
      </c>
      <c r="I12568" s="11" t="s">
        <v>16665</v>
      </c>
      <c r="J12568" s="1285"/>
      <c r="K12568" s="1285"/>
      <c r="L12568" s="1285"/>
    </row>
    <row r="12569" spans="1:12" ht="11.15" customHeight="1">
      <c r="A12569" s="162" t="s">
        <v>16666</v>
      </c>
      <c r="B12569" s="59" t="s">
        <v>22802</v>
      </c>
      <c r="C12569" s="147" t="s">
        <v>20221</v>
      </c>
      <c r="D12569" s="284" t="s">
        <v>897</v>
      </c>
      <c r="E12569" s="178">
        <v>2020</v>
      </c>
      <c r="F12569" s="178" t="s">
        <v>4520</v>
      </c>
      <c r="G12569" s="496"/>
      <c r="H12569" s="994" t="s">
        <v>20221</v>
      </c>
      <c r="I12569" s="11" t="s">
        <v>16667</v>
      </c>
      <c r="J12569" s="1285"/>
      <c r="K12569" s="1285"/>
      <c r="L12569" s="1285"/>
    </row>
    <row r="12570" spans="1:12" ht="11.15" customHeight="1">
      <c r="A12570" s="162" t="s">
        <v>16668</v>
      </c>
      <c r="B12570" s="59" t="s">
        <v>22802</v>
      </c>
      <c r="C12570" s="147" t="s">
        <v>20221</v>
      </c>
      <c r="D12570" s="284" t="s">
        <v>897</v>
      </c>
      <c r="E12570" s="178">
        <v>2018</v>
      </c>
      <c r="F12570" s="178" t="s">
        <v>4520</v>
      </c>
      <c r="G12570" s="496"/>
      <c r="H12570" s="994" t="s">
        <v>20224</v>
      </c>
      <c r="I12570" s="11" t="s">
        <v>16669</v>
      </c>
      <c r="J12570" s="1285"/>
      <c r="K12570" s="1285"/>
      <c r="L12570" s="1285"/>
    </row>
    <row r="12571" spans="1:12" ht="11.15" customHeight="1">
      <c r="A12571" s="162" t="s">
        <v>16670</v>
      </c>
      <c r="B12571" s="59" t="s">
        <v>22803</v>
      </c>
      <c r="C12571" s="147" t="s">
        <v>20221</v>
      </c>
      <c r="D12571" s="284" t="s">
        <v>897</v>
      </c>
      <c r="E12571" s="178">
        <v>2010</v>
      </c>
      <c r="F12571" s="178" t="s">
        <v>4520</v>
      </c>
      <c r="G12571" s="496"/>
      <c r="H12571" s="994" t="s">
        <v>20224</v>
      </c>
      <c r="I12571" s="11" t="s">
        <v>16671</v>
      </c>
      <c r="J12571" s="1285"/>
      <c r="K12571" s="1285"/>
      <c r="L12571" s="1285"/>
    </row>
    <row r="12572" spans="1:12" ht="11.15" customHeight="1">
      <c r="A12572" s="162" t="s">
        <v>16672</v>
      </c>
      <c r="B12572" s="59" t="s">
        <v>22804</v>
      </c>
      <c r="C12572" s="147" t="s">
        <v>20221</v>
      </c>
      <c r="D12572" s="284" t="s">
        <v>897</v>
      </c>
      <c r="E12572" s="178">
        <v>2022</v>
      </c>
      <c r="F12572" s="178" t="s">
        <v>4520</v>
      </c>
      <c r="G12572" s="496"/>
      <c r="H12572" s="994" t="s">
        <v>20224</v>
      </c>
      <c r="I12572" s="11" t="s">
        <v>16673</v>
      </c>
      <c r="J12572" s="1285"/>
      <c r="K12572" s="1285"/>
      <c r="L12572" s="1285"/>
    </row>
    <row r="12573" spans="1:12" ht="11.15" customHeight="1">
      <c r="A12573" s="162" t="s">
        <v>16674</v>
      </c>
      <c r="B12573" s="59" t="s">
        <v>22804</v>
      </c>
      <c r="C12573" s="147" t="s">
        <v>20221</v>
      </c>
      <c r="D12573" s="284" t="s">
        <v>897</v>
      </c>
      <c r="E12573" s="178">
        <v>2020</v>
      </c>
      <c r="F12573" s="178" t="s">
        <v>4520</v>
      </c>
      <c r="G12573" s="496"/>
      <c r="H12573" s="994" t="s">
        <v>20221</v>
      </c>
      <c r="I12573" s="11" t="s">
        <v>16675</v>
      </c>
      <c r="J12573" s="1285"/>
      <c r="K12573" s="1285"/>
      <c r="L12573" s="1285"/>
    </row>
    <row r="12574" spans="1:12" ht="11.15" customHeight="1">
      <c r="A12574" s="162" t="s">
        <v>16676</v>
      </c>
      <c r="B12574" s="59" t="s">
        <v>22804</v>
      </c>
      <c r="C12574" s="147" t="s">
        <v>20221</v>
      </c>
      <c r="D12574" s="284" t="s">
        <v>897</v>
      </c>
      <c r="E12574" s="178">
        <v>2019</v>
      </c>
      <c r="F12574" s="178" t="s">
        <v>4520</v>
      </c>
      <c r="G12574" s="496"/>
      <c r="H12574" s="994" t="s">
        <v>20221</v>
      </c>
      <c r="I12574" s="11" t="s">
        <v>16677</v>
      </c>
      <c r="J12574" s="1285"/>
      <c r="K12574" s="1285"/>
      <c r="L12574" s="1285"/>
    </row>
    <row r="12575" spans="1:12" ht="11.15" customHeight="1">
      <c r="A12575" s="162" t="s">
        <v>16678</v>
      </c>
      <c r="B12575" s="59" t="s">
        <v>22804</v>
      </c>
      <c r="C12575" s="147" t="s">
        <v>20221</v>
      </c>
      <c r="D12575" s="284" t="s">
        <v>897</v>
      </c>
      <c r="E12575" s="178">
        <v>2017</v>
      </c>
      <c r="F12575" s="178" t="s">
        <v>4520</v>
      </c>
      <c r="G12575" s="496"/>
      <c r="H12575" s="994" t="s">
        <v>20224</v>
      </c>
      <c r="I12575" s="10" t="s">
        <v>16679</v>
      </c>
      <c r="J12575" s="1285"/>
      <c r="K12575" s="1285"/>
      <c r="L12575" s="1285"/>
    </row>
    <row r="12576" spans="1:12" ht="11.15" customHeight="1">
      <c r="A12576" s="162" t="s">
        <v>16680</v>
      </c>
      <c r="B12576" s="59" t="s">
        <v>22804</v>
      </c>
      <c r="C12576" s="147" t="s">
        <v>20221</v>
      </c>
      <c r="D12576" s="284" t="s">
        <v>897</v>
      </c>
      <c r="E12576" s="178">
        <v>2013</v>
      </c>
      <c r="F12576" s="178" t="s">
        <v>4520</v>
      </c>
      <c r="G12576" s="496"/>
      <c r="H12576" s="994" t="s">
        <v>20224</v>
      </c>
      <c r="I12576" s="10" t="s">
        <v>16681</v>
      </c>
      <c r="J12576" s="1285"/>
      <c r="K12576" s="1285"/>
      <c r="L12576" s="1285"/>
    </row>
    <row r="12577" spans="1:12" ht="11.15" customHeight="1">
      <c r="A12577" s="162" t="s">
        <v>16682</v>
      </c>
      <c r="B12577" s="154" t="s">
        <v>16683</v>
      </c>
      <c r="C12577" s="147"/>
      <c r="D12577" s="122"/>
      <c r="E12577" s="36"/>
      <c r="F12577" s="178"/>
      <c r="G12577" s="1181"/>
      <c r="H12577" s="36"/>
      <c r="I12577" s="11"/>
    </row>
    <row r="12578" spans="1:12" ht="11.15" customHeight="1">
      <c r="A12578" s="129" t="s">
        <v>3659</v>
      </c>
      <c r="B12578" s="154" t="s">
        <v>16626</v>
      </c>
      <c r="C12578" s="67"/>
      <c r="D12578" s="67"/>
      <c r="E12578" s="67"/>
      <c r="F12578" s="67"/>
      <c r="G12578" s="67"/>
      <c r="H12578" s="67"/>
      <c r="I12578" s="5"/>
    </row>
    <row r="12579" spans="1:12" ht="11.15" customHeight="1">
      <c r="A12579" s="162" t="s">
        <v>16684</v>
      </c>
      <c r="B12579" s="59" t="s">
        <v>22805</v>
      </c>
      <c r="C12579" s="147" t="s">
        <v>20221</v>
      </c>
      <c r="D12579" s="284" t="s">
        <v>897</v>
      </c>
      <c r="E12579" s="178">
        <v>2022</v>
      </c>
      <c r="F12579" s="178" t="s">
        <v>4520</v>
      </c>
      <c r="G12579" s="496"/>
      <c r="H12579" s="994" t="s">
        <v>20221</v>
      </c>
      <c r="I12579" s="11" t="s">
        <v>16685</v>
      </c>
      <c r="J12579" s="1285"/>
      <c r="K12579" s="1285"/>
      <c r="L12579" s="1285"/>
    </row>
    <row r="12580" spans="1:12" ht="11.15" customHeight="1">
      <c r="A12580" s="162" t="s">
        <v>16686</v>
      </c>
      <c r="B12580" s="59" t="s">
        <v>22806</v>
      </c>
      <c r="C12580" s="147" t="s">
        <v>20221</v>
      </c>
      <c r="D12580" s="284" t="s">
        <v>897</v>
      </c>
      <c r="E12580" s="178">
        <v>2022</v>
      </c>
      <c r="F12580" s="178" t="s">
        <v>4520</v>
      </c>
      <c r="G12580" s="496"/>
      <c r="H12580" s="994" t="s">
        <v>20221</v>
      </c>
      <c r="I12580" s="11" t="s">
        <v>16687</v>
      </c>
      <c r="J12580" s="1285"/>
      <c r="K12580" s="1285"/>
      <c r="L12580" s="1285"/>
    </row>
    <row r="12581" spans="1:12" ht="11.15" customHeight="1">
      <c r="A12581" s="387" t="s">
        <v>16688</v>
      </c>
      <c r="B12581" s="59" t="s">
        <v>22806</v>
      </c>
      <c r="C12581" s="147" t="s">
        <v>20221</v>
      </c>
      <c r="D12581" s="284" t="s">
        <v>897</v>
      </c>
      <c r="E12581" s="178">
        <v>2021</v>
      </c>
      <c r="F12581" s="178" t="s">
        <v>4520</v>
      </c>
      <c r="G12581" s="496"/>
      <c r="H12581" s="994" t="s">
        <v>20224</v>
      </c>
      <c r="I12581" s="11" t="s">
        <v>16689</v>
      </c>
      <c r="J12581" s="1285"/>
      <c r="K12581" s="1285"/>
      <c r="L12581" s="1285"/>
    </row>
    <row r="12582" spans="1:12" ht="11.15" customHeight="1">
      <c r="A12582" s="162" t="s">
        <v>16690</v>
      </c>
      <c r="B12582" s="59" t="s">
        <v>22807</v>
      </c>
      <c r="C12582" s="147" t="s">
        <v>20221</v>
      </c>
      <c r="D12582" s="284" t="s">
        <v>897</v>
      </c>
      <c r="E12582" s="178">
        <v>2022</v>
      </c>
      <c r="F12582" s="178" t="s">
        <v>4520</v>
      </c>
      <c r="G12582" s="496"/>
      <c r="H12582" s="994" t="s">
        <v>20221</v>
      </c>
      <c r="I12582" s="11" t="s">
        <v>16691</v>
      </c>
      <c r="J12582" s="1285"/>
      <c r="K12582" s="1285"/>
      <c r="L12582" s="1285"/>
    </row>
    <row r="12583" spans="1:12" ht="11.15" customHeight="1">
      <c r="A12583" s="162" t="s">
        <v>16692</v>
      </c>
      <c r="B12583" s="59" t="s">
        <v>22807</v>
      </c>
      <c r="C12583" s="147" t="s">
        <v>20221</v>
      </c>
      <c r="D12583" s="284" t="s">
        <v>897</v>
      </c>
      <c r="E12583" s="178">
        <v>2021</v>
      </c>
      <c r="F12583" s="178" t="s">
        <v>4520</v>
      </c>
      <c r="G12583" s="496"/>
      <c r="H12583" s="994" t="s">
        <v>20221</v>
      </c>
      <c r="I12583" s="11" t="s">
        <v>16693</v>
      </c>
      <c r="J12583" s="1285"/>
      <c r="K12583" s="1285"/>
      <c r="L12583" s="1285"/>
    </row>
    <row r="12584" spans="1:12" ht="11.15" customHeight="1">
      <c r="A12584" s="162" t="s">
        <v>16694</v>
      </c>
      <c r="B12584" s="59" t="s">
        <v>22807</v>
      </c>
      <c r="C12584" s="147" t="s">
        <v>20221</v>
      </c>
      <c r="D12584" s="284" t="s">
        <v>897</v>
      </c>
      <c r="E12584" s="178">
        <v>2020</v>
      </c>
      <c r="F12584" s="178" t="s">
        <v>4520</v>
      </c>
      <c r="G12584" s="496"/>
      <c r="H12584" s="994" t="s">
        <v>20221</v>
      </c>
      <c r="I12584" s="11" t="s">
        <v>16695</v>
      </c>
      <c r="J12584" s="1285"/>
      <c r="K12584" s="1285"/>
      <c r="L12584" s="1285"/>
    </row>
    <row r="12585" spans="1:12" ht="11.15" customHeight="1">
      <c r="A12585" s="162" t="s">
        <v>16696</v>
      </c>
      <c r="B12585" s="59" t="s">
        <v>22807</v>
      </c>
      <c r="C12585" s="147" t="s">
        <v>20221</v>
      </c>
      <c r="D12585" s="284" t="s">
        <v>897</v>
      </c>
      <c r="E12585" s="178">
        <v>2019</v>
      </c>
      <c r="F12585" s="178" t="s">
        <v>4520</v>
      </c>
      <c r="G12585" s="496"/>
      <c r="H12585" s="994" t="s">
        <v>20221</v>
      </c>
      <c r="I12585" s="11" t="s">
        <v>16697</v>
      </c>
      <c r="J12585" s="1285"/>
      <c r="K12585" s="1285"/>
      <c r="L12585" s="1285"/>
    </row>
    <row r="12586" spans="1:12" ht="11.15" customHeight="1">
      <c r="A12586" s="162" t="s">
        <v>16698</v>
      </c>
      <c r="B12586" s="59" t="s">
        <v>22807</v>
      </c>
      <c r="C12586" s="147" t="s">
        <v>20221</v>
      </c>
      <c r="D12586" s="284" t="s">
        <v>897</v>
      </c>
      <c r="E12586" s="178">
        <v>2018</v>
      </c>
      <c r="F12586" s="178" t="s">
        <v>4520</v>
      </c>
      <c r="G12586" s="496"/>
      <c r="H12586" s="994" t="s">
        <v>20224</v>
      </c>
      <c r="I12586" s="11" t="s">
        <v>16699</v>
      </c>
      <c r="J12586" s="1285"/>
      <c r="K12586" s="1285"/>
      <c r="L12586" s="1285"/>
    </row>
    <row r="12587" spans="1:12" ht="11.15" customHeight="1">
      <c r="A12587" s="162" t="s">
        <v>16700</v>
      </c>
      <c r="B12587" s="59" t="s">
        <v>22807</v>
      </c>
      <c r="C12587" s="147" t="s">
        <v>20221</v>
      </c>
      <c r="D12587" s="284" t="s">
        <v>897</v>
      </c>
      <c r="E12587" s="178">
        <v>2017</v>
      </c>
      <c r="F12587" s="178" t="s">
        <v>4520</v>
      </c>
      <c r="G12587" s="496"/>
      <c r="H12587" s="994" t="s">
        <v>20221</v>
      </c>
      <c r="I12587" s="11" t="s">
        <v>16701</v>
      </c>
      <c r="J12587" s="1285"/>
      <c r="K12587" s="1285"/>
      <c r="L12587" s="1285"/>
    </row>
    <row r="12588" spans="1:12" ht="11.15" customHeight="1">
      <c r="A12588" s="29" t="s">
        <v>16702</v>
      </c>
      <c r="B12588" s="59" t="s">
        <v>22807</v>
      </c>
      <c r="C12588" s="147" t="s">
        <v>20221</v>
      </c>
      <c r="D12588" s="284" t="s">
        <v>897</v>
      </c>
      <c r="E12588" s="178">
        <v>2016</v>
      </c>
      <c r="F12588" s="178" t="s">
        <v>4520</v>
      </c>
      <c r="G12588" s="496"/>
      <c r="H12588" s="994" t="s">
        <v>20224</v>
      </c>
      <c r="I12588" s="11" t="s">
        <v>16703</v>
      </c>
      <c r="J12588" s="1285"/>
      <c r="K12588" s="1285"/>
      <c r="L12588" s="1285"/>
    </row>
    <row r="12589" spans="1:12" ht="11.15" customHeight="1">
      <c r="A12589" s="29" t="s">
        <v>16704</v>
      </c>
      <c r="B12589" s="59" t="s">
        <v>22808</v>
      </c>
      <c r="C12589" s="147" t="s">
        <v>20221</v>
      </c>
      <c r="D12589" s="284" t="s">
        <v>897</v>
      </c>
      <c r="E12589" s="178">
        <v>2016</v>
      </c>
      <c r="F12589" s="178" t="s">
        <v>11931</v>
      </c>
      <c r="G12589" s="496"/>
      <c r="H12589" s="994" t="s">
        <v>20224</v>
      </c>
      <c r="I12589" s="11" t="s">
        <v>16705</v>
      </c>
      <c r="J12589" s="1285"/>
      <c r="K12589" s="1285"/>
      <c r="L12589" s="1285"/>
    </row>
    <row r="12590" spans="1:12" ht="11.15" customHeight="1">
      <c r="A12590" s="771" t="s">
        <v>16706</v>
      </c>
      <c r="B12590" s="154" t="s">
        <v>16707</v>
      </c>
      <c r="C12590" s="147"/>
      <c r="D12590" s="161"/>
      <c r="E12590" s="36"/>
      <c r="F12590" s="178"/>
      <c r="G12590" s="497"/>
      <c r="H12590" s="36"/>
      <c r="I12590" s="11"/>
    </row>
    <row r="12591" spans="1:12" ht="11.15" customHeight="1">
      <c r="A12591" s="129" t="s">
        <v>16708</v>
      </c>
      <c r="B12591" s="59" t="s">
        <v>22809</v>
      </c>
      <c r="C12591" s="147" t="s">
        <v>20221</v>
      </c>
      <c r="D12591" s="284" t="s">
        <v>897</v>
      </c>
      <c r="E12591" s="178">
        <v>2014</v>
      </c>
      <c r="F12591" s="178" t="s">
        <v>4520</v>
      </c>
      <c r="G12591" s="496"/>
      <c r="H12591" s="994" t="s">
        <v>20277</v>
      </c>
      <c r="I12591" s="11" t="s">
        <v>16709</v>
      </c>
      <c r="J12591" s="1285"/>
      <c r="K12591" s="1285"/>
      <c r="L12591" s="1285"/>
    </row>
    <row r="12592" spans="1:12" ht="11.15" customHeight="1">
      <c r="A12592" s="29"/>
      <c r="B12592" s="154" t="s">
        <v>16710</v>
      </c>
      <c r="C12592" s="147"/>
      <c r="D12592" s="161"/>
      <c r="E12592" s="36"/>
      <c r="F12592" s="178"/>
      <c r="G12592" s="496"/>
      <c r="H12592" s="36"/>
      <c r="I12592" s="11"/>
    </row>
    <row r="12593" spans="1:12" ht="11.15" customHeight="1">
      <c r="B12593" s="59" t="s">
        <v>22811</v>
      </c>
      <c r="C12593" s="147" t="s">
        <v>20221</v>
      </c>
      <c r="D12593" s="284" t="s">
        <v>897</v>
      </c>
      <c r="E12593" s="178">
        <v>2021</v>
      </c>
      <c r="F12593" s="178" t="s">
        <v>4520</v>
      </c>
      <c r="G12593" s="496"/>
      <c r="H12593" s="994" t="s">
        <v>20221</v>
      </c>
      <c r="I12593" s="11" t="s">
        <v>16711</v>
      </c>
      <c r="J12593" s="1285"/>
      <c r="K12593" s="1285"/>
      <c r="L12593" s="1285"/>
    </row>
    <row r="12594" spans="1:12" ht="11.15" customHeight="1">
      <c r="B12594" s="59" t="s">
        <v>22811</v>
      </c>
      <c r="C12594" s="147" t="s">
        <v>20221</v>
      </c>
      <c r="D12594" s="284" t="s">
        <v>897</v>
      </c>
      <c r="E12594" s="178">
        <v>2019</v>
      </c>
      <c r="F12594" s="178" t="s">
        <v>4520</v>
      </c>
      <c r="G12594" s="496"/>
      <c r="H12594" s="994" t="s">
        <v>20221</v>
      </c>
      <c r="I12594" s="11" t="s">
        <v>16712</v>
      </c>
      <c r="J12594" s="1285"/>
      <c r="K12594" s="1285"/>
      <c r="L12594" s="1285"/>
    </row>
    <row r="12595" spans="1:12" ht="11.15" customHeight="1">
      <c r="B12595" s="59" t="s">
        <v>22811</v>
      </c>
      <c r="C12595" s="147" t="s">
        <v>20221</v>
      </c>
      <c r="D12595" s="284" t="s">
        <v>897</v>
      </c>
      <c r="E12595" s="178">
        <v>2018</v>
      </c>
      <c r="F12595" s="178" t="s">
        <v>4520</v>
      </c>
      <c r="G12595" s="496"/>
      <c r="H12595" s="994" t="s">
        <v>20221</v>
      </c>
      <c r="I12595" s="11" t="s">
        <v>16713</v>
      </c>
      <c r="J12595" s="1285"/>
      <c r="K12595" s="1285"/>
      <c r="L12595" s="1285"/>
    </row>
    <row r="12596" spans="1:12" ht="11.15" customHeight="1">
      <c r="B12596" s="59" t="s">
        <v>22811</v>
      </c>
      <c r="C12596" s="147" t="s">
        <v>20221</v>
      </c>
      <c r="D12596" s="284" t="s">
        <v>897</v>
      </c>
      <c r="E12596" s="178">
        <v>2016</v>
      </c>
      <c r="F12596" s="178" t="s">
        <v>4520</v>
      </c>
      <c r="G12596" s="496"/>
      <c r="H12596" s="994" t="s">
        <v>20224</v>
      </c>
      <c r="I12596" s="11" t="s">
        <v>16714</v>
      </c>
      <c r="J12596" s="1285"/>
      <c r="K12596" s="1285"/>
      <c r="L12596" s="1285"/>
    </row>
    <row r="12597" spans="1:12" ht="11.15" customHeight="1">
      <c r="B12597" s="59" t="s">
        <v>22813</v>
      </c>
      <c r="C12597" s="147" t="s">
        <v>20221</v>
      </c>
      <c r="D12597" s="284" t="s">
        <v>897</v>
      </c>
      <c r="E12597" s="178">
        <v>2019</v>
      </c>
      <c r="F12597" s="178" t="s">
        <v>4520</v>
      </c>
      <c r="G12597" s="496"/>
      <c r="H12597" s="994" t="s">
        <v>20221</v>
      </c>
      <c r="I12597" s="11" t="s">
        <v>16715</v>
      </c>
      <c r="J12597" s="1285"/>
      <c r="K12597" s="1285"/>
      <c r="L12597" s="1285"/>
    </row>
    <row r="12598" spans="1:12" ht="11.15" customHeight="1">
      <c r="B12598" s="59" t="s">
        <v>22813</v>
      </c>
      <c r="C12598" s="147" t="s">
        <v>20221</v>
      </c>
      <c r="D12598" s="284" t="s">
        <v>897</v>
      </c>
      <c r="E12598" s="178">
        <v>2018</v>
      </c>
      <c r="F12598" s="178" t="s">
        <v>4520</v>
      </c>
      <c r="G12598" s="496"/>
      <c r="H12598" s="994" t="s">
        <v>20221</v>
      </c>
      <c r="I12598" s="11" t="s">
        <v>16716</v>
      </c>
      <c r="J12598" s="1285"/>
      <c r="K12598" s="1285"/>
      <c r="L12598" s="1285"/>
    </row>
    <row r="12599" spans="1:12" ht="11.15" customHeight="1">
      <c r="A12599" s="185"/>
      <c r="B12599" s="59" t="s">
        <v>22814</v>
      </c>
      <c r="C12599" s="147" t="s">
        <v>20221</v>
      </c>
      <c r="D12599" s="284" t="s">
        <v>897</v>
      </c>
      <c r="E12599" s="178">
        <v>2022</v>
      </c>
      <c r="F12599" s="178" t="s">
        <v>4520</v>
      </c>
      <c r="G12599" s="496"/>
      <c r="H12599" s="994" t="s">
        <v>20221</v>
      </c>
      <c r="I12599" s="11" t="s">
        <v>16717</v>
      </c>
      <c r="J12599" s="1285"/>
      <c r="K12599" s="1285"/>
      <c r="L12599" s="1285"/>
    </row>
    <row r="12600" spans="1:12" ht="11.15" customHeight="1">
      <c r="A12600" s="185"/>
      <c r="B12600" s="59" t="s">
        <v>22814</v>
      </c>
      <c r="C12600" s="147" t="s">
        <v>20221</v>
      </c>
      <c r="D12600" s="284" t="s">
        <v>897</v>
      </c>
      <c r="E12600" s="178">
        <v>2021</v>
      </c>
      <c r="F12600" s="178" t="s">
        <v>4520</v>
      </c>
      <c r="G12600" s="496"/>
      <c r="H12600" s="994" t="s">
        <v>20221</v>
      </c>
      <c r="I12600" s="11" t="s">
        <v>16718</v>
      </c>
      <c r="J12600" s="1285"/>
      <c r="K12600" s="1285"/>
      <c r="L12600" s="1285"/>
    </row>
    <row r="12601" spans="1:12" ht="11.15" customHeight="1">
      <c r="A12601" s="185"/>
      <c r="B12601" s="59" t="s">
        <v>22814</v>
      </c>
      <c r="C12601" s="147" t="s">
        <v>20221</v>
      </c>
      <c r="D12601" s="284" t="s">
        <v>897</v>
      </c>
      <c r="E12601" s="178">
        <v>2019</v>
      </c>
      <c r="F12601" s="178" t="s">
        <v>4520</v>
      </c>
      <c r="G12601" s="496"/>
      <c r="H12601" s="994" t="s">
        <v>20221</v>
      </c>
      <c r="I12601" s="11" t="s">
        <v>16719</v>
      </c>
      <c r="J12601" s="1285"/>
      <c r="K12601" s="1285"/>
      <c r="L12601" s="1285"/>
    </row>
    <row r="12602" spans="1:12" ht="11.15" customHeight="1">
      <c r="A12602" s="185"/>
      <c r="B12602" s="59" t="s">
        <v>22814</v>
      </c>
      <c r="C12602" s="147" t="s">
        <v>20221</v>
      </c>
      <c r="D12602" s="284" t="s">
        <v>897</v>
      </c>
      <c r="E12602" s="178">
        <v>2018</v>
      </c>
      <c r="F12602" s="178" t="s">
        <v>4520</v>
      </c>
      <c r="G12602" s="496"/>
      <c r="H12602" s="994" t="s">
        <v>20221</v>
      </c>
      <c r="I12602" s="11" t="s">
        <v>16720</v>
      </c>
      <c r="J12602" s="1285"/>
      <c r="K12602" s="1285"/>
      <c r="L12602" s="1285"/>
    </row>
    <row r="12603" spans="1:12" ht="11.15" customHeight="1">
      <c r="A12603" s="185"/>
      <c r="B12603" s="59" t="s">
        <v>22814</v>
      </c>
      <c r="C12603" s="147" t="s">
        <v>20221</v>
      </c>
      <c r="D12603" s="284" t="s">
        <v>897</v>
      </c>
      <c r="E12603" s="178">
        <v>2017</v>
      </c>
      <c r="F12603" s="178" t="s">
        <v>4520</v>
      </c>
      <c r="G12603" s="496"/>
      <c r="H12603" s="994" t="s">
        <v>20221</v>
      </c>
      <c r="I12603" s="11" t="s">
        <v>16721</v>
      </c>
      <c r="J12603" s="1285"/>
      <c r="K12603" s="1285"/>
      <c r="L12603" s="1285"/>
    </row>
    <row r="12604" spans="1:12" ht="11.15" customHeight="1">
      <c r="A12604" s="185"/>
      <c r="B12604" s="59" t="s">
        <v>22814</v>
      </c>
      <c r="C12604" s="147" t="s">
        <v>20221</v>
      </c>
      <c r="D12604" s="284" t="s">
        <v>897</v>
      </c>
      <c r="E12604" s="178">
        <v>2016</v>
      </c>
      <c r="F12604" s="178" t="s">
        <v>4520</v>
      </c>
      <c r="G12604" s="496"/>
      <c r="H12604" s="994" t="s">
        <v>20224</v>
      </c>
      <c r="I12604" s="11" t="s">
        <v>16722</v>
      </c>
      <c r="J12604" s="1285"/>
      <c r="K12604" s="1285"/>
      <c r="L12604" s="1285"/>
    </row>
    <row r="12605" spans="1:12" ht="11.15" customHeight="1">
      <c r="A12605" s="185"/>
      <c r="B12605" s="59" t="s">
        <v>22815</v>
      </c>
      <c r="C12605" s="147" t="s">
        <v>20221</v>
      </c>
      <c r="D12605" s="284" t="s">
        <v>897</v>
      </c>
      <c r="E12605" s="178">
        <v>2016</v>
      </c>
      <c r="F12605" s="178" t="s">
        <v>11931</v>
      </c>
      <c r="G12605" s="496"/>
      <c r="H12605" s="994" t="s">
        <v>20224</v>
      </c>
      <c r="I12605" s="11" t="s">
        <v>16723</v>
      </c>
      <c r="J12605" s="1285"/>
      <c r="K12605" s="1285"/>
      <c r="L12605" s="1285"/>
    </row>
    <row r="12606" spans="1:12" ht="11.15" customHeight="1" thickBot="1">
      <c r="A12606" s="217"/>
      <c r="B12606" s="211"/>
      <c r="C12606" s="147"/>
      <c r="D12606" s="161"/>
      <c r="E12606" s="36"/>
      <c r="F12606" s="183"/>
      <c r="G12606" s="496"/>
      <c r="H12606" s="34"/>
      <c r="I12606" s="11"/>
    </row>
    <row r="12607" spans="1:12" ht="11.15" customHeight="1" thickBot="1">
      <c r="A12607" s="756" t="s">
        <v>16724</v>
      </c>
      <c r="B12607" s="757" t="s">
        <v>16725</v>
      </c>
      <c r="C12607" s="170"/>
      <c r="D12607" s="633"/>
      <c r="E12607" s="758"/>
      <c r="F12607" s="183"/>
      <c r="G12607" s="496"/>
      <c r="H12607" s="34"/>
      <c r="I12607" s="11"/>
    </row>
    <row r="12608" spans="1:12" ht="11.15" customHeight="1" thickBot="1">
      <c r="A12608" s="217"/>
      <c r="B12608" s="185"/>
      <c r="C12608" s="147"/>
      <c r="D12608" s="129"/>
      <c r="E12608" s="185"/>
      <c r="F12608" s="185"/>
      <c r="G12608" s="185"/>
      <c r="H12608" s="185"/>
      <c r="I12608" s="11"/>
    </row>
    <row r="12609" spans="1:9" ht="11.15" customHeight="1">
      <c r="A12609" s="648"/>
      <c r="B12609" s="759" t="s">
        <v>16726</v>
      </c>
      <c r="C12609" s="191"/>
      <c r="D12609" s="306"/>
      <c r="E12609" s="31"/>
      <c r="F12609" s="563"/>
      <c r="G12609" s="56"/>
      <c r="H12609" s="1121"/>
      <c r="I12609" s="11"/>
    </row>
    <row r="12610" spans="1:9" ht="9" customHeight="1">
      <c r="A12610" s="760" t="s">
        <v>16727</v>
      </c>
      <c r="B12610" s="36"/>
      <c r="C12610" s="147"/>
      <c r="D12610" s="122"/>
      <c r="E12610" s="36"/>
      <c r="F12610" s="178"/>
      <c r="G12610" s="60"/>
      <c r="H12610" s="628"/>
      <c r="I12610" s="11"/>
    </row>
    <row r="12611" spans="1:9" ht="9" customHeight="1">
      <c r="A12611" s="760" t="s">
        <v>16728</v>
      </c>
      <c r="B12611" s="36"/>
      <c r="C12611" s="147"/>
      <c r="D12611" s="122"/>
      <c r="E12611" s="36"/>
      <c r="F12611" s="178"/>
      <c r="G12611" s="60"/>
      <c r="H12611" s="628"/>
      <c r="I12611" s="11"/>
    </row>
    <row r="12612" spans="1:9" ht="9" customHeight="1">
      <c r="A12612" s="760" t="s">
        <v>16729</v>
      </c>
      <c r="B12612" s="36"/>
      <c r="C12612" s="147"/>
      <c r="D12612" s="122"/>
      <c r="E12612" s="36"/>
      <c r="F12612" s="178"/>
      <c r="G12612" s="60"/>
      <c r="H12612" s="628"/>
      <c r="I12612" s="11"/>
    </row>
    <row r="12613" spans="1:9" ht="9" customHeight="1">
      <c r="A12613" s="485" t="s">
        <v>16730</v>
      </c>
      <c r="B12613" s="36"/>
      <c r="C12613" s="147"/>
      <c r="D12613" s="122"/>
      <c r="E12613" s="36"/>
      <c r="F12613" s="178"/>
      <c r="G12613" s="60"/>
      <c r="H12613" s="628"/>
      <c r="I12613" s="11"/>
    </row>
    <row r="12614" spans="1:9" ht="9" customHeight="1">
      <c r="A12614" s="485" t="s">
        <v>16731</v>
      </c>
      <c r="B12614" s="36"/>
      <c r="C12614" s="147"/>
      <c r="D12614" s="122"/>
      <c r="E12614" s="36"/>
      <c r="F12614" s="178"/>
      <c r="G12614" s="60"/>
      <c r="H12614" s="628"/>
      <c r="I12614" s="11"/>
    </row>
    <row r="12615" spans="1:9" ht="9" customHeight="1">
      <c r="A12615" s="485" t="s">
        <v>16732</v>
      </c>
      <c r="B12615" s="36"/>
      <c r="C12615" s="147"/>
      <c r="D12615" s="122"/>
      <c r="E12615" s="36"/>
      <c r="F12615" s="178"/>
      <c r="G12615" s="60"/>
      <c r="H12615" s="628"/>
      <c r="I12615" s="11"/>
    </row>
    <row r="12616" spans="1:9" ht="9" customHeight="1">
      <c r="A12616" s="485" t="s">
        <v>16733</v>
      </c>
      <c r="B12616" s="36"/>
      <c r="C12616" s="147"/>
      <c r="D12616" s="122"/>
      <c r="E12616" s="36"/>
      <c r="F12616" s="178"/>
      <c r="G12616" s="60"/>
      <c r="H12616" s="628"/>
      <c r="I12616" s="11"/>
    </row>
    <row r="12617" spans="1:9" ht="9" customHeight="1">
      <c r="A12617" s="760" t="s">
        <v>16734</v>
      </c>
      <c r="B12617" s="36"/>
      <c r="C12617" s="147"/>
      <c r="D12617" s="122"/>
      <c r="E12617" s="36"/>
      <c r="F12617" s="178"/>
      <c r="G12617" s="60"/>
      <c r="H12617" s="628"/>
      <c r="I12617" s="11"/>
    </row>
    <row r="12618" spans="1:9" ht="11.15" customHeight="1">
      <c r="A12618" s="650"/>
      <c r="B12618" s="761" t="s">
        <v>16735</v>
      </c>
      <c r="C12618" s="147"/>
      <c r="D12618" s="122"/>
      <c r="E12618" s="36"/>
      <c r="F12618" s="178"/>
      <c r="G12618" s="60"/>
      <c r="H12618" s="628"/>
      <c r="I12618" s="11"/>
    </row>
    <row r="12619" spans="1:9" ht="9" customHeight="1">
      <c r="A12619" s="760" t="s">
        <v>16736</v>
      </c>
      <c r="B12619" s="36"/>
      <c r="C12619" s="147"/>
      <c r="D12619" s="122"/>
      <c r="E12619" s="36"/>
      <c r="F12619" s="178"/>
      <c r="G12619" s="60"/>
      <c r="H12619" s="628"/>
      <c r="I12619" s="11"/>
    </row>
    <row r="12620" spans="1:9" ht="9" customHeight="1">
      <c r="A12620" s="760" t="s">
        <v>16737</v>
      </c>
      <c r="B12620" s="36"/>
      <c r="C12620" s="147"/>
      <c r="D12620" s="122"/>
      <c r="E12620" s="36"/>
      <c r="F12620" s="178"/>
      <c r="G12620" s="60"/>
      <c r="H12620" s="628"/>
      <c r="I12620" s="11"/>
    </row>
    <row r="12621" spans="1:9" ht="9" customHeight="1">
      <c r="A12621" s="760" t="s">
        <v>16738</v>
      </c>
      <c r="B12621" s="36"/>
      <c r="C12621" s="147"/>
      <c r="D12621" s="122"/>
      <c r="E12621" s="36"/>
      <c r="F12621" s="178"/>
      <c r="G12621" s="60"/>
      <c r="H12621" s="628"/>
      <c r="I12621" s="11"/>
    </row>
    <row r="12622" spans="1:9" ht="9" customHeight="1">
      <c r="A12622" s="760" t="s">
        <v>16739</v>
      </c>
      <c r="B12622" s="36"/>
      <c r="C12622" s="147"/>
      <c r="D12622" s="122"/>
      <c r="E12622" s="36"/>
      <c r="F12622" s="178"/>
      <c r="G12622" s="60"/>
      <c r="H12622" s="628"/>
      <c r="I12622" s="11"/>
    </row>
    <row r="12623" spans="1:9" ht="9" customHeight="1">
      <c r="A12623" s="485" t="s">
        <v>16740</v>
      </c>
      <c r="B12623" s="36"/>
      <c r="C12623" s="147"/>
      <c r="D12623" s="122"/>
      <c r="E12623" s="36"/>
      <c r="F12623" s="178"/>
      <c r="G12623" s="60"/>
      <c r="H12623" s="628"/>
      <c r="I12623" s="11"/>
    </row>
    <row r="12624" spans="1:9" ht="9" customHeight="1">
      <c r="A12624" s="485" t="s">
        <v>16741</v>
      </c>
      <c r="B12624" s="36"/>
      <c r="C12624" s="147"/>
      <c r="D12624" s="122"/>
      <c r="E12624" s="36"/>
      <c r="F12624" s="178"/>
      <c r="G12624" s="60"/>
      <c r="H12624" s="628"/>
      <c r="I12624" s="11"/>
    </row>
    <row r="12625" spans="1:12" ht="9" customHeight="1">
      <c r="A12625" s="485" t="s">
        <v>16742</v>
      </c>
      <c r="B12625" s="36"/>
      <c r="C12625" s="147"/>
      <c r="D12625" s="122"/>
      <c r="E12625" s="36"/>
      <c r="F12625" s="178"/>
      <c r="G12625" s="60"/>
      <c r="H12625" s="628"/>
      <c r="I12625" s="11"/>
    </row>
    <row r="12626" spans="1:12" ht="9" customHeight="1">
      <c r="A12626" s="485" t="s">
        <v>16743</v>
      </c>
      <c r="B12626" s="36"/>
      <c r="C12626" s="147"/>
      <c r="D12626" s="122"/>
      <c r="E12626" s="36"/>
      <c r="F12626" s="178"/>
      <c r="G12626" s="60"/>
      <c r="H12626" s="628"/>
      <c r="I12626" s="11"/>
    </row>
    <row r="12627" spans="1:12" ht="9" customHeight="1">
      <c r="A12627" s="762" t="s">
        <v>16744</v>
      </c>
      <c r="B12627" s="36"/>
      <c r="C12627" s="147"/>
      <c r="D12627" s="122"/>
      <c r="E12627" s="36"/>
      <c r="F12627" s="178"/>
      <c r="G12627" s="60"/>
      <c r="H12627" s="628"/>
      <c r="I12627" s="11"/>
    </row>
    <row r="12628" spans="1:12" ht="9" customHeight="1">
      <c r="A12628" s="762" t="s">
        <v>16745</v>
      </c>
      <c r="B12628" s="36"/>
      <c r="C12628" s="147"/>
      <c r="D12628" s="122"/>
      <c r="E12628" s="36"/>
      <c r="F12628" s="178"/>
      <c r="G12628" s="60"/>
      <c r="H12628" s="628"/>
      <c r="I12628" s="11"/>
    </row>
    <row r="12629" spans="1:12" ht="11.15" customHeight="1">
      <c r="A12629" s="650"/>
      <c r="B12629" s="761" t="s">
        <v>16746</v>
      </c>
      <c r="C12629" s="147"/>
      <c r="D12629" s="122"/>
      <c r="E12629" s="36"/>
      <c r="F12629" s="178"/>
      <c r="G12629" s="60"/>
      <c r="H12629" s="628"/>
      <c r="I12629" s="11"/>
    </row>
    <row r="12630" spans="1:12" ht="9" customHeight="1">
      <c r="A12630" s="485" t="s">
        <v>16747</v>
      </c>
      <c r="B12630" s="36"/>
      <c r="C12630" s="147"/>
      <c r="D12630" s="122"/>
      <c r="E12630" s="36"/>
      <c r="F12630" s="178"/>
      <c r="G12630" s="60"/>
      <c r="H12630" s="628"/>
      <c r="I12630" s="11"/>
    </row>
    <row r="12631" spans="1:12" ht="9" customHeight="1">
      <c r="A12631" s="485" t="s">
        <v>16748</v>
      </c>
      <c r="B12631" s="36"/>
      <c r="C12631" s="147"/>
      <c r="D12631" s="122"/>
      <c r="E12631" s="36"/>
      <c r="F12631" s="178"/>
      <c r="G12631" s="60"/>
      <c r="H12631" s="628"/>
      <c r="I12631" s="11"/>
    </row>
    <row r="12632" spans="1:12" ht="9" customHeight="1" thickBot="1">
      <c r="A12632" s="487" t="s">
        <v>16749</v>
      </c>
      <c r="B12632" s="374"/>
      <c r="C12632" s="203"/>
      <c r="D12632" s="118"/>
      <c r="E12632" s="374"/>
      <c r="F12632" s="568"/>
      <c r="G12632" s="1182"/>
      <c r="H12632" s="630"/>
      <c r="I12632" s="11"/>
    </row>
    <row r="12633" spans="1:12" ht="11.15" customHeight="1" thickBot="1">
      <c r="A12633" s="763"/>
      <c r="B12633" s="90"/>
      <c r="C12633" s="147"/>
      <c r="D12633" s="122"/>
      <c r="E12633" s="36"/>
      <c r="F12633" s="178"/>
      <c r="G12633" s="60"/>
      <c r="H12633" s="36"/>
      <c r="I12633" s="11"/>
    </row>
    <row r="12634" spans="1:12" ht="11.15" customHeight="1">
      <c r="A12634" s="153" t="s">
        <v>16750</v>
      </c>
      <c r="B12634" s="221" t="s">
        <v>9612</v>
      </c>
      <c r="C12634" s="147"/>
      <c r="D12634" s="129"/>
      <c r="E12634" s="185"/>
      <c r="F12634" s="185"/>
      <c r="G12634" s="185"/>
      <c r="H12634" s="185"/>
      <c r="I12634" s="11"/>
    </row>
    <row r="12635" spans="1:12" ht="11.15" customHeight="1" thickBot="1">
      <c r="A12635" s="230" t="s">
        <v>16751</v>
      </c>
      <c r="B12635" s="59" t="s">
        <v>22816</v>
      </c>
      <c r="C12635" s="147" t="s">
        <v>20221</v>
      </c>
      <c r="D12635" s="701" t="s">
        <v>1129</v>
      </c>
      <c r="E12635" s="178">
        <v>2017</v>
      </c>
      <c r="F12635" s="178" t="s">
        <v>23395</v>
      </c>
      <c r="G12635" s="496"/>
      <c r="H12635" s="994" t="s">
        <v>20221</v>
      </c>
      <c r="I12635" s="11" t="s">
        <v>16752</v>
      </c>
      <c r="J12635" s="1285"/>
      <c r="K12635" s="1285"/>
      <c r="L12635" s="1285"/>
    </row>
    <row r="12636" spans="1:12" ht="11.15" customHeight="1">
      <c r="A12636" s="29" t="s">
        <v>16753</v>
      </c>
      <c r="B12636" s="59" t="s">
        <v>22817</v>
      </c>
      <c r="C12636" s="147" t="s">
        <v>20221</v>
      </c>
      <c r="D12636" s="701" t="s">
        <v>1129</v>
      </c>
      <c r="E12636" s="178">
        <v>2020</v>
      </c>
      <c r="F12636" s="178" t="s">
        <v>23395</v>
      </c>
      <c r="G12636" s="496"/>
      <c r="H12636" s="994" t="s">
        <v>20221</v>
      </c>
      <c r="I12636" s="11" t="s">
        <v>16754</v>
      </c>
      <c r="J12636" s="1285"/>
      <c r="K12636" s="1285"/>
      <c r="L12636" s="1285"/>
    </row>
    <row r="12637" spans="1:12" ht="11.15" customHeight="1">
      <c r="A12637" s="29" t="s">
        <v>16755</v>
      </c>
      <c r="B12637" s="59" t="s">
        <v>22818</v>
      </c>
      <c r="C12637" s="147" t="s">
        <v>20221</v>
      </c>
      <c r="D12637" s="701" t="s">
        <v>1129</v>
      </c>
      <c r="E12637" s="178">
        <v>2017</v>
      </c>
      <c r="F12637" s="178" t="s">
        <v>11931</v>
      </c>
      <c r="G12637" s="496"/>
      <c r="H12637" s="994" t="s">
        <v>20224</v>
      </c>
      <c r="I12637" s="11" t="s">
        <v>16756</v>
      </c>
      <c r="J12637" s="1285"/>
      <c r="K12637" s="1285"/>
      <c r="L12637" s="1285"/>
    </row>
    <row r="12638" spans="1:12" ht="11.15" customHeight="1">
      <c r="A12638" s="29" t="s">
        <v>16757</v>
      </c>
      <c r="B12638" s="221" t="s">
        <v>1368</v>
      </c>
      <c r="C12638" s="147"/>
      <c r="D12638" s="129"/>
      <c r="E12638" s="185"/>
      <c r="F12638" s="185"/>
      <c r="G12638" s="185"/>
      <c r="H12638" s="185"/>
      <c r="I12638" s="11"/>
    </row>
    <row r="12639" spans="1:12" ht="11.15" customHeight="1">
      <c r="A12639" s="29" t="s">
        <v>16758</v>
      </c>
      <c r="B12639" s="59" t="s">
        <v>22819</v>
      </c>
      <c r="C12639" s="147" t="s">
        <v>20221</v>
      </c>
      <c r="D12639" s="1035" t="s">
        <v>1370</v>
      </c>
      <c r="E12639" s="178" t="s">
        <v>20221</v>
      </c>
      <c r="F12639" s="178" t="s">
        <v>23395</v>
      </c>
      <c r="G12639" s="496" t="s">
        <v>20221</v>
      </c>
      <c r="H12639" s="994" t="s">
        <v>20277</v>
      </c>
      <c r="I12639" s="11" t="s">
        <v>16759</v>
      </c>
      <c r="J12639" s="1285"/>
      <c r="K12639" s="1285"/>
      <c r="L12639" s="1285"/>
    </row>
    <row r="12640" spans="1:12" ht="11.15" customHeight="1">
      <c r="A12640" s="29" t="s">
        <v>11298</v>
      </c>
      <c r="B12640" s="154" t="s">
        <v>9634</v>
      </c>
      <c r="C12640" s="147"/>
      <c r="D12640" s="122"/>
      <c r="E12640" s="36"/>
      <c r="F12640" s="178"/>
      <c r="G12640" s="60"/>
      <c r="H12640" s="36"/>
      <c r="I12640" s="11"/>
    </row>
    <row r="12641" spans="1:12" ht="11.15" customHeight="1">
      <c r="A12641" s="129" t="s">
        <v>903</v>
      </c>
      <c r="B12641" s="59" t="s">
        <v>22820</v>
      </c>
      <c r="C12641" s="147" t="s">
        <v>20221</v>
      </c>
      <c r="D12641" s="284" t="s">
        <v>897</v>
      </c>
      <c r="E12641" s="178">
        <v>2018</v>
      </c>
      <c r="F12641" s="178" t="s">
        <v>23395</v>
      </c>
      <c r="G12641" s="496"/>
      <c r="H12641" s="994" t="s">
        <v>20221</v>
      </c>
      <c r="I12641" s="11" t="s">
        <v>16760</v>
      </c>
      <c r="J12641" s="1285"/>
      <c r="K12641" s="1285"/>
      <c r="L12641" s="1285"/>
    </row>
    <row r="12642" spans="1:12" ht="11.15" customHeight="1">
      <c r="A12642" s="162" t="s">
        <v>16131</v>
      </c>
      <c r="B12642" s="59" t="s">
        <v>22821</v>
      </c>
      <c r="C12642" s="147" t="s">
        <v>20221</v>
      </c>
      <c r="D12642" s="284" t="s">
        <v>897</v>
      </c>
      <c r="E12642" s="178">
        <v>2014</v>
      </c>
      <c r="F12642" s="178" t="s">
        <v>23395</v>
      </c>
      <c r="G12642" s="496"/>
      <c r="H12642" s="994" t="s">
        <v>20221</v>
      </c>
      <c r="I12642" s="11" t="s">
        <v>16761</v>
      </c>
      <c r="J12642" s="1285"/>
      <c r="K12642" s="1285"/>
      <c r="L12642" s="1285"/>
    </row>
    <row r="12643" spans="1:12" ht="11.15" customHeight="1">
      <c r="A12643" s="162" t="s">
        <v>16762</v>
      </c>
      <c r="B12643" s="59" t="s">
        <v>22822</v>
      </c>
      <c r="C12643" s="147" t="s">
        <v>20221</v>
      </c>
      <c r="D12643" s="284" t="s">
        <v>897</v>
      </c>
      <c r="E12643" s="178">
        <v>2013</v>
      </c>
      <c r="F12643" s="178" t="s">
        <v>23395</v>
      </c>
      <c r="G12643" s="496"/>
      <c r="H12643" s="994" t="s">
        <v>20221</v>
      </c>
      <c r="I12643" s="11" t="s">
        <v>16763</v>
      </c>
      <c r="J12643" s="1285"/>
      <c r="K12643" s="1285"/>
      <c r="L12643" s="1285"/>
    </row>
    <row r="12644" spans="1:12" ht="11.15" customHeight="1">
      <c r="A12644" s="162" t="s">
        <v>16764</v>
      </c>
      <c r="B12644" s="59" t="s">
        <v>22823</v>
      </c>
      <c r="C12644" s="147" t="s">
        <v>20221</v>
      </c>
      <c r="D12644" s="284" t="s">
        <v>897</v>
      </c>
      <c r="E12644" s="178">
        <v>2018</v>
      </c>
      <c r="F12644" s="178" t="s">
        <v>23395</v>
      </c>
      <c r="G12644" s="496"/>
      <c r="H12644" s="994" t="s">
        <v>20221</v>
      </c>
      <c r="I12644" s="11" t="s">
        <v>16765</v>
      </c>
      <c r="J12644" s="1285"/>
      <c r="K12644" s="1285"/>
      <c r="L12644" s="1285"/>
    </row>
    <row r="12645" spans="1:12" ht="11.15" customHeight="1">
      <c r="A12645" s="162" t="s">
        <v>16766</v>
      </c>
      <c r="B12645" s="59" t="s">
        <v>22824</v>
      </c>
      <c r="C12645" s="147" t="s">
        <v>20221</v>
      </c>
      <c r="D12645" s="284" t="s">
        <v>897</v>
      </c>
      <c r="E12645" s="178">
        <v>2017</v>
      </c>
      <c r="F12645" s="178" t="s">
        <v>23395</v>
      </c>
      <c r="G12645" s="496"/>
      <c r="H12645" s="994" t="s">
        <v>20221</v>
      </c>
      <c r="I12645" s="11" t="s">
        <v>16767</v>
      </c>
      <c r="J12645" s="1285"/>
      <c r="K12645" s="1285"/>
      <c r="L12645" s="1285"/>
    </row>
    <row r="12646" spans="1:12" ht="11.15" customHeight="1">
      <c r="A12646" s="162" t="s">
        <v>16768</v>
      </c>
      <c r="B12646" s="59" t="s">
        <v>22825</v>
      </c>
      <c r="C12646" s="147" t="s">
        <v>20221</v>
      </c>
      <c r="D12646" s="284" t="s">
        <v>897</v>
      </c>
      <c r="E12646" s="178">
        <v>2016</v>
      </c>
      <c r="F12646" s="178" t="s">
        <v>23395</v>
      </c>
      <c r="G12646" s="496"/>
      <c r="H12646" s="994" t="s">
        <v>20221</v>
      </c>
      <c r="I12646" s="11" t="s">
        <v>16769</v>
      </c>
      <c r="J12646" s="1285"/>
      <c r="K12646" s="1285"/>
      <c r="L12646" s="1285"/>
    </row>
    <row r="12647" spans="1:12" ht="11.15" customHeight="1">
      <c r="A12647" s="162" t="s">
        <v>16770</v>
      </c>
      <c r="B12647" s="59" t="s">
        <v>22825</v>
      </c>
      <c r="C12647" s="147" t="s">
        <v>20221</v>
      </c>
      <c r="D12647" s="284" t="s">
        <v>897</v>
      </c>
      <c r="E12647" s="178">
        <v>2015</v>
      </c>
      <c r="F12647" s="178" t="s">
        <v>23395</v>
      </c>
      <c r="G12647" s="496"/>
      <c r="H12647" s="994" t="s">
        <v>20221</v>
      </c>
      <c r="I12647" s="11" t="s">
        <v>16771</v>
      </c>
      <c r="J12647" s="1285"/>
      <c r="K12647" s="1285"/>
      <c r="L12647" s="1285"/>
    </row>
    <row r="12648" spans="1:12" ht="11.15" customHeight="1">
      <c r="A12648" s="162" t="s">
        <v>16772</v>
      </c>
      <c r="B12648" s="59" t="s">
        <v>22826</v>
      </c>
      <c r="C12648" s="147" t="s">
        <v>20221</v>
      </c>
      <c r="D12648" s="284" t="s">
        <v>897</v>
      </c>
      <c r="E12648" s="178">
        <v>2016</v>
      </c>
      <c r="F12648" s="178" t="s">
        <v>23395</v>
      </c>
      <c r="G12648" s="496"/>
      <c r="H12648" s="994" t="s">
        <v>20221</v>
      </c>
      <c r="I12648" s="11" t="s">
        <v>16773</v>
      </c>
      <c r="J12648" s="1285"/>
      <c r="K12648" s="1285"/>
      <c r="L12648" s="1285"/>
    </row>
    <row r="12649" spans="1:12" ht="11.15" customHeight="1">
      <c r="A12649" s="162" t="s">
        <v>16774</v>
      </c>
      <c r="B12649" s="185"/>
      <c r="C12649" s="147"/>
      <c r="D12649" s="185"/>
      <c r="E12649" s="185"/>
      <c r="F12649" s="185"/>
      <c r="G12649" s="185"/>
      <c r="H12649" s="185"/>
      <c r="I12649" s="11"/>
    </row>
    <row r="12650" spans="1:12" ht="11.15" customHeight="1">
      <c r="A12650" s="166" t="s">
        <v>16775</v>
      </c>
      <c r="B12650" s="185"/>
      <c r="C12650" s="147"/>
      <c r="D12650" s="185"/>
      <c r="E12650" s="185"/>
      <c r="F12650" s="185"/>
      <c r="G12650" s="185"/>
      <c r="H12650" s="185"/>
      <c r="I12650" s="11"/>
    </row>
    <row r="12651" spans="1:12" ht="11.15" customHeight="1">
      <c r="A12651" s="129" t="s">
        <v>16776</v>
      </c>
      <c r="B12651" s="185"/>
      <c r="C12651" s="147"/>
      <c r="D12651" s="185"/>
      <c r="E12651" s="185"/>
      <c r="F12651" s="185"/>
      <c r="G12651" s="185"/>
      <c r="H12651" s="185"/>
      <c r="I12651" s="11"/>
    </row>
    <row r="12652" spans="1:12" ht="11.15" customHeight="1">
      <c r="A12652" s="129" t="s">
        <v>16777</v>
      </c>
      <c r="B12652" s="185"/>
      <c r="C12652" s="147"/>
      <c r="D12652" s="185"/>
      <c r="E12652" s="185"/>
      <c r="F12652" s="185"/>
      <c r="G12652" s="185"/>
      <c r="H12652" s="185"/>
      <c r="I12652" s="11"/>
    </row>
    <row r="12653" spans="1:12" ht="11.15" customHeight="1" thickBot="1">
      <c r="A12653" s="185"/>
      <c r="B12653" s="90"/>
      <c r="C12653" s="147"/>
      <c r="D12653" s="161"/>
      <c r="E12653" s="36"/>
      <c r="F12653" s="178"/>
      <c r="G12653" s="496"/>
      <c r="H12653" s="36"/>
      <c r="I12653" s="11"/>
    </row>
    <row r="12654" spans="1:12" ht="24" customHeight="1" thickBot="1">
      <c r="A12654" s="764"/>
      <c r="B12654" s="25" t="s">
        <v>16778</v>
      </c>
      <c r="C12654" s="170"/>
      <c r="D12654" s="382"/>
      <c r="E12654" s="235"/>
      <c r="F12654" s="383"/>
      <c r="G12654" s="1080"/>
      <c r="H12654" s="511"/>
      <c r="I12654" s="11"/>
    </row>
    <row r="12655" spans="1:12" ht="11.15" customHeight="1" thickBot="1">
      <c r="A12655" s="185"/>
      <c r="B12655" s="765" t="s">
        <v>16779</v>
      </c>
      <c r="C12655" s="147"/>
      <c r="D12655" s="161"/>
      <c r="E12655" s="36"/>
      <c r="F12655" s="178"/>
      <c r="G12655" s="671"/>
      <c r="H12655" s="36"/>
      <c r="I12655" s="11"/>
    </row>
    <row r="12656" spans="1:12" ht="11.15" customHeight="1">
      <c r="A12656" s="153" t="s">
        <v>16780</v>
      </c>
      <c r="B12656" s="154" t="s">
        <v>16707</v>
      </c>
      <c r="C12656" s="147"/>
      <c r="D12656" s="129"/>
      <c r="E12656" s="185"/>
      <c r="F12656" s="185"/>
      <c r="G12656" s="671"/>
      <c r="H12656" s="185"/>
      <c r="I12656" s="11"/>
    </row>
    <row r="12657" spans="1:12" ht="11.15" customHeight="1" thickBot="1">
      <c r="A12657" s="230" t="s">
        <v>16781</v>
      </c>
      <c r="B12657" s="59" t="s">
        <v>22827</v>
      </c>
      <c r="C12657" s="147" t="s">
        <v>20221</v>
      </c>
      <c r="D12657" s="284" t="s">
        <v>897</v>
      </c>
      <c r="E12657" s="178">
        <v>2009</v>
      </c>
      <c r="F12657" s="178" t="s">
        <v>4520</v>
      </c>
      <c r="G12657" s="496"/>
      <c r="H12657" s="994" t="s">
        <v>20224</v>
      </c>
      <c r="I12657" s="11" t="s">
        <v>16782</v>
      </c>
      <c r="J12657" s="1285"/>
      <c r="K12657" s="1285"/>
      <c r="L12657" s="1285"/>
    </row>
    <row r="12658" spans="1:12" ht="11.15" customHeight="1">
      <c r="A12658" s="29" t="s">
        <v>16783</v>
      </c>
      <c r="B12658" s="766" t="s">
        <v>16710</v>
      </c>
      <c r="C12658" s="147"/>
      <c r="D12658" s="161"/>
      <c r="E12658" s="36"/>
      <c r="F12658" s="178"/>
      <c r="G12658" s="671"/>
      <c r="H12658" s="36"/>
      <c r="I12658" s="11"/>
    </row>
    <row r="12659" spans="1:12" ht="11.15" customHeight="1">
      <c r="A12659" s="29" t="s">
        <v>16784</v>
      </c>
      <c r="B12659" s="59" t="s">
        <v>22828</v>
      </c>
      <c r="C12659" s="147" t="s">
        <v>20221</v>
      </c>
      <c r="D12659" s="284" t="s">
        <v>897</v>
      </c>
      <c r="E12659" s="178">
        <v>2016</v>
      </c>
      <c r="F12659" s="178" t="s">
        <v>23394</v>
      </c>
      <c r="G12659" s="496"/>
      <c r="H12659" s="994" t="s">
        <v>20224</v>
      </c>
      <c r="I12659" s="11" t="s">
        <v>16785</v>
      </c>
      <c r="J12659" s="1285"/>
      <c r="K12659" s="1285"/>
      <c r="L12659" s="1285"/>
    </row>
    <row r="12660" spans="1:12" ht="11.15" customHeight="1">
      <c r="A12660" s="129" t="s">
        <v>1077</v>
      </c>
      <c r="B12660" s="59" t="s">
        <v>22829</v>
      </c>
      <c r="C12660" s="147" t="s">
        <v>20221</v>
      </c>
      <c r="D12660" s="284" t="s">
        <v>897</v>
      </c>
      <c r="E12660" s="178">
        <v>2016</v>
      </c>
      <c r="F12660" s="178" t="s">
        <v>9678</v>
      </c>
      <c r="G12660" s="496"/>
      <c r="H12660" s="994" t="s">
        <v>20224</v>
      </c>
      <c r="I12660" s="11" t="s">
        <v>16786</v>
      </c>
      <c r="J12660" s="1285"/>
      <c r="K12660" s="1285"/>
      <c r="L12660" s="1285"/>
    </row>
    <row r="12661" spans="1:12" ht="11.15" customHeight="1">
      <c r="A12661" s="162" t="s">
        <v>16787</v>
      </c>
      <c r="B12661" s="185"/>
      <c r="C12661" s="147"/>
      <c r="D12661" s="185"/>
      <c r="E12661" s="185"/>
      <c r="F12661" s="185"/>
      <c r="G12661" s="185"/>
      <c r="H12661" s="185"/>
      <c r="I12661" s="11"/>
    </row>
    <row r="12662" spans="1:12" ht="11.15" customHeight="1">
      <c r="A12662" s="162" t="s">
        <v>16788</v>
      </c>
      <c r="B12662" s="185"/>
      <c r="C12662" s="147"/>
      <c r="D12662" s="185"/>
      <c r="E12662" s="185"/>
      <c r="F12662" s="185"/>
      <c r="G12662" s="185"/>
      <c r="H12662" s="185"/>
      <c r="I12662" s="11"/>
    </row>
    <row r="12663" spans="1:12" ht="11.15" customHeight="1">
      <c r="A12663" s="162" t="s">
        <v>16789</v>
      </c>
      <c r="B12663" s="185"/>
      <c r="C12663" s="147"/>
      <c r="D12663" s="185"/>
      <c r="E12663" s="185"/>
      <c r="F12663" s="185"/>
      <c r="G12663" s="185"/>
      <c r="H12663" s="185"/>
      <c r="I12663" s="11"/>
    </row>
    <row r="12664" spans="1:12" ht="11.15" customHeight="1">
      <c r="A12664" s="162" t="s">
        <v>16790</v>
      </c>
      <c r="B12664" s="185"/>
      <c r="C12664" s="147"/>
      <c r="D12664" s="185"/>
      <c r="E12664" s="185"/>
      <c r="F12664" s="185"/>
      <c r="G12664" s="185"/>
      <c r="H12664" s="185"/>
      <c r="I12664" s="11"/>
    </row>
    <row r="12665" spans="1:12" ht="11.15" customHeight="1">
      <c r="A12665" s="162" t="s">
        <v>16791</v>
      </c>
      <c r="B12665" s="185"/>
      <c r="C12665" s="147"/>
      <c r="D12665" s="185"/>
      <c r="E12665" s="185"/>
      <c r="F12665" s="185"/>
      <c r="G12665" s="185"/>
      <c r="H12665" s="185"/>
      <c r="I12665" s="11"/>
    </row>
    <row r="12666" spans="1:12" ht="11.15" customHeight="1">
      <c r="A12666" s="162" t="s">
        <v>16792</v>
      </c>
      <c r="B12666" s="517"/>
      <c r="C12666" s="147"/>
      <c r="D12666" s="161"/>
      <c r="E12666" s="36"/>
      <c r="F12666" s="178"/>
      <c r="G12666" s="671"/>
      <c r="H12666" s="36"/>
      <c r="I12666" s="11"/>
    </row>
    <row r="12667" spans="1:12" ht="11.15" customHeight="1">
      <c r="A12667" s="162" t="s">
        <v>16793</v>
      </c>
      <c r="B12667" s="517"/>
      <c r="C12667" s="147"/>
      <c r="D12667" s="161"/>
      <c r="E12667" s="36"/>
      <c r="F12667" s="178"/>
      <c r="G12667" s="671"/>
      <c r="H12667" s="36"/>
      <c r="I12667" s="11"/>
    </row>
    <row r="12668" spans="1:12" ht="11.15" customHeight="1">
      <c r="A12668" s="162" t="s">
        <v>16794</v>
      </c>
      <c r="B12668" s="517"/>
      <c r="C12668" s="147"/>
      <c r="D12668" s="161"/>
      <c r="E12668" s="36"/>
      <c r="F12668" s="178"/>
      <c r="G12668" s="671"/>
      <c r="H12668" s="36"/>
      <c r="I12668" s="11"/>
    </row>
    <row r="12669" spans="1:12" ht="11.15" customHeight="1">
      <c r="A12669" s="162" t="s">
        <v>16795</v>
      </c>
      <c r="B12669" s="517"/>
      <c r="C12669" s="147"/>
      <c r="D12669" s="161"/>
      <c r="E12669" s="36"/>
      <c r="F12669" s="178"/>
      <c r="G12669" s="671"/>
      <c r="H12669" s="36"/>
      <c r="I12669" s="11"/>
    </row>
    <row r="12670" spans="1:12" ht="11.15" customHeight="1">
      <c r="A12670" s="162" t="s">
        <v>16796</v>
      </c>
      <c r="B12670" s="517"/>
      <c r="C12670" s="147"/>
      <c r="D12670" s="161"/>
      <c r="E12670" s="36"/>
      <c r="F12670" s="178"/>
      <c r="G12670" s="671"/>
      <c r="H12670" s="36"/>
      <c r="I12670" s="11"/>
    </row>
    <row r="12671" spans="1:12" ht="11.15" customHeight="1">
      <c r="A12671" s="162" t="s">
        <v>16797</v>
      </c>
      <c r="B12671" s="517"/>
      <c r="C12671" s="147"/>
      <c r="D12671" s="161"/>
      <c r="E12671" s="36"/>
      <c r="F12671" s="178"/>
      <c r="G12671" s="671"/>
      <c r="H12671" s="36"/>
      <c r="I12671" s="11"/>
    </row>
    <row r="12672" spans="1:12" ht="11.15" customHeight="1">
      <c r="A12672" s="162" t="s">
        <v>16798</v>
      </c>
      <c r="B12672" s="517"/>
      <c r="C12672" s="147"/>
      <c r="D12672" s="161"/>
      <c r="E12672" s="36"/>
      <c r="F12672" s="178"/>
      <c r="G12672" s="671"/>
      <c r="H12672" s="36"/>
      <c r="I12672" s="11"/>
    </row>
    <row r="12673" spans="1:12" ht="11.15" customHeight="1">
      <c r="A12673" s="162" t="s">
        <v>16799</v>
      </c>
      <c r="B12673" s="517"/>
      <c r="C12673" s="147"/>
      <c r="D12673" s="161"/>
      <c r="E12673" s="36"/>
      <c r="F12673" s="178"/>
      <c r="G12673" s="671"/>
      <c r="H12673" s="36"/>
      <c r="I12673" s="11"/>
    </row>
    <row r="12674" spans="1:12" ht="11.15" customHeight="1">
      <c r="A12674" s="162" t="s">
        <v>16800</v>
      </c>
      <c r="B12674" s="517"/>
      <c r="C12674" s="147"/>
      <c r="D12674" s="161"/>
      <c r="E12674" s="36"/>
      <c r="F12674" s="178"/>
      <c r="G12674" s="671"/>
      <c r="H12674" s="36"/>
      <c r="I12674" s="11"/>
    </row>
    <row r="12675" spans="1:12" ht="11.15" customHeight="1">
      <c r="A12675" s="162" t="s">
        <v>16801</v>
      </c>
      <c r="B12675" s="517"/>
      <c r="C12675" s="147"/>
      <c r="D12675" s="161"/>
      <c r="E12675" s="36"/>
      <c r="F12675" s="178"/>
      <c r="G12675" s="671"/>
      <c r="H12675" s="36"/>
      <c r="I12675" s="11"/>
    </row>
    <row r="12676" spans="1:12" ht="11.15" customHeight="1">
      <c r="A12676" s="162" t="s">
        <v>16802</v>
      </c>
      <c r="B12676" s="517"/>
      <c r="C12676" s="147"/>
      <c r="D12676" s="161"/>
      <c r="E12676" s="36"/>
      <c r="F12676" s="178"/>
      <c r="G12676" s="671"/>
      <c r="H12676" s="36"/>
      <c r="I12676" s="11"/>
    </row>
    <row r="12677" spans="1:12" ht="11.15" customHeight="1">
      <c r="A12677" s="169" t="s">
        <v>16803</v>
      </c>
      <c r="B12677" s="61"/>
      <c r="C12677" s="147"/>
      <c r="D12677" s="129"/>
      <c r="E12677" s="61"/>
      <c r="F12677" s="61"/>
      <c r="G12677" s="61"/>
      <c r="H12677" s="61"/>
      <c r="I12677" s="11"/>
    </row>
    <row r="12678" spans="1:12" ht="11.15" customHeight="1">
      <c r="A12678" s="129" t="s">
        <v>16804</v>
      </c>
      <c r="B12678" s="90"/>
      <c r="C12678" s="147"/>
      <c r="D12678" s="161"/>
      <c r="E12678" s="36"/>
      <c r="F12678" s="178"/>
      <c r="G12678" s="497"/>
      <c r="H12678" s="36"/>
      <c r="I12678" s="11"/>
    </row>
    <row r="12679" spans="1:12" ht="11.15" customHeight="1" thickBot="1">
      <c r="A12679" s="169"/>
      <c r="B12679" s="61"/>
      <c r="C12679" s="147"/>
      <c r="D12679" s="129"/>
      <c r="E12679" s="61"/>
      <c r="F12679" s="61"/>
      <c r="G12679" s="61"/>
      <c r="H12679" s="61"/>
      <c r="I12679" s="11"/>
    </row>
    <row r="12680" spans="1:12" ht="11.15" customHeight="1">
      <c r="A12680" s="153" t="s">
        <v>16805</v>
      </c>
      <c r="B12680" s="59" t="s">
        <v>22830</v>
      </c>
      <c r="C12680" s="147" t="s">
        <v>20221</v>
      </c>
      <c r="D12680" s="284" t="s">
        <v>897</v>
      </c>
      <c r="E12680" s="178">
        <v>2018</v>
      </c>
      <c r="F12680" s="178" t="s">
        <v>4520</v>
      </c>
      <c r="G12680" s="496"/>
      <c r="H12680" s="994" t="s">
        <v>20221</v>
      </c>
      <c r="I12680" s="11" t="s">
        <v>16806</v>
      </c>
      <c r="J12680" s="1285"/>
      <c r="K12680" s="1285"/>
      <c r="L12680" s="1285"/>
    </row>
    <row r="12681" spans="1:12" ht="11.15" customHeight="1" thickBot="1">
      <c r="A12681" s="230" t="s">
        <v>16807</v>
      </c>
      <c r="B12681" s="59" t="s">
        <v>22830</v>
      </c>
      <c r="C12681" s="147" t="s">
        <v>20221</v>
      </c>
      <c r="D12681" s="284" t="s">
        <v>897</v>
      </c>
      <c r="E12681" s="178">
        <v>2016</v>
      </c>
      <c r="F12681" s="178" t="s">
        <v>4520</v>
      </c>
      <c r="G12681" s="496"/>
      <c r="H12681" s="994" t="s">
        <v>20277</v>
      </c>
      <c r="I12681" s="11" t="s">
        <v>16808</v>
      </c>
      <c r="J12681" s="1285"/>
      <c r="K12681" s="1285"/>
      <c r="L12681" s="1285"/>
    </row>
    <row r="12682" spans="1:12" ht="11.15" customHeight="1">
      <c r="A12682" s="29" t="s">
        <v>16809</v>
      </c>
      <c r="B12682" s="59" t="s">
        <v>22831</v>
      </c>
      <c r="C12682" s="147" t="s">
        <v>20221</v>
      </c>
      <c r="D12682" s="284" t="s">
        <v>897</v>
      </c>
      <c r="E12682" s="178">
        <v>2018</v>
      </c>
      <c r="F12682" s="178" t="s">
        <v>4520</v>
      </c>
      <c r="G12682" s="496"/>
      <c r="H12682" s="994" t="s">
        <v>20221</v>
      </c>
      <c r="I12682" s="11" t="s">
        <v>16810</v>
      </c>
      <c r="J12682" s="1285"/>
      <c r="K12682" s="1285"/>
      <c r="L12682" s="1285"/>
    </row>
    <row r="12683" spans="1:12" ht="11.15" customHeight="1">
      <c r="A12683" s="29" t="s">
        <v>16811</v>
      </c>
      <c r="B12683" s="59" t="s">
        <v>591</v>
      </c>
      <c r="C12683" s="147" t="s">
        <v>20221</v>
      </c>
      <c r="D12683" s="284" t="s">
        <v>897</v>
      </c>
      <c r="E12683" s="178">
        <v>2018</v>
      </c>
      <c r="F12683" s="178" t="s">
        <v>4520</v>
      </c>
      <c r="G12683" s="496"/>
      <c r="H12683" s="994" t="s">
        <v>20224</v>
      </c>
      <c r="I12683" s="11" t="s">
        <v>16812</v>
      </c>
      <c r="J12683" s="1285"/>
      <c r="K12683" s="1285"/>
      <c r="L12683" s="1285"/>
    </row>
    <row r="12684" spans="1:12" ht="11.15" customHeight="1">
      <c r="A12684" s="29" t="s">
        <v>16813</v>
      </c>
      <c r="B12684" s="59" t="s">
        <v>591</v>
      </c>
      <c r="C12684" s="147" t="s">
        <v>20221</v>
      </c>
      <c r="D12684" s="284" t="s">
        <v>897</v>
      </c>
      <c r="E12684" s="178">
        <v>2017</v>
      </c>
      <c r="F12684" s="178" t="s">
        <v>4520</v>
      </c>
      <c r="G12684" s="496"/>
      <c r="H12684" s="994" t="s">
        <v>20224</v>
      </c>
      <c r="I12684" s="11" t="s">
        <v>16814</v>
      </c>
      <c r="J12684" s="1285"/>
      <c r="K12684" s="1285"/>
      <c r="L12684" s="1285"/>
    </row>
    <row r="12685" spans="1:12" ht="11.15" customHeight="1">
      <c r="A12685" s="29" t="s">
        <v>16815</v>
      </c>
      <c r="B12685" s="185"/>
      <c r="C12685" s="147"/>
      <c r="D12685" s="185"/>
      <c r="E12685" s="185"/>
      <c r="F12685" s="185"/>
      <c r="G12685" s="185"/>
      <c r="H12685" s="185"/>
      <c r="I12685" s="11"/>
    </row>
    <row r="12686" spans="1:12" ht="11.15" customHeight="1">
      <c r="A12686" s="129" t="s">
        <v>16627</v>
      </c>
      <c r="B12686" s="185"/>
      <c r="C12686" s="147"/>
      <c r="D12686" s="185"/>
      <c r="E12686" s="185"/>
      <c r="F12686" s="185"/>
      <c r="G12686" s="185"/>
      <c r="H12686" s="185"/>
      <c r="I12686" s="11"/>
    </row>
    <row r="12687" spans="1:12" ht="9" customHeight="1">
      <c r="A12687" s="162" t="s">
        <v>16816</v>
      </c>
      <c r="B12687" s="185"/>
      <c r="C12687" s="147"/>
      <c r="D12687" s="129"/>
      <c r="E12687" s="185"/>
      <c r="F12687" s="185"/>
      <c r="G12687" s="185"/>
      <c r="H12687" s="185"/>
      <c r="I12687" s="11"/>
    </row>
    <row r="12688" spans="1:12" ht="9" customHeight="1">
      <c r="A12688" s="162" t="s">
        <v>16817</v>
      </c>
      <c r="B12688" s="185"/>
      <c r="C12688" s="147"/>
      <c r="D12688" s="129"/>
      <c r="E12688" s="185"/>
      <c r="F12688" s="185"/>
      <c r="G12688" s="185"/>
      <c r="H12688" s="185"/>
      <c r="I12688" s="11"/>
    </row>
    <row r="12689" spans="1:9" ht="9" customHeight="1">
      <c r="A12689" s="162" t="s">
        <v>16818</v>
      </c>
      <c r="B12689" s="185"/>
      <c r="C12689" s="147"/>
      <c r="D12689" s="129"/>
      <c r="E12689" s="185"/>
      <c r="F12689" s="185"/>
      <c r="G12689" s="185"/>
      <c r="H12689" s="185"/>
      <c r="I12689" s="11"/>
    </row>
    <row r="12690" spans="1:9" ht="9" customHeight="1">
      <c r="A12690" s="162" t="s">
        <v>16819</v>
      </c>
      <c r="B12690" s="377"/>
      <c r="C12690" s="147"/>
      <c r="D12690" s="122"/>
      <c r="E12690" s="178"/>
      <c r="F12690" s="178"/>
      <c r="G12690" s="453"/>
      <c r="H12690" s="178"/>
      <c r="I12690" s="11"/>
    </row>
    <row r="12691" spans="1:9" ht="9" customHeight="1">
      <c r="A12691" s="162" t="s">
        <v>16820</v>
      </c>
      <c r="B12691" s="185"/>
      <c r="C12691" s="147"/>
      <c r="D12691" s="129"/>
      <c r="E12691" s="185"/>
      <c r="F12691" s="185"/>
      <c r="G12691" s="185"/>
      <c r="H12691" s="185"/>
      <c r="I12691" s="11"/>
    </row>
    <row r="12692" spans="1:9" ht="9" customHeight="1">
      <c r="A12692" s="162" t="s">
        <v>16821</v>
      </c>
      <c r="B12692" s="377"/>
      <c r="C12692" s="147"/>
      <c r="D12692" s="122"/>
      <c r="E12692" s="178"/>
      <c r="F12692" s="178"/>
      <c r="G12692" s="453"/>
      <c r="H12692" s="178"/>
      <c r="I12692" s="11"/>
    </row>
    <row r="12693" spans="1:9" ht="9" customHeight="1">
      <c r="A12693" s="162" t="s">
        <v>16822</v>
      </c>
      <c r="B12693" s="767"/>
      <c r="C12693" s="147"/>
      <c r="D12693" s="122"/>
      <c r="E12693" s="36"/>
      <c r="F12693" s="178"/>
      <c r="G12693" s="453"/>
      <c r="H12693" s="36"/>
      <c r="I12693" s="11"/>
    </row>
    <row r="12694" spans="1:9" ht="9" customHeight="1">
      <c r="A12694" s="162" t="s">
        <v>16823</v>
      </c>
      <c r="B12694" s="767"/>
      <c r="C12694" s="147"/>
      <c r="D12694" s="122"/>
      <c r="E12694" s="36"/>
      <c r="F12694" s="178"/>
      <c r="G12694" s="453"/>
      <c r="H12694" s="36"/>
      <c r="I12694" s="11"/>
    </row>
    <row r="12695" spans="1:9" ht="9" customHeight="1">
      <c r="A12695" s="162" t="s">
        <v>16824</v>
      </c>
      <c r="B12695" s="517"/>
      <c r="C12695" s="147"/>
      <c r="D12695" s="122"/>
      <c r="E12695" s="36"/>
      <c r="F12695" s="178"/>
      <c r="G12695" s="453"/>
      <c r="H12695" s="36"/>
      <c r="I12695" s="11"/>
    </row>
    <row r="12696" spans="1:9" ht="11.15" customHeight="1">
      <c r="A12696" s="129" t="s">
        <v>3659</v>
      </c>
      <c r="B12696" s="517"/>
      <c r="C12696" s="147"/>
      <c r="D12696" s="122"/>
      <c r="E12696" s="36"/>
      <c r="F12696" s="178"/>
      <c r="G12696" s="453"/>
      <c r="H12696" s="36"/>
      <c r="I12696" s="11"/>
    </row>
    <row r="12697" spans="1:9" ht="11.15" customHeight="1">
      <c r="A12697" s="162" t="s">
        <v>16127</v>
      </c>
      <c r="B12697" s="517"/>
      <c r="C12697" s="147"/>
      <c r="D12697" s="122"/>
      <c r="E12697" s="36"/>
      <c r="F12697" s="178"/>
      <c r="G12697" s="453"/>
      <c r="H12697" s="36"/>
      <c r="I12697" s="11"/>
    </row>
    <row r="12698" spans="1:9" ht="11.15" customHeight="1">
      <c r="A12698" s="162" t="s">
        <v>16825</v>
      </c>
      <c r="B12698" s="517"/>
      <c r="C12698" s="147"/>
      <c r="D12698" s="122"/>
      <c r="E12698" s="36"/>
      <c r="F12698" s="178"/>
      <c r="G12698" s="453"/>
      <c r="H12698" s="36"/>
      <c r="I12698" s="11"/>
    </row>
    <row r="12699" spans="1:9" ht="11.15" customHeight="1">
      <c r="A12699" s="162" t="s">
        <v>9439</v>
      </c>
      <c r="B12699" s="517"/>
      <c r="C12699" s="147"/>
      <c r="D12699" s="122"/>
      <c r="E12699" s="36"/>
      <c r="F12699" s="178"/>
      <c r="G12699" s="453"/>
      <c r="H12699" s="36"/>
      <c r="I12699" s="11"/>
    </row>
    <row r="12700" spans="1:9" ht="11.15" customHeight="1">
      <c r="A12700" s="162" t="s">
        <v>16826</v>
      </c>
      <c r="B12700" s="517"/>
      <c r="C12700" s="147"/>
      <c r="D12700" s="122"/>
      <c r="E12700" s="36"/>
      <c r="F12700" s="178"/>
      <c r="G12700" s="453"/>
      <c r="H12700" s="36"/>
      <c r="I12700" s="11"/>
    </row>
    <row r="12701" spans="1:9" ht="11.15" customHeight="1">
      <c r="A12701" s="162" t="s">
        <v>16827</v>
      </c>
      <c r="B12701" s="517"/>
      <c r="C12701" s="147"/>
      <c r="D12701" s="122"/>
      <c r="E12701" s="36"/>
      <c r="F12701" s="178"/>
      <c r="G12701" s="453"/>
      <c r="H12701" s="36"/>
      <c r="I12701" s="11"/>
    </row>
    <row r="12702" spans="1:9" ht="11.15" customHeight="1">
      <c r="A12702" s="162" t="s">
        <v>16828</v>
      </c>
      <c r="B12702" s="767"/>
      <c r="C12702" s="147"/>
      <c r="D12702" s="122"/>
      <c r="E12702" s="36"/>
      <c r="F12702" s="178"/>
      <c r="G12702" s="453"/>
      <c r="H12702" s="36"/>
      <c r="I12702" s="11"/>
    </row>
    <row r="12703" spans="1:9" ht="11.15" customHeight="1">
      <c r="A12703" s="166" t="s">
        <v>16829</v>
      </c>
      <c r="B12703" s="767"/>
      <c r="C12703" s="147"/>
      <c r="D12703" s="122"/>
      <c r="E12703" s="36"/>
      <c r="F12703" s="178"/>
      <c r="G12703" s="453"/>
      <c r="H12703" s="36"/>
      <c r="I12703" s="11"/>
    </row>
    <row r="12704" spans="1:9" ht="11.15" customHeight="1">
      <c r="A12704" s="129" t="s">
        <v>16830</v>
      </c>
      <c r="B12704" s="767"/>
      <c r="C12704" s="147"/>
      <c r="D12704" s="122"/>
      <c r="E12704" s="36"/>
      <c r="F12704" s="178"/>
      <c r="G12704" s="453"/>
      <c r="H12704" s="36"/>
      <c r="I12704" s="11"/>
    </row>
    <row r="12705" spans="1:12" ht="11.15" customHeight="1" thickBot="1">
      <c r="A12705" s="185"/>
      <c r="B12705" s="185"/>
      <c r="C12705" s="147"/>
      <c r="D12705" s="129"/>
      <c r="E12705" s="185"/>
      <c r="F12705" s="185"/>
      <c r="G12705" s="185"/>
      <c r="H12705" s="185"/>
      <c r="I12705" s="11"/>
    </row>
    <row r="12706" spans="1:12" ht="11.15" customHeight="1" thickBot="1">
      <c r="A12706" s="184" t="s">
        <v>16831</v>
      </c>
      <c r="B12706" s="177" t="s">
        <v>9612</v>
      </c>
      <c r="C12706" s="147"/>
      <c r="D12706" s="185"/>
      <c r="E12706" s="185"/>
      <c r="F12706" s="185"/>
      <c r="G12706" s="185"/>
      <c r="H12706" s="185"/>
      <c r="I12706" s="11"/>
    </row>
    <row r="12707" spans="1:12" ht="11.15" customHeight="1">
      <c r="A12707" s="29" t="s">
        <v>16832</v>
      </c>
      <c r="B12707" s="59" t="s">
        <v>22832</v>
      </c>
      <c r="C12707" s="147" t="s">
        <v>20221</v>
      </c>
      <c r="D12707" s="701" t="s">
        <v>1129</v>
      </c>
      <c r="E12707" s="178">
        <v>2019</v>
      </c>
      <c r="F12707" s="178" t="s">
        <v>23395</v>
      </c>
      <c r="G12707" s="496"/>
      <c r="H12707" s="994" t="s">
        <v>20221</v>
      </c>
      <c r="I12707" s="11" t="s">
        <v>16833</v>
      </c>
      <c r="J12707" s="1285"/>
      <c r="K12707" s="1285"/>
      <c r="L12707" s="1285"/>
    </row>
    <row r="12708" spans="1:12" ht="11.15" customHeight="1">
      <c r="A12708" s="29" t="s">
        <v>16834</v>
      </c>
      <c r="B12708" s="177" t="s">
        <v>9634</v>
      </c>
      <c r="C12708" s="147"/>
      <c r="D12708" s="161"/>
      <c r="E12708" s="36"/>
      <c r="F12708" s="178"/>
      <c r="G12708" s="430"/>
      <c r="H12708" s="36"/>
      <c r="I12708" s="11"/>
    </row>
    <row r="12709" spans="1:12" ht="11.15" customHeight="1">
      <c r="A12709" s="181" t="s">
        <v>16835</v>
      </c>
      <c r="B12709" s="59" t="s">
        <v>22834</v>
      </c>
      <c r="C12709" s="147" t="s">
        <v>20221</v>
      </c>
      <c r="D12709" s="284" t="s">
        <v>897</v>
      </c>
      <c r="E12709" s="178">
        <v>2021</v>
      </c>
      <c r="F12709" s="178" t="s">
        <v>23395</v>
      </c>
      <c r="G12709" s="496"/>
      <c r="H12709" s="994" t="s">
        <v>20224</v>
      </c>
      <c r="I12709" s="11" t="s">
        <v>16836</v>
      </c>
      <c r="J12709" s="1285"/>
      <c r="K12709" s="1285"/>
      <c r="L12709" s="1285"/>
    </row>
    <row r="12710" spans="1:12" ht="11.15" customHeight="1">
      <c r="A12710" s="129" t="s">
        <v>3659</v>
      </c>
      <c r="B12710" s="59" t="s">
        <v>22835</v>
      </c>
      <c r="C12710" s="147" t="s">
        <v>20221</v>
      </c>
      <c r="D12710" s="284" t="s">
        <v>897</v>
      </c>
      <c r="E12710" s="178">
        <v>2016</v>
      </c>
      <c r="F12710" s="178" t="s">
        <v>23395</v>
      </c>
      <c r="G12710" s="496"/>
      <c r="H12710" s="994" t="s">
        <v>20221</v>
      </c>
      <c r="I12710" s="11" t="s">
        <v>16837</v>
      </c>
      <c r="J12710" s="1285"/>
      <c r="K12710" s="1285"/>
      <c r="L12710" s="1285"/>
    </row>
    <row r="12711" spans="1:12" ht="11.15" customHeight="1">
      <c r="A12711" s="162" t="s">
        <v>16838</v>
      </c>
      <c r="B12711" s="59" t="s">
        <v>22835</v>
      </c>
      <c r="C12711" s="147" t="s">
        <v>20221</v>
      </c>
      <c r="D12711" s="284" t="s">
        <v>897</v>
      </c>
      <c r="E12711" s="178">
        <v>2015</v>
      </c>
      <c r="F12711" s="178" t="s">
        <v>23395</v>
      </c>
      <c r="G12711" s="496"/>
      <c r="H12711" s="994" t="s">
        <v>20221</v>
      </c>
      <c r="I12711" s="11" t="s">
        <v>16839</v>
      </c>
      <c r="J12711" s="1285"/>
      <c r="K12711" s="1285"/>
      <c r="L12711" s="1285"/>
    </row>
    <row r="12712" spans="1:12" ht="11.15" customHeight="1">
      <c r="A12712" s="162" t="s">
        <v>16840</v>
      </c>
      <c r="B12712" s="59" t="s">
        <v>22836</v>
      </c>
      <c r="C12712" s="147" t="s">
        <v>20221</v>
      </c>
      <c r="D12712" s="284" t="s">
        <v>897</v>
      </c>
      <c r="E12712" s="178">
        <v>2017</v>
      </c>
      <c r="F12712" s="178" t="s">
        <v>4520</v>
      </c>
      <c r="G12712" s="496"/>
      <c r="H12712" s="994" t="s">
        <v>20224</v>
      </c>
      <c r="I12712" s="11" t="s">
        <v>16841</v>
      </c>
      <c r="J12712" s="1285"/>
      <c r="K12712" s="1285"/>
      <c r="L12712" s="1285"/>
    </row>
    <row r="12713" spans="1:12" ht="11.15" customHeight="1">
      <c r="A12713" s="162" t="s">
        <v>16842</v>
      </c>
      <c r="B12713" s="59" t="s">
        <v>22836</v>
      </c>
      <c r="C12713" s="147" t="s">
        <v>20221</v>
      </c>
      <c r="D12713" s="284" t="s">
        <v>897</v>
      </c>
      <c r="E12713" s="178">
        <v>2015</v>
      </c>
      <c r="F12713" s="178" t="s">
        <v>4520</v>
      </c>
      <c r="G12713" s="496"/>
      <c r="H12713" s="994" t="s">
        <v>20224</v>
      </c>
      <c r="I12713" s="11" t="s">
        <v>16843</v>
      </c>
      <c r="J12713" s="1285"/>
      <c r="K12713" s="1285"/>
      <c r="L12713" s="1285"/>
    </row>
    <row r="12714" spans="1:12" ht="11.25" customHeight="1">
      <c r="A12714" s="162" t="s">
        <v>16844</v>
      </c>
      <c r="B12714" s="59" t="s">
        <v>22837</v>
      </c>
      <c r="C12714" s="147" t="s">
        <v>20221</v>
      </c>
      <c r="D12714" s="284" t="s">
        <v>897</v>
      </c>
      <c r="E12714" s="178">
        <v>2015</v>
      </c>
      <c r="F12714" s="178" t="s">
        <v>11931</v>
      </c>
      <c r="G12714" s="496"/>
      <c r="H12714" s="994" t="s">
        <v>20224</v>
      </c>
      <c r="I12714" s="11" t="s">
        <v>16845</v>
      </c>
      <c r="J12714" s="1285"/>
      <c r="K12714" s="1285"/>
      <c r="L12714" s="1285"/>
    </row>
    <row r="12715" spans="1:12" ht="11.25" customHeight="1">
      <c r="A12715" s="162" t="s">
        <v>16846</v>
      </c>
      <c r="B12715" s="185"/>
      <c r="C12715" s="147"/>
      <c r="D12715" s="185"/>
      <c r="E12715" s="185"/>
      <c r="F12715" s="185"/>
      <c r="G12715" s="185"/>
      <c r="H12715" s="185"/>
      <c r="I12715" s="11"/>
    </row>
    <row r="12716" spans="1:12" ht="11.25" customHeight="1">
      <c r="A12716" s="162" t="s">
        <v>16847</v>
      </c>
      <c r="B12716" s="185"/>
      <c r="C12716" s="147"/>
      <c r="D12716" s="185"/>
      <c r="E12716" s="185"/>
      <c r="F12716" s="185"/>
      <c r="G12716" s="185"/>
      <c r="H12716" s="185"/>
      <c r="I12716" s="11"/>
    </row>
    <row r="12717" spans="1:12" ht="11.15" customHeight="1">
      <c r="A12717" s="162" t="s">
        <v>16848</v>
      </c>
      <c r="B12717" s="185"/>
      <c r="C12717" s="147"/>
      <c r="D12717" s="185"/>
      <c r="E12717" s="185"/>
      <c r="F12717" s="185"/>
      <c r="G12717" s="185"/>
      <c r="H12717" s="185"/>
      <c r="I12717" s="11"/>
    </row>
    <row r="12718" spans="1:12" ht="11.15" customHeight="1">
      <c r="A12718" s="162" t="s">
        <v>3702</v>
      </c>
      <c r="B12718" s="185"/>
      <c r="C12718" s="147"/>
      <c r="D12718" s="185"/>
      <c r="E12718" s="185"/>
      <c r="F12718" s="185"/>
      <c r="G12718" s="185"/>
      <c r="H12718" s="185"/>
      <c r="I12718" s="11"/>
    </row>
    <row r="12719" spans="1:12" ht="11.15" customHeight="1">
      <c r="A12719" s="162" t="s">
        <v>16849</v>
      </c>
      <c r="B12719" s="185"/>
      <c r="C12719" s="147"/>
      <c r="D12719" s="185"/>
      <c r="E12719" s="185"/>
      <c r="F12719" s="185"/>
      <c r="G12719" s="185"/>
      <c r="H12719" s="185"/>
      <c r="I12719" s="11"/>
    </row>
    <row r="12720" spans="1:12" ht="11.15" customHeight="1">
      <c r="A12720" s="162" t="s">
        <v>16850</v>
      </c>
      <c r="B12720" s="185"/>
      <c r="C12720" s="147"/>
      <c r="D12720" s="185"/>
      <c r="E12720" s="185"/>
      <c r="F12720" s="185"/>
      <c r="G12720" s="185"/>
      <c r="H12720" s="185"/>
      <c r="I12720" s="11"/>
    </row>
    <row r="12721" spans="1:12" ht="11.15" customHeight="1">
      <c r="A12721" s="162" t="s">
        <v>16851</v>
      </c>
      <c r="B12721" s="185"/>
      <c r="C12721" s="147"/>
      <c r="D12721" s="185"/>
      <c r="E12721" s="185"/>
      <c r="F12721" s="185"/>
      <c r="G12721" s="185"/>
      <c r="H12721" s="185"/>
      <c r="I12721" s="11"/>
    </row>
    <row r="12722" spans="1:12" ht="11.15" customHeight="1">
      <c r="A12722" s="162" t="s">
        <v>16852</v>
      </c>
      <c r="B12722" s="185"/>
      <c r="C12722" s="147"/>
      <c r="D12722" s="185"/>
      <c r="E12722" s="185"/>
      <c r="F12722" s="185"/>
      <c r="G12722" s="185"/>
      <c r="H12722" s="185"/>
      <c r="I12722" s="11"/>
    </row>
    <row r="12723" spans="1:12" ht="11.15" customHeight="1">
      <c r="A12723" s="166" t="s">
        <v>16853</v>
      </c>
      <c r="B12723" s="185"/>
      <c r="C12723" s="147"/>
      <c r="D12723" s="185"/>
      <c r="E12723" s="185"/>
      <c r="F12723" s="185"/>
      <c r="G12723" s="185"/>
      <c r="H12723" s="185"/>
      <c r="I12723" s="11"/>
    </row>
    <row r="12724" spans="1:12" ht="11.15" customHeight="1">
      <c r="A12724" s="129" t="s">
        <v>16854</v>
      </c>
      <c r="B12724" s="185"/>
      <c r="C12724" s="147"/>
      <c r="D12724" s="161"/>
      <c r="E12724" s="36"/>
      <c r="F12724" s="183"/>
      <c r="G12724" s="1181"/>
      <c r="H12724" s="34"/>
      <c r="I12724" s="11"/>
    </row>
    <row r="12725" spans="1:12" ht="11.15" customHeight="1">
      <c r="A12725" s="129" t="s">
        <v>16855</v>
      </c>
      <c r="B12725" s="517"/>
      <c r="C12725" s="147"/>
      <c r="D12725" s="161"/>
      <c r="E12725" s="36"/>
      <c r="F12725" s="178"/>
      <c r="G12725" s="671"/>
      <c r="H12725" s="36"/>
      <c r="I12725" s="11"/>
    </row>
    <row r="12726" spans="1:12" ht="11.15" customHeight="1" thickBot="1">
      <c r="A12726" s="29"/>
      <c r="B12726" s="185"/>
      <c r="C12726" s="147"/>
      <c r="D12726" s="161"/>
      <c r="E12726" s="36"/>
      <c r="F12726" s="183"/>
      <c r="G12726" s="1181"/>
      <c r="H12726" s="34"/>
      <c r="I12726" s="11"/>
    </row>
    <row r="12727" spans="1:12" ht="24" customHeight="1" thickBot="1">
      <c r="A12727" s="768"/>
      <c r="B12727" s="64" t="s">
        <v>16856</v>
      </c>
      <c r="C12727" s="170"/>
      <c r="D12727" s="382"/>
      <c r="E12727" s="235"/>
      <c r="F12727" s="383"/>
      <c r="G12727" s="1080"/>
      <c r="H12727" s="511"/>
      <c r="I12727" s="11"/>
    </row>
    <row r="12728" spans="1:12" ht="11.15" customHeight="1" thickBot="1">
      <c r="A12728" s="769" t="s">
        <v>16857</v>
      </c>
      <c r="B12728" s="154" t="s">
        <v>9612</v>
      </c>
      <c r="C12728" s="590"/>
      <c r="D12728" s="590"/>
      <c r="E12728" s="178"/>
      <c r="F12728" s="178"/>
      <c r="G12728" s="60"/>
      <c r="H12728" s="178"/>
      <c r="I12728" s="11"/>
    </row>
    <row r="12729" spans="1:12" ht="11.15" customHeight="1">
      <c r="A12729" s="29" t="s">
        <v>16858</v>
      </c>
      <c r="B12729" s="59" t="s">
        <v>22838</v>
      </c>
      <c r="C12729" s="147" t="s">
        <v>20221</v>
      </c>
      <c r="D12729" s="701" t="s">
        <v>1129</v>
      </c>
      <c r="E12729" s="178">
        <v>2023</v>
      </c>
      <c r="F12729" s="178" t="s">
        <v>23395</v>
      </c>
      <c r="G12729" s="496"/>
      <c r="H12729" s="994" t="s">
        <v>20221</v>
      </c>
      <c r="I12729" s="11" t="s">
        <v>16859</v>
      </c>
      <c r="J12729" s="1285"/>
      <c r="K12729" s="1285"/>
      <c r="L12729" s="1285"/>
    </row>
    <row r="12730" spans="1:12" ht="11.15" customHeight="1">
      <c r="A12730" s="29" t="s">
        <v>16860</v>
      </c>
      <c r="B12730" s="59" t="s">
        <v>22839</v>
      </c>
      <c r="C12730" s="147" t="s">
        <v>20221</v>
      </c>
      <c r="D12730" s="701" t="s">
        <v>1129</v>
      </c>
      <c r="E12730" s="178">
        <v>2022</v>
      </c>
      <c r="F12730" s="178" t="s">
        <v>4520</v>
      </c>
      <c r="G12730" s="496"/>
      <c r="H12730" s="994" t="s">
        <v>20224</v>
      </c>
      <c r="I12730" s="11" t="s">
        <v>16861</v>
      </c>
      <c r="J12730" s="1285"/>
      <c r="K12730" s="1285"/>
      <c r="L12730" s="1285"/>
    </row>
    <row r="12731" spans="1:12" ht="11.15" customHeight="1">
      <c r="A12731" s="29" t="s">
        <v>16862</v>
      </c>
      <c r="B12731" s="59" t="s">
        <v>22840</v>
      </c>
      <c r="C12731" s="147" t="s">
        <v>20221</v>
      </c>
      <c r="D12731" s="701" t="s">
        <v>1129</v>
      </c>
      <c r="E12731" s="178">
        <v>2022</v>
      </c>
      <c r="F12731" s="178" t="s">
        <v>4520</v>
      </c>
      <c r="G12731" s="496"/>
      <c r="H12731" s="994" t="s">
        <v>20221</v>
      </c>
      <c r="I12731" s="11" t="s">
        <v>16863</v>
      </c>
      <c r="J12731" s="1285"/>
      <c r="K12731" s="1285"/>
      <c r="L12731" s="1285"/>
    </row>
    <row r="12732" spans="1:12" ht="11.15" customHeight="1">
      <c r="A12732" s="104" t="s">
        <v>16864</v>
      </c>
      <c r="B12732" s="154" t="s">
        <v>9634</v>
      </c>
      <c r="C12732" s="147"/>
      <c r="D12732" s="161"/>
      <c r="E12732" s="36"/>
      <c r="F12732" s="183"/>
      <c r="G12732" s="1181"/>
      <c r="H12732" s="34"/>
      <c r="I12732" s="11"/>
    </row>
    <row r="12733" spans="1:12" ht="11.15" customHeight="1">
      <c r="A12733" s="29" t="s">
        <v>16865</v>
      </c>
      <c r="B12733" s="59" t="s">
        <v>22841</v>
      </c>
      <c r="C12733" s="147" t="s">
        <v>20221</v>
      </c>
      <c r="D12733" s="284" t="s">
        <v>897</v>
      </c>
      <c r="E12733" s="178">
        <v>2022</v>
      </c>
      <c r="F12733" s="178" t="s">
        <v>23395</v>
      </c>
      <c r="G12733" s="496"/>
      <c r="H12733" s="994" t="s">
        <v>20221</v>
      </c>
      <c r="I12733" s="11" t="s">
        <v>16866</v>
      </c>
      <c r="J12733" s="1285"/>
      <c r="K12733" s="1285"/>
      <c r="L12733" s="1285"/>
    </row>
    <row r="12734" spans="1:12" ht="11.15" customHeight="1">
      <c r="A12734" s="181" t="s">
        <v>16867</v>
      </c>
      <c r="B12734" s="59" t="s">
        <v>22842</v>
      </c>
      <c r="C12734" s="147" t="s">
        <v>20221</v>
      </c>
      <c r="D12734" s="284" t="s">
        <v>897</v>
      </c>
      <c r="E12734" s="178">
        <v>2022</v>
      </c>
      <c r="F12734" s="178" t="s">
        <v>23395</v>
      </c>
      <c r="G12734" s="496"/>
      <c r="H12734" s="994" t="s">
        <v>20221</v>
      </c>
      <c r="I12734" s="11" t="s">
        <v>16868</v>
      </c>
      <c r="J12734" s="1285"/>
      <c r="K12734" s="1285"/>
      <c r="L12734" s="1285"/>
    </row>
    <row r="12735" spans="1:12" ht="11.15" customHeight="1">
      <c r="A12735" s="181" t="s">
        <v>16869</v>
      </c>
      <c r="B12735" s="59" t="s">
        <v>22843</v>
      </c>
      <c r="C12735" s="147" t="s">
        <v>20221</v>
      </c>
      <c r="D12735" s="284" t="s">
        <v>897</v>
      </c>
      <c r="E12735" s="178">
        <v>2022</v>
      </c>
      <c r="F12735" s="178" t="s">
        <v>23395</v>
      </c>
      <c r="G12735" s="496"/>
      <c r="H12735" s="994" t="s">
        <v>20221</v>
      </c>
      <c r="I12735" s="11" t="s">
        <v>16870</v>
      </c>
      <c r="J12735" s="1285"/>
      <c r="K12735" s="1285"/>
      <c r="L12735" s="1285"/>
    </row>
    <row r="12736" spans="1:12" ht="11.15" customHeight="1">
      <c r="A12736" s="770" t="s">
        <v>2047</v>
      </c>
      <c r="B12736" s="59" t="s">
        <v>22844</v>
      </c>
      <c r="C12736" s="147" t="s">
        <v>20221</v>
      </c>
      <c r="D12736" s="284" t="s">
        <v>897</v>
      </c>
      <c r="E12736" s="178">
        <v>2022</v>
      </c>
      <c r="F12736" s="178" t="s">
        <v>23395</v>
      </c>
      <c r="G12736" s="496"/>
      <c r="H12736" s="994" t="s">
        <v>20221</v>
      </c>
      <c r="I12736" s="11" t="s">
        <v>16871</v>
      </c>
      <c r="J12736" s="1285"/>
      <c r="K12736" s="1285"/>
      <c r="L12736" s="1285"/>
    </row>
    <row r="12737" spans="1:12" ht="11.15" customHeight="1">
      <c r="A12737" s="29" t="s">
        <v>16872</v>
      </c>
      <c r="B12737" s="59" t="s">
        <v>22845</v>
      </c>
      <c r="C12737" s="147" t="s">
        <v>20221</v>
      </c>
      <c r="D12737" s="284" t="s">
        <v>897</v>
      </c>
      <c r="E12737" s="178">
        <v>2021</v>
      </c>
      <c r="F12737" s="178" t="s">
        <v>4520</v>
      </c>
      <c r="G12737" s="496"/>
      <c r="H12737" s="994" t="s">
        <v>20221</v>
      </c>
      <c r="I12737" s="11" t="s">
        <v>16873</v>
      </c>
      <c r="J12737" s="1285"/>
      <c r="K12737" s="1285"/>
      <c r="L12737" s="1285"/>
    </row>
    <row r="12738" spans="1:12" ht="11.15" customHeight="1">
      <c r="A12738" s="29" t="s">
        <v>16874</v>
      </c>
      <c r="B12738" s="90"/>
      <c r="C12738" s="147"/>
      <c r="D12738" s="161"/>
      <c r="E12738" s="36"/>
      <c r="F12738" s="178"/>
      <c r="G12738" s="496"/>
      <c r="H12738" s="36"/>
      <c r="I12738" s="11"/>
    </row>
    <row r="12739" spans="1:12" ht="11.15" customHeight="1">
      <c r="A12739" s="29" t="s">
        <v>16875</v>
      </c>
      <c r="B12739" s="90"/>
      <c r="C12739" s="147"/>
      <c r="D12739" s="161"/>
      <c r="E12739" s="36"/>
      <c r="F12739" s="178"/>
      <c r="G12739" s="496"/>
      <c r="H12739" s="36"/>
      <c r="I12739" s="11"/>
    </row>
    <row r="12740" spans="1:12" ht="11.15" customHeight="1">
      <c r="A12740" s="29" t="s">
        <v>16876</v>
      </c>
      <c r="B12740" s="90"/>
      <c r="C12740" s="147"/>
      <c r="D12740" s="161"/>
      <c r="E12740" s="36"/>
      <c r="F12740" s="178"/>
      <c r="G12740" s="496"/>
      <c r="H12740" s="36"/>
      <c r="I12740" s="11"/>
    </row>
    <row r="12741" spans="1:12" ht="11.15" customHeight="1">
      <c r="A12741" s="29" t="s">
        <v>16877</v>
      </c>
      <c r="B12741" s="90"/>
      <c r="C12741" s="147"/>
      <c r="D12741" s="161"/>
      <c r="E12741" s="36"/>
      <c r="F12741" s="178"/>
      <c r="G12741" s="496"/>
      <c r="H12741" s="36"/>
      <c r="I12741" s="11"/>
    </row>
    <row r="12742" spans="1:12" ht="11.15" customHeight="1">
      <c r="A12742" s="770" t="s">
        <v>16878</v>
      </c>
      <c r="B12742" s="90"/>
      <c r="C12742" s="147"/>
      <c r="D12742" s="161"/>
      <c r="E12742" s="36"/>
      <c r="F12742" s="178"/>
      <c r="G12742" s="496"/>
      <c r="H12742" s="36"/>
      <c r="I12742" s="11"/>
    </row>
    <row r="12743" spans="1:12" ht="9" customHeight="1">
      <c r="A12743" s="162" t="s">
        <v>16879</v>
      </c>
      <c r="B12743" s="90"/>
      <c r="C12743" s="147"/>
      <c r="D12743" s="161"/>
      <c r="E12743" s="36"/>
      <c r="F12743" s="178"/>
      <c r="G12743" s="496"/>
      <c r="H12743" s="36"/>
      <c r="I12743" s="11"/>
    </row>
    <row r="12744" spans="1:12" ht="9" customHeight="1">
      <c r="A12744" s="162" t="s">
        <v>16880</v>
      </c>
      <c r="B12744" s="90"/>
      <c r="C12744" s="147"/>
      <c r="D12744" s="161"/>
      <c r="E12744" s="36"/>
      <c r="F12744" s="178"/>
      <c r="G12744" s="496"/>
      <c r="H12744" s="36"/>
      <c r="I12744" s="11"/>
    </row>
    <row r="12745" spans="1:12" ht="9" customHeight="1">
      <c r="A12745" s="162" t="s">
        <v>16881</v>
      </c>
      <c r="B12745" s="90"/>
      <c r="C12745" s="147"/>
      <c r="D12745" s="161"/>
      <c r="E12745" s="36"/>
      <c r="F12745" s="178"/>
      <c r="G12745" s="496"/>
      <c r="H12745" s="36"/>
      <c r="I12745" s="11"/>
    </row>
    <row r="12746" spans="1:12" ht="9" customHeight="1">
      <c r="A12746" s="162" t="s">
        <v>16882</v>
      </c>
      <c r="B12746" s="90"/>
      <c r="C12746" s="147"/>
      <c r="D12746" s="161"/>
      <c r="E12746" s="36"/>
      <c r="F12746" s="178"/>
      <c r="G12746" s="496"/>
      <c r="H12746" s="36"/>
      <c r="I12746" s="11"/>
    </row>
    <row r="12747" spans="1:12" ht="9" customHeight="1">
      <c r="A12747" s="162" t="s">
        <v>16883</v>
      </c>
      <c r="B12747" s="90"/>
      <c r="C12747" s="147"/>
      <c r="D12747" s="161"/>
      <c r="E12747" s="36"/>
      <c r="F12747" s="178"/>
      <c r="G12747" s="496"/>
      <c r="H12747" s="36"/>
      <c r="I12747" s="11"/>
    </row>
    <row r="12748" spans="1:12" ht="11.15" customHeight="1">
      <c r="A12748" s="770" t="s">
        <v>16884</v>
      </c>
      <c r="B12748" s="209"/>
      <c r="C12748" s="147"/>
      <c r="D12748" s="161"/>
      <c r="E12748" s="36"/>
      <c r="F12748" s="183"/>
      <c r="G12748" s="1181"/>
      <c r="H12748" s="34"/>
      <c r="I12748" s="11"/>
    </row>
    <row r="12749" spans="1:12" ht="11.15" customHeight="1">
      <c r="A12749" s="162" t="s">
        <v>16885</v>
      </c>
      <c r="B12749" s="209"/>
      <c r="C12749" s="147"/>
      <c r="D12749" s="161"/>
      <c r="E12749" s="36"/>
      <c r="F12749" s="183"/>
      <c r="G12749" s="1181"/>
      <c r="H12749" s="34"/>
      <c r="I12749" s="11"/>
    </row>
    <row r="12750" spans="1:12" ht="11.15" customHeight="1">
      <c r="A12750" s="162" t="s">
        <v>16886</v>
      </c>
      <c r="B12750" s="209"/>
      <c r="C12750" s="147"/>
      <c r="D12750" s="161"/>
      <c r="E12750" s="36"/>
      <c r="F12750" s="183"/>
      <c r="G12750" s="1181"/>
      <c r="H12750" s="34"/>
      <c r="I12750" s="11"/>
    </row>
    <row r="12751" spans="1:12" ht="11.15" customHeight="1">
      <c r="A12751" s="162" t="s">
        <v>16887</v>
      </c>
      <c r="B12751" s="209"/>
      <c r="C12751" s="147"/>
      <c r="D12751" s="161"/>
      <c r="E12751" s="36"/>
      <c r="F12751" s="183"/>
      <c r="G12751" s="1181"/>
      <c r="H12751" s="34"/>
      <c r="I12751" s="11"/>
    </row>
    <row r="12752" spans="1:12" ht="11.15" customHeight="1">
      <c r="A12752" s="162" t="s">
        <v>16888</v>
      </c>
      <c r="B12752" s="209"/>
      <c r="C12752" s="147"/>
      <c r="D12752" s="161"/>
      <c r="E12752" s="36"/>
      <c r="F12752" s="183"/>
      <c r="G12752" s="1181"/>
      <c r="H12752" s="34"/>
      <c r="I12752" s="11"/>
    </row>
    <row r="12753" spans="1:9" ht="11.15" customHeight="1">
      <c r="A12753" s="162" t="s">
        <v>16889</v>
      </c>
      <c r="B12753" s="209"/>
      <c r="C12753" s="147"/>
      <c r="D12753" s="161"/>
      <c r="E12753" s="36"/>
      <c r="F12753" s="183"/>
      <c r="G12753" s="1181"/>
      <c r="H12753" s="34"/>
      <c r="I12753" s="11"/>
    </row>
    <row r="12754" spans="1:9" ht="11.15" customHeight="1">
      <c r="A12754" s="162" t="s">
        <v>16890</v>
      </c>
      <c r="B12754" s="209"/>
      <c r="C12754" s="147"/>
      <c r="D12754" s="161"/>
      <c r="E12754" s="36"/>
      <c r="F12754" s="183"/>
      <c r="G12754" s="1181"/>
      <c r="H12754" s="34"/>
      <c r="I12754" s="11"/>
    </row>
    <row r="12755" spans="1:9" ht="11.15" customHeight="1">
      <c r="A12755" s="162" t="s">
        <v>16891</v>
      </c>
      <c r="B12755" s="209"/>
      <c r="C12755" s="147"/>
      <c r="D12755" s="161"/>
      <c r="E12755" s="36"/>
      <c r="F12755" s="183"/>
      <c r="G12755" s="1181"/>
      <c r="H12755" s="34"/>
      <c r="I12755" s="11"/>
    </row>
    <row r="12756" spans="1:9" ht="11.15" customHeight="1">
      <c r="A12756" s="162" t="s">
        <v>16892</v>
      </c>
      <c r="B12756" s="209"/>
      <c r="C12756" s="147"/>
      <c r="D12756" s="161"/>
      <c r="E12756" s="36"/>
      <c r="F12756" s="183"/>
      <c r="G12756" s="1181"/>
      <c r="H12756" s="34"/>
      <c r="I12756" s="11"/>
    </row>
    <row r="12757" spans="1:9" ht="11.15" customHeight="1">
      <c r="A12757" s="162" t="s">
        <v>16893</v>
      </c>
      <c r="B12757" s="209"/>
      <c r="C12757" s="147"/>
      <c r="D12757" s="161"/>
      <c r="E12757" s="36"/>
      <c r="F12757" s="183"/>
      <c r="G12757" s="1181"/>
      <c r="H12757" s="34"/>
      <c r="I12757" s="11"/>
    </row>
    <row r="12758" spans="1:9" ht="11.15" customHeight="1">
      <c r="A12758" s="770" t="s">
        <v>1077</v>
      </c>
      <c r="B12758" s="90"/>
      <c r="C12758" s="147"/>
      <c r="D12758" s="161"/>
      <c r="E12758" s="36"/>
      <c r="F12758" s="178"/>
      <c r="G12758" s="496"/>
      <c r="H12758" s="36"/>
      <c r="I12758" s="11"/>
    </row>
    <row r="12759" spans="1:9" ht="9" customHeight="1">
      <c r="A12759" s="162" t="s">
        <v>16894</v>
      </c>
      <c r="B12759" s="90"/>
      <c r="C12759" s="147"/>
      <c r="D12759" s="161"/>
      <c r="E12759" s="36"/>
      <c r="F12759" s="178"/>
      <c r="G12759" s="496"/>
      <c r="H12759" s="36"/>
      <c r="I12759" s="11"/>
    </row>
    <row r="12760" spans="1:9" ht="9" customHeight="1">
      <c r="A12760" s="162" t="s">
        <v>16895</v>
      </c>
      <c r="B12760" s="90"/>
      <c r="C12760" s="147"/>
      <c r="D12760" s="161"/>
      <c r="E12760" s="36"/>
      <c r="F12760" s="178"/>
      <c r="G12760" s="496"/>
      <c r="H12760" s="36"/>
      <c r="I12760" s="11"/>
    </row>
    <row r="12761" spans="1:9" ht="9" customHeight="1">
      <c r="A12761" s="162" t="s">
        <v>16896</v>
      </c>
      <c r="B12761" s="90"/>
      <c r="C12761" s="147"/>
      <c r="D12761" s="161"/>
      <c r="E12761" s="36"/>
      <c r="F12761" s="178"/>
      <c r="G12761" s="496"/>
      <c r="H12761" s="36"/>
      <c r="I12761" s="11"/>
    </row>
    <row r="12762" spans="1:9" ht="9" customHeight="1">
      <c r="A12762" s="162" t="s">
        <v>16897</v>
      </c>
      <c r="B12762" s="589"/>
      <c r="C12762" s="147"/>
      <c r="D12762" s="161"/>
      <c r="E12762" s="36"/>
      <c r="F12762" s="183"/>
      <c r="G12762" s="60"/>
      <c r="H12762" s="34"/>
      <c r="I12762" s="11"/>
    </row>
    <row r="12763" spans="1:9" ht="9" customHeight="1">
      <c r="A12763" s="162" t="s">
        <v>16898</v>
      </c>
      <c r="B12763" s="90"/>
      <c r="C12763" s="147"/>
      <c r="D12763" s="161"/>
      <c r="E12763" s="36"/>
      <c r="F12763" s="178"/>
      <c r="G12763" s="496"/>
      <c r="H12763" s="36"/>
      <c r="I12763" s="11"/>
    </row>
    <row r="12764" spans="1:9" ht="9" customHeight="1">
      <c r="A12764" s="162" t="s">
        <v>16899</v>
      </c>
      <c r="B12764" s="209"/>
      <c r="C12764" s="147"/>
      <c r="D12764" s="161"/>
      <c r="E12764" s="36"/>
      <c r="F12764" s="183"/>
      <c r="G12764" s="1181"/>
      <c r="H12764" s="34"/>
      <c r="I12764" s="11"/>
    </row>
    <row r="12765" spans="1:9" ht="9" customHeight="1">
      <c r="A12765" s="162" t="s">
        <v>16900</v>
      </c>
      <c r="B12765" s="209"/>
      <c r="C12765" s="147"/>
      <c r="D12765" s="161"/>
      <c r="E12765" s="36"/>
      <c r="F12765" s="183"/>
      <c r="G12765" s="1181"/>
      <c r="H12765" s="34"/>
      <c r="I12765" s="11"/>
    </row>
    <row r="12766" spans="1:9" ht="9" customHeight="1">
      <c r="A12766" s="162" t="s">
        <v>16901</v>
      </c>
      <c r="B12766" s="209"/>
      <c r="C12766" s="147"/>
      <c r="D12766" s="161"/>
      <c r="E12766" s="36"/>
      <c r="F12766" s="183"/>
      <c r="G12766" s="1181"/>
      <c r="H12766" s="34"/>
      <c r="I12766" s="11"/>
    </row>
    <row r="12767" spans="1:9" ht="9" customHeight="1">
      <c r="A12767" s="162" t="s">
        <v>16902</v>
      </c>
      <c r="B12767" s="209"/>
      <c r="C12767" s="147"/>
      <c r="D12767" s="161"/>
      <c r="E12767" s="36"/>
      <c r="F12767" s="183"/>
      <c r="G12767" s="1181"/>
      <c r="H12767" s="34"/>
      <c r="I12767" s="11"/>
    </row>
    <row r="12768" spans="1:9" ht="9" customHeight="1">
      <c r="A12768" s="162" t="s">
        <v>16903</v>
      </c>
      <c r="B12768" s="209"/>
      <c r="C12768" s="147"/>
      <c r="D12768" s="161"/>
      <c r="E12768" s="36"/>
      <c r="F12768" s="183"/>
      <c r="G12768" s="1181"/>
      <c r="H12768" s="34"/>
      <c r="I12768" s="11"/>
    </row>
    <row r="12769" spans="1:9" ht="9" customHeight="1">
      <c r="A12769" s="162" t="s">
        <v>16904</v>
      </c>
      <c r="B12769" s="209"/>
      <c r="C12769" s="147"/>
      <c r="D12769" s="161"/>
      <c r="E12769" s="36"/>
      <c r="F12769" s="183"/>
      <c r="G12769" s="1181"/>
      <c r="H12769" s="34"/>
      <c r="I12769" s="11"/>
    </row>
    <row r="12770" spans="1:9" ht="11.15" customHeight="1">
      <c r="A12770" s="771" t="s">
        <v>16905</v>
      </c>
      <c r="B12770" s="209"/>
      <c r="C12770" s="147"/>
      <c r="D12770" s="161"/>
      <c r="E12770" s="36"/>
      <c r="F12770" s="183"/>
      <c r="G12770" s="1181"/>
      <c r="H12770" s="34"/>
      <c r="I12770" s="11"/>
    </row>
    <row r="12771" spans="1:9" ht="11.15" customHeight="1">
      <c r="A12771" s="771" t="s">
        <v>16906</v>
      </c>
      <c r="B12771" s="209"/>
      <c r="C12771" s="147"/>
      <c r="D12771" s="161"/>
      <c r="E12771" s="36"/>
      <c r="F12771" s="183"/>
      <c r="G12771" s="1181"/>
      <c r="H12771" s="34"/>
      <c r="I12771" s="11"/>
    </row>
    <row r="12772" spans="1:9" ht="11.15" customHeight="1">
      <c r="A12772" s="771" t="s">
        <v>16907</v>
      </c>
      <c r="B12772" s="209"/>
      <c r="C12772" s="147"/>
      <c r="D12772" s="161"/>
      <c r="E12772" s="36"/>
      <c r="F12772" s="183"/>
      <c r="G12772" s="1181"/>
      <c r="H12772" s="34"/>
      <c r="I12772" s="11"/>
    </row>
    <row r="12773" spans="1:9" ht="11.15" customHeight="1">
      <c r="A12773" s="129" t="s">
        <v>16908</v>
      </c>
      <c r="B12773" s="185"/>
      <c r="C12773" s="147"/>
      <c r="D12773" s="185"/>
      <c r="E12773" s="185"/>
      <c r="F12773" s="185"/>
      <c r="G12773" s="185"/>
      <c r="H12773" s="185"/>
      <c r="I12773" s="11"/>
    </row>
    <row r="12774" spans="1:9" ht="11.15" customHeight="1">
      <c r="A12774" s="588" t="s">
        <v>4132</v>
      </c>
      <c r="B12774" s="209"/>
      <c r="C12774" s="147"/>
      <c r="D12774" s="161"/>
      <c r="E12774" s="36"/>
      <c r="F12774" s="183"/>
      <c r="G12774" s="1181"/>
      <c r="H12774" s="34"/>
      <c r="I12774" s="11"/>
    </row>
    <row r="12775" spans="1:9" ht="11.15" customHeight="1" thickBot="1">
      <c r="A12775" s="588"/>
      <c r="B12775" s="209"/>
      <c r="C12775" s="147"/>
      <c r="D12775" s="161"/>
      <c r="E12775" s="36"/>
      <c r="F12775" s="183"/>
      <c r="G12775" s="1181"/>
      <c r="H12775" s="34"/>
      <c r="I12775" s="11"/>
    </row>
    <row r="12776" spans="1:9" ht="24" customHeight="1" thickBot="1">
      <c r="A12776" s="764"/>
      <c r="B12776" s="64" t="s">
        <v>16909</v>
      </c>
      <c r="C12776" s="170"/>
      <c r="D12776" s="382"/>
      <c r="E12776" s="235"/>
      <c r="F12776" s="383"/>
      <c r="G12776" s="1080"/>
      <c r="H12776" s="511"/>
      <c r="I12776" s="11"/>
    </row>
    <row r="12777" spans="1:9" ht="11.15" customHeight="1">
      <c r="A12777" s="29"/>
      <c r="B12777" s="413" t="s">
        <v>16910</v>
      </c>
      <c r="C12777" s="147"/>
      <c r="D12777" s="161"/>
      <c r="E12777" s="36"/>
      <c r="F12777" s="183"/>
      <c r="G12777" s="1181"/>
      <c r="H12777" s="34"/>
      <c r="I12777" s="11"/>
    </row>
    <row r="12778" spans="1:9" ht="9" customHeight="1">
      <c r="A12778" s="29"/>
      <c r="B12778" s="216" t="s">
        <v>16911</v>
      </c>
      <c r="C12778" s="147"/>
      <c r="D12778" s="161"/>
      <c r="E12778" s="36"/>
      <c r="F12778" s="183"/>
      <c r="G12778" s="1181"/>
      <c r="H12778" s="34"/>
      <c r="I12778" s="11"/>
    </row>
    <row r="12779" spans="1:9" ht="9" customHeight="1">
      <c r="A12779" s="29"/>
      <c r="B12779" s="209" t="s">
        <v>16912</v>
      </c>
      <c r="C12779" s="147"/>
      <c r="D12779" s="161"/>
      <c r="E12779" s="36"/>
      <c r="F12779" s="183"/>
      <c r="G12779" s="1181"/>
      <c r="H12779" s="34"/>
      <c r="I12779" s="11"/>
    </row>
    <row r="12780" spans="1:9" ht="9" customHeight="1">
      <c r="A12780" s="29"/>
      <c r="B12780" s="209" t="s">
        <v>16913</v>
      </c>
      <c r="C12780" s="147"/>
      <c r="D12780" s="161"/>
      <c r="E12780" s="36"/>
      <c r="F12780" s="183"/>
      <c r="G12780" s="1181"/>
      <c r="H12780" s="34"/>
      <c r="I12780" s="11"/>
    </row>
    <row r="12781" spans="1:9" ht="9" customHeight="1">
      <c r="A12781" s="29"/>
      <c r="B12781" s="209" t="s">
        <v>16914</v>
      </c>
      <c r="C12781" s="147"/>
      <c r="D12781" s="161"/>
      <c r="E12781" s="36"/>
      <c r="F12781" s="183"/>
      <c r="G12781" s="1181"/>
      <c r="H12781" s="34"/>
      <c r="I12781" s="11"/>
    </row>
    <row r="12782" spans="1:9" ht="9" customHeight="1">
      <c r="A12782" s="229"/>
      <c r="B12782" s="150" t="s">
        <v>16915</v>
      </c>
      <c r="C12782" s="147"/>
      <c r="D12782" s="161"/>
      <c r="E12782" s="36"/>
      <c r="F12782" s="183"/>
      <c r="G12782" s="1181"/>
      <c r="H12782" s="34"/>
      <c r="I12782" s="11"/>
    </row>
    <row r="12783" spans="1:9" ht="9" customHeight="1">
      <c r="A12783" s="29"/>
      <c r="B12783" s="150" t="s">
        <v>16916</v>
      </c>
      <c r="C12783" s="147"/>
      <c r="D12783" s="161"/>
      <c r="E12783" s="36"/>
      <c r="F12783" s="183"/>
      <c r="G12783" s="1181"/>
      <c r="H12783" s="34"/>
      <c r="I12783" s="11"/>
    </row>
    <row r="12784" spans="1:9" ht="9" customHeight="1">
      <c r="A12784" s="29"/>
      <c r="B12784" s="150" t="s">
        <v>16917</v>
      </c>
      <c r="C12784" s="147"/>
      <c r="D12784" s="161"/>
      <c r="E12784" s="36"/>
      <c r="F12784" s="183"/>
      <c r="G12784" s="1181"/>
      <c r="H12784" s="34"/>
      <c r="I12784" s="11"/>
    </row>
    <row r="12785" spans="1:12" ht="9" customHeight="1">
      <c r="A12785" s="185"/>
      <c r="B12785" s="152" t="s">
        <v>16918</v>
      </c>
      <c r="C12785" s="147"/>
      <c r="D12785" s="161"/>
      <c r="E12785" s="36"/>
      <c r="F12785" s="183"/>
      <c r="G12785" s="1181"/>
      <c r="H12785" s="34"/>
      <c r="I12785" s="11"/>
    </row>
    <row r="12786" spans="1:12" ht="9" customHeight="1">
      <c r="A12786" s="185"/>
      <c r="B12786" s="150" t="s">
        <v>16919</v>
      </c>
      <c r="C12786" s="147"/>
      <c r="D12786" s="161"/>
      <c r="E12786" s="36"/>
      <c r="F12786" s="183"/>
      <c r="G12786" s="1181"/>
      <c r="H12786" s="34"/>
      <c r="I12786" s="11"/>
    </row>
    <row r="12787" spans="1:12" ht="9" customHeight="1">
      <c r="A12787" s="181"/>
      <c r="B12787" s="765" t="s">
        <v>16920</v>
      </c>
      <c r="C12787" s="147"/>
      <c r="D12787" s="161"/>
      <c r="E12787" s="36"/>
      <c r="F12787" s="178"/>
      <c r="G12787" s="671"/>
      <c r="H12787" s="36"/>
      <c r="I12787" s="11"/>
    </row>
    <row r="12788" spans="1:12" ht="9" customHeight="1">
      <c r="A12788" s="181"/>
      <c r="B12788" s="765" t="s">
        <v>16921</v>
      </c>
      <c r="C12788" s="147"/>
      <c r="D12788" s="161"/>
      <c r="E12788" s="36"/>
      <c r="F12788" s="178"/>
      <c r="G12788" s="671"/>
      <c r="H12788" s="36"/>
      <c r="I12788" s="11"/>
    </row>
    <row r="12789" spans="1:12" ht="9" customHeight="1">
      <c r="A12789" s="181"/>
      <c r="B12789" s="765" t="s">
        <v>16922</v>
      </c>
      <c r="C12789" s="147"/>
      <c r="D12789" s="161"/>
      <c r="E12789" s="36"/>
      <c r="F12789" s="178"/>
      <c r="G12789" s="671"/>
      <c r="H12789" s="36"/>
      <c r="I12789" s="11"/>
    </row>
    <row r="12790" spans="1:12" ht="9" customHeight="1">
      <c r="A12790" s="29"/>
      <c r="B12790" s="150" t="s">
        <v>16923</v>
      </c>
      <c r="C12790" s="147"/>
      <c r="D12790" s="161"/>
      <c r="E12790" s="36"/>
      <c r="F12790" s="183"/>
      <c r="G12790" s="1181"/>
      <c r="H12790" s="34"/>
      <c r="I12790" s="11"/>
    </row>
    <row r="12791" spans="1:12" ht="9" customHeight="1" thickBot="1">
      <c r="A12791" s="29"/>
      <c r="B12791" s="150" t="s">
        <v>16924</v>
      </c>
      <c r="C12791" s="147"/>
      <c r="D12791" s="161"/>
      <c r="E12791" s="36"/>
      <c r="F12791" s="183"/>
      <c r="G12791" s="1181"/>
      <c r="H12791" s="34"/>
      <c r="I12791" s="11"/>
    </row>
    <row r="12792" spans="1:12" ht="11.15" customHeight="1" thickBot="1">
      <c r="A12792" s="184" t="s">
        <v>16925</v>
      </c>
      <c r="B12792" s="766" t="s">
        <v>9612</v>
      </c>
      <c r="C12792" s="147"/>
      <c r="D12792" s="161"/>
      <c r="E12792" s="36"/>
      <c r="F12792" s="178"/>
      <c r="G12792" s="496"/>
      <c r="H12792" s="36"/>
      <c r="I12792" s="11"/>
    </row>
    <row r="12793" spans="1:12" ht="11.15" customHeight="1">
      <c r="A12793" s="29" t="s">
        <v>16926</v>
      </c>
      <c r="B12793" s="59" t="s">
        <v>22846</v>
      </c>
      <c r="C12793" s="147" t="s">
        <v>20221</v>
      </c>
      <c r="D12793" s="701" t="s">
        <v>1129</v>
      </c>
      <c r="E12793" s="178">
        <v>2019</v>
      </c>
      <c r="F12793" s="178" t="s">
        <v>4520</v>
      </c>
      <c r="G12793" s="496"/>
      <c r="H12793" s="994" t="s">
        <v>20221</v>
      </c>
      <c r="I12793" s="11" t="s">
        <v>16927</v>
      </c>
      <c r="J12793" s="1285"/>
      <c r="K12793" s="1285"/>
      <c r="L12793" s="1285"/>
    </row>
    <row r="12794" spans="1:12" ht="11.15" customHeight="1">
      <c r="A12794" s="29" t="s">
        <v>16928</v>
      </c>
      <c r="B12794" s="59" t="s">
        <v>22846</v>
      </c>
      <c r="C12794" s="147" t="s">
        <v>20221</v>
      </c>
      <c r="D12794" s="701" t="s">
        <v>1129</v>
      </c>
      <c r="E12794" s="178">
        <v>2017</v>
      </c>
      <c r="F12794" s="178" t="s">
        <v>4520</v>
      </c>
      <c r="G12794" s="496"/>
      <c r="H12794" s="994" t="s">
        <v>20221</v>
      </c>
      <c r="I12794" s="11" t="s">
        <v>16929</v>
      </c>
      <c r="J12794" s="1285"/>
      <c r="K12794" s="1285"/>
      <c r="L12794" s="1285"/>
    </row>
    <row r="12795" spans="1:12" ht="11.15" customHeight="1">
      <c r="A12795" s="29" t="s">
        <v>16930</v>
      </c>
      <c r="B12795" s="766" t="s">
        <v>16931</v>
      </c>
      <c r="C12795" s="147"/>
      <c r="D12795" s="161"/>
      <c r="E12795" s="36"/>
      <c r="F12795" s="178"/>
      <c r="G12795" s="496"/>
      <c r="H12795" s="36"/>
      <c r="I12795" s="11"/>
    </row>
    <row r="12796" spans="1:12" ht="11.15" customHeight="1">
      <c r="A12796" s="29" t="s">
        <v>16932</v>
      </c>
      <c r="B12796" s="59" t="s">
        <v>22848</v>
      </c>
      <c r="C12796" s="147" t="s">
        <v>20221</v>
      </c>
      <c r="D12796" s="1034" t="s">
        <v>2573</v>
      </c>
      <c r="E12796" s="178">
        <v>2019</v>
      </c>
      <c r="F12796" s="178" t="s">
        <v>4520</v>
      </c>
      <c r="G12796" s="496"/>
      <c r="H12796" s="994" t="s">
        <v>20221</v>
      </c>
      <c r="I12796" s="11" t="s">
        <v>16933</v>
      </c>
      <c r="J12796" s="1285"/>
      <c r="K12796" s="1285"/>
      <c r="L12796" s="1285"/>
    </row>
    <row r="12797" spans="1:12" ht="11.15" customHeight="1">
      <c r="A12797" s="181" t="s">
        <v>16934</v>
      </c>
      <c r="B12797" s="766" t="s">
        <v>9634</v>
      </c>
      <c r="C12797" s="147"/>
      <c r="D12797" s="161"/>
      <c r="E12797" s="36"/>
      <c r="F12797" s="178"/>
      <c r="G12797" s="496"/>
      <c r="H12797" s="36"/>
      <c r="I12797" s="11"/>
    </row>
    <row r="12798" spans="1:12" ht="11.15" customHeight="1">
      <c r="A12798" s="181" t="s">
        <v>16935</v>
      </c>
      <c r="B12798" s="59" t="s">
        <v>22849</v>
      </c>
      <c r="C12798" s="147" t="s">
        <v>20221</v>
      </c>
      <c r="D12798" s="284" t="s">
        <v>897</v>
      </c>
      <c r="E12798" s="178">
        <v>2017</v>
      </c>
      <c r="F12798" s="178" t="s">
        <v>4520</v>
      </c>
      <c r="G12798" s="496"/>
      <c r="H12798" s="994" t="s">
        <v>20221</v>
      </c>
      <c r="I12798" s="11" t="s">
        <v>16936</v>
      </c>
      <c r="J12798" s="1285"/>
      <c r="K12798" s="1285"/>
      <c r="L12798" s="1285"/>
    </row>
    <row r="12799" spans="1:12" ht="11.15" customHeight="1">
      <c r="A12799" s="29" t="s">
        <v>16937</v>
      </c>
      <c r="B12799" s="59" t="s">
        <v>22849</v>
      </c>
      <c r="C12799" s="147" t="s">
        <v>20221</v>
      </c>
      <c r="D12799" s="284" t="s">
        <v>897</v>
      </c>
      <c r="E12799" s="178">
        <v>2016</v>
      </c>
      <c r="F12799" s="178" t="s">
        <v>4520</v>
      </c>
      <c r="G12799" s="496"/>
      <c r="H12799" s="994" t="s">
        <v>20221</v>
      </c>
      <c r="I12799" s="11" t="s">
        <v>16938</v>
      </c>
      <c r="J12799" s="1285"/>
      <c r="K12799" s="1285"/>
      <c r="L12799" s="1285"/>
    </row>
    <row r="12800" spans="1:12" ht="11.15" customHeight="1">
      <c r="A12800" s="29" t="s">
        <v>16939</v>
      </c>
      <c r="B12800" s="59" t="s">
        <v>22850</v>
      </c>
      <c r="C12800" s="147" t="s">
        <v>20221</v>
      </c>
      <c r="D12800" s="284" t="s">
        <v>897</v>
      </c>
      <c r="E12800" s="178">
        <v>2017</v>
      </c>
      <c r="F12800" s="178" t="s">
        <v>4520</v>
      </c>
      <c r="G12800" s="496"/>
      <c r="H12800" s="994" t="s">
        <v>20221</v>
      </c>
      <c r="I12800" s="11" t="s">
        <v>16940</v>
      </c>
      <c r="J12800" s="1285"/>
      <c r="K12800" s="1285"/>
      <c r="L12800" s="1285"/>
    </row>
    <row r="12801" spans="1:12" ht="10.5" customHeight="1">
      <c r="A12801" s="129" t="s">
        <v>14733</v>
      </c>
      <c r="B12801" s="59" t="s">
        <v>22850</v>
      </c>
      <c r="C12801" s="147" t="s">
        <v>20221</v>
      </c>
      <c r="D12801" s="284" t="s">
        <v>897</v>
      </c>
      <c r="E12801" s="178">
        <v>2014</v>
      </c>
      <c r="F12801" s="178" t="s">
        <v>4520</v>
      </c>
      <c r="G12801" s="496"/>
      <c r="H12801" s="994" t="s">
        <v>20221</v>
      </c>
      <c r="I12801" s="11" t="s">
        <v>16941</v>
      </c>
      <c r="J12801" s="1285"/>
      <c r="K12801" s="1285"/>
      <c r="L12801" s="1285"/>
    </row>
    <row r="12802" spans="1:12" ht="11.15" customHeight="1">
      <c r="A12802" s="162" t="s">
        <v>16942</v>
      </c>
      <c r="B12802" s="772"/>
      <c r="C12802" s="147"/>
      <c r="D12802" s="161"/>
      <c r="E12802" s="36"/>
      <c r="F12802" s="178"/>
      <c r="G12802" s="430"/>
      <c r="H12802" s="36"/>
      <c r="I12802" s="11"/>
    </row>
    <row r="12803" spans="1:12" ht="11.15" customHeight="1">
      <c r="A12803" s="162" t="s">
        <v>16943</v>
      </c>
      <c r="B12803" s="362"/>
      <c r="C12803" s="147"/>
      <c r="D12803" s="161"/>
      <c r="E12803" s="36"/>
      <c r="F12803" s="178"/>
      <c r="G12803" s="430"/>
      <c r="H12803" s="36"/>
      <c r="I12803" s="11"/>
    </row>
    <row r="12804" spans="1:12" ht="11.15" customHeight="1">
      <c r="A12804" s="162" t="s">
        <v>16944</v>
      </c>
      <c r="B12804" s="362"/>
      <c r="C12804" s="147"/>
      <c r="D12804" s="161"/>
      <c r="E12804" s="36"/>
      <c r="F12804" s="178"/>
      <c r="G12804" s="430"/>
      <c r="H12804" s="36"/>
      <c r="I12804" s="11"/>
    </row>
    <row r="12805" spans="1:12" ht="11.15" customHeight="1">
      <c r="A12805" s="162" t="s">
        <v>16945</v>
      </c>
      <c r="B12805" s="772"/>
      <c r="C12805" s="147"/>
      <c r="D12805" s="161"/>
      <c r="E12805" s="36"/>
      <c r="F12805" s="178"/>
      <c r="G12805" s="430"/>
      <c r="H12805" s="36"/>
      <c r="I12805" s="11"/>
    </row>
    <row r="12806" spans="1:12" ht="11.15" customHeight="1">
      <c r="A12806" s="162" t="s">
        <v>16946</v>
      </c>
      <c r="B12806" s="772"/>
      <c r="C12806" s="147"/>
      <c r="D12806" s="161"/>
      <c r="E12806" s="36"/>
      <c r="F12806" s="178"/>
      <c r="G12806" s="430"/>
      <c r="H12806" s="36"/>
      <c r="I12806" s="11"/>
    </row>
    <row r="12807" spans="1:12" ht="10.5" customHeight="1">
      <c r="A12807" s="129" t="s">
        <v>903</v>
      </c>
      <c r="B12807" s="517"/>
      <c r="C12807" s="147"/>
      <c r="D12807" s="161"/>
      <c r="E12807" s="36"/>
      <c r="F12807" s="178"/>
      <c r="G12807" s="671"/>
      <c r="H12807" s="36"/>
      <c r="I12807" s="11"/>
    </row>
    <row r="12808" spans="1:12" ht="10.5" customHeight="1">
      <c r="A12808" s="162" t="s">
        <v>16947</v>
      </c>
      <c r="B12808" s="517"/>
      <c r="C12808" s="147"/>
      <c r="D12808" s="161"/>
      <c r="E12808" s="36"/>
      <c r="F12808" s="178"/>
      <c r="G12808" s="671"/>
      <c r="H12808" s="36"/>
      <c r="I12808" s="11"/>
    </row>
    <row r="12809" spans="1:12" ht="10.5" customHeight="1">
      <c r="A12809" s="162" t="s">
        <v>16948</v>
      </c>
      <c r="B12809" s="772"/>
      <c r="C12809" s="147"/>
      <c r="D12809" s="161"/>
      <c r="E12809" s="36"/>
      <c r="F12809" s="178"/>
      <c r="G12809" s="671"/>
      <c r="H12809" s="36"/>
      <c r="I12809" s="11"/>
    </row>
    <row r="12810" spans="1:12" ht="11.15" customHeight="1">
      <c r="A12810" s="162" t="s">
        <v>16949</v>
      </c>
      <c r="B12810" s="772"/>
      <c r="C12810" s="147"/>
      <c r="D12810" s="161"/>
      <c r="E12810" s="36"/>
      <c r="F12810" s="178"/>
      <c r="G12810" s="671"/>
      <c r="H12810" s="36"/>
      <c r="I12810" s="11"/>
    </row>
    <row r="12811" spans="1:12" ht="11.15" customHeight="1">
      <c r="A12811" s="162" t="s">
        <v>16950</v>
      </c>
      <c r="B12811" s="772"/>
      <c r="C12811" s="147"/>
      <c r="D12811" s="161"/>
      <c r="E12811" s="36"/>
      <c r="F12811" s="178"/>
      <c r="G12811" s="671"/>
      <c r="H12811" s="36"/>
      <c r="I12811" s="11"/>
    </row>
    <row r="12812" spans="1:12" ht="11.15" customHeight="1">
      <c r="A12812" s="169" t="s">
        <v>16951</v>
      </c>
      <c r="B12812" s="517"/>
      <c r="C12812" s="147"/>
      <c r="D12812" s="161"/>
      <c r="E12812" s="36"/>
      <c r="F12812" s="178"/>
      <c r="G12812" s="671"/>
      <c r="H12812" s="36"/>
      <c r="I12812" s="11"/>
    </row>
    <row r="12813" spans="1:12" ht="11.15" customHeight="1">
      <c r="A12813" s="169" t="s">
        <v>16952</v>
      </c>
      <c r="B12813" s="517"/>
      <c r="C12813" s="147"/>
      <c r="D12813" s="161"/>
      <c r="E12813" s="36"/>
      <c r="F12813" s="178"/>
      <c r="G12813" s="671"/>
      <c r="H12813" s="36"/>
      <c r="I12813" s="11"/>
    </row>
    <row r="12814" spans="1:12" ht="11.15" customHeight="1">
      <c r="A12814" s="129" t="s">
        <v>16953</v>
      </c>
      <c r="B12814" s="517"/>
      <c r="C12814" s="147"/>
      <c r="D12814" s="161"/>
      <c r="E12814" s="36"/>
      <c r="F12814" s="178"/>
      <c r="G12814" s="671"/>
      <c r="H12814" s="36"/>
      <c r="I12814" s="11"/>
    </row>
    <row r="12815" spans="1:12" ht="11.15" customHeight="1" thickBot="1">
      <c r="A12815" s="185"/>
      <c r="B12815" s="185"/>
      <c r="C12815" s="147"/>
      <c r="D12815" s="161"/>
      <c r="E12815" s="36"/>
      <c r="F12815" s="183"/>
      <c r="G12815" s="1181"/>
      <c r="H12815" s="34"/>
      <c r="I12815" s="11"/>
    </row>
    <row r="12816" spans="1:12" ht="24" customHeight="1" thickBot="1">
      <c r="A12816" s="753"/>
      <c r="B12816" s="64" t="s">
        <v>16954</v>
      </c>
      <c r="C12816" s="170"/>
      <c r="D12816" s="382"/>
      <c r="E12816" s="235"/>
      <c r="F12816" s="383"/>
      <c r="G12816" s="1080"/>
      <c r="H12816" s="511"/>
      <c r="I12816" s="11"/>
    </row>
    <row r="12817" spans="1:12" ht="9" customHeight="1">
      <c r="A12817" s="162"/>
      <c r="B12817" s="521" t="s">
        <v>16955</v>
      </c>
      <c r="C12817" s="147"/>
      <c r="D12817" s="149"/>
      <c r="E12817" s="210"/>
      <c r="F12817" s="150"/>
      <c r="G12817" s="886"/>
      <c r="H12817" s="210"/>
      <c r="I12817" s="11"/>
    </row>
    <row r="12818" spans="1:12" ht="9" customHeight="1">
      <c r="A12818" s="162"/>
      <c r="B12818" s="765" t="s">
        <v>16956</v>
      </c>
      <c r="C12818" s="147"/>
      <c r="D12818" s="149"/>
      <c r="E12818" s="210"/>
      <c r="F12818" s="150"/>
      <c r="G12818" s="886"/>
      <c r="H12818" s="210"/>
      <c r="I12818" s="11"/>
    </row>
    <row r="12819" spans="1:12" ht="9" customHeight="1">
      <c r="A12819" s="162"/>
      <c r="B12819" s="765" t="s">
        <v>16957</v>
      </c>
      <c r="C12819" s="147"/>
      <c r="D12819" s="149"/>
      <c r="E12819" s="210"/>
      <c r="F12819" s="150"/>
      <c r="G12819" s="886"/>
      <c r="H12819" s="210"/>
      <c r="I12819" s="11"/>
    </row>
    <row r="12820" spans="1:12" ht="9" customHeight="1">
      <c r="A12820" s="162"/>
      <c r="B12820" s="765" t="s">
        <v>16958</v>
      </c>
      <c r="C12820" s="147"/>
      <c r="D12820" s="149"/>
      <c r="E12820" s="210"/>
      <c r="F12820" s="150"/>
      <c r="G12820" s="886"/>
      <c r="H12820" s="210"/>
      <c r="I12820" s="11"/>
    </row>
    <row r="12821" spans="1:12" ht="9" customHeight="1">
      <c r="A12821" s="162"/>
      <c r="B12821" s="765" t="s">
        <v>16959</v>
      </c>
      <c r="C12821" s="147"/>
      <c r="D12821" s="149"/>
      <c r="E12821" s="210"/>
      <c r="F12821" s="150"/>
      <c r="G12821" s="886"/>
      <c r="H12821" s="210"/>
      <c r="I12821" s="11"/>
    </row>
    <row r="12822" spans="1:12" ht="9" customHeight="1">
      <c r="A12822" s="162"/>
      <c r="B12822" s="765" t="s">
        <v>16960</v>
      </c>
      <c r="C12822" s="147"/>
      <c r="D12822" s="149"/>
      <c r="E12822" s="210"/>
      <c r="F12822" s="150"/>
      <c r="G12822" s="886"/>
      <c r="H12822" s="210"/>
      <c r="I12822" s="11"/>
    </row>
    <row r="12823" spans="1:12" ht="9" customHeight="1" thickBot="1">
      <c r="A12823" s="162"/>
      <c r="B12823" s="765" t="s">
        <v>16961</v>
      </c>
      <c r="C12823" s="147"/>
      <c r="D12823" s="149"/>
      <c r="E12823" s="210"/>
      <c r="F12823" s="150"/>
      <c r="G12823" s="886"/>
      <c r="H12823" s="210"/>
      <c r="I12823" s="11"/>
    </row>
    <row r="12824" spans="1:12" ht="11.25" customHeight="1">
      <c r="A12824" s="153" t="s">
        <v>16962</v>
      </c>
      <c r="B12824" s="154" t="s">
        <v>9612</v>
      </c>
      <c r="C12824" s="147"/>
      <c r="D12824" s="129"/>
      <c r="E12824" s="185"/>
      <c r="F12824" s="185"/>
      <c r="G12824" s="185"/>
      <c r="H12824" s="185"/>
      <c r="I12824" s="11"/>
    </row>
    <row r="12825" spans="1:12" ht="11.25" customHeight="1" thickBot="1">
      <c r="A12825" s="230" t="s">
        <v>16963</v>
      </c>
      <c r="B12825" s="59" t="s">
        <v>22851</v>
      </c>
      <c r="C12825" s="147" t="s">
        <v>20221</v>
      </c>
      <c r="D12825" s="701" t="s">
        <v>1129</v>
      </c>
      <c r="E12825" s="178">
        <v>2021</v>
      </c>
      <c r="F12825" s="178" t="s">
        <v>23395</v>
      </c>
      <c r="G12825" s="496"/>
      <c r="H12825" s="994" t="s">
        <v>20221</v>
      </c>
      <c r="I12825" s="11" t="s">
        <v>16964</v>
      </c>
      <c r="J12825" s="1285"/>
      <c r="K12825" s="1285"/>
      <c r="L12825" s="1285"/>
    </row>
    <row r="12826" spans="1:12" ht="11.25" customHeight="1">
      <c r="A12826" s="29" t="s">
        <v>16965</v>
      </c>
      <c r="B12826" s="59" t="s">
        <v>22851</v>
      </c>
      <c r="C12826" s="147" t="s">
        <v>20221</v>
      </c>
      <c r="D12826" s="701" t="s">
        <v>1129</v>
      </c>
      <c r="E12826" s="178">
        <v>2019</v>
      </c>
      <c r="F12826" s="178" t="s">
        <v>23395</v>
      </c>
      <c r="G12826" s="496"/>
      <c r="H12826" s="994" t="s">
        <v>20221</v>
      </c>
      <c r="I12826" s="11" t="s">
        <v>16966</v>
      </c>
      <c r="J12826" s="1285"/>
      <c r="K12826" s="1285"/>
      <c r="L12826" s="1285"/>
    </row>
    <row r="12827" spans="1:12" ht="11.25" customHeight="1">
      <c r="A12827" s="29" t="s">
        <v>16967</v>
      </c>
      <c r="B12827" s="59" t="s">
        <v>22851</v>
      </c>
      <c r="C12827" s="147" t="s">
        <v>20221</v>
      </c>
      <c r="D12827" s="701" t="s">
        <v>1129</v>
      </c>
      <c r="E12827" s="178">
        <v>2018</v>
      </c>
      <c r="F12827" s="178" t="s">
        <v>4520</v>
      </c>
      <c r="G12827" s="496"/>
      <c r="H12827" s="994" t="s">
        <v>20221</v>
      </c>
      <c r="I12827" s="11" t="s">
        <v>16968</v>
      </c>
      <c r="J12827" s="1285"/>
      <c r="K12827" s="1285"/>
      <c r="L12827" s="1285"/>
    </row>
    <row r="12828" spans="1:12" ht="11.25" customHeight="1">
      <c r="A12828" s="29" t="s">
        <v>16969</v>
      </c>
      <c r="B12828" s="59" t="s">
        <v>22851</v>
      </c>
      <c r="C12828" s="147" t="s">
        <v>20221</v>
      </c>
      <c r="D12828" s="701" t="s">
        <v>1129</v>
      </c>
      <c r="E12828" s="178">
        <v>2017</v>
      </c>
      <c r="F12828" s="178" t="s">
        <v>23395</v>
      </c>
      <c r="G12828" s="496"/>
      <c r="H12828" s="994" t="s">
        <v>20221</v>
      </c>
      <c r="I12828" s="11" t="s">
        <v>16970</v>
      </c>
      <c r="J12828" s="1285"/>
      <c r="K12828" s="1285"/>
      <c r="L12828" s="1285"/>
    </row>
    <row r="12829" spans="1:12" ht="11.25" customHeight="1">
      <c r="A12829" s="29" t="s">
        <v>16971</v>
      </c>
      <c r="B12829" s="59" t="s">
        <v>22851</v>
      </c>
      <c r="C12829" s="147" t="s">
        <v>20221</v>
      </c>
      <c r="D12829" s="701" t="s">
        <v>1129</v>
      </c>
      <c r="E12829" s="178">
        <v>2016</v>
      </c>
      <c r="F12829" s="178" t="s">
        <v>23395</v>
      </c>
      <c r="G12829" s="496"/>
      <c r="H12829" s="994" t="s">
        <v>20277</v>
      </c>
      <c r="I12829" s="11" t="s">
        <v>16972</v>
      </c>
      <c r="J12829" s="1285"/>
      <c r="K12829" s="1285"/>
      <c r="L12829" s="1285"/>
    </row>
    <row r="12830" spans="1:12" ht="11.25" customHeight="1">
      <c r="A12830" s="29" t="s">
        <v>16973</v>
      </c>
      <c r="B12830" s="59" t="s">
        <v>22062</v>
      </c>
      <c r="C12830" s="147" t="s">
        <v>20221</v>
      </c>
      <c r="D12830" s="701" t="s">
        <v>1129</v>
      </c>
      <c r="E12830" s="178">
        <v>2021</v>
      </c>
      <c r="F12830" s="178" t="s">
        <v>23395</v>
      </c>
      <c r="G12830" s="496"/>
      <c r="H12830" s="994" t="s">
        <v>20277</v>
      </c>
      <c r="I12830" s="11" t="s">
        <v>16974</v>
      </c>
      <c r="J12830" s="1285"/>
      <c r="K12830" s="1285"/>
      <c r="L12830" s="1285"/>
    </row>
    <row r="12831" spans="1:12" ht="11.25" customHeight="1">
      <c r="A12831" s="181" t="s">
        <v>16975</v>
      </c>
      <c r="B12831" s="59" t="s">
        <v>22854</v>
      </c>
      <c r="C12831" s="147" t="s">
        <v>20221</v>
      </c>
      <c r="D12831" s="701" t="s">
        <v>1129</v>
      </c>
      <c r="E12831" s="178">
        <v>2020</v>
      </c>
      <c r="F12831" s="178" t="s">
        <v>4520</v>
      </c>
      <c r="G12831" s="496"/>
      <c r="H12831" s="994" t="s">
        <v>20221</v>
      </c>
      <c r="I12831" s="11" t="s">
        <v>16976</v>
      </c>
      <c r="J12831" s="1285"/>
      <c r="K12831" s="1285"/>
      <c r="L12831" s="1285"/>
    </row>
    <row r="12832" spans="1:12" ht="11.15" customHeight="1">
      <c r="A12832" s="129" t="s">
        <v>2047</v>
      </c>
      <c r="B12832" s="59" t="s">
        <v>22854</v>
      </c>
      <c r="C12832" s="147" t="s">
        <v>20221</v>
      </c>
      <c r="D12832" s="701" t="s">
        <v>1129</v>
      </c>
      <c r="E12832" s="178">
        <v>2019</v>
      </c>
      <c r="F12832" s="178" t="s">
        <v>23395</v>
      </c>
      <c r="G12832" s="496"/>
      <c r="H12832" s="994" t="s">
        <v>20221</v>
      </c>
      <c r="I12832" s="11" t="s">
        <v>16977</v>
      </c>
      <c r="J12832" s="1285"/>
      <c r="K12832" s="1285"/>
      <c r="L12832" s="1285"/>
    </row>
    <row r="12833" spans="1:12" ht="11.15" customHeight="1">
      <c r="A12833" s="162" t="s">
        <v>16978</v>
      </c>
      <c r="B12833" s="59" t="s">
        <v>22854</v>
      </c>
      <c r="C12833" s="147" t="s">
        <v>20221</v>
      </c>
      <c r="D12833" s="701" t="s">
        <v>1129</v>
      </c>
      <c r="E12833" s="178">
        <v>2018</v>
      </c>
      <c r="F12833" s="178" t="s">
        <v>23395</v>
      </c>
      <c r="G12833" s="496"/>
      <c r="H12833" s="994" t="s">
        <v>20221</v>
      </c>
      <c r="I12833" s="11" t="s">
        <v>16979</v>
      </c>
      <c r="J12833" s="1285"/>
      <c r="K12833" s="1285"/>
      <c r="L12833" s="1285"/>
    </row>
    <row r="12834" spans="1:12" ht="11.15" customHeight="1">
      <c r="A12834" s="162" t="s">
        <v>16980</v>
      </c>
      <c r="B12834" s="59" t="s">
        <v>22854</v>
      </c>
      <c r="C12834" s="147" t="s">
        <v>20221</v>
      </c>
      <c r="D12834" s="701" t="s">
        <v>1129</v>
      </c>
      <c r="E12834" s="178">
        <v>2017</v>
      </c>
      <c r="F12834" s="178" t="s">
        <v>23395</v>
      </c>
      <c r="G12834" s="496"/>
      <c r="H12834" s="994" t="s">
        <v>20221</v>
      </c>
      <c r="I12834" s="11" t="s">
        <v>16981</v>
      </c>
      <c r="J12834" s="1285"/>
      <c r="K12834" s="1285"/>
      <c r="L12834" s="1285"/>
    </row>
    <row r="12835" spans="1:12" ht="11.15" customHeight="1">
      <c r="A12835" s="162" t="s">
        <v>16982</v>
      </c>
      <c r="B12835" s="59" t="s">
        <v>22854</v>
      </c>
      <c r="C12835" s="147" t="s">
        <v>20221</v>
      </c>
      <c r="D12835" s="701" t="s">
        <v>1129</v>
      </c>
      <c r="E12835" s="178">
        <v>2016</v>
      </c>
      <c r="F12835" s="178" t="s">
        <v>23395</v>
      </c>
      <c r="G12835" s="496"/>
      <c r="H12835" s="994" t="s">
        <v>20277</v>
      </c>
      <c r="I12835" s="11" t="s">
        <v>16983</v>
      </c>
      <c r="J12835" s="1285"/>
      <c r="K12835" s="1285"/>
      <c r="L12835" s="1285"/>
    </row>
    <row r="12836" spans="1:12" ht="11.15" customHeight="1">
      <c r="A12836" s="129" t="s">
        <v>16984</v>
      </c>
      <c r="B12836" s="59" t="s">
        <v>22855</v>
      </c>
      <c r="C12836" s="147" t="s">
        <v>20221</v>
      </c>
      <c r="D12836" s="701" t="s">
        <v>1129</v>
      </c>
      <c r="E12836" s="178">
        <v>2021</v>
      </c>
      <c r="F12836" s="178" t="s">
        <v>23395</v>
      </c>
      <c r="G12836" s="496"/>
      <c r="H12836" s="994" t="s">
        <v>20221</v>
      </c>
      <c r="I12836" s="11" t="s">
        <v>16985</v>
      </c>
      <c r="J12836" s="1285"/>
      <c r="K12836" s="1285"/>
      <c r="L12836" s="1285"/>
    </row>
    <row r="12837" spans="1:12" ht="11.15" customHeight="1">
      <c r="A12837" s="162" t="s">
        <v>16986</v>
      </c>
      <c r="B12837" s="59" t="s">
        <v>22855</v>
      </c>
      <c r="C12837" s="147" t="s">
        <v>20221</v>
      </c>
      <c r="D12837" s="701" t="s">
        <v>1129</v>
      </c>
      <c r="E12837" s="178">
        <v>2020</v>
      </c>
      <c r="F12837" s="178" t="s">
        <v>23395</v>
      </c>
      <c r="G12837" s="496"/>
      <c r="H12837" s="994" t="s">
        <v>20221</v>
      </c>
      <c r="I12837" s="11" t="s">
        <v>16987</v>
      </c>
      <c r="J12837" s="1285"/>
      <c r="K12837" s="1285"/>
      <c r="L12837" s="1285"/>
    </row>
    <row r="12838" spans="1:12" ht="11.15" customHeight="1">
      <c r="A12838" s="162" t="s">
        <v>16988</v>
      </c>
      <c r="B12838" s="59" t="s">
        <v>22855</v>
      </c>
      <c r="C12838" s="147" t="s">
        <v>20221</v>
      </c>
      <c r="D12838" s="701" t="s">
        <v>1129</v>
      </c>
      <c r="E12838" s="178">
        <v>2019</v>
      </c>
      <c r="F12838" s="178" t="s">
        <v>23395</v>
      </c>
      <c r="G12838" s="496"/>
      <c r="H12838" s="994" t="s">
        <v>20221</v>
      </c>
      <c r="I12838" s="11" t="s">
        <v>16989</v>
      </c>
      <c r="J12838" s="1285"/>
      <c r="K12838" s="1285"/>
      <c r="L12838" s="1285"/>
    </row>
    <row r="12839" spans="1:12" ht="11.15" customHeight="1">
      <c r="A12839" s="162" t="s">
        <v>16990</v>
      </c>
      <c r="B12839" s="59" t="s">
        <v>22855</v>
      </c>
      <c r="C12839" s="147" t="s">
        <v>20221</v>
      </c>
      <c r="D12839" s="701" t="s">
        <v>1129</v>
      </c>
      <c r="E12839" s="178">
        <v>2018</v>
      </c>
      <c r="F12839" s="178" t="s">
        <v>23395</v>
      </c>
      <c r="G12839" s="496"/>
      <c r="H12839" s="994" t="s">
        <v>20277</v>
      </c>
      <c r="I12839" s="11" t="s">
        <v>16991</v>
      </c>
      <c r="J12839" s="1285"/>
      <c r="K12839" s="1285"/>
      <c r="L12839" s="1285"/>
    </row>
    <row r="12840" spans="1:12" ht="11.15" customHeight="1">
      <c r="A12840" s="129" t="s">
        <v>903</v>
      </c>
      <c r="B12840" s="154" t="s">
        <v>9634</v>
      </c>
      <c r="C12840" s="147"/>
      <c r="D12840" s="129"/>
      <c r="E12840" s="185"/>
      <c r="F12840" s="185"/>
      <c r="G12840" s="185"/>
      <c r="H12840" s="185"/>
      <c r="I12840" s="11"/>
    </row>
    <row r="12841" spans="1:12" ht="11.15" customHeight="1">
      <c r="A12841" s="162" t="s">
        <v>16992</v>
      </c>
      <c r="B12841" s="59" t="s">
        <v>22856</v>
      </c>
      <c r="C12841" s="147" t="s">
        <v>20221</v>
      </c>
      <c r="D12841" s="284" t="s">
        <v>897</v>
      </c>
      <c r="E12841" s="178">
        <v>2013</v>
      </c>
      <c r="F12841" s="178" t="s">
        <v>23395</v>
      </c>
      <c r="G12841" s="496"/>
      <c r="H12841" s="994" t="s">
        <v>20221</v>
      </c>
      <c r="I12841" s="11" t="s">
        <v>16993</v>
      </c>
      <c r="J12841" s="1285"/>
      <c r="K12841" s="1285"/>
      <c r="L12841" s="1285"/>
    </row>
    <row r="12842" spans="1:12" ht="11.15" customHeight="1">
      <c r="A12842" s="162" t="s">
        <v>16994</v>
      </c>
      <c r="B12842" s="59" t="s">
        <v>22857</v>
      </c>
      <c r="C12842" s="147" t="s">
        <v>20221</v>
      </c>
      <c r="D12842" s="284" t="s">
        <v>897</v>
      </c>
      <c r="E12842" s="178">
        <v>2019</v>
      </c>
      <c r="F12842" s="178" t="s">
        <v>4520</v>
      </c>
      <c r="G12842" s="496"/>
      <c r="H12842" s="994" t="s">
        <v>20221</v>
      </c>
      <c r="I12842" s="11" t="s">
        <v>16995</v>
      </c>
      <c r="J12842" s="1285"/>
      <c r="K12842" s="1285"/>
      <c r="L12842" s="1285"/>
    </row>
    <row r="12843" spans="1:12" ht="11.15" customHeight="1">
      <c r="A12843" s="162" t="s">
        <v>16996</v>
      </c>
      <c r="B12843" s="59" t="s">
        <v>22857</v>
      </c>
      <c r="C12843" s="147" t="s">
        <v>20221</v>
      </c>
      <c r="D12843" s="284" t="s">
        <v>897</v>
      </c>
      <c r="E12843" s="178">
        <v>2018</v>
      </c>
      <c r="F12843" s="178" t="s">
        <v>23395</v>
      </c>
      <c r="G12843" s="496"/>
      <c r="H12843" s="994" t="s">
        <v>20221</v>
      </c>
      <c r="I12843" s="11" t="s">
        <v>16997</v>
      </c>
      <c r="J12843" s="1285"/>
      <c r="K12843" s="1285"/>
      <c r="L12843" s="1285"/>
    </row>
    <row r="12844" spans="1:12" ht="11.25" customHeight="1">
      <c r="A12844" s="162" t="s">
        <v>16998</v>
      </c>
      <c r="B12844" s="59" t="s">
        <v>22857</v>
      </c>
      <c r="C12844" s="147" t="s">
        <v>20221</v>
      </c>
      <c r="D12844" s="284" t="s">
        <v>897</v>
      </c>
      <c r="E12844" s="178">
        <v>2017</v>
      </c>
      <c r="F12844" s="178" t="s">
        <v>23395</v>
      </c>
      <c r="G12844" s="496"/>
      <c r="H12844" s="994" t="s">
        <v>20221</v>
      </c>
      <c r="I12844" s="11" t="s">
        <v>16999</v>
      </c>
      <c r="J12844" s="1285"/>
      <c r="K12844" s="1285"/>
      <c r="L12844" s="1285"/>
    </row>
    <row r="12845" spans="1:12" ht="11.15" customHeight="1">
      <c r="A12845" s="162" t="s">
        <v>17000</v>
      </c>
      <c r="B12845" s="59" t="s">
        <v>21389</v>
      </c>
      <c r="C12845" s="147" t="s">
        <v>20221</v>
      </c>
      <c r="D12845" s="284" t="s">
        <v>897</v>
      </c>
      <c r="E12845" s="178">
        <v>2020</v>
      </c>
      <c r="F12845" s="178" t="s">
        <v>23395</v>
      </c>
      <c r="G12845" s="496"/>
      <c r="H12845" s="994" t="s">
        <v>20221</v>
      </c>
      <c r="I12845" s="11" t="s">
        <v>17002</v>
      </c>
      <c r="J12845" s="1285"/>
      <c r="K12845" s="1285"/>
      <c r="L12845" s="1285"/>
    </row>
    <row r="12846" spans="1:12" ht="11.15" customHeight="1">
      <c r="A12846" s="162" t="s">
        <v>17001</v>
      </c>
      <c r="B12846" s="59" t="s">
        <v>21389</v>
      </c>
      <c r="C12846" s="147" t="s">
        <v>20221</v>
      </c>
      <c r="D12846" s="284" t="s">
        <v>897</v>
      </c>
      <c r="E12846" s="178">
        <v>2019</v>
      </c>
      <c r="F12846" s="178" t="s">
        <v>23395</v>
      </c>
      <c r="G12846" s="496"/>
      <c r="H12846" s="994" t="s">
        <v>20221</v>
      </c>
      <c r="I12846" s="11" t="s">
        <v>17004</v>
      </c>
      <c r="J12846" s="1285"/>
      <c r="K12846" s="1285"/>
      <c r="L12846" s="1285"/>
    </row>
    <row r="12847" spans="1:12" ht="11.15" customHeight="1">
      <c r="A12847" s="162" t="s">
        <v>17003</v>
      </c>
      <c r="B12847" s="59" t="s">
        <v>21389</v>
      </c>
      <c r="C12847" s="147" t="s">
        <v>20221</v>
      </c>
      <c r="D12847" s="284" t="s">
        <v>897</v>
      </c>
      <c r="E12847" s="178">
        <v>2018</v>
      </c>
      <c r="F12847" s="178" t="s">
        <v>23395</v>
      </c>
      <c r="G12847" s="496"/>
      <c r="H12847" s="994" t="s">
        <v>20221</v>
      </c>
      <c r="I12847" s="11" t="s">
        <v>17006</v>
      </c>
      <c r="J12847" s="1285"/>
      <c r="K12847" s="1285"/>
      <c r="L12847" s="1285"/>
    </row>
    <row r="12848" spans="1:12" ht="11.15" customHeight="1">
      <c r="A12848" s="162" t="s">
        <v>17005</v>
      </c>
      <c r="B12848" s="59" t="s">
        <v>21389</v>
      </c>
      <c r="C12848" s="147" t="s">
        <v>20221</v>
      </c>
      <c r="D12848" s="284" t="s">
        <v>897</v>
      </c>
      <c r="E12848" s="178">
        <v>2017</v>
      </c>
      <c r="F12848" s="178" t="s">
        <v>23395</v>
      </c>
      <c r="G12848" s="496"/>
      <c r="H12848" s="994" t="s">
        <v>20221</v>
      </c>
      <c r="I12848" s="11" t="s">
        <v>17008</v>
      </c>
      <c r="J12848" s="1285"/>
      <c r="K12848" s="1285"/>
      <c r="L12848" s="1285"/>
    </row>
    <row r="12849" spans="1:12" ht="11.15" customHeight="1">
      <c r="A12849" s="162" t="s">
        <v>17007</v>
      </c>
      <c r="B12849" s="154" t="s">
        <v>2601</v>
      </c>
      <c r="C12849" s="147"/>
      <c r="D12849" s="129"/>
      <c r="E12849" s="185"/>
      <c r="F12849" s="185"/>
      <c r="G12849" s="185"/>
      <c r="H12849" s="185"/>
      <c r="I12849" s="11"/>
    </row>
    <row r="12850" spans="1:12" ht="11.15" customHeight="1">
      <c r="A12850" s="162" t="s">
        <v>17009</v>
      </c>
      <c r="B12850" s="59" t="s">
        <v>22858</v>
      </c>
      <c r="C12850" s="147" t="s">
        <v>20221</v>
      </c>
      <c r="D12850" s="284" t="s">
        <v>897</v>
      </c>
      <c r="E12850" s="178">
        <v>2015</v>
      </c>
      <c r="F12850" s="178" t="s">
        <v>23396</v>
      </c>
      <c r="G12850" s="496"/>
      <c r="H12850" s="994" t="s">
        <v>20224</v>
      </c>
      <c r="I12850" s="11" t="s">
        <v>17011</v>
      </c>
      <c r="J12850" s="1285"/>
      <c r="K12850" s="1285"/>
      <c r="L12850" s="1285"/>
    </row>
    <row r="12851" spans="1:12" ht="11.15" customHeight="1">
      <c r="A12851" s="162" t="s">
        <v>17010</v>
      </c>
      <c r="B12851" s="59" t="s">
        <v>21984</v>
      </c>
      <c r="C12851" s="147" t="s">
        <v>20221</v>
      </c>
      <c r="D12851" s="284" t="s">
        <v>897</v>
      </c>
      <c r="E12851" s="178">
        <v>2016</v>
      </c>
      <c r="F12851" s="178" t="s">
        <v>9678</v>
      </c>
      <c r="G12851" s="496"/>
      <c r="H12851" s="994" t="s">
        <v>20224</v>
      </c>
      <c r="I12851" s="11" t="s">
        <v>17013</v>
      </c>
      <c r="J12851" s="1285"/>
      <c r="K12851" s="1285"/>
      <c r="L12851" s="1285"/>
    </row>
    <row r="12852" spans="1:12" ht="11.15" customHeight="1">
      <c r="A12852" s="162" t="s">
        <v>17012</v>
      </c>
      <c r="B12852" s="59" t="s">
        <v>21984</v>
      </c>
      <c r="C12852" s="147" t="s">
        <v>20221</v>
      </c>
      <c r="D12852" s="284" t="s">
        <v>897</v>
      </c>
      <c r="E12852" s="178">
        <v>2012</v>
      </c>
      <c r="F12852" s="178" t="s">
        <v>9678</v>
      </c>
      <c r="G12852" s="496"/>
      <c r="H12852" s="994" t="s">
        <v>20221</v>
      </c>
      <c r="I12852" s="11" t="s">
        <v>17015</v>
      </c>
      <c r="J12852" s="1285"/>
      <c r="K12852" s="1285"/>
      <c r="L12852" s="1285"/>
    </row>
    <row r="12853" spans="1:12" ht="11.15" customHeight="1">
      <c r="A12853" s="162" t="s">
        <v>17014</v>
      </c>
      <c r="B12853" s="185"/>
      <c r="C12853" s="147"/>
      <c r="D12853" s="185"/>
      <c r="E12853" s="185"/>
      <c r="F12853" s="185"/>
      <c r="G12853" s="185"/>
      <c r="H12853" s="185"/>
      <c r="I12853" s="11"/>
    </row>
    <row r="12854" spans="1:12" ht="11.15" customHeight="1">
      <c r="A12854" s="162" t="s">
        <v>17016</v>
      </c>
      <c r="B12854" s="185"/>
      <c r="C12854" s="147"/>
      <c r="D12854" s="185"/>
      <c r="E12854" s="185"/>
      <c r="F12854" s="185"/>
      <c r="G12854" s="185"/>
      <c r="H12854" s="185"/>
      <c r="I12854" s="11"/>
    </row>
    <row r="12855" spans="1:12" ht="11.15" customHeight="1">
      <c r="A12855" s="162" t="s">
        <v>17017</v>
      </c>
      <c r="B12855" s="185"/>
      <c r="C12855" s="147"/>
      <c r="D12855" s="185"/>
      <c r="E12855" s="185"/>
      <c r="F12855" s="185"/>
      <c r="G12855" s="185"/>
      <c r="H12855" s="185"/>
      <c r="I12855" s="11"/>
    </row>
    <row r="12856" spans="1:12" ht="11.15" customHeight="1">
      <c r="A12856" s="166" t="s">
        <v>17018</v>
      </c>
      <c r="B12856" s="185"/>
      <c r="C12856" s="147"/>
      <c r="D12856" s="185"/>
      <c r="E12856" s="185"/>
      <c r="F12856" s="185"/>
      <c r="G12856" s="185"/>
      <c r="H12856" s="185"/>
      <c r="I12856" s="11"/>
    </row>
    <row r="12857" spans="1:12" ht="11.15" customHeight="1">
      <c r="A12857" s="166" t="s">
        <v>17019</v>
      </c>
      <c r="B12857" s="185"/>
      <c r="C12857" s="147"/>
      <c r="D12857" s="185"/>
      <c r="E12857" s="185"/>
      <c r="F12857" s="185"/>
      <c r="G12857" s="185"/>
      <c r="H12857" s="185"/>
      <c r="I12857" s="11"/>
    </row>
    <row r="12858" spans="1:12" ht="11.15" customHeight="1">
      <c r="A12858" s="129" t="s">
        <v>17020</v>
      </c>
      <c r="B12858" s="185"/>
      <c r="C12858" s="147"/>
      <c r="D12858" s="185"/>
      <c r="E12858" s="185"/>
      <c r="F12858" s="185"/>
      <c r="G12858" s="185"/>
      <c r="H12858" s="185"/>
      <c r="I12858" s="11"/>
    </row>
    <row r="12859" spans="1:12" ht="11.15" customHeight="1">
      <c r="A12859" s="129" t="s">
        <v>17021</v>
      </c>
      <c r="B12859" s="185"/>
      <c r="C12859" s="147"/>
      <c r="D12859" s="185"/>
      <c r="E12859" s="185"/>
      <c r="F12859" s="185"/>
      <c r="G12859" s="185"/>
      <c r="H12859" s="185"/>
      <c r="I12859" s="11"/>
    </row>
    <row r="12860" spans="1:12" ht="11.15" customHeight="1" thickBot="1">
      <c r="A12860" s="185"/>
      <c r="B12860" s="226"/>
      <c r="C12860" s="147"/>
      <c r="D12860" s="161"/>
      <c r="E12860" s="36"/>
      <c r="F12860" s="183"/>
      <c r="G12860" s="496"/>
      <c r="H12860" s="34"/>
      <c r="I12860" s="11"/>
    </row>
    <row r="12861" spans="1:12" ht="11.15" customHeight="1">
      <c r="A12861" s="153" t="s">
        <v>17022</v>
      </c>
      <c r="B12861" s="154" t="s">
        <v>9612</v>
      </c>
      <c r="C12861" s="147"/>
      <c r="D12861" s="161"/>
      <c r="E12861" s="36"/>
      <c r="F12861" s="183"/>
      <c r="G12861" s="496"/>
      <c r="H12861" s="34"/>
      <c r="I12861" s="11"/>
    </row>
    <row r="12862" spans="1:12" ht="11.15" customHeight="1" thickBot="1">
      <c r="A12862" s="480" t="s">
        <v>17023</v>
      </c>
      <c r="B12862" s="59" t="s">
        <v>22860</v>
      </c>
      <c r="C12862" s="147" t="s">
        <v>20221</v>
      </c>
      <c r="D12862" s="701" t="s">
        <v>1129</v>
      </c>
      <c r="E12862" s="178">
        <v>2010</v>
      </c>
      <c r="F12862" s="178" t="s">
        <v>4520</v>
      </c>
      <c r="G12862" s="496"/>
      <c r="H12862" s="994" t="s">
        <v>20221</v>
      </c>
      <c r="I12862" s="11" t="s">
        <v>17024</v>
      </c>
      <c r="J12862" s="1285"/>
      <c r="K12862" s="1285"/>
      <c r="L12862" s="1285"/>
    </row>
    <row r="12863" spans="1:12" ht="11.15" customHeight="1">
      <c r="A12863" s="29" t="s">
        <v>17025</v>
      </c>
      <c r="B12863" s="154" t="s">
        <v>9634</v>
      </c>
      <c r="C12863" s="147"/>
      <c r="D12863" s="129"/>
      <c r="E12863" s="185"/>
      <c r="F12863" s="185"/>
      <c r="G12863" s="185"/>
      <c r="H12863" s="185"/>
      <c r="I12863" s="11"/>
    </row>
    <row r="12864" spans="1:12" ht="11.15" customHeight="1">
      <c r="A12864" s="29" t="s">
        <v>17026</v>
      </c>
      <c r="B12864" s="59" t="s">
        <v>22861</v>
      </c>
      <c r="C12864" s="147" t="s">
        <v>20221</v>
      </c>
      <c r="D12864" s="284" t="s">
        <v>897</v>
      </c>
      <c r="E12864" s="178">
        <v>2010</v>
      </c>
      <c r="F12864" s="178" t="s">
        <v>4520</v>
      </c>
      <c r="G12864" s="496"/>
      <c r="H12864" s="994" t="s">
        <v>20221</v>
      </c>
      <c r="I12864" s="11" t="s">
        <v>17027</v>
      </c>
      <c r="J12864" s="1285"/>
      <c r="K12864" s="1285"/>
      <c r="L12864" s="1285"/>
    </row>
    <row r="12865" spans="1:12" ht="11.15" customHeight="1">
      <c r="A12865" s="29" t="s">
        <v>17028</v>
      </c>
      <c r="B12865" s="59" t="s">
        <v>22862</v>
      </c>
      <c r="C12865" s="147" t="s">
        <v>20221</v>
      </c>
      <c r="D12865" s="284" t="s">
        <v>897</v>
      </c>
      <c r="E12865" s="178">
        <v>2010</v>
      </c>
      <c r="F12865" s="178" t="s">
        <v>4520</v>
      </c>
      <c r="G12865" s="496"/>
      <c r="H12865" s="994" t="s">
        <v>20224</v>
      </c>
      <c r="I12865" s="11" t="s">
        <v>17029</v>
      </c>
      <c r="J12865" s="1285"/>
      <c r="K12865" s="1285"/>
      <c r="L12865" s="1285"/>
    </row>
    <row r="12866" spans="1:12" ht="11.15" customHeight="1">
      <c r="A12866" s="29" t="s">
        <v>17030</v>
      </c>
      <c r="B12866" s="59" t="s">
        <v>22862</v>
      </c>
      <c r="C12866" s="147" t="s">
        <v>20221</v>
      </c>
      <c r="D12866" s="284" t="s">
        <v>897</v>
      </c>
      <c r="E12866" s="178">
        <v>2009</v>
      </c>
      <c r="F12866" s="178" t="s">
        <v>4520</v>
      </c>
      <c r="G12866" s="496"/>
      <c r="H12866" s="994" t="s">
        <v>20224</v>
      </c>
      <c r="I12866" s="11" t="s">
        <v>17031</v>
      </c>
      <c r="J12866" s="1285"/>
      <c r="K12866" s="1285"/>
      <c r="L12866" s="1285"/>
    </row>
    <row r="12867" spans="1:12" ht="11.15" customHeight="1">
      <c r="A12867" s="29" t="s">
        <v>16973</v>
      </c>
      <c r="B12867" s="59" t="s">
        <v>22862</v>
      </c>
      <c r="C12867" s="147" t="s">
        <v>20221</v>
      </c>
      <c r="D12867" s="284" t="s">
        <v>897</v>
      </c>
      <c r="E12867" s="178">
        <v>2007</v>
      </c>
      <c r="F12867" s="178" t="s">
        <v>4520</v>
      </c>
      <c r="G12867" s="496"/>
      <c r="H12867" s="994" t="s">
        <v>20224</v>
      </c>
      <c r="I12867" s="11" t="s">
        <v>17032</v>
      </c>
      <c r="J12867" s="1285"/>
      <c r="K12867" s="1285"/>
      <c r="L12867" s="1285"/>
    </row>
    <row r="12868" spans="1:12" ht="11.15" customHeight="1">
      <c r="A12868" s="129" t="s">
        <v>1077</v>
      </c>
      <c r="B12868" s="67"/>
      <c r="C12868" s="67"/>
      <c r="D12868" s="67"/>
      <c r="E12868" s="67"/>
      <c r="F12868" s="67"/>
      <c r="G12868" s="67"/>
      <c r="H12868" s="67"/>
      <c r="I12868" s="5"/>
    </row>
    <row r="12869" spans="1:12" ht="11.15" customHeight="1">
      <c r="A12869" s="162" t="s">
        <v>17033</v>
      </c>
      <c r="B12869" s="185"/>
      <c r="C12869" s="147"/>
      <c r="D12869" s="185"/>
      <c r="E12869" s="185"/>
      <c r="F12869" s="185"/>
      <c r="G12869" s="185"/>
      <c r="H12869" s="185"/>
      <c r="I12869" s="11"/>
    </row>
    <row r="12870" spans="1:12" ht="11.15" customHeight="1">
      <c r="A12870" s="162" t="s">
        <v>17034</v>
      </c>
      <c r="B12870" s="185"/>
      <c r="C12870" s="147"/>
      <c r="D12870" s="185"/>
      <c r="E12870" s="185"/>
      <c r="F12870" s="185"/>
      <c r="G12870" s="185"/>
      <c r="H12870" s="185"/>
      <c r="I12870" s="11"/>
    </row>
    <row r="12871" spans="1:12" ht="11.15" customHeight="1">
      <c r="A12871" s="162" t="s">
        <v>17014</v>
      </c>
      <c r="B12871" s="185"/>
      <c r="C12871" s="147"/>
      <c r="D12871" s="185"/>
      <c r="E12871" s="185"/>
      <c r="F12871" s="185"/>
      <c r="G12871" s="185"/>
      <c r="H12871" s="185"/>
      <c r="I12871" s="11"/>
    </row>
    <row r="12872" spans="1:12" ht="11.15" customHeight="1">
      <c r="A12872" s="162" t="s">
        <v>17035</v>
      </c>
      <c r="B12872" s="185"/>
      <c r="C12872" s="147"/>
      <c r="D12872" s="185"/>
      <c r="E12872" s="185"/>
      <c r="F12872" s="185"/>
      <c r="G12872" s="185"/>
      <c r="H12872" s="185"/>
      <c r="I12872" s="11"/>
    </row>
    <row r="12873" spans="1:12" ht="11.15" customHeight="1">
      <c r="A12873" s="212" t="s">
        <v>17036</v>
      </c>
      <c r="B12873" s="185"/>
      <c r="C12873" s="147"/>
      <c r="D12873" s="185"/>
      <c r="E12873" s="185"/>
      <c r="F12873" s="185"/>
      <c r="G12873" s="185"/>
      <c r="H12873" s="185"/>
      <c r="I12873" s="11"/>
    </row>
    <row r="12874" spans="1:12" ht="11.15" customHeight="1">
      <c r="A12874" s="129" t="s">
        <v>17037</v>
      </c>
      <c r="B12874" s="90"/>
      <c r="C12874" s="147"/>
      <c r="D12874" s="161"/>
      <c r="E12874" s="36"/>
      <c r="F12874" s="178"/>
      <c r="G12874" s="497"/>
      <c r="H12874" s="36"/>
      <c r="I12874" s="11"/>
    </row>
    <row r="12875" spans="1:12" ht="11.15" customHeight="1">
      <c r="A12875" s="129" t="s">
        <v>17038</v>
      </c>
      <c r="B12875" s="90"/>
      <c r="C12875" s="147"/>
      <c r="D12875" s="161"/>
      <c r="E12875" s="36"/>
      <c r="F12875" s="178"/>
      <c r="G12875" s="497"/>
      <c r="H12875" s="36"/>
      <c r="I12875" s="11"/>
    </row>
    <row r="12876" spans="1:12" ht="11.15" customHeight="1" thickBot="1">
      <c r="A12876" s="520"/>
      <c r="B12876" s="59"/>
      <c r="C12876" s="147"/>
      <c r="D12876" s="122"/>
      <c r="E12876" s="36"/>
      <c r="F12876" s="178"/>
      <c r="G12876" s="453"/>
      <c r="H12876" s="36"/>
      <c r="I12876" s="11"/>
    </row>
    <row r="12877" spans="1:12" ht="11.15" customHeight="1" thickBot="1">
      <c r="A12877" s="184" t="s">
        <v>17039</v>
      </c>
      <c r="B12877" s="59" t="s">
        <v>21980</v>
      </c>
      <c r="C12877" s="147" t="s">
        <v>20221</v>
      </c>
      <c r="D12877" s="701" t="s">
        <v>1129</v>
      </c>
      <c r="E12877" s="178">
        <v>2014</v>
      </c>
      <c r="F12877" s="178" t="s">
        <v>23395</v>
      </c>
      <c r="G12877" s="496"/>
      <c r="H12877" s="994" t="s">
        <v>20221</v>
      </c>
      <c r="I12877" s="11" t="s">
        <v>17040</v>
      </c>
      <c r="J12877" s="1285"/>
      <c r="K12877" s="1285"/>
      <c r="L12877" s="1285"/>
    </row>
    <row r="12878" spans="1:12" ht="11.15" customHeight="1">
      <c r="A12878" s="29" t="s">
        <v>17041</v>
      </c>
      <c r="B12878" s="90"/>
      <c r="C12878" s="147"/>
      <c r="D12878" s="161"/>
      <c r="E12878" s="36"/>
      <c r="F12878" s="178"/>
      <c r="G12878" s="496"/>
      <c r="H12878" s="36"/>
      <c r="I12878" s="11"/>
    </row>
    <row r="12879" spans="1:12" ht="11.15" customHeight="1">
      <c r="A12879" s="29" t="s">
        <v>17042</v>
      </c>
      <c r="B12879" s="185"/>
      <c r="C12879" s="147"/>
      <c r="D12879" s="129"/>
      <c r="E12879" s="185"/>
      <c r="F12879" s="185"/>
      <c r="G12879" s="185"/>
      <c r="H12879" s="185"/>
      <c r="I12879" s="11"/>
    </row>
    <row r="12880" spans="1:12" ht="11.15" customHeight="1">
      <c r="A12880" s="181" t="s">
        <v>950</v>
      </c>
      <c r="B12880" s="90"/>
      <c r="C12880" s="147"/>
      <c r="D12880" s="122"/>
      <c r="E12880" s="36"/>
      <c r="F12880" s="178"/>
      <c r="G12880" s="496"/>
      <c r="H12880" s="36"/>
      <c r="I12880" s="11"/>
    </row>
    <row r="12881" spans="1:9" ht="11.15" customHeight="1">
      <c r="A12881" s="29" t="s">
        <v>17043</v>
      </c>
      <c r="B12881" s="185"/>
      <c r="C12881" s="147"/>
      <c r="D12881" s="129"/>
      <c r="E12881" s="185"/>
      <c r="F12881" s="185"/>
      <c r="G12881" s="185"/>
      <c r="H12881" s="185"/>
      <c r="I12881" s="11"/>
    </row>
    <row r="12882" spans="1:9" ht="11.15" customHeight="1">
      <c r="A12882" s="137" t="s">
        <v>17044</v>
      </c>
      <c r="B12882" s="90"/>
      <c r="C12882" s="147"/>
      <c r="D12882" s="122"/>
      <c r="E12882" s="36"/>
      <c r="F12882" s="178"/>
      <c r="G12882" s="1217"/>
      <c r="H12882" s="36"/>
      <c r="I12882" s="11"/>
    </row>
    <row r="12883" spans="1:9" ht="11.15" customHeight="1">
      <c r="A12883" s="166" t="s">
        <v>17045</v>
      </c>
      <c r="B12883" s="90"/>
      <c r="C12883" s="147"/>
      <c r="D12883" s="122"/>
      <c r="E12883" s="36"/>
      <c r="F12883" s="178"/>
      <c r="G12883" s="1217"/>
      <c r="H12883" s="36"/>
      <c r="I12883" s="11"/>
    </row>
    <row r="12884" spans="1:9" ht="11.15" customHeight="1" thickBot="1">
      <c r="A12884" s="129" t="s">
        <v>17046</v>
      </c>
      <c r="B12884" s="773"/>
      <c r="C12884" s="147"/>
      <c r="D12884" s="161"/>
      <c r="E12884" s="36"/>
      <c r="F12884" s="178"/>
      <c r="G12884" s="671"/>
      <c r="H12884" s="36"/>
      <c r="I12884" s="11"/>
    </row>
    <row r="12885" spans="1:9" ht="24" customHeight="1" thickBot="1">
      <c r="A12885" s="753"/>
      <c r="B12885" s="64" t="s">
        <v>17047</v>
      </c>
      <c r="C12885" s="170"/>
      <c r="D12885" s="382"/>
      <c r="E12885" s="235"/>
      <c r="F12885" s="383"/>
      <c r="G12885" s="1080"/>
      <c r="H12885" s="511"/>
      <c r="I12885" s="11"/>
    </row>
    <row r="12886" spans="1:9" ht="11.15" customHeight="1">
      <c r="A12886" s="129"/>
      <c r="B12886" s="146" t="s">
        <v>17048</v>
      </c>
    </row>
    <row r="12887" spans="1:9" ht="11.15" customHeight="1">
      <c r="A12887" s="129"/>
      <c r="B12887" s="1359" t="s">
        <v>17049</v>
      </c>
    </row>
    <row r="12888" spans="1:9" ht="11.15" customHeight="1">
      <c r="A12888" s="129"/>
      <c r="B12888" s="1359" t="s">
        <v>17050</v>
      </c>
    </row>
    <row r="12889" spans="1:9" ht="11.15" customHeight="1">
      <c r="A12889" s="129"/>
      <c r="B12889" s="1360" t="s">
        <v>17051</v>
      </c>
    </row>
    <row r="12890" spans="1:9" ht="11.15" customHeight="1">
      <c r="A12890" s="129"/>
      <c r="B12890" s="1361" t="s">
        <v>17052</v>
      </c>
    </row>
    <row r="12891" spans="1:9" ht="11.15" customHeight="1">
      <c r="A12891" s="129"/>
      <c r="B12891" s="1360" t="s">
        <v>17053</v>
      </c>
    </row>
    <row r="12892" spans="1:9" ht="11.15" customHeight="1">
      <c r="A12892" s="129"/>
      <c r="B12892" s="1361" t="s">
        <v>17054</v>
      </c>
    </row>
    <row r="12893" spans="1:9" ht="11.15" customHeight="1">
      <c r="A12893" s="129"/>
      <c r="B12893" s="1361" t="s">
        <v>17055</v>
      </c>
    </row>
    <row r="12894" spans="1:9" ht="11.15" customHeight="1">
      <c r="A12894" s="129"/>
      <c r="B12894" s="1361" t="s">
        <v>17056</v>
      </c>
    </row>
    <row r="12895" spans="1:9" ht="11.15" customHeight="1">
      <c r="A12895" s="129"/>
      <c r="B12895" s="1361" t="s">
        <v>17057</v>
      </c>
    </row>
    <row r="12896" spans="1:9" ht="11.15" customHeight="1" thickBot="1">
      <c r="A12896" s="129"/>
      <c r="B12896" s="1361" t="s">
        <v>17058</v>
      </c>
    </row>
    <row r="12897" spans="1:12" ht="11.15" customHeight="1">
      <c r="A12897" s="754" t="s">
        <v>17059</v>
      </c>
      <c r="B12897" s="59" t="s">
        <v>22878</v>
      </c>
      <c r="C12897" s="147" t="s">
        <v>20221</v>
      </c>
      <c r="D12897" s="284" t="s">
        <v>897</v>
      </c>
      <c r="E12897" s="178">
        <v>2021</v>
      </c>
      <c r="F12897" s="178" t="s">
        <v>4520</v>
      </c>
      <c r="G12897" s="496"/>
      <c r="H12897" s="994" t="s">
        <v>20221</v>
      </c>
      <c r="I12897" s="11" t="s">
        <v>17060</v>
      </c>
      <c r="J12897" s="1285"/>
      <c r="K12897" s="1285"/>
      <c r="L12897" s="1285"/>
    </row>
    <row r="12898" spans="1:12" ht="11.15" customHeight="1" thickBot="1">
      <c r="A12898" s="1346" t="s">
        <v>17061</v>
      </c>
      <c r="B12898" s="59" t="s">
        <v>22877</v>
      </c>
      <c r="C12898" s="147" t="s">
        <v>20221</v>
      </c>
      <c r="D12898" s="284" t="s">
        <v>897</v>
      </c>
      <c r="E12898" s="178">
        <v>2021</v>
      </c>
      <c r="F12898" s="178" t="s">
        <v>4520</v>
      </c>
      <c r="G12898" s="496"/>
      <c r="H12898" s="994" t="s">
        <v>20221</v>
      </c>
      <c r="I12898" s="11" t="s">
        <v>17062</v>
      </c>
      <c r="J12898" s="1285"/>
      <c r="K12898" s="1285"/>
      <c r="L12898" s="1285"/>
    </row>
    <row r="12899" spans="1:12" ht="11.15" customHeight="1">
      <c r="A12899" s="29" t="s">
        <v>17063</v>
      </c>
      <c r="B12899" s="59" t="s">
        <v>22880</v>
      </c>
      <c r="C12899" s="147" t="s">
        <v>20221</v>
      </c>
      <c r="D12899" s="284" t="s">
        <v>897</v>
      </c>
      <c r="E12899" s="178">
        <v>2021</v>
      </c>
      <c r="F12899" s="178" t="s">
        <v>11931</v>
      </c>
      <c r="G12899" s="496"/>
      <c r="H12899" s="994" t="s">
        <v>20224</v>
      </c>
      <c r="I12899" s="11" t="s">
        <v>17064</v>
      </c>
      <c r="J12899" s="1285"/>
      <c r="K12899" s="1285"/>
      <c r="L12899" s="1285"/>
    </row>
    <row r="12900" spans="1:12" ht="11.15" customHeight="1">
      <c r="A12900" s="96" t="s">
        <v>17065</v>
      </c>
      <c r="B12900" s="59" t="s">
        <v>22879</v>
      </c>
      <c r="C12900" s="147" t="s">
        <v>20221</v>
      </c>
      <c r="D12900" s="284" t="s">
        <v>897</v>
      </c>
      <c r="E12900" s="178">
        <v>2021</v>
      </c>
      <c r="F12900" s="178" t="s">
        <v>11931</v>
      </c>
      <c r="G12900" s="496"/>
      <c r="H12900" s="994" t="s">
        <v>20224</v>
      </c>
      <c r="I12900" s="11" t="s">
        <v>17066</v>
      </c>
      <c r="J12900" s="1285"/>
      <c r="K12900" s="1285"/>
      <c r="L12900" s="1285"/>
    </row>
    <row r="12901" spans="1:12" ht="11.15" customHeight="1">
      <c r="A12901" s="96" t="s">
        <v>17067</v>
      </c>
      <c r="B12901" s="59"/>
      <c r="C12901" s="147"/>
      <c r="D12901" s="284"/>
      <c r="E12901" s="178"/>
      <c r="F12901" s="178"/>
      <c r="G12901" s="496"/>
      <c r="H12901" s="994"/>
      <c r="I12901" s="11"/>
      <c r="J12901" s="1285"/>
      <c r="K12901" s="1285"/>
      <c r="L12901" s="1285"/>
    </row>
    <row r="12902" spans="1:12" ht="11.15" customHeight="1">
      <c r="A12902" s="181" t="s">
        <v>17068</v>
      </c>
      <c r="B12902" s="59"/>
      <c r="C12902" s="147"/>
      <c r="D12902" s="284"/>
      <c r="E12902" s="178"/>
      <c r="F12902" s="178"/>
      <c r="G12902" s="496"/>
      <c r="H12902" s="994"/>
      <c r="I12902" s="11"/>
      <c r="J12902" s="1285"/>
      <c r="K12902" s="1285"/>
      <c r="L12902" s="1285"/>
    </row>
    <row r="12903" spans="1:12" ht="11.15" customHeight="1">
      <c r="A12903" s="29" t="s">
        <v>17069</v>
      </c>
      <c r="B12903" s="59"/>
      <c r="C12903" s="147"/>
      <c r="D12903" s="284"/>
      <c r="E12903" s="178"/>
      <c r="F12903" s="178"/>
      <c r="G12903" s="496"/>
      <c r="H12903" s="994"/>
      <c r="I12903" s="11"/>
      <c r="J12903" s="1285"/>
      <c r="K12903" s="1285"/>
      <c r="L12903" s="1285"/>
    </row>
    <row r="12904" spans="1:12" ht="11.15" customHeight="1">
      <c r="A12904" s="484" t="s">
        <v>17070</v>
      </c>
      <c r="B12904" s="59"/>
      <c r="C12904" s="147"/>
      <c r="D12904" s="284"/>
      <c r="E12904" s="178"/>
      <c r="F12904" s="178"/>
      <c r="G12904" s="496"/>
      <c r="H12904" s="994"/>
      <c r="I12904" s="11"/>
      <c r="J12904" s="1285"/>
      <c r="K12904" s="1285"/>
      <c r="L12904" s="1285"/>
    </row>
    <row r="12905" spans="1:12" ht="11.15" customHeight="1">
      <c r="A12905" s="29" t="s">
        <v>17071</v>
      </c>
      <c r="B12905" s="59"/>
      <c r="C12905" s="147"/>
      <c r="D12905" s="284"/>
      <c r="E12905" s="178"/>
      <c r="F12905" s="178"/>
      <c r="G12905" s="496"/>
      <c r="H12905" s="994"/>
      <c r="I12905" s="11"/>
      <c r="J12905" s="1285"/>
      <c r="K12905" s="1285"/>
      <c r="L12905" s="1285"/>
    </row>
    <row r="12906" spans="1:12" ht="11.15" customHeight="1">
      <c r="A12906" s="29" t="s">
        <v>17072</v>
      </c>
      <c r="B12906" s="59"/>
      <c r="C12906" s="147"/>
      <c r="D12906" s="284"/>
      <c r="E12906" s="178"/>
      <c r="F12906" s="178"/>
      <c r="G12906" s="496"/>
      <c r="H12906" s="994"/>
      <c r="I12906" s="11"/>
      <c r="J12906" s="1285"/>
      <c r="K12906" s="1285"/>
      <c r="L12906" s="1285"/>
    </row>
    <row r="12907" spans="1:12" ht="11.15" customHeight="1">
      <c r="A12907" s="129" t="s">
        <v>12591</v>
      </c>
      <c r="B12907" s="59"/>
      <c r="C12907" s="147"/>
      <c r="D12907" s="284"/>
      <c r="E12907" s="178"/>
      <c r="F12907" s="178"/>
      <c r="G12907" s="496"/>
      <c r="H12907" s="994"/>
      <c r="I12907" s="11"/>
      <c r="J12907" s="1285"/>
      <c r="K12907" s="1285"/>
      <c r="L12907" s="1285"/>
    </row>
    <row r="12908" spans="1:12" ht="11.15" customHeight="1">
      <c r="A12908" s="484" t="s">
        <v>17073</v>
      </c>
      <c r="B12908" s="59"/>
      <c r="C12908" s="147"/>
      <c r="D12908" s="284"/>
      <c r="E12908" s="178"/>
      <c r="F12908" s="178"/>
      <c r="G12908" s="496"/>
      <c r="H12908" s="994"/>
      <c r="I12908" s="11"/>
      <c r="J12908" s="1285"/>
      <c r="K12908" s="1285"/>
      <c r="L12908" s="1285"/>
    </row>
    <row r="12909" spans="1:12" ht="11.15" customHeight="1">
      <c r="A12909" s="29" t="s">
        <v>17074</v>
      </c>
      <c r="B12909" s="59"/>
      <c r="C12909" s="147"/>
      <c r="D12909" s="284"/>
      <c r="E12909" s="178"/>
      <c r="F12909" s="178"/>
      <c r="G12909" s="496"/>
      <c r="H12909" s="994"/>
      <c r="I12909" s="11"/>
      <c r="J12909" s="1285"/>
      <c r="K12909" s="1285"/>
      <c r="L12909" s="1285"/>
    </row>
    <row r="12910" spans="1:12" ht="11.15" customHeight="1">
      <c r="A12910" s="29" t="s">
        <v>17075</v>
      </c>
      <c r="B12910" s="59"/>
      <c r="C12910" s="147"/>
      <c r="D12910" s="284"/>
      <c r="E12910" s="178"/>
      <c r="F12910" s="178"/>
      <c r="G12910" s="496"/>
      <c r="H12910" s="994"/>
      <c r="I12910" s="11"/>
      <c r="J12910" s="1285"/>
      <c r="K12910" s="1285"/>
      <c r="L12910" s="1285"/>
    </row>
    <row r="12911" spans="1:12" ht="11.15" customHeight="1">
      <c r="A12911" s="29" t="s">
        <v>17076</v>
      </c>
      <c r="B12911" s="59"/>
      <c r="C12911" s="147"/>
      <c r="D12911" s="284"/>
      <c r="E12911" s="178"/>
      <c r="F12911" s="178"/>
      <c r="G12911" s="496"/>
      <c r="H12911" s="994"/>
      <c r="I12911" s="11"/>
      <c r="J12911" s="1285"/>
      <c r="K12911" s="1285"/>
      <c r="L12911" s="1285"/>
    </row>
    <row r="12912" spans="1:12" ht="11.15" customHeight="1">
      <c r="A12912" s="1362" t="s">
        <v>17077</v>
      </c>
      <c r="B12912" s="59"/>
      <c r="C12912" s="147"/>
      <c r="D12912" s="284"/>
      <c r="E12912" s="178"/>
      <c r="F12912" s="178"/>
      <c r="G12912" s="496"/>
      <c r="H12912" s="994"/>
      <c r="I12912" s="11"/>
      <c r="J12912" s="1285"/>
      <c r="K12912" s="1285"/>
      <c r="L12912" s="1285"/>
    </row>
    <row r="12913" spans="1:12" ht="11.15" customHeight="1">
      <c r="A12913" s="1363" t="s">
        <v>17078</v>
      </c>
      <c r="B12913" s="59"/>
      <c r="C12913" s="147"/>
      <c r="D12913" s="284"/>
      <c r="E12913" s="178"/>
      <c r="F12913" s="178"/>
      <c r="G12913" s="496"/>
      <c r="H12913" s="994"/>
      <c r="I12913" s="11"/>
      <c r="J12913" s="1285"/>
      <c r="K12913" s="1285"/>
      <c r="L12913" s="1285"/>
    </row>
    <row r="12914" spans="1:12" ht="11.15" customHeight="1">
      <c r="A12914" s="29" t="s">
        <v>17079</v>
      </c>
      <c r="B12914" s="59"/>
      <c r="C12914" s="147"/>
      <c r="D12914" s="284"/>
      <c r="E12914" s="178"/>
      <c r="F12914" s="178"/>
      <c r="G12914" s="496"/>
      <c r="H12914" s="994"/>
      <c r="I12914" s="11"/>
      <c r="J12914" s="1285"/>
      <c r="K12914" s="1285"/>
      <c r="L12914" s="1285"/>
    </row>
    <row r="12915" spans="1:12" ht="11.15" customHeight="1">
      <c r="A12915" s="29" t="s">
        <v>17080</v>
      </c>
      <c r="B12915" s="59"/>
      <c r="C12915" s="147"/>
      <c r="D12915" s="284"/>
      <c r="E12915" s="178"/>
      <c r="F12915" s="178"/>
      <c r="G12915" s="496"/>
      <c r="H12915" s="994"/>
      <c r="I12915" s="11"/>
      <c r="J12915" s="1285"/>
      <c r="K12915" s="1285"/>
      <c r="L12915" s="1285"/>
    </row>
    <row r="12916" spans="1:12" ht="11.15" customHeight="1">
      <c r="A12916" s="1362" t="s">
        <v>17081</v>
      </c>
      <c r="B12916" s="59"/>
      <c r="C12916" s="147"/>
      <c r="D12916" s="284"/>
      <c r="E12916" s="178"/>
      <c r="F12916" s="178"/>
      <c r="G12916" s="496"/>
      <c r="H12916" s="994"/>
      <c r="I12916" s="11"/>
      <c r="J12916" s="1285"/>
      <c r="K12916" s="1285"/>
      <c r="L12916" s="1285"/>
    </row>
    <row r="12917" spans="1:12" ht="11.15" customHeight="1">
      <c r="A12917" s="1362" t="s">
        <v>17082</v>
      </c>
      <c r="B12917" s="59"/>
      <c r="C12917" s="147"/>
      <c r="D12917" s="284"/>
      <c r="E12917" s="178"/>
      <c r="F12917" s="178"/>
      <c r="G12917" s="496"/>
      <c r="H12917" s="994"/>
      <c r="I12917" s="11"/>
      <c r="J12917" s="1285"/>
      <c r="K12917" s="1285"/>
      <c r="L12917" s="1285"/>
    </row>
    <row r="12918" spans="1:12" ht="11.15" customHeight="1">
      <c r="A12918" s="1362" t="s">
        <v>17083</v>
      </c>
      <c r="B12918" s="59"/>
      <c r="C12918" s="147"/>
      <c r="D12918" s="284"/>
      <c r="E12918" s="178"/>
      <c r="F12918" s="178"/>
      <c r="G12918" s="496"/>
      <c r="H12918" s="994"/>
      <c r="I12918" s="11"/>
      <c r="J12918" s="1285"/>
      <c r="K12918" s="1285"/>
      <c r="L12918" s="1285"/>
    </row>
    <row r="12919" spans="1:12" ht="11.15" customHeight="1">
      <c r="A12919" s="1362" t="s">
        <v>17084</v>
      </c>
      <c r="B12919" s="59"/>
      <c r="C12919" s="147"/>
      <c r="D12919" s="284"/>
      <c r="E12919" s="178"/>
      <c r="F12919" s="178"/>
      <c r="G12919" s="496"/>
      <c r="H12919" s="994"/>
      <c r="I12919" s="11"/>
      <c r="J12919" s="1285"/>
      <c r="K12919" s="1285"/>
      <c r="L12919" s="1285"/>
    </row>
    <row r="12920" spans="1:12" ht="11.15" customHeight="1">
      <c r="A12920" s="1364" t="s">
        <v>1077</v>
      </c>
      <c r="B12920" s="59"/>
      <c r="C12920" s="147"/>
      <c r="D12920" s="284"/>
      <c r="E12920" s="178"/>
      <c r="F12920" s="178"/>
      <c r="G12920" s="496"/>
      <c r="H12920" s="994"/>
      <c r="I12920" s="11"/>
      <c r="J12920" s="1285"/>
      <c r="K12920" s="1285"/>
      <c r="L12920" s="1285"/>
    </row>
    <row r="12921" spans="1:12" ht="11.15" customHeight="1">
      <c r="A12921" s="1365" t="s">
        <v>17085</v>
      </c>
      <c r="B12921" s="59"/>
      <c r="C12921" s="147"/>
      <c r="D12921" s="284"/>
      <c r="E12921" s="178"/>
      <c r="F12921" s="178"/>
      <c r="G12921" s="496"/>
      <c r="H12921" s="994"/>
      <c r="I12921" s="11"/>
      <c r="J12921" s="1285"/>
      <c r="K12921" s="1285"/>
      <c r="L12921" s="1285"/>
    </row>
    <row r="12922" spans="1:12" ht="11.15" customHeight="1">
      <c r="A12922" s="1365" t="s">
        <v>17086</v>
      </c>
      <c r="B12922" s="59"/>
      <c r="C12922" s="147"/>
      <c r="D12922" s="284"/>
      <c r="E12922" s="178"/>
      <c r="F12922" s="178"/>
      <c r="G12922" s="496"/>
      <c r="H12922" s="994"/>
      <c r="I12922" s="11"/>
      <c r="J12922" s="1285"/>
      <c r="K12922" s="1285"/>
      <c r="L12922" s="1285"/>
    </row>
    <row r="12923" spans="1:12" ht="11.15" customHeight="1">
      <c r="A12923" s="1365" t="s">
        <v>17087</v>
      </c>
      <c r="B12923" s="59"/>
      <c r="C12923" s="147"/>
      <c r="D12923" s="284"/>
      <c r="E12923" s="178"/>
      <c r="F12923" s="178"/>
      <c r="G12923" s="496"/>
      <c r="H12923" s="994"/>
      <c r="I12923" s="11"/>
      <c r="J12923" s="1285"/>
      <c r="K12923" s="1285"/>
      <c r="L12923" s="1285"/>
    </row>
    <row r="12924" spans="1:12" ht="11.15" customHeight="1">
      <c r="A12924" s="1365" t="s">
        <v>17088</v>
      </c>
      <c r="B12924" s="59"/>
      <c r="C12924" s="147"/>
      <c r="D12924" s="284"/>
      <c r="E12924" s="178"/>
      <c r="F12924" s="178"/>
      <c r="G12924" s="496"/>
      <c r="H12924" s="994"/>
      <c r="I12924" s="11"/>
      <c r="J12924" s="1285"/>
      <c r="K12924" s="1285"/>
      <c r="L12924" s="1285"/>
    </row>
    <row r="12925" spans="1:12" ht="11.15" customHeight="1">
      <c r="A12925" s="1365" t="s">
        <v>17089</v>
      </c>
      <c r="B12925" s="59"/>
      <c r="C12925" s="147"/>
      <c r="D12925" s="284"/>
      <c r="E12925" s="178"/>
      <c r="F12925" s="178"/>
      <c r="G12925" s="496"/>
      <c r="H12925" s="994"/>
      <c r="I12925" s="11"/>
      <c r="J12925" s="1285"/>
      <c r="K12925" s="1285"/>
      <c r="L12925" s="1285"/>
    </row>
    <row r="12926" spans="1:12" ht="11.15" customHeight="1">
      <c r="A12926" s="1365" t="s">
        <v>17090</v>
      </c>
      <c r="B12926" s="59"/>
      <c r="C12926" s="147"/>
      <c r="D12926" s="284"/>
      <c r="E12926" s="178"/>
      <c r="F12926" s="178"/>
      <c r="G12926" s="496"/>
      <c r="H12926" s="994"/>
      <c r="I12926" s="11"/>
      <c r="J12926" s="1285"/>
      <c r="K12926" s="1285"/>
      <c r="L12926" s="1285"/>
    </row>
    <row r="12927" spans="1:12" ht="11.15" customHeight="1">
      <c r="A12927" s="1365" t="s">
        <v>17091</v>
      </c>
      <c r="B12927" s="59"/>
      <c r="C12927" s="147"/>
      <c r="D12927" s="284"/>
      <c r="E12927" s="178"/>
      <c r="F12927" s="178"/>
      <c r="G12927" s="496"/>
      <c r="H12927" s="994"/>
      <c r="I12927" s="11"/>
      <c r="J12927" s="1285"/>
      <c r="K12927" s="1285"/>
      <c r="L12927" s="1285"/>
    </row>
    <row r="12928" spans="1:12" ht="11.15" customHeight="1">
      <c r="A12928" s="1365" t="s">
        <v>17092</v>
      </c>
      <c r="B12928" s="59"/>
      <c r="C12928" s="147"/>
      <c r="D12928" s="284"/>
      <c r="E12928" s="178"/>
      <c r="F12928" s="178"/>
      <c r="G12928" s="496"/>
      <c r="H12928" s="994"/>
      <c r="I12928" s="11"/>
      <c r="J12928" s="1285"/>
      <c r="K12928" s="1285"/>
      <c r="L12928" s="1285"/>
    </row>
    <row r="12929" spans="1:12" ht="11.15" customHeight="1">
      <c r="A12929" s="169" t="s">
        <v>17093</v>
      </c>
      <c r="B12929" s="59"/>
      <c r="C12929" s="147"/>
      <c r="D12929" s="284"/>
      <c r="E12929" s="178"/>
      <c r="F12929" s="178"/>
      <c r="G12929" s="496"/>
      <c r="H12929" s="994"/>
      <c r="I12929" s="11"/>
      <c r="J12929" s="1285"/>
      <c r="K12929" s="1285"/>
      <c r="L12929" s="1285"/>
    </row>
    <row r="12930" spans="1:12" ht="11.15" customHeight="1">
      <c r="A12930" s="129" t="s">
        <v>17094</v>
      </c>
      <c r="B12930" s="59"/>
      <c r="C12930" s="147"/>
      <c r="D12930" s="284"/>
      <c r="E12930" s="178"/>
      <c r="F12930" s="178"/>
      <c r="G12930" s="496"/>
      <c r="H12930" s="994"/>
      <c r="I12930" s="11"/>
      <c r="J12930" s="1285"/>
      <c r="K12930" s="1285"/>
      <c r="L12930" s="1285"/>
    </row>
    <row r="12931" spans="1:12" ht="11.15" customHeight="1">
      <c r="A12931" s="29"/>
      <c r="B12931" s="146" t="s">
        <v>17095</v>
      </c>
      <c r="C12931" s="147"/>
      <c r="D12931" s="129"/>
      <c r="E12931" s="185"/>
      <c r="F12931" s="185"/>
      <c r="G12931" s="185"/>
      <c r="H12931" s="185"/>
      <c r="I12931" s="11"/>
    </row>
    <row r="12932" spans="1:12" ht="9" customHeight="1">
      <c r="A12932" s="29"/>
      <c r="B12932" s="672" t="s">
        <v>17096</v>
      </c>
      <c r="C12932" s="147"/>
      <c r="D12932" s="129"/>
      <c r="E12932" s="185"/>
      <c r="F12932" s="185"/>
      <c r="G12932" s="185"/>
      <c r="H12932" s="185"/>
      <c r="I12932" s="11"/>
    </row>
    <row r="12933" spans="1:12" ht="9" customHeight="1">
      <c r="A12933" s="29"/>
      <c r="B12933" s="150" t="s">
        <v>17097</v>
      </c>
      <c r="C12933" s="147"/>
      <c r="D12933" s="129"/>
      <c r="E12933" s="185"/>
      <c r="F12933" s="185"/>
      <c r="G12933" s="185"/>
      <c r="H12933" s="185"/>
      <c r="I12933" s="11"/>
    </row>
    <row r="12934" spans="1:12" ht="9" customHeight="1">
      <c r="A12934" s="29"/>
      <c r="B12934" s="672" t="s">
        <v>17098</v>
      </c>
      <c r="C12934" s="147"/>
      <c r="D12934" s="129"/>
      <c r="E12934" s="185"/>
      <c r="F12934" s="185"/>
      <c r="G12934" s="185"/>
      <c r="H12934" s="185"/>
      <c r="I12934" s="11"/>
    </row>
    <row r="12935" spans="1:12" ht="9" customHeight="1">
      <c r="A12935" s="29"/>
      <c r="B12935" s="150" t="s">
        <v>17099</v>
      </c>
      <c r="C12935" s="147"/>
      <c r="D12935" s="129"/>
      <c r="E12935" s="185"/>
      <c r="F12935" s="185"/>
      <c r="G12935" s="185"/>
      <c r="H12935" s="185"/>
      <c r="I12935" s="11"/>
    </row>
    <row r="12936" spans="1:12" ht="9" customHeight="1">
      <c r="A12936" s="29"/>
      <c r="B12936" s="150" t="s">
        <v>17100</v>
      </c>
      <c r="C12936" s="147"/>
      <c r="D12936" s="129"/>
      <c r="E12936" s="185"/>
      <c r="F12936" s="185"/>
      <c r="G12936" s="185"/>
      <c r="H12936" s="185"/>
      <c r="I12936" s="11"/>
    </row>
    <row r="12937" spans="1:12" ht="9" customHeight="1">
      <c r="A12937" s="29"/>
      <c r="B12937" s="150" t="s">
        <v>17101</v>
      </c>
      <c r="C12937" s="147"/>
      <c r="D12937" s="129"/>
      <c r="E12937" s="185"/>
      <c r="F12937" s="185"/>
      <c r="G12937" s="185"/>
      <c r="H12937" s="185"/>
      <c r="I12937" s="11"/>
    </row>
    <row r="12938" spans="1:12" ht="9" customHeight="1">
      <c r="A12938" s="185"/>
      <c r="B12938" s="150" t="s">
        <v>17102</v>
      </c>
      <c r="C12938" s="147"/>
      <c r="D12938" s="122"/>
      <c r="E12938" s="36"/>
      <c r="F12938" s="183"/>
      <c r="G12938" s="1221"/>
      <c r="H12938" s="34"/>
      <c r="I12938" s="11"/>
    </row>
    <row r="12939" spans="1:12" ht="9" customHeight="1">
      <c r="A12939" s="129"/>
      <c r="B12939" s="210" t="s">
        <v>17103</v>
      </c>
      <c r="C12939" s="147"/>
      <c r="D12939" s="122"/>
      <c r="E12939" s="36"/>
      <c r="F12939" s="183"/>
      <c r="G12939" s="1221"/>
      <c r="H12939" s="34"/>
      <c r="I12939" s="11"/>
    </row>
    <row r="12940" spans="1:12" ht="9" customHeight="1">
      <c r="A12940" s="29"/>
      <c r="B12940" s="150" t="s">
        <v>17104</v>
      </c>
      <c r="C12940" s="147"/>
      <c r="D12940" s="122"/>
      <c r="E12940" s="36"/>
      <c r="F12940" s="178"/>
      <c r="G12940" s="453"/>
      <c r="H12940" s="36"/>
      <c r="I12940" s="11"/>
    </row>
    <row r="12941" spans="1:12" ht="9" customHeight="1">
      <c r="A12941" s="415"/>
      <c r="B12941" s="150" t="s">
        <v>17105</v>
      </c>
      <c r="C12941" s="147"/>
      <c r="D12941" s="122"/>
      <c r="E12941" s="36"/>
      <c r="F12941" s="178"/>
      <c r="G12941" s="453"/>
      <c r="H12941" s="36"/>
      <c r="I12941" s="11"/>
    </row>
    <row r="12942" spans="1:12" ht="9" customHeight="1">
      <c r="A12942" s="137"/>
      <c r="B12942" s="150" t="s">
        <v>17106</v>
      </c>
      <c r="C12942" s="147"/>
      <c r="D12942" s="122"/>
      <c r="E12942" s="36"/>
      <c r="F12942" s="178"/>
      <c r="G12942" s="453"/>
      <c r="H12942" s="36"/>
      <c r="I12942" s="11"/>
    </row>
    <row r="12943" spans="1:12" ht="9" customHeight="1">
      <c r="A12943" s="137"/>
      <c r="B12943" s="150" t="s">
        <v>17107</v>
      </c>
      <c r="C12943" s="147"/>
      <c r="D12943" s="122"/>
      <c r="E12943" s="36"/>
      <c r="F12943" s="178"/>
      <c r="G12943" s="453"/>
      <c r="H12943" s="36"/>
      <c r="I12943" s="11"/>
    </row>
    <row r="12944" spans="1:12" ht="9" customHeight="1">
      <c r="A12944" s="29"/>
      <c r="B12944" s="150" t="s">
        <v>17108</v>
      </c>
      <c r="C12944" s="147"/>
      <c r="D12944" s="129"/>
      <c r="E12944" s="185"/>
      <c r="F12944" s="185"/>
      <c r="G12944" s="185"/>
      <c r="H12944" s="185"/>
      <c r="I12944" s="11"/>
    </row>
    <row r="12945" spans="1:12" ht="9" customHeight="1" thickBot="1">
      <c r="A12945" s="29"/>
      <c r="B12945" s="150" t="s">
        <v>17109</v>
      </c>
      <c r="C12945" s="147"/>
      <c r="D12945" s="129"/>
      <c r="E12945" s="185"/>
      <c r="F12945" s="185"/>
      <c r="G12945" s="185"/>
      <c r="H12945" s="185"/>
      <c r="I12945" s="11"/>
    </row>
    <row r="12946" spans="1:12" ht="9" customHeight="1" thickBot="1">
      <c r="A12946" s="1370" t="s">
        <v>23345</v>
      </c>
      <c r="B12946" s="154" t="s">
        <v>17111</v>
      </c>
      <c r="C12946" s="147"/>
      <c r="D12946" s="156"/>
      <c r="E12946" s="36"/>
      <c r="F12946" s="178"/>
      <c r="G12946" s="496"/>
      <c r="H12946" s="36"/>
      <c r="I12946" s="11"/>
    </row>
    <row r="12947" spans="1:12" ht="11.25" customHeight="1">
      <c r="A12947" s="29" t="s">
        <v>23346</v>
      </c>
      <c r="B12947" s="59" t="s">
        <v>22863</v>
      </c>
      <c r="C12947" s="147" t="s">
        <v>20221</v>
      </c>
      <c r="D12947" s="1034" t="s">
        <v>2573</v>
      </c>
      <c r="E12947" s="178">
        <v>2022</v>
      </c>
      <c r="F12947" s="178" t="s">
        <v>4520</v>
      </c>
      <c r="G12947" s="496"/>
      <c r="H12947" s="994" t="s">
        <v>20221</v>
      </c>
      <c r="I12947" s="11" t="s">
        <v>17113</v>
      </c>
      <c r="J12947" s="1285"/>
      <c r="K12947" s="1285"/>
      <c r="L12947" s="1285"/>
    </row>
    <row r="12948" spans="1:12" ht="11.25" customHeight="1">
      <c r="A12948" s="29" t="s">
        <v>23347</v>
      </c>
      <c r="B12948" s="154" t="s">
        <v>15688</v>
      </c>
      <c r="C12948" s="147"/>
      <c r="D12948" s="156"/>
      <c r="E12948" s="36"/>
      <c r="F12948" s="178"/>
      <c r="G12948" s="496"/>
      <c r="H12948" s="36"/>
      <c r="I12948" s="11"/>
    </row>
    <row r="12949" spans="1:12" ht="11.25" customHeight="1">
      <c r="A12949" s="29" t="s">
        <v>23348</v>
      </c>
      <c r="B12949" s="59" t="s">
        <v>22864</v>
      </c>
      <c r="C12949" s="147" t="s">
        <v>20221</v>
      </c>
      <c r="D12949" s="701" t="s">
        <v>1129</v>
      </c>
      <c r="E12949" s="178">
        <v>2024</v>
      </c>
      <c r="F12949" s="178" t="s">
        <v>4520</v>
      </c>
      <c r="G12949" s="496"/>
      <c r="H12949" s="994" t="s">
        <v>20221</v>
      </c>
      <c r="I12949" s="11" t="s">
        <v>17116</v>
      </c>
      <c r="J12949" s="1285"/>
      <c r="K12949" s="1285"/>
      <c r="L12949" s="1285"/>
    </row>
    <row r="12950" spans="1:12" ht="11.25" customHeight="1">
      <c r="A12950" s="29" t="s">
        <v>23349</v>
      </c>
      <c r="B12950" s="59" t="s">
        <v>22864</v>
      </c>
      <c r="C12950" s="147" t="s">
        <v>20221</v>
      </c>
      <c r="D12950" s="701" t="s">
        <v>1129</v>
      </c>
      <c r="E12950" s="178">
        <v>2023</v>
      </c>
      <c r="F12950" s="178" t="s">
        <v>4520</v>
      </c>
      <c r="G12950" s="496"/>
      <c r="H12950" s="994" t="s">
        <v>20221</v>
      </c>
      <c r="I12950" s="11" t="s">
        <v>17117</v>
      </c>
      <c r="J12950" s="1285"/>
      <c r="K12950" s="1285"/>
      <c r="L12950" s="1285"/>
    </row>
    <row r="12951" spans="1:12" ht="11.25" customHeight="1">
      <c r="A12951" s="29" t="s">
        <v>23350</v>
      </c>
      <c r="B12951" s="59" t="s">
        <v>22864</v>
      </c>
      <c r="C12951" s="147" t="s">
        <v>20221</v>
      </c>
      <c r="D12951" s="701" t="s">
        <v>1129</v>
      </c>
      <c r="E12951" s="178">
        <v>2022</v>
      </c>
      <c r="F12951" s="178" t="s">
        <v>4520</v>
      </c>
      <c r="G12951" s="496"/>
      <c r="H12951" s="994" t="s">
        <v>20277</v>
      </c>
      <c r="I12951" s="11" t="s">
        <v>17119</v>
      </c>
      <c r="J12951" s="1285"/>
      <c r="K12951" s="1285"/>
      <c r="L12951" s="1285"/>
    </row>
    <row r="12952" spans="1:12" ht="11.15" customHeight="1">
      <c r="A12952" s="29" t="s">
        <v>17110</v>
      </c>
      <c r="B12952" s="154" t="s">
        <v>17121</v>
      </c>
      <c r="C12952" s="147"/>
      <c r="D12952" s="156"/>
      <c r="E12952" s="36"/>
      <c r="F12952" s="178"/>
      <c r="G12952" s="496"/>
      <c r="H12952" s="36"/>
      <c r="I12952" s="11"/>
    </row>
    <row r="12953" spans="1:12" ht="11.15" customHeight="1">
      <c r="A12953" s="29" t="s">
        <v>17112</v>
      </c>
      <c r="B12953" s="59" t="s">
        <v>22865</v>
      </c>
      <c r="C12953" s="147" t="s">
        <v>20221</v>
      </c>
      <c r="D12953" s="701" t="s">
        <v>1129</v>
      </c>
      <c r="E12953" s="178">
        <v>2024</v>
      </c>
      <c r="F12953" s="178" t="s">
        <v>4520</v>
      </c>
      <c r="G12953" s="496"/>
      <c r="H12953" s="994" t="s">
        <v>20224</v>
      </c>
      <c r="I12953" s="11" t="s">
        <v>17123</v>
      </c>
      <c r="J12953" s="1285"/>
      <c r="K12953" s="1285"/>
      <c r="L12953" s="1285"/>
    </row>
    <row r="12954" spans="1:12" ht="11.15" customHeight="1">
      <c r="A12954" s="29" t="s">
        <v>17114</v>
      </c>
      <c r="B12954" s="59" t="s">
        <v>22865</v>
      </c>
      <c r="C12954" s="147" t="s">
        <v>20221</v>
      </c>
      <c r="D12954" s="701" t="s">
        <v>1129</v>
      </c>
      <c r="E12954" s="178">
        <v>2023</v>
      </c>
      <c r="F12954" s="178" t="s">
        <v>4520</v>
      </c>
      <c r="G12954" s="496"/>
      <c r="H12954" s="994" t="s">
        <v>20224</v>
      </c>
      <c r="I12954" s="11" t="s">
        <v>17125</v>
      </c>
      <c r="J12954" s="1285"/>
      <c r="K12954" s="1285"/>
      <c r="L12954" s="1285"/>
    </row>
    <row r="12955" spans="1:12" ht="11.15" customHeight="1">
      <c r="A12955" s="29" t="s">
        <v>17115</v>
      </c>
      <c r="B12955" s="59" t="s">
        <v>22865</v>
      </c>
      <c r="C12955" s="147" t="s">
        <v>20221</v>
      </c>
      <c r="D12955" s="701" t="s">
        <v>1129</v>
      </c>
      <c r="E12955" s="178">
        <v>2022</v>
      </c>
      <c r="F12955" s="178" t="s">
        <v>4520</v>
      </c>
      <c r="G12955" s="496"/>
      <c r="H12955" s="994" t="s">
        <v>20224</v>
      </c>
      <c r="I12955" s="11" t="s">
        <v>17127</v>
      </c>
      <c r="J12955" s="1285"/>
      <c r="K12955" s="1285"/>
      <c r="L12955" s="1285"/>
    </row>
    <row r="12956" spans="1:12" ht="11.15" customHeight="1">
      <c r="A12956" s="181" t="s">
        <v>8823</v>
      </c>
      <c r="B12956" s="59" t="s">
        <v>22865</v>
      </c>
      <c r="C12956" s="147" t="s">
        <v>20221</v>
      </c>
      <c r="D12956" s="701" t="s">
        <v>1129</v>
      </c>
      <c r="E12956" s="178">
        <v>2013</v>
      </c>
      <c r="F12956" s="178" t="s">
        <v>23395</v>
      </c>
      <c r="G12956" s="496"/>
      <c r="H12956" s="994" t="s">
        <v>20224</v>
      </c>
      <c r="I12956" s="11" t="s">
        <v>17129</v>
      </c>
      <c r="J12956" s="1285"/>
      <c r="K12956" s="1285"/>
      <c r="L12956" s="1285"/>
    </row>
    <row r="12957" spans="1:12" ht="11.15" customHeight="1">
      <c r="A12957" s="218" t="s">
        <v>17118</v>
      </c>
      <c r="B12957" s="154" t="s">
        <v>17131</v>
      </c>
      <c r="C12957" s="147"/>
      <c r="D12957" s="159"/>
      <c r="E12957" s="36"/>
      <c r="F12957" s="178"/>
      <c r="G12957" s="496"/>
      <c r="H12957" s="36"/>
      <c r="I12957" s="11"/>
    </row>
    <row r="12958" spans="1:12" ht="11.15" customHeight="1">
      <c r="A12958" s="129" t="s">
        <v>17120</v>
      </c>
      <c r="B12958" s="59" t="s">
        <v>22866</v>
      </c>
      <c r="C12958" s="147" t="s">
        <v>20221</v>
      </c>
      <c r="D12958" s="701" t="s">
        <v>1129</v>
      </c>
      <c r="E12958" s="178">
        <v>2024</v>
      </c>
      <c r="F12958" s="178" t="s">
        <v>4520</v>
      </c>
      <c r="G12958" s="496"/>
      <c r="H12958" s="994" t="s">
        <v>20221</v>
      </c>
      <c r="I12958" s="11" t="s">
        <v>23375</v>
      </c>
      <c r="J12958" s="1285"/>
      <c r="K12958" s="1285"/>
      <c r="L12958" s="1285"/>
    </row>
    <row r="12959" spans="1:12" ht="11.15" customHeight="1">
      <c r="A12959" s="162" t="s">
        <v>17122</v>
      </c>
      <c r="B12959" s="59" t="s">
        <v>22866</v>
      </c>
      <c r="C12959" s="147" t="s">
        <v>20221</v>
      </c>
      <c r="D12959" s="701" t="s">
        <v>1129</v>
      </c>
      <c r="E12959" s="178">
        <v>2023</v>
      </c>
      <c r="F12959" s="178" t="s">
        <v>4520</v>
      </c>
      <c r="G12959" s="496"/>
      <c r="H12959" s="994" t="s">
        <v>20221</v>
      </c>
      <c r="I12959" s="11" t="s">
        <v>17133</v>
      </c>
      <c r="J12959" s="1285"/>
      <c r="K12959" s="1285"/>
      <c r="L12959" s="1285"/>
    </row>
    <row r="12960" spans="1:12" ht="11.15" customHeight="1">
      <c r="A12960" s="162" t="s">
        <v>17124</v>
      </c>
      <c r="B12960" s="59" t="s">
        <v>22866</v>
      </c>
      <c r="C12960" s="147" t="s">
        <v>20221</v>
      </c>
      <c r="D12960" s="701" t="s">
        <v>1129</v>
      </c>
      <c r="E12960" s="178">
        <v>2019</v>
      </c>
      <c r="F12960" s="178" t="s">
        <v>4520</v>
      </c>
      <c r="G12960" s="496"/>
      <c r="H12960" s="994" t="s">
        <v>20224</v>
      </c>
      <c r="I12960" s="11" t="s">
        <v>17136</v>
      </c>
      <c r="J12960" s="1285"/>
      <c r="K12960" s="1285"/>
      <c r="L12960" s="1285"/>
    </row>
    <row r="12961" spans="1:12" ht="11.15" customHeight="1">
      <c r="A12961" s="162" t="s">
        <v>17126</v>
      </c>
      <c r="B12961" s="154" t="s">
        <v>17138</v>
      </c>
      <c r="C12961" s="147"/>
      <c r="D12961" s="159"/>
      <c r="E12961" s="36"/>
      <c r="F12961" s="178"/>
      <c r="G12961" s="496"/>
      <c r="H12961" s="36"/>
      <c r="I12961" s="11"/>
    </row>
    <row r="12962" spans="1:12" ht="11.15" customHeight="1">
      <c r="A12962" s="162" t="s">
        <v>17128</v>
      </c>
      <c r="B12962" s="59" t="s">
        <v>22867</v>
      </c>
      <c r="C12962" s="147" t="s">
        <v>20221</v>
      </c>
      <c r="D12962" s="701" t="s">
        <v>1129</v>
      </c>
      <c r="E12962" s="178">
        <v>2023</v>
      </c>
      <c r="F12962" s="178" t="s">
        <v>23394</v>
      </c>
      <c r="G12962" s="496"/>
      <c r="H12962" s="994" t="s">
        <v>20221</v>
      </c>
      <c r="I12962" s="11" t="s">
        <v>17140</v>
      </c>
      <c r="J12962" s="1285"/>
      <c r="K12962" s="1285"/>
      <c r="L12962" s="1285"/>
    </row>
    <row r="12963" spans="1:12" ht="11.15" customHeight="1">
      <c r="A12963" s="355" t="s">
        <v>17130</v>
      </c>
      <c r="B12963" s="59" t="s">
        <v>22867</v>
      </c>
      <c r="C12963" s="147" t="s">
        <v>20221</v>
      </c>
      <c r="D12963" s="701" t="s">
        <v>1129</v>
      </c>
      <c r="E12963" s="178">
        <v>2022</v>
      </c>
      <c r="F12963" s="178" t="s">
        <v>4520</v>
      </c>
      <c r="G12963" s="496"/>
      <c r="H12963" s="994" t="s">
        <v>20221</v>
      </c>
      <c r="I12963" s="11" t="s">
        <v>17142</v>
      </c>
      <c r="J12963" s="1285"/>
      <c r="K12963" s="1285"/>
      <c r="L12963" s="1285"/>
    </row>
    <row r="12964" spans="1:12" ht="11.15" customHeight="1">
      <c r="A12964" s="162" t="s">
        <v>17132</v>
      </c>
      <c r="B12964" s="59" t="s">
        <v>22868</v>
      </c>
      <c r="C12964" s="147" t="s">
        <v>20221</v>
      </c>
      <c r="D12964" s="701" t="s">
        <v>1129</v>
      </c>
      <c r="E12964" s="178">
        <v>2023</v>
      </c>
      <c r="F12964" s="178" t="s">
        <v>23394</v>
      </c>
      <c r="G12964" s="496"/>
      <c r="H12964" s="994" t="s">
        <v>20224</v>
      </c>
      <c r="I12964" s="11" t="s">
        <v>17144</v>
      </c>
      <c r="J12964" s="1285"/>
      <c r="K12964" s="1285"/>
      <c r="L12964" s="1285"/>
    </row>
    <row r="12965" spans="1:12" ht="11.15" customHeight="1">
      <c r="A12965" s="162" t="s">
        <v>17134</v>
      </c>
      <c r="B12965" s="59" t="s">
        <v>22868</v>
      </c>
      <c r="C12965" s="147" t="s">
        <v>20221</v>
      </c>
      <c r="D12965" s="701" t="s">
        <v>1129</v>
      </c>
      <c r="E12965" s="178">
        <v>2022</v>
      </c>
      <c r="F12965" s="178" t="s">
        <v>4520</v>
      </c>
      <c r="G12965" s="496"/>
      <c r="H12965" s="994" t="s">
        <v>20221</v>
      </c>
      <c r="I12965" s="11" t="s">
        <v>17146</v>
      </c>
      <c r="J12965" s="1285"/>
      <c r="K12965" s="1285"/>
      <c r="L12965" s="1285"/>
    </row>
    <row r="12966" spans="1:12" ht="11.15" customHeight="1">
      <c r="A12966" s="162" t="s">
        <v>17135</v>
      </c>
      <c r="B12966" s="59" t="s">
        <v>22869</v>
      </c>
      <c r="C12966" s="147" t="s">
        <v>20221</v>
      </c>
      <c r="D12966" s="701" t="s">
        <v>1129</v>
      </c>
      <c r="E12966" s="178">
        <v>2023</v>
      </c>
      <c r="F12966" s="178" t="s">
        <v>5257</v>
      </c>
      <c r="G12966" s="496"/>
      <c r="H12966" s="994" t="s">
        <v>20224</v>
      </c>
      <c r="I12966" s="11" t="s">
        <v>17148</v>
      </c>
      <c r="J12966" s="1285"/>
      <c r="K12966" s="1285"/>
      <c r="L12966" s="1285"/>
    </row>
    <row r="12967" spans="1:12" ht="11.15" customHeight="1">
      <c r="A12967" s="355" t="s">
        <v>17137</v>
      </c>
      <c r="B12967" s="177" t="s">
        <v>17149</v>
      </c>
      <c r="C12967" s="147"/>
      <c r="D12967" s="129"/>
      <c r="E12967" s="185"/>
      <c r="F12967" s="185"/>
      <c r="G12967" s="185"/>
      <c r="H12967" s="185"/>
      <c r="I12967" s="11"/>
    </row>
    <row r="12968" spans="1:12" ht="11.15" customHeight="1">
      <c r="A12968" s="162" t="s">
        <v>17139</v>
      </c>
      <c r="B12968" s="59" t="s">
        <v>22870</v>
      </c>
      <c r="C12968" s="147" t="s">
        <v>20221</v>
      </c>
      <c r="D12968" s="284" t="s">
        <v>897</v>
      </c>
      <c r="E12968" s="178">
        <v>2024</v>
      </c>
      <c r="F12968" s="178" t="s">
        <v>4520</v>
      </c>
      <c r="G12968" s="496"/>
      <c r="H12968" s="994" t="s">
        <v>20221</v>
      </c>
      <c r="I12968" s="11" t="s">
        <v>23376</v>
      </c>
      <c r="J12968" s="1285"/>
      <c r="K12968" s="1285"/>
      <c r="L12968" s="1285"/>
    </row>
    <row r="12969" spans="1:12" ht="11.15" customHeight="1">
      <c r="A12969" s="162" t="s">
        <v>17141</v>
      </c>
      <c r="B12969" s="59" t="s">
        <v>22870</v>
      </c>
      <c r="C12969" s="147" t="s">
        <v>20221</v>
      </c>
      <c r="D12969" s="284" t="s">
        <v>897</v>
      </c>
      <c r="E12969" s="178">
        <v>2023</v>
      </c>
      <c r="F12969" s="178" t="s">
        <v>4520</v>
      </c>
      <c r="G12969" s="496"/>
      <c r="H12969" s="994" t="s">
        <v>20221</v>
      </c>
      <c r="I12969" s="11" t="s">
        <v>17151</v>
      </c>
      <c r="J12969" s="1285"/>
      <c r="K12969" s="1285"/>
      <c r="L12969" s="1285"/>
    </row>
    <row r="12970" spans="1:12" ht="11.15" customHeight="1">
      <c r="A12970" s="355" t="s">
        <v>17143</v>
      </c>
      <c r="B12970" s="59" t="s">
        <v>22870</v>
      </c>
      <c r="C12970" s="147" t="s">
        <v>20221</v>
      </c>
      <c r="D12970" s="284" t="s">
        <v>897</v>
      </c>
      <c r="E12970" s="178">
        <v>2022</v>
      </c>
      <c r="F12970" s="178" t="s">
        <v>4520</v>
      </c>
      <c r="G12970" s="496"/>
      <c r="H12970" s="994" t="s">
        <v>20221</v>
      </c>
      <c r="I12970" s="11" t="s">
        <v>17153</v>
      </c>
      <c r="J12970" s="1285"/>
      <c r="K12970" s="1285"/>
      <c r="L12970" s="1285"/>
    </row>
    <row r="12971" spans="1:12" ht="11.15" customHeight="1">
      <c r="A12971" s="162" t="s">
        <v>17145</v>
      </c>
      <c r="B12971" s="59" t="s">
        <v>22870</v>
      </c>
      <c r="C12971" s="147" t="s">
        <v>20221</v>
      </c>
      <c r="D12971" s="284" t="s">
        <v>897</v>
      </c>
      <c r="E12971" s="178">
        <v>2021</v>
      </c>
      <c r="F12971" s="178" t="s">
        <v>4520</v>
      </c>
      <c r="G12971" s="496"/>
      <c r="H12971" s="994" t="s">
        <v>20224</v>
      </c>
      <c r="I12971" s="11" t="s">
        <v>17155</v>
      </c>
      <c r="J12971" s="1285"/>
      <c r="K12971" s="1285"/>
      <c r="L12971" s="1285"/>
    </row>
    <row r="12972" spans="1:12" ht="11.15" customHeight="1">
      <c r="A12972" s="162" t="s">
        <v>17147</v>
      </c>
      <c r="B12972" s="177" t="s">
        <v>17157</v>
      </c>
      <c r="C12972" s="147"/>
      <c r="D12972" s="122"/>
      <c r="E12972" s="36"/>
      <c r="F12972" s="183"/>
      <c r="G12972" s="496"/>
      <c r="H12972" s="34"/>
      <c r="I12972" s="11"/>
    </row>
    <row r="12973" spans="1:12" ht="11.15" customHeight="1">
      <c r="A12973" s="129" t="s">
        <v>15771</v>
      </c>
      <c r="B12973" s="59" t="s">
        <v>22871</v>
      </c>
      <c r="C12973" s="147" t="s">
        <v>20221</v>
      </c>
      <c r="D12973" s="284" t="s">
        <v>897</v>
      </c>
      <c r="E12973" s="178">
        <v>2024</v>
      </c>
      <c r="F12973" s="178" t="s">
        <v>4520</v>
      </c>
      <c r="G12973" s="496"/>
      <c r="H12973" s="994" t="s">
        <v>20221</v>
      </c>
      <c r="I12973" s="11" t="s">
        <v>23377</v>
      </c>
      <c r="J12973" s="1285"/>
      <c r="K12973" s="1285"/>
      <c r="L12973" s="1285"/>
    </row>
    <row r="12974" spans="1:12" ht="11.15" customHeight="1">
      <c r="A12974" s="291" t="s">
        <v>17150</v>
      </c>
      <c r="B12974" s="59" t="s">
        <v>22871</v>
      </c>
      <c r="C12974" s="147" t="s">
        <v>20221</v>
      </c>
      <c r="D12974" s="284" t="s">
        <v>897</v>
      </c>
      <c r="E12974" s="178">
        <v>2023</v>
      </c>
      <c r="F12974" s="178" t="s">
        <v>4520</v>
      </c>
      <c r="G12974" s="496"/>
      <c r="H12974" s="994" t="s">
        <v>20221</v>
      </c>
      <c r="I12974" s="11" t="s">
        <v>17159</v>
      </c>
      <c r="J12974" s="1285"/>
      <c r="K12974" s="1285"/>
      <c r="L12974" s="1285"/>
    </row>
    <row r="12975" spans="1:12" ht="11.15" customHeight="1">
      <c r="A12975" s="162" t="s">
        <v>17152</v>
      </c>
      <c r="B12975" s="59" t="s">
        <v>22871</v>
      </c>
      <c r="C12975" s="147" t="s">
        <v>20221</v>
      </c>
      <c r="D12975" s="284" t="s">
        <v>897</v>
      </c>
      <c r="E12975" s="178">
        <v>2022</v>
      </c>
      <c r="F12975" s="178" t="s">
        <v>4520</v>
      </c>
      <c r="G12975" s="496"/>
      <c r="H12975" s="994" t="s">
        <v>20221</v>
      </c>
      <c r="I12975" s="11" t="s">
        <v>17161</v>
      </c>
      <c r="J12975" s="1285"/>
      <c r="K12975" s="1285"/>
      <c r="L12975" s="1285"/>
    </row>
    <row r="12976" spans="1:12" ht="11.15" customHeight="1">
      <c r="A12976" s="291" t="s">
        <v>17154</v>
      </c>
      <c r="B12976" s="59" t="s">
        <v>22871</v>
      </c>
      <c r="C12976" s="147" t="s">
        <v>20221</v>
      </c>
      <c r="D12976" s="284" t="s">
        <v>897</v>
      </c>
      <c r="E12976" s="178">
        <v>2021</v>
      </c>
      <c r="F12976" s="178" t="s">
        <v>4520</v>
      </c>
      <c r="G12976" s="496"/>
      <c r="H12976" s="994" t="s">
        <v>20221</v>
      </c>
      <c r="I12976" s="11" t="s">
        <v>17163</v>
      </c>
      <c r="J12976" s="1285"/>
      <c r="K12976" s="1285"/>
      <c r="L12976" s="1285"/>
    </row>
    <row r="12977" spans="1:12" ht="11.15" customHeight="1">
      <c r="A12977" s="291" t="s">
        <v>17156</v>
      </c>
      <c r="B12977" s="59" t="s">
        <v>22872</v>
      </c>
      <c r="C12977" s="147" t="s">
        <v>20221</v>
      </c>
      <c r="D12977" s="284" t="s">
        <v>897</v>
      </c>
      <c r="E12977" s="178">
        <v>2023</v>
      </c>
      <c r="F12977" s="178" t="s">
        <v>4520</v>
      </c>
      <c r="G12977" s="496"/>
      <c r="H12977" s="994" t="s">
        <v>20221</v>
      </c>
      <c r="I12977" s="11" t="s">
        <v>17165</v>
      </c>
      <c r="J12977" s="1285"/>
      <c r="K12977" s="1285"/>
      <c r="L12977" s="1285"/>
    </row>
    <row r="12978" spans="1:12" ht="11.15" customHeight="1">
      <c r="A12978" s="291" t="s">
        <v>17158</v>
      </c>
      <c r="B12978" s="59" t="s">
        <v>22872</v>
      </c>
      <c r="C12978" s="147" t="s">
        <v>20221</v>
      </c>
      <c r="D12978" s="284" t="s">
        <v>897</v>
      </c>
      <c r="E12978" s="178">
        <v>2022</v>
      </c>
      <c r="F12978" s="178" t="s">
        <v>4520</v>
      </c>
      <c r="G12978" s="496"/>
      <c r="H12978" s="994" t="s">
        <v>20221</v>
      </c>
      <c r="I12978" s="11" t="s">
        <v>17167</v>
      </c>
      <c r="J12978" s="1285"/>
      <c r="K12978" s="1285"/>
      <c r="L12978" s="1285"/>
    </row>
    <row r="12979" spans="1:12" ht="11.15" customHeight="1">
      <c r="A12979" s="291" t="s">
        <v>17160</v>
      </c>
      <c r="B12979" s="59" t="s">
        <v>22872</v>
      </c>
      <c r="C12979" s="147" t="s">
        <v>20221</v>
      </c>
      <c r="D12979" s="284" t="s">
        <v>897</v>
      </c>
      <c r="E12979" s="178">
        <v>2021</v>
      </c>
      <c r="F12979" s="178" t="s">
        <v>4520</v>
      </c>
      <c r="G12979" s="496"/>
      <c r="H12979" s="994" t="s">
        <v>20221</v>
      </c>
      <c r="I12979" s="11" t="s">
        <v>17169</v>
      </c>
      <c r="J12979" s="1285"/>
      <c r="K12979" s="1285"/>
      <c r="L12979" s="1285"/>
    </row>
    <row r="12980" spans="1:12" ht="11.15" customHeight="1">
      <c r="A12980" s="162" t="s">
        <v>17162</v>
      </c>
      <c r="B12980" s="59" t="s">
        <v>22872</v>
      </c>
      <c r="C12980" s="147" t="s">
        <v>20221</v>
      </c>
      <c r="D12980" s="284" t="s">
        <v>897</v>
      </c>
      <c r="E12980" s="178">
        <v>2020</v>
      </c>
      <c r="F12980" s="178" t="s">
        <v>4520</v>
      </c>
      <c r="G12980" s="496"/>
      <c r="H12980" s="994" t="s">
        <v>20224</v>
      </c>
      <c r="I12980" s="11" t="s">
        <v>17171</v>
      </c>
      <c r="J12980" s="1285"/>
      <c r="K12980" s="1285"/>
      <c r="L12980" s="1285"/>
    </row>
    <row r="12981" spans="1:12" ht="11.15" customHeight="1">
      <c r="A12981" s="291" t="s">
        <v>17164</v>
      </c>
      <c r="B12981" s="59" t="s">
        <v>22873</v>
      </c>
      <c r="C12981" s="147" t="s">
        <v>20221</v>
      </c>
      <c r="D12981" s="284" t="s">
        <v>897</v>
      </c>
      <c r="E12981" s="178">
        <v>2023</v>
      </c>
      <c r="F12981" s="178" t="s">
        <v>4520</v>
      </c>
      <c r="G12981" s="496"/>
      <c r="H12981" s="994" t="s">
        <v>20221</v>
      </c>
      <c r="I12981" s="11" t="s">
        <v>23378</v>
      </c>
      <c r="J12981" s="1285"/>
      <c r="K12981" s="1285"/>
      <c r="L12981" s="1285"/>
    </row>
    <row r="12982" spans="1:12" ht="11.15" customHeight="1">
      <c r="A12982" s="162" t="s">
        <v>17166</v>
      </c>
      <c r="B12982" s="59" t="s">
        <v>22873</v>
      </c>
      <c r="C12982" s="147" t="s">
        <v>20221</v>
      </c>
      <c r="D12982" s="284" t="s">
        <v>897</v>
      </c>
      <c r="E12982" s="178">
        <v>2023</v>
      </c>
      <c r="F12982" s="178" t="s">
        <v>4520</v>
      </c>
      <c r="G12982" s="496"/>
      <c r="H12982" s="994" t="s">
        <v>20221</v>
      </c>
      <c r="I12982" s="11" t="s">
        <v>17173</v>
      </c>
      <c r="J12982" s="1285"/>
      <c r="K12982" s="1285"/>
      <c r="L12982" s="1285"/>
    </row>
    <row r="12983" spans="1:12" ht="11.15" customHeight="1">
      <c r="A12983" s="162" t="s">
        <v>17168</v>
      </c>
      <c r="B12983" s="59" t="s">
        <v>22873</v>
      </c>
      <c r="C12983" s="147" t="s">
        <v>20221</v>
      </c>
      <c r="D12983" s="284" t="s">
        <v>897</v>
      </c>
      <c r="E12983" s="178">
        <v>2022</v>
      </c>
      <c r="F12983" s="178" t="s">
        <v>4520</v>
      </c>
      <c r="G12983" s="496"/>
      <c r="H12983" s="994" t="s">
        <v>20221</v>
      </c>
      <c r="I12983" s="11" t="s">
        <v>17175</v>
      </c>
      <c r="J12983" s="1285"/>
      <c r="K12983" s="1285"/>
      <c r="L12983" s="1285"/>
    </row>
    <row r="12984" spans="1:12" ht="11.15" customHeight="1">
      <c r="A12984" s="162" t="s">
        <v>17170</v>
      </c>
      <c r="B12984" s="59" t="s">
        <v>22873</v>
      </c>
      <c r="C12984" s="147" t="s">
        <v>20221</v>
      </c>
      <c r="D12984" s="284" t="s">
        <v>897</v>
      </c>
      <c r="E12984" s="178">
        <v>2021</v>
      </c>
      <c r="F12984" s="178" t="s">
        <v>4520</v>
      </c>
      <c r="G12984" s="496"/>
      <c r="H12984" s="994" t="s">
        <v>20221</v>
      </c>
      <c r="I12984" s="11" t="s">
        <v>17177</v>
      </c>
      <c r="J12984" s="1285"/>
      <c r="K12984" s="1285"/>
      <c r="L12984" s="1285"/>
    </row>
    <row r="12985" spans="1:12" ht="11.15" customHeight="1">
      <c r="A12985" s="291" t="s">
        <v>17172</v>
      </c>
      <c r="B12985" s="59" t="s">
        <v>22874</v>
      </c>
      <c r="C12985" s="147" t="s">
        <v>20221</v>
      </c>
      <c r="D12985" s="284" t="s">
        <v>897</v>
      </c>
      <c r="E12985" s="178">
        <v>2024</v>
      </c>
      <c r="F12985" s="178" t="s">
        <v>23394</v>
      </c>
      <c r="G12985" s="496"/>
      <c r="H12985" s="994" t="s">
        <v>20224</v>
      </c>
      <c r="I12985" s="11" t="s">
        <v>23379</v>
      </c>
      <c r="J12985" s="1285"/>
      <c r="K12985" s="1285"/>
      <c r="L12985" s="1285"/>
    </row>
    <row r="12986" spans="1:12" ht="11.15" customHeight="1">
      <c r="A12986" s="291" t="s">
        <v>17174</v>
      </c>
      <c r="B12986" s="59" t="s">
        <v>22874</v>
      </c>
      <c r="C12986" s="147" t="s">
        <v>20221</v>
      </c>
      <c r="D12986" s="284" t="s">
        <v>897</v>
      </c>
      <c r="E12986" s="178">
        <v>2022</v>
      </c>
      <c r="F12986" s="178" t="s">
        <v>4520</v>
      </c>
      <c r="G12986" s="496"/>
      <c r="H12986" s="994" t="s">
        <v>20221</v>
      </c>
      <c r="I12986" s="11" t="s">
        <v>17179</v>
      </c>
      <c r="J12986" s="1285"/>
      <c r="K12986" s="1285"/>
      <c r="L12986" s="1285"/>
    </row>
    <row r="12987" spans="1:12" ht="11.15" customHeight="1">
      <c r="A12987" s="291" t="s">
        <v>17176</v>
      </c>
      <c r="B12987" s="59" t="s">
        <v>22875</v>
      </c>
      <c r="C12987" s="147" t="s">
        <v>20221</v>
      </c>
      <c r="D12987" s="284" t="s">
        <v>897</v>
      </c>
      <c r="E12987" s="178">
        <v>2022</v>
      </c>
      <c r="F12987" s="178" t="s">
        <v>4520</v>
      </c>
      <c r="G12987" s="496"/>
      <c r="H12987" s="994" t="s">
        <v>20221</v>
      </c>
      <c r="I12987" s="11" t="s">
        <v>17181</v>
      </c>
      <c r="J12987" s="1285"/>
      <c r="K12987" s="1285"/>
      <c r="L12987" s="1285"/>
    </row>
    <row r="12988" spans="1:12" ht="11.15" customHeight="1">
      <c r="A12988" s="291" t="s">
        <v>17178</v>
      </c>
      <c r="B12988" s="574" t="s">
        <v>17183</v>
      </c>
      <c r="C12988" s="147"/>
      <c r="D12988" s="122"/>
      <c r="E12988" s="178" t="s">
        <v>20221</v>
      </c>
      <c r="F12988" s="178" t="s">
        <v>20221</v>
      </c>
      <c r="G12988" s="496" t="s">
        <v>20221</v>
      </c>
      <c r="H12988" s="994" t="s">
        <v>20221</v>
      </c>
      <c r="I12988" s="11"/>
      <c r="J12988" s="1285"/>
      <c r="K12988" s="1285"/>
      <c r="L12988" s="1285"/>
    </row>
    <row r="12989" spans="1:12" ht="11.15" customHeight="1">
      <c r="A12989" s="162" t="s">
        <v>17180</v>
      </c>
      <c r="B12989" s="226" t="s">
        <v>17185</v>
      </c>
      <c r="C12989" s="147"/>
      <c r="D12989" s="284" t="s">
        <v>897</v>
      </c>
      <c r="E12989" s="178">
        <v>2023</v>
      </c>
      <c r="F12989" s="178" t="s">
        <v>5257</v>
      </c>
      <c r="G12989" s="496"/>
      <c r="H12989" s="994" t="s">
        <v>20224</v>
      </c>
      <c r="I12989" s="11" t="s">
        <v>23344</v>
      </c>
      <c r="J12989" s="1285"/>
      <c r="K12989" s="1285"/>
      <c r="L12989" s="1285"/>
    </row>
    <row r="12990" spans="1:12" ht="11.15" customHeight="1">
      <c r="A12990" s="291" t="s">
        <v>17182</v>
      </c>
      <c r="B12990" s="59"/>
      <c r="C12990" s="147"/>
      <c r="D12990" s="129"/>
      <c r="E12990" s="185"/>
      <c r="F12990" s="185"/>
      <c r="G12990" s="185"/>
      <c r="H12990" s="185"/>
      <c r="I12990" s="11"/>
    </row>
    <row r="12991" spans="1:12" ht="11.15" customHeight="1">
      <c r="A12991" s="291" t="s">
        <v>17184</v>
      </c>
      <c r="B12991" s="59"/>
      <c r="C12991" s="147"/>
      <c r="D12991" s="129"/>
      <c r="E12991" s="185"/>
      <c r="F12991" s="185"/>
      <c r="G12991" s="185"/>
      <c r="H12991" s="185"/>
      <c r="I12991" s="11"/>
    </row>
    <row r="12992" spans="1:12" ht="11.15" customHeight="1">
      <c r="A12992" s="291" t="s">
        <v>17186</v>
      </c>
      <c r="B12992" s="185"/>
      <c r="C12992" s="147"/>
      <c r="D12992" s="185"/>
      <c r="E12992" s="185"/>
      <c r="F12992" s="185"/>
      <c r="G12992" s="185"/>
      <c r="H12992" s="185"/>
      <c r="I12992" s="11"/>
    </row>
    <row r="12993" spans="1:9" ht="11.15" customHeight="1">
      <c r="A12993" s="291" t="s">
        <v>17187</v>
      </c>
      <c r="B12993" s="185"/>
      <c r="C12993" s="147"/>
      <c r="D12993" s="185"/>
      <c r="E12993" s="185"/>
      <c r="F12993" s="185"/>
      <c r="G12993" s="185"/>
      <c r="H12993" s="185"/>
      <c r="I12993" s="11"/>
    </row>
    <row r="12994" spans="1:9" ht="11.15" customHeight="1">
      <c r="A12994" s="162" t="s">
        <v>17188</v>
      </c>
      <c r="B12994" s="185"/>
      <c r="C12994" s="147"/>
      <c r="D12994" s="185"/>
      <c r="E12994" s="185"/>
      <c r="F12994" s="185"/>
      <c r="G12994" s="185"/>
      <c r="H12994" s="185"/>
      <c r="I12994" s="11"/>
    </row>
    <row r="12995" spans="1:9" ht="11.15" customHeight="1">
      <c r="A12995" s="291" t="s">
        <v>17189</v>
      </c>
      <c r="B12995" s="59"/>
      <c r="C12995" s="147"/>
      <c r="D12995" s="129"/>
      <c r="E12995" s="185"/>
      <c r="F12995" s="185"/>
      <c r="G12995" s="185"/>
      <c r="H12995" s="185"/>
      <c r="I12995" s="11"/>
    </row>
    <row r="12996" spans="1:9" ht="11.15" customHeight="1">
      <c r="A12996" s="291" t="s">
        <v>17190</v>
      </c>
      <c r="B12996" s="59"/>
      <c r="C12996" s="147"/>
      <c r="D12996" s="129"/>
      <c r="E12996" s="185"/>
      <c r="F12996" s="185"/>
      <c r="G12996" s="185"/>
      <c r="H12996" s="185"/>
      <c r="I12996" s="11"/>
    </row>
    <row r="12997" spans="1:9" ht="11.15" customHeight="1">
      <c r="A12997" s="162" t="s">
        <v>17191</v>
      </c>
      <c r="B12997" s="59"/>
      <c r="C12997" s="147"/>
      <c r="D12997" s="129"/>
      <c r="E12997" s="185"/>
      <c r="F12997" s="185"/>
      <c r="G12997" s="185"/>
      <c r="H12997" s="185"/>
      <c r="I12997" s="11"/>
    </row>
    <row r="12998" spans="1:9" ht="11.15" customHeight="1">
      <c r="A12998" s="129" t="s">
        <v>3842</v>
      </c>
      <c r="B12998" s="185"/>
      <c r="C12998" s="147"/>
      <c r="D12998" s="185"/>
      <c r="E12998" s="185"/>
      <c r="F12998" s="185"/>
      <c r="G12998" s="185"/>
      <c r="H12998" s="185"/>
      <c r="I12998" s="11"/>
    </row>
    <row r="12999" spans="1:9" ht="11.15" customHeight="1">
      <c r="A12999" s="162" t="s">
        <v>9435</v>
      </c>
      <c r="B12999" s="185"/>
      <c r="C12999" s="147"/>
      <c r="D12999" s="185"/>
      <c r="E12999" s="185"/>
      <c r="F12999" s="185"/>
      <c r="G12999" s="185"/>
      <c r="H12999" s="185"/>
      <c r="I12999" s="11"/>
    </row>
    <row r="13000" spans="1:9" ht="11.15" customHeight="1">
      <c r="A13000" s="162" t="s">
        <v>17192</v>
      </c>
      <c r="B13000" s="185"/>
      <c r="C13000" s="147"/>
      <c r="D13000" s="185"/>
      <c r="E13000" s="185"/>
      <c r="F13000" s="185"/>
      <c r="G13000" s="185"/>
      <c r="H13000" s="185"/>
      <c r="I13000" s="11"/>
    </row>
    <row r="13001" spans="1:9" ht="11.15" customHeight="1">
      <c r="A13001" s="162" t="s">
        <v>17193</v>
      </c>
      <c r="B13001" s="185"/>
      <c r="C13001" s="147"/>
      <c r="D13001" s="129"/>
      <c r="E13001" s="185"/>
      <c r="F13001" s="185"/>
      <c r="G13001" s="185"/>
      <c r="H13001" s="185"/>
      <c r="I13001" s="11"/>
    </row>
    <row r="13002" spans="1:9" ht="11.15" customHeight="1">
      <c r="A13002" s="162" t="s">
        <v>17194</v>
      </c>
      <c r="B13002" s="185"/>
      <c r="C13002" s="147"/>
      <c r="D13002" s="185"/>
      <c r="E13002" s="185"/>
      <c r="F13002" s="185"/>
      <c r="G13002" s="185"/>
      <c r="H13002" s="185"/>
      <c r="I13002" s="11"/>
    </row>
    <row r="13003" spans="1:9" ht="11.15" customHeight="1">
      <c r="A13003" s="162" t="s">
        <v>17195</v>
      </c>
      <c r="B13003" s="185"/>
      <c r="C13003" s="147"/>
      <c r="D13003" s="129"/>
      <c r="E13003" s="185"/>
      <c r="F13003" s="185"/>
      <c r="G13003" s="185"/>
      <c r="H13003" s="185"/>
      <c r="I13003" s="11"/>
    </row>
    <row r="13004" spans="1:9" ht="11.15" customHeight="1">
      <c r="A13004" s="162" t="s">
        <v>17196</v>
      </c>
      <c r="B13004" s="185"/>
      <c r="C13004" s="147"/>
      <c r="D13004" s="129"/>
      <c r="E13004" s="185"/>
      <c r="F13004" s="185"/>
      <c r="G13004" s="185"/>
      <c r="H13004" s="185"/>
      <c r="I13004" s="11"/>
    </row>
    <row r="13005" spans="1:9" ht="11.15" customHeight="1">
      <c r="A13005" s="162" t="s">
        <v>17197</v>
      </c>
      <c r="B13005" s="185"/>
      <c r="C13005" s="147"/>
      <c r="D13005" s="129"/>
      <c r="E13005" s="185"/>
      <c r="F13005" s="185"/>
      <c r="G13005" s="185"/>
      <c r="H13005" s="185"/>
      <c r="I13005" s="11"/>
    </row>
    <row r="13006" spans="1:9" ht="11.15" customHeight="1">
      <c r="A13006" s="162" t="s">
        <v>17198</v>
      </c>
      <c r="B13006" s="185"/>
      <c r="C13006" s="147"/>
      <c r="D13006" s="129"/>
      <c r="E13006" s="185"/>
      <c r="F13006" s="185"/>
      <c r="G13006" s="185"/>
      <c r="H13006" s="185"/>
      <c r="I13006" s="11"/>
    </row>
    <row r="13007" spans="1:9" ht="11.15" customHeight="1">
      <c r="A13007" s="162" t="s">
        <v>17199</v>
      </c>
      <c r="B13007" s="185"/>
      <c r="C13007" s="147"/>
      <c r="D13007" s="129"/>
      <c r="E13007" s="185"/>
      <c r="F13007" s="185"/>
      <c r="G13007" s="185"/>
      <c r="H13007" s="185"/>
      <c r="I13007" s="11"/>
    </row>
    <row r="13008" spans="1:9" ht="11.15" customHeight="1">
      <c r="A13008" s="162" t="s">
        <v>17200</v>
      </c>
      <c r="B13008" s="185"/>
      <c r="C13008" s="147"/>
      <c r="D13008" s="129"/>
      <c r="E13008" s="185"/>
      <c r="F13008" s="185"/>
      <c r="G13008" s="185"/>
      <c r="H13008" s="185"/>
      <c r="I13008" s="11"/>
    </row>
    <row r="13009" spans="1:12" ht="11.15" customHeight="1">
      <c r="A13009" s="162" t="s">
        <v>17201</v>
      </c>
      <c r="B13009" s="185"/>
      <c r="C13009" s="147"/>
      <c r="D13009" s="129"/>
      <c r="E13009" s="185"/>
      <c r="F13009" s="185"/>
      <c r="G13009" s="185"/>
      <c r="H13009" s="185"/>
      <c r="I13009" s="11"/>
    </row>
    <row r="13010" spans="1:12" ht="11.15" customHeight="1">
      <c r="A13010" s="162" t="s">
        <v>17202</v>
      </c>
      <c r="B13010" s="185"/>
      <c r="C13010" s="147"/>
      <c r="D13010" s="129"/>
      <c r="E13010" s="185"/>
      <c r="F13010" s="185"/>
      <c r="G13010" s="185"/>
      <c r="H13010" s="185"/>
      <c r="I13010" s="11"/>
    </row>
    <row r="13011" spans="1:12" ht="11.15" customHeight="1">
      <c r="A13011" s="212" t="s">
        <v>17203</v>
      </c>
      <c r="B13011" s="162"/>
      <c r="C13011" s="147"/>
      <c r="D13011" s="129"/>
      <c r="E13011" s="185"/>
      <c r="F13011" s="185"/>
      <c r="G13011" s="185"/>
      <c r="H13011" s="185"/>
      <c r="I13011" s="11"/>
    </row>
    <row r="13012" spans="1:12" ht="11.15" customHeight="1">
      <c r="A13012" s="212" t="s">
        <v>17204</v>
      </c>
      <c r="B13012" s="185"/>
      <c r="C13012" s="147"/>
      <c r="D13012" s="161"/>
      <c r="E13012" s="36"/>
      <c r="F13012" s="183"/>
      <c r="G13012" s="496"/>
      <c r="H13012" s="34"/>
      <c r="I13012" s="11"/>
    </row>
    <row r="13013" spans="1:12" ht="11.15" customHeight="1">
      <c r="A13013" s="129" t="s">
        <v>10526</v>
      </c>
      <c r="B13013" s="185"/>
      <c r="C13013" s="147"/>
      <c r="D13013" s="129"/>
      <c r="E13013" s="185"/>
      <c r="F13013" s="185"/>
      <c r="G13013" s="185"/>
      <c r="H13013" s="185"/>
      <c r="I13013" s="11"/>
    </row>
    <row r="13014" spans="1:12" ht="11.15" customHeight="1">
      <c r="A13014" s="129" t="s">
        <v>17205</v>
      </c>
      <c r="B13014" s="185"/>
      <c r="C13014" s="147"/>
      <c r="D13014" s="129"/>
      <c r="E13014" s="185"/>
      <c r="F13014" s="185"/>
      <c r="G13014" s="185"/>
      <c r="H13014" s="185"/>
      <c r="I13014" s="11"/>
    </row>
    <row r="13015" spans="1:12" ht="11.15" customHeight="1" thickBot="1">
      <c r="A13015" s="520"/>
    </row>
    <row r="13016" spans="1:12" ht="24" customHeight="1" thickBot="1">
      <c r="A13016" s="764"/>
      <c r="B13016" s="50" t="s">
        <v>17206</v>
      </c>
      <c r="C13016" s="170"/>
      <c r="D13016" s="382"/>
      <c r="E13016" s="510"/>
      <c r="F13016" s="1080"/>
      <c r="G13016" s="1080"/>
      <c r="H13016" s="511"/>
      <c r="I13016" s="11"/>
    </row>
    <row r="13017" spans="1:12" ht="11.15" customHeight="1" thickBot="1">
      <c r="A13017" s="184" t="s">
        <v>17207</v>
      </c>
      <c r="B13017" s="177" t="s">
        <v>15083</v>
      </c>
      <c r="C13017" s="147"/>
      <c r="D13017" s="185"/>
      <c r="E13017" s="185"/>
      <c r="F13017" s="185"/>
      <c r="G13017" s="185"/>
      <c r="H13017" s="185"/>
      <c r="I13017" s="11"/>
    </row>
    <row r="13018" spans="1:12" ht="11.15" customHeight="1">
      <c r="A13018" s="29" t="s">
        <v>17208</v>
      </c>
      <c r="B13018" s="59" t="s">
        <v>22882</v>
      </c>
      <c r="C13018" s="147" t="s">
        <v>20221</v>
      </c>
      <c r="D13018" s="701" t="s">
        <v>1129</v>
      </c>
      <c r="E13018" s="178">
        <v>2014</v>
      </c>
      <c r="F13018" s="178" t="s">
        <v>23395</v>
      </c>
      <c r="G13018" s="496"/>
      <c r="H13018" s="994" t="s">
        <v>20221</v>
      </c>
      <c r="I13018" s="11" t="s">
        <v>17209</v>
      </c>
      <c r="J13018" s="1285"/>
      <c r="K13018" s="1285"/>
      <c r="L13018" s="1285"/>
    </row>
    <row r="13019" spans="1:12" ht="11.15" customHeight="1">
      <c r="A13019" s="29" t="s">
        <v>17210</v>
      </c>
      <c r="B13019" s="177" t="s">
        <v>17211</v>
      </c>
      <c r="C13019" s="147"/>
      <c r="D13019" s="185"/>
      <c r="E13019" s="185"/>
      <c r="F13019" s="185"/>
      <c r="G13019" s="185"/>
      <c r="H13019" s="185"/>
      <c r="I13019" s="11"/>
    </row>
    <row r="13020" spans="1:12" ht="11.15" customHeight="1">
      <c r="A13020" s="29" t="s">
        <v>17212</v>
      </c>
      <c r="B13020" s="59" t="s">
        <v>22884</v>
      </c>
      <c r="C13020" s="147" t="s">
        <v>20221</v>
      </c>
      <c r="D13020" s="284" t="s">
        <v>897</v>
      </c>
      <c r="E13020" s="178">
        <v>2011</v>
      </c>
      <c r="F13020" s="178" t="s">
        <v>23395</v>
      </c>
      <c r="G13020" s="496"/>
      <c r="H13020" s="994" t="s">
        <v>20221</v>
      </c>
      <c r="I13020" s="11" t="s">
        <v>17213</v>
      </c>
      <c r="J13020" s="1285"/>
      <c r="K13020" s="1285"/>
      <c r="L13020" s="1285"/>
    </row>
    <row r="13021" spans="1:12" ht="11.15" customHeight="1">
      <c r="A13021" s="29" t="s">
        <v>17214</v>
      </c>
      <c r="B13021" s="59" t="s">
        <v>22884</v>
      </c>
      <c r="C13021" s="147" t="s">
        <v>20221</v>
      </c>
      <c r="D13021" s="284" t="s">
        <v>897</v>
      </c>
      <c r="E13021" s="178">
        <v>2010</v>
      </c>
      <c r="F13021" s="178" t="s">
        <v>4520</v>
      </c>
      <c r="G13021" s="496"/>
      <c r="H13021" s="994" t="s">
        <v>20465</v>
      </c>
      <c r="I13021" s="11" t="s">
        <v>17215</v>
      </c>
      <c r="J13021" s="1285"/>
      <c r="K13021" s="1285"/>
      <c r="L13021" s="1285"/>
    </row>
    <row r="13022" spans="1:12" ht="11.15" customHeight="1">
      <c r="A13022" s="29" t="s">
        <v>17216</v>
      </c>
      <c r="B13022" s="185"/>
      <c r="C13022" s="147"/>
      <c r="D13022" s="122"/>
      <c r="E13022" s="36"/>
      <c r="F13022" s="178"/>
      <c r="G13022" s="60"/>
      <c r="H13022" s="36"/>
      <c r="I13022" s="11"/>
    </row>
    <row r="13023" spans="1:12" ht="11.15" customHeight="1">
      <c r="A13023" s="29" t="s">
        <v>17217</v>
      </c>
      <c r="B13023" s="185"/>
      <c r="C13023" s="147"/>
      <c r="D13023" s="122"/>
      <c r="E13023" s="36"/>
      <c r="F13023" s="178"/>
      <c r="G13023" s="60"/>
      <c r="H13023" s="36"/>
      <c r="I13023" s="11"/>
    </row>
    <row r="13024" spans="1:12" ht="11.15" customHeight="1">
      <c r="A13024" s="29" t="s">
        <v>17218</v>
      </c>
      <c r="B13024" s="90"/>
      <c r="C13024" s="147"/>
      <c r="D13024" s="122"/>
      <c r="E13024" s="36"/>
      <c r="F13024" s="178"/>
      <c r="G13024" s="453"/>
      <c r="H13024" s="36"/>
      <c r="I13024" s="11"/>
    </row>
    <row r="13025" spans="1:9" ht="11.15" customHeight="1">
      <c r="A13025" s="29" t="s">
        <v>17219</v>
      </c>
      <c r="B13025" s="90"/>
      <c r="C13025" s="147"/>
      <c r="D13025" s="122"/>
      <c r="E13025" s="36"/>
      <c r="F13025" s="178"/>
      <c r="G13025" s="453"/>
      <c r="H13025" s="36"/>
      <c r="I13025" s="11"/>
    </row>
    <row r="13026" spans="1:9" ht="11.15" customHeight="1">
      <c r="A13026" s="212" t="s">
        <v>17220</v>
      </c>
      <c r="B13026" s="90"/>
      <c r="C13026" s="147"/>
      <c r="D13026" s="122"/>
      <c r="E13026" s="36"/>
      <c r="F13026" s="178"/>
      <c r="G13026" s="453"/>
      <c r="H13026" s="36"/>
      <c r="I13026" s="11"/>
    </row>
    <row r="13027" spans="1:9" ht="11.15" customHeight="1">
      <c r="A13027" s="129" t="s">
        <v>17221</v>
      </c>
      <c r="B13027" s="773"/>
      <c r="C13027" s="147"/>
      <c r="D13027" s="161"/>
      <c r="E13027" s="36"/>
      <c r="F13027" s="178"/>
      <c r="G13027" s="671"/>
      <c r="H13027" s="36"/>
      <c r="I13027" s="11"/>
    </row>
    <row r="13028" spans="1:9" ht="11.15" customHeight="1" thickBot="1">
      <c r="A13028" s="29"/>
      <c r="B13028" s="29"/>
      <c r="C13028" s="147"/>
      <c r="D13028" s="122"/>
      <c r="E13028" s="36"/>
      <c r="F13028" s="178"/>
      <c r="G13028" s="453"/>
      <c r="H13028" s="36"/>
      <c r="I13028" s="11"/>
    </row>
    <row r="13029" spans="1:9" ht="24" customHeight="1" thickBot="1">
      <c r="A13029" s="764"/>
      <c r="B13029" s="50" t="s">
        <v>17222</v>
      </c>
      <c r="C13029" s="170"/>
      <c r="D13029" s="382"/>
      <c r="E13029" s="510"/>
      <c r="F13029" s="1080"/>
      <c r="G13029" s="1080"/>
      <c r="H13029" s="511"/>
      <c r="I13029" s="11"/>
    </row>
    <row r="13030" spans="1:9" ht="9" customHeight="1">
      <c r="A13030" s="219"/>
      <c r="B13030" s="775" t="s">
        <v>17223</v>
      </c>
      <c r="C13030" s="147"/>
      <c r="D13030" s="122"/>
      <c r="E13030" s="36"/>
      <c r="F13030" s="178"/>
      <c r="G13030" s="453"/>
      <c r="H13030" s="36"/>
      <c r="I13030" s="11"/>
    </row>
    <row r="13031" spans="1:9" ht="9" customHeight="1">
      <c r="A13031" s="219"/>
      <c r="B13031" s="152" t="s">
        <v>17224</v>
      </c>
      <c r="C13031" s="147"/>
      <c r="D13031" s="122"/>
      <c r="E13031" s="36"/>
      <c r="F13031" s="178"/>
      <c r="G13031" s="453"/>
      <c r="H13031" s="36"/>
      <c r="I13031" s="11"/>
    </row>
    <row r="13032" spans="1:9" ht="9" customHeight="1">
      <c r="A13032" s="219"/>
      <c r="B13032" s="152" t="s">
        <v>17225</v>
      </c>
      <c r="C13032" s="147"/>
      <c r="D13032" s="122"/>
      <c r="E13032" s="36"/>
      <c r="F13032" s="178"/>
      <c r="G13032" s="453"/>
      <c r="H13032" s="36"/>
      <c r="I13032" s="11"/>
    </row>
    <row r="13033" spans="1:9" ht="9" customHeight="1">
      <c r="A13033" s="219"/>
      <c r="B13033" s="152" t="s">
        <v>17226</v>
      </c>
      <c r="C13033" s="147"/>
      <c r="D13033" s="122"/>
      <c r="E13033" s="36"/>
      <c r="F13033" s="178"/>
      <c r="G13033" s="453"/>
      <c r="H13033" s="36"/>
      <c r="I13033" s="11"/>
    </row>
    <row r="13034" spans="1:9" ht="9" customHeight="1">
      <c r="A13034" s="219"/>
      <c r="B13034" s="152" t="s">
        <v>17227</v>
      </c>
      <c r="C13034" s="147"/>
      <c r="D13034" s="122"/>
      <c r="E13034" s="36"/>
      <c r="F13034" s="178"/>
      <c r="G13034" s="453"/>
      <c r="H13034" s="36"/>
      <c r="I13034" s="11"/>
    </row>
    <row r="13035" spans="1:9" ht="9" customHeight="1">
      <c r="A13035" s="219"/>
      <c r="B13035" s="152" t="s">
        <v>17228</v>
      </c>
      <c r="C13035" s="147"/>
      <c r="D13035" s="122"/>
      <c r="E13035" s="36"/>
      <c r="F13035" s="178"/>
      <c r="G13035" s="453"/>
      <c r="H13035" s="36"/>
      <c r="I13035" s="11"/>
    </row>
    <row r="13036" spans="1:9" ht="9" customHeight="1">
      <c r="A13036" s="219"/>
      <c r="B13036" s="150" t="s">
        <v>17229</v>
      </c>
      <c r="C13036" s="147"/>
      <c r="D13036" s="122"/>
      <c r="E13036" s="36"/>
      <c r="F13036" s="178"/>
      <c r="G13036" s="453"/>
      <c r="H13036" s="36"/>
      <c r="I13036" s="11"/>
    </row>
    <row r="13037" spans="1:9" ht="9" customHeight="1">
      <c r="A13037" s="219"/>
      <c r="B13037" s="152" t="s">
        <v>17230</v>
      </c>
      <c r="C13037" s="147"/>
      <c r="D13037" s="122"/>
      <c r="E13037" s="36"/>
      <c r="F13037" s="178"/>
      <c r="G13037" s="453"/>
      <c r="H13037" s="36"/>
      <c r="I13037" s="11"/>
    </row>
    <row r="13038" spans="1:9" ht="9" customHeight="1">
      <c r="A13038" s="219"/>
      <c r="B13038" s="152" t="s">
        <v>17231</v>
      </c>
      <c r="C13038" s="147"/>
      <c r="D13038" s="122"/>
      <c r="E13038" s="36"/>
      <c r="F13038" s="178"/>
      <c r="G13038" s="453"/>
      <c r="H13038" s="36"/>
      <c r="I13038" s="11"/>
    </row>
    <row r="13039" spans="1:9" ht="9" customHeight="1">
      <c r="A13039" s="219"/>
      <c r="B13039" s="150" t="s">
        <v>17232</v>
      </c>
      <c r="C13039" s="147"/>
      <c r="D13039" s="122"/>
      <c r="E13039" s="36"/>
      <c r="F13039" s="178"/>
      <c r="G13039" s="453"/>
      <c r="H13039" s="36"/>
      <c r="I13039" s="11"/>
    </row>
    <row r="13040" spans="1:9" ht="9" customHeight="1">
      <c r="A13040" s="219"/>
      <c r="B13040" s="150" t="s">
        <v>17233</v>
      </c>
      <c r="C13040" s="147"/>
      <c r="D13040" s="122"/>
      <c r="E13040" s="36"/>
      <c r="F13040" s="178"/>
      <c r="G13040" s="453"/>
      <c r="H13040" s="36"/>
      <c r="I13040" s="11"/>
    </row>
    <row r="13041" spans="1:9" ht="9" customHeight="1">
      <c r="A13041" s="219"/>
      <c r="B13041" s="150" t="s">
        <v>17234</v>
      </c>
      <c r="C13041" s="147"/>
      <c r="D13041" s="122"/>
      <c r="E13041" s="36"/>
      <c r="F13041" s="178"/>
      <c r="G13041" s="453"/>
      <c r="H13041" s="36"/>
      <c r="I13041" s="11"/>
    </row>
    <row r="13042" spans="1:9" ht="9" customHeight="1">
      <c r="A13042" s="219"/>
      <c r="B13042" s="150" t="s">
        <v>17235</v>
      </c>
      <c r="C13042" s="147"/>
      <c r="D13042" s="122"/>
      <c r="E13042" s="36"/>
      <c r="F13042" s="178"/>
      <c r="G13042" s="453"/>
      <c r="H13042" s="36"/>
      <c r="I13042" s="11"/>
    </row>
    <row r="13043" spans="1:9" ht="9" customHeight="1">
      <c r="A13043" s="219"/>
      <c r="B13043" s="150" t="s">
        <v>17236</v>
      </c>
      <c r="C13043" s="147"/>
      <c r="D13043" s="122"/>
      <c r="E13043" s="36"/>
      <c r="F13043" s="178"/>
      <c r="G13043" s="453"/>
      <c r="H13043" s="36"/>
      <c r="I13043" s="11"/>
    </row>
    <row r="13044" spans="1:9" ht="9" customHeight="1">
      <c r="A13044" s="219"/>
      <c r="B13044" s="775" t="s">
        <v>17237</v>
      </c>
      <c r="C13044" s="147"/>
      <c r="D13044" s="122"/>
      <c r="E13044" s="36"/>
      <c r="F13044" s="178"/>
      <c r="G13044" s="453"/>
      <c r="H13044" s="36"/>
      <c r="I13044" s="11"/>
    </row>
    <row r="13045" spans="1:9" ht="9" customHeight="1">
      <c r="A13045" s="776"/>
      <c r="B13045" s="420" t="s">
        <v>17238</v>
      </c>
      <c r="C13045" s="147"/>
      <c r="D13045" s="183"/>
      <c r="E13045" s="36"/>
      <c r="F13045" s="178"/>
      <c r="G13045" s="453"/>
      <c r="H13045" s="36"/>
      <c r="I13045" s="11"/>
    </row>
    <row r="13046" spans="1:9" ht="9" customHeight="1">
      <c r="A13046" s="776"/>
      <c r="B13046" s="420" t="s">
        <v>17239</v>
      </c>
      <c r="C13046" s="147"/>
      <c r="D13046" s="183"/>
      <c r="E13046" s="36"/>
      <c r="F13046" s="178"/>
      <c r="G13046" s="453"/>
      <c r="H13046" s="36"/>
      <c r="I13046" s="11"/>
    </row>
    <row r="13047" spans="1:9" ht="9" customHeight="1">
      <c r="A13047" s="776"/>
      <c r="B13047" s="152" t="s">
        <v>17240</v>
      </c>
      <c r="C13047" s="147"/>
      <c r="D13047" s="183"/>
      <c r="E13047" s="36"/>
      <c r="F13047" s="178"/>
      <c r="G13047" s="453"/>
      <c r="H13047" s="36"/>
      <c r="I13047" s="11"/>
    </row>
    <row r="13048" spans="1:9" ht="9" customHeight="1">
      <c r="A13048" s="776"/>
      <c r="B13048" s="152" t="s">
        <v>17241</v>
      </c>
      <c r="C13048" s="147"/>
      <c r="D13048" s="183"/>
      <c r="E13048" s="36"/>
      <c r="F13048" s="178"/>
      <c r="G13048" s="453"/>
      <c r="H13048" s="36"/>
      <c r="I13048" s="11"/>
    </row>
    <row r="13049" spans="1:9" ht="9" customHeight="1">
      <c r="A13049" s="776"/>
      <c r="B13049" s="152" t="s">
        <v>17242</v>
      </c>
      <c r="C13049" s="147"/>
      <c r="D13049" s="183"/>
      <c r="E13049" s="36"/>
      <c r="F13049" s="178"/>
      <c r="G13049" s="453"/>
      <c r="H13049" s="36"/>
      <c r="I13049" s="11"/>
    </row>
    <row r="13050" spans="1:9" ht="9" customHeight="1">
      <c r="A13050" s="776"/>
      <c r="B13050" s="152" t="s">
        <v>17243</v>
      </c>
      <c r="C13050" s="147"/>
      <c r="D13050" s="178"/>
      <c r="E13050" s="36"/>
      <c r="F13050" s="178"/>
      <c r="G13050" s="453"/>
      <c r="H13050" s="36"/>
      <c r="I13050" s="11"/>
    </row>
    <row r="13051" spans="1:9" ht="9" customHeight="1">
      <c r="A13051" s="776"/>
      <c r="B13051" s="152" t="s">
        <v>17244</v>
      </c>
      <c r="C13051" s="147"/>
      <c r="D13051" s="178"/>
      <c r="E13051" s="36"/>
      <c r="F13051" s="178"/>
      <c r="G13051" s="453"/>
      <c r="H13051" s="36"/>
      <c r="I13051" s="11"/>
    </row>
    <row r="13052" spans="1:9" ht="9" customHeight="1">
      <c r="A13052" s="776"/>
      <c r="B13052" s="152" t="s">
        <v>17245</v>
      </c>
      <c r="C13052" s="147"/>
      <c r="D13052" s="178"/>
      <c r="E13052" s="36"/>
      <c r="F13052" s="178"/>
      <c r="G13052" s="453"/>
      <c r="H13052" s="36"/>
      <c r="I13052" s="11"/>
    </row>
    <row r="13053" spans="1:9" ht="9" customHeight="1">
      <c r="A13053" s="776"/>
      <c r="B13053" s="152" t="s">
        <v>17246</v>
      </c>
      <c r="C13053" s="147"/>
      <c r="D13053" s="178"/>
      <c r="E13053" s="36"/>
      <c r="F13053" s="178"/>
      <c r="G13053" s="453"/>
      <c r="H13053" s="36"/>
      <c r="I13053" s="11"/>
    </row>
    <row r="13054" spans="1:9" ht="9" customHeight="1">
      <c r="A13054" s="219"/>
      <c r="B13054" s="420" t="s">
        <v>17247</v>
      </c>
      <c r="C13054" s="147"/>
      <c r="D13054" s="122"/>
      <c r="E13054" s="36"/>
      <c r="F13054" s="178"/>
      <c r="G13054" s="453"/>
      <c r="H13054" s="36"/>
      <c r="I13054" s="11"/>
    </row>
    <row r="13055" spans="1:9" ht="9" customHeight="1">
      <c r="A13055" s="219"/>
      <c r="B13055" s="152" t="s">
        <v>17248</v>
      </c>
      <c r="C13055" s="147"/>
      <c r="D13055" s="122"/>
      <c r="E13055" s="36"/>
      <c r="F13055" s="178"/>
      <c r="G13055" s="453"/>
      <c r="H13055" s="36"/>
      <c r="I13055" s="11"/>
    </row>
    <row r="13056" spans="1:9" ht="9" customHeight="1">
      <c r="A13056" s="219"/>
      <c r="B13056" s="152" t="s">
        <v>17249</v>
      </c>
      <c r="C13056" s="147"/>
      <c r="D13056" s="122"/>
      <c r="E13056" s="36"/>
      <c r="F13056" s="178"/>
      <c r="G13056" s="453"/>
      <c r="H13056" s="36"/>
      <c r="I13056" s="11"/>
    </row>
    <row r="13057" spans="1:9" ht="9" customHeight="1">
      <c r="A13057" s="219"/>
      <c r="B13057" s="152" t="s">
        <v>17250</v>
      </c>
      <c r="C13057" s="147"/>
      <c r="D13057" s="122"/>
      <c r="E13057" s="36"/>
      <c r="F13057" s="178"/>
      <c r="G13057" s="453"/>
      <c r="H13057" s="36"/>
      <c r="I13057" s="11"/>
    </row>
    <row r="13058" spans="1:9" ht="9" customHeight="1">
      <c r="A13058" s="219"/>
      <c r="B13058" s="152" t="s">
        <v>17251</v>
      </c>
      <c r="C13058" s="147"/>
      <c r="D13058" s="122"/>
      <c r="E13058" s="36"/>
      <c r="F13058" s="178"/>
      <c r="G13058" s="453"/>
      <c r="H13058" s="36"/>
      <c r="I13058" s="11"/>
    </row>
    <row r="13059" spans="1:9" ht="9" customHeight="1">
      <c r="A13059" s="219"/>
      <c r="B13059" s="152" t="s">
        <v>17252</v>
      </c>
      <c r="C13059" s="147"/>
      <c r="D13059" s="122"/>
      <c r="E13059" s="36"/>
      <c r="F13059" s="178"/>
      <c r="G13059" s="453"/>
      <c r="H13059" s="36"/>
      <c r="I13059" s="11"/>
    </row>
    <row r="13060" spans="1:9" ht="9" customHeight="1">
      <c r="A13060" s="219"/>
      <c r="B13060" s="152" t="s">
        <v>17253</v>
      </c>
      <c r="C13060" s="147"/>
      <c r="D13060" s="122"/>
      <c r="E13060" s="36"/>
      <c r="F13060" s="178"/>
      <c r="G13060" s="453"/>
      <c r="H13060" s="36"/>
      <c r="I13060" s="11"/>
    </row>
    <row r="13061" spans="1:9" ht="9" customHeight="1">
      <c r="A13061" s="219"/>
      <c r="B13061" s="152" t="s">
        <v>17254</v>
      </c>
      <c r="C13061" s="147"/>
      <c r="D13061" s="122"/>
      <c r="E13061" s="36"/>
      <c r="F13061" s="178"/>
      <c r="G13061" s="453"/>
      <c r="H13061" s="36"/>
      <c r="I13061" s="11"/>
    </row>
    <row r="13062" spans="1:9" ht="9" customHeight="1">
      <c r="A13062" s="219"/>
      <c r="B13062" s="152" t="s">
        <v>17255</v>
      </c>
      <c r="C13062" s="147"/>
      <c r="D13062" s="122"/>
      <c r="E13062" s="36"/>
      <c r="F13062" s="178"/>
      <c r="G13062" s="453"/>
      <c r="H13062" s="36"/>
      <c r="I13062" s="11"/>
    </row>
    <row r="13063" spans="1:9" ht="9" customHeight="1">
      <c r="A13063" s="219"/>
      <c r="B13063" s="152" t="s">
        <v>17256</v>
      </c>
      <c r="C13063" s="147"/>
      <c r="D13063" s="122"/>
      <c r="E13063" s="36"/>
      <c r="F13063" s="178"/>
      <c r="G13063" s="453"/>
      <c r="H13063" s="36"/>
      <c r="I13063" s="11"/>
    </row>
    <row r="13064" spans="1:9" ht="9" customHeight="1">
      <c r="A13064" s="219"/>
      <c r="B13064" s="152" t="s">
        <v>17257</v>
      </c>
      <c r="C13064" s="147"/>
      <c r="D13064" s="122"/>
      <c r="E13064" s="36"/>
      <c r="F13064" s="178"/>
      <c r="G13064" s="453"/>
      <c r="H13064" s="36"/>
      <c r="I13064" s="11"/>
    </row>
    <row r="13065" spans="1:9" ht="9" customHeight="1">
      <c r="A13065" s="219"/>
      <c r="B13065" s="152" t="s">
        <v>17258</v>
      </c>
      <c r="C13065" s="147"/>
      <c r="D13065" s="122"/>
      <c r="E13065" s="36"/>
      <c r="F13065" s="178"/>
      <c r="G13065" s="453"/>
      <c r="H13065" s="36"/>
      <c r="I13065" s="11"/>
    </row>
    <row r="13066" spans="1:9" ht="9" customHeight="1">
      <c r="A13066" s="219"/>
      <c r="B13066" s="152" t="s">
        <v>17259</v>
      </c>
      <c r="C13066" s="147"/>
      <c r="D13066" s="122"/>
      <c r="E13066" s="36"/>
      <c r="F13066" s="178"/>
      <c r="G13066" s="453"/>
      <c r="H13066" s="36"/>
      <c r="I13066" s="11"/>
    </row>
    <row r="13067" spans="1:9" ht="9" customHeight="1">
      <c r="A13067" s="219"/>
      <c r="B13067" s="152" t="s">
        <v>17260</v>
      </c>
      <c r="C13067" s="147"/>
      <c r="D13067" s="122"/>
      <c r="E13067" s="36"/>
      <c r="F13067" s="178"/>
      <c r="G13067" s="453"/>
      <c r="H13067" s="36"/>
      <c r="I13067" s="11"/>
    </row>
    <row r="13068" spans="1:9" ht="9" customHeight="1">
      <c r="A13068" s="219"/>
      <c r="B13068" s="420" t="s">
        <v>17261</v>
      </c>
      <c r="C13068" s="147"/>
      <c r="D13068" s="122"/>
      <c r="E13068" s="36"/>
      <c r="F13068" s="178"/>
      <c r="G13068" s="453"/>
      <c r="H13068" s="36"/>
      <c r="I13068" s="11"/>
    </row>
    <row r="13069" spans="1:9" ht="9" customHeight="1">
      <c r="A13069" s="219"/>
      <c r="B13069" s="150" t="s">
        <v>17262</v>
      </c>
      <c r="C13069" s="147"/>
      <c r="D13069" s="122"/>
      <c r="E13069" s="36"/>
      <c r="F13069" s="178"/>
      <c r="G13069" s="453"/>
      <c r="H13069" s="36"/>
      <c r="I13069" s="11"/>
    </row>
    <row r="13070" spans="1:9" ht="9" customHeight="1">
      <c r="A13070" s="219"/>
      <c r="B13070" s="150" t="s">
        <v>17263</v>
      </c>
      <c r="C13070" s="147"/>
      <c r="D13070" s="122"/>
      <c r="E13070" s="36"/>
      <c r="F13070" s="178"/>
      <c r="G13070" s="453"/>
      <c r="H13070" s="36"/>
      <c r="I13070" s="11"/>
    </row>
    <row r="13071" spans="1:9" ht="9" customHeight="1">
      <c r="A13071" s="185"/>
      <c r="B13071" s="150" t="s">
        <v>17264</v>
      </c>
      <c r="C13071" s="147"/>
      <c r="D13071" s="122"/>
      <c r="E13071" s="36"/>
      <c r="F13071" s="178"/>
      <c r="G13071" s="453"/>
      <c r="H13071" s="36"/>
      <c r="I13071" s="11"/>
    </row>
    <row r="13072" spans="1:9" ht="9" customHeight="1">
      <c r="A13072" s="185"/>
      <c r="B13072" s="152" t="s">
        <v>17265</v>
      </c>
      <c r="C13072" s="147"/>
      <c r="D13072" s="161"/>
      <c r="E13072" s="36"/>
      <c r="F13072" s="183"/>
      <c r="G13072" s="1181"/>
      <c r="H13072" s="34"/>
      <c r="I13072" s="11"/>
    </row>
    <row r="13073" spans="1:12" ht="9" customHeight="1">
      <c r="A13073" s="185"/>
      <c r="B13073" s="150" t="s">
        <v>17266</v>
      </c>
      <c r="C13073" s="147"/>
      <c r="D13073" s="129"/>
      <c r="E13073" s="185"/>
      <c r="F13073" s="185"/>
      <c r="G13073" s="185"/>
      <c r="H13073" s="185"/>
      <c r="I13073" s="11"/>
    </row>
    <row r="13074" spans="1:12" ht="9" customHeight="1">
      <c r="A13074" s="129"/>
      <c r="B13074" s="150" t="s">
        <v>17267</v>
      </c>
      <c r="C13074" s="147"/>
      <c r="D13074" s="129"/>
      <c r="E13074" s="185"/>
      <c r="F13074" s="185"/>
      <c r="G13074" s="185"/>
      <c r="H13074" s="185"/>
      <c r="I13074" s="11"/>
    </row>
    <row r="13075" spans="1:12" ht="9" customHeight="1" thickBot="1">
      <c r="A13075" s="162"/>
      <c r="B13075" s="150" t="s">
        <v>17268</v>
      </c>
      <c r="C13075" s="147"/>
      <c r="D13075" s="129"/>
      <c r="E13075" s="185"/>
      <c r="F13075" s="185"/>
      <c r="G13075" s="185"/>
      <c r="H13075" s="185"/>
      <c r="I13075" s="11"/>
    </row>
    <row r="13076" spans="1:12" ht="11.15" customHeight="1" thickBot="1">
      <c r="A13076" s="777" t="s">
        <v>17269</v>
      </c>
      <c r="B13076" s="778" t="s">
        <v>17270</v>
      </c>
      <c r="C13076" s="147"/>
      <c r="D13076" s="129"/>
      <c r="E13076" s="185"/>
      <c r="F13076" s="185"/>
      <c r="G13076" s="185"/>
      <c r="H13076" s="185"/>
      <c r="I13076" s="11"/>
    </row>
    <row r="13077" spans="1:12" ht="11.15" customHeight="1">
      <c r="A13077" s="219" t="s">
        <v>17271</v>
      </c>
      <c r="B13077" s="221" t="s">
        <v>17272</v>
      </c>
      <c r="C13077" s="147"/>
      <c r="D13077" s="129"/>
      <c r="E13077" s="185"/>
      <c r="F13077" s="185"/>
      <c r="G13077" s="185"/>
      <c r="H13077" s="185"/>
      <c r="I13077" s="11"/>
    </row>
    <row r="13078" spans="1:12" ht="11.15" customHeight="1">
      <c r="A13078" s="29" t="s">
        <v>17273</v>
      </c>
      <c r="B13078" s="59" t="s">
        <v>22886</v>
      </c>
      <c r="C13078" s="147" t="s">
        <v>20221</v>
      </c>
      <c r="D13078" s="701" t="s">
        <v>1129</v>
      </c>
      <c r="E13078" s="178">
        <v>2023</v>
      </c>
      <c r="F13078" s="178" t="s">
        <v>4520</v>
      </c>
      <c r="G13078" s="496"/>
      <c r="H13078" s="994" t="s">
        <v>20221</v>
      </c>
      <c r="I13078" s="11" t="s">
        <v>17274</v>
      </c>
      <c r="J13078" s="1285"/>
      <c r="K13078" s="1285"/>
      <c r="L13078" s="1285"/>
    </row>
    <row r="13079" spans="1:12" ht="11.15" customHeight="1">
      <c r="A13079" s="181" t="s">
        <v>17275</v>
      </c>
      <c r="B13079" s="59" t="s">
        <v>22886</v>
      </c>
      <c r="C13079" s="147" t="s">
        <v>20221</v>
      </c>
      <c r="D13079" s="701" t="s">
        <v>1129</v>
      </c>
      <c r="E13079" s="178">
        <v>2022</v>
      </c>
      <c r="F13079" s="178" t="s">
        <v>4520</v>
      </c>
      <c r="G13079" s="496"/>
      <c r="H13079" s="994" t="s">
        <v>20277</v>
      </c>
      <c r="I13079" s="11" t="s">
        <v>17276</v>
      </c>
      <c r="J13079" s="1285"/>
      <c r="K13079" s="1285"/>
      <c r="L13079" s="1285"/>
    </row>
    <row r="13080" spans="1:12" ht="11.15" customHeight="1">
      <c r="A13080" s="181" t="s">
        <v>17277</v>
      </c>
      <c r="B13080" s="59" t="s">
        <v>22887</v>
      </c>
      <c r="C13080" s="147" t="s">
        <v>20221</v>
      </c>
      <c r="D13080" s="701" t="s">
        <v>1129</v>
      </c>
      <c r="E13080" s="178">
        <v>2022</v>
      </c>
      <c r="F13080" s="178" t="s">
        <v>5257</v>
      </c>
      <c r="G13080" s="496"/>
      <c r="H13080" s="994" t="s">
        <v>20224</v>
      </c>
      <c r="I13080" s="11" t="s">
        <v>17278</v>
      </c>
      <c r="J13080" s="1285"/>
      <c r="K13080" s="1285"/>
      <c r="L13080" s="1285"/>
    </row>
    <row r="13081" spans="1:12" ht="11.15" customHeight="1">
      <c r="A13081" s="29" t="s">
        <v>17279</v>
      </c>
      <c r="B13081" s="221" t="s">
        <v>17280</v>
      </c>
      <c r="C13081" s="147"/>
      <c r="D13081" s="129"/>
      <c r="E13081" s="185"/>
      <c r="F13081" s="185"/>
      <c r="G13081" s="185"/>
      <c r="H13081" s="185"/>
      <c r="I13081" s="11"/>
    </row>
    <row r="13082" spans="1:12" ht="11.15" customHeight="1">
      <c r="A13082" s="29" t="s">
        <v>17281</v>
      </c>
      <c r="B13082" s="59" t="s">
        <v>22888</v>
      </c>
      <c r="C13082" s="147" t="s">
        <v>20221</v>
      </c>
      <c r="D13082" s="1034" t="s">
        <v>2573</v>
      </c>
      <c r="E13082" s="178">
        <v>2021</v>
      </c>
      <c r="F13082" s="178" t="s">
        <v>4520</v>
      </c>
      <c r="G13082" s="496"/>
      <c r="H13082" s="994" t="s">
        <v>20221</v>
      </c>
      <c r="I13082" s="11" t="s">
        <v>17282</v>
      </c>
      <c r="J13082" s="1285"/>
      <c r="K13082" s="1285"/>
      <c r="L13082" s="1285"/>
    </row>
    <row r="13083" spans="1:12" ht="9.75" customHeight="1">
      <c r="A13083" s="29" t="s">
        <v>17283</v>
      </c>
      <c r="B13083" s="221" t="s">
        <v>17284</v>
      </c>
      <c r="C13083" s="147"/>
      <c r="D13083" s="129"/>
      <c r="E13083" s="185"/>
      <c r="F13083" s="185"/>
      <c r="G13083" s="137"/>
      <c r="H13083" s="185"/>
      <c r="I13083" s="11"/>
    </row>
    <row r="13084" spans="1:12" ht="9.75" customHeight="1">
      <c r="A13084" s="29" t="s">
        <v>17285</v>
      </c>
      <c r="B13084" s="59" t="s">
        <v>22889</v>
      </c>
      <c r="C13084" s="147" t="s">
        <v>20221</v>
      </c>
      <c r="D13084" s="284" t="s">
        <v>897</v>
      </c>
      <c r="E13084" s="178">
        <v>2023</v>
      </c>
      <c r="F13084" s="178" t="s">
        <v>4520</v>
      </c>
      <c r="G13084" s="496"/>
      <c r="H13084" s="994" t="s">
        <v>20221</v>
      </c>
      <c r="I13084" s="11" t="s">
        <v>17286</v>
      </c>
      <c r="J13084" s="1285"/>
      <c r="K13084" s="1285"/>
      <c r="L13084" s="1285"/>
    </row>
    <row r="13085" spans="1:12" ht="9.75" customHeight="1">
      <c r="A13085" s="129" t="s">
        <v>896</v>
      </c>
      <c r="B13085" s="59" t="s">
        <v>22889</v>
      </c>
      <c r="C13085" s="147" t="s">
        <v>20221</v>
      </c>
      <c r="D13085" s="284" t="s">
        <v>897</v>
      </c>
      <c r="E13085" s="178">
        <v>2022</v>
      </c>
      <c r="F13085" s="178" t="s">
        <v>4520</v>
      </c>
      <c r="G13085" s="496"/>
      <c r="H13085" s="994" t="s">
        <v>20221</v>
      </c>
      <c r="I13085" s="11" t="s">
        <v>17287</v>
      </c>
      <c r="J13085" s="1285"/>
      <c r="K13085" s="1285"/>
      <c r="L13085" s="1285"/>
    </row>
    <row r="13086" spans="1:12" ht="11.15" customHeight="1">
      <c r="A13086" s="779" t="s">
        <v>17288</v>
      </c>
      <c r="B13086" s="59" t="s">
        <v>22889</v>
      </c>
      <c r="C13086" s="147" t="s">
        <v>20221</v>
      </c>
      <c r="D13086" s="284" t="s">
        <v>897</v>
      </c>
      <c r="E13086" s="178">
        <v>2021</v>
      </c>
      <c r="F13086" s="178" t="s">
        <v>4520</v>
      </c>
      <c r="G13086" s="496"/>
      <c r="H13086" s="994" t="s">
        <v>20221</v>
      </c>
      <c r="I13086" s="11" t="s">
        <v>17289</v>
      </c>
      <c r="J13086" s="1285"/>
      <c r="K13086" s="1285"/>
      <c r="L13086" s="1285"/>
    </row>
    <row r="13087" spans="1:12" ht="11.15" customHeight="1">
      <c r="A13087" s="422" t="s">
        <v>17290</v>
      </c>
      <c r="B13087" s="59" t="s">
        <v>22890</v>
      </c>
      <c r="C13087" s="147" t="s">
        <v>20221</v>
      </c>
      <c r="D13087" s="284" t="s">
        <v>897</v>
      </c>
      <c r="E13087" s="178">
        <v>2023</v>
      </c>
      <c r="F13087" s="178" t="s">
        <v>4520</v>
      </c>
      <c r="G13087" s="496"/>
      <c r="H13087" s="994" t="s">
        <v>20221</v>
      </c>
      <c r="I13087" s="11" t="s">
        <v>17291</v>
      </c>
      <c r="J13087" s="1285"/>
      <c r="K13087" s="1285"/>
      <c r="L13087" s="1285"/>
    </row>
    <row r="13088" spans="1:12" ht="11.15" customHeight="1">
      <c r="A13088" s="162" t="s">
        <v>17292</v>
      </c>
      <c r="B13088" s="59" t="s">
        <v>22890</v>
      </c>
      <c r="C13088" s="147" t="s">
        <v>20221</v>
      </c>
      <c r="D13088" s="284" t="s">
        <v>897</v>
      </c>
      <c r="E13088" s="178">
        <v>2022</v>
      </c>
      <c r="F13088" s="178" t="s">
        <v>4520</v>
      </c>
      <c r="G13088" s="496"/>
      <c r="H13088" s="994" t="s">
        <v>20221</v>
      </c>
      <c r="I13088" s="11" t="s">
        <v>17293</v>
      </c>
      <c r="J13088" s="1285"/>
      <c r="K13088" s="1285"/>
      <c r="L13088" s="1285"/>
    </row>
    <row r="13089" spans="1:12" ht="11.15" customHeight="1">
      <c r="A13089" s="422" t="s">
        <v>17294</v>
      </c>
      <c r="B13089" s="59" t="s">
        <v>22890</v>
      </c>
      <c r="C13089" s="147" t="s">
        <v>20221</v>
      </c>
      <c r="D13089" s="284" t="s">
        <v>897</v>
      </c>
      <c r="E13089" s="178">
        <v>2021</v>
      </c>
      <c r="F13089" s="178" t="s">
        <v>4520</v>
      </c>
      <c r="G13089" s="496"/>
      <c r="H13089" s="994" t="s">
        <v>20221</v>
      </c>
      <c r="I13089" s="11" t="s">
        <v>17295</v>
      </c>
      <c r="J13089" s="1285"/>
      <c r="K13089" s="1285"/>
      <c r="L13089" s="1285"/>
    </row>
    <row r="13090" spans="1:12" ht="11.15" customHeight="1">
      <c r="A13090" s="422" t="s">
        <v>17296</v>
      </c>
      <c r="B13090" s="221" t="s">
        <v>17297</v>
      </c>
      <c r="C13090" s="147"/>
      <c r="D13090" s="185"/>
      <c r="E13090" s="185"/>
      <c r="F13090" s="185"/>
      <c r="G13090" s="185"/>
      <c r="H13090" s="185"/>
      <c r="I13090" s="11"/>
    </row>
    <row r="13091" spans="1:12" ht="11.15" customHeight="1">
      <c r="A13091" s="162" t="s">
        <v>17298</v>
      </c>
      <c r="B13091" s="59" t="s">
        <v>22891</v>
      </c>
      <c r="C13091" s="147" t="s">
        <v>20221</v>
      </c>
      <c r="D13091" s="284" t="s">
        <v>897</v>
      </c>
      <c r="E13091" s="178">
        <v>2022</v>
      </c>
      <c r="F13091" s="178" t="s">
        <v>5257</v>
      </c>
      <c r="G13091" s="496"/>
      <c r="H13091" s="994" t="s">
        <v>20224</v>
      </c>
      <c r="I13091" s="11" t="s">
        <v>17299</v>
      </c>
      <c r="J13091" s="1285"/>
      <c r="K13091" s="1285"/>
      <c r="L13091" s="1285"/>
    </row>
    <row r="13092" spans="1:12" ht="11.15" customHeight="1">
      <c r="A13092" s="162" t="s">
        <v>17300</v>
      </c>
      <c r="B13092" s="59" t="s">
        <v>22892</v>
      </c>
      <c r="C13092" s="147" t="s">
        <v>20221</v>
      </c>
      <c r="D13092" s="284" t="s">
        <v>897</v>
      </c>
      <c r="E13092" s="178">
        <v>2022</v>
      </c>
      <c r="F13092" s="178" t="s">
        <v>5257</v>
      </c>
      <c r="G13092" s="496"/>
      <c r="H13092" s="994" t="s">
        <v>20221</v>
      </c>
      <c r="I13092" s="11" t="s">
        <v>17301</v>
      </c>
      <c r="J13092" s="1285"/>
      <c r="K13092" s="1285"/>
      <c r="L13092" s="1285"/>
    </row>
    <row r="13093" spans="1:12" ht="11.15" customHeight="1">
      <c r="A13093" s="162" t="s">
        <v>17302</v>
      </c>
      <c r="B13093" s="59" t="s">
        <v>22892</v>
      </c>
      <c r="C13093" s="147" t="s">
        <v>20221</v>
      </c>
      <c r="D13093" s="284" t="s">
        <v>897</v>
      </c>
      <c r="E13093" s="178">
        <v>2021</v>
      </c>
      <c r="F13093" s="178" t="s">
        <v>5257</v>
      </c>
      <c r="G13093" s="496"/>
      <c r="H13093" s="994" t="s">
        <v>20221</v>
      </c>
      <c r="I13093" s="11" t="s">
        <v>17303</v>
      </c>
      <c r="J13093" s="1285"/>
      <c r="K13093" s="1285"/>
      <c r="L13093" s="1285"/>
    </row>
    <row r="13094" spans="1:12" ht="11.15" customHeight="1">
      <c r="A13094" s="129" t="s">
        <v>17304</v>
      </c>
      <c r="B13094" s="778" t="s">
        <v>17305</v>
      </c>
      <c r="C13094" s="147"/>
      <c r="D13094" s="129"/>
      <c r="E13094" s="185"/>
      <c r="F13094" s="185"/>
      <c r="G13094" s="185"/>
      <c r="H13094" s="185"/>
      <c r="I13094" s="11"/>
    </row>
    <row r="13095" spans="1:12" ht="11.15" customHeight="1">
      <c r="A13095" s="162" t="s">
        <v>17306</v>
      </c>
      <c r="B13095" s="221" t="s">
        <v>17307</v>
      </c>
      <c r="C13095" s="147"/>
      <c r="D13095" s="129"/>
      <c r="E13095" s="185"/>
      <c r="F13095" s="185"/>
      <c r="G13095" s="185"/>
      <c r="H13095" s="185"/>
      <c r="I13095" s="11"/>
    </row>
    <row r="13096" spans="1:12" ht="11.15" customHeight="1">
      <c r="A13096" s="422" t="s">
        <v>17308</v>
      </c>
      <c r="B13096" s="59" t="s">
        <v>22893</v>
      </c>
      <c r="C13096" s="147" t="s">
        <v>20221</v>
      </c>
      <c r="D13096" s="1035" t="s">
        <v>1370</v>
      </c>
      <c r="E13096" s="178">
        <v>2023</v>
      </c>
      <c r="F13096" s="178" t="s">
        <v>4520</v>
      </c>
      <c r="G13096" s="496"/>
      <c r="H13096" s="994" t="s">
        <v>20221</v>
      </c>
      <c r="I13096" s="11" t="s">
        <v>17309</v>
      </c>
      <c r="J13096" s="1285"/>
      <c r="K13096" s="1285"/>
      <c r="L13096" s="1285"/>
    </row>
    <row r="13097" spans="1:12" ht="11.15" customHeight="1">
      <c r="A13097" s="223" t="s">
        <v>17310</v>
      </c>
      <c r="B13097" s="59" t="s">
        <v>22893</v>
      </c>
      <c r="C13097" s="147" t="s">
        <v>20221</v>
      </c>
      <c r="D13097" s="1035" t="s">
        <v>1370</v>
      </c>
      <c r="E13097" s="178">
        <v>2022</v>
      </c>
      <c r="F13097" s="178" t="s">
        <v>4520</v>
      </c>
      <c r="G13097" s="496"/>
      <c r="H13097" s="994" t="s">
        <v>20221</v>
      </c>
      <c r="I13097" s="11" t="s">
        <v>17311</v>
      </c>
      <c r="J13097" s="1285"/>
      <c r="K13097" s="1285"/>
      <c r="L13097" s="1285"/>
    </row>
    <row r="13098" spans="1:12" ht="11.15" customHeight="1">
      <c r="A13098" s="422" t="s">
        <v>17312</v>
      </c>
      <c r="B13098" s="59" t="s">
        <v>22893</v>
      </c>
      <c r="C13098" s="147" t="s">
        <v>20221</v>
      </c>
      <c r="D13098" s="1035" t="s">
        <v>1370</v>
      </c>
      <c r="E13098" s="178">
        <v>2021</v>
      </c>
      <c r="F13098" s="178" t="s">
        <v>4520</v>
      </c>
      <c r="G13098" s="496"/>
      <c r="H13098" s="994" t="s">
        <v>20221</v>
      </c>
      <c r="I13098" s="11" t="s">
        <v>17313</v>
      </c>
      <c r="J13098" s="1285"/>
      <c r="K13098" s="1285"/>
      <c r="L13098" s="1285"/>
    </row>
    <row r="13099" spans="1:12" ht="11.15" customHeight="1">
      <c r="A13099" s="422" t="s">
        <v>17314</v>
      </c>
      <c r="B13099" s="221" t="s">
        <v>17315</v>
      </c>
      <c r="C13099" s="147"/>
      <c r="D13099" s="129"/>
      <c r="E13099" s="185"/>
      <c r="F13099" s="185"/>
      <c r="G13099" s="137"/>
      <c r="H13099" s="185"/>
      <c r="I13099" s="11"/>
    </row>
    <row r="13100" spans="1:12" ht="11.15" customHeight="1">
      <c r="A13100" s="162" t="s">
        <v>17316</v>
      </c>
      <c r="B13100" s="59" t="s">
        <v>22894</v>
      </c>
      <c r="C13100" s="147" t="s">
        <v>20221</v>
      </c>
      <c r="D13100" s="284" t="s">
        <v>897</v>
      </c>
      <c r="E13100" s="178">
        <v>2022</v>
      </c>
      <c r="F13100" s="178" t="s">
        <v>4520</v>
      </c>
      <c r="G13100" s="496"/>
      <c r="H13100" s="994" t="s">
        <v>20221</v>
      </c>
      <c r="I13100" s="11" t="s">
        <v>17317</v>
      </c>
      <c r="J13100" s="1285"/>
      <c r="K13100" s="1285"/>
      <c r="L13100" s="1285"/>
    </row>
    <row r="13101" spans="1:12" ht="11.15" customHeight="1">
      <c r="A13101" s="422" t="s">
        <v>17318</v>
      </c>
      <c r="B13101" s="59" t="s">
        <v>22894</v>
      </c>
      <c r="C13101" s="147" t="s">
        <v>20221</v>
      </c>
      <c r="D13101" s="284" t="s">
        <v>897</v>
      </c>
      <c r="E13101" s="178">
        <v>2021</v>
      </c>
      <c r="F13101" s="178" t="s">
        <v>4520</v>
      </c>
      <c r="G13101" s="496"/>
      <c r="H13101" s="994" t="s">
        <v>20221</v>
      </c>
      <c r="I13101" s="11" t="s">
        <v>17319</v>
      </c>
      <c r="J13101" s="1285"/>
      <c r="K13101" s="1285"/>
      <c r="L13101" s="1285"/>
    </row>
    <row r="13102" spans="1:12" ht="11.15" customHeight="1">
      <c r="A13102" s="166" t="s">
        <v>17320</v>
      </c>
      <c r="B13102" s="59" t="s">
        <v>22894</v>
      </c>
      <c r="C13102" s="147" t="s">
        <v>20221</v>
      </c>
      <c r="D13102" s="284" t="s">
        <v>897</v>
      </c>
      <c r="E13102" s="178">
        <v>2020</v>
      </c>
      <c r="F13102" s="178" t="s">
        <v>4520</v>
      </c>
      <c r="G13102" s="496"/>
      <c r="H13102" s="994" t="s">
        <v>20221</v>
      </c>
      <c r="I13102" s="11" t="s">
        <v>17321</v>
      </c>
      <c r="J13102" s="1285"/>
      <c r="K13102" s="1285"/>
      <c r="L13102" s="1285"/>
    </row>
    <row r="13103" spans="1:12" ht="11.15" customHeight="1">
      <c r="A13103" s="780" t="s">
        <v>5463</v>
      </c>
      <c r="B13103" s="59" t="s">
        <v>22895</v>
      </c>
      <c r="C13103" s="147" t="s">
        <v>20221</v>
      </c>
      <c r="D13103" s="284" t="s">
        <v>897</v>
      </c>
      <c r="E13103" s="178">
        <v>2022</v>
      </c>
      <c r="F13103" s="178" t="s">
        <v>5257</v>
      </c>
      <c r="G13103" s="496"/>
      <c r="H13103" s="994" t="s">
        <v>20224</v>
      </c>
      <c r="I13103" s="11" t="s">
        <v>17322</v>
      </c>
      <c r="J13103" s="1285"/>
      <c r="K13103" s="1285"/>
      <c r="L13103" s="1285"/>
    </row>
    <row r="13104" spans="1:12" ht="11.15" customHeight="1">
      <c r="A13104" s="129" t="s">
        <v>17323</v>
      </c>
      <c r="B13104" s="59" t="s">
        <v>22895</v>
      </c>
      <c r="C13104" s="147" t="s">
        <v>20221</v>
      </c>
      <c r="D13104" s="284" t="s">
        <v>897</v>
      </c>
      <c r="E13104" s="178">
        <v>2021</v>
      </c>
      <c r="F13104" s="178" t="s">
        <v>5257</v>
      </c>
      <c r="G13104" s="496"/>
      <c r="H13104" s="994" t="s">
        <v>20221</v>
      </c>
      <c r="I13104" s="11" t="s">
        <v>17324</v>
      </c>
      <c r="J13104" s="1285"/>
      <c r="K13104" s="1285"/>
      <c r="L13104" s="1285"/>
    </row>
    <row r="13105" spans="1:12" ht="11.15" customHeight="1">
      <c r="A13105" s="129" t="s">
        <v>916</v>
      </c>
      <c r="B13105" s="221" t="s">
        <v>17325</v>
      </c>
      <c r="C13105" s="147"/>
      <c r="D13105" s="129"/>
      <c r="E13105" s="185"/>
      <c r="F13105" s="185"/>
      <c r="G13105" s="137"/>
      <c r="H13105" s="185"/>
      <c r="I13105" s="11"/>
    </row>
    <row r="13106" spans="1:12" ht="11.15" customHeight="1">
      <c r="A13106" s="129" t="s">
        <v>17326</v>
      </c>
      <c r="B13106" s="59" t="s">
        <v>22896</v>
      </c>
      <c r="C13106" s="147" t="s">
        <v>20221</v>
      </c>
      <c r="D13106" s="284" t="s">
        <v>897</v>
      </c>
      <c r="E13106" s="178">
        <v>2022</v>
      </c>
      <c r="F13106" s="178" t="s">
        <v>4520</v>
      </c>
      <c r="G13106" s="496"/>
      <c r="H13106" s="994" t="s">
        <v>20221</v>
      </c>
      <c r="I13106" s="11" t="s">
        <v>17327</v>
      </c>
      <c r="J13106" s="1285"/>
      <c r="K13106" s="1285"/>
      <c r="L13106" s="1285"/>
    </row>
    <row r="13107" spans="1:12" ht="11.15" customHeight="1">
      <c r="A13107" s="219"/>
      <c r="B13107" s="59" t="s">
        <v>22896</v>
      </c>
      <c r="C13107" s="147" t="s">
        <v>20221</v>
      </c>
      <c r="D13107" s="284" t="s">
        <v>897</v>
      </c>
      <c r="E13107" s="178">
        <v>2021</v>
      </c>
      <c r="F13107" s="178" t="s">
        <v>4520</v>
      </c>
      <c r="G13107" s="496"/>
      <c r="H13107" s="994" t="s">
        <v>20221</v>
      </c>
      <c r="I13107" s="11" t="s">
        <v>17328</v>
      </c>
      <c r="J13107" s="1285"/>
      <c r="K13107" s="1285"/>
      <c r="L13107" s="1285"/>
    </row>
    <row r="13108" spans="1:12" ht="11.15" customHeight="1">
      <c r="A13108" s="219"/>
      <c r="B13108" s="59" t="s">
        <v>22897</v>
      </c>
      <c r="C13108" s="147" t="s">
        <v>20221</v>
      </c>
      <c r="D13108" s="284" t="s">
        <v>897</v>
      </c>
      <c r="E13108" s="178">
        <v>2020</v>
      </c>
      <c r="F13108" s="178" t="s">
        <v>4520</v>
      </c>
      <c r="G13108" s="496"/>
      <c r="H13108" s="994" t="s">
        <v>20221</v>
      </c>
      <c r="I13108" s="11" t="s">
        <v>17329</v>
      </c>
      <c r="J13108" s="1285"/>
      <c r="K13108" s="1285"/>
      <c r="L13108" s="1285"/>
    </row>
    <row r="13109" spans="1:12" ht="11.15" customHeight="1">
      <c r="A13109" s="219"/>
      <c r="B13109" s="59" t="s">
        <v>22898</v>
      </c>
      <c r="C13109" s="147" t="s">
        <v>20221</v>
      </c>
      <c r="D13109" s="284" t="s">
        <v>897</v>
      </c>
      <c r="E13109" s="178">
        <v>2018</v>
      </c>
      <c r="F13109" s="178" t="s">
        <v>4520</v>
      </c>
      <c r="G13109" s="496"/>
      <c r="H13109" s="994" t="s">
        <v>20221</v>
      </c>
      <c r="I13109" s="11" t="s">
        <v>17330</v>
      </c>
      <c r="J13109" s="1285"/>
      <c r="K13109" s="1285"/>
      <c r="L13109" s="1285"/>
    </row>
    <row r="13110" spans="1:12" ht="11.15" customHeight="1">
      <c r="A13110" s="219"/>
      <c r="B13110" s="59" t="s">
        <v>22899</v>
      </c>
      <c r="C13110" s="147" t="s">
        <v>20221</v>
      </c>
      <c r="D13110" s="284" t="s">
        <v>897</v>
      </c>
      <c r="E13110" s="178">
        <v>2022</v>
      </c>
      <c r="F13110" s="178" t="s">
        <v>5257</v>
      </c>
      <c r="G13110" s="496"/>
      <c r="H13110" s="994" t="s">
        <v>20224</v>
      </c>
      <c r="I13110" s="11" t="s">
        <v>17331</v>
      </c>
      <c r="J13110" s="1285"/>
      <c r="K13110" s="1285"/>
      <c r="L13110" s="1285"/>
    </row>
    <row r="13111" spans="1:12" ht="11.15" customHeight="1">
      <c r="A13111" s="219"/>
      <c r="B13111" s="59" t="s">
        <v>22899</v>
      </c>
      <c r="C13111" s="147" t="s">
        <v>20221</v>
      </c>
      <c r="D13111" s="284" t="s">
        <v>897</v>
      </c>
      <c r="E13111" s="178">
        <v>2021</v>
      </c>
      <c r="F13111" s="178" t="s">
        <v>5257</v>
      </c>
      <c r="G13111" s="496"/>
      <c r="H13111" s="994" t="s">
        <v>20221</v>
      </c>
      <c r="I13111" s="11" t="s">
        <v>17332</v>
      </c>
      <c r="J13111" s="1285"/>
      <c r="K13111" s="1285"/>
      <c r="L13111" s="1285"/>
    </row>
    <row r="13112" spans="1:12" ht="11.15" customHeight="1" thickBot="1">
      <c r="A13112" s="185"/>
      <c r="B13112" s="773"/>
      <c r="C13112" s="147"/>
      <c r="D13112" s="161"/>
      <c r="E13112" s="36"/>
      <c r="F13112" s="178"/>
      <c r="G13112" s="671"/>
      <c r="H13112" s="36"/>
      <c r="I13112" s="11"/>
    </row>
    <row r="13113" spans="1:12" ht="11.15" customHeight="1" thickBot="1">
      <c r="A13113" s="421" t="s">
        <v>17333</v>
      </c>
      <c r="B13113" s="221" t="s">
        <v>17334</v>
      </c>
      <c r="C13113" s="147"/>
      <c r="D13113" s="161"/>
      <c r="E13113" s="36"/>
      <c r="F13113" s="178"/>
      <c r="G13113" s="671"/>
      <c r="H13113" s="36"/>
      <c r="I13113" s="11"/>
    </row>
    <row r="13114" spans="1:12" ht="11.15" customHeight="1">
      <c r="A13114" s="219" t="s">
        <v>17271</v>
      </c>
      <c r="B13114" s="59" t="s">
        <v>22900</v>
      </c>
      <c r="C13114" s="147" t="s">
        <v>20221</v>
      </c>
      <c r="D13114" s="284" t="s">
        <v>897</v>
      </c>
      <c r="E13114" s="178">
        <v>2022</v>
      </c>
      <c r="F13114" s="178" t="s">
        <v>4520</v>
      </c>
      <c r="G13114" s="496"/>
      <c r="H13114" s="994" t="s">
        <v>20221</v>
      </c>
      <c r="I13114" s="11" t="s">
        <v>17335</v>
      </c>
      <c r="J13114" s="1285"/>
      <c r="K13114" s="1285"/>
      <c r="L13114" s="1285"/>
    </row>
    <row r="13115" spans="1:12" ht="11.15" customHeight="1">
      <c r="A13115" s="29" t="s">
        <v>17336</v>
      </c>
      <c r="B13115" s="59" t="s">
        <v>22901</v>
      </c>
      <c r="C13115" s="147" t="s">
        <v>20221</v>
      </c>
      <c r="D13115" s="284" t="s">
        <v>897</v>
      </c>
      <c r="E13115" s="178">
        <v>2021</v>
      </c>
      <c r="F13115" s="178" t="s">
        <v>4520</v>
      </c>
      <c r="G13115" s="496"/>
      <c r="H13115" s="994" t="s">
        <v>20221</v>
      </c>
      <c r="I13115" s="11" t="s">
        <v>17337</v>
      </c>
      <c r="J13115" s="1285"/>
      <c r="K13115" s="1285"/>
      <c r="L13115" s="1285"/>
    </row>
    <row r="13116" spans="1:12" ht="11.15" customHeight="1">
      <c r="A13116" s="181" t="s">
        <v>17275</v>
      </c>
      <c r="B13116" s="59" t="s">
        <v>22902</v>
      </c>
      <c r="C13116" s="147" t="s">
        <v>20221</v>
      </c>
      <c r="D13116" s="284" t="s">
        <v>897</v>
      </c>
      <c r="E13116" s="178">
        <v>2020</v>
      </c>
      <c r="F13116" s="178" t="s">
        <v>4520</v>
      </c>
      <c r="G13116" s="496"/>
      <c r="H13116" s="994" t="s">
        <v>20277</v>
      </c>
      <c r="I13116" s="11" t="s">
        <v>17338</v>
      </c>
      <c r="J13116" s="1285"/>
      <c r="K13116" s="1285"/>
      <c r="L13116" s="1285"/>
    </row>
    <row r="13117" spans="1:12" ht="11.15" customHeight="1">
      <c r="A13117" s="181" t="s">
        <v>17277</v>
      </c>
      <c r="B13117" s="59" t="s">
        <v>22903</v>
      </c>
      <c r="C13117" s="147" t="s">
        <v>20221</v>
      </c>
      <c r="D13117" s="284" t="s">
        <v>897</v>
      </c>
      <c r="E13117" s="178">
        <v>2022</v>
      </c>
      <c r="F13117" s="178" t="s">
        <v>5257</v>
      </c>
      <c r="G13117" s="496"/>
      <c r="H13117" s="994" t="s">
        <v>20224</v>
      </c>
      <c r="I13117" s="11" t="s">
        <v>17339</v>
      </c>
      <c r="J13117" s="1285"/>
      <c r="K13117" s="1285"/>
      <c r="L13117" s="1285"/>
    </row>
    <row r="13118" spans="1:12" ht="11.15" customHeight="1">
      <c r="A13118" s="29" t="s">
        <v>17279</v>
      </c>
      <c r="B13118" s="59" t="s">
        <v>22904</v>
      </c>
      <c r="C13118" s="147" t="s">
        <v>20221</v>
      </c>
      <c r="D13118" s="284" t="s">
        <v>897</v>
      </c>
      <c r="E13118" s="178">
        <v>2020</v>
      </c>
      <c r="F13118" s="178" t="s">
        <v>5257</v>
      </c>
      <c r="G13118" s="496"/>
      <c r="H13118" s="994" t="s">
        <v>20224</v>
      </c>
      <c r="I13118" s="11" t="s">
        <v>17340</v>
      </c>
      <c r="J13118" s="1285"/>
      <c r="K13118" s="1285"/>
      <c r="L13118" s="1285"/>
    </row>
    <row r="13119" spans="1:12" ht="11.15" customHeight="1">
      <c r="A13119" s="29" t="s">
        <v>17281</v>
      </c>
      <c r="B13119" s="221" t="s">
        <v>17341</v>
      </c>
      <c r="C13119" s="147"/>
      <c r="D13119" s="161"/>
      <c r="E13119" s="36"/>
      <c r="F13119" s="178"/>
      <c r="G13119" s="671"/>
      <c r="H13119" s="36"/>
      <c r="I13119" s="11"/>
    </row>
    <row r="13120" spans="1:12" ht="11.15" customHeight="1">
      <c r="A13120" s="29" t="s">
        <v>17283</v>
      </c>
      <c r="B13120" s="59" t="s">
        <v>22905</v>
      </c>
      <c r="C13120" s="147" t="s">
        <v>20221</v>
      </c>
      <c r="D13120" s="284" t="s">
        <v>897</v>
      </c>
      <c r="E13120" s="178">
        <v>2021</v>
      </c>
      <c r="F13120" s="178" t="s">
        <v>4520</v>
      </c>
      <c r="G13120" s="496"/>
      <c r="H13120" s="994" t="s">
        <v>20221</v>
      </c>
      <c r="I13120" s="11" t="s">
        <v>17342</v>
      </c>
      <c r="J13120" s="1285"/>
      <c r="K13120" s="1285"/>
      <c r="L13120" s="1285"/>
    </row>
    <row r="13121" spans="1:12" ht="11.15" customHeight="1">
      <c r="A13121" s="29" t="s">
        <v>17343</v>
      </c>
      <c r="B13121" s="59" t="s">
        <v>22905</v>
      </c>
      <c r="C13121" s="147" t="s">
        <v>20221</v>
      </c>
      <c r="D13121" s="284" t="s">
        <v>897</v>
      </c>
      <c r="E13121" s="178">
        <v>2020</v>
      </c>
      <c r="F13121" s="178" t="s">
        <v>4520</v>
      </c>
      <c r="G13121" s="496"/>
      <c r="H13121" s="994" t="s">
        <v>20221</v>
      </c>
      <c r="I13121" s="11" t="s">
        <v>17344</v>
      </c>
      <c r="J13121" s="1285"/>
      <c r="K13121" s="1285"/>
      <c r="L13121" s="1285"/>
    </row>
    <row r="13122" spans="1:12" ht="11.15" customHeight="1">
      <c r="A13122" s="220" t="s">
        <v>17345</v>
      </c>
      <c r="B13122" s="59" t="s">
        <v>22905</v>
      </c>
      <c r="C13122" s="147" t="s">
        <v>20221</v>
      </c>
      <c r="D13122" s="284" t="s">
        <v>897</v>
      </c>
      <c r="E13122" s="178">
        <v>2019</v>
      </c>
      <c r="F13122" s="178" t="s">
        <v>4520</v>
      </c>
      <c r="G13122" s="496"/>
      <c r="H13122" s="994" t="s">
        <v>20221</v>
      </c>
      <c r="I13122" s="11" t="s">
        <v>17346</v>
      </c>
      <c r="J13122" s="1285"/>
      <c r="K13122" s="1285"/>
      <c r="L13122" s="1285"/>
    </row>
    <row r="13123" spans="1:12" ht="11.15" customHeight="1">
      <c r="A13123" s="162" t="s">
        <v>17347</v>
      </c>
      <c r="B13123" s="59" t="s">
        <v>22906</v>
      </c>
      <c r="C13123" s="147" t="s">
        <v>20221</v>
      </c>
      <c r="D13123" s="284" t="s">
        <v>897</v>
      </c>
      <c r="E13123" s="178">
        <v>2020</v>
      </c>
      <c r="F13123" s="178" t="s">
        <v>5257</v>
      </c>
      <c r="G13123" s="496"/>
      <c r="H13123" s="994" t="s">
        <v>20224</v>
      </c>
      <c r="I13123" s="11" t="s">
        <v>17348</v>
      </c>
      <c r="J13123" s="1285"/>
      <c r="K13123" s="1285"/>
      <c r="L13123" s="1285"/>
    </row>
    <row r="13124" spans="1:12" ht="11.15" customHeight="1">
      <c r="A13124" s="162" t="s">
        <v>17349</v>
      </c>
      <c r="B13124" s="59" t="s">
        <v>22906</v>
      </c>
      <c r="C13124" s="147" t="s">
        <v>20221</v>
      </c>
      <c r="D13124" s="284" t="s">
        <v>897</v>
      </c>
      <c r="E13124" s="178">
        <v>2019</v>
      </c>
      <c r="F13124" s="178" t="s">
        <v>9678</v>
      </c>
      <c r="G13124" s="496"/>
      <c r="H13124" s="994" t="s">
        <v>20224</v>
      </c>
      <c r="I13124" s="11" t="s">
        <v>17350</v>
      </c>
      <c r="J13124" s="1285"/>
      <c r="K13124" s="1285"/>
      <c r="L13124" s="1285"/>
    </row>
    <row r="13125" spans="1:12" ht="11.15" customHeight="1">
      <c r="A13125" s="162" t="s">
        <v>17351</v>
      </c>
      <c r="B13125" s="221" t="s">
        <v>17352</v>
      </c>
      <c r="C13125" s="147"/>
      <c r="D13125" s="129"/>
      <c r="E13125" s="185"/>
      <c r="F13125" s="185"/>
      <c r="G13125" s="671"/>
      <c r="H13125" s="185"/>
      <c r="I13125" s="11"/>
    </row>
    <row r="13126" spans="1:12" ht="11.15" customHeight="1">
      <c r="A13126" s="162" t="s">
        <v>17353</v>
      </c>
      <c r="B13126" s="59" t="s">
        <v>22907</v>
      </c>
      <c r="C13126" s="147" t="s">
        <v>20221</v>
      </c>
      <c r="D13126" s="284" t="s">
        <v>897</v>
      </c>
      <c r="E13126" s="178">
        <v>2019</v>
      </c>
      <c r="F13126" s="178" t="s">
        <v>23394</v>
      </c>
      <c r="G13126" s="496"/>
      <c r="H13126" s="994" t="s">
        <v>20221</v>
      </c>
      <c r="I13126" s="11" t="s">
        <v>17354</v>
      </c>
      <c r="J13126" s="1285"/>
      <c r="K13126" s="1285"/>
      <c r="L13126" s="1285"/>
    </row>
    <row r="13127" spans="1:12" ht="11.15" customHeight="1">
      <c r="A13127" s="162" t="s">
        <v>17355</v>
      </c>
      <c r="B13127" s="59" t="s">
        <v>22908</v>
      </c>
      <c r="C13127" s="147" t="s">
        <v>20221</v>
      </c>
      <c r="D13127" s="284" t="s">
        <v>897</v>
      </c>
      <c r="E13127" s="178">
        <v>2020</v>
      </c>
      <c r="F13127" s="178" t="s">
        <v>23394</v>
      </c>
      <c r="G13127" s="496"/>
      <c r="H13127" s="994" t="s">
        <v>20221</v>
      </c>
      <c r="I13127" s="11" t="s">
        <v>17356</v>
      </c>
      <c r="J13127" s="1285"/>
      <c r="K13127" s="1285"/>
      <c r="L13127" s="1285"/>
    </row>
    <row r="13128" spans="1:12" ht="11.15" customHeight="1">
      <c r="A13128" s="162" t="s">
        <v>17357</v>
      </c>
      <c r="B13128" s="59" t="s">
        <v>22908</v>
      </c>
      <c r="C13128" s="147" t="s">
        <v>20221</v>
      </c>
      <c r="D13128" s="284" t="s">
        <v>897</v>
      </c>
      <c r="E13128" s="178">
        <v>2019</v>
      </c>
      <c r="F13128" s="178" t="s">
        <v>23394</v>
      </c>
      <c r="G13128" s="496"/>
      <c r="H13128" s="994" t="s">
        <v>20221</v>
      </c>
      <c r="I13128" s="11" t="s">
        <v>17358</v>
      </c>
      <c r="J13128" s="1285"/>
      <c r="K13128" s="1285"/>
      <c r="L13128" s="1285"/>
    </row>
    <row r="13129" spans="1:12" ht="11.15" customHeight="1">
      <c r="A13129" s="220" t="s">
        <v>17359</v>
      </c>
      <c r="B13129" s="59" t="s">
        <v>22908</v>
      </c>
      <c r="C13129" s="147" t="s">
        <v>20221</v>
      </c>
      <c r="D13129" s="284" t="s">
        <v>897</v>
      </c>
      <c r="E13129" s="178">
        <v>2018</v>
      </c>
      <c r="F13129" s="178" t="s">
        <v>23394</v>
      </c>
      <c r="G13129" s="496"/>
      <c r="H13129" s="994" t="s">
        <v>20221</v>
      </c>
      <c r="I13129" s="11" t="s">
        <v>17360</v>
      </c>
      <c r="J13129" s="1285"/>
      <c r="K13129" s="1285"/>
      <c r="L13129" s="1285"/>
    </row>
    <row r="13130" spans="1:12" ht="11.15" customHeight="1">
      <c r="A13130" s="422" t="s">
        <v>17361</v>
      </c>
      <c r="B13130" s="59" t="s">
        <v>22909</v>
      </c>
      <c r="C13130" s="147" t="s">
        <v>20221</v>
      </c>
      <c r="D13130" s="284" t="s">
        <v>897</v>
      </c>
      <c r="E13130" s="178">
        <v>2020</v>
      </c>
      <c r="F13130" s="178" t="s">
        <v>23394</v>
      </c>
      <c r="G13130" s="496"/>
      <c r="H13130" s="994" t="s">
        <v>20221</v>
      </c>
      <c r="I13130" s="11" t="s">
        <v>17362</v>
      </c>
      <c r="J13130" s="1285"/>
      <c r="K13130" s="1285"/>
      <c r="L13130" s="1285"/>
    </row>
    <row r="13131" spans="1:12" ht="11.15" customHeight="1">
      <c r="A13131" s="422" t="s">
        <v>17363</v>
      </c>
      <c r="B13131" s="59" t="s">
        <v>22909</v>
      </c>
      <c r="C13131" s="147" t="s">
        <v>20221</v>
      </c>
      <c r="D13131" s="284" t="s">
        <v>897</v>
      </c>
      <c r="E13131" s="178">
        <v>2019</v>
      </c>
      <c r="F13131" s="178" t="s">
        <v>23394</v>
      </c>
      <c r="G13131" s="496"/>
      <c r="H13131" s="994" t="s">
        <v>20221</v>
      </c>
      <c r="I13131" s="11" t="s">
        <v>17364</v>
      </c>
      <c r="J13131" s="1285"/>
      <c r="K13131" s="1285"/>
      <c r="L13131" s="1285"/>
    </row>
    <row r="13132" spans="1:12" ht="11.15" customHeight="1">
      <c r="A13132" s="162" t="s">
        <v>17365</v>
      </c>
      <c r="B13132" s="59" t="s">
        <v>22909</v>
      </c>
      <c r="C13132" s="147" t="s">
        <v>20221</v>
      </c>
      <c r="D13132" s="284" t="s">
        <v>897</v>
      </c>
      <c r="E13132" s="178">
        <v>2018</v>
      </c>
      <c r="F13132" s="178" t="s">
        <v>23394</v>
      </c>
      <c r="G13132" s="496"/>
      <c r="H13132" s="994" t="s">
        <v>20221</v>
      </c>
      <c r="I13132" s="11" t="s">
        <v>17366</v>
      </c>
      <c r="J13132" s="1285"/>
      <c r="K13132" s="1285"/>
      <c r="L13132" s="1285"/>
    </row>
    <row r="13133" spans="1:12" ht="11.15" customHeight="1">
      <c r="A13133" s="422" t="s">
        <v>17367</v>
      </c>
      <c r="B13133" s="221" t="s">
        <v>17368</v>
      </c>
      <c r="C13133" s="147"/>
      <c r="D13133" s="129"/>
      <c r="E13133" s="185"/>
      <c r="F13133" s="185"/>
      <c r="G13133" s="671"/>
      <c r="H13133" s="185"/>
      <c r="I13133" s="11"/>
    </row>
    <row r="13134" spans="1:12" ht="11.15" customHeight="1">
      <c r="A13134" s="162" t="s">
        <v>17369</v>
      </c>
      <c r="B13134" s="59" t="s">
        <v>22910</v>
      </c>
      <c r="C13134" s="147" t="s">
        <v>20221</v>
      </c>
      <c r="D13134" s="284" t="s">
        <v>897</v>
      </c>
      <c r="E13134" s="178">
        <v>2019</v>
      </c>
      <c r="F13134" s="178" t="s">
        <v>9678</v>
      </c>
      <c r="G13134" s="496"/>
      <c r="H13134" s="994" t="s">
        <v>20224</v>
      </c>
      <c r="I13134" s="11" t="s">
        <v>17370</v>
      </c>
      <c r="J13134" s="1285"/>
      <c r="K13134" s="1285"/>
      <c r="L13134" s="1285"/>
    </row>
    <row r="13135" spans="1:12" ht="11.15" customHeight="1">
      <c r="A13135" s="162" t="s">
        <v>17371</v>
      </c>
      <c r="B13135" s="59" t="s">
        <v>22911</v>
      </c>
      <c r="C13135" s="147" t="s">
        <v>20221</v>
      </c>
      <c r="D13135" s="284" t="s">
        <v>897</v>
      </c>
      <c r="E13135" s="178">
        <v>2020</v>
      </c>
      <c r="F13135" s="178" t="s">
        <v>5257</v>
      </c>
      <c r="G13135" s="496"/>
      <c r="H13135" s="994" t="s">
        <v>20224</v>
      </c>
      <c r="I13135" s="11" t="s">
        <v>17372</v>
      </c>
      <c r="J13135" s="1285"/>
      <c r="K13135" s="1285"/>
      <c r="L13135" s="1285"/>
    </row>
    <row r="13136" spans="1:12" ht="11.15" customHeight="1">
      <c r="A13136" s="422" t="s">
        <v>17308</v>
      </c>
      <c r="B13136" s="59" t="s">
        <v>22911</v>
      </c>
      <c r="C13136" s="147" t="s">
        <v>20221</v>
      </c>
      <c r="D13136" s="284" t="s">
        <v>897</v>
      </c>
      <c r="E13136" s="178">
        <v>2019</v>
      </c>
      <c r="F13136" s="178" t="s">
        <v>9678</v>
      </c>
      <c r="G13136" s="496"/>
      <c r="H13136" s="994" t="s">
        <v>20224</v>
      </c>
      <c r="I13136" s="11" t="s">
        <v>17373</v>
      </c>
      <c r="J13136" s="1285"/>
      <c r="K13136" s="1285"/>
      <c r="L13136" s="1285"/>
    </row>
    <row r="13137" spans="1:12" ht="11.15" customHeight="1">
      <c r="A13137" s="220" t="s">
        <v>17374</v>
      </c>
      <c r="B13137" s="59" t="s">
        <v>22911</v>
      </c>
      <c r="C13137" s="147" t="s">
        <v>20221</v>
      </c>
      <c r="D13137" s="284" t="s">
        <v>897</v>
      </c>
      <c r="E13137" s="178">
        <v>2018</v>
      </c>
      <c r="F13137" s="178" t="s">
        <v>9678</v>
      </c>
      <c r="G13137" s="496"/>
      <c r="H13137" s="994" t="s">
        <v>20224</v>
      </c>
      <c r="I13137" s="11" t="s">
        <v>17375</v>
      </c>
      <c r="J13137" s="1285"/>
      <c r="K13137" s="1285"/>
      <c r="L13137" s="1285"/>
    </row>
    <row r="13138" spans="1:12" ht="11.15" customHeight="1">
      <c r="A13138" s="422" t="s">
        <v>17376</v>
      </c>
      <c r="B13138" s="59" t="s">
        <v>22912</v>
      </c>
      <c r="C13138" s="147" t="s">
        <v>20221</v>
      </c>
      <c r="D13138" s="284" t="s">
        <v>897</v>
      </c>
      <c r="E13138" s="178">
        <v>2020</v>
      </c>
      <c r="F13138" s="178" t="s">
        <v>5257</v>
      </c>
      <c r="G13138" s="496"/>
      <c r="H13138" s="994" t="s">
        <v>20224</v>
      </c>
      <c r="I13138" s="11" t="s">
        <v>17377</v>
      </c>
      <c r="J13138" s="1285"/>
      <c r="K13138" s="1285"/>
      <c r="L13138" s="1285"/>
    </row>
    <row r="13139" spans="1:12" ht="11.15" customHeight="1">
      <c r="A13139" s="422" t="s">
        <v>17378</v>
      </c>
      <c r="B13139" s="59" t="s">
        <v>22912</v>
      </c>
      <c r="C13139" s="147" t="s">
        <v>20221</v>
      </c>
      <c r="D13139" s="284" t="s">
        <v>897</v>
      </c>
      <c r="E13139" s="178">
        <v>2019</v>
      </c>
      <c r="F13139" s="178" t="s">
        <v>9678</v>
      </c>
      <c r="G13139" s="496"/>
      <c r="H13139" s="994" t="s">
        <v>20224</v>
      </c>
      <c r="I13139" s="11" t="s">
        <v>17379</v>
      </c>
      <c r="J13139" s="1285"/>
      <c r="K13139" s="1285"/>
      <c r="L13139" s="1285"/>
    </row>
    <row r="13140" spans="1:12" ht="11.15" customHeight="1">
      <c r="A13140" s="422" t="s">
        <v>17380</v>
      </c>
      <c r="B13140" s="59" t="s">
        <v>22912</v>
      </c>
      <c r="C13140" s="147" t="s">
        <v>20221</v>
      </c>
      <c r="D13140" s="284" t="s">
        <v>897</v>
      </c>
      <c r="E13140" s="178">
        <v>2018</v>
      </c>
      <c r="F13140" s="178" t="s">
        <v>9678</v>
      </c>
      <c r="G13140" s="496"/>
      <c r="H13140" s="994" t="s">
        <v>20224</v>
      </c>
      <c r="I13140" s="11" t="s">
        <v>17381</v>
      </c>
      <c r="J13140" s="1285"/>
      <c r="K13140" s="1285"/>
      <c r="L13140" s="1285"/>
    </row>
    <row r="13141" spans="1:12" ht="11.15" customHeight="1" thickBot="1">
      <c r="A13141" s="422" t="s">
        <v>17382</v>
      </c>
      <c r="B13141" s="286"/>
      <c r="C13141" s="590"/>
      <c r="D13141" s="590"/>
      <c r="E13141" s="178"/>
      <c r="F13141" s="178"/>
      <c r="G13141" s="60"/>
      <c r="H13141" s="178"/>
    </row>
    <row r="13142" spans="1:12" ht="11.15" customHeight="1">
      <c r="A13142" s="422" t="s">
        <v>17383</v>
      </c>
      <c r="B13142" s="365" t="s">
        <v>17384</v>
      </c>
      <c r="C13142" s="191"/>
      <c r="D13142" s="306"/>
      <c r="E13142" s="781"/>
      <c r="F13142" s="782"/>
      <c r="G13142" s="671"/>
      <c r="H13142" s="291"/>
    </row>
    <row r="13143" spans="1:12" ht="11.15" customHeight="1">
      <c r="A13143" s="422" t="s">
        <v>17385</v>
      </c>
      <c r="B13143" s="783" t="s">
        <v>17386</v>
      </c>
      <c r="C13143" s="367"/>
      <c r="D13143" s="370" t="s">
        <v>17387</v>
      </c>
      <c r="E13143" s="368"/>
      <c r="F13143" s="784"/>
      <c r="G13143" s="671"/>
      <c r="H13143" s="291"/>
    </row>
    <row r="13144" spans="1:12" ht="11.15" customHeight="1">
      <c r="A13144" s="422" t="s">
        <v>17388</v>
      </c>
      <c r="B13144" s="783" t="s">
        <v>17389</v>
      </c>
      <c r="C13144" s="367"/>
      <c r="D13144" s="370" t="s">
        <v>17390</v>
      </c>
      <c r="E13144" s="368"/>
      <c r="F13144" s="784"/>
      <c r="G13144" s="671"/>
      <c r="H13144" s="291"/>
    </row>
    <row r="13145" spans="1:12" ht="11.15" customHeight="1">
      <c r="A13145" s="422" t="s">
        <v>17391</v>
      </c>
      <c r="B13145" s="618" t="s">
        <v>17392</v>
      </c>
      <c r="C13145" s="367"/>
      <c r="D13145" s="370" t="s">
        <v>17393</v>
      </c>
      <c r="E13145" s="368"/>
      <c r="F13145" s="784"/>
      <c r="G13145" s="671"/>
      <c r="H13145" s="291"/>
    </row>
    <row r="13146" spans="1:12" ht="11.15" customHeight="1">
      <c r="A13146" s="422" t="s">
        <v>17394</v>
      </c>
      <c r="B13146" s="618" t="s">
        <v>17395</v>
      </c>
      <c r="C13146" s="367"/>
      <c r="D13146" s="370" t="s">
        <v>17396</v>
      </c>
      <c r="E13146" s="368"/>
      <c r="F13146" s="784"/>
      <c r="G13146" s="671"/>
      <c r="H13146" s="291"/>
      <c r="I13146" s="11"/>
    </row>
    <row r="13147" spans="1:12" ht="11.15" customHeight="1">
      <c r="A13147" s="422" t="s">
        <v>17397</v>
      </c>
      <c r="B13147" s="783" t="s">
        <v>17398</v>
      </c>
      <c r="C13147" s="367"/>
      <c r="D13147" s="368" t="s">
        <v>17399</v>
      </c>
      <c r="E13147" s="368"/>
      <c r="F13147" s="784"/>
      <c r="G13147" s="671"/>
      <c r="H13147" s="291"/>
      <c r="I13147" s="11"/>
    </row>
    <row r="13148" spans="1:12" ht="11.15" customHeight="1">
      <c r="A13148" s="422" t="s">
        <v>17400</v>
      </c>
      <c r="B13148" s="618" t="s">
        <v>17401</v>
      </c>
      <c r="C13148" s="367"/>
      <c r="D13148" s="368" t="s">
        <v>17402</v>
      </c>
      <c r="E13148" s="368"/>
      <c r="F13148" s="784"/>
      <c r="G13148" s="671"/>
      <c r="H13148" s="291"/>
      <c r="I13148" s="11"/>
    </row>
    <row r="13149" spans="1:12" ht="11.15" customHeight="1" thickBot="1">
      <c r="A13149" s="422" t="s">
        <v>17403</v>
      </c>
      <c r="B13149" s="785"/>
      <c r="C13149" s="372"/>
      <c r="D13149" s="373"/>
      <c r="E13149" s="373"/>
      <c r="F13149" s="786"/>
      <c r="G13149" s="671"/>
      <c r="H13149" s="291"/>
      <c r="I13149" s="11"/>
    </row>
    <row r="13150" spans="1:12" ht="11.15" customHeight="1" thickBot="1">
      <c r="A13150" s="422" t="s">
        <v>17404</v>
      </c>
      <c r="B13150" s="773"/>
      <c r="C13150" s="147"/>
      <c r="D13150" s="161"/>
      <c r="E13150" s="36"/>
      <c r="F13150" s="183"/>
      <c r="G13150" s="671"/>
      <c r="H13150" s="34"/>
      <c r="I13150" s="11"/>
    </row>
    <row r="13151" spans="1:12" ht="11.15" customHeight="1">
      <c r="A13151" s="422" t="s">
        <v>17405</v>
      </c>
      <c r="B13151" s="787" t="s">
        <v>17406</v>
      </c>
      <c r="C13151" s="191"/>
      <c r="D13151" s="788"/>
      <c r="E13151" s="781"/>
      <c r="F13151" s="781"/>
      <c r="G13151" s="781"/>
      <c r="H13151" s="782"/>
      <c r="I13151" s="11"/>
    </row>
    <row r="13152" spans="1:12" ht="11.15" customHeight="1">
      <c r="A13152" s="422" t="s">
        <v>17407</v>
      </c>
      <c r="B13152" s="553" t="s">
        <v>17408</v>
      </c>
      <c r="C13152" s="147"/>
      <c r="D13152" s="789"/>
      <c r="E13152" s="291"/>
      <c r="F13152" s="291"/>
      <c r="G13152" s="291"/>
      <c r="H13152" s="784"/>
      <c r="I13152" s="11"/>
    </row>
    <row r="13153" spans="1:9" ht="11.15" customHeight="1">
      <c r="A13153" s="790" t="s">
        <v>17409</v>
      </c>
      <c r="B13153" s="553" t="s">
        <v>17410</v>
      </c>
      <c r="C13153" s="147"/>
      <c r="D13153" s="789"/>
      <c r="E13153" s="291"/>
      <c r="F13153" s="291"/>
      <c r="G13153" s="291"/>
      <c r="H13153" s="784"/>
      <c r="I13153" s="11"/>
    </row>
    <row r="13154" spans="1:9" ht="11.15" customHeight="1">
      <c r="A13154" s="355" t="s">
        <v>17411</v>
      </c>
      <c r="B13154" s="553" t="s">
        <v>17412</v>
      </c>
      <c r="C13154" s="147"/>
      <c r="D13154" s="789"/>
      <c r="E13154" s="291"/>
      <c r="F13154" s="291"/>
      <c r="G13154" s="291"/>
      <c r="H13154" s="784"/>
      <c r="I13154" s="11"/>
    </row>
    <row r="13155" spans="1:9" ht="11.15" customHeight="1">
      <c r="A13155" s="422" t="s">
        <v>17413</v>
      </c>
      <c r="B13155" s="553" t="s">
        <v>17414</v>
      </c>
      <c r="C13155" s="147"/>
      <c r="D13155" s="789"/>
      <c r="E13155" s="291"/>
      <c r="F13155" s="291"/>
      <c r="G13155" s="291"/>
      <c r="H13155" s="784"/>
      <c r="I13155" s="11"/>
    </row>
    <row r="13156" spans="1:9" ht="11.15" customHeight="1">
      <c r="A13156" s="422" t="s">
        <v>17415</v>
      </c>
      <c r="B13156" s="553" t="s">
        <v>17416</v>
      </c>
      <c r="C13156" s="147"/>
      <c r="D13156" s="789"/>
      <c r="E13156" s="291"/>
      <c r="F13156" s="291"/>
      <c r="G13156" s="291"/>
      <c r="H13156" s="784"/>
      <c r="I13156" s="11"/>
    </row>
    <row r="13157" spans="1:9" ht="11.15" customHeight="1">
      <c r="A13157" s="355" t="s">
        <v>17417</v>
      </c>
      <c r="B13157" s="553" t="s">
        <v>17418</v>
      </c>
      <c r="C13157" s="147"/>
      <c r="D13157" s="789"/>
      <c r="E13157" s="291"/>
      <c r="F13157" s="291"/>
      <c r="G13157" s="291"/>
      <c r="H13157" s="784"/>
      <c r="I13157" s="11"/>
    </row>
    <row r="13158" spans="1:9" ht="11.15" customHeight="1">
      <c r="A13158" s="422" t="s">
        <v>17419</v>
      </c>
      <c r="B13158" s="553" t="s">
        <v>17420</v>
      </c>
      <c r="C13158" s="147"/>
      <c r="D13158" s="789"/>
      <c r="E13158" s="291"/>
      <c r="F13158" s="291"/>
      <c r="G13158" s="291"/>
      <c r="H13158" s="784"/>
      <c r="I13158" s="11"/>
    </row>
    <row r="13159" spans="1:9" ht="11.15" customHeight="1">
      <c r="A13159" s="422" t="s">
        <v>17421</v>
      </c>
      <c r="B13159" s="791"/>
      <c r="C13159" s="147"/>
      <c r="D13159" s="789"/>
      <c r="E13159" s="291"/>
      <c r="F13159" s="291"/>
      <c r="G13159" s="291"/>
      <c r="H13159" s="784"/>
      <c r="I13159" s="11"/>
    </row>
    <row r="13160" spans="1:9" ht="11.15" customHeight="1">
      <c r="A13160" s="422" t="s">
        <v>17422</v>
      </c>
      <c r="B13160" s="792" t="s">
        <v>17423</v>
      </c>
      <c r="C13160" s="147"/>
      <c r="D13160" s="789"/>
      <c r="E13160" s="291"/>
      <c r="F13160" s="291"/>
      <c r="G13160" s="291"/>
      <c r="H13160" s="784"/>
      <c r="I13160" s="11"/>
    </row>
    <row r="13161" spans="1:9" ht="11.15" customHeight="1">
      <c r="A13161" s="422" t="s">
        <v>17424</v>
      </c>
      <c r="B13161" s="553" t="s">
        <v>17425</v>
      </c>
      <c r="C13161" s="147"/>
      <c r="D13161" s="789"/>
      <c r="E13161" s="291"/>
      <c r="F13161" s="291"/>
      <c r="G13161" s="291"/>
      <c r="H13161" s="784"/>
      <c r="I13161" s="11"/>
    </row>
    <row r="13162" spans="1:9" ht="11.15" customHeight="1">
      <c r="A13162" s="220" t="s">
        <v>17426</v>
      </c>
      <c r="B13162" s="553" t="s">
        <v>17427</v>
      </c>
      <c r="C13162" s="147"/>
      <c r="D13162" s="789"/>
      <c r="E13162" s="291"/>
      <c r="F13162" s="291"/>
      <c r="G13162" s="291"/>
      <c r="H13162" s="784"/>
      <c r="I13162" s="11"/>
    </row>
    <row r="13163" spans="1:9" ht="11.15" customHeight="1">
      <c r="A13163" s="355" t="s">
        <v>17428</v>
      </c>
      <c r="B13163" s="553" t="s">
        <v>17429</v>
      </c>
      <c r="C13163" s="147"/>
      <c r="D13163" s="789"/>
      <c r="E13163" s="291"/>
      <c r="F13163" s="291"/>
      <c r="G13163" s="291"/>
      <c r="H13163" s="784"/>
      <c r="I13163" s="11"/>
    </row>
    <row r="13164" spans="1:9" ht="11.15" customHeight="1">
      <c r="A13164" s="422" t="s">
        <v>17430</v>
      </c>
      <c r="B13164" s="553" t="s">
        <v>17431</v>
      </c>
      <c r="C13164" s="147"/>
      <c r="D13164" s="789"/>
      <c r="E13164" s="291"/>
      <c r="F13164" s="291"/>
      <c r="G13164" s="291"/>
      <c r="H13164" s="784"/>
      <c r="I13164" s="11"/>
    </row>
    <row r="13165" spans="1:9" ht="11.15" customHeight="1">
      <c r="A13165" s="422" t="s">
        <v>17432</v>
      </c>
      <c r="B13165" s="650"/>
      <c r="C13165" s="147"/>
      <c r="D13165" s="185"/>
      <c r="E13165" s="185"/>
      <c r="F13165" s="185"/>
      <c r="G13165" s="291"/>
      <c r="H13165" s="784"/>
      <c r="I13165" s="11"/>
    </row>
    <row r="13166" spans="1:9" ht="11.15" customHeight="1">
      <c r="A13166" s="422" t="s">
        <v>17433</v>
      </c>
      <c r="B13166" s="792" t="s">
        <v>17434</v>
      </c>
      <c r="C13166" s="147"/>
      <c r="D13166" s="789"/>
      <c r="E13166" s="291"/>
      <c r="F13166" s="291"/>
      <c r="G13166" s="291"/>
      <c r="H13166" s="784"/>
      <c r="I13166" s="11"/>
    </row>
    <row r="13167" spans="1:9" ht="11.15" customHeight="1">
      <c r="A13167" s="422" t="s">
        <v>17435</v>
      </c>
      <c r="B13167" s="553" t="s">
        <v>17436</v>
      </c>
      <c r="C13167" s="147"/>
      <c r="D13167" s="789"/>
      <c r="E13167" s="291"/>
      <c r="F13167" s="291"/>
      <c r="G13167" s="291"/>
      <c r="H13167" s="784"/>
      <c r="I13167" s="11"/>
    </row>
    <row r="13168" spans="1:9" ht="11.15" customHeight="1">
      <c r="A13168" s="422" t="s">
        <v>17437</v>
      </c>
      <c r="B13168" s="553" t="s">
        <v>17438</v>
      </c>
      <c r="C13168" s="147"/>
      <c r="D13168" s="789"/>
      <c r="E13168" s="291"/>
      <c r="F13168" s="291"/>
      <c r="G13168" s="291"/>
      <c r="H13168" s="784"/>
      <c r="I13168" s="11"/>
    </row>
    <row r="13169" spans="1:9" ht="11.15" customHeight="1">
      <c r="A13169" s="355" t="s">
        <v>17439</v>
      </c>
      <c r="B13169" s="553" t="s">
        <v>17440</v>
      </c>
      <c r="C13169" s="147"/>
      <c r="D13169" s="789"/>
      <c r="E13169" s="291"/>
      <c r="F13169" s="291"/>
      <c r="G13169" s="291"/>
      <c r="H13169" s="784"/>
      <c r="I13169" s="11"/>
    </row>
    <row r="13170" spans="1:9" ht="11.15" customHeight="1">
      <c r="A13170" s="422" t="s">
        <v>17441</v>
      </c>
      <c r="B13170" s="553" t="s">
        <v>17442</v>
      </c>
      <c r="C13170" s="147"/>
      <c r="D13170" s="789"/>
      <c r="E13170" s="291"/>
      <c r="F13170" s="291"/>
      <c r="G13170" s="291"/>
      <c r="H13170" s="784"/>
      <c r="I13170" s="11"/>
    </row>
    <row r="13171" spans="1:9" ht="11.15" customHeight="1">
      <c r="A13171" s="422" t="s">
        <v>17443</v>
      </c>
      <c r="B13171" s="793" t="s">
        <v>17444</v>
      </c>
      <c r="C13171" s="147"/>
      <c r="D13171" s="789"/>
      <c r="E13171" s="291"/>
      <c r="F13171" s="291"/>
      <c r="G13171" s="291"/>
      <c r="H13171" s="784"/>
      <c r="I13171" s="11"/>
    </row>
    <row r="13172" spans="1:9" ht="11.15" customHeight="1">
      <c r="A13172" s="422" t="s">
        <v>17445</v>
      </c>
      <c r="B13172" s="553" t="s">
        <v>17446</v>
      </c>
      <c r="C13172" s="147"/>
      <c r="D13172" s="789"/>
      <c r="E13172" s="291"/>
      <c r="F13172" s="291"/>
      <c r="G13172" s="291"/>
      <c r="H13172" s="784"/>
      <c r="I13172" s="11"/>
    </row>
    <row r="13173" spans="1:9" ht="11.15" customHeight="1">
      <c r="A13173" s="422" t="s">
        <v>17447</v>
      </c>
      <c r="B13173" s="791"/>
      <c r="C13173" s="147"/>
      <c r="D13173" s="789"/>
      <c r="E13173" s="291"/>
      <c r="F13173" s="291"/>
      <c r="G13173" s="291"/>
      <c r="H13173" s="784"/>
      <c r="I13173" s="11"/>
    </row>
    <row r="13174" spans="1:9" ht="11.15" customHeight="1">
      <c r="A13174" s="422" t="s">
        <v>17448</v>
      </c>
      <c r="B13174" s="792" t="s">
        <v>17449</v>
      </c>
      <c r="C13174" s="147"/>
      <c r="D13174" s="789"/>
      <c r="E13174" s="291"/>
      <c r="F13174" s="291"/>
      <c r="G13174" s="291"/>
      <c r="H13174" s="784"/>
      <c r="I13174" s="11"/>
    </row>
    <row r="13175" spans="1:9" ht="11.15" customHeight="1">
      <c r="A13175" s="355" t="s">
        <v>17450</v>
      </c>
      <c r="B13175" s="793" t="s">
        <v>17451</v>
      </c>
      <c r="C13175" s="147"/>
      <c r="D13175" s="789"/>
      <c r="E13175" s="291"/>
      <c r="F13175" s="291"/>
      <c r="G13175" s="291"/>
      <c r="H13175" s="784"/>
      <c r="I13175" s="11"/>
    </row>
    <row r="13176" spans="1:9" ht="11.15" customHeight="1">
      <c r="A13176" s="794" t="s">
        <v>17452</v>
      </c>
      <c r="B13176" s="793" t="s">
        <v>17453</v>
      </c>
      <c r="C13176" s="147"/>
      <c r="D13176" s="789"/>
      <c r="E13176" s="291"/>
      <c r="F13176" s="291"/>
      <c r="G13176" s="291"/>
      <c r="H13176" s="784"/>
      <c r="I13176" s="11"/>
    </row>
    <row r="13177" spans="1:9" ht="11.15" customHeight="1">
      <c r="A13177" s="355" t="s">
        <v>17454</v>
      </c>
      <c r="B13177" s="553" t="s">
        <v>17455</v>
      </c>
      <c r="C13177" s="147"/>
      <c r="D13177" s="789"/>
      <c r="E13177" s="291"/>
      <c r="F13177" s="291"/>
      <c r="G13177" s="291"/>
      <c r="H13177" s="784"/>
      <c r="I13177" s="11"/>
    </row>
    <row r="13178" spans="1:9" ht="11.15" customHeight="1">
      <c r="A13178" s="794" t="s">
        <v>17456</v>
      </c>
      <c r="B13178" s="553" t="s">
        <v>17457</v>
      </c>
      <c r="C13178" s="147"/>
      <c r="D13178" s="789"/>
      <c r="E13178" s="291"/>
      <c r="F13178" s="291"/>
      <c r="G13178" s="291"/>
      <c r="H13178" s="784"/>
      <c r="I13178" s="11"/>
    </row>
    <row r="13179" spans="1:9" ht="11.15" customHeight="1">
      <c r="A13179" s="794" t="s">
        <v>17458</v>
      </c>
      <c r="B13179" s="553" t="s">
        <v>17459</v>
      </c>
      <c r="C13179" s="147"/>
      <c r="D13179" s="789"/>
      <c r="E13179" s="291"/>
      <c r="F13179" s="291"/>
      <c r="G13179" s="291"/>
      <c r="H13179" s="784"/>
      <c r="I13179" s="11"/>
    </row>
    <row r="13180" spans="1:9" ht="11.15" customHeight="1">
      <c r="A13180" s="794" t="s">
        <v>17460</v>
      </c>
      <c r="B13180" s="553" t="s">
        <v>17461</v>
      </c>
      <c r="C13180" s="147"/>
      <c r="D13180" s="789"/>
      <c r="E13180" s="291"/>
      <c r="F13180" s="291"/>
      <c r="G13180" s="291"/>
      <c r="H13180" s="784"/>
      <c r="I13180" s="11"/>
    </row>
    <row r="13181" spans="1:9" ht="11.15" customHeight="1">
      <c r="A13181" s="220" t="s">
        <v>17462</v>
      </c>
      <c r="B13181" s="553" t="s">
        <v>17463</v>
      </c>
      <c r="C13181" s="147"/>
      <c r="D13181" s="789"/>
      <c r="E13181" s="291"/>
      <c r="F13181" s="291"/>
      <c r="G13181" s="291"/>
      <c r="H13181" s="784"/>
      <c r="I13181" s="11"/>
    </row>
    <row r="13182" spans="1:9" ht="11.15" customHeight="1">
      <c r="A13182" s="162" t="s">
        <v>17464</v>
      </c>
      <c r="B13182" s="553" t="s">
        <v>17465</v>
      </c>
      <c r="C13182" s="147"/>
      <c r="D13182" s="789"/>
      <c r="E13182" s="291"/>
      <c r="F13182" s="291"/>
      <c r="G13182" s="291"/>
      <c r="H13182" s="784"/>
      <c r="I13182" s="11"/>
    </row>
    <row r="13183" spans="1:9" ht="11.15" customHeight="1">
      <c r="A13183" s="162" t="s">
        <v>17466</v>
      </c>
      <c r="B13183" s="553" t="s">
        <v>17467</v>
      </c>
      <c r="C13183" s="147"/>
      <c r="D13183" s="789"/>
      <c r="E13183" s="291"/>
      <c r="F13183" s="291"/>
      <c r="G13183" s="291"/>
      <c r="H13183" s="784"/>
      <c r="I13183" s="11"/>
    </row>
    <row r="13184" spans="1:9" ht="11.15" customHeight="1">
      <c r="A13184" s="162" t="s">
        <v>17468</v>
      </c>
      <c r="B13184" s="795"/>
      <c r="C13184" s="147"/>
      <c r="D13184" s="789"/>
      <c r="E13184" s="291"/>
      <c r="F13184" s="291"/>
      <c r="G13184" s="291"/>
      <c r="H13184" s="784"/>
      <c r="I13184" s="11"/>
    </row>
    <row r="13185" spans="1:9" ht="11.15" customHeight="1">
      <c r="A13185" s="162" t="s">
        <v>17469</v>
      </c>
      <c r="B13185" s="792" t="s">
        <v>17470</v>
      </c>
      <c r="C13185" s="147"/>
      <c r="D13185" s="789"/>
      <c r="E13185" s="291"/>
      <c r="F13185" s="291"/>
      <c r="G13185" s="291"/>
      <c r="H13185" s="784"/>
      <c r="I13185" s="11"/>
    </row>
    <row r="13186" spans="1:9" ht="11.15" customHeight="1">
      <c r="A13186" s="220" t="s">
        <v>17471</v>
      </c>
      <c r="B13186" s="553" t="s">
        <v>17472</v>
      </c>
      <c r="C13186" s="147"/>
      <c r="D13186" s="789"/>
      <c r="E13186" s="291"/>
      <c r="F13186" s="291"/>
      <c r="G13186" s="291"/>
      <c r="H13186" s="784"/>
      <c r="I13186" s="11"/>
    </row>
    <row r="13187" spans="1:9" ht="11.15" customHeight="1">
      <c r="A13187" s="162" t="s">
        <v>17473</v>
      </c>
      <c r="B13187" s="553" t="s">
        <v>17474</v>
      </c>
      <c r="C13187" s="147"/>
      <c r="D13187" s="789"/>
      <c r="E13187" s="291"/>
      <c r="F13187" s="291"/>
      <c r="G13187" s="291"/>
      <c r="H13187" s="784"/>
      <c r="I13187" s="11"/>
    </row>
    <row r="13188" spans="1:9" ht="11.15" customHeight="1">
      <c r="A13188" s="162" t="s">
        <v>17475</v>
      </c>
      <c r="B13188" s="485" t="s">
        <v>17476</v>
      </c>
      <c r="C13188" s="147"/>
      <c r="D13188" s="129"/>
      <c r="E13188" s="185"/>
      <c r="F13188" s="185"/>
      <c r="G13188" s="185"/>
      <c r="H13188" s="552"/>
      <c r="I13188" s="11"/>
    </row>
    <row r="13189" spans="1:9" ht="11.15" customHeight="1">
      <c r="A13189" s="162" t="s">
        <v>17477</v>
      </c>
      <c r="B13189" s="485" t="s">
        <v>17478</v>
      </c>
      <c r="C13189" s="147"/>
      <c r="D13189" s="129"/>
      <c r="E13189" s="185"/>
      <c r="F13189" s="185"/>
      <c r="G13189" s="185"/>
      <c r="H13189" s="552"/>
      <c r="I13189" s="11"/>
    </row>
    <row r="13190" spans="1:9" ht="11.15" customHeight="1">
      <c r="A13190" s="162" t="s">
        <v>17479</v>
      </c>
      <c r="B13190" s="485" t="s">
        <v>17480</v>
      </c>
      <c r="C13190" s="147"/>
      <c r="D13190" s="129"/>
      <c r="E13190" s="185"/>
      <c r="F13190" s="185"/>
      <c r="G13190" s="185"/>
      <c r="H13190" s="552"/>
      <c r="I13190" s="11"/>
    </row>
    <row r="13191" spans="1:9" ht="11.15" customHeight="1">
      <c r="A13191" s="162" t="s">
        <v>17481</v>
      </c>
      <c r="B13191" s="553" t="s">
        <v>17482</v>
      </c>
      <c r="C13191" s="147"/>
      <c r="D13191" s="789"/>
      <c r="E13191" s="291"/>
      <c r="F13191" s="291"/>
      <c r="G13191" s="291"/>
      <c r="H13191" s="784"/>
      <c r="I13191" s="11"/>
    </row>
    <row r="13192" spans="1:9" ht="11.15" customHeight="1">
      <c r="A13192" s="422" t="s">
        <v>17483</v>
      </c>
      <c r="B13192" s="553" t="s">
        <v>17484</v>
      </c>
      <c r="C13192" s="147"/>
      <c r="D13192" s="789"/>
      <c r="E13192" s="291"/>
      <c r="F13192" s="291"/>
      <c r="G13192" s="291"/>
      <c r="H13192" s="784"/>
      <c r="I13192" s="11"/>
    </row>
    <row r="13193" spans="1:9" ht="11.15" customHeight="1">
      <c r="A13193" s="422" t="s">
        <v>17485</v>
      </c>
      <c r="B13193" s="553" t="s">
        <v>17486</v>
      </c>
      <c r="C13193" s="147"/>
      <c r="D13193" s="789"/>
      <c r="E13193" s="291"/>
      <c r="F13193" s="291"/>
      <c r="G13193" s="291"/>
      <c r="H13193" s="784"/>
      <c r="I13193" s="11"/>
    </row>
    <row r="13194" spans="1:9" ht="11.15" customHeight="1">
      <c r="A13194" s="422" t="s">
        <v>17487</v>
      </c>
      <c r="B13194" s="795"/>
      <c r="C13194" s="147"/>
      <c r="D13194" s="789"/>
      <c r="E13194" s="291"/>
      <c r="F13194" s="291"/>
      <c r="G13194" s="291"/>
      <c r="H13194" s="784"/>
      <c r="I13194" s="11"/>
    </row>
    <row r="13195" spans="1:9" ht="11.15" customHeight="1">
      <c r="A13195" s="422" t="s">
        <v>17488</v>
      </c>
      <c r="B13195" s="792" t="s">
        <v>17489</v>
      </c>
      <c r="C13195" s="147"/>
      <c r="D13195" s="789"/>
      <c r="E13195" s="291"/>
      <c r="F13195" s="291"/>
      <c r="G13195" s="291"/>
      <c r="H13195" s="784"/>
      <c r="I13195" s="11"/>
    </row>
    <row r="13196" spans="1:9" ht="11.15" customHeight="1">
      <c r="A13196" s="422" t="s">
        <v>17490</v>
      </c>
      <c r="B13196" s="553" t="s">
        <v>17491</v>
      </c>
      <c r="C13196" s="147"/>
      <c r="D13196" s="789"/>
      <c r="E13196" s="291"/>
      <c r="F13196" s="291"/>
      <c r="G13196" s="291"/>
      <c r="H13196" s="784"/>
      <c r="I13196" s="11"/>
    </row>
    <row r="13197" spans="1:9" ht="11.15" customHeight="1">
      <c r="A13197" s="422" t="s">
        <v>17492</v>
      </c>
      <c r="B13197" s="553" t="s">
        <v>17493</v>
      </c>
      <c r="C13197" s="147"/>
      <c r="D13197" s="789"/>
      <c r="E13197" s="291"/>
      <c r="F13197" s="291"/>
      <c r="G13197" s="291"/>
      <c r="H13197" s="784"/>
      <c r="I13197" s="11"/>
    </row>
    <row r="13198" spans="1:9" ht="11.15" customHeight="1">
      <c r="A13198" s="422" t="s">
        <v>17494</v>
      </c>
      <c r="B13198" s="553" t="s">
        <v>17495</v>
      </c>
      <c r="C13198" s="147"/>
      <c r="D13198" s="789"/>
      <c r="E13198" s="291"/>
      <c r="F13198" s="291"/>
      <c r="G13198" s="291"/>
      <c r="H13198" s="784"/>
      <c r="I13198" s="11"/>
    </row>
    <row r="13199" spans="1:9" ht="11.15" customHeight="1">
      <c r="A13199" s="422" t="s">
        <v>17496</v>
      </c>
      <c r="B13199" s="553" t="s">
        <v>17497</v>
      </c>
      <c r="C13199" s="147"/>
      <c r="D13199" s="789"/>
      <c r="E13199" s="291"/>
      <c r="F13199" s="291"/>
      <c r="G13199" s="291"/>
      <c r="H13199" s="784"/>
      <c r="I13199" s="11"/>
    </row>
    <row r="13200" spans="1:9" ht="11.15" customHeight="1">
      <c r="A13200" s="422" t="s">
        <v>17498</v>
      </c>
      <c r="B13200" s="553" t="s">
        <v>17499</v>
      </c>
      <c r="C13200" s="147"/>
      <c r="D13200" s="789"/>
      <c r="E13200" s="291"/>
      <c r="F13200" s="291"/>
      <c r="G13200" s="291"/>
      <c r="H13200" s="784"/>
      <c r="I13200" s="11"/>
    </row>
    <row r="13201" spans="1:9" ht="11.15" customHeight="1">
      <c r="A13201" s="422" t="s">
        <v>17500</v>
      </c>
      <c r="B13201" s="553" t="s">
        <v>17501</v>
      </c>
      <c r="C13201" s="147"/>
      <c r="D13201" s="789"/>
      <c r="E13201" s="291"/>
      <c r="F13201" s="291"/>
      <c r="G13201" s="291"/>
      <c r="H13201" s="784"/>
      <c r="I13201" s="11"/>
    </row>
    <row r="13202" spans="1:9" ht="11.15" customHeight="1">
      <c r="A13202" s="422" t="s">
        <v>17502</v>
      </c>
      <c r="B13202" s="553" t="s">
        <v>17503</v>
      </c>
      <c r="C13202" s="147"/>
      <c r="D13202" s="789"/>
      <c r="E13202" s="291"/>
      <c r="F13202" s="291"/>
      <c r="G13202" s="291"/>
      <c r="H13202" s="784"/>
      <c r="I13202" s="11"/>
    </row>
    <row r="13203" spans="1:9" ht="11.15" customHeight="1">
      <c r="A13203" s="166" t="s">
        <v>17320</v>
      </c>
      <c r="B13203" s="553" t="s">
        <v>17504</v>
      </c>
      <c r="C13203" s="147"/>
      <c r="D13203" s="789"/>
      <c r="E13203" s="291"/>
      <c r="F13203" s="291"/>
      <c r="G13203" s="291"/>
      <c r="H13203" s="784"/>
      <c r="I13203" s="11"/>
    </row>
    <row r="13204" spans="1:9" ht="11.15" customHeight="1">
      <c r="A13204" s="780" t="s">
        <v>5463</v>
      </c>
      <c r="B13204" s="553" t="s">
        <v>17505</v>
      </c>
      <c r="C13204" s="147"/>
      <c r="D13204" s="789"/>
      <c r="E13204" s="291"/>
      <c r="F13204" s="291"/>
      <c r="G13204" s="291"/>
      <c r="H13204" s="784"/>
      <c r="I13204" s="11"/>
    </row>
    <row r="13205" spans="1:9" ht="11.15" customHeight="1" thickBot="1">
      <c r="A13205" s="129" t="s">
        <v>17506</v>
      </c>
      <c r="B13205" s="635" t="s">
        <v>17507</v>
      </c>
      <c r="C13205" s="203"/>
      <c r="D13205" s="796"/>
      <c r="E13205" s="797"/>
      <c r="F13205" s="797"/>
      <c r="G13205" s="797"/>
      <c r="H13205" s="786"/>
      <c r="I13205" s="11"/>
    </row>
    <row r="13206" spans="1:9" ht="11.15" customHeight="1">
      <c r="A13206" s="129" t="s">
        <v>916</v>
      </c>
      <c r="B13206" s="286"/>
      <c r="C13206" s="590"/>
      <c r="D13206" s="590"/>
      <c r="E13206" s="178"/>
      <c r="F13206" s="178"/>
      <c r="G13206" s="60"/>
      <c r="H13206" s="178"/>
      <c r="I13206" s="11"/>
    </row>
    <row r="13207" spans="1:9" ht="11.15" customHeight="1">
      <c r="A13207" s="129" t="s">
        <v>17326</v>
      </c>
      <c r="B13207" s="286"/>
      <c r="C13207" s="590"/>
      <c r="D13207" s="590"/>
      <c r="E13207" s="178"/>
      <c r="F13207" s="178"/>
      <c r="G13207" s="60"/>
      <c r="H13207" s="178"/>
      <c r="I13207" s="11"/>
    </row>
    <row r="13208" spans="1:9" ht="11.15" customHeight="1">
      <c r="A13208" s="219"/>
      <c r="B13208" s="286"/>
      <c r="C13208" s="590"/>
      <c r="D13208" s="590"/>
      <c r="E13208" s="178"/>
      <c r="F13208" s="178"/>
      <c r="G13208" s="60"/>
      <c r="H13208" s="178"/>
      <c r="I13208" s="11"/>
    </row>
    <row r="13209" spans="1:9" ht="11.15" customHeight="1">
      <c r="A13209" s="219"/>
      <c r="B13209" s="146" t="s">
        <v>17508</v>
      </c>
      <c r="C13209" s="147"/>
      <c r="D13209" s="122"/>
      <c r="E13209" s="36"/>
      <c r="F13209" s="178"/>
      <c r="G13209" s="453"/>
      <c r="H13209" s="36"/>
      <c r="I13209" s="11"/>
    </row>
    <row r="13210" spans="1:9" ht="9" customHeight="1">
      <c r="A13210" s="422"/>
      <c r="B13210" s="150" t="s">
        <v>17509</v>
      </c>
      <c r="C13210" s="147"/>
      <c r="D13210" s="150"/>
      <c r="E13210" s="210"/>
      <c r="F13210" s="150"/>
      <c r="G13210" s="1243"/>
      <c r="H13210" s="210"/>
      <c r="I13210" s="11"/>
    </row>
    <row r="13211" spans="1:9" ht="9" customHeight="1">
      <c r="A13211" s="422"/>
      <c r="B13211" s="150" t="s">
        <v>17510</v>
      </c>
      <c r="C13211" s="147"/>
      <c r="D13211" s="150"/>
      <c r="E13211" s="210"/>
      <c r="F13211" s="150"/>
      <c r="G13211" s="1243"/>
      <c r="H13211" s="210"/>
      <c r="I13211" s="11"/>
    </row>
    <row r="13212" spans="1:9" ht="9" customHeight="1">
      <c r="A13212" s="422"/>
      <c r="B13212" s="150" t="s">
        <v>17511</v>
      </c>
      <c r="C13212" s="147"/>
      <c r="D13212" s="150"/>
      <c r="E13212" s="210"/>
      <c r="F13212" s="150"/>
      <c r="G13212" s="1243"/>
      <c r="H13212" s="210"/>
      <c r="I13212" s="11"/>
    </row>
    <row r="13213" spans="1:9" ht="9" customHeight="1">
      <c r="A13213" s="422"/>
      <c r="B13213" s="150" t="s">
        <v>17512</v>
      </c>
      <c r="C13213" s="147"/>
      <c r="D13213" s="150"/>
      <c r="E13213" s="210"/>
      <c r="F13213" s="150"/>
      <c r="G13213" s="1243"/>
      <c r="H13213" s="210"/>
      <c r="I13213" s="11"/>
    </row>
    <row r="13214" spans="1:9" ht="9" customHeight="1">
      <c r="A13214" s="422"/>
      <c r="B13214" s="150" t="s">
        <v>17513</v>
      </c>
      <c r="C13214" s="147"/>
      <c r="D13214" s="150"/>
      <c r="E13214" s="210"/>
      <c r="F13214" s="150"/>
      <c r="G13214" s="1243"/>
      <c r="H13214" s="210"/>
      <c r="I13214" s="11"/>
    </row>
    <row r="13215" spans="1:9" ht="9" customHeight="1">
      <c r="A13215" s="422"/>
      <c r="B13215" s="150" t="s">
        <v>17514</v>
      </c>
      <c r="C13215" s="147"/>
      <c r="D13215" s="150"/>
      <c r="E13215" s="210"/>
      <c r="F13215" s="150"/>
      <c r="G13215" s="1243"/>
      <c r="H13215" s="210"/>
      <c r="I13215" s="11"/>
    </row>
    <row r="13216" spans="1:9" ht="9" customHeight="1">
      <c r="A13216" s="185"/>
      <c r="B13216" s="209" t="s">
        <v>17515</v>
      </c>
      <c r="C13216" s="147"/>
      <c r="D13216" s="122"/>
      <c r="E13216" s="36"/>
      <c r="F13216" s="178"/>
      <c r="G13216" s="453"/>
      <c r="H13216" s="36"/>
      <c r="I13216" s="11"/>
    </row>
    <row r="13217" spans="1:12" ht="9" customHeight="1">
      <c r="A13217" s="185"/>
      <c r="B13217" s="150" t="s">
        <v>17516</v>
      </c>
      <c r="C13217" s="147"/>
      <c r="D13217" s="161"/>
      <c r="E13217" s="36"/>
      <c r="F13217" s="183"/>
      <c r="G13217" s="1181"/>
      <c r="H13217" s="34"/>
      <c r="I13217" s="11"/>
    </row>
    <row r="13218" spans="1:12" ht="9" customHeight="1">
      <c r="A13218" s="185"/>
      <c r="B13218" s="209" t="s">
        <v>17517</v>
      </c>
      <c r="C13218" s="147"/>
      <c r="D13218" s="161"/>
      <c r="E13218" s="36"/>
      <c r="F13218" s="183"/>
      <c r="G13218" s="1181"/>
      <c r="H13218" s="34"/>
      <c r="I13218" s="11"/>
    </row>
    <row r="13219" spans="1:12" ht="9" customHeight="1">
      <c r="A13219" s="185"/>
      <c r="B13219" s="209" t="s">
        <v>17518</v>
      </c>
      <c r="C13219" s="147"/>
      <c r="D13219" s="161"/>
      <c r="E13219" s="36"/>
      <c r="F13219" s="183"/>
      <c r="G13219" s="1181"/>
      <c r="H13219" s="34"/>
      <c r="I13219" s="11"/>
    </row>
    <row r="13220" spans="1:12" ht="9" customHeight="1">
      <c r="A13220" s="185"/>
      <c r="B13220" s="209" t="s">
        <v>17519</v>
      </c>
      <c r="C13220" s="147"/>
      <c r="D13220" s="161"/>
      <c r="E13220" s="36"/>
      <c r="F13220" s="183"/>
      <c r="G13220" s="1181"/>
      <c r="H13220" s="34"/>
      <c r="I13220" s="11"/>
    </row>
    <row r="13221" spans="1:12" ht="9" customHeight="1">
      <c r="A13221" s="185"/>
      <c r="B13221" s="209" t="s">
        <v>17520</v>
      </c>
      <c r="C13221" s="147"/>
      <c r="D13221" s="161"/>
      <c r="E13221" s="36"/>
      <c r="F13221" s="183"/>
      <c r="G13221" s="1181"/>
      <c r="H13221" s="34"/>
      <c r="I13221" s="11"/>
    </row>
    <row r="13222" spans="1:12" ht="9" customHeight="1">
      <c r="A13222" s="185"/>
      <c r="B13222" s="150" t="s">
        <v>17521</v>
      </c>
      <c r="C13222" s="147"/>
      <c r="D13222" s="122"/>
      <c r="E13222" s="36"/>
      <c r="F13222" s="178"/>
      <c r="G13222" s="453"/>
      <c r="H13222" s="36"/>
      <c r="I13222" s="11"/>
    </row>
    <row r="13223" spans="1:12" ht="9" customHeight="1">
      <c r="A13223" s="29"/>
      <c r="B13223" s="150" t="s">
        <v>17522</v>
      </c>
      <c r="C13223" s="147"/>
      <c r="D13223" s="122"/>
      <c r="E13223" s="36"/>
      <c r="F13223" s="178"/>
      <c r="G13223" s="453"/>
      <c r="H13223" s="36"/>
      <c r="I13223" s="11"/>
    </row>
    <row r="13224" spans="1:12" ht="9" customHeight="1">
      <c r="A13224" s="185"/>
      <c r="B13224" s="150" t="s">
        <v>17523</v>
      </c>
      <c r="C13224" s="147"/>
      <c r="D13224" s="122"/>
      <c r="E13224" s="36"/>
      <c r="F13224" s="178"/>
      <c r="G13224" s="453"/>
      <c r="H13224" s="36"/>
      <c r="I13224" s="11"/>
    </row>
    <row r="13225" spans="1:12" ht="9" customHeight="1" thickBot="1">
      <c r="A13225" s="185"/>
      <c r="B13225" s="209" t="s">
        <v>17524</v>
      </c>
      <c r="C13225" s="147"/>
      <c r="D13225" s="161"/>
      <c r="E13225" s="36"/>
      <c r="F13225" s="183"/>
      <c r="G13225" s="1181"/>
      <c r="H13225" s="34"/>
      <c r="I13225" s="11"/>
    </row>
    <row r="13226" spans="1:12" ht="9" customHeight="1">
      <c r="A13226" s="798" t="s">
        <v>17525</v>
      </c>
      <c r="B13226" s="154" t="s">
        <v>9612</v>
      </c>
      <c r="C13226" s="147"/>
      <c r="D13226" s="122"/>
      <c r="E13226" s="36"/>
      <c r="F13226" s="178"/>
      <c r="G13226" s="453"/>
      <c r="H13226" s="36"/>
      <c r="I13226" s="11"/>
    </row>
    <row r="13227" spans="1:12" ht="11.15" customHeight="1" thickBot="1">
      <c r="A13227" s="799" t="s">
        <v>17526</v>
      </c>
      <c r="B13227" s="59" t="s">
        <v>22914</v>
      </c>
      <c r="C13227" s="147" t="s">
        <v>20221</v>
      </c>
      <c r="D13227" s="701" t="s">
        <v>1129</v>
      </c>
      <c r="E13227" s="178">
        <v>2017</v>
      </c>
      <c r="F13227" s="178" t="s">
        <v>4520</v>
      </c>
      <c r="G13227" s="496"/>
      <c r="H13227" s="994" t="s">
        <v>20221</v>
      </c>
      <c r="I13227" s="11" t="s">
        <v>17527</v>
      </c>
      <c r="J13227" s="1285"/>
      <c r="K13227" s="1285"/>
      <c r="L13227" s="1285"/>
    </row>
    <row r="13228" spans="1:12" ht="11.15" customHeight="1">
      <c r="A13228" s="219" t="s">
        <v>17528</v>
      </c>
      <c r="B13228" s="59" t="s">
        <v>22915</v>
      </c>
      <c r="C13228" s="147" t="s">
        <v>20221</v>
      </c>
      <c r="D13228" s="701" t="s">
        <v>1129</v>
      </c>
      <c r="E13228" s="178">
        <v>2017</v>
      </c>
      <c r="F13228" s="178" t="s">
        <v>4520</v>
      </c>
      <c r="G13228" s="496"/>
      <c r="H13228" s="994" t="s">
        <v>20277</v>
      </c>
      <c r="I13228" s="11" t="s">
        <v>17529</v>
      </c>
      <c r="J13228" s="1285"/>
      <c r="K13228" s="1285"/>
      <c r="L13228" s="1285"/>
    </row>
    <row r="13229" spans="1:12" ht="11.15" customHeight="1">
      <c r="A13229" s="29" t="s">
        <v>17530</v>
      </c>
      <c r="B13229" s="154" t="s">
        <v>17531</v>
      </c>
      <c r="C13229" s="147"/>
      <c r="D13229" s="122"/>
      <c r="E13229" s="36"/>
      <c r="F13229" s="178"/>
      <c r="G13229" s="671"/>
      <c r="H13229" s="36"/>
      <c r="I13229" s="11"/>
    </row>
    <row r="13230" spans="1:12" ht="11.15" customHeight="1">
      <c r="A13230" s="29" t="s">
        <v>17532</v>
      </c>
      <c r="B13230" s="59" t="s">
        <v>22916</v>
      </c>
      <c r="C13230" s="147" t="s">
        <v>20221</v>
      </c>
      <c r="D13230" s="284" t="s">
        <v>897</v>
      </c>
      <c r="E13230" s="178">
        <v>2019</v>
      </c>
      <c r="F13230" s="178" t="s">
        <v>23395</v>
      </c>
      <c r="G13230" s="496"/>
      <c r="H13230" s="994" t="s">
        <v>20221</v>
      </c>
      <c r="I13230" s="11" t="s">
        <v>17533</v>
      </c>
      <c r="J13230" s="1285"/>
      <c r="K13230" s="1285"/>
      <c r="L13230" s="1285"/>
    </row>
    <row r="13231" spans="1:12" ht="11.15" customHeight="1">
      <c r="A13231" s="29" t="s">
        <v>17534</v>
      </c>
      <c r="B13231" s="59" t="s">
        <v>22917</v>
      </c>
      <c r="C13231" s="147" t="s">
        <v>20221</v>
      </c>
      <c r="D13231" s="284" t="s">
        <v>897</v>
      </c>
      <c r="E13231" s="178">
        <v>2017</v>
      </c>
      <c r="F13231" s="178" t="s">
        <v>4520</v>
      </c>
      <c r="G13231" s="496"/>
      <c r="H13231" s="994" t="s">
        <v>20221</v>
      </c>
      <c r="I13231" s="11" t="s">
        <v>17535</v>
      </c>
      <c r="J13231" s="1285"/>
      <c r="K13231" s="1285"/>
      <c r="L13231" s="1285"/>
    </row>
    <row r="13232" spans="1:12" ht="11.15" customHeight="1">
      <c r="A13232" s="29" t="s">
        <v>17536</v>
      </c>
      <c r="B13232" s="59" t="s">
        <v>22918</v>
      </c>
      <c r="C13232" s="147" t="s">
        <v>20221</v>
      </c>
      <c r="D13232" s="284" t="s">
        <v>897</v>
      </c>
      <c r="E13232" s="178">
        <v>2016</v>
      </c>
      <c r="F13232" s="178" t="s">
        <v>4520</v>
      </c>
      <c r="G13232" s="496"/>
      <c r="H13232" s="994" t="s">
        <v>20277</v>
      </c>
      <c r="I13232" s="11" t="s">
        <v>17537</v>
      </c>
      <c r="J13232" s="1285"/>
      <c r="K13232" s="1285"/>
      <c r="L13232" s="1285"/>
    </row>
    <row r="13233" spans="1:12" ht="11.15" customHeight="1">
      <c r="A13233" s="29" t="s">
        <v>17538</v>
      </c>
      <c r="B13233" s="59" t="s">
        <v>22919</v>
      </c>
      <c r="C13233" s="147" t="s">
        <v>20221</v>
      </c>
      <c r="D13233" s="284" t="s">
        <v>897</v>
      </c>
      <c r="E13233" s="178">
        <v>2017</v>
      </c>
      <c r="F13233" s="178" t="s">
        <v>4520</v>
      </c>
      <c r="G13233" s="496"/>
      <c r="H13233" s="994" t="s">
        <v>20221</v>
      </c>
      <c r="I13233" s="11" t="s">
        <v>17539</v>
      </c>
      <c r="J13233" s="1285"/>
      <c r="K13233" s="1285"/>
      <c r="L13233" s="1285"/>
    </row>
    <row r="13234" spans="1:12" ht="11.15" customHeight="1">
      <c r="A13234" s="181" t="s">
        <v>17540</v>
      </c>
      <c r="B13234" s="59" t="s">
        <v>22919</v>
      </c>
      <c r="C13234" s="147" t="s">
        <v>20221</v>
      </c>
      <c r="D13234" s="284" t="s">
        <v>897</v>
      </c>
      <c r="E13234" s="178">
        <v>2016</v>
      </c>
      <c r="F13234" s="178" t="s">
        <v>4520</v>
      </c>
      <c r="G13234" s="496"/>
      <c r="H13234" s="994" t="s">
        <v>20221</v>
      </c>
      <c r="I13234" s="11" t="s">
        <v>17541</v>
      </c>
      <c r="J13234" s="1285"/>
      <c r="K13234" s="1285"/>
      <c r="L13234" s="1285"/>
    </row>
    <row r="13235" spans="1:12" ht="11.15" customHeight="1">
      <c r="A13235" s="129" t="s">
        <v>1077</v>
      </c>
      <c r="B13235" s="59" t="s">
        <v>22920</v>
      </c>
      <c r="C13235" s="147" t="s">
        <v>20221</v>
      </c>
      <c r="D13235" s="284" t="s">
        <v>897</v>
      </c>
      <c r="E13235" s="178">
        <v>2017</v>
      </c>
      <c r="F13235" s="178" t="s">
        <v>4520</v>
      </c>
      <c r="G13235" s="496"/>
      <c r="H13235" s="994" t="s">
        <v>20221</v>
      </c>
      <c r="I13235" s="11" t="s">
        <v>17542</v>
      </c>
      <c r="J13235" s="1285"/>
      <c r="K13235" s="1285"/>
      <c r="L13235" s="1285"/>
    </row>
    <row r="13236" spans="1:12" ht="11.15" customHeight="1">
      <c r="A13236" s="162" t="s">
        <v>17543</v>
      </c>
      <c r="B13236" s="59" t="s">
        <v>22920</v>
      </c>
      <c r="C13236" s="147" t="s">
        <v>20221</v>
      </c>
      <c r="D13236" s="284" t="s">
        <v>897</v>
      </c>
      <c r="E13236" s="178">
        <v>2016</v>
      </c>
      <c r="F13236" s="178" t="s">
        <v>4520</v>
      </c>
      <c r="G13236" s="496"/>
      <c r="H13236" s="994" t="s">
        <v>20221</v>
      </c>
      <c r="I13236" s="11" t="s">
        <v>17544</v>
      </c>
      <c r="J13236" s="1285"/>
      <c r="K13236" s="1285"/>
      <c r="L13236" s="1285"/>
    </row>
    <row r="13237" spans="1:12" ht="11.15" customHeight="1">
      <c r="A13237" s="162" t="s">
        <v>17545</v>
      </c>
      <c r="B13237" s="154" t="s">
        <v>17211</v>
      </c>
      <c r="C13237" s="147"/>
      <c r="D13237" s="161"/>
      <c r="E13237" s="36"/>
      <c r="F13237" s="178"/>
      <c r="G13237" s="671"/>
      <c r="H13237" s="36"/>
      <c r="I13237" s="11"/>
    </row>
    <row r="13238" spans="1:12" ht="11.15" customHeight="1">
      <c r="A13238" s="162" t="s">
        <v>17546</v>
      </c>
      <c r="B13238" s="59" t="s">
        <v>22921</v>
      </c>
      <c r="C13238" s="147" t="s">
        <v>20221</v>
      </c>
      <c r="D13238" s="284" t="s">
        <v>897</v>
      </c>
      <c r="E13238" s="178">
        <v>2016</v>
      </c>
      <c r="F13238" s="178" t="s">
        <v>4520</v>
      </c>
      <c r="G13238" s="496"/>
      <c r="H13238" s="994" t="s">
        <v>20221</v>
      </c>
      <c r="I13238" s="11" t="s">
        <v>17547</v>
      </c>
      <c r="J13238" s="1285"/>
      <c r="K13238" s="1285"/>
      <c r="L13238" s="1285"/>
    </row>
    <row r="13239" spans="1:12" ht="11.15" customHeight="1">
      <c r="A13239" s="162" t="s">
        <v>17548</v>
      </c>
      <c r="B13239" s="59" t="s">
        <v>22922</v>
      </c>
      <c r="C13239" s="147" t="s">
        <v>20221</v>
      </c>
      <c r="D13239" s="284" t="s">
        <v>897</v>
      </c>
      <c r="E13239" s="178">
        <v>2019</v>
      </c>
      <c r="F13239" s="178" t="s">
        <v>4520</v>
      </c>
      <c r="G13239" s="496"/>
      <c r="H13239" s="994" t="s">
        <v>20221</v>
      </c>
      <c r="I13239" s="11" t="s">
        <v>17549</v>
      </c>
      <c r="J13239" s="1285"/>
      <c r="K13239" s="1285"/>
      <c r="L13239" s="1285"/>
    </row>
    <row r="13240" spans="1:12" ht="11.15" customHeight="1">
      <c r="A13240" s="162" t="s">
        <v>17550</v>
      </c>
      <c r="B13240" s="59" t="s">
        <v>22922</v>
      </c>
      <c r="C13240" s="147" t="s">
        <v>20221</v>
      </c>
      <c r="D13240" s="284" t="s">
        <v>897</v>
      </c>
      <c r="E13240" s="178">
        <v>2017</v>
      </c>
      <c r="F13240" s="178" t="s">
        <v>4520</v>
      </c>
      <c r="G13240" s="496"/>
      <c r="H13240" s="994" t="s">
        <v>20277</v>
      </c>
      <c r="I13240" s="11" t="s">
        <v>17551</v>
      </c>
      <c r="J13240" s="1285"/>
      <c r="K13240" s="1285"/>
      <c r="L13240" s="1285"/>
    </row>
    <row r="13241" spans="1:12" ht="11.15" customHeight="1">
      <c r="A13241" s="162" t="s">
        <v>17552</v>
      </c>
      <c r="B13241" s="59" t="s">
        <v>22923</v>
      </c>
      <c r="C13241" s="147" t="s">
        <v>20221</v>
      </c>
      <c r="D13241" s="284" t="s">
        <v>897</v>
      </c>
      <c r="E13241" s="178">
        <v>2019</v>
      </c>
      <c r="F13241" s="178" t="s">
        <v>4520</v>
      </c>
      <c r="G13241" s="496"/>
      <c r="H13241" s="994" t="s">
        <v>20221</v>
      </c>
      <c r="I13241" s="11" t="s">
        <v>17553</v>
      </c>
      <c r="J13241" s="1285"/>
      <c r="K13241" s="1285"/>
      <c r="L13241" s="1285"/>
    </row>
    <row r="13242" spans="1:12" ht="11.15" customHeight="1">
      <c r="A13242" s="162" t="s">
        <v>17554</v>
      </c>
      <c r="B13242" s="59" t="s">
        <v>22924</v>
      </c>
      <c r="C13242" s="147" t="s">
        <v>20221</v>
      </c>
      <c r="D13242" s="284" t="s">
        <v>897</v>
      </c>
      <c r="E13242" s="178">
        <v>2017</v>
      </c>
      <c r="F13242" s="178" t="s">
        <v>4520</v>
      </c>
      <c r="G13242" s="496"/>
      <c r="H13242" s="994" t="s">
        <v>20221</v>
      </c>
      <c r="I13242" s="11" t="s">
        <v>17555</v>
      </c>
      <c r="J13242" s="1285"/>
      <c r="K13242" s="1285"/>
      <c r="L13242" s="1285"/>
    </row>
    <row r="13243" spans="1:12" ht="11.15" customHeight="1">
      <c r="A13243" s="162" t="s">
        <v>17556</v>
      </c>
      <c r="B13243" s="59" t="s">
        <v>22925</v>
      </c>
      <c r="C13243" s="147" t="s">
        <v>20221</v>
      </c>
      <c r="D13243" s="284" t="s">
        <v>897</v>
      </c>
      <c r="E13243" s="178">
        <v>2016</v>
      </c>
      <c r="F13243" s="178" t="s">
        <v>4520</v>
      </c>
      <c r="G13243" s="496"/>
      <c r="H13243" s="994" t="s">
        <v>20221</v>
      </c>
      <c r="I13243" s="11" t="s">
        <v>17557</v>
      </c>
      <c r="J13243" s="1285"/>
      <c r="K13243" s="1285"/>
      <c r="L13243" s="1285"/>
    </row>
    <row r="13244" spans="1:12" ht="11.15" customHeight="1">
      <c r="A13244" s="162" t="s">
        <v>17558</v>
      </c>
      <c r="B13244" s="59" t="s">
        <v>22926</v>
      </c>
      <c r="C13244" s="147" t="s">
        <v>20221</v>
      </c>
      <c r="D13244" s="284" t="s">
        <v>897</v>
      </c>
      <c r="E13244" s="178">
        <v>2017</v>
      </c>
      <c r="F13244" s="178" t="s">
        <v>4520</v>
      </c>
      <c r="G13244" s="496"/>
      <c r="H13244" s="994" t="s">
        <v>20221</v>
      </c>
      <c r="I13244" s="11" t="s">
        <v>17559</v>
      </c>
      <c r="J13244" s="1285"/>
      <c r="K13244" s="1285"/>
      <c r="L13244" s="1285"/>
    </row>
    <row r="13245" spans="1:12" ht="11.15" customHeight="1">
      <c r="A13245" s="129" t="s">
        <v>8336</v>
      </c>
      <c r="B13245" s="59" t="s">
        <v>22927</v>
      </c>
      <c r="C13245" s="147" t="s">
        <v>20221</v>
      </c>
      <c r="D13245" s="284" t="s">
        <v>897</v>
      </c>
      <c r="E13245" s="178">
        <v>2017</v>
      </c>
      <c r="F13245" s="178" t="s">
        <v>4520</v>
      </c>
      <c r="G13245" s="496"/>
      <c r="H13245" s="994" t="s">
        <v>20221</v>
      </c>
      <c r="I13245" s="11" t="s">
        <v>17560</v>
      </c>
      <c r="J13245" s="1285"/>
      <c r="K13245" s="1285"/>
      <c r="L13245" s="1285"/>
    </row>
    <row r="13246" spans="1:12" ht="11.15" customHeight="1">
      <c r="A13246" s="162" t="s">
        <v>17561</v>
      </c>
      <c r="B13246" s="59" t="s">
        <v>22927</v>
      </c>
      <c r="C13246" s="147" t="s">
        <v>20221</v>
      </c>
      <c r="D13246" s="284" t="s">
        <v>897</v>
      </c>
      <c r="E13246" s="178">
        <v>2016</v>
      </c>
      <c r="F13246" s="178" t="s">
        <v>4520</v>
      </c>
      <c r="G13246" s="496"/>
      <c r="H13246" s="994" t="s">
        <v>20221</v>
      </c>
      <c r="I13246" s="11" t="s">
        <v>17562</v>
      </c>
      <c r="J13246" s="1285"/>
      <c r="K13246" s="1285"/>
      <c r="L13246" s="1285"/>
    </row>
    <row r="13247" spans="1:12" ht="11.15" customHeight="1">
      <c r="A13247" s="162" t="s">
        <v>17563</v>
      </c>
      <c r="B13247" s="59" t="s">
        <v>22927</v>
      </c>
      <c r="C13247" s="147" t="s">
        <v>20221</v>
      </c>
      <c r="D13247" s="284" t="s">
        <v>897</v>
      </c>
      <c r="E13247" s="178">
        <v>2015</v>
      </c>
      <c r="F13247" s="178" t="s">
        <v>23395</v>
      </c>
      <c r="G13247" s="496"/>
      <c r="H13247" s="994" t="s">
        <v>20224</v>
      </c>
      <c r="I13247" s="11" t="s">
        <v>17564</v>
      </c>
      <c r="J13247" s="1285"/>
      <c r="K13247" s="1285"/>
      <c r="L13247" s="1285"/>
    </row>
    <row r="13248" spans="1:12" ht="11.15" customHeight="1">
      <c r="A13248" s="291" t="s">
        <v>17565</v>
      </c>
      <c r="B13248" s="59" t="s">
        <v>22928</v>
      </c>
      <c r="C13248" s="147" t="s">
        <v>20221</v>
      </c>
      <c r="D13248" s="284" t="s">
        <v>897</v>
      </c>
      <c r="E13248" s="178">
        <v>2017</v>
      </c>
      <c r="F13248" s="178" t="s">
        <v>4520</v>
      </c>
      <c r="G13248" s="496"/>
      <c r="H13248" s="994" t="s">
        <v>20221</v>
      </c>
      <c r="I13248" s="11" t="s">
        <v>17566</v>
      </c>
      <c r="J13248" s="1285"/>
      <c r="K13248" s="1285"/>
      <c r="L13248" s="1285"/>
    </row>
    <row r="13249" spans="1:12" ht="11.15" customHeight="1">
      <c r="A13249" s="162" t="s">
        <v>17567</v>
      </c>
      <c r="B13249" s="59" t="s">
        <v>22928</v>
      </c>
      <c r="C13249" s="147" t="s">
        <v>20221</v>
      </c>
      <c r="D13249" s="284" t="s">
        <v>897</v>
      </c>
      <c r="E13249" s="178">
        <v>2016</v>
      </c>
      <c r="F13249" s="178" t="s">
        <v>4520</v>
      </c>
      <c r="G13249" s="496"/>
      <c r="H13249" s="994" t="s">
        <v>20221</v>
      </c>
      <c r="I13249" s="11" t="s">
        <v>17568</v>
      </c>
      <c r="J13249" s="1285"/>
      <c r="K13249" s="1285"/>
      <c r="L13249" s="1285"/>
    </row>
    <row r="13250" spans="1:12" ht="11.15" customHeight="1">
      <c r="A13250" s="355" t="s">
        <v>17569</v>
      </c>
      <c r="B13250" s="59" t="s">
        <v>22928</v>
      </c>
      <c r="C13250" s="147" t="s">
        <v>20221</v>
      </c>
      <c r="D13250" s="284" t="s">
        <v>897</v>
      </c>
      <c r="E13250" s="178">
        <v>2015</v>
      </c>
      <c r="F13250" s="178" t="s">
        <v>4520</v>
      </c>
      <c r="G13250" s="496"/>
      <c r="H13250" s="994" t="s">
        <v>20224</v>
      </c>
      <c r="I13250" s="11" t="s">
        <v>17570</v>
      </c>
      <c r="J13250" s="1285"/>
      <c r="K13250" s="1285"/>
      <c r="L13250" s="1285"/>
    </row>
    <row r="13251" spans="1:12" ht="11.15" customHeight="1">
      <c r="A13251" s="355" t="s">
        <v>17571</v>
      </c>
      <c r="B13251" s="154" t="s">
        <v>4329</v>
      </c>
      <c r="C13251" s="147"/>
      <c r="D13251" s="129"/>
      <c r="E13251" s="185"/>
      <c r="F13251" s="178"/>
      <c r="G13251" s="671"/>
      <c r="H13251" s="36"/>
      <c r="I13251" s="11"/>
    </row>
    <row r="13252" spans="1:12" ht="11.15" customHeight="1">
      <c r="A13252" s="355" t="s">
        <v>17572</v>
      </c>
      <c r="B13252" s="59" t="s">
        <v>22929</v>
      </c>
      <c r="C13252" s="147" t="s">
        <v>20221</v>
      </c>
      <c r="D13252" s="284" t="s">
        <v>897</v>
      </c>
      <c r="E13252" s="178">
        <v>2016</v>
      </c>
      <c r="F13252" s="178" t="s">
        <v>11931</v>
      </c>
      <c r="G13252" s="496"/>
      <c r="H13252" s="994" t="s">
        <v>20224</v>
      </c>
      <c r="I13252" s="11" t="s">
        <v>17573</v>
      </c>
      <c r="J13252" s="1285"/>
      <c r="K13252" s="1285"/>
      <c r="L13252" s="1285"/>
    </row>
    <row r="13253" spans="1:12" ht="11.15" customHeight="1">
      <c r="A13253" s="162" t="s">
        <v>17574</v>
      </c>
      <c r="B13253" s="59" t="s">
        <v>22930</v>
      </c>
      <c r="C13253" s="147" t="s">
        <v>20221</v>
      </c>
      <c r="D13253" s="284" t="s">
        <v>897</v>
      </c>
      <c r="E13253" s="178">
        <v>2016</v>
      </c>
      <c r="F13253" s="178" t="s">
        <v>9678</v>
      </c>
      <c r="G13253" s="496"/>
      <c r="H13253" s="994" t="s">
        <v>20224</v>
      </c>
      <c r="I13253" s="11" t="s">
        <v>17575</v>
      </c>
      <c r="J13253" s="1285"/>
      <c r="K13253" s="1285"/>
      <c r="L13253" s="1285"/>
    </row>
    <row r="13254" spans="1:12" ht="11.15" customHeight="1">
      <c r="A13254" s="162" t="s">
        <v>17576</v>
      </c>
      <c r="B13254" s="59" t="s">
        <v>22931</v>
      </c>
      <c r="C13254" s="147" t="s">
        <v>20221</v>
      </c>
      <c r="D13254" s="284" t="s">
        <v>897</v>
      </c>
      <c r="E13254" s="178">
        <v>2017</v>
      </c>
      <c r="F13254" s="178" t="s">
        <v>11931</v>
      </c>
      <c r="G13254" s="496"/>
      <c r="H13254" s="994" t="s">
        <v>20221</v>
      </c>
      <c r="I13254" s="11" t="s">
        <v>17577</v>
      </c>
      <c r="J13254" s="1285"/>
      <c r="K13254" s="1285"/>
      <c r="L13254" s="1285"/>
    </row>
    <row r="13255" spans="1:12" ht="11.15" customHeight="1">
      <c r="A13255" s="162" t="s">
        <v>17578</v>
      </c>
      <c r="B13255" s="59" t="s">
        <v>22931</v>
      </c>
      <c r="C13255" s="147" t="s">
        <v>20221</v>
      </c>
      <c r="D13255" s="284" t="s">
        <v>897</v>
      </c>
      <c r="E13255" s="178">
        <v>2016</v>
      </c>
      <c r="F13255" s="178" t="s">
        <v>11931</v>
      </c>
      <c r="G13255" s="496"/>
      <c r="H13255" s="994" t="s">
        <v>20277</v>
      </c>
      <c r="I13255" s="11" t="s">
        <v>17579</v>
      </c>
      <c r="J13255" s="1285"/>
      <c r="K13255" s="1285"/>
      <c r="L13255" s="1285"/>
    </row>
    <row r="13256" spans="1:12" ht="11.15" customHeight="1">
      <c r="A13256" s="162" t="s">
        <v>17580</v>
      </c>
      <c r="B13256" s="59" t="s">
        <v>22932</v>
      </c>
      <c r="C13256" s="147" t="s">
        <v>20221</v>
      </c>
      <c r="D13256" s="284" t="s">
        <v>897</v>
      </c>
      <c r="E13256" s="178">
        <v>2017</v>
      </c>
      <c r="F13256" s="178" t="s">
        <v>11931</v>
      </c>
      <c r="G13256" s="496"/>
      <c r="H13256" s="994" t="s">
        <v>20224</v>
      </c>
      <c r="I13256" s="11" t="s">
        <v>17581</v>
      </c>
      <c r="J13256" s="1285"/>
      <c r="K13256" s="1285"/>
      <c r="L13256" s="1285"/>
    </row>
    <row r="13257" spans="1:12" ht="11.15" customHeight="1">
      <c r="A13257" s="291" t="s">
        <v>17582</v>
      </c>
      <c r="B13257" s="59" t="s">
        <v>22933</v>
      </c>
      <c r="C13257" s="147" t="s">
        <v>20221</v>
      </c>
      <c r="D13257" s="284" t="s">
        <v>897</v>
      </c>
      <c r="E13257" s="178">
        <v>2016</v>
      </c>
      <c r="F13257" s="178" t="s">
        <v>11931</v>
      </c>
      <c r="G13257" s="496"/>
      <c r="H13257" s="994" t="s">
        <v>20224</v>
      </c>
      <c r="I13257" s="11" t="s">
        <v>17583</v>
      </c>
      <c r="J13257" s="1285"/>
      <c r="K13257" s="1285"/>
      <c r="L13257" s="1285"/>
    </row>
    <row r="13258" spans="1:12" ht="11.15" customHeight="1">
      <c r="A13258" s="291" t="s">
        <v>17584</v>
      </c>
      <c r="B13258" s="59" t="s">
        <v>22934</v>
      </c>
      <c r="C13258" s="147" t="s">
        <v>20221</v>
      </c>
      <c r="D13258" s="284" t="s">
        <v>897</v>
      </c>
      <c r="E13258" s="178">
        <v>2016</v>
      </c>
      <c r="F13258" s="178" t="s">
        <v>9678</v>
      </c>
      <c r="G13258" s="496"/>
      <c r="H13258" s="994" t="s">
        <v>20224</v>
      </c>
      <c r="I13258" s="11" t="s">
        <v>17585</v>
      </c>
      <c r="J13258" s="1285"/>
      <c r="K13258" s="1285"/>
      <c r="L13258" s="1285"/>
    </row>
    <row r="13259" spans="1:12" ht="11.15" customHeight="1">
      <c r="A13259" s="162" t="s">
        <v>17586</v>
      </c>
      <c r="B13259" s="59" t="s">
        <v>22934</v>
      </c>
      <c r="C13259" s="147" t="s">
        <v>20221</v>
      </c>
      <c r="D13259" s="284" t="s">
        <v>897</v>
      </c>
      <c r="E13259" s="178">
        <v>2015</v>
      </c>
      <c r="F13259" s="178" t="s">
        <v>9678</v>
      </c>
      <c r="G13259" s="496"/>
      <c r="H13259" s="994" t="s">
        <v>20224</v>
      </c>
      <c r="I13259" s="11" t="s">
        <v>17587</v>
      </c>
      <c r="J13259" s="1285"/>
      <c r="K13259" s="1285"/>
      <c r="L13259" s="1285"/>
    </row>
    <row r="13260" spans="1:12" ht="11.15" customHeight="1">
      <c r="A13260" s="169" t="s">
        <v>17588</v>
      </c>
      <c r="B13260" s="59" t="s">
        <v>22935</v>
      </c>
      <c r="C13260" s="147" t="s">
        <v>20221</v>
      </c>
      <c r="D13260" s="284" t="s">
        <v>897</v>
      </c>
      <c r="E13260" s="178">
        <v>2016</v>
      </c>
      <c r="F13260" s="178" t="s">
        <v>9678</v>
      </c>
      <c r="G13260" s="496"/>
      <c r="H13260" s="994" t="s">
        <v>20224</v>
      </c>
      <c r="I13260" s="11" t="s">
        <v>17589</v>
      </c>
      <c r="J13260" s="1285"/>
      <c r="K13260" s="1285"/>
      <c r="L13260" s="1285"/>
    </row>
    <row r="13261" spans="1:12" ht="11.15" customHeight="1">
      <c r="A13261" s="169" t="s">
        <v>17590</v>
      </c>
      <c r="B13261" s="59" t="s">
        <v>22935</v>
      </c>
      <c r="C13261" s="147" t="s">
        <v>20221</v>
      </c>
      <c r="D13261" s="284" t="s">
        <v>897</v>
      </c>
      <c r="E13261" s="178">
        <v>2015</v>
      </c>
      <c r="F13261" s="178" t="s">
        <v>9678</v>
      </c>
      <c r="G13261" s="496"/>
      <c r="H13261" s="994" t="s">
        <v>20224</v>
      </c>
      <c r="I13261" s="11" t="s">
        <v>17591</v>
      </c>
      <c r="J13261" s="1285"/>
      <c r="K13261" s="1285"/>
      <c r="L13261" s="1285"/>
    </row>
    <row r="13262" spans="1:12" ht="11.15" customHeight="1">
      <c r="A13262" s="166" t="s">
        <v>17592</v>
      </c>
      <c r="B13262" s="59" t="s">
        <v>22936</v>
      </c>
      <c r="C13262" s="147" t="s">
        <v>20221</v>
      </c>
      <c r="D13262" s="284" t="s">
        <v>897</v>
      </c>
      <c r="E13262" s="178">
        <v>2016</v>
      </c>
      <c r="F13262" s="178" t="s">
        <v>9678</v>
      </c>
      <c r="G13262" s="496"/>
      <c r="H13262" s="994" t="s">
        <v>20224</v>
      </c>
      <c r="I13262" s="11" t="s">
        <v>17593</v>
      </c>
      <c r="J13262" s="1285"/>
      <c r="K13262" s="1285"/>
      <c r="L13262" s="1285"/>
    </row>
    <row r="13263" spans="1:12" ht="11.15" customHeight="1">
      <c r="A13263" s="129" t="s">
        <v>17594</v>
      </c>
      <c r="B13263" s="185"/>
      <c r="C13263" s="147"/>
      <c r="D13263" s="185"/>
      <c r="E13263" s="185"/>
      <c r="F13263" s="185"/>
      <c r="G13263" s="185"/>
      <c r="H13263" s="185"/>
      <c r="I13263" s="11"/>
    </row>
    <row r="13264" spans="1:12" ht="11.15" customHeight="1" thickBot="1">
      <c r="A13264" s="129"/>
      <c r="B13264" s="185"/>
      <c r="C13264" s="147"/>
      <c r="D13264" s="185"/>
      <c r="E13264" s="185"/>
      <c r="F13264" s="185"/>
      <c r="G13264" s="185"/>
      <c r="H13264" s="185"/>
      <c r="I13264" s="11"/>
    </row>
    <row r="13265" spans="1:12" ht="9" customHeight="1" thickBot="1">
      <c r="A13265" s="184" t="s">
        <v>17595</v>
      </c>
      <c r="B13265" s="59" t="s">
        <v>22937</v>
      </c>
      <c r="C13265" s="147" t="s">
        <v>20221</v>
      </c>
      <c r="D13265" s="284" t="s">
        <v>897</v>
      </c>
      <c r="E13265" s="178">
        <v>2016</v>
      </c>
      <c r="F13265" s="178" t="s">
        <v>4520</v>
      </c>
      <c r="G13265" s="496"/>
      <c r="H13265" s="994" t="s">
        <v>20221</v>
      </c>
      <c r="I13265" s="11" t="s">
        <v>17596</v>
      </c>
      <c r="J13265" s="1285"/>
      <c r="K13265" s="1285"/>
      <c r="L13265" s="1285"/>
    </row>
    <row r="13266" spans="1:12" ht="11.15" customHeight="1">
      <c r="A13266" s="219" t="s">
        <v>17597</v>
      </c>
      <c r="B13266" s="59" t="s">
        <v>22938</v>
      </c>
      <c r="C13266" s="147" t="s">
        <v>20221</v>
      </c>
      <c r="D13266" s="284" t="s">
        <v>897</v>
      </c>
      <c r="E13266" s="178">
        <v>2016</v>
      </c>
      <c r="F13266" s="178" t="s">
        <v>4520</v>
      </c>
      <c r="G13266" s="496"/>
      <c r="H13266" s="994" t="s">
        <v>20221</v>
      </c>
      <c r="I13266" s="11" t="s">
        <v>17598</v>
      </c>
      <c r="J13266" s="1285"/>
      <c r="K13266" s="1285"/>
      <c r="L13266" s="1285"/>
    </row>
    <row r="13267" spans="1:12" ht="11.15" customHeight="1">
      <c r="A13267" s="219" t="s">
        <v>17599</v>
      </c>
      <c r="B13267" s="773"/>
      <c r="C13267" s="147"/>
      <c r="D13267" s="159"/>
      <c r="E13267" s="36"/>
      <c r="F13267" s="178"/>
      <c r="G13267" s="496"/>
      <c r="H13267" s="36"/>
      <c r="I13267" s="11"/>
    </row>
    <row r="13268" spans="1:12" ht="11.15" customHeight="1">
      <c r="A13268" s="29" t="s">
        <v>17600</v>
      </c>
      <c r="B13268" s="154"/>
      <c r="C13268" s="147"/>
      <c r="D13268" s="122"/>
      <c r="E13268" s="36"/>
      <c r="F13268" s="178"/>
      <c r="G13268" s="671"/>
      <c r="H13268" s="36"/>
      <c r="I13268" s="11"/>
    </row>
    <row r="13269" spans="1:12" ht="11.15" customHeight="1">
      <c r="A13269" s="29" t="s">
        <v>17601</v>
      </c>
      <c r="B13269" s="773"/>
      <c r="C13269" s="147"/>
      <c r="D13269" s="161"/>
      <c r="E13269" s="36"/>
      <c r="F13269" s="178"/>
      <c r="G13269" s="496"/>
      <c r="H13269" s="36"/>
      <c r="I13269" s="11"/>
    </row>
    <row r="13270" spans="1:12" ht="11.15" customHeight="1">
      <c r="A13270" s="169" t="s">
        <v>17602</v>
      </c>
      <c r="B13270" s="773"/>
      <c r="C13270" s="147"/>
      <c r="D13270" s="161"/>
      <c r="E13270" s="36"/>
      <c r="F13270" s="178"/>
      <c r="G13270" s="496"/>
      <c r="H13270" s="36"/>
      <c r="I13270" s="11"/>
    </row>
    <row r="13271" spans="1:12" ht="11.15" customHeight="1" thickBot="1">
      <c r="A13271" s="129"/>
      <c r="B13271" s="185"/>
      <c r="C13271" s="147"/>
      <c r="D13271" s="185"/>
      <c r="E13271" s="185"/>
      <c r="F13271" s="185"/>
      <c r="G13271" s="185"/>
      <c r="H13271" s="185"/>
      <c r="I13271" s="11"/>
    </row>
    <row r="13272" spans="1:12" ht="24" customHeight="1" thickBot="1">
      <c r="A13272" s="753"/>
      <c r="B13272" s="64" t="s">
        <v>17603</v>
      </c>
      <c r="C13272" s="170"/>
      <c r="D13272" s="382"/>
      <c r="E13272" s="235"/>
      <c r="F13272" s="383"/>
      <c r="G13272" s="1094"/>
      <c r="H13272" s="875"/>
      <c r="I13272" s="11"/>
    </row>
    <row r="13273" spans="1:12" ht="11.15" customHeight="1" thickBot="1">
      <c r="A13273" s="319"/>
      <c r="B13273" s="547" t="s">
        <v>14312</v>
      </c>
      <c r="C13273" s="321"/>
      <c r="D13273" s="341"/>
      <c r="E13273" s="322"/>
      <c r="F13273" s="578"/>
      <c r="G13273" s="1204"/>
      <c r="H13273" s="322"/>
      <c r="I13273" s="11"/>
    </row>
    <row r="13274" spans="1:12" ht="11.15" customHeight="1" thickBot="1">
      <c r="A13274" s="343" t="s">
        <v>17604</v>
      </c>
      <c r="B13274" s="324" t="s">
        <v>22939</v>
      </c>
      <c r="C13274" s="321" t="s">
        <v>20221</v>
      </c>
      <c r="D13274" s="1297" t="s">
        <v>884</v>
      </c>
      <c r="E13274" s="578">
        <v>2009</v>
      </c>
      <c r="F13274" s="578" t="s">
        <v>4520</v>
      </c>
      <c r="G13274" s="1204"/>
      <c r="H13274" s="1296" t="s">
        <v>20277</v>
      </c>
      <c r="I13274" s="11" t="s">
        <v>17605</v>
      </c>
      <c r="J13274" s="1285"/>
      <c r="K13274" s="1285"/>
      <c r="L13274" s="1285"/>
    </row>
    <row r="13275" spans="1:12" ht="11.15" customHeight="1">
      <c r="A13275" s="319" t="s">
        <v>17606</v>
      </c>
      <c r="B13275" s="324" t="s">
        <v>22939</v>
      </c>
      <c r="C13275" s="321" t="s">
        <v>20221</v>
      </c>
      <c r="D13275" s="1297" t="s">
        <v>884</v>
      </c>
      <c r="E13275" s="578">
        <v>2007</v>
      </c>
      <c r="F13275" s="578" t="s">
        <v>4520</v>
      </c>
      <c r="G13275" s="1204"/>
      <c r="H13275" s="1296" t="s">
        <v>20277</v>
      </c>
      <c r="I13275" s="11" t="s">
        <v>17607</v>
      </c>
      <c r="J13275" s="1285"/>
      <c r="K13275" s="1285"/>
      <c r="L13275" s="1285"/>
    </row>
    <row r="13276" spans="1:12" ht="11.15" customHeight="1">
      <c r="A13276" s="319" t="s">
        <v>17608</v>
      </c>
      <c r="B13276" s="324"/>
      <c r="C13276" s="321"/>
      <c r="D13276" s="1297"/>
      <c r="E13276" s="578"/>
      <c r="F13276" s="578"/>
      <c r="G13276" s="1204"/>
      <c r="H13276" s="1296"/>
      <c r="I13276" s="11"/>
      <c r="J13276" s="1285"/>
      <c r="K13276" s="1285"/>
      <c r="L13276" s="1285"/>
    </row>
    <row r="13277" spans="1:12" ht="11.15" customHeight="1">
      <c r="A13277" s="319" t="s">
        <v>17609</v>
      </c>
      <c r="B13277" s="324"/>
      <c r="C13277" s="321"/>
      <c r="D13277" s="341"/>
      <c r="E13277" s="322"/>
      <c r="F13277" s="578"/>
      <c r="G13277" s="1204"/>
      <c r="H13277" s="322"/>
      <c r="I13277" s="11"/>
    </row>
    <row r="13278" spans="1:12" ht="11.15" customHeight="1">
      <c r="A13278" s="319" t="s">
        <v>17610</v>
      </c>
      <c r="B13278" s="324"/>
      <c r="C13278" s="321"/>
      <c r="D13278" s="341"/>
      <c r="E13278" s="322"/>
      <c r="F13278" s="578"/>
      <c r="G13278" s="1204"/>
      <c r="H13278" s="322"/>
      <c r="I13278" s="11"/>
    </row>
    <row r="13279" spans="1:12" ht="11.15" customHeight="1">
      <c r="A13279" s="319" t="s">
        <v>17611</v>
      </c>
      <c r="B13279" s="324"/>
      <c r="C13279" s="321"/>
      <c r="D13279" s="325"/>
      <c r="E13279" s="322"/>
      <c r="F13279" s="578"/>
      <c r="G13279" s="1204"/>
      <c r="H13279" s="322"/>
      <c r="I13279" s="11"/>
    </row>
    <row r="13280" spans="1:12" ht="11.15" customHeight="1">
      <c r="A13280" s="346" t="s">
        <v>17612</v>
      </c>
      <c r="B13280" s="319"/>
      <c r="C13280" s="321"/>
      <c r="D13280" s="330"/>
      <c r="E13280" s="319"/>
      <c r="F13280" s="319"/>
      <c r="G13280" s="319"/>
      <c r="H13280" s="319"/>
      <c r="I13280" s="11"/>
    </row>
    <row r="13281" spans="1:12" ht="11.15" customHeight="1">
      <c r="A13281" s="330" t="s">
        <v>916</v>
      </c>
      <c r="B13281" s="324"/>
      <c r="C13281" s="321"/>
      <c r="D13281" s="325"/>
      <c r="E13281" s="322"/>
      <c r="F13281" s="578"/>
      <c r="G13281" s="1204"/>
      <c r="H13281" s="322"/>
      <c r="I13281" s="11"/>
    </row>
    <row r="13282" spans="1:12" ht="11.15" customHeight="1">
      <c r="A13282" s="330" t="s">
        <v>17613</v>
      </c>
      <c r="B13282" s="330"/>
      <c r="C13282" s="321"/>
      <c r="D13282" s="330"/>
      <c r="E13282" s="330"/>
      <c r="F13282" s="330"/>
      <c r="G13282" s="330"/>
      <c r="H13282" s="330"/>
      <c r="I13282" s="11"/>
    </row>
    <row r="13283" spans="1:12" ht="11.15" customHeight="1" thickBot="1">
      <c r="A13283" s="29"/>
      <c r="B13283" s="122"/>
      <c r="C13283" s="147"/>
      <c r="D13283" s="129"/>
      <c r="E13283" s="29"/>
      <c r="F13283" s="29"/>
      <c r="G13283" s="29"/>
      <c r="H13283" s="29"/>
      <c r="I13283" s="11"/>
    </row>
    <row r="13284" spans="1:12" ht="11.15" customHeight="1">
      <c r="A13284" s="153" t="s">
        <v>17614</v>
      </c>
      <c r="B13284" s="154" t="s">
        <v>17615</v>
      </c>
      <c r="C13284" s="147"/>
      <c r="D13284" s="29"/>
      <c r="E13284" s="29"/>
      <c r="F13284" s="29"/>
      <c r="G13284" s="29"/>
      <c r="H13284" s="29"/>
      <c r="I13284" s="11"/>
    </row>
    <row r="13285" spans="1:12" ht="11.15" customHeight="1" thickBot="1">
      <c r="A13285" s="230" t="s">
        <v>17616</v>
      </c>
      <c r="B13285" s="59" t="s">
        <v>22940</v>
      </c>
      <c r="C13285" s="147" t="s">
        <v>23393</v>
      </c>
      <c r="D13285" s="701" t="s">
        <v>1129</v>
      </c>
      <c r="E13285" s="178">
        <v>2023</v>
      </c>
      <c r="F13285" s="178" t="s">
        <v>4520</v>
      </c>
      <c r="G13285" s="496"/>
      <c r="H13285" s="994" t="s">
        <v>20221</v>
      </c>
      <c r="I13285" s="11" t="s">
        <v>17617</v>
      </c>
      <c r="J13285" s="1285"/>
      <c r="K13285" s="1285"/>
      <c r="L13285" s="1285"/>
    </row>
    <row r="13286" spans="1:12" ht="11.15" customHeight="1">
      <c r="A13286" s="29" t="s">
        <v>17618</v>
      </c>
      <c r="B13286" s="59" t="s">
        <v>22943</v>
      </c>
      <c r="C13286" s="147" t="s">
        <v>23393</v>
      </c>
      <c r="D13286" s="701" t="s">
        <v>1129</v>
      </c>
      <c r="E13286" s="178">
        <v>2023</v>
      </c>
      <c r="F13286" s="178" t="s">
        <v>4520</v>
      </c>
      <c r="G13286" s="496"/>
      <c r="H13286" s="994" t="s">
        <v>20221</v>
      </c>
      <c r="I13286" s="11" t="s">
        <v>17619</v>
      </c>
      <c r="J13286" s="1285"/>
      <c r="K13286" s="1285"/>
      <c r="L13286" s="1285"/>
    </row>
    <row r="13287" spans="1:12" ht="11.15" customHeight="1">
      <c r="A13287" s="29" t="s">
        <v>17620</v>
      </c>
      <c r="B13287" s="154" t="s">
        <v>15467</v>
      </c>
      <c r="C13287" s="147"/>
      <c r="D13287" s="29"/>
      <c r="E13287" s="29"/>
      <c r="F13287" s="29"/>
      <c r="G13287" s="29"/>
      <c r="H13287" s="29"/>
      <c r="I13287" s="11"/>
    </row>
    <row r="13288" spans="1:12" ht="11.15" customHeight="1">
      <c r="A13288" s="181" t="s">
        <v>17621</v>
      </c>
      <c r="B13288" s="59" t="s">
        <v>22944</v>
      </c>
      <c r="C13288" s="147" t="s">
        <v>20221</v>
      </c>
      <c r="D13288" s="284" t="s">
        <v>897</v>
      </c>
      <c r="E13288" s="178">
        <v>2023</v>
      </c>
      <c r="F13288" s="178" t="s">
        <v>4520</v>
      </c>
      <c r="G13288" s="496"/>
      <c r="H13288" s="994" t="s">
        <v>20221</v>
      </c>
      <c r="I13288" s="11" t="s">
        <v>17622</v>
      </c>
      <c r="J13288" s="1285"/>
      <c r="K13288" s="1285"/>
      <c r="L13288" s="1285"/>
    </row>
    <row r="13289" spans="1:12" ht="11.15" customHeight="1">
      <c r="A13289" s="181" t="s">
        <v>17623</v>
      </c>
      <c r="B13289" s="59" t="s">
        <v>22944</v>
      </c>
      <c r="C13289" s="147" t="s">
        <v>20221</v>
      </c>
      <c r="D13289" s="284" t="s">
        <v>897</v>
      </c>
      <c r="E13289" s="178">
        <v>2020</v>
      </c>
      <c r="F13289" s="178" t="s">
        <v>4520</v>
      </c>
      <c r="G13289" s="496"/>
      <c r="H13289" s="994" t="s">
        <v>20221</v>
      </c>
      <c r="I13289" s="11" t="s">
        <v>17624</v>
      </c>
      <c r="J13289" s="1285"/>
      <c r="K13289" s="1285"/>
      <c r="L13289" s="1285"/>
    </row>
    <row r="13290" spans="1:12" ht="11.15" customHeight="1">
      <c r="A13290" s="181" t="s">
        <v>950</v>
      </c>
      <c r="B13290" s="59" t="s">
        <v>22945</v>
      </c>
      <c r="C13290" s="147" t="s">
        <v>20221</v>
      </c>
      <c r="D13290" s="284" t="s">
        <v>897</v>
      </c>
      <c r="E13290" s="178">
        <v>2023</v>
      </c>
      <c r="F13290" s="178" t="s">
        <v>4520</v>
      </c>
      <c r="G13290" s="496"/>
      <c r="H13290" s="994" t="s">
        <v>20221</v>
      </c>
      <c r="I13290" s="11" t="s">
        <v>17625</v>
      </c>
      <c r="J13290" s="1285"/>
      <c r="K13290" s="1285"/>
      <c r="L13290" s="1285"/>
    </row>
    <row r="13291" spans="1:12" ht="11.15" customHeight="1">
      <c r="A13291" s="616" t="s">
        <v>5463</v>
      </c>
      <c r="B13291" s="129"/>
      <c r="C13291" s="147"/>
      <c r="D13291" s="129"/>
      <c r="E13291" s="129"/>
      <c r="F13291" s="129"/>
      <c r="G13291" s="129"/>
      <c r="H13291" s="129"/>
      <c r="I13291" s="11"/>
    </row>
    <row r="13292" spans="1:12" ht="11.15" customHeight="1">
      <c r="A13292" s="129" t="s">
        <v>17626</v>
      </c>
      <c r="B13292" s="90"/>
      <c r="C13292" s="147"/>
      <c r="D13292" s="161"/>
      <c r="E13292" s="36"/>
      <c r="F13292" s="178"/>
      <c r="G13292" s="496"/>
      <c r="H13292" s="36"/>
      <c r="I13292" s="11"/>
    </row>
    <row r="13293" spans="1:12" ht="11.15" customHeight="1" thickBot="1">
      <c r="A13293" s="29"/>
      <c r="B13293" s="90"/>
      <c r="C13293" s="147"/>
      <c r="D13293" s="161"/>
      <c r="E13293" s="36"/>
      <c r="F13293" s="178"/>
      <c r="G13293" s="496"/>
      <c r="H13293" s="36"/>
      <c r="I13293" s="11"/>
    </row>
    <row r="13294" spans="1:12" ht="11.15" customHeight="1" thickBot="1">
      <c r="A13294" s="184" t="s">
        <v>17627</v>
      </c>
      <c r="B13294" s="59" t="s">
        <v>22947</v>
      </c>
      <c r="C13294" s="147" t="s">
        <v>20221</v>
      </c>
      <c r="D13294" s="701" t="s">
        <v>1129</v>
      </c>
      <c r="E13294" s="178">
        <v>2014</v>
      </c>
      <c r="F13294" s="178" t="s">
        <v>4520</v>
      </c>
      <c r="G13294" s="496"/>
      <c r="H13294" s="994" t="s">
        <v>20221</v>
      </c>
      <c r="I13294" s="11" t="s">
        <v>17628</v>
      </c>
      <c r="J13294" s="1285"/>
      <c r="K13294" s="1285"/>
      <c r="L13294" s="1285"/>
    </row>
    <row r="13295" spans="1:12" ht="11.15" customHeight="1">
      <c r="A13295" s="29" t="s">
        <v>17629</v>
      </c>
      <c r="B13295" s="90"/>
      <c r="C13295" s="147"/>
      <c r="D13295" s="161"/>
      <c r="E13295" s="36"/>
      <c r="F13295" s="178"/>
      <c r="G13295" s="496"/>
      <c r="H13295" s="36"/>
      <c r="I13295" s="11"/>
    </row>
    <row r="13296" spans="1:12" ht="11.15" customHeight="1">
      <c r="A13296" s="29" t="s">
        <v>17630</v>
      </c>
      <c r="B13296" s="90"/>
      <c r="C13296" s="147"/>
      <c r="D13296" s="161"/>
      <c r="E13296" s="36"/>
      <c r="F13296" s="178"/>
      <c r="G13296" s="496"/>
      <c r="H13296" s="36"/>
      <c r="I13296" s="11"/>
    </row>
    <row r="13297" spans="1:9" ht="11.15" customHeight="1">
      <c r="A13297" s="29" t="s">
        <v>17631</v>
      </c>
      <c r="B13297" s="29"/>
      <c r="C13297" s="147"/>
      <c r="D13297" s="29"/>
      <c r="E13297" s="29"/>
      <c r="F13297" s="29"/>
      <c r="G13297" s="29"/>
      <c r="H13297" s="29"/>
      <c r="I13297" s="11"/>
    </row>
    <row r="13298" spans="1:9" ht="11.15" customHeight="1">
      <c r="A13298" s="29" t="s">
        <v>17632</v>
      </c>
      <c r="B13298" s="90"/>
      <c r="C13298" s="147"/>
      <c r="D13298" s="161"/>
      <c r="E13298" s="36"/>
      <c r="F13298" s="178"/>
      <c r="G13298" s="496"/>
      <c r="H13298" s="36"/>
      <c r="I13298" s="11"/>
    </row>
    <row r="13299" spans="1:9" ht="11.15" customHeight="1">
      <c r="A13299" s="29" t="s">
        <v>17633</v>
      </c>
      <c r="B13299" s="90"/>
      <c r="C13299" s="147"/>
      <c r="D13299" s="161"/>
      <c r="E13299" s="36"/>
      <c r="F13299" s="178"/>
      <c r="G13299" s="496"/>
      <c r="H13299" s="36"/>
      <c r="I13299" s="11"/>
    </row>
    <row r="13300" spans="1:9" ht="11.15" customHeight="1">
      <c r="A13300" s="129" t="s">
        <v>903</v>
      </c>
      <c r="B13300" s="90"/>
      <c r="C13300" s="147"/>
      <c r="D13300" s="161"/>
      <c r="E13300" s="36"/>
      <c r="F13300" s="178"/>
      <c r="G13300" s="496"/>
      <c r="H13300" s="36"/>
      <c r="I13300" s="11"/>
    </row>
    <row r="13301" spans="1:9" ht="11.15" customHeight="1">
      <c r="A13301" s="291" t="s">
        <v>17634</v>
      </c>
      <c r="B13301" s="90"/>
      <c r="C13301" s="147"/>
      <c r="D13301" s="161"/>
      <c r="E13301" s="36"/>
      <c r="F13301" s="178"/>
      <c r="G13301" s="496"/>
      <c r="H13301" s="36"/>
      <c r="I13301" s="11"/>
    </row>
    <row r="13302" spans="1:9" ht="11.15" customHeight="1">
      <c r="A13302" s="291" t="s">
        <v>17635</v>
      </c>
      <c r="B13302" s="90"/>
      <c r="C13302" s="147"/>
      <c r="D13302" s="161"/>
      <c r="E13302" s="36"/>
      <c r="F13302" s="178"/>
      <c r="G13302" s="496"/>
      <c r="H13302" s="36"/>
      <c r="I13302" s="11"/>
    </row>
    <row r="13303" spans="1:9" ht="11.15" customHeight="1">
      <c r="A13303" s="291" t="s">
        <v>17636</v>
      </c>
      <c r="B13303" s="90"/>
      <c r="C13303" s="147"/>
      <c r="D13303" s="161"/>
      <c r="E13303" s="36"/>
      <c r="F13303" s="178"/>
      <c r="G13303" s="496"/>
      <c r="H13303" s="36"/>
      <c r="I13303" s="11"/>
    </row>
    <row r="13304" spans="1:9" ht="11.15" customHeight="1">
      <c r="A13304" s="291" t="s">
        <v>17637</v>
      </c>
      <c r="B13304" s="90"/>
      <c r="C13304" s="147"/>
      <c r="D13304" s="161"/>
      <c r="E13304" s="36"/>
      <c r="F13304" s="178"/>
      <c r="G13304" s="496"/>
      <c r="H13304" s="36"/>
      <c r="I13304" s="11"/>
    </row>
    <row r="13305" spans="1:9" ht="11.15" customHeight="1">
      <c r="A13305" s="181" t="s">
        <v>1253</v>
      </c>
      <c r="B13305" s="90"/>
      <c r="C13305" s="147"/>
      <c r="D13305" s="161"/>
      <c r="E13305" s="36"/>
      <c r="F13305" s="178"/>
      <c r="G13305" s="496"/>
      <c r="H13305" s="36"/>
      <c r="I13305" s="11"/>
    </row>
    <row r="13306" spans="1:9" ht="11.15" customHeight="1">
      <c r="A13306" s="181" t="s">
        <v>17638</v>
      </c>
      <c r="B13306" s="90"/>
      <c r="C13306" s="147"/>
      <c r="D13306" s="161"/>
      <c r="E13306" s="36"/>
      <c r="F13306" s="178"/>
      <c r="G13306" s="496"/>
      <c r="H13306" s="36"/>
      <c r="I13306" s="11"/>
    </row>
    <row r="13307" spans="1:9" ht="11.15" customHeight="1">
      <c r="A13307" s="199" t="s">
        <v>17639</v>
      </c>
      <c r="B13307" s="185"/>
      <c r="C13307" s="147"/>
      <c r="D13307" s="161"/>
      <c r="E13307" s="36"/>
      <c r="F13307" s="178"/>
      <c r="G13307" s="496"/>
      <c r="H13307" s="36"/>
      <c r="I13307" s="11"/>
    </row>
    <row r="13308" spans="1:9" ht="11.15" customHeight="1">
      <c r="A13308" s="616" t="s">
        <v>5463</v>
      </c>
      <c r="B13308" s="129"/>
      <c r="C13308" s="147"/>
      <c r="D13308" s="129"/>
      <c r="E13308" s="129"/>
      <c r="F13308" s="129"/>
      <c r="G13308" s="129"/>
      <c r="H13308" s="129"/>
      <c r="I13308" s="11"/>
    </row>
    <row r="13309" spans="1:9" ht="11.15" customHeight="1">
      <c r="A13309" s="129" t="s">
        <v>17626</v>
      </c>
      <c r="B13309" s="29"/>
      <c r="C13309" s="147"/>
      <c r="D13309" s="161"/>
      <c r="E13309" s="36"/>
      <c r="F13309" s="178"/>
      <c r="G13309" s="496"/>
      <c r="H13309" s="36"/>
      <c r="I13309" s="11"/>
    </row>
    <row r="13310" spans="1:9" ht="11.15" customHeight="1">
      <c r="A13310" s="29"/>
      <c r="B13310" s="318" t="s">
        <v>17640</v>
      </c>
      <c r="C13310" s="147"/>
      <c r="D13310" s="161"/>
      <c r="E13310" s="36"/>
      <c r="F13310" s="178"/>
      <c r="G13310" s="496"/>
      <c r="H13310" s="36"/>
      <c r="I13310" s="11"/>
    </row>
    <row r="13311" spans="1:9" ht="11.15" customHeight="1">
      <c r="A13311" s="29"/>
      <c r="B13311" s="1348" t="s">
        <v>17641</v>
      </c>
      <c r="C13311" s="147"/>
      <c r="D13311" s="161"/>
      <c r="E13311" s="36"/>
      <c r="F13311" s="178"/>
      <c r="G13311" s="496"/>
      <c r="H13311" s="36"/>
      <c r="I13311" s="11"/>
    </row>
    <row r="13312" spans="1:9" ht="11.15" customHeight="1">
      <c r="A13312" s="29"/>
      <c r="B13312" s="1348" t="s">
        <v>17642</v>
      </c>
      <c r="C13312" s="147"/>
      <c r="D13312" s="161"/>
      <c r="E13312" s="36"/>
      <c r="F13312" s="178"/>
      <c r="G13312" s="496"/>
      <c r="H13312" s="36"/>
      <c r="I13312" s="11"/>
    </row>
    <row r="13313" spans="1:9" ht="11.15" customHeight="1">
      <c r="A13313" s="29"/>
      <c r="B13313" s="1348" t="s">
        <v>17643</v>
      </c>
      <c r="C13313" s="147"/>
      <c r="D13313" s="161"/>
      <c r="E13313" s="36"/>
      <c r="F13313" s="178"/>
      <c r="G13313" s="496"/>
      <c r="H13313" s="36"/>
      <c r="I13313" s="11"/>
    </row>
    <row r="13314" spans="1:9" ht="11.15" customHeight="1">
      <c r="A13314" s="29"/>
      <c r="B13314" s="1348" t="s">
        <v>17644</v>
      </c>
      <c r="C13314" s="147"/>
      <c r="D13314" s="161"/>
      <c r="E13314" s="36"/>
      <c r="F13314" s="178"/>
      <c r="G13314" s="496"/>
      <c r="H13314" s="36"/>
      <c r="I13314" s="11"/>
    </row>
    <row r="13315" spans="1:9" ht="9" customHeight="1">
      <c r="A13315" s="162"/>
      <c r="B13315" s="210" t="s">
        <v>17645</v>
      </c>
      <c r="C13315" s="147"/>
      <c r="D13315" s="209"/>
      <c r="E13315" s="210"/>
      <c r="F13315" s="150"/>
      <c r="G13315" s="1190"/>
      <c r="H13315" s="210"/>
      <c r="I13315" s="11"/>
    </row>
    <row r="13316" spans="1:9" ht="9" customHeight="1">
      <c r="A13316" s="162"/>
      <c r="B13316" s="210" t="s">
        <v>17646</v>
      </c>
      <c r="C13316" s="147"/>
      <c r="D13316" s="209"/>
      <c r="E13316" s="210"/>
      <c r="F13316" s="150"/>
      <c r="G13316" s="1190"/>
      <c r="H13316" s="210"/>
      <c r="I13316" s="11"/>
    </row>
    <row r="13317" spans="1:9" ht="9" customHeight="1">
      <c r="A13317" s="162"/>
      <c r="B13317" s="150" t="s">
        <v>17647</v>
      </c>
      <c r="C13317" s="147"/>
      <c r="D13317" s="209"/>
      <c r="E13317" s="210"/>
      <c r="F13317" s="209"/>
      <c r="G13317" s="1226"/>
      <c r="H13317" s="216"/>
      <c r="I13317" s="11"/>
    </row>
    <row r="13318" spans="1:9" ht="9" customHeight="1">
      <c r="A13318" s="162"/>
      <c r="B13318" s="150" t="s">
        <v>17648</v>
      </c>
      <c r="C13318" s="147"/>
      <c r="D13318" s="209"/>
      <c r="E13318" s="210"/>
      <c r="F13318" s="209"/>
      <c r="G13318" s="1226"/>
      <c r="H13318" s="216"/>
      <c r="I13318" s="11"/>
    </row>
    <row r="13319" spans="1:9" ht="9" customHeight="1">
      <c r="A13319" s="162"/>
      <c r="B13319" s="150" t="s">
        <v>17649</v>
      </c>
      <c r="C13319" s="147"/>
      <c r="D13319" s="209"/>
      <c r="E13319" s="210"/>
      <c r="F13319" s="209"/>
      <c r="G13319" s="1226"/>
      <c r="H13319" s="216"/>
      <c r="I13319" s="11"/>
    </row>
    <row r="13320" spans="1:9" ht="9" customHeight="1">
      <c r="A13320" s="162"/>
      <c r="B13320" s="150" t="s">
        <v>17650</v>
      </c>
      <c r="C13320" s="147"/>
      <c r="D13320" s="209"/>
      <c r="E13320" s="210"/>
      <c r="F13320" s="209"/>
      <c r="G13320" s="1226"/>
      <c r="H13320" s="216"/>
      <c r="I13320" s="11"/>
    </row>
    <row r="13321" spans="1:9" ht="9" customHeight="1">
      <c r="A13321" s="162"/>
      <c r="B13321" s="150" t="s">
        <v>17651</v>
      </c>
      <c r="C13321" s="147"/>
      <c r="D13321" s="209"/>
      <c r="E13321" s="210"/>
      <c r="F13321" s="209"/>
      <c r="G13321" s="1226"/>
      <c r="H13321" s="216"/>
      <c r="I13321" s="11"/>
    </row>
    <row r="13322" spans="1:9" ht="9" customHeight="1">
      <c r="A13322" s="162"/>
      <c r="B13322" s="150" t="s">
        <v>17652</v>
      </c>
      <c r="C13322" s="147"/>
      <c r="D13322" s="209"/>
      <c r="E13322" s="210"/>
      <c r="F13322" s="209"/>
      <c r="G13322" s="1226"/>
      <c r="H13322" s="216"/>
      <c r="I13322" s="11"/>
    </row>
    <row r="13323" spans="1:9" ht="9" customHeight="1">
      <c r="A13323" s="162"/>
      <c r="B13323" s="150" t="s">
        <v>17653</v>
      </c>
      <c r="C13323" s="147"/>
      <c r="D13323" s="209"/>
      <c r="E13323" s="210"/>
      <c r="F13323" s="209"/>
      <c r="G13323" s="1226"/>
      <c r="H13323" s="216"/>
      <c r="I13323" s="11"/>
    </row>
    <row r="13324" spans="1:9" ht="9" customHeight="1">
      <c r="A13324" s="162"/>
      <c r="B13324" s="150" t="s">
        <v>17654</v>
      </c>
      <c r="C13324" s="147"/>
      <c r="D13324" s="209"/>
      <c r="E13324" s="210"/>
      <c r="F13324" s="209"/>
      <c r="G13324" s="1226"/>
      <c r="H13324" s="216"/>
      <c r="I13324" s="11"/>
    </row>
    <row r="13325" spans="1:9" ht="9" customHeight="1">
      <c r="A13325" s="162"/>
      <c r="B13325" s="150" t="s">
        <v>17655</v>
      </c>
      <c r="C13325" s="147"/>
      <c r="D13325" s="209"/>
      <c r="E13325" s="210"/>
      <c r="F13325" s="209"/>
      <c r="G13325" s="1226"/>
      <c r="H13325" s="216"/>
      <c r="I13325" s="11"/>
    </row>
    <row r="13326" spans="1:9" ht="9" customHeight="1">
      <c r="A13326" s="162"/>
      <c r="B13326" s="150" t="s">
        <v>17656</v>
      </c>
      <c r="C13326" s="147"/>
      <c r="D13326" s="209"/>
      <c r="E13326" s="210"/>
      <c r="F13326" s="209"/>
      <c r="G13326" s="1226"/>
      <c r="H13326" s="216"/>
      <c r="I13326" s="11"/>
    </row>
    <row r="13327" spans="1:9" ht="9" customHeight="1">
      <c r="A13327" s="162"/>
      <c r="B13327" s="150" t="s">
        <v>17657</v>
      </c>
      <c r="C13327" s="147"/>
      <c r="D13327" s="209"/>
      <c r="E13327" s="210"/>
      <c r="F13327" s="209"/>
      <c r="G13327" s="1226"/>
      <c r="H13327" s="216"/>
      <c r="I13327" s="11"/>
    </row>
    <row r="13328" spans="1:9" ht="9" customHeight="1">
      <c r="A13328" s="162"/>
      <c r="B13328" s="150" t="s">
        <v>17658</v>
      </c>
      <c r="C13328" s="147"/>
      <c r="D13328" s="209"/>
      <c r="E13328" s="210"/>
      <c r="F13328" s="209"/>
      <c r="G13328" s="1226"/>
      <c r="H13328" s="216"/>
      <c r="I13328" s="11"/>
    </row>
    <row r="13329" spans="1:12" ht="9" customHeight="1">
      <c r="A13329" s="162"/>
      <c r="B13329" s="150" t="s">
        <v>17659</v>
      </c>
      <c r="C13329" s="147"/>
      <c r="D13329" s="209"/>
      <c r="E13329" s="210"/>
      <c r="F13329" s="209"/>
      <c r="G13329" s="1226"/>
      <c r="H13329" s="216"/>
      <c r="I13329" s="11"/>
    </row>
    <row r="13330" spans="1:12" ht="9" customHeight="1">
      <c r="A13330" s="162"/>
      <c r="B13330" s="150" t="s">
        <v>17660</v>
      </c>
      <c r="C13330" s="147"/>
      <c r="D13330" s="209"/>
      <c r="E13330" s="210"/>
      <c r="F13330" s="209"/>
      <c r="G13330" s="1226"/>
      <c r="H13330" s="216"/>
      <c r="I13330" s="11"/>
    </row>
    <row r="13331" spans="1:12" ht="9" customHeight="1">
      <c r="A13331" s="162"/>
      <c r="B13331" s="150" t="s">
        <v>17661</v>
      </c>
      <c r="C13331" s="147"/>
      <c r="D13331" s="209"/>
      <c r="E13331" s="210"/>
      <c r="F13331" s="209"/>
      <c r="G13331" s="1226"/>
      <c r="H13331" s="216"/>
      <c r="I13331" s="11"/>
    </row>
    <row r="13332" spans="1:12" ht="9" customHeight="1">
      <c r="A13332" s="162"/>
      <c r="B13332" s="150" t="s">
        <v>17662</v>
      </c>
      <c r="C13332" s="147"/>
      <c r="D13332" s="209"/>
      <c r="E13332" s="210"/>
      <c r="F13332" s="209"/>
      <c r="G13332" s="1226"/>
      <c r="H13332" s="216"/>
      <c r="I13332" s="11"/>
    </row>
    <row r="13333" spans="1:12" ht="9" customHeight="1">
      <c r="A13333" s="162"/>
      <c r="B13333" s="150" t="s">
        <v>17663</v>
      </c>
      <c r="C13333" s="147"/>
      <c r="D13333" s="209"/>
      <c r="E13333" s="210"/>
      <c r="F13333" s="209"/>
      <c r="G13333" s="1226"/>
      <c r="H13333" s="216"/>
      <c r="I13333" s="11"/>
    </row>
    <row r="13334" spans="1:12" ht="9" customHeight="1">
      <c r="A13334" s="162"/>
      <c r="B13334" s="150" t="s">
        <v>17664</v>
      </c>
      <c r="C13334" s="147"/>
      <c r="D13334" s="209"/>
      <c r="E13334" s="210"/>
      <c r="F13334" s="209"/>
      <c r="G13334" s="1226"/>
      <c r="H13334" s="216"/>
      <c r="I13334" s="11"/>
    </row>
    <row r="13335" spans="1:12" ht="9" customHeight="1">
      <c r="A13335" s="162"/>
      <c r="B13335" s="150" t="s">
        <v>17665</v>
      </c>
      <c r="C13335" s="147"/>
      <c r="D13335" s="209"/>
      <c r="E13335" s="210"/>
      <c r="F13335" s="209"/>
      <c r="G13335" s="1226"/>
      <c r="H13335" s="216"/>
      <c r="I13335" s="11"/>
    </row>
    <row r="13336" spans="1:12" ht="9" customHeight="1">
      <c r="A13336" s="162"/>
      <c r="B13336" s="150" t="s">
        <v>17666</v>
      </c>
      <c r="C13336" s="147"/>
      <c r="D13336" s="209"/>
      <c r="E13336" s="210"/>
      <c r="F13336" s="209"/>
      <c r="G13336" s="1226"/>
      <c r="H13336" s="216"/>
      <c r="I13336" s="11"/>
    </row>
    <row r="13337" spans="1:12" ht="9" customHeight="1">
      <c r="A13337" s="162"/>
      <c r="B13337" s="150" t="s">
        <v>17667</v>
      </c>
      <c r="C13337" s="147"/>
      <c r="D13337" s="209"/>
      <c r="E13337" s="210"/>
      <c r="F13337" s="209"/>
      <c r="G13337" s="1226"/>
      <c r="H13337" s="216"/>
      <c r="I13337" s="11"/>
    </row>
    <row r="13338" spans="1:12" ht="9" customHeight="1">
      <c r="A13338" s="162"/>
      <c r="B13338" s="1348" t="s">
        <v>17668</v>
      </c>
      <c r="C13338" s="147"/>
      <c r="D13338" s="209"/>
      <c r="E13338" s="210"/>
      <c r="F13338" s="209"/>
      <c r="G13338" s="1226"/>
      <c r="H13338" s="216"/>
      <c r="I13338" s="11"/>
    </row>
    <row r="13339" spans="1:12" ht="9" customHeight="1">
      <c r="A13339" s="162"/>
      <c r="B13339" s="150" t="s">
        <v>17669</v>
      </c>
      <c r="C13339" s="147"/>
      <c r="D13339" s="209"/>
      <c r="E13339" s="210"/>
      <c r="F13339" s="209"/>
      <c r="G13339" s="1226"/>
      <c r="H13339" s="216"/>
      <c r="I13339" s="11"/>
    </row>
    <row r="13340" spans="1:12" ht="9" customHeight="1">
      <c r="A13340" s="162"/>
      <c r="B13340" s="150" t="s">
        <v>17670</v>
      </c>
      <c r="C13340" s="147"/>
      <c r="D13340" s="209"/>
      <c r="E13340" s="210"/>
      <c r="F13340" s="209"/>
      <c r="G13340" s="1226"/>
      <c r="H13340" s="216"/>
      <c r="I13340" s="11"/>
    </row>
    <row r="13341" spans="1:12" ht="9" customHeight="1" thickBot="1">
      <c r="A13341" s="162"/>
      <c r="B13341" s="150" t="s">
        <v>17671</v>
      </c>
      <c r="C13341" s="147"/>
      <c r="D13341" s="209"/>
      <c r="E13341" s="210"/>
      <c r="F13341" s="209"/>
      <c r="G13341" s="1226"/>
      <c r="H13341" s="216"/>
      <c r="I13341" s="11"/>
    </row>
    <row r="13342" spans="1:12" ht="11.15" customHeight="1">
      <c r="A13342" s="153" t="s">
        <v>17672</v>
      </c>
      <c r="B13342" s="154" t="s">
        <v>17673</v>
      </c>
      <c r="C13342" s="147"/>
      <c r="D13342" s="122"/>
      <c r="E13342" s="36"/>
      <c r="F13342" s="183"/>
      <c r="G13342" s="1217"/>
      <c r="H13342" s="34"/>
      <c r="I13342" s="11"/>
    </row>
    <row r="13343" spans="1:12" ht="11.15" customHeight="1" thickBot="1">
      <c r="A13343" s="230" t="s">
        <v>17674</v>
      </c>
      <c r="B13343" s="59" t="s">
        <v>22949</v>
      </c>
      <c r="C13343" s="147" t="s">
        <v>20221</v>
      </c>
      <c r="D13343" s="701" t="s">
        <v>1129</v>
      </c>
      <c r="E13343" s="178" t="s">
        <v>20221</v>
      </c>
      <c r="F13343" s="178" t="s">
        <v>4520</v>
      </c>
      <c r="G13343" s="496"/>
      <c r="H13343" s="994" t="s">
        <v>20224</v>
      </c>
      <c r="I13343" s="11" t="s">
        <v>17675</v>
      </c>
      <c r="J13343" s="1285"/>
      <c r="K13343" s="1285"/>
      <c r="L13343" s="1285"/>
    </row>
    <row r="13344" spans="1:12" ht="10.5" customHeight="1">
      <c r="A13344" s="29" t="s">
        <v>17676</v>
      </c>
      <c r="B13344" s="1349" t="s">
        <v>17677</v>
      </c>
    </row>
    <row r="13345" spans="1:12" ht="10.5" customHeight="1">
      <c r="A13345" s="29" t="s">
        <v>17678</v>
      </c>
      <c r="B13345" s="154" t="s">
        <v>17679</v>
      </c>
    </row>
    <row r="13346" spans="1:12" ht="10.5" customHeight="1">
      <c r="A13346" s="29" t="s">
        <v>17680</v>
      </c>
      <c r="B13346" s="227" t="s">
        <v>17681</v>
      </c>
      <c r="C13346" s="147"/>
      <c r="D13346" s="701" t="s">
        <v>1129</v>
      </c>
      <c r="E13346" s="178" t="s">
        <v>20221</v>
      </c>
      <c r="F13346" s="178" t="s">
        <v>4520</v>
      </c>
      <c r="G13346" s="496"/>
      <c r="H13346" s="994" t="s">
        <v>20221</v>
      </c>
      <c r="I13346" s="11"/>
      <c r="J13346" s="1285"/>
      <c r="K13346" s="1285"/>
      <c r="L13346" s="1285"/>
    </row>
    <row r="13347" spans="1:12" ht="10.5" customHeight="1">
      <c r="A13347" s="29" t="s">
        <v>17682</v>
      </c>
      <c r="B13347" s="59" t="s">
        <v>22950</v>
      </c>
      <c r="C13347" s="147" t="s">
        <v>20221</v>
      </c>
      <c r="D13347" s="701" t="s">
        <v>1129</v>
      </c>
      <c r="E13347" s="178" t="s">
        <v>20221</v>
      </c>
      <c r="F13347" s="178" t="s">
        <v>4520</v>
      </c>
      <c r="G13347" s="496"/>
      <c r="H13347" s="994" t="s">
        <v>20224</v>
      </c>
      <c r="I13347" s="11" t="s">
        <v>17683</v>
      </c>
      <c r="J13347" s="1285"/>
      <c r="K13347" s="1285"/>
      <c r="L13347" s="1285"/>
    </row>
    <row r="13348" spans="1:12" ht="10.5" customHeight="1">
      <c r="A13348" s="29" t="s">
        <v>17684</v>
      </c>
      <c r="B13348" s="59" t="s">
        <v>22952</v>
      </c>
      <c r="C13348" s="147" t="s">
        <v>20221</v>
      </c>
      <c r="D13348" s="701" t="s">
        <v>1129</v>
      </c>
      <c r="E13348" s="178" t="s">
        <v>20221</v>
      </c>
      <c r="F13348" s="178" t="s">
        <v>4520</v>
      </c>
      <c r="G13348" s="496"/>
      <c r="H13348" s="994" t="s">
        <v>20224</v>
      </c>
      <c r="I13348" s="11" t="s">
        <v>17685</v>
      </c>
      <c r="J13348" s="1285"/>
      <c r="K13348" s="1285"/>
      <c r="L13348" s="1285"/>
    </row>
    <row r="13349" spans="1:12" ht="10.5" customHeight="1">
      <c r="A13349" s="29" t="s">
        <v>17686</v>
      </c>
      <c r="B13349" s="59" t="s">
        <v>22953</v>
      </c>
      <c r="C13349" s="147" t="s">
        <v>20221</v>
      </c>
      <c r="D13349" s="701" t="s">
        <v>1129</v>
      </c>
      <c r="E13349" s="178" t="s">
        <v>20221</v>
      </c>
      <c r="F13349" s="178" t="s">
        <v>4520</v>
      </c>
      <c r="G13349" s="496"/>
      <c r="H13349" s="994" t="s">
        <v>20224</v>
      </c>
      <c r="I13349" s="11" t="s">
        <v>17687</v>
      </c>
      <c r="J13349" s="1285"/>
      <c r="K13349" s="1285"/>
      <c r="L13349" s="1285"/>
    </row>
    <row r="13350" spans="1:12" ht="10.5" customHeight="1">
      <c r="A13350" s="29" t="s">
        <v>17688</v>
      </c>
      <c r="B13350" s="59" t="s">
        <v>22954</v>
      </c>
      <c r="C13350" s="147" t="s">
        <v>20221</v>
      </c>
      <c r="D13350" s="701" t="s">
        <v>1129</v>
      </c>
      <c r="E13350" s="178" t="s">
        <v>20221</v>
      </c>
      <c r="F13350" s="178" t="s">
        <v>4520</v>
      </c>
      <c r="G13350" s="496"/>
      <c r="H13350" s="994" t="s">
        <v>20224</v>
      </c>
      <c r="I13350" s="11" t="s">
        <v>17689</v>
      </c>
      <c r="J13350" s="1285"/>
      <c r="K13350" s="1285"/>
      <c r="L13350" s="1285"/>
    </row>
    <row r="13351" spans="1:12" ht="10.5" customHeight="1">
      <c r="A13351" s="29" t="s">
        <v>17690</v>
      </c>
      <c r="B13351" s="59" t="s">
        <v>22955</v>
      </c>
      <c r="C13351" s="147" t="s">
        <v>20221</v>
      </c>
      <c r="D13351" s="701" t="s">
        <v>1129</v>
      </c>
      <c r="E13351" s="178" t="s">
        <v>20221</v>
      </c>
      <c r="F13351" s="178" t="s">
        <v>4520</v>
      </c>
      <c r="G13351" s="496"/>
      <c r="H13351" s="994" t="s">
        <v>20224</v>
      </c>
      <c r="I13351" s="11" t="s">
        <v>17691</v>
      </c>
      <c r="J13351" s="1285"/>
      <c r="K13351" s="1285"/>
      <c r="L13351" s="1285"/>
    </row>
    <row r="13352" spans="1:12" ht="10.5" customHeight="1">
      <c r="A13352" s="29" t="s">
        <v>17692</v>
      </c>
      <c r="B13352" s="154" t="s">
        <v>17693</v>
      </c>
      <c r="C13352" s="147"/>
      <c r="D13352" s="129"/>
      <c r="E13352" s="185"/>
      <c r="F13352" s="185"/>
      <c r="G13352" s="497"/>
      <c r="H13352" s="185"/>
      <c r="I13352" s="11"/>
      <c r="J13352" s="1285"/>
      <c r="K13352" s="1285"/>
      <c r="L13352" s="1285"/>
    </row>
    <row r="13353" spans="1:12" ht="10.5" customHeight="1">
      <c r="A13353" s="29" t="s">
        <v>17694</v>
      </c>
      <c r="B13353" s="59" t="s">
        <v>22956</v>
      </c>
      <c r="C13353" s="147" t="s">
        <v>20221</v>
      </c>
      <c r="D13353" s="284" t="s">
        <v>897</v>
      </c>
      <c r="E13353" s="178" t="s">
        <v>20221</v>
      </c>
      <c r="F13353" s="178" t="s">
        <v>4520</v>
      </c>
      <c r="G13353" s="496"/>
      <c r="H13353" s="994" t="s">
        <v>20224</v>
      </c>
      <c r="I13353" s="11" t="s">
        <v>17695</v>
      </c>
      <c r="J13353" s="1285"/>
      <c r="K13353" s="1285"/>
      <c r="L13353" s="1285"/>
    </row>
    <row r="13354" spans="1:12" ht="10.5" customHeight="1">
      <c r="A13354" s="29" t="s">
        <v>17696</v>
      </c>
      <c r="B13354" s="1349" t="s">
        <v>17677</v>
      </c>
      <c r="C13354" s="147"/>
      <c r="D13354" s="284"/>
      <c r="E13354" s="178" t="s">
        <v>20221</v>
      </c>
      <c r="F13354" s="178"/>
      <c r="G13354" s="496"/>
      <c r="H13354" s="994" t="s">
        <v>20221</v>
      </c>
      <c r="I13354" s="11"/>
      <c r="J13354" s="1285"/>
      <c r="K13354" s="1285"/>
      <c r="L13354" s="1285"/>
    </row>
    <row r="13355" spans="1:12" ht="10.5" customHeight="1">
      <c r="A13355" s="29" t="s">
        <v>17697</v>
      </c>
      <c r="B13355" s="221" t="s">
        <v>17698</v>
      </c>
      <c r="C13355" s="147"/>
      <c r="D13355" s="284"/>
      <c r="E13355" s="178"/>
      <c r="F13355" s="178"/>
      <c r="G13355" s="496"/>
      <c r="H13355" s="994" t="s">
        <v>20221</v>
      </c>
      <c r="I13355" s="11"/>
      <c r="J13355" s="1285"/>
      <c r="K13355" s="1285"/>
      <c r="L13355" s="1285"/>
    </row>
    <row r="13356" spans="1:12" ht="10.5" customHeight="1">
      <c r="A13356" s="29" t="s">
        <v>17699</v>
      </c>
      <c r="B13356" s="227" t="s">
        <v>17700</v>
      </c>
      <c r="C13356" s="147"/>
      <c r="D13356" s="284" t="s">
        <v>897</v>
      </c>
      <c r="E13356" s="178" t="s">
        <v>20221</v>
      </c>
      <c r="F13356" s="178" t="s">
        <v>4520</v>
      </c>
      <c r="G13356" s="496"/>
      <c r="H13356" s="994" t="s">
        <v>20221</v>
      </c>
      <c r="I13356" s="11"/>
      <c r="J13356" s="1285"/>
      <c r="K13356" s="1285"/>
      <c r="L13356" s="1285"/>
    </row>
    <row r="13357" spans="1:12" ht="10.5" customHeight="1">
      <c r="A13357" s="29" t="s">
        <v>17701</v>
      </c>
      <c r="B13357" s="59" t="s">
        <v>22957</v>
      </c>
      <c r="C13357" s="147" t="s">
        <v>20221</v>
      </c>
      <c r="D13357" s="284" t="s">
        <v>897</v>
      </c>
      <c r="E13357" s="178" t="s">
        <v>20221</v>
      </c>
      <c r="F13357" s="178" t="s">
        <v>4520</v>
      </c>
      <c r="G13357" s="496"/>
      <c r="H13357" s="994" t="s">
        <v>20224</v>
      </c>
      <c r="I13357" s="11" t="s">
        <v>17702</v>
      </c>
      <c r="J13357" s="1285"/>
      <c r="K13357" s="1285"/>
      <c r="L13357" s="1285"/>
    </row>
    <row r="13358" spans="1:12" ht="10.5" customHeight="1">
      <c r="A13358" s="29" t="s">
        <v>17703</v>
      </c>
      <c r="B13358" s="59" t="s">
        <v>22958</v>
      </c>
      <c r="C13358" s="147" t="s">
        <v>20221</v>
      </c>
      <c r="D13358" s="284" t="s">
        <v>897</v>
      </c>
      <c r="E13358" s="178" t="s">
        <v>20221</v>
      </c>
      <c r="F13358" s="178" t="s">
        <v>4520</v>
      </c>
      <c r="G13358" s="496"/>
      <c r="H13358" s="994" t="s">
        <v>3907</v>
      </c>
      <c r="I13358" s="11" t="s">
        <v>17704</v>
      </c>
      <c r="J13358" s="1285"/>
      <c r="K13358" s="1285"/>
      <c r="L13358" s="1285"/>
    </row>
    <row r="13359" spans="1:12" ht="10.5" customHeight="1">
      <c r="A13359" s="29" t="s">
        <v>17705</v>
      </c>
      <c r="B13359" s="59" t="s">
        <v>22960</v>
      </c>
      <c r="C13359" s="147" t="s">
        <v>20221</v>
      </c>
      <c r="D13359" s="284" t="s">
        <v>897</v>
      </c>
      <c r="E13359" s="178" t="s">
        <v>20221</v>
      </c>
      <c r="F13359" s="178" t="s">
        <v>4520</v>
      </c>
      <c r="G13359" s="496"/>
      <c r="H13359" s="994" t="s">
        <v>20224</v>
      </c>
      <c r="I13359" s="11" t="s">
        <v>17706</v>
      </c>
      <c r="J13359" s="1285"/>
      <c r="K13359" s="1285"/>
      <c r="L13359" s="1285"/>
    </row>
    <row r="13360" spans="1:12" ht="10.5" customHeight="1" thickBot="1">
      <c r="A13360" s="29" t="s">
        <v>17707</v>
      </c>
      <c r="B13360" s="90"/>
      <c r="C13360" s="147"/>
      <c r="D13360" s="161"/>
      <c r="E13360" s="36"/>
      <c r="F13360" s="178"/>
      <c r="G13360" s="496"/>
      <c r="H13360" s="36"/>
      <c r="I13360" s="11"/>
    </row>
    <row r="13361" spans="1:9" ht="10.5" customHeight="1">
      <c r="A13361" s="29" t="s">
        <v>17708</v>
      </c>
      <c r="B13361" s="1321" t="s">
        <v>17709</v>
      </c>
      <c r="C13361" s="437"/>
      <c r="D13361" s="1322"/>
      <c r="E13361" s="1323"/>
      <c r="F13361" s="1323"/>
      <c r="G13361" s="1323"/>
      <c r="H13361" s="1324"/>
      <c r="I13361" s="11"/>
    </row>
    <row r="13362" spans="1:9" ht="10.5" customHeight="1">
      <c r="A13362" s="129" t="s">
        <v>17710</v>
      </c>
      <c r="B13362" s="1325" t="s">
        <v>17711</v>
      </c>
      <c r="C13362" s="147"/>
      <c r="D13362" s="129"/>
      <c r="E13362" s="185"/>
      <c r="F13362" s="185"/>
      <c r="G13362" s="185"/>
      <c r="H13362" s="1326"/>
      <c r="I13362" s="11"/>
    </row>
    <row r="13363" spans="1:9" ht="9" customHeight="1">
      <c r="A13363" s="638" t="s">
        <v>17712</v>
      </c>
      <c r="B13363" s="1350" t="s">
        <v>17713</v>
      </c>
      <c r="C13363" s="147"/>
      <c r="D13363" s="129"/>
      <c r="E13363" s="185"/>
      <c r="F13363" s="185"/>
      <c r="G13363" s="185"/>
      <c r="H13363" s="1326"/>
      <c r="I13363" s="11"/>
    </row>
    <row r="13364" spans="1:9" ht="9" customHeight="1">
      <c r="A13364" s="162" t="s">
        <v>17714</v>
      </c>
      <c r="B13364" s="1350" t="s">
        <v>17715</v>
      </c>
      <c r="C13364" s="147"/>
      <c r="D13364" s="129"/>
      <c r="E13364" s="185"/>
      <c r="F13364" s="185"/>
      <c r="G13364" s="185"/>
      <c r="H13364" s="1326"/>
      <c r="I13364" s="11"/>
    </row>
    <row r="13365" spans="1:9" ht="9" customHeight="1">
      <c r="A13365" s="162" t="s">
        <v>17716</v>
      </c>
      <c r="B13365" s="1350" t="s">
        <v>17717</v>
      </c>
      <c r="C13365" s="147"/>
      <c r="D13365" s="129"/>
      <c r="E13365" s="185"/>
      <c r="F13365" s="185"/>
      <c r="G13365" s="185"/>
      <c r="H13365" s="1326"/>
      <c r="I13365" s="11"/>
    </row>
    <row r="13366" spans="1:9" ht="9" customHeight="1">
      <c r="A13366" s="162" t="s">
        <v>17718</v>
      </c>
      <c r="B13366" s="1350" t="s">
        <v>17719</v>
      </c>
      <c r="C13366" s="147"/>
      <c r="D13366" s="129"/>
      <c r="E13366" s="185"/>
      <c r="F13366" s="185"/>
      <c r="G13366" s="185"/>
      <c r="H13366" s="1326"/>
      <c r="I13366" s="11"/>
    </row>
    <row r="13367" spans="1:9" ht="9" customHeight="1">
      <c r="A13367" s="355" t="s">
        <v>17720</v>
      </c>
      <c r="B13367" s="1350" t="s">
        <v>17721</v>
      </c>
      <c r="C13367" s="147"/>
      <c r="D13367" s="129"/>
      <c r="E13367" s="185"/>
      <c r="F13367" s="185"/>
      <c r="G13367" s="185"/>
      <c r="H13367" s="1326"/>
      <c r="I13367" s="11"/>
    </row>
    <row r="13368" spans="1:9" ht="11.25" customHeight="1">
      <c r="A13368" s="162" t="s">
        <v>17722</v>
      </c>
      <c r="B13368" s="1327"/>
      <c r="C13368" s="147"/>
      <c r="D13368" s="185"/>
      <c r="E13368" s="185"/>
      <c r="F13368" s="185"/>
      <c r="G13368" s="185"/>
      <c r="H13368" s="1326"/>
      <c r="I13368" s="11"/>
    </row>
    <row r="13369" spans="1:9" ht="9" customHeight="1">
      <c r="A13369" s="162" t="s">
        <v>17723</v>
      </c>
      <c r="B13369" s="1325" t="s">
        <v>17724</v>
      </c>
      <c r="C13369" s="147"/>
      <c r="D13369" s="161"/>
      <c r="E13369" s="36"/>
      <c r="F13369" s="178"/>
      <c r="G13369" s="496"/>
      <c r="H13369" s="1328"/>
      <c r="I13369" s="11"/>
    </row>
    <row r="13370" spans="1:9" ht="9" customHeight="1">
      <c r="A13370" s="162" t="s">
        <v>17725</v>
      </c>
      <c r="B13370" s="1351" t="s">
        <v>17726</v>
      </c>
      <c r="C13370" s="147"/>
      <c r="D13370" s="161"/>
      <c r="E13370" s="36"/>
      <c r="F13370" s="178"/>
      <c r="G13370" s="496"/>
      <c r="H13370" s="1328"/>
      <c r="I13370" s="11"/>
    </row>
    <row r="13371" spans="1:9" ht="9" customHeight="1">
      <c r="A13371" s="129" t="s">
        <v>17727</v>
      </c>
      <c r="B13371" s="1351" t="s">
        <v>17728</v>
      </c>
      <c r="C13371" s="147"/>
      <c r="D13371" s="129"/>
      <c r="E13371" s="185"/>
      <c r="F13371" s="185"/>
      <c r="G13371" s="185"/>
      <c r="H13371" s="1326"/>
      <c r="I13371" s="11"/>
    </row>
    <row r="13372" spans="1:9" ht="9" customHeight="1">
      <c r="A13372" s="638" t="s">
        <v>17729</v>
      </c>
      <c r="B13372" s="1351" t="s">
        <v>17730</v>
      </c>
      <c r="C13372" s="147"/>
      <c r="D13372" s="129"/>
      <c r="E13372" s="185"/>
      <c r="F13372" s="185"/>
      <c r="G13372" s="185"/>
      <c r="H13372" s="1326"/>
      <c r="I13372" s="11"/>
    </row>
    <row r="13373" spans="1:9" ht="9" customHeight="1">
      <c r="A13373" s="162" t="s">
        <v>17731</v>
      </c>
      <c r="B13373" s="1351" t="s">
        <v>17732</v>
      </c>
      <c r="C13373" s="147"/>
      <c r="D13373" s="129"/>
      <c r="E13373" s="185"/>
      <c r="F13373" s="185"/>
      <c r="G13373" s="185"/>
      <c r="H13373" s="1326"/>
      <c r="I13373" s="11"/>
    </row>
    <row r="13374" spans="1:9" ht="9" customHeight="1">
      <c r="A13374" s="162" t="s">
        <v>17733</v>
      </c>
      <c r="B13374" s="1351" t="s">
        <v>17734</v>
      </c>
      <c r="C13374" s="147"/>
      <c r="D13374" s="129"/>
      <c r="E13374" s="185"/>
      <c r="F13374" s="185"/>
      <c r="G13374" s="185"/>
      <c r="H13374" s="1326"/>
      <c r="I13374" s="11"/>
    </row>
    <row r="13375" spans="1:9" ht="9" customHeight="1">
      <c r="A13375" s="162" t="s">
        <v>17735</v>
      </c>
      <c r="B13375" s="1351" t="s">
        <v>17736</v>
      </c>
      <c r="C13375" s="147"/>
      <c r="D13375" s="129"/>
      <c r="E13375" s="185"/>
      <c r="F13375" s="185"/>
      <c r="G13375" s="185"/>
      <c r="H13375" s="1326"/>
      <c r="I13375" s="11"/>
    </row>
    <row r="13376" spans="1:9" ht="9" customHeight="1">
      <c r="A13376" s="355" t="s">
        <v>17737</v>
      </c>
      <c r="B13376" s="1351" t="s">
        <v>17738</v>
      </c>
      <c r="C13376" s="147"/>
      <c r="D13376" s="129"/>
      <c r="E13376" s="185"/>
      <c r="F13376" s="185"/>
      <c r="G13376" s="185"/>
      <c r="H13376" s="1326"/>
      <c r="I13376" s="11"/>
    </row>
    <row r="13377" spans="1:9" ht="9" customHeight="1">
      <c r="A13377" s="162" t="s">
        <v>17739</v>
      </c>
      <c r="B13377" s="1352" t="s">
        <v>17740</v>
      </c>
      <c r="C13377" s="147"/>
      <c r="D13377" s="161"/>
      <c r="E13377" s="36"/>
      <c r="F13377" s="178"/>
      <c r="G13377" s="497"/>
      <c r="H13377" s="1328"/>
      <c r="I13377" s="11"/>
    </row>
    <row r="13378" spans="1:9" ht="9" customHeight="1">
      <c r="A13378" s="162" t="s">
        <v>17741</v>
      </c>
      <c r="B13378" s="1352" t="s">
        <v>17742</v>
      </c>
      <c r="C13378" s="147"/>
      <c r="D13378" s="129"/>
      <c r="E13378" s="185"/>
      <c r="F13378" s="185"/>
      <c r="G13378" s="185"/>
      <c r="H13378" s="1326"/>
      <c r="I13378" s="11"/>
    </row>
    <row r="13379" spans="1:9" ht="9" customHeight="1">
      <c r="A13379" s="355" t="s">
        <v>17743</v>
      </c>
      <c r="B13379" s="1352" t="s">
        <v>17744</v>
      </c>
      <c r="C13379" s="147"/>
      <c r="D13379" s="129"/>
      <c r="E13379" s="185"/>
      <c r="F13379" s="185"/>
      <c r="G13379" s="185"/>
      <c r="H13379" s="1326"/>
      <c r="I13379" s="11"/>
    </row>
    <row r="13380" spans="1:9" ht="9" customHeight="1">
      <c r="A13380" s="162" t="s">
        <v>17745</v>
      </c>
      <c r="B13380" s="1352" t="s">
        <v>17746</v>
      </c>
      <c r="C13380" s="147"/>
      <c r="D13380" s="161"/>
      <c r="E13380" s="36"/>
      <c r="F13380" s="178"/>
      <c r="G13380" s="497"/>
      <c r="H13380" s="1328"/>
      <c r="I13380" s="11"/>
    </row>
    <row r="13381" spans="1:9" ht="9" customHeight="1">
      <c r="A13381" s="162" t="s">
        <v>17747</v>
      </c>
      <c r="B13381" s="1352" t="s">
        <v>17748</v>
      </c>
      <c r="C13381" s="147"/>
      <c r="D13381" s="161"/>
      <c r="E13381" s="36"/>
      <c r="F13381" s="178"/>
      <c r="G13381" s="497"/>
      <c r="H13381" s="1328"/>
      <c r="I13381" s="11"/>
    </row>
    <row r="13382" spans="1:9" ht="9" customHeight="1">
      <c r="A13382" s="162" t="s">
        <v>17749</v>
      </c>
      <c r="B13382" s="1352" t="s">
        <v>17750</v>
      </c>
      <c r="C13382" s="147"/>
      <c r="D13382" s="129"/>
      <c r="E13382" s="185"/>
      <c r="F13382" s="185"/>
      <c r="G13382" s="185"/>
      <c r="H13382" s="1326"/>
      <c r="I13382" s="11"/>
    </row>
    <row r="13383" spans="1:9" ht="9" customHeight="1">
      <c r="A13383" s="355" t="s">
        <v>17751</v>
      </c>
      <c r="B13383" s="1352" t="s">
        <v>17752</v>
      </c>
      <c r="C13383" s="147"/>
      <c r="D13383" s="161"/>
      <c r="E13383" s="36"/>
      <c r="F13383" s="178"/>
      <c r="G13383" s="496"/>
      <c r="H13383" s="1328"/>
      <c r="I13383" s="11"/>
    </row>
    <row r="13384" spans="1:9" ht="9" customHeight="1">
      <c r="A13384" s="162" t="s">
        <v>17753</v>
      </c>
      <c r="B13384" s="1352" t="s">
        <v>17754</v>
      </c>
      <c r="C13384" s="147"/>
      <c r="D13384" s="161"/>
      <c r="E13384" s="36"/>
      <c r="F13384" s="178"/>
      <c r="G13384" s="496"/>
      <c r="H13384" s="1328"/>
      <c r="I13384" s="11"/>
    </row>
    <row r="13385" spans="1:9" ht="9" customHeight="1">
      <c r="A13385" s="162" t="s">
        <v>17755</v>
      </c>
      <c r="B13385" s="1352" t="s">
        <v>17756</v>
      </c>
      <c r="C13385" s="147"/>
      <c r="D13385" s="161"/>
      <c r="E13385" s="36"/>
      <c r="F13385" s="178"/>
      <c r="G13385" s="496"/>
      <c r="H13385" s="1328"/>
      <c r="I13385" s="11"/>
    </row>
    <row r="13386" spans="1:9" ht="9" customHeight="1">
      <c r="A13386" s="355" t="s">
        <v>17757</v>
      </c>
      <c r="B13386" s="1352" t="s">
        <v>17758</v>
      </c>
      <c r="C13386" s="147"/>
      <c r="D13386" s="161"/>
      <c r="E13386" s="36"/>
      <c r="F13386" s="178"/>
      <c r="G13386" s="671"/>
      <c r="H13386" s="1328"/>
      <c r="I13386" s="11"/>
    </row>
    <row r="13387" spans="1:9" ht="9" customHeight="1">
      <c r="A13387" s="162" t="s">
        <v>17759</v>
      </c>
      <c r="B13387" s="1352"/>
      <c r="C13387" s="147"/>
      <c r="D13387" s="161"/>
      <c r="E13387" s="36"/>
      <c r="F13387" s="178"/>
      <c r="G13387" s="671"/>
      <c r="H13387" s="1328"/>
      <c r="I13387" s="11"/>
    </row>
    <row r="13388" spans="1:9" ht="9" customHeight="1">
      <c r="A13388" s="162" t="s">
        <v>17760</v>
      </c>
      <c r="B13388" s="1325" t="s">
        <v>17761</v>
      </c>
      <c r="C13388" s="147"/>
      <c r="D13388" s="161"/>
      <c r="E13388" s="36"/>
      <c r="F13388" s="178"/>
      <c r="G13388" s="496"/>
      <c r="H13388" s="1328"/>
      <c r="I13388" s="11"/>
    </row>
    <row r="13389" spans="1:9" ht="9" customHeight="1">
      <c r="A13389" s="355" t="s">
        <v>17762</v>
      </c>
      <c r="B13389" s="1353" t="s">
        <v>17763</v>
      </c>
      <c r="C13389" s="147"/>
      <c r="D13389" s="161"/>
      <c r="E13389" s="36"/>
      <c r="F13389" s="178"/>
      <c r="G13389" s="496"/>
      <c r="H13389" s="1328"/>
      <c r="I13389" s="11"/>
    </row>
    <row r="13390" spans="1:9" ht="9" customHeight="1">
      <c r="A13390" s="162" t="s">
        <v>17764</v>
      </c>
      <c r="B13390" s="1353" t="s">
        <v>17765</v>
      </c>
      <c r="C13390" s="147"/>
      <c r="D13390" s="161"/>
      <c r="E13390" s="36"/>
      <c r="F13390" s="178"/>
      <c r="G13390" s="496"/>
      <c r="H13390" s="1328"/>
      <c r="I13390" s="11"/>
    </row>
    <row r="13391" spans="1:9" ht="11.15" customHeight="1">
      <c r="A13391" s="162" t="s">
        <v>17766</v>
      </c>
      <c r="B13391" s="1351" t="s">
        <v>17767</v>
      </c>
      <c r="C13391" s="147"/>
      <c r="D13391" s="129"/>
      <c r="E13391" s="185"/>
      <c r="F13391" s="185"/>
      <c r="G13391" s="185"/>
      <c r="H13391" s="1326"/>
      <c r="I13391" s="11"/>
    </row>
    <row r="13392" spans="1:9" ht="9" customHeight="1">
      <c r="A13392" s="162" t="s">
        <v>17768</v>
      </c>
      <c r="B13392" s="1329" t="s">
        <v>17769</v>
      </c>
      <c r="C13392" s="147"/>
      <c r="D13392" s="129"/>
      <c r="E13392" s="185"/>
      <c r="F13392" s="185"/>
      <c r="G13392" s="185"/>
      <c r="H13392" s="1326"/>
      <c r="I13392" s="11"/>
    </row>
    <row r="13393" spans="1:9" ht="9" customHeight="1">
      <c r="A13393" s="355" t="s">
        <v>17770</v>
      </c>
      <c r="B13393" s="1353" t="s">
        <v>17771</v>
      </c>
      <c r="C13393" s="147"/>
      <c r="D13393" s="129"/>
      <c r="E13393" s="185"/>
      <c r="F13393" s="185"/>
      <c r="G13393" s="185"/>
      <c r="H13393" s="1326"/>
      <c r="I13393" s="11"/>
    </row>
    <row r="13394" spans="1:9" ht="9" customHeight="1">
      <c r="A13394" s="162" t="s">
        <v>17772</v>
      </c>
      <c r="B13394" s="1353" t="s">
        <v>17773</v>
      </c>
      <c r="C13394" s="147"/>
      <c r="D13394" s="129"/>
      <c r="E13394" s="185"/>
      <c r="F13394" s="185"/>
      <c r="G13394" s="185"/>
      <c r="H13394" s="1326"/>
      <c r="I13394" s="11"/>
    </row>
    <row r="13395" spans="1:9" ht="9" customHeight="1">
      <c r="A13395" s="162" t="s">
        <v>17774</v>
      </c>
      <c r="B13395" s="1353" t="s">
        <v>17775</v>
      </c>
      <c r="C13395" s="147"/>
      <c r="D13395" s="129"/>
      <c r="E13395" s="185"/>
      <c r="F13395" s="185"/>
      <c r="G13395" s="185"/>
      <c r="H13395" s="1326"/>
      <c r="I13395" s="11"/>
    </row>
    <row r="13396" spans="1:9" ht="9" customHeight="1">
      <c r="A13396" s="162" t="s">
        <v>17776</v>
      </c>
      <c r="B13396" s="1353" t="s">
        <v>17777</v>
      </c>
      <c r="C13396" s="147"/>
      <c r="D13396" s="129"/>
      <c r="E13396" s="185"/>
      <c r="F13396" s="185"/>
      <c r="G13396" s="185"/>
      <c r="H13396" s="1326"/>
      <c r="I13396" s="11"/>
    </row>
    <row r="13397" spans="1:9" ht="9" customHeight="1">
      <c r="A13397" s="129" t="s">
        <v>17778</v>
      </c>
      <c r="B13397" s="1353" t="s">
        <v>17779</v>
      </c>
      <c r="C13397" s="147"/>
      <c r="D13397" s="129"/>
      <c r="E13397" s="185"/>
      <c r="F13397" s="185"/>
      <c r="G13397" s="185"/>
      <c r="H13397" s="1326"/>
      <c r="I13397" s="11"/>
    </row>
    <row r="13398" spans="1:9" ht="9" customHeight="1">
      <c r="A13398" s="638" t="s">
        <v>17780</v>
      </c>
      <c r="B13398" s="1335"/>
      <c r="C13398" s="147"/>
      <c r="D13398" s="129"/>
      <c r="E13398" s="185"/>
      <c r="F13398" s="185"/>
      <c r="G13398" s="185"/>
      <c r="H13398" s="1326"/>
      <c r="I13398" s="11"/>
    </row>
    <row r="13399" spans="1:9" ht="9" customHeight="1">
      <c r="A13399" s="162" t="s">
        <v>17781</v>
      </c>
      <c r="B13399" s="1330" t="s">
        <v>17782</v>
      </c>
      <c r="C13399" s="147"/>
      <c r="D13399" s="129"/>
      <c r="E13399" s="185"/>
      <c r="F13399" s="185"/>
      <c r="G13399" s="185"/>
      <c r="H13399" s="1326"/>
      <c r="I13399" s="11"/>
    </row>
    <row r="13400" spans="1:9" ht="11.15" customHeight="1">
      <c r="A13400" s="162" t="s">
        <v>17733</v>
      </c>
      <c r="B13400" s="1351" t="s">
        <v>17783</v>
      </c>
      <c r="C13400" s="147"/>
      <c r="D13400" s="162"/>
      <c r="E13400" s="162"/>
      <c r="F13400" s="162"/>
      <c r="G13400" s="162"/>
      <c r="H13400" s="1331"/>
      <c r="I13400" s="11"/>
    </row>
    <row r="13401" spans="1:9" ht="9" customHeight="1">
      <c r="A13401" s="162" t="s">
        <v>17784</v>
      </c>
      <c r="B13401" s="1351" t="s">
        <v>17785</v>
      </c>
      <c r="C13401" s="147"/>
      <c r="D13401" s="162"/>
      <c r="E13401" s="162"/>
      <c r="F13401" s="162"/>
      <c r="G13401" s="162"/>
      <c r="H13401" s="1331"/>
      <c r="I13401" s="11"/>
    </row>
    <row r="13402" spans="1:9" ht="9" customHeight="1">
      <c r="A13402" s="355" t="s">
        <v>17786</v>
      </c>
      <c r="B13402" s="1351" t="s">
        <v>17787</v>
      </c>
      <c r="C13402" s="147"/>
      <c r="D13402" s="185"/>
      <c r="E13402" s="185"/>
      <c r="F13402" s="185"/>
      <c r="G13402" s="185"/>
      <c r="H13402" s="1326"/>
      <c r="I13402" s="11"/>
    </row>
    <row r="13403" spans="1:9" ht="9" customHeight="1">
      <c r="A13403" s="162" t="s">
        <v>17788</v>
      </c>
      <c r="B13403" s="1351" t="s">
        <v>17789</v>
      </c>
      <c r="C13403" s="147"/>
      <c r="D13403" s="185"/>
      <c r="E13403" s="185"/>
      <c r="F13403" s="185"/>
      <c r="G13403" s="185"/>
      <c r="H13403" s="1326"/>
      <c r="I13403" s="11"/>
    </row>
    <row r="13404" spans="1:9" ht="9" customHeight="1">
      <c r="A13404" s="162" t="s">
        <v>17790</v>
      </c>
      <c r="B13404" s="1351" t="s">
        <v>17791</v>
      </c>
      <c r="C13404" s="147"/>
      <c r="D13404" s="185"/>
      <c r="E13404" s="185"/>
      <c r="F13404" s="185"/>
      <c r="G13404" s="185"/>
      <c r="H13404" s="1326"/>
      <c r="I13404" s="11"/>
    </row>
    <row r="13405" spans="1:9" ht="9" customHeight="1">
      <c r="A13405" s="355" t="s">
        <v>17792</v>
      </c>
      <c r="B13405" s="1351" t="s">
        <v>17793</v>
      </c>
      <c r="C13405" s="147"/>
      <c r="D13405" s="185"/>
      <c r="E13405" s="185"/>
      <c r="F13405" s="185"/>
      <c r="G13405" s="185"/>
      <c r="H13405" s="1326"/>
      <c r="I13405" s="11"/>
    </row>
    <row r="13406" spans="1:9" ht="9" customHeight="1">
      <c r="A13406" s="162" t="s">
        <v>17794</v>
      </c>
      <c r="B13406" s="1352" t="s">
        <v>17795</v>
      </c>
      <c r="C13406" s="147"/>
      <c r="D13406" s="185"/>
      <c r="E13406" s="185"/>
      <c r="F13406" s="185"/>
      <c r="G13406" s="185"/>
      <c r="H13406" s="1326"/>
      <c r="I13406" s="11"/>
    </row>
    <row r="13407" spans="1:9" ht="9" customHeight="1">
      <c r="A13407" s="355" t="s">
        <v>17796</v>
      </c>
      <c r="B13407" s="1352" t="s">
        <v>17797</v>
      </c>
      <c r="C13407" s="147"/>
      <c r="D13407" s="185"/>
      <c r="E13407" s="185"/>
      <c r="F13407" s="185"/>
      <c r="G13407" s="185"/>
      <c r="H13407" s="1326"/>
      <c r="I13407" s="11"/>
    </row>
    <row r="13408" spans="1:9" ht="9" customHeight="1">
      <c r="A13408" s="162" t="s">
        <v>17798</v>
      </c>
      <c r="B13408" s="1327"/>
      <c r="C13408" s="147"/>
      <c r="D13408" s="185"/>
      <c r="E13408" s="185"/>
      <c r="F13408" s="185"/>
      <c r="G13408" s="185"/>
      <c r="H13408" s="1326"/>
      <c r="I13408" s="11"/>
    </row>
    <row r="13409" spans="1:9" ht="9" customHeight="1">
      <c r="A13409" s="162" t="s">
        <v>17799</v>
      </c>
      <c r="B13409" s="1325" t="s">
        <v>17800</v>
      </c>
      <c r="C13409" s="147"/>
      <c r="D13409" s="185"/>
      <c r="E13409" s="185"/>
      <c r="F13409" s="185"/>
      <c r="G13409" s="185"/>
      <c r="H13409" s="1326"/>
      <c r="I13409" s="11"/>
    </row>
    <row r="13410" spans="1:9" ht="9" customHeight="1">
      <c r="A13410" s="129" t="s">
        <v>1308</v>
      </c>
      <c r="B13410" s="1353" t="s">
        <v>17801</v>
      </c>
      <c r="C13410" s="147"/>
      <c r="D13410" s="185"/>
      <c r="E13410" s="185"/>
      <c r="F13410" s="185"/>
      <c r="G13410" s="185"/>
      <c r="H13410" s="1326"/>
      <c r="I13410" s="11"/>
    </row>
    <row r="13411" spans="1:9" ht="9" customHeight="1">
      <c r="A13411" s="162" t="s">
        <v>17802</v>
      </c>
      <c r="B13411" s="1353" t="s">
        <v>17803</v>
      </c>
      <c r="C13411" s="147"/>
      <c r="D13411" s="129"/>
      <c r="E13411" s="185"/>
      <c r="F13411" s="185"/>
      <c r="G13411" s="185"/>
      <c r="H13411" s="1326"/>
      <c r="I13411" s="11"/>
    </row>
    <row r="13412" spans="1:9" ht="9" customHeight="1">
      <c r="A13412" s="162" t="s">
        <v>17804</v>
      </c>
      <c r="B13412" s="1353" t="s">
        <v>17805</v>
      </c>
      <c r="C13412" s="147"/>
      <c r="D13412" s="129"/>
      <c r="E13412" s="185"/>
      <c r="F13412" s="185"/>
      <c r="G13412" s="185"/>
      <c r="H13412" s="1326"/>
      <c r="I13412" s="11"/>
    </row>
    <row r="13413" spans="1:9" ht="9" customHeight="1">
      <c r="A13413" s="162" t="s">
        <v>17806</v>
      </c>
      <c r="B13413" s="1353" t="s">
        <v>17807</v>
      </c>
      <c r="C13413" s="147"/>
      <c r="D13413" s="161"/>
      <c r="E13413" s="36"/>
      <c r="F13413" s="178"/>
      <c r="G13413" s="496"/>
      <c r="H13413" s="1328"/>
      <c r="I13413" s="11"/>
    </row>
    <row r="13414" spans="1:9" ht="11.15" customHeight="1">
      <c r="A13414" s="162" t="s">
        <v>17808</v>
      </c>
      <c r="B13414" s="1353" t="s">
        <v>17809</v>
      </c>
      <c r="C13414" s="147"/>
      <c r="D13414" s="122"/>
      <c r="E13414" s="36"/>
      <c r="F13414" s="178"/>
      <c r="G13414" s="1217"/>
      <c r="H13414" s="1328"/>
      <c r="I13414" s="11"/>
    </row>
    <row r="13415" spans="1:9" ht="11.15" customHeight="1">
      <c r="A13415" s="162" t="s">
        <v>17810</v>
      </c>
      <c r="B13415" s="1353" t="s">
        <v>17811</v>
      </c>
      <c r="C13415" s="147"/>
      <c r="D13415" s="122"/>
      <c r="E13415" s="36"/>
      <c r="F13415" s="178"/>
      <c r="G13415" s="1217"/>
      <c r="H13415" s="1328"/>
      <c r="I13415" s="11"/>
    </row>
    <row r="13416" spans="1:9" ht="11.15" customHeight="1">
      <c r="A13416" s="162" t="s">
        <v>17812</v>
      </c>
      <c r="B13416" s="1353" t="s">
        <v>17813</v>
      </c>
      <c r="C13416" s="147"/>
      <c r="D13416" s="122"/>
      <c r="E13416" s="36"/>
      <c r="F13416" s="178"/>
      <c r="G13416" s="1217"/>
      <c r="H13416" s="1328"/>
      <c r="I13416" s="11"/>
    </row>
    <row r="13417" spans="1:9" ht="11.15" customHeight="1">
      <c r="A13417" s="162" t="s">
        <v>17814</v>
      </c>
      <c r="B13417" s="1353" t="s">
        <v>17815</v>
      </c>
      <c r="C13417" s="147"/>
      <c r="D13417" s="161"/>
      <c r="E13417" s="36"/>
      <c r="F13417" s="178"/>
      <c r="G13417" s="496"/>
      <c r="H13417" s="1328"/>
      <c r="I13417" s="11"/>
    </row>
    <row r="13418" spans="1:9" ht="11.15" customHeight="1">
      <c r="A13418" s="162" t="s">
        <v>17816</v>
      </c>
      <c r="B13418" s="1353" t="s">
        <v>17817</v>
      </c>
      <c r="C13418" s="147"/>
      <c r="D13418" s="161"/>
      <c r="E13418" s="36"/>
      <c r="F13418" s="178"/>
      <c r="G13418" s="496"/>
      <c r="H13418" s="1328"/>
      <c r="I13418" s="11"/>
    </row>
    <row r="13419" spans="1:9" ht="11.15" customHeight="1">
      <c r="A13419" s="162" t="s">
        <v>17818</v>
      </c>
      <c r="B13419" s="1353" t="s">
        <v>17819</v>
      </c>
      <c r="C13419" s="147"/>
      <c r="D13419" s="161"/>
      <c r="E13419" s="36"/>
      <c r="F13419" s="178"/>
      <c r="G13419" s="496"/>
      <c r="H13419" s="1328"/>
      <c r="I13419" s="11"/>
    </row>
    <row r="13420" spans="1:9" ht="11.15" customHeight="1">
      <c r="A13420" s="162" t="s">
        <v>17820</v>
      </c>
      <c r="B13420" s="1332"/>
      <c r="C13420" s="147"/>
      <c r="D13420" s="161"/>
      <c r="E13420" s="36"/>
      <c r="F13420" s="178"/>
      <c r="G13420" s="496"/>
      <c r="H13420" s="1328"/>
      <c r="I13420" s="11"/>
    </row>
    <row r="13421" spans="1:9" ht="11.15" customHeight="1">
      <c r="A13421" s="162" t="s">
        <v>17821</v>
      </c>
      <c r="B13421" s="1325" t="s">
        <v>17822</v>
      </c>
      <c r="C13421" s="147"/>
      <c r="D13421" s="161"/>
      <c r="E13421" s="36"/>
      <c r="F13421" s="178"/>
      <c r="G13421" s="496"/>
      <c r="H13421" s="1328"/>
      <c r="I13421" s="11"/>
    </row>
    <row r="13422" spans="1:9" ht="11.15" customHeight="1">
      <c r="A13422" s="162" t="s">
        <v>17823</v>
      </c>
      <c r="B13422" s="1350" t="s">
        <v>17824</v>
      </c>
      <c r="C13422" s="147"/>
      <c r="D13422" s="161"/>
      <c r="E13422" s="36"/>
      <c r="F13422" s="178"/>
      <c r="G13422" s="496"/>
      <c r="H13422" s="1328"/>
      <c r="I13422" s="11"/>
    </row>
    <row r="13423" spans="1:9" ht="11.15" customHeight="1">
      <c r="A13423" s="162" t="s">
        <v>17825</v>
      </c>
      <c r="B13423" s="1350" t="s">
        <v>17826</v>
      </c>
      <c r="C13423" s="147"/>
      <c r="D13423" s="161"/>
      <c r="E13423" s="36"/>
      <c r="F13423" s="178"/>
      <c r="G13423" s="496"/>
      <c r="H13423" s="1328"/>
      <c r="I13423" s="11"/>
    </row>
    <row r="13424" spans="1:9" ht="11.15" customHeight="1">
      <c r="A13424" s="162" t="s">
        <v>17827</v>
      </c>
      <c r="B13424" s="1333" t="s">
        <v>17828</v>
      </c>
      <c r="C13424" s="147"/>
      <c r="D13424" s="161"/>
      <c r="E13424" s="36"/>
      <c r="F13424" s="178"/>
      <c r="G13424" s="496"/>
      <c r="H13424" s="1328"/>
      <c r="I13424" s="11"/>
    </row>
    <row r="13425" spans="1:9" ht="11.15" customHeight="1">
      <c r="A13425" s="162" t="s">
        <v>17829</v>
      </c>
      <c r="B13425" s="1333" t="s">
        <v>17830</v>
      </c>
      <c r="C13425" s="147"/>
      <c r="D13425" s="161"/>
      <c r="E13425" s="36"/>
      <c r="F13425" s="178"/>
      <c r="G13425" s="496"/>
      <c r="H13425" s="1328"/>
      <c r="I13425" s="11"/>
    </row>
    <row r="13426" spans="1:9" ht="11.15" customHeight="1">
      <c r="A13426" s="162" t="s">
        <v>17831</v>
      </c>
      <c r="B13426" s="1353" t="s">
        <v>17832</v>
      </c>
      <c r="C13426" s="147"/>
      <c r="D13426" s="161"/>
      <c r="E13426" s="36"/>
      <c r="F13426" s="178"/>
      <c r="G13426" s="496"/>
      <c r="H13426" s="1328"/>
      <c r="I13426" s="11"/>
    </row>
    <row r="13427" spans="1:9" ht="11.15" customHeight="1">
      <c r="A13427" s="162" t="s">
        <v>17833</v>
      </c>
      <c r="B13427" s="1350" t="s">
        <v>17834</v>
      </c>
      <c r="C13427" s="147"/>
      <c r="D13427" s="161"/>
      <c r="E13427" s="36"/>
      <c r="F13427" s="178"/>
      <c r="G13427" s="496"/>
      <c r="H13427" s="1328"/>
      <c r="I13427" s="11"/>
    </row>
    <row r="13428" spans="1:9" ht="11.15" customHeight="1">
      <c r="A13428" s="162" t="s">
        <v>9829</v>
      </c>
      <c r="B13428" s="1350" t="s">
        <v>17835</v>
      </c>
      <c r="C13428" s="147"/>
      <c r="D13428" s="161"/>
      <c r="E13428" s="36"/>
      <c r="F13428" s="178"/>
      <c r="G13428" s="496"/>
      <c r="H13428" s="1328"/>
      <c r="I13428" s="11"/>
    </row>
    <row r="13429" spans="1:9" ht="11.15" customHeight="1">
      <c r="A13429" s="166" t="s">
        <v>17836</v>
      </c>
      <c r="B13429" s="1350" t="s">
        <v>17837</v>
      </c>
      <c r="C13429" s="147"/>
      <c r="D13429" s="161"/>
      <c r="E13429" s="36"/>
      <c r="F13429" s="178"/>
      <c r="G13429" s="496"/>
      <c r="H13429" s="1328"/>
      <c r="I13429" s="11"/>
    </row>
    <row r="13430" spans="1:9" ht="11.15" customHeight="1">
      <c r="A13430" s="129" t="s">
        <v>17838</v>
      </c>
      <c r="B13430" s="1350" t="s">
        <v>17839</v>
      </c>
      <c r="C13430" s="147"/>
      <c r="D13430" s="161"/>
      <c r="E13430" s="36"/>
      <c r="F13430" s="178"/>
      <c r="G13430" s="496"/>
      <c r="H13430" s="1328"/>
      <c r="I13430" s="11"/>
    </row>
    <row r="13431" spans="1:9" ht="11.15" customHeight="1">
      <c r="A13431" s="129" t="s">
        <v>17840</v>
      </c>
      <c r="B13431" s="1350" t="s">
        <v>17841</v>
      </c>
      <c r="C13431" s="147"/>
      <c r="D13431" s="161"/>
      <c r="E13431" s="36"/>
      <c r="F13431" s="178"/>
      <c r="G13431" s="496"/>
      <c r="H13431" s="1328"/>
      <c r="I13431" s="11"/>
    </row>
    <row r="13432" spans="1:9" ht="11.15" customHeight="1">
      <c r="A13432" s="129"/>
      <c r="B13432" s="1332"/>
      <c r="C13432" s="147"/>
      <c r="D13432" s="161"/>
      <c r="E13432" s="36"/>
      <c r="F13432" s="178"/>
      <c r="G13432" s="496"/>
      <c r="H13432" s="1328"/>
      <c r="I13432" s="11"/>
    </row>
    <row r="13433" spans="1:9" ht="11.15" customHeight="1">
      <c r="A13433" s="129"/>
      <c r="B13433" s="1325" t="s">
        <v>17842</v>
      </c>
      <c r="C13433" s="147"/>
      <c r="D13433" s="161"/>
      <c r="E13433" s="36"/>
      <c r="F13433" s="178"/>
      <c r="G13433" s="496"/>
      <c r="H13433" s="1328"/>
      <c r="I13433" s="11"/>
    </row>
    <row r="13434" spans="1:9" ht="11.15" customHeight="1">
      <c r="A13434" s="129"/>
      <c r="B13434" s="1350" t="s">
        <v>17843</v>
      </c>
      <c r="C13434" s="147"/>
      <c r="D13434" s="161"/>
      <c r="E13434" s="36"/>
      <c r="F13434" s="178"/>
      <c r="G13434" s="496"/>
      <c r="H13434" s="1328"/>
      <c r="I13434" s="11"/>
    </row>
    <row r="13435" spans="1:9" ht="11.15" customHeight="1">
      <c r="A13435" s="129"/>
      <c r="B13435" s="1333" t="s">
        <v>17844</v>
      </c>
      <c r="C13435" s="147"/>
      <c r="D13435" s="161"/>
      <c r="E13435" s="36"/>
      <c r="F13435" s="178"/>
      <c r="G13435" s="496"/>
      <c r="H13435" s="1328"/>
      <c r="I13435" s="11"/>
    </row>
    <row r="13436" spans="1:9" ht="11.15" customHeight="1">
      <c r="A13436" s="129"/>
      <c r="B13436" s="1333" t="s">
        <v>17845</v>
      </c>
      <c r="C13436" s="147"/>
      <c r="D13436" s="161"/>
      <c r="E13436" s="36"/>
      <c r="F13436" s="178"/>
      <c r="G13436" s="496"/>
      <c r="H13436" s="1328"/>
      <c r="I13436" s="11"/>
    </row>
    <row r="13437" spans="1:9" ht="11.15" customHeight="1">
      <c r="A13437" s="129"/>
      <c r="B13437" s="1353" t="s">
        <v>17846</v>
      </c>
      <c r="C13437" s="147"/>
      <c r="D13437" s="161"/>
      <c r="E13437" s="36"/>
      <c r="F13437" s="178"/>
      <c r="G13437" s="496"/>
      <c r="H13437" s="1328"/>
      <c r="I13437" s="11"/>
    </row>
    <row r="13438" spans="1:9" ht="11.15" customHeight="1">
      <c r="A13438" s="129"/>
      <c r="B13438" s="1353" t="s">
        <v>17847</v>
      </c>
      <c r="C13438" s="147"/>
      <c r="D13438" s="161"/>
      <c r="E13438" s="36"/>
      <c r="F13438" s="178"/>
      <c r="G13438" s="496"/>
      <c r="H13438" s="1328"/>
      <c r="I13438" s="11"/>
    </row>
    <row r="13439" spans="1:9" ht="11.15" customHeight="1">
      <c r="A13439" s="129"/>
      <c r="B13439" s="1350" t="s">
        <v>17848</v>
      </c>
      <c r="C13439" s="147"/>
      <c r="D13439" s="161"/>
      <c r="E13439" s="36"/>
      <c r="F13439" s="178"/>
      <c r="G13439" s="496"/>
      <c r="H13439" s="1328"/>
      <c r="I13439" s="11"/>
    </row>
    <row r="13440" spans="1:9" ht="11.15" customHeight="1">
      <c r="A13440" s="129"/>
      <c r="B13440" s="1350" t="s">
        <v>17849</v>
      </c>
      <c r="C13440" s="147"/>
      <c r="D13440" s="161"/>
      <c r="E13440" s="36"/>
      <c r="F13440" s="178"/>
      <c r="G13440" s="496"/>
      <c r="H13440" s="1328"/>
      <c r="I13440" s="11"/>
    </row>
    <row r="13441" spans="1:9" ht="11.15" customHeight="1">
      <c r="A13441" s="129"/>
      <c r="B13441" s="1333" t="s">
        <v>17850</v>
      </c>
      <c r="C13441" s="147"/>
      <c r="D13441" s="161"/>
      <c r="E13441" s="36"/>
      <c r="F13441" s="178"/>
      <c r="G13441" s="496"/>
      <c r="H13441" s="1328"/>
      <c r="I13441" s="11"/>
    </row>
    <row r="13442" spans="1:9" ht="11.15" customHeight="1">
      <c r="A13442" s="129"/>
      <c r="B13442" s="1333" t="s">
        <v>17851</v>
      </c>
      <c r="C13442" s="147"/>
      <c r="D13442" s="161"/>
      <c r="E13442" s="36"/>
      <c r="F13442" s="178"/>
      <c r="G13442" s="496"/>
      <c r="H13442" s="1328"/>
      <c r="I13442" s="11"/>
    </row>
    <row r="13443" spans="1:9" ht="11.15" customHeight="1">
      <c r="A13443" s="129"/>
      <c r="B13443" s="1350" t="s">
        <v>17852</v>
      </c>
      <c r="C13443" s="147"/>
      <c r="D13443" s="161"/>
      <c r="E13443" s="36"/>
      <c r="F13443" s="178"/>
      <c r="G13443" s="496"/>
      <c r="H13443" s="1328"/>
      <c r="I13443" s="11"/>
    </row>
    <row r="13444" spans="1:9" ht="11.15" customHeight="1">
      <c r="A13444" s="129"/>
      <c r="B13444" s="1350" t="s">
        <v>17853</v>
      </c>
      <c r="C13444" s="147"/>
      <c r="D13444" s="161"/>
      <c r="E13444" s="36"/>
      <c r="F13444" s="178"/>
      <c r="G13444" s="496"/>
      <c r="H13444" s="1328"/>
      <c r="I13444" s="11"/>
    </row>
    <row r="13445" spans="1:9" ht="11.15" customHeight="1">
      <c r="A13445" s="129"/>
      <c r="B13445" s="1350" t="s">
        <v>17854</v>
      </c>
      <c r="C13445" s="147"/>
      <c r="D13445" s="161"/>
      <c r="E13445" s="36"/>
      <c r="F13445" s="178"/>
      <c r="G13445" s="496"/>
      <c r="H13445" s="1328"/>
      <c r="I13445" s="11"/>
    </row>
    <row r="13446" spans="1:9" ht="11.15" customHeight="1">
      <c r="A13446" s="129"/>
      <c r="B13446" s="1353" t="s">
        <v>17855</v>
      </c>
      <c r="C13446" s="147"/>
      <c r="D13446" s="161"/>
      <c r="E13446" s="36"/>
      <c r="F13446" s="178"/>
      <c r="G13446" s="496"/>
      <c r="H13446" s="1328"/>
      <c r="I13446" s="11"/>
    </row>
    <row r="13447" spans="1:9" ht="11.15" customHeight="1" thickBot="1">
      <c r="A13447" s="129"/>
      <c r="B13447" s="1354" t="s">
        <v>17856</v>
      </c>
      <c r="C13447" s="448"/>
      <c r="D13447" s="449"/>
      <c r="E13447" s="450"/>
      <c r="F13447" s="1079"/>
      <c r="G13447" s="1220"/>
      <c r="H13447" s="1334"/>
      <c r="I13447" s="11"/>
    </row>
    <row r="13448" spans="1:9" ht="11.15" customHeight="1">
      <c r="A13448" s="129"/>
      <c r="B13448" s="5"/>
      <c r="C13448" s="147"/>
      <c r="D13448" s="161"/>
      <c r="E13448" s="36"/>
      <c r="F13448" s="178"/>
      <c r="G13448" s="496"/>
      <c r="H13448" s="36"/>
      <c r="I13448" s="11"/>
    </row>
    <row r="13449" spans="1:9" ht="11.15" customHeight="1">
      <c r="A13449" s="129"/>
      <c r="B13449" s="5"/>
      <c r="C13449" s="147"/>
      <c r="D13449" s="161"/>
      <c r="E13449" s="36"/>
      <c r="F13449" s="178"/>
      <c r="G13449" s="496"/>
      <c r="H13449" s="36"/>
      <c r="I13449" s="11"/>
    </row>
    <row r="13450" spans="1:9" ht="11.15" customHeight="1">
      <c r="A13450" s="29"/>
      <c r="B13450" s="413" t="s">
        <v>17857</v>
      </c>
      <c r="C13450" s="147"/>
      <c r="D13450" s="161"/>
      <c r="E13450" s="36"/>
      <c r="F13450" s="178"/>
      <c r="G13450" s="496"/>
      <c r="H13450" s="36"/>
      <c r="I13450" s="11"/>
    </row>
    <row r="13451" spans="1:9" ht="9" customHeight="1">
      <c r="A13451" s="29"/>
      <c r="B13451" s="672" t="s">
        <v>17858</v>
      </c>
      <c r="C13451" s="147"/>
      <c r="D13451" s="161"/>
      <c r="E13451" s="36"/>
      <c r="F13451" s="178"/>
      <c r="G13451" s="496"/>
      <c r="H13451" s="36"/>
      <c r="I13451" s="11"/>
    </row>
    <row r="13452" spans="1:9" ht="9" customHeight="1">
      <c r="A13452" s="212"/>
      <c r="B13452" s="1348" t="s">
        <v>17859</v>
      </c>
      <c r="C13452" s="147"/>
      <c r="D13452" s="129"/>
      <c r="E13452" s="185"/>
      <c r="F13452" s="185"/>
      <c r="G13452" s="185"/>
      <c r="H13452" s="185"/>
      <c r="I13452" s="11"/>
    </row>
    <row r="13453" spans="1:9" ht="9" customHeight="1">
      <c r="A13453" s="185"/>
      <c r="B13453" s="150" t="s">
        <v>17860</v>
      </c>
      <c r="C13453" s="147"/>
      <c r="D13453" s="161"/>
      <c r="E13453" s="36"/>
      <c r="F13453" s="178"/>
      <c r="G13453" s="496"/>
      <c r="H13453" s="36"/>
      <c r="I13453" s="11"/>
    </row>
    <row r="13454" spans="1:9" ht="9" customHeight="1">
      <c r="A13454" s="185"/>
      <c r="B13454" s="150" t="s">
        <v>17861</v>
      </c>
      <c r="C13454" s="147"/>
      <c r="D13454" s="161"/>
      <c r="E13454" s="36"/>
      <c r="F13454" s="178"/>
      <c r="G13454" s="496"/>
      <c r="H13454" s="36"/>
      <c r="I13454" s="11"/>
    </row>
    <row r="13455" spans="1:9" ht="9" customHeight="1">
      <c r="A13455" s="185"/>
      <c r="B13455" s="150" t="s">
        <v>17862</v>
      </c>
      <c r="C13455" s="147"/>
      <c r="D13455" s="161"/>
      <c r="E13455" s="36"/>
      <c r="F13455" s="178"/>
      <c r="G13455" s="496"/>
      <c r="H13455" s="36"/>
      <c r="I13455" s="11"/>
    </row>
    <row r="13456" spans="1:9" ht="9" customHeight="1">
      <c r="A13456" s="185"/>
      <c r="B13456" s="1348" t="s">
        <v>17863</v>
      </c>
      <c r="C13456" s="147"/>
      <c r="D13456" s="161"/>
      <c r="E13456" s="36"/>
      <c r="F13456" s="178"/>
      <c r="G13456" s="496"/>
      <c r="H13456" s="36"/>
      <c r="I13456" s="11"/>
    </row>
    <row r="13457" spans="1:9" ht="9" customHeight="1">
      <c r="A13457" s="185"/>
      <c r="B13457" s="1348" t="s">
        <v>17864</v>
      </c>
      <c r="C13457" s="147"/>
      <c r="D13457" s="161"/>
      <c r="E13457" s="36"/>
      <c r="F13457" s="178"/>
      <c r="G13457" s="496"/>
      <c r="H13457" s="36"/>
      <c r="I13457" s="11"/>
    </row>
    <row r="13458" spans="1:9" ht="9" customHeight="1">
      <c r="A13458" s="185"/>
      <c r="B13458" s="1348" t="s">
        <v>17865</v>
      </c>
      <c r="C13458" s="147"/>
      <c r="D13458" s="161"/>
      <c r="E13458" s="36"/>
      <c r="F13458" s="178"/>
      <c r="G13458" s="496"/>
      <c r="H13458" s="36"/>
      <c r="I13458" s="11"/>
    </row>
    <row r="13459" spans="1:9" ht="9" customHeight="1">
      <c r="A13459" s="185"/>
      <c r="B13459" s="150" t="s">
        <v>17866</v>
      </c>
      <c r="C13459" s="147"/>
      <c r="D13459" s="161"/>
      <c r="E13459" s="36"/>
      <c r="F13459" s="178"/>
      <c r="G13459" s="496"/>
      <c r="H13459" s="36"/>
      <c r="I13459" s="11"/>
    </row>
    <row r="13460" spans="1:9" ht="9" customHeight="1">
      <c r="A13460" s="185"/>
      <c r="B13460" s="150" t="s">
        <v>17867</v>
      </c>
      <c r="C13460" s="147"/>
      <c r="D13460" s="161"/>
      <c r="E13460" s="36"/>
      <c r="F13460" s="178"/>
      <c r="G13460" s="496"/>
      <c r="H13460" s="36"/>
      <c r="I13460" s="11"/>
    </row>
    <row r="13461" spans="1:9" ht="9" customHeight="1">
      <c r="A13461" s="185"/>
      <c r="B13461" s="150" t="s">
        <v>17868</v>
      </c>
      <c r="C13461" s="147"/>
      <c r="D13461" s="129"/>
      <c r="E13461" s="185"/>
      <c r="F13461" s="185"/>
      <c r="G13461" s="185"/>
      <c r="H13461" s="185"/>
      <c r="I13461" s="11"/>
    </row>
    <row r="13462" spans="1:9" ht="9" customHeight="1">
      <c r="A13462" s="185"/>
      <c r="B13462" s="150" t="s">
        <v>17869</v>
      </c>
      <c r="C13462" s="147"/>
      <c r="D13462" s="129"/>
      <c r="E13462" s="185"/>
      <c r="F13462" s="185"/>
      <c r="G13462" s="185"/>
      <c r="H13462" s="185"/>
      <c r="I13462" s="11"/>
    </row>
    <row r="13463" spans="1:9" ht="9" customHeight="1">
      <c r="A13463" s="185"/>
      <c r="B13463" s="150" t="s">
        <v>17870</v>
      </c>
      <c r="C13463" s="147"/>
      <c r="D13463" s="129"/>
      <c r="E13463" s="185"/>
      <c r="F13463" s="185"/>
      <c r="G13463" s="185"/>
      <c r="H13463" s="185"/>
      <c r="I13463" s="11"/>
    </row>
    <row r="13464" spans="1:9" ht="9" customHeight="1">
      <c r="A13464" s="29"/>
      <c r="B13464" s="150" t="s">
        <v>17871</v>
      </c>
      <c r="C13464" s="147"/>
      <c r="D13464" s="161"/>
      <c r="E13464" s="36"/>
      <c r="F13464" s="178"/>
      <c r="G13464" s="496"/>
      <c r="H13464" s="36"/>
      <c r="I13464" s="11"/>
    </row>
    <row r="13465" spans="1:9" ht="9" customHeight="1">
      <c r="A13465" s="185"/>
      <c r="B13465" s="150" t="s">
        <v>17872</v>
      </c>
      <c r="C13465" s="147"/>
      <c r="D13465" s="161"/>
      <c r="E13465" s="36"/>
      <c r="F13465" s="178"/>
      <c r="G13465" s="496"/>
      <c r="H13465" s="36"/>
      <c r="I13465" s="11"/>
    </row>
    <row r="13466" spans="1:9" ht="9" customHeight="1">
      <c r="A13466" s="185"/>
      <c r="B13466" s="150" t="s">
        <v>17873</v>
      </c>
      <c r="C13466" s="147"/>
      <c r="D13466" s="161"/>
      <c r="E13466" s="36"/>
      <c r="F13466" s="178"/>
      <c r="G13466" s="496"/>
      <c r="H13466" s="36"/>
      <c r="I13466" s="11"/>
    </row>
    <row r="13467" spans="1:9" ht="9" customHeight="1">
      <c r="A13467" s="185"/>
      <c r="B13467" s="1348" t="s">
        <v>17874</v>
      </c>
      <c r="C13467" s="147"/>
      <c r="D13467" s="161"/>
      <c r="E13467" s="36"/>
      <c r="F13467" s="178"/>
      <c r="G13467" s="496"/>
      <c r="H13467" s="36"/>
      <c r="I13467" s="11"/>
    </row>
    <row r="13468" spans="1:9" ht="9" customHeight="1">
      <c r="A13468" s="185"/>
      <c r="B13468" s="1348" t="s">
        <v>17875</v>
      </c>
      <c r="C13468" s="147"/>
      <c r="D13468" s="161"/>
      <c r="E13468" s="36"/>
      <c r="F13468" s="178"/>
      <c r="G13468" s="496"/>
      <c r="H13468" s="36"/>
      <c r="I13468" s="11"/>
    </row>
    <row r="13469" spans="1:9" ht="9" customHeight="1">
      <c r="A13469" s="185"/>
      <c r="B13469" s="1348" t="s">
        <v>17876</v>
      </c>
      <c r="C13469" s="147"/>
      <c r="D13469" s="161"/>
      <c r="E13469" s="36"/>
      <c r="F13469" s="178"/>
      <c r="G13469" s="496"/>
      <c r="H13469" s="36"/>
      <c r="I13469" s="11"/>
    </row>
    <row r="13470" spans="1:9" ht="9" customHeight="1">
      <c r="A13470" s="185"/>
      <c r="B13470" s="1348" t="s">
        <v>17877</v>
      </c>
      <c r="C13470" s="147"/>
      <c r="D13470" s="161"/>
      <c r="E13470" s="36"/>
      <c r="F13470" s="178"/>
      <c r="G13470" s="496"/>
      <c r="H13470" s="36"/>
      <c r="I13470" s="11"/>
    </row>
    <row r="13471" spans="1:9" ht="9" customHeight="1" thickBot="1">
      <c r="A13471" s="185"/>
      <c r="B13471" s="150" t="s">
        <v>17878</v>
      </c>
      <c r="C13471" s="147"/>
      <c r="D13471" s="161"/>
      <c r="E13471" s="36"/>
      <c r="F13471" s="178"/>
      <c r="G13471" s="496"/>
      <c r="H13471" s="36"/>
      <c r="I13471" s="11"/>
    </row>
    <row r="13472" spans="1:9" ht="11.15" customHeight="1" thickBot="1">
      <c r="A13472" s="184" t="s">
        <v>17879</v>
      </c>
      <c r="B13472" s="154" t="s">
        <v>17880</v>
      </c>
      <c r="C13472" s="147"/>
      <c r="D13472" s="129"/>
      <c r="E13472" s="185"/>
      <c r="F13472" s="185"/>
      <c r="G13472" s="185"/>
      <c r="H13472" s="185"/>
      <c r="I13472" s="11"/>
    </row>
    <row r="13473" spans="1:12" ht="11.15" customHeight="1">
      <c r="A13473" s="29" t="s">
        <v>17881</v>
      </c>
      <c r="B13473" s="59" t="s">
        <v>22961</v>
      </c>
      <c r="C13473" s="147" t="s">
        <v>20221</v>
      </c>
      <c r="D13473" s="701" t="s">
        <v>1129</v>
      </c>
      <c r="E13473" s="178">
        <v>2021</v>
      </c>
      <c r="F13473" s="178" t="s">
        <v>4520</v>
      </c>
      <c r="G13473" s="496"/>
      <c r="H13473" s="994" t="s">
        <v>20221</v>
      </c>
      <c r="I13473" s="11" t="s">
        <v>17882</v>
      </c>
      <c r="J13473" s="1285"/>
      <c r="K13473" s="1285"/>
      <c r="L13473" s="1285"/>
    </row>
    <row r="13474" spans="1:12" ht="11.15" customHeight="1">
      <c r="A13474" s="29" t="s">
        <v>17883</v>
      </c>
      <c r="B13474" s="154" t="s">
        <v>17884</v>
      </c>
      <c r="C13474" s="147"/>
      <c r="D13474" s="129"/>
      <c r="E13474" s="185"/>
      <c r="F13474" s="185"/>
      <c r="G13474" s="185"/>
      <c r="H13474" s="185"/>
      <c r="I13474" s="11"/>
    </row>
    <row r="13475" spans="1:12" ht="11.15" customHeight="1">
      <c r="A13475" s="181" t="s">
        <v>17885</v>
      </c>
      <c r="B13475" s="59" t="s">
        <v>22962</v>
      </c>
      <c r="C13475" s="147" t="s">
        <v>20221</v>
      </c>
      <c r="D13475" s="701" t="s">
        <v>1129</v>
      </c>
      <c r="E13475" s="178">
        <v>2023</v>
      </c>
      <c r="F13475" s="178" t="s">
        <v>4520</v>
      </c>
      <c r="G13475" s="496"/>
      <c r="H13475" s="994" t="s">
        <v>20221</v>
      </c>
      <c r="I13475" s="11" t="s">
        <v>23289</v>
      </c>
      <c r="J13475" s="1285"/>
      <c r="K13475" s="1285"/>
      <c r="L13475" s="1285"/>
    </row>
    <row r="13476" spans="1:12" ht="11.15" customHeight="1">
      <c r="A13476" s="29" t="s">
        <v>17887</v>
      </c>
      <c r="B13476" s="59" t="s">
        <v>22962</v>
      </c>
      <c r="C13476" s="147" t="s">
        <v>20221</v>
      </c>
      <c r="D13476" s="701" t="s">
        <v>1129</v>
      </c>
      <c r="E13476" s="178">
        <v>2020</v>
      </c>
      <c r="F13476" s="178" t="s">
        <v>4520</v>
      </c>
      <c r="G13476" s="496"/>
      <c r="H13476" s="994" t="s">
        <v>20221</v>
      </c>
      <c r="I13476" s="11" t="s">
        <v>17886</v>
      </c>
      <c r="J13476" s="1285"/>
      <c r="K13476" s="1285"/>
      <c r="L13476" s="1285"/>
    </row>
    <row r="13477" spans="1:12" ht="11.15" customHeight="1">
      <c r="A13477" s="29" t="s">
        <v>17889</v>
      </c>
      <c r="B13477" s="59" t="s">
        <v>22962</v>
      </c>
      <c r="C13477" s="147" t="s">
        <v>20221</v>
      </c>
      <c r="D13477" s="701" t="s">
        <v>1129</v>
      </c>
      <c r="E13477" s="178">
        <v>2019</v>
      </c>
      <c r="F13477" s="178" t="s">
        <v>4520</v>
      </c>
      <c r="G13477" s="496"/>
      <c r="H13477" s="994" t="s">
        <v>20221</v>
      </c>
      <c r="I13477" s="11" t="s">
        <v>17888</v>
      </c>
      <c r="J13477" s="1285"/>
      <c r="K13477" s="1285"/>
      <c r="L13477" s="1285"/>
    </row>
    <row r="13478" spans="1:12" ht="11.15" customHeight="1">
      <c r="A13478" s="195" t="s">
        <v>17891</v>
      </c>
      <c r="B13478" s="59" t="s">
        <v>22962</v>
      </c>
      <c r="C13478" s="147" t="s">
        <v>20221</v>
      </c>
      <c r="D13478" s="701" t="s">
        <v>1129</v>
      </c>
      <c r="E13478" s="178">
        <v>2018</v>
      </c>
      <c r="F13478" s="178" t="s">
        <v>4520</v>
      </c>
      <c r="G13478" s="496"/>
      <c r="H13478" s="994" t="s">
        <v>20221</v>
      </c>
      <c r="I13478" s="11" t="s">
        <v>17890</v>
      </c>
      <c r="J13478" s="1285"/>
      <c r="K13478" s="1285"/>
      <c r="L13478" s="1285"/>
    </row>
    <row r="13479" spans="1:12" ht="11.15" customHeight="1">
      <c r="A13479" s="195" t="s">
        <v>17893</v>
      </c>
      <c r="B13479" s="59" t="s">
        <v>22962</v>
      </c>
      <c r="C13479" s="147" t="s">
        <v>20221</v>
      </c>
      <c r="D13479" s="701" t="s">
        <v>1129</v>
      </c>
      <c r="E13479" s="178">
        <v>2017</v>
      </c>
      <c r="F13479" s="178" t="s">
        <v>4520</v>
      </c>
      <c r="G13479" s="496"/>
      <c r="H13479" s="994" t="s">
        <v>20221</v>
      </c>
      <c r="I13479" s="11" t="s">
        <v>17892</v>
      </c>
      <c r="J13479" s="1285"/>
      <c r="K13479" s="1285"/>
      <c r="L13479" s="1285"/>
    </row>
    <row r="13480" spans="1:12" ht="11.15" customHeight="1">
      <c r="A13480" s="195" t="s">
        <v>17895</v>
      </c>
      <c r="B13480" s="154" t="s">
        <v>17894</v>
      </c>
      <c r="C13480" s="147"/>
      <c r="D13480" s="129"/>
      <c r="E13480" s="185"/>
      <c r="F13480" s="185"/>
      <c r="G13480" s="185"/>
      <c r="H13480" s="185"/>
      <c r="I13480" s="11"/>
    </row>
    <row r="13481" spans="1:12" ht="11.15" customHeight="1">
      <c r="A13481" s="29" t="s">
        <v>17897</v>
      </c>
      <c r="B13481" s="59" t="s">
        <v>22963</v>
      </c>
      <c r="C13481" s="147" t="s">
        <v>20221</v>
      </c>
      <c r="D13481" s="701" t="s">
        <v>1129</v>
      </c>
      <c r="E13481" s="178">
        <v>2019</v>
      </c>
      <c r="F13481" s="178" t="s">
        <v>5257</v>
      </c>
      <c r="G13481" s="496"/>
      <c r="H13481" s="994" t="s">
        <v>20224</v>
      </c>
      <c r="I13481" s="11" t="s">
        <v>17896</v>
      </c>
      <c r="J13481" s="1285"/>
      <c r="K13481" s="1285"/>
      <c r="L13481" s="1285"/>
    </row>
    <row r="13482" spans="1:12" ht="11.15" customHeight="1">
      <c r="A13482" s="29" t="s">
        <v>17899</v>
      </c>
      <c r="B13482" s="59" t="s">
        <v>22963</v>
      </c>
      <c r="C13482" s="147" t="s">
        <v>20221</v>
      </c>
      <c r="D13482" s="701" t="s">
        <v>1129</v>
      </c>
      <c r="E13482" s="178">
        <v>2017</v>
      </c>
      <c r="F13482" s="178" t="s">
        <v>5257</v>
      </c>
      <c r="G13482" s="496"/>
      <c r="H13482" s="994" t="s">
        <v>20277</v>
      </c>
      <c r="I13482" s="11" t="s">
        <v>17898</v>
      </c>
      <c r="J13482" s="1285"/>
      <c r="K13482" s="1285"/>
      <c r="L13482" s="1285"/>
    </row>
    <row r="13483" spans="1:12" ht="11.15" customHeight="1">
      <c r="A13483" s="29" t="s">
        <v>17901</v>
      </c>
      <c r="B13483" s="59" t="s">
        <v>22964</v>
      </c>
      <c r="C13483" s="147" t="s">
        <v>20221</v>
      </c>
      <c r="D13483" s="701" t="s">
        <v>1129</v>
      </c>
      <c r="E13483" s="178">
        <v>2018</v>
      </c>
      <c r="F13483" s="178" t="s">
        <v>11938</v>
      </c>
      <c r="G13483" s="496"/>
      <c r="H13483" s="994" t="s">
        <v>20224</v>
      </c>
      <c r="I13483" s="11" t="s">
        <v>17900</v>
      </c>
      <c r="J13483" s="1285"/>
      <c r="K13483" s="1285"/>
      <c r="L13483" s="1285"/>
    </row>
    <row r="13484" spans="1:12" ht="10.5" customHeight="1">
      <c r="A13484" s="29" t="s">
        <v>17903</v>
      </c>
      <c r="B13484" s="59" t="s">
        <v>22964</v>
      </c>
      <c r="C13484" s="147" t="s">
        <v>20221</v>
      </c>
      <c r="D13484" s="701" t="s">
        <v>1129</v>
      </c>
      <c r="E13484" s="178">
        <v>2017</v>
      </c>
      <c r="F13484" s="178" t="s">
        <v>11938</v>
      </c>
      <c r="G13484" s="496"/>
      <c r="H13484" s="994" t="s">
        <v>20224</v>
      </c>
      <c r="I13484" s="11" t="s">
        <v>17902</v>
      </c>
      <c r="J13484" s="1285"/>
      <c r="K13484" s="1285"/>
      <c r="L13484" s="1285"/>
    </row>
    <row r="13485" spans="1:12" ht="11.15" customHeight="1">
      <c r="A13485" s="29" t="s">
        <v>17905</v>
      </c>
      <c r="B13485" s="154" t="s">
        <v>17904</v>
      </c>
      <c r="C13485" s="147"/>
      <c r="D13485" s="129"/>
      <c r="E13485" s="185"/>
      <c r="F13485" s="185"/>
      <c r="G13485" s="185"/>
      <c r="H13485" s="185"/>
      <c r="I13485" s="11"/>
    </row>
    <row r="13486" spans="1:12" ht="11.15" customHeight="1">
      <c r="A13486" s="29" t="s">
        <v>17907</v>
      </c>
      <c r="B13486" s="59" t="s">
        <v>22965</v>
      </c>
      <c r="C13486" s="147" t="s">
        <v>20221</v>
      </c>
      <c r="D13486" s="284" t="s">
        <v>897</v>
      </c>
      <c r="E13486" s="178">
        <v>2020</v>
      </c>
      <c r="F13486" s="178" t="s">
        <v>4520</v>
      </c>
      <c r="G13486" s="496"/>
      <c r="H13486" s="994" t="s">
        <v>20221</v>
      </c>
      <c r="I13486" s="11" t="s">
        <v>17906</v>
      </c>
      <c r="J13486" s="1285"/>
      <c r="K13486" s="1285"/>
      <c r="L13486" s="1285"/>
    </row>
    <row r="13487" spans="1:12" ht="11.15" customHeight="1">
      <c r="A13487" s="129" t="s">
        <v>17909</v>
      </c>
      <c r="B13487" s="59" t="s">
        <v>22966</v>
      </c>
      <c r="C13487" s="147" t="s">
        <v>20221</v>
      </c>
      <c r="D13487" s="284" t="s">
        <v>897</v>
      </c>
      <c r="E13487" s="178">
        <v>2017</v>
      </c>
      <c r="F13487" s="178" t="s">
        <v>5257</v>
      </c>
      <c r="G13487" s="496"/>
      <c r="H13487" s="994" t="s">
        <v>20221</v>
      </c>
      <c r="I13487" s="11" t="s">
        <v>17908</v>
      </c>
      <c r="J13487" s="1285"/>
      <c r="K13487" s="1285"/>
      <c r="L13487" s="1285"/>
    </row>
    <row r="13488" spans="1:12" ht="11.15" customHeight="1">
      <c r="A13488" s="162" t="s">
        <v>17911</v>
      </c>
      <c r="B13488" s="154" t="s">
        <v>17910</v>
      </c>
      <c r="C13488" s="147"/>
      <c r="D13488" s="129"/>
      <c r="E13488" s="185"/>
      <c r="F13488" s="185"/>
      <c r="G13488" s="185"/>
      <c r="H13488" s="185"/>
      <c r="I13488" s="11"/>
    </row>
    <row r="13489" spans="1:12" ht="11.15" customHeight="1">
      <c r="A13489" s="162" t="s">
        <v>17913</v>
      </c>
      <c r="B13489" s="59" t="s">
        <v>22967</v>
      </c>
      <c r="C13489" s="147" t="s">
        <v>20221</v>
      </c>
      <c r="D13489" s="284" t="s">
        <v>897</v>
      </c>
      <c r="E13489" s="178">
        <v>2017</v>
      </c>
      <c r="F13489" s="178" t="s">
        <v>4520</v>
      </c>
      <c r="G13489" s="496"/>
      <c r="H13489" s="994" t="s">
        <v>20221</v>
      </c>
      <c r="I13489" s="11" t="s">
        <v>17912</v>
      </c>
      <c r="J13489" s="1285"/>
      <c r="K13489" s="1285"/>
      <c r="L13489" s="1285"/>
    </row>
    <row r="13490" spans="1:12" ht="11.15" customHeight="1">
      <c r="A13490" s="162" t="s">
        <v>17915</v>
      </c>
      <c r="B13490" s="59" t="s">
        <v>22968</v>
      </c>
      <c r="C13490" s="147" t="s">
        <v>20221</v>
      </c>
      <c r="D13490" s="284" t="s">
        <v>897</v>
      </c>
      <c r="E13490" s="178">
        <v>2021</v>
      </c>
      <c r="F13490" s="178" t="s">
        <v>4520</v>
      </c>
      <c r="G13490" s="496"/>
      <c r="H13490" s="994" t="s">
        <v>20221</v>
      </c>
      <c r="I13490" s="11" t="s">
        <v>17914</v>
      </c>
      <c r="J13490" s="1285"/>
      <c r="K13490" s="1285"/>
      <c r="L13490" s="1285"/>
    </row>
    <row r="13491" spans="1:12" ht="11.15" customHeight="1">
      <c r="A13491" s="162" t="s">
        <v>17917</v>
      </c>
      <c r="B13491" s="59" t="s">
        <v>22969</v>
      </c>
      <c r="C13491" s="147" t="s">
        <v>20221</v>
      </c>
      <c r="D13491" s="284" t="s">
        <v>897</v>
      </c>
      <c r="E13491" s="178">
        <v>2021</v>
      </c>
      <c r="F13491" s="178" t="s">
        <v>4520</v>
      </c>
      <c r="G13491" s="496"/>
      <c r="H13491" s="994" t="s">
        <v>20221</v>
      </c>
      <c r="I13491" s="11" t="s">
        <v>17916</v>
      </c>
      <c r="J13491" s="1285"/>
      <c r="K13491" s="1285"/>
      <c r="L13491" s="1285"/>
    </row>
    <row r="13492" spans="1:12" ht="11.15" customHeight="1">
      <c r="A13492" s="162" t="s">
        <v>17919</v>
      </c>
      <c r="B13492" s="59" t="s">
        <v>22970</v>
      </c>
      <c r="C13492" s="147" t="s">
        <v>20221</v>
      </c>
      <c r="D13492" s="284" t="s">
        <v>897</v>
      </c>
      <c r="E13492" s="178">
        <v>2021</v>
      </c>
      <c r="F13492" s="178" t="s">
        <v>4520</v>
      </c>
      <c r="G13492" s="496"/>
      <c r="H13492" s="994" t="s">
        <v>20221</v>
      </c>
      <c r="I13492" s="11" t="s">
        <v>17918</v>
      </c>
      <c r="J13492" s="1285"/>
      <c r="K13492" s="1285"/>
      <c r="L13492" s="1285"/>
    </row>
    <row r="13493" spans="1:12" ht="11.15" customHeight="1">
      <c r="A13493" s="129" t="s">
        <v>17921</v>
      </c>
      <c r="B13493" s="59" t="s">
        <v>22971</v>
      </c>
      <c r="C13493" s="147" t="s">
        <v>20221</v>
      </c>
      <c r="D13493" s="284" t="s">
        <v>897</v>
      </c>
      <c r="E13493" s="178">
        <v>2021</v>
      </c>
      <c r="F13493" s="178" t="s">
        <v>4520</v>
      </c>
      <c r="G13493" s="496"/>
      <c r="H13493" s="994" t="s">
        <v>20221</v>
      </c>
      <c r="I13493" s="11" t="s">
        <v>17920</v>
      </c>
      <c r="J13493" s="1285"/>
      <c r="K13493" s="1285"/>
      <c r="L13493" s="1285"/>
    </row>
    <row r="13494" spans="1:12" ht="11.15" customHeight="1">
      <c r="A13494" s="162" t="s">
        <v>17923</v>
      </c>
      <c r="B13494" s="59" t="s">
        <v>22972</v>
      </c>
      <c r="C13494" s="147" t="s">
        <v>20221</v>
      </c>
      <c r="D13494" s="284" t="s">
        <v>897</v>
      </c>
      <c r="E13494" s="178">
        <v>2021</v>
      </c>
      <c r="F13494" s="178" t="s">
        <v>4520</v>
      </c>
      <c r="G13494" s="496"/>
      <c r="H13494" s="994" t="s">
        <v>20221</v>
      </c>
      <c r="I13494" s="11" t="s">
        <v>17922</v>
      </c>
      <c r="J13494" s="1285"/>
      <c r="K13494" s="1285"/>
      <c r="L13494" s="1285"/>
    </row>
    <row r="13495" spans="1:12" ht="11.15" customHeight="1">
      <c r="A13495" s="162" t="s">
        <v>17925</v>
      </c>
      <c r="B13495" s="154" t="s">
        <v>17924</v>
      </c>
      <c r="C13495" s="147"/>
      <c r="D13495" s="161"/>
      <c r="E13495" s="36"/>
      <c r="F13495" s="178"/>
      <c r="G13495" s="496"/>
      <c r="H13495" s="36"/>
      <c r="I13495" s="11"/>
    </row>
    <row r="13496" spans="1:12" ht="11.15" customHeight="1">
      <c r="A13496" s="162" t="s">
        <v>17927</v>
      </c>
      <c r="B13496" s="59" t="s">
        <v>22973</v>
      </c>
      <c r="C13496" s="147" t="s">
        <v>20221</v>
      </c>
      <c r="D13496" s="284" t="s">
        <v>897</v>
      </c>
      <c r="E13496" s="178">
        <v>2021</v>
      </c>
      <c r="F13496" s="178" t="s">
        <v>4520</v>
      </c>
      <c r="G13496" s="496"/>
      <c r="H13496" s="994" t="s">
        <v>20221</v>
      </c>
      <c r="I13496" s="11" t="s">
        <v>23290</v>
      </c>
      <c r="J13496" s="1285"/>
      <c r="K13496" s="1285"/>
      <c r="L13496" s="1285"/>
    </row>
    <row r="13497" spans="1:12" ht="11.15" customHeight="1">
      <c r="A13497" s="162" t="s">
        <v>17929</v>
      </c>
      <c r="B13497" s="59" t="s">
        <v>22973</v>
      </c>
      <c r="C13497" s="147" t="s">
        <v>20221</v>
      </c>
      <c r="D13497" s="284" t="s">
        <v>897</v>
      </c>
      <c r="E13497" s="178">
        <v>2018</v>
      </c>
      <c r="F13497" s="178" t="s">
        <v>4520</v>
      </c>
      <c r="G13497" s="496"/>
      <c r="H13497" s="994" t="s">
        <v>20221</v>
      </c>
      <c r="I13497" s="11" t="s">
        <v>17926</v>
      </c>
      <c r="J13497" s="1285"/>
      <c r="K13497" s="1285"/>
      <c r="L13497" s="1285"/>
    </row>
    <row r="13498" spans="1:12" ht="11.15" customHeight="1">
      <c r="A13498" s="162" t="s">
        <v>17931</v>
      </c>
      <c r="B13498" s="59" t="s">
        <v>22973</v>
      </c>
      <c r="C13498" s="147" t="s">
        <v>20221</v>
      </c>
      <c r="D13498" s="284" t="s">
        <v>897</v>
      </c>
      <c r="E13498" s="178">
        <v>2017</v>
      </c>
      <c r="F13498" s="178" t="s">
        <v>4520</v>
      </c>
      <c r="G13498" s="496"/>
      <c r="H13498" s="994" t="s">
        <v>20221</v>
      </c>
      <c r="I13498" s="11" t="s">
        <v>17928</v>
      </c>
      <c r="J13498" s="1285"/>
      <c r="K13498" s="1285"/>
      <c r="L13498" s="1285"/>
    </row>
    <row r="13499" spans="1:12" ht="10.5" customHeight="1">
      <c r="A13499" s="162" t="s">
        <v>17933</v>
      </c>
      <c r="B13499" s="59" t="s">
        <v>22973</v>
      </c>
      <c r="C13499" s="147" t="s">
        <v>20221</v>
      </c>
      <c r="D13499" s="284" t="s">
        <v>897</v>
      </c>
      <c r="E13499" s="178">
        <v>2016</v>
      </c>
      <c r="F13499" s="178" t="s">
        <v>4520</v>
      </c>
      <c r="G13499" s="496"/>
      <c r="H13499" s="994" t="s">
        <v>20221</v>
      </c>
      <c r="I13499" s="11" t="s">
        <v>17930</v>
      </c>
      <c r="J13499" s="1285"/>
      <c r="K13499" s="1285"/>
      <c r="L13499" s="1285"/>
    </row>
    <row r="13500" spans="1:12" ht="11.15" customHeight="1">
      <c r="A13500" s="129" t="s">
        <v>2047</v>
      </c>
      <c r="B13500" s="59" t="s">
        <v>22973</v>
      </c>
      <c r="C13500" s="147" t="s">
        <v>20221</v>
      </c>
      <c r="D13500" s="284" t="s">
        <v>897</v>
      </c>
      <c r="E13500" s="178">
        <v>2012</v>
      </c>
      <c r="F13500" s="178" t="s">
        <v>4520</v>
      </c>
      <c r="G13500" s="496"/>
      <c r="H13500" s="994" t="s">
        <v>20221</v>
      </c>
      <c r="I13500" s="11" t="s">
        <v>17932</v>
      </c>
      <c r="J13500" s="1285"/>
      <c r="K13500" s="1285"/>
      <c r="L13500" s="1285"/>
    </row>
    <row r="13501" spans="1:12" ht="11.15" customHeight="1">
      <c r="A13501" s="162" t="s">
        <v>17936</v>
      </c>
      <c r="B13501" s="59" t="s">
        <v>22973</v>
      </c>
      <c r="C13501" s="147" t="s">
        <v>20221</v>
      </c>
      <c r="D13501" s="284" t="s">
        <v>897</v>
      </c>
      <c r="E13501" s="178">
        <v>2011</v>
      </c>
      <c r="F13501" s="178" t="s">
        <v>4520</v>
      </c>
      <c r="G13501" s="496"/>
      <c r="H13501" s="994" t="s">
        <v>20221</v>
      </c>
      <c r="I13501" s="11" t="s">
        <v>17934</v>
      </c>
      <c r="J13501" s="1285"/>
      <c r="K13501" s="1285"/>
      <c r="L13501" s="1285"/>
    </row>
    <row r="13502" spans="1:12" ht="11.15" customHeight="1">
      <c r="A13502" s="162" t="s">
        <v>17938</v>
      </c>
      <c r="B13502" s="154" t="s">
        <v>17935</v>
      </c>
      <c r="C13502" s="147"/>
      <c r="D13502" s="161"/>
      <c r="E13502" s="36"/>
      <c r="F13502" s="178"/>
      <c r="G13502" s="496"/>
      <c r="H13502" s="36"/>
      <c r="I13502" s="11"/>
    </row>
    <row r="13503" spans="1:12" ht="11.15" customHeight="1">
      <c r="A13503" s="162" t="s">
        <v>17940</v>
      </c>
      <c r="B13503" s="59" t="s">
        <v>22974</v>
      </c>
      <c r="C13503" s="147" t="s">
        <v>20221</v>
      </c>
      <c r="D13503" s="284" t="s">
        <v>897</v>
      </c>
      <c r="E13503" s="178" t="s">
        <v>20221</v>
      </c>
      <c r="F13503" s="178" t="s">
        <v>5257</v>
      </c>
      <c r="G13503" s="496" t="s">
        <v>20221</v>
      </c>
      <c r="H13503" s="994" t="s">
        <v>3907</v>
      </c>
      <c r="I13503" s="11" t="s">
        <v>17937</v>
      </c>
      <c r="J13503" s="1285"/>
      <c r="K13503" s="1285"/>
      <c r="L13503" s="1285"/>
    </row>
    <row r="13504" spans="1:12" ht="11.15" customHeight="1">
      <c r="A13504" s="129" t="s">
        <v>1308</v>
      </c>
      <c r="B13504" s="59" t="s">
        <v>22975</v>
      </c>
      <c r="C13504" s="147" t="s">
        <v>20221</v>
      </c>
      <c r="D13504" s="284" t="s">
        <v>897</v>
      </c>
      <c r="E13504" s="178">
        <v>2017</v>
      </c>
      <c r="F13504" s="178" t="s">
        <v>11938</v>
      </c>
      <c r="G13504" s="496"/>
      <c r="H13504" s="994" t="s">
        <v>20224</v>
      </c>
      <c r="I13504" s="11" t="s">
        <v>17939</v>
      </c>
      <c r="J13504" s="1285"/>
      <c r="K13504" s="1285"/>
      <c r="L13504" s="1285"/>
    </row>
    <row r="13505" spans="1:12" ht="10.5" customHeight="1">
      <c r="A13505" s="162" t="s">
        <v>17943</v>
      </c>
      <c r="B13505" s="154" t="s">
        <v>17941</v>
      </c>
      <c r="C13505" s="147"/>
      <c r="D13505" s="129"/>
      <c r="E13505" s="185"/>
      <c r="F13505" s="185"/>
      <c r="G13505" s="185"/>
      <c r="H13505" s="185"/>
      <c r="I13505" s="11"/>
    </row>
    <row r="13506" spans="1:12" ht="11.15" customHeight="1">
      <c r="A13506" s="162" t="s">
        <v>17944</v>
      </c>
      <c r="B13506" s="59" t="s">
        <v>22976</v>
      </c>
      <c r="C13506" s="147" t="s">
        <v>20221</v>
      </c>
      <c r="D13506" s="284" t="s">
        <v>10155</v>
      </c>
      <c r="E13506" s="178">
        <v>2019</v>
      </c>
      <c r="F13506" s="178" t="s">
        <v>23400</v>
      </c>
      <c r="G13506" s="496"/>
      <c r="H13506" s="994" t="s">
        <v>20221</v>
      </c>
      <c r="I13506" s="11" t="s">
        <v>17942</v>
      </c>
      <c r="J13506" s="1285"/>
      <c r="K13506" s="1285"/>
      <c r="L13506" s="1285"/>
    </row>
    <row r="13507" spans="1:12" ht="10.5" customHeight="1">
      <c r="A13507" s="162" t="s">
        <v>17945</v>
      </c>
      <c r="B13507" s="185"/>
      <c r="C13507" s="147"/>
      <c r="D13507" s="185"/>
      <c r="E13507" s="185"/>
      <c r="F13507" s="185"/>
      <c r="G13507" s="185"/>
      <c r="H13507" s="185"/>
      <c r="I13507" s="11"/>
    </row>
    <row r="13508" spans="1:12" ht="10.5" customHeight="1">
      <c r="A13508" s="162" t="s">
        <v>17946</v>
      </c>
      <c r="B13508" s="185"/>
      <c r="C13508" s="147"/>
      <c r="D13508" s="185"/>
      <c r="E13508" s="185"/>
      <c r="F13508" s="185"/>
      <c r="G13508" s="185"/>
      <c r="H13508" s="185"/>
      <c r="I13508" s="11"/>
    </row>
    <row r="13509" spans="1:12" ht="10.5" customHeight="1">
      <c r="A13509" s="162" t="s">
        <v>17947</v>
      </c>
      <c r="B13509" s="185"/>
      <c r="C13509" s="147"/>
      <c r="D13509" s="185"/>
      <c r="E13509" s="185"/>
      <c r="F13509" s="185"/>
      <c r="G13509" s="185"/>
      <c r="H13509" s="185"/>
      <c r="I13509" s="11"/>
    </row>
    <row r="13510" spans="1:12" ht="11.15" customHeight="1">
      <c r="A13510" s="162" t="s">
        <v>17948</v>
      </c>
      <c r="B13510" s="185"/>
      <c r="C13510" s="147"/>
      <c r="D13510" s="161"/>
      <c r="E13510" s="36"/>
      <c r="F13510" s="178"/>
      <c r="G13510" s="496"/>
      <c r="H13510" s="36"/>
      <c r="I13510" s="11"/>
    </row>
    <row r="13511" spans="1:12" ht="11.15" customHeight="1">
      <c r="A13511" s="162" t="s">
        <v>17949</v>
      </c>
      <c r="B13511" s="185"/>
      <c r="C13511" s="147"/>
      <c r="D13511" s="161"/>
      <c r="E13511" s="36"/>
      <c r="F13511" s="178"/>
      <c r="G13511" s="496"/>
      <c r="H13511" s="36"/>
      <c r="I13511" s="11"/>
    </row>
    <row r="13512" spans="1:12" ht="11.15" customHeight="1">
      <c r="A13512" s="162" t="s">
        <v>17950</v>
      </c>
      <c r="B13512" s="185"/>
      <c r="C13512" s="147"/>
      <c r="D13512" s="161"/>
      <c r="E13512" s="36"/>
      <c r="F13512" s="178"/>
      <c r="G13512" s="496"/>
      <c r="H13512" s="36"/>
      <c r="I13512" s="11"/>
    </row>
    <row r="13513" spans="1:12" ht="11.15" customHeight="1">
      <c r="A13513" s="162" t="s">
        <v>17951</v>
      </c>
      <c r="B13513" s="226"/>
      <c r="C13513" s="147"/>
      <c r="D13513" s="161"/>
      <c r="E13513" s="36"/>
      <c r="F13513" s="178"/>
      <c r="G13513" s="496"/>
      <c r="H13513" s="36"/>
      <c r="I13513" s="11"/>
    </row>
    <row r="13514" spans="1:12" ht="11.15" customHeight="1">
      <c r="A13514" s="162" t="s">
        <v>17952</v>
      </c>
      <c r="B13514" s="226"/>
      <c r="C13514" s="147"/>
      <c r="D13514" s="161"/>
      <c r="E13514" s="36"/>
      <c r="F13514" s="178"/>
      <c r="G13514" s="496"/>
      <c r="H13514" s="36"/>
      <c r="I13514" s="11"/>
    </row>
    <row r="13515" spans="1:12" ht="11.15" customHeight="1">
      <c r="A13515" s="162" t="s">
        <v>17953</v>
      </c>
      <c r="B13515" s="226"/>
      <c r="C13515" s="147"/>
      <c r="D13515" s="161"/>
      <c r="E13515" s="36"/>
      <c r="F13515" s="178"/>
      <c r="G13515" s="496"/>
      <c r="H13515" s="36"/>
      <c r="I13515" s="11"/>
    </row>
    <row r="13516" spans="1:12" ht="11.15" customHeight="1">
      <c r="A13516" s="162" t="s">
        <v>17954</v>
      </c>
      <c r="B13516" s="226"/>
      <c r="C13516" s="147"/>
      <c r="D13516" s="161"/>
      <c r="E13516" s="36"/>
      <c r="F13516" s="178"/>
      <c r="G13516" s="496"/>
      <c r="H13516" s="36"/>
      <c r="I13516" s="11"/>
    </row>
    <row r="13517" spans="1:12" ht="11.15" customHeight="1">
      <c r="A13517" s="162" t="s">
        <v>17955</v>
      </c>
      <c r="B13517" s="226"/>
      <c r="C13517" s="147"/>
      <c r="D13517" s="161"/>
      <c r="E13517" s="36"/>
      <c r="F13517" s="178"/>
      <c r="G13517" s="496"/>
      <c r="H13517" s="36"/>
      <c r="I13517" s="11"/>
    </row>
    <row r="13518" spans="1:12" ht="11.15" customHeight="1">
      <c r="A13518" s="162" t="s">
        <v>17956</v>
      </c>
      <c r="B13518" s="226"/>
      <c r="C13518" s="147"/>
      <c r="D13518" s="161"/>
      <c r="E13518" s="36"/>
      <c r="F13518" s="178"/>
      <c r="G13518" s="496"/>
      <c r="H13518" s="36"/>
      <c r="I13518" s="11"/>
    </row>
    <row r="13519" spans="1:12" ht="11.15" customHeight="1">
      <c r="A13519" s="162" t="s">
        <v>17957</v>
      </c>
      <c r="B13519" s="226"/>
      <c r="C13519" s="147"/>
      <c r="D13519" s="161"/>
      <c r="E13519" s="36"/>
      <c r="F13519" s="178"/>
      <c r="G13519" s="496"/>
      <c r="H13519" s="36"/>
      <c r="I13519" s="11"/>
    </row>
    <row r="13520" spans="1:12" ht="11.15" customHeight="1">
      <c r="A13520" s="162" t="s">
        <v>17958</v>
      </c>
      <c r="B13520" s="226"/>
      <c r="C13520" s="147"/>
      <c r="D13520" s="161"/>
      <c r="E13520" s="36"/>
      <c r="F13520" s="178"/>
      <c r="G13520" s="496"/>
      <c r="H13520" s="36"/>
      <c r="I13520" s="11"/>
    </row>
    <row r="13521" spans="1:12" ht="11.15" customHeight="1">
      <c r="A13521" s="162" t="s">
        <v>17959</v>
      </c>
      <c r="B13521" s="226"/>
      <c r="C13521" s="147"/>
      <c r="D13521" s="161"/>
      <c r="E13521" s="36"/>
      <c r="F13521" s="178"/>
      <c r="G13521" s="496"/>
      <c r="H13521" s="36"/>
      <c r="I13521" s="11"/>
    </row>
    <row r="13522" spans="1:12" ht="11.15" customHeight="1">
      <c r="A13522" s="162" t="s">
        <v>17960</v>
      </c>
      <c r="B13522" s="226"/>
      <c r="C13522" s="147"/>
      <c r="D13522" s="161"/>
      <c r="E13522" s="36"/>
      <c r="F13522" s="178"/>
      <c r="G13522" s="496"/>
      <c r="H13522" s="36"/>
      <c r="I13522" s="11"/>
    </row>
    <row r="13523" spans="1:12" ht="11.15" customHeight="1">
      <c r="A13523" s="129" t="s">
        <v>2461</v>
      </c>
      <c r="B13523" s="226"/>
      <c r="C13523" s="147"/>
      <c r="D13523" s="161"/>
      <c r="E13523" s="36"/>
      <c r="F13523" s="178"/>
      <c r="G13523" s="496"/>
      <c r="H13523" s="36"/>
      <c r="I13523" s="11"/>
    </row>
    <row r="13524" spans="1:12" ht="11.15" customHeight="1">
      <c r="A13524" s="162" t="s">
        <v>17961</v>
      </c>
      <c r="B13524" s="226"/>
      <c r="C13524" s="147"/>
      <c r="D13524" s="161"/>
      <c r="E13524" s="36"/>
      <c r="F13524" s="178"/>
      <c r="G13524" s="496"/>
      <c r="H13524" s="36"/>
      <c r="I13524" s="11"/>
    </row>
    <row r="13525" spans="1:12" ht="11.15" customHeight="1">
      <c r="A13525" s="162" t="s">
        <v>17962</v>
      </c>
      <c r="B13525" s="226"/>
      <c r="C13525" s="147"/>
      <c r="D13525" s="161"/>
      <c r="E13525" s="36"/>
      <c r="F13525" s="178"/>
      <c r="G13525" s="496"/>
      <c r="H13525" s="36"/>
      <c r="I13525" s="11"/>
    </row>
    <row r="13526" spans="1:12" ht="11.15" customHeight="1">
      <c r="A13526" s="166" t="s">
        <v>17963</v>
      </c>
      <c r="B13526" s="226"/>
      <c r="C13526" s="147"/>
      <c r="D13526" s="161"/>
      <c r="E13526" s="36"/>
      <c r="F13526" s="178"/>
      <c r="G13526" s="496"/>
      <c r="H13526" s="36"/>
      <c r="I13526" s="11"/>
    </row>
    <row r="13527" spans="1:12" ht="11.15" customHeight="1">
      <c r="A13527" s="166" t="s">
        <v>17964</v>
      </c>
      <c r="B13527" s="226"/>
      <c r="C13527" s="147"/>
      <c r="D13527" s="161"/>
      <c r="E13527" s="36"/>
      <c r="F13527" s="178"/>
      <c r="G13527" s="496"/>
      <c r="H13527" s="36"/>
      <c r="I13527" s="11"/>
    </row>
    <row r="13528" spans="1:12" ht="11.15" customHeight="1">
      <c r="A13528" s="166" t="s">
        <v>17965</v>
      </c>
      <c r="B13528" s="226"/>
      <c r="C13528" s="147"/>
      <c r="D13528" s="161"/>
      <c r="E13528" s="36"/>
      <c r="F13528" s="178"/>
      <c r="G13528" s="496"/>
      <c r="H13528" s="36"/>
      <c r="I13528" s="11"/>
    </row>
    <row r="13529" spans="1:12" ht="11.15" customHeight="1">
      <c r="A13529" s="129" t="s">
        <v>17966</v>
      </c>
      <c r="B13529" s="226"/>
      <c r="C13529" s="147"/>
      <c r="D13529" s="161"/>
      <c r="E13529" s="36"/>
      <c r="F13529" s="178"/>
      <c r="G13529" s="496"/>
      <c r="H13529" s="36"/>
      <c r="I13529" s="11"/>
    </row>
    <row r="13530" spans="1:12" ht="11.15" customHeight="1">
      <c r="A13530" s="129" t="s">
        <v>17967</v>
      </c>
      <c r="B13530" s="226"/>
      <c r="C13530" s="147"/>
      <c r="D13530" s="161"/>
      <c r="E13530" s="36"/>
      <c r="F13530" s="178"/>
      <c r="G13530" s="496"/>
      <c r="H13530" s="36"/>
      <c r="I13530" s="11"/>
    </row>
    <row r="13531" spans="1:12" ht="11.15" customHeight="1">
      <c r="A13531" s="29"/>
      <c r="B13531" s="226"/>
      <c r="C13531" s="147"/>
      <c r="D13531" s="161"/>
      <c r="E13531" s="36"/>
      <c r="F13531" s="178"/>
      <c r="G13531" s="496"/>
      <c r="H13531" s="36"/>
      <c r="I13531" s="11"/>
    </row>
    <row r="13532" spans="1:12" ht="11.15" customHeight="1" thickBot="1">
      <c r="A13532" s="319"/>
      <c r="B13532" s="547" t="s">
        <v>14312</v>
      </c>
      <c r="C13532" s="321"/>
      <c r="D13532" s="325"/>
      <c r="E13532" s="322"/>
      <c r="F13532" s="578"/>
      <c r="G13532" s="1204"/>
      <c r="H13532" s="322"/>
      <c r="I13532" s="11"/>
    </row>
    <row r="13533" spans="1:12" ht="11.15" customHeight="1" thickBot="1">
      <c r="A13533" s="343" t="s">
        <v>17968</v>
      </c>
      <c r="B13533" s="324" t="s">
        <v>22977</v>
      </c>
      <c r="C13533" s="321" t="s">
        <v>20221</v>
      </c>
      <c r="D13533" s="1295" t="s">
        <v>897</v>
      </c>
      <c r="E13533" s="578">
        <v>2022</v>
      </c>
      <c r="F13533" s="578" t="s">
        <v>4520</v>
      </c>
      <c r="G13533" s="1204"/>
      <c r="H13533" s="1296" t="s">
        <v>20277</v>
      </c>
      <c r="I13533" s="11" t="s">
        <v>17969</v>
      </c>
      <c r="J13533" s="1285"/>
      <c r="K13533" s="1285"/>
      <c r="L13533" s="1285"/>
    </row>
    <row r="13534" spans="1:12" ht="11.15" customHeight="1">
      <c r="A13534" s="319" t="s">
        <v>17970</v>
      </c>
      <c r="B13534" s="324" t="s">
        <v>22978</v>
      </c>
      <c r="C13534" s="321" t="s">
        <v>20221</v>
      </c>
      <c r="D13534" s="1295" t="s">
        <v>897</v>
      </c>
      <c r="E13534" s="578">
        <v>2019</v>
      </c>
      <c r="F13534" s="578" t="s">
        <v>4520</v>
      </c>
      <c r="G13534" s="1204"/>
      <c r="H13534" s="1296" t="s">
        <v>20277</v>
      </c>
      <c r="I13534" s="11" t="s">
        <v>17971</v>
      </c>
      <c r="J13534" s="1285"/>
      <c r="K13534" s="1285"/>
      <c r="L13534" s="1285"/>
    </row>
    <row r="13535" spans="1:12" ht="11.15" customHeight="1">
      <c r="A13535" s="319" t="s">
        <v>17972</v>
      </c>
      <c r="B13535" s="324"/>
      <c r="C13535" s="321"/>
      <c r="D13535" s="1295"/>
      <c r="E13535" s="578"/>
      <c r="F13535" s="578"/>
      <c r="G13535" s="1204"/>
      <c r="H13535" s="1296"/>
      <c r="I13535" s="11"/>
      <c r="J13535" s="1285"/>
      <c r="K13535" s="1285"/>
      <c r="L13535" s="1285"/>
    </row>
    <row r="13536" spans="1:12" ht="11.15" customHeight="1">
      <c r="A13536" s="319" t="s">
        <v>17973</v>
      </c>
      <c r="B13536" s="324"/>
      <c r="C13536" s="321"/>
      <c r="D13536" s="325"/>
      <c r="E13536" s="322"/>
      <c r="F13536" s="578"/>
      <c r="G13536" s="1204"/>
      <c r="H13536" s="322"/>
      <c r="I13536" s="11"/>
    </row>
    <row r="13537" spans="1:9" ht="11.15" customHeight="1">
      <c r="A13537" s="346" t="s">
        <v>17974</v>
      </c>
      <c r="B13537" s="324"/>
      <c r="C13537" s="321"/>
      <c r="D13537" s="325"/>
      <c r="E13537" s="322"/>
      <c r="F13537" s="578"/>
      <c r="G13537" s="1204"/>
      <c r="H13537" s="322"/>
      <c r="I13537" s="11"/>
    </row>
    <row r="13538" spans="1:9" ht="11.15" customHeight="1">
      <c r="A13538" s="332" t="s">
        <v>17975</v>
      </c>
      <c r="B13538" s="329"/>
      <c r="C13538" s="321"/>
      <c r="D13538" s="330"/>
      <c r="E13538" s="329"/>
      <c r="F13538" s="329"/>
      <c r="G13538" s="329"/>
      <c r="H13538" s="329"/>
      <c r="I13538" s="11"/>
    </row>
    <row r="13539" spans="1:9" ht="11.15" customHeight="1">
      <c r="A13539" s="330" t="s">
        <v>17976</v>
      </c>
      <c r="B13539" s="329"/>
      <c r="C13539" s="321"/>
      <c r="D13539" s="320"/>
      <c r="E13539" s="322"/>
      <c r="F13539" s="578"/>
      <c r="G13539" s="580"/>
      <c r="H13539" s="322"/>
      <c r="I13539" s="11"/>
    </row>
    <row r="13540" spans="1:9" ht="11.15" customHeight="1" thickBot="1">
      <c r="A13540" s="319"/>
      <c r="B13540" s="329"/>
      <c r="C13540" s="321"/>
      <c r="D13540" s="320"/>
      <c r="E13540" s="322"/>
      <c r="F13540" s="578"/>
      <c r="G13540" s="580"/>
      <c r="H13540" s="322"/>
      <c r="I13540" s="11"/>
    </row>
    <row r="13541" spans="1:9" ht="24" customHeight="1" thickBot="1">
      <c r="A13541" s="49"/>
      <c r="B13541" s="64" t="s">
        <v>17977</v>
      </c>
      <c r="C13541" s="191"/>
      <c r="D13541" s="800"/>
      <c r="E13541" s="801"/>
      <c r="F13541" s="1088"/>
      <c r="G13541" s="1094"/>
      <c r="H13541" s="875"/>
      <c r="I13541" s="11"/>
    </row>
    <row r="13542" spans="1:9" ht="11.15" customHeight="1">
      <c r="A13542" s="503" t="s">
        <v>17978</v>
      </c>
      <c r="B13542" s="802" t="s">
        <v>17979</v>
      </c>
      <c r="C13542" s="803"/>
      <c r="D13542" s="30"/>
      <c r="E13542" s="804"/>
      <c r="F13542" s="30"/>
      <c r="G13542" s="1122"/>
      <c r="H13542" s="1123"/>
      <c r="I13542" s="11"/>
    </row>
    <row r="13543" spans="1:9" ht="11.15" customHeight="1">
      <c r="A13543" s="505" t="s">
        <v>17980</v>
      </c>
      <c r="B13543" s="274" t="s">
        <v>17981</v>
      </c>
      <c r="C13543" s="805"/>
      <c r="D13543" s="806"/>
      <c r="E13543" s="807"/>
      <c r="F13543" s="806"/>
      <c r="G13543" s="29"/>
      <c r="H13543" s="1124"/>
      <c r="I13543" s="11"/>
    </row>
    <row r="13544" spans="1:9" ht="11.15" customHeight="1" thickBot="1">
      <c r="A13544" s="560" t="s">
        <v>17982</v>
      </c>
      <c r="B13544" s="274" t="s">
        <v>17983</v>
      </c>
      <c r="C13544" s="808"/>
      <c r="D13544" s="29"/>
      <c r="E13544" s="104"/>
      <c r="F13544" s="29"/>
      <c r="G13544" s="29"/>
      <c r="H13544" s="1125"/>
      <c r="I13544" s="11"/>
    </row>
    <row r="13545" spans="1:9" ht="11.15" customHeight="1">
      <c r="A13545" s="418" t="s">
        <v>17984</v>
      </c>
      <c r="B13545" s="693" t="s">
        <v>17985</v>
      </c>
      <c r="C13545" s="808"/>
      <c r="D13545" s="29"/>
      <c r="E13545" s="104"/>
      <c r="F13545" s="29"/>
      <c r="G13545" s="29"/>
      <c r="H13545" s="1125"/>
      <c r="I13545" s="11"/>
    </row>
    <row r="13546" spans="1:9" ht="11.15" customHeight="1" thickBot="1">
      <c r="A13546" s="294" t="s">
        <v>17986</v>
      </c>
      <c r="B13546" s="809" t="s">
        <v>17987</v>
      </c>
      <c r="C13546" s="808"/>
      <c r="D13546" s="29"/>
      <c r="E13546" s="29"/>
      <c r="F13546" s="29"/>
      <c r="G13546" s="29"/>
      <c r="H13546" s="115"/>
      <c r="I13546" s="11"/>
    </row>
    <row r="13547" spans="1:9" ht="11.15" customHeight="1">
      <c r="A13547" s="166" t="s">
        <v>17988</v>
      </c>
      <c r="B13547" s="809" t="s">
        <v>17989</v>
      </c>
      <c r="C13547" s="805"/>
      <c r="D13547" s="806"/>
      <c r="E13547" s="807"/>
      <c r="F13547" s="806"/>
      <c r="G13547" s="29"/>
      <c r="H13547" s="1124"/>
      <c r="I13547" s="11"/>
    </row>
    <row r="13548" spans="1:9" ht="11.15" customHeight="1">
      <c r="A13548" s="169" t="s">
        <v>17990</v>
      </c>
      <c r="B13548" s="810" t="s">
        <v>17991</v>
      </c>
      <c r="C13548" s="808"/>
      <c r="D13548" s="29"/>
      <c r="E13548" s="104"/>
      <c r="F13548" s="29"/>
      <c r="G13548" s="29"/>
      <c r="H13548" s="1125"/>
      <c r="I13548" s="11"/>
    </row>
    <row r="13549" spans="1:9" ht="11.15" customHeight="1">
      <c r="A13549" s="129" t="s">
        <v>17992</v>
      </c>
      <c r="B13549" s="809" t="s">
        <v>17993</v>
      </c>
      <c r="C13549" s="808"/>
      <c r="D13549" s="29"/>
      <c r="E13549" s="104"/>
      <c r="F13549" s="217"/>
      <c r="G13549" s="29"/>
      <c r="H13549" s="1126"/>
      <c r="I13549" s="11"/>
    </row>
    <row r="13550" spans="1:9" ht="11.15" customHeight="1">
      <c r="A13550" s="29"/>
      <c r="B13550" s="809" t="s">
        <v>17994</v>
      </c>
      <c r="C13550" s="808"/>
      <c r="D13550" s="29"/>
      <c r="E13550" s="104"/>
      <c r="F13550" s="217"/>
      <c r="G13550" s="29"/>
      <c r="H13550" s="1126"/>
      <c r="I13550" s="11"/>
    </row>
    <row r="13551" spans="1:9" ht="11.15" customHeight="1">
      <c r="A13551" s="29"/>
      <c r="B13551" s="809" t="s">
        <v>17995</v>
      </c>
      <c r="C13551" s="805"/>
      <c r="D13551" s="29"/>
      <c r="E13551" s="104"/>
      <c r="F13551" s="217"/>
      <c r="G13551" s="29"/>
      <c r="H13551" s="1126"/>
      <c r="I13551" s="11"/>
    </row>
    <row r="13552" spans="1:9" ht="11.15" customHeight="1">
      <c r="A13552" s="29"/>
      <c r="B13552" s="809" t="s">
        <v>17996</v>
      </c>
      <c r="C13552" s="808"/>
      <c r="D13552" s="137"/>
      <c r="E13552" s="811"/>
      <c r="F13552" s="498"/>
      <c r="G13552" s="29"/>
      <c r="H13552" s="1127"/>
      <c r="I13552" s="11"/>
    </row>
    <row r="13553" spans="1:9" ht="11.15" customHeight="1" thickBot="1">
      <c r="A13553" s="29"/>
      <c r="B13553" s="810" t="s">
        <v>17997</v>
      </c>
      <c r="C13553" s="812"/>
      <c r="D13553" s="621"/>
      <c r="E13553" s="813"/>
      <c r="F13553" s="1089"/>
      <c r="G13553" s="48"/>
      <c r="H13553" s="1128"/>
      <c r="I13553" s="11"/>
    </row>
    <row r="13554" spans="1:9" ht="11.15" customHeight="1">
      <c r="A13554" s="29"/>
      <c r="B13554" s="728" t="s">
        <v>17998</v>
      </c>
      <c r="C13554" s="147"/>
      <c r="D13554" s="122"/>
      <c r="E13554" s="90"/>
      <c r="F13554" s="59"/>
      <c r="G13554" s="1187"/>
      <c r="H13554" s="90"/>
      <c r="I13554" s="11"/>
    </row>
    <row r="13555" spans="1:9" ht="11.15" customHeight="1">
      <c r="A13555" s="29"/>
      <c r="B13555" s="728" t="s">
        <v>17999</v>
      </c>
      <c r="C13555" s="147"/>
      <c r="D13555" s="122"/>
      <c r="E13555" s="90"/>
      <c r="F13555" s="59"/>
      <c r="G13555" s="1187"/>
      <c r="H13555" s="90"/>
      <c r="I13555" s="11"/>
    </row>
    <row r="13556" spans="1:9" ht="11.15" customHeight="1">
      <c r="A13556" s="29"/>
      <c r="B13556" s="728" t="s">
        <v>18000</v>
      </c>
      <c r="C13556" s="147"/>
      <c r="D13556" s="129"/>
      <c r="E13556" s="29"/>
      <c r="F13556" s="29"/>
      <c r="G13556" s="29"/>
      <c r="H13556" s="29"/>
      <c r="I13556" s="11"/>
    </row>
    <row r="13557" spans="1:9" ht="11.15" customHeight="1">
      <c r="A13557" s="29"/>
      <c r="B13557" s="728" t="s">
        <v>18001</v>
      </c>
      <c r="C13557" s="147"/>
      <c r="D13557" s="58"/>
      <c r="E13557" s="36"/>
      <c r="F13557" s="178"/>
      <c r="G13557" s="453"/>
      <c r="H13557" s="36"/>
      <c r="I13557" s="11"/>
    </row>
    <row r="13558" spans="1:9" ht="11.15" customHeight="1">
      <c r="A13558" s="29"/>
      <c r="B13558" s="728" t="s">
        <v>18002</v>
      </c>
      <c r="C13558" s="147"/>
      <c r="D13558" s="129"/>
      <c r="E13558" s="29"/>
      <c r="F13558" s="29"/>
      <c r="G13558" s="29"/>
      <c r="H13558" s="29"/>
      <c r="I13558" s="11"/>
    </row>
    <row r="13559" spans="1:9" ht="11.15" customHeight="1">
      <c r="A13559" s="29"/>
      <c r="B13559" s="728" t="s">
        <v>18003</v>
      </c>
      <c r="C13559" s="147"/>
      <c r="D13559" s="129"/>
      <c r="E13559" s="29"/>
      <c r="F13559" s="29"/>
      <c r="G13559" s="29"/>
      <c r="H13559" s="29"/>
      <c r="I13559" s="11"/>
    </row>
    <row r="13560" spans="1:9" ht="11.15" customHeight="1">
      <c r="A13560" s="29"/>
      <c r="B13560" s="727" t="s">
        <v>18004</v>
      </c>
      <c r="C13560" s="147"/>
      <c r="D13560" s="129"/>
      <c r="E13560" s="29"/>
      <c r="F13560" s="29"/>
      <c r="G13560" s="29"/>
      <c r="H13560" s="29"/>
      <c r="I13560" s="11"/>
    </row>
    <row r="13561" spans="1:9" ht="11.15" customHeight="1">
      <c r="A13561" s="29"/>
      <c r="B13561" s="728" t="s">
        <v>18005</v>
      </c>
      <c r="C13561" s="147"/>
      <c r="D13561" s="129"/>
      <c r="E13561" s="29"/>
      <c r="F13561" s="29"/>
      <c r="G13561" s="29"/>
      <c r="H13561" s="29"/>
      <c r="I13561" s="11"/>
    </row>
    <row r="13562" spans="1:9" ht="11.15" customHeight="1">
      <c r="A13562" s="29"/>
      <c r="B13562" s="728" t="s">
        <v>18006</v>
      </c>
      <c r="C13562" s="147"/>
      <c r="D13562" s="129"/>
      <c r="E13562" s="29"/>
      <c r="F13562" s="29"/>
      <c r="G13562" s="29"/>
      <c r="H13562" s="29"/>
      <c r="I13562" s="11"/>
    </row>
    <row r="13563" spans="1:9" ht="11.15" customHeight="1">
      <c r="A13563" s="29"/>
      <c r="B13563" s="728" t="s">
        <v>18007</v>
      </c>
      <c r="C13563" s="147"/>
      <c r="D13563" s="129"/>
      <c r="E13563" s="29"/>
      <c r="F13563" s="29"/>
      <c r="G13563" s="29"/>
      <c r="H13563" s="29"/>
      <c r="I13563" s="11"/>
    </row>
    <row r="13564" spans="1:9" ht="11.15" customHeight="1">
      <c r="A13564" s="29"/>
      <c r="B13564" s="727" t="s">
        <v>18008</v>
      </c>
      <c r="C13564" s="147"/>
      <c r="D13564" s="129"/>
      <c r="E13564" s="29"/>
      <c r="F13564" s="29"/>
      <c r="G13564" s="29"/>
      <c r="H13564" s="29"/>
      <c r="I13564" s="11"/>
    </row>
    <row r="13565" spans="1:9" ht="11.15" customHeight="1">
      <c r="A13565" s="29"/>
      <c r="B13565" s="728" t="s">
        <v>18009</v>
      </c>
      <c r="C13565" s="147"/>
      <c r="D13565" s="129"/>
      <c r="E13565" s="29"/>
      <c r="F13565" s="29"/>
      <c r="G13565" s="29"/>
      <c r="H13565" s="29"/>
      <c r="I13565" s="11"/>
    </row>
    <row r="13566" spans="1:9" ht="11.15" customHeight="1">
      <c r="A13566" s="29"/>
      <c r="B13566" s="728" t="s">
        <v>18010</v>
      </c>
      <c r="C13566" s="147"/>
      <c r="D13566" s="129"/>
      <c r="E13566" s="29"/>
      <c r="F13566" s="29"/>
      <c r="G13566" s="29"/>
      <c r="H13566" s="29"/>
      <c r="I13566" s="11"/>
    </row>
    <row r="13567" spans="1:9" ht="11.15" customHeight="1">
      <c r="A13567" s="29"/>
      <c r="B13567" s="728" t="s">
        <v>18011</v>
      </c>
      <c r="C13567" s="147"/>
      <c r="D13567" s="129"/>
      <c r="E13567" s="29"/>
      <c r="F13567" s="29"/>
      <c r="G13567" s="29"/>
      <c r="H13567" s="29"/>
      <c r="I13567" s="11"/>
    </row>
    <row r="13568" spans="1:9" ht="11.15" customHeight="1">
      <c r="A13568" s="29"/>
      <c r="B13568" s="728" t="s">
        <v>18012</v>
      </c>
      <c r="C13568" s="147"/>
      <c r="D13568" s="122"/>
      <c r="E13568" s="36"/>
      <c r="F13568" s="178"/>
      <c r="G13568" s="453"/>
      <c r="H13568" s="36"/>
      <c r="I13568" s="11"/>
    </row>
    <row r="13569" spans="1:9" ht="11.15" customHeight="1">
      <c r="A13569" s="29"/>
      <c r="B13569" s="728" t="s">
        <v>18013</v>
      </c>
      <c r="C13569" s="147"/>
      <c r="D13569" s="122"/>
      <c r="E13569" s="36"/>
      <c r="F13569" s="178"/>
      <c r="G13569" s="453"/>
      <c r="H13569" s="36"/>
      <c r="I13569" s="11"/>
    </row>
    <row r="13570" spans="1:9" ht="11.15" customHeight="1">
      <c r="A13570" s="29"/>
      <c r="B13570" s="728" t="s">
        <v>18014</v>
      </c>
      <c r="C13570" s="147"/>
      <c r="D13570" s="122"/>
      <c r="E13570" s="36"/>
      <c r="F13570" s="178"/>
      <c r="G13570" s="453"/>
      <c r="H13570" s="36"/>
      <c r="I13570" s="11"/>
    </row>
    <row r="13571" spans="1:9" ht="11.15" customHeight="1">
      <c r="A13571" s="29"/>
      <c r="B13571" s="728" t="s">
        <v>18015</v>
      </c>
      <c r="C13571" s="147"/>
      <c r="D13571" s="122"/>
      <c r="E13571" s="36"/>
      <c r="F13571" s="178"/>
      <c r="G13571" s="453"/>
      <c r="H13571" s="36"/>
      <c r="I13571" s="11"/>
    </row>
    <row r="13572" spans="1:9" ht="11.15" customHeight="1">
      <c r="A13572" s="29"/>
      <c r="B13572" s="728" t="s">
        <v>18016</v>
      </c>
      <c r="C13572" s="147"/>
      <c r="D13572" s="122"/>
      <c r="E13572" s="36"/>
      <c r="F13572" s="178"/>
      <c r="G13572" s="453"/>
      <c r="H13572" s="36"/>
      <c r="I13572" s="11"/>
    </row>
    <row r="13573" spans="1:9" ht="11.15" customHeight="1">
      <c r="A13573" s="29"/>
      <c r="B13573" s="728" t="s">
        <v>18017</v>
      </c>
      <c r="C13573" s="147"/>
      <c r="D13573" s="122"/>
      <c r="E13573" s="36"/>
      <c r="F13573" s="178"/>
      <c r="G13573" s="453"/>
      <c r="H13573" s="36"/>
      <c r="I13573" s="11"/>
    </row>
    <row r="13574" spans="1:9" ht="11.15" customHeight="1">
      <c r="A13574" s="29"/>
      <c r="B13574" s="728" t="s">
        <v>18018</v>
      </c>
      <c r="C13574" s="147"/>
      <c r="D13574" s="122"/>
      <c r="E13574" s="36"/>
      <c r="F13574" s="178"/>
      <c r="G13574" s="453"/>
      <c r="H13574" s="36"/>
      <c r="I13574" s="11"/>
    </row>
    <row r="13575" spans="1:9" ht="11.15" customHeight="1">
      <c r="A13575" s="29"/>
      <c r="B13575" s="728" t="s">
        <v>18019</v>
      </c>
      <c r="C13575" s="147"/>
      <c r="D13575" s="122"/>
      <c r="E13575" s="36"/>
      <c r="F13575" s="178"/>
      <c r="G13575" s="453"/>
      <c r="H13575" s="36"/>
      <c r="I13575" s="11"/>
    </row>
    <row r="13576" spans="1:9" ht="11.15" customHeight="1">
      <c r="A13576" s="29"/>
      <c r="B13576" s="814" t="s">
        <v>18020</v>
      </c>
      <c r="C13576" s="147"/>
      <c r="D13576" s="122"/>
      <c r="E13576" s="36"/>
      <c r="F13576" s="178"/>
      <c r="G13576" s="453"/>
      <c r="H13576" s="36"/>
      <c r="I13576" s="11"/>
    </row>
    <row r="13577" spans="1:9" ht="11.15" customHeight="1">
      <c r="A13577" s="29"/>
      <c r="B13577" s="728" t="s">
        <v>18021</v>
      </c>
      <c r="C13577" s="147"/>
      <c r="D13577" s="122"/>
      <c r="E13577" s="36"/>
      <c r="F13577" s="178"/>
      <c r="G13577" s="453"/>
      <c r="H13577" s="36"/>
      <c r="I13577" s="11"/>
    </row>
    <row r="13578" spans="1:9" ht="11.15" customHeight="1">
      <c r="A13578" s="29"/>
      <c r="B13578" s="728" t="s">
        <v>18022</v>
      </c>
      <c r="C13578" s="147"/>
      <c r="D13578" s="122"/>
      <c r="E13578" s="36"/>
      <c r="F13578" s="178"/>
      <c r="G13578" s="453"/>
      <c r="H13578" s="36"/>
      <c r="I13578" s="11"/>
    </row>
    <row r="13579" spans="1:9" ht="11.15" customHeight="1">
      <c r="A13579" s="29"/>
      <c r="B13579" s="728" t="s">
        <v>18023</v>
      </c>
      <c r="C13579" s="147"/>
      <c r="D13579" s="122"/>
      <c r="E13579" s="36"/>
      <c r="F13579" s="178"/>
      <c r="G13579" s="453"/>
      <c r="H13579" s="36"/>
      <c r="I13579" s="11"/>
    </row>
    <row r="13580" spans="1:9" ht="11.15" customHeight="1">
      <c r="A13580" s="29"/>
      <c r="B13580" s="727" t="s">
        <v>18024</v>
      </c>
      <c r="C13580" s="147"/>
      <c r="D13580" s="122"/>
      <c r="E13580" s="36"/>
      <c r="F13580" s="178"/>
      <c r="G13580" s="453"/>
      <c r="H13580" s="36"/>
      <c r="I13580" s="11"/>
    </row>
    <row r="13581" spans="1:9" ht="11.15" customHeight="1">
      <c r="A13581" s="115"/>
      <c r="B13581" s="728" t="s">
        <v>18025</v>
      </c>
      <c r="C13581" s="147"/>
      <c r="D13581" s="122"/>
      <c r="E13581" s="36"/>
      <c r="F13581" s="178"/>
      <c r="G13581" s="453"/>
      <c r="H13581" s="36"/>
      <c r="I13581" s="11"/>
    </row>
    <row r="13582" spans="1:9" ht="11.15" customHeight="1" thickBot="1">
      <c r="A13582" s="1177"/>
      <c r="B13582" s="815" t="s">
        <v>18026</v>
      </c>
      <c r="C13582" s="147"/>
      <c r="D13582" s="149"/>
      <c r="E13582" s="210"/>
      <c r="F13582" s="150"/>
      <c r="G13582" s="1243"/>
      <c r="H13582" s="210"/>
      <c r="I13582" s="11"/>
    </row>
    <row r="13583" spans="1:9" ht="11.15" customHeight="1" thickBot="1">
      <c r="A13583" s="29"/>
      <c r="B13583" s="90"/>
      <c r="C13583" s="147"/>
      <c r="D13583" s="122"/>
      <c r="E13583" s="36"/>
      <c r="F13583" s="178"/>
      <c r="G13583" s="453"/>
      <c r="H13583" s="36"/>
      <c r="I13583" s="11"/>
    </row>
    <row r="13584" spans="1:9" ht="24" customHeight="1" thickBot="1">
      <c r="A13584" s="49"/>
      <c r="B13584" s="64" t="s">
        <v>18027</v>
      </c>
      <c r="C13584" s="170"/>
      <c r="D13584" s="723"/>
      <c r="E13584" s="144"/>
      <c r="F13584" s="1060"/>
      <c r="G13584" s="1094"/>
      <c r="H13584" s="875"/>
      <c r="I13584" s="11"/>
    </row>
    <row r="13585" spans="1:12" ht="11.15" customHeight="1" thickBot="1">
      <c r="A13585" s="29"/>
      <c r="B13585" s="816" t="s">
        <v>18028</v>
      </c>
      <c r="C13585" s="147"/>
      <c r="D13585" s="122"/>
      <c r="E13585" s="36"/>
      <c r="F13585" s="178"/>
      <c r="G13585" s="60"/>
      <c r="H13585" s="36"/>
      <c r="I13585" s="11"/>
    </row>
    <row r="13586" spans="1:12" ht="11.15" customHeight="1" thickBot="1">
      <c r="A13586" s="184" t="s">
        <v>18029</v>
      </c>
      <c r="B13586" s="59" t="s">
        <v>22980</v>
      </c>
      <c r="C13586" s="147" t="s">
        <v>20221</v>
      </c>
      <c r="D13586" s="183" t="s">
        <v>18030</v>
      </c>
      <c r="E13586" s="178" t="s">
        <v>20221</v>
      </c>
      <c r="F13586" s="178" t="s">
        <v>23426</v>
      </c>
      <c r="G13586" s="496"/>
      <c r="H13586" s="994" t="s">
        <v>20277</v>
      </c>
      <c r="I13586" s="11" t="s">
        <v>18031</v>
      </c>
      <c r="J13586" s="1285"/>
      <c r="K13586" s="1285"/>
      <c r="L13586" s="1285"/>
    </row>
    <row r="13587" spans="1:12" ht="11.15" customHeight="1">
      <c r="A13587" s="29" t="s">
        <v>18032</v>
      </c>
      <c r="B13587" s="817" t="s">
        <v>18033</v>
      </c>
      <c r="C13587" s="147"/>
      <c r="D13587" s="122"/>
      <c r="E13587" s="36"/>
      <c r="F13587" s="178"/>
      <c r="G13587" s="671"/>
      <c r="H13587" s="36"/>
      <c r="I13587" s="11"/>
    </row>
    <row r="13588" spans="1:12" ht="11.15" customHeight="1">
      <c r="A13588" s="29" t="s">
        <v>18034</v>
      </c>
      <c r="B13588" s="90"/>
      <c r="C13588" s="147"/>
      <c r="D13588" s="122"/>
      <c r="E13588" s="36"/>
      <c r="F13588" s="178"/>
      <c r="G13588" s="671"/>
      <c r="H13588" s="36"/>
      <c r="I13588" s="11"/>
    </row>
    <row r="13589" spans="1:12" ht="11.15" customHeight="1">
      <c r="A13589" s="29" t="s">
        <v>18035</v>
      </c>
      <c r="B13589" s="90"/>
      <c r="C13589" s="147"/>
      <c r="D13589" s="122"/>
      <c r="E13589" s="36"/>
      <c r="F13589" s="178"/>
      <c r="G13589" s="671"/>
      <c r="H13589" s="36"/>
      <c r="I13589" s="11"/>
    </row>
    <row r="13590" spans="1:12" ht="11.15" customHeight="1">
      <c r="A13590" s="29" t="s">
        <v>18036</v>
      </c>
      <c r="B13590" s="90"/>
      <c r="C13590" s="147"/>
      <c r="D13590" s="122"/>
      <c r="E13590" s="36"/>
      <c r="F13590" s="178"/>
      <c r="G13590" s="671"/>
      <c r="H13590" s="36"/>
      <c r="I13590" s="11"/>
    </row>
    <row r="13591" spans="1:12" ht="11.15" customHeight="1">
      <c r="A13591" s="129" t="s">
        <v>1077</v>
      </c>
      <c r="B13591" s="29"/>
      <c r="C13591" s="147"/>
      <c r="D13591" s="122"/>
      <c r="E13591" s="36"/>
      <c r="F13591" s="178"/>
      <c r="G13591" s="671"/>
      <c r="H13591" s="36"/>
      <c r="I13591" s="11"/>
    </row>
    <row r="13592" spans="1:12" ht="11.15" customHeight="1">
      <c r="A13592" s="162" t="s">
        <v>18037</v>
      </c>
      <c r="B13592" s="29"/>
      <c r="C13592" s="147"/>
      <c r="D13592" s="122"/>
      <c r="E13592" s="36"/>
      <c r="F13592" s="178"/>
      <c r="G13592" s="671"/>
      <c r="H13592" s="36"/>
      <c r="I13592" s="11"/>
    </row>
    <row r="13593" spans="1:12" ht="11.15" customHeight="1">
      <c r="A13593" s="162" t="s">
        <v>18038</v>
      </c>
      <c r="B13593" s="29"/>
      <c r="C13593" s="147"/>
      <c r="D13593" s="122"/>
      <c r="E13593" s="36"/>
      <c r="F13593" s="178"/>
      <c r="G13593" s="671"/>
      <c r="H13593" s="36"/>
      <c r="I13593" s="11"/>
    </row>
    <row r="13594" spans="1:12" ht="11.15" customHeight="1">
      <c r="A13594" s="162" t="s">
        <v>18039</v>
      </c>
      <c r="B13594" s="29"/>
      <c r="C13594" s="147"/>
      <c r="D13594" s="122"/>
      <c r="E13594" s="36"/>
      <c r="F13594" s="178"/>
      <c r="G13594" s="671"/>
      <c r="H13594" s="36"/>
      <c r="I13594" s="11"/>
    </row>
    <row r="13595" spans="1:12" ht="11.15" customHeight="1">
      <c r="A13595" s="169" t="s">
        <v>18040</v>
      </c>
      <c r="B13595" s="29"/>
      <c r="C13595" s="147"/>
      <c r="D13595" s="122"/>
      <c r="E13595" s="36"/>
      <c r="F13595" s="178"/>
      <c r="G13595" s="671"/>
      <c r="H13595" s="36"/>
      <c r="I13595" s="11"/>
    </row>
    <row r="13596" spans="1:12" ht="11.15" customHeight="1">
      <c r="A13596" s="29"/>
      <c r="B13596" s="90"/>
      <c r="C13596" s="147"/>
      <c r="D13596" s="122"/>
      <c r="E13596" s="36"/>
      <c r="F13596" s="178"/>
      <c r="G13596" s="671"/>
      <c r="H13596" s="36"/>
      <c r="I13596" s="11"/>
    </row>
    <row r="13597" spans="1:12" ht="11.15" customHeight="1">
      <c r="A13597" s="29"/>
      <c r="B13597" s="818" t="s">
        <v>18041</v>
      </c>
      <c r="C13597" s="147"/>
      <c r="D13597" s="122"/>
      <c r="E13597" s="36"/>
      <c r="F13597" s="178"/>
      <c r="G13597" s="60"/>
      <c r="H13597" s="36"/>
      <c r="I13597" s="11"/>
    </row>
    <row r="13598" spans="1:12" ht="11.15" customHeight="1" thickBot="1">
      <c r="A13598" s="29"/>
      <c r="B13598" s="819" t="s">
        <v>18042</v>
      </c>
      <c r="C13598" s="147"/>
      <c r="D13598" s="122"/>
      <c r="E13598" s="36"/>
      <c r="F13598" s="178"/>
      <c r="G13598" s="60"/>
      <c r="H13598" s="36"/>
      <c r="I13598" s="11"/>
    </row>
    <row r="13599" spans="1:12" ht="11.15" customHeight="1" thickBot="1">
      <c r="A13599" s="184" t="s">
        <v>18043</v>
      </c>
      <c r="B13599" s="59" t="s">
        <v>22983</v>
      </c>
      <c r="C13599" s="147" t="s">
        <v>20221</v>
      </c>
      <c r="D13599" s="183" t="s">
        <v>18030</v>
      </c>
      <c r="E13599" s="178">
        <v>2019</v>
      </c>
      <c r="F13599" s="178" t="s">
        <v>23426</v>
      </c>
      <c r="G13599" s="496"/>
      <c r="H13599" s="994" t="s">
        <v>20221</v>
      </c>
      <c r="I13599" s="11" t="s">
        <v>18044</v>
      </c>
      <c r="J13599" s="1285"/>
      <c r="K13599" s="1285"/>
      <c r="L13599" s="1285"/>
    </row>
    <row r="13600" spans="1:12" ht="11.15" customHeight="1">
      <c r="A13600" s="29" t="s">
        <v>18045</v>
      </c>
      <c r="B13600" s="656" t="s">
        <v>18046</v>
      </c>
      <c r="C13600" s="147"/>
      <c r="D13600" s="122"/>
      <c r="E13600" s="36"/>
      <c r="F13600" s="178"/>
      <c r="G13600" s="60"/>
      <c r="H13600" s="36"/>
      <c r="I13600" s="11"/>
    </row>
    <row r="13601" spans="1:9" ht="11.15" customHeight="1">
      <c r="A13601" s="29" t="s">
        <v>18047</v>
      </c>
      <c r="B13601" s="817" t="s">
        <v>18048</v>
      </c>
      <c r="C13601" s="147"/>
      <c r="D13601" s="122"/>
      <c r="E13601" s="36"/>
      <c r="F13601" s="178"/>
      <c r="G13601" s="60"/>
      <c r="H13601" s="36"/>
      <c r="I13601" s="11"/>
    </row>
    <row r="13602" spans="1:9" ht="11.15" customHeight="1">
      <c r="A13602" s="29" t="s">
        <v>18049</v>
      </c>
      <c r="B13602" s="820" t="s">
        <v>18050</v>
      </c>
      <c r="C13602" s="147"/>
      <c r="D13602" s="122"/>
      <c r="E13602" s="36"/>
      <c r="F13602" s="178"/>
      <c r="G13602" s="60"/>
      <c r="H13602" s="36"/>
      <c r="I13602" s="11"/>
    </row>
    <row r="13603" spans="1:9" ht="11.15" customHeight="1" thickBot="1">
      <c r="A13603" s="29" t="s">
        <v>18051</v>
      </c>
      <c r="B13603" s="29"/>
      <c r="C13603" s="29"/>
      <c r="D13603" s="29"/>
      <c r="E13603" s="29"/>
      <c r="F13603" s="29"/>
      <c r="G13603" s="29"/>
      <c r="H13603" s="29"/>
      <c r="I13603" s="11"/>
    </row>
    <row r="13604" spans="1:9" ht="11.15" customHeight="1">
      <c r="A13604" s="29" t="s">
        <v>18052</v>
      </c>
      <c r="B13604" s="821" t="s">
        <v>18053</v>
      </c>
      <c r="C13604" s="191"/>
      <c r="D13604" s="306"/>
      <c r="E13604" s="31"/>
      <c r="F13604" s="563"/>
      <c r="G13604" s="56"/>
      <c r="H13604" s="1121"/>
      <c r="I13604" s="11"/>
    </row>
    <row r="13605" spans="1:9" ht="11.15" customHeight="1">
      <c r="A13605" s="29" t="s">
        <v>18054</v>
      </c>
      <c r="B13605" s="553" t="s">
        <v>18055</v>
      </c>
      <c r="C13605" s="147"/>
      <c r="D13605" s="122"/>
      <c r="E13605" s="36"/>
      <c r="F13605" s="178"/>
      <c r="G13605" s="60"/>
      <c r="H13605" s="628"/>
      <c r="I13605" s="11"/>
    </row>
    <row r="13606" spans="1:9" ht="11.15" customHeight="1">
      <c r="A13606" s="29" t="s">
        <v>18056</v>
      </c>
      <c r="B13606" s="553" t="s">
        <v>18057</v>
      </c>
      <c r="C13606" s="147"/>
      <c r="D13606" s="122"/>
      <c r="E13606" s="36"/>
      <c r="F13606" s="178"/>
      <c r="G13606" s="60"/>
      <c r="H13606" s="628"/>
      <c r="I13606" s="11"/>
    </row>
    <row r="13607" spans="1:9" ht="11.15" customHeight="1">
      <c r="A13607" s="129" t="s">
        <v>18058</v>
      </c>
      <c r="B13607" s="553" t="s">
        <v>18059</v>
      </c>
      <c r="C13607" s="147"/>
      <c r="D13607" s="122"/>
      <c r="E13607" s="36"/>
      <c r="F13607" s="178"/>
      <c r="G13607" s="60"/>
      <c r="H13607" s="628"/>
      <c r="I13607" s="11"/>
    </row>
    <row r="13608" spans="1:9" ht="11.15" customHeight="1">
      <c r="A13608" s="162" t="s">
        <v>18060</v>
      </c>
      <c r="B13608" s="553" t="s">
        <v>18061</v>
      </c>
      <c r="C13608" s="147"/>
      <c r="D13608" s="122"/>
      <c r="E13608" s="36"/>
      <c r="F13608" s="178"/>
      <c r="G13608" s="60"/>
      <c r="H13608" s="628"/>
      <c r="I13608" s="11"/>
    </row>
    <row r="13609" spans="1:9" ht="11.15" customHeight="1">
      <c r="A13609" s="514" t="s">
        <v>18062</v>
      </c>
      <c r="B13609" s="553" t="s">
        <v>18063</v>
      </c>
      <c r="C13609" s="147"/>
      <c r="D13609" s="122"/>
      <c r="E13609" s="36"/>
      <c r="F13609" s="178"/>
      <c r="G13609" s="60"/>
      <c r="H13609" s="628"/>
      <c r="I13609" s="11"/>
    </row>
    <row r="13610" spans="1:9" ht="11.15" customHeight="1">
      <c r="A13610" s="162" t="s">
        <v>18064</v>
      </c>
      <c r="B13610" s="553" t="s">
        <v>18065</v>
      </c>
      <c r="C13610" s="147"/>
      <c r="D13610" s="122"/>
      <c r="E13610" s="36"/>
      <c r="F13610" s="178"/>
      <c r="G13610" s="60"/>
      <c r="H13610" s="628"/>
      <c r="I13610" s="11"/>
    </row>
    <row r="13611" spans="1:9" ht="11.15" customHeight="1">
      <c r="A13611" s="129" t="s">
        <v>1077</v>
      </c>
      <c r="B13611" s="553" t="s">
        <v>18066</v>
      </c>
      <c r="C13611" s="147"/>
      <c r="D13611" s="122"/>
      <c r="E13611" s="36"/>
      <c r="F13611" s="178"/>
      <c r="G13611" s="60"/>
      <c r="H13611" s="628"/>
      <c r="I13611" s="11"/>
    </row>
    <row r="13612" spans="1:9" ht="11.15" customHeight="1">
      <c r="A13612" s="162" t="s">
        <v>18067</v>
      </c>
      <c r="B13612" s="553" t="s">
        <v>18068</v>
      </c>
      <c r="C13612" s="147"/>
      <c r="D13612" s="122"/>
      <c r="E13612" s="36"/>
      <c r="F13612" s="178"/>
      <c r="G13612" s="60"/>
      <c r="H13612" s="628"/>
      <c r="I13612" s="11"/>
    </row>
    <row r="13613" spans="1:9" ht="11.15" customHeight="1">
      <c r="A13613" s="162" t="s">
        <v>18069</v>
      </c>
      <c r="B13613" s="553" t="s">
        <v>18070</v>
      </c>
      <c r="C13613" s="147"/>
      <c r="D13613" s="122"/>
      <c r="E13613" s="36"/>
      <c r="F13613" s="178"/>
      <c r="G13613" s="60"/>
      <c r="H13613" s="628"/>
      <c r="I13613" s="11"/>
    </row>
    <row r="13614" spans="1:9" ht="11.15" customHeight="1">
      <c r="A13614" s="162" t="s">
        <v>18071</v>
      </c>
      <c r="B13614" s="553" t="s">
        <v>18072</v>
      </c>
      <c r="C13614" s="147"/>
      <c r="D13614" s="122"/>
      <c r="E13614" s="36"/>
      <c r="F13614" s="178"/>
      <c r="G13614" s="60"/>
      <c r="H13614" s="628"/>
      <c r="I13614" s="11"/>
    </row>
    <row r="13615" spans="1:9" ht="11.15" customHeight="1">
      <c r="A13615" s="162" t="s">
        <v>18073</v>
      </c>
      <c r="B13615" s="553" t="s">
        <v>18074</v>
      </c>
      <c r="C13615" s="147"/>
      <c r="D13615" s="122"/>
      <c r="E13615" s="36"/>
      <c r="F13615" s="178"/>
      <c r="G13615" s="60"/>
      <c r="H13615" s="628"/>
      <c r="I13615" s="11"/>
    </row>
    <row r="13616" spans="1:9" ht="11.15" customHeight="1">
      <c r="A13616" s="162" t="s">
        <v>18075</v>
      </c>
      <c r="B13616" s="553" t="s">
        <v>18076</v>
      </c>
      <c r="C13616" s="147"/>
      <c r="D13616" s="122"/>
      <c r="E13616" s="36"/>
      <c r="F13616" s="178"/>
      <c r="G13616" s="60"/>
      <c r="H13616" s="628"/>
      <c r="I13616" s="11"/>
    </row>
    <row r="13617" spans="1:9" ht="11.15" customHeight="1">
      <c r="A13617" s="162" t="s">
        <v>18077</v>
      </c>
      <c r="B13617" s="553" t="s">
        <v>18078</v>
      </c>
      <c r="C13617" s="147"/>
      <c r="D13617" s="122"/>
      <c r="E13617" s="36"/>
      <c r="F13617" s="178"/>
      <c r="G13617" s="60"/>
      <c r="H13617" s="628"/>
      <c r="I13617" s="11"/>
    </row>
    <row r="13618" spans="1:9" ht="11.15" customHeight="1">
      <c r="A13618" s="162" t="s">
        <v>18079</v>
      </c>
      <c r="B13618" s="553" t="s">
        <v>18080</v>
      </c>
      <c r="C13618" s="147"/>
      <c r="D13618" s="122"/>
      <c r="E13618" s="36"/>
      <c r="F13618" s="178"/>
      <c r="G13618" s="60"/>
      <c r="H13618" s="628"/>
      <c r="I13618" s="11"/>
    </row>
    <row r="13619" spans="1:9" ht="11.15" customHeight="1">
      <c r="A13619" s="162" t="s">
        <v>18081</v>
      </c>
      <c r="B13619" s="553" t="s">
        <v>18082</v>
      </c>
      <c r="C13619" s="147"/>
      <c r="D13619" s="122"/>
      <c r="E13619" s="36"/>
      <c r="F13619" s="178"/>
      <c r="G13619" s="60"/>
      <c r="H13619" s="628"/>
      <c r="I13619" s="11"/>
    </row>
    <row r="13620" spans="1:9" ht="11.15" customHeight="1">
      <c r="A13620" s="162" t="s">
        <v>18083</v>
      </c>
      <c r="B13620" s="553" t="s">
        <v>18084</v>
      </c>
      <c r="C13620" s="147"/>
      <c r="D13620" s="122"/>
      <c r="E13620" s="36"/>
      <c r="F13620" s="178"/>
      <c r="G13620" s="60"/>
      <c r="H13620" s="628"/>
      <c r="I13620" s="11"/>
    </row>
    <row r="13621" spans="1:9" ht="11.15" customHeight="1">
      <c r="A13621" s="162" t="s">
        <v>18085</v>
      </c>
      <c r="B13621" s="553" t="s">
        <v>18086</v>
      </c>
      <c r="C13621" s="147"/>
      <c r="D13621" s="122"/>
      <c r="E13621" s="36"/>
      <c r="F13621" s="178"/>
      <c r="G13621" s="60"/>
      <c r="H13621" s="628"/>
      <c r="I13621" s="11"/>
    </row>
    <row r="13622" spans="1:9" ht="11.15" customHeight="1">
      <c r="A13622" s="162" t="s">
        <v>18087</v>
      </c>
      <c r="B13622" s="553" t="s">
        <v>18088</v>
      </c>
      <c r="C13622" s="147"/>
      <c r="D13622" s="122"/>
      <c r="E13622" s="36"/>
      <c r="F13622" s="178"/>
      <c r="G13622" s="60"/>
      <c r="H13622" s="628"/>
      <c r="I13622" s="11"/>
    </row>
    <row r="13623" spans="1:9" ht="11.15" customHeight="1">
      <c r="A13623" s="162" t="s">
        <v>18089</v>
      </c>
      <c r="B13623" s="553" t="s">
        <v>18090</v>
      </c>
      <c r="C13623" s="147"/>
      <c r="D13623" s="122"/>
      <c r="E13623" s="36"/>
      <c r="F13623" s="178"/>
      <c r="G13623" s="60"/>
      <c r="H13623" s="628"/>
      <c r="I13623" s="11"/>
    </row>
    <row r="13624" spans="1:9" ht="11.15" customHeight="1">
      <c r="A13624" s="162" t="s">
        <v>18091</v>
      </c>
      <c r="B13624" s="553" t="s">
        <v>18092</v>
      </c>
      <c r="C13624" s="147"/>
      <c r="D13624" s="122"/>
      <c r="E13624" s="36"/>
      <c r="F13624" s="178"/>
      <c r="G13624" s="60"/>
      <c r="H13624" s="628"/>
      <c r="I13624" s="11"/>
    </row>
    <row r="13625" spans="1:9" ht="11.15" customHeight="1">
      <c r="A13625" s="168" t="s">
        <v>18093</v>
      </c>
      <c r="B13625" s="553" t="s">
        <v>18094</v>
      </c>
      <c r="C13625" s="147"/>
      <c r="D13625" s="122"/>
      <c r="E13625" s="36"/>
      <c r="F13625" s="178"/>
      <c r="G13625" s="60"/>
      <c r="H13625" s="628"/>
      <c r="I13625" s="11"/>
    </row>
    <row r="13626" spans="1:9" ht="11.15" customHeight="1">
      <c r="A13626" s="822" t="s">
        <v>18095</v>
      </c>
      <c r="B13626" s="553" t="s">
        <v>18096</v>
      </c>
      <c r="C13626" s="147"/>
      <c r="D13626" s="122"/>
      <c r="E13626" s="36"/>
      <c r="F13626" s="178"/>
      <c r="G13626" s="60"/>
      <c r="H13626" s="628"/>
      <c r="I13626" s="11"/>
    </row>
    <row r="13627" spans="1:9" ht="11.15" customHeight="1">
      <c r="A13627" s="129" t="s">
        <v>18097</v>
      </c>
      <c r="B13627" s="553" t="s">
        <v>18098</v>
      </c>
      <c r="C13627" s="147"/>
      <c r="D13627" s="122"/>
      <c r="E13627" s="36"/>
      <c r="F13627" s="178"/>
      <c r="G13627" s="60"/>
      <c r="H13627" s="628"/>
      <c r="I13627" s="11"/>
    </row>
    <row r="13628" spans="1:9" ht="11.15" customHeight="1" thickBot="1">
      <c r="A13628" s="129" t="s">
        <v>18099</v>
      </c>
      <c r="B13628" s="823" t="s">
        <v>18100</v>
      </c>
      <c r="C13628" s="203"/>
      <c r="D13628" s="118"/>
      <c r="E13628" s="374"/>
      <c r="F13628" s="568"/>
      <c r="G13628" s="1182"/>
      <c r="H13628" s="630"/>
      <c r="I13628" s="11"/>
    </row>
    <row r="13629" spans="1:9" ht="11.15" customHeight="1">
      <c r="A13629" s="356"/>
      <c r="B13629" s="90"/>
      <c r="C13629" s="147"/>
      <c r="D13629" s="122"/>
      <c r="E13629" s="36"/>
      <c r="F13629" s="178"/>
      <c r="G13629" s="60"/>
      <c r="H13629" s="36"/>
      <c r="I13629" s="11"/>
    </row>
    <row r="13630" spans="1:9" ht="11.15" customHeight="1">
      <c r="A13630" s="824"/>
      <c r="B13630" s="825" t="s">
        <v>18101</v>
      </c>
      <c r="C13630" s="826"/>
      <c r="D13630" s="827"/>
      <c r="E13630" s="828"/>
      <c r="F13630" s="971"/>
      <c r="G13630" s="1256"/>
      <c r="H13630" s="828"/>
      <c r="I13630" s="11"/>
    </row>
    <row r="13631" spans="1:9" ht="9" customHeight="1">
      <c r="A13631" s="829"/>
      <c r="B13631" s="216" t="s">
        <v>18102</v>
      </c>
      <c r="C13631" s="147"/>
      <c r="D13631" s="122"/>
      <c r="E13631" s="36"/>
      <c r="F13631" s="178"/>
      <c r="G13631" s="671"/>
      <c r="H13631" s="36"/>
      <c r="I13631" s="11"/>
    </row>
    <row r="13632" spans="1:9" ht="9" customHeight="1" thickBot="1">
      <c r="A13632" s="829"/>
      <c r="B13632" s="210" t="s">
        <v>18103</v>
      </c>
      <c r="C13632" s="147"/>
      <c r="D13632" s="122"/>
      <c r="E13632" s="36"/>
      <c r="F13632" s="178"/>
      <c r="G13632" s="671"/>
      <c r="H13632" s="36"/>
      <c r="I13632" s="11"/>
    </row>
    <row r="13633" spans="1:12" ht="11.15" customHeight="1">
      <c r="A13633" s="600" t="s">
        <v>18104</v>
      </c>
      <c r="B13633" s="59" t="s">
        <v>22985</v>
      </c>
      <c r="C13633" s="147" t="s">
        <v>20221</v>
      </c>
      <c r="D13633" s="1318" t="s">
        <v>18030</v>
      </c>
      <c r="E13633" s="178" t="s">
        <v>20221</v>
      </c>
      <c r="F13633" s="178" t="s">
        <v>23426</v>
      </c>
      <c r="G13633" s="496"/>
      <c r="H13633" s="994" t="s">
        <v>20224</v>
      </c>
      <c r="I13633" s="11" t="s">
        <v>23359</v>
      </c>
      <c r="J13633" s="1285"/>
      <c r="K13633" s="1285"/>
      <c r="L13633" s="1285"/>
    </row>
    <row r="13634" spans="1:12" ht="11.15" customHeight="1" thickBot="1">
      <c r="A13634" s="670" t="s">
        <v>18105</v>
      </c>
      <c r="B13634" s="656" t="s">
        <v>18106</v>
      </c>
      <c r="C13634" s="830"/>
      <c r="D13634" s="831"/>
      <c r="E13634" s="832"/>
      <c r="F13634" s="178"/>
      <c r="G13634" s="430"/>
      <c r="H13634" s="178"/>
      <c r="I13634" s="11"/>
    </row>
    <row r="13635" spans="1:12" ht="11.15" customHeight="1">
      <c r="A13635" s="104" t="s">
        <v>18107</v>
      </c>
      <c r="B13635" s="36" t="s">
        <v>18108</v>
      </c>
      <c r="C13635" s="830"/>
      <c r="D13635" s="831"/>
      <c r="E13635" s="832"/>
      <c r="F13635" s="178"/>
      <c r="G13635" s="671"/>
      <c r="H13635" s="178"/>
      <c r="I13635" s="11"/>
    </row>
    <row r="13636" spans="1:12" ht="11.15" customHeight="1">
      <c r="A13636" s="104" t="s">
        <v>18109</v>
      </c>
      <c r="B13636" s="820"/>
      <c r="C13636" s="830"/>
      <c r="D13636" s="831"/>
      <c r="E13636" s="832"/>
      <c r="F13636" s="178"/>
      <c r="G13636" s="671"/>
      <c r="H13636" s="178"/>
      <c r="I13636" s="11"/>
    </row>
    <row r="13637" spans="1:12" ht="11.15" customHeight="1">
      <c r="A13637" s="104" t="s">
        <v>18110</v>
      </c>
      <c r="B13637" s="67"/>
      <c r="C13637" s="830"/>
      <c r="D13637" s="831"/>
      <c r="E13637" s="832"/>
      <c r="F13637" s="178"/>
      <c r="G13637" s="671"/>
      <c r="H13637" s="178"/>
      <c r="I13637" s="11"/>
    </row>
    <row r="13638" spans="1:12" ht="11.15" customHeight="1">
      <c r="A13638" s="104" t="s">
        <v>18111</v>
      </c>
      <c r="B13638" s="833"/>
      <c r="C13638" s="830"/>
      <c r="D13638" s="831"/>
      <c r="E13638" s="667"/>
      <c r="F13638" s="122"/>
      <c r="G13638" s="1257"/>
      <c r="H13638" s="122"/>
      <c r="I13638" s="11"/>
    </row>
    <row r="13639" spans="1:12" ht="11.15" customHeight="1">
      <c r="A13639" s="29" t="s">
        <v>18112</v>
      </c>
      <c r="B13639" s="656"/>
      <c r="C13639" s="830"/>
      <c r="D13639" s="831"/>
      <c r="E13639" s="832"/>
      <c r="F13639" s="178"/>
      <c r="G13639" s="671"/>
      <c r="H13639" s="178"/>
      <c r="I13639" s="11"/>
    </row>
    <row r="13640" spans="1:12" ht="11.15" customHeight="1">
      <c r="A13640" s="29" t="s">
        <v>18113</v>
      </c>
      <c r="B13640" s="656"/>
      <c r="C13640" s="830"/>
      <c r="D13640" s="831"/>
      <c r="E13640" s="832"/>
      <c r="F13640" s="178"/>
      <c r="G13640" s="671"/>
      <c r="H13640" s="178"/>
      <c r="I13640" s="11"/>
    </row>
    <row r="13641" spans="1:12" ht="11.15" customHeight="1">
      <c r="A13641" s="29" t="s">
        <v>18114</v>
      </c>
      <c r="B13641" s="656"/>
      <c r="C13641" s="830"/>
      <c r="D13641" s="831"/>
      <c r="E13641" s="832"/>
      <c r="F13641" s="178"/>
      <c r="G13641" s="671"/>
      <c r="H13641" s="178"/>
      <c r="I13641" s="11"/>
    </row>
    <row r="13642" spans="1:12" ht="11.15" customHeight="1">
      <c r="A13642" s="29" t="s">
        <v>18115</v>
      </c>
      <c r="B13642" s="656"/>
      <c r="C13642" s="830"/>
      <c r="D13642" s="831"/>
      <c r="E13642" s="832"/>
      <c r="F13642" s="178"/>
      <c r="G13642" s="671"/>
      <c r="H13642" s="178"/>
      <c r="I13642" s="11"/>
    </row>
    <row r="13643" spans="1:12" ht="11.15" customHeight="1">
      <c r="A13643" s="29" t="s">
        <v>18116</v>
      </c>
      <c r="B13643" s="656"/>
      <c r="C13643" s="830"/>
      <c r="D13643" s="831"/>
      <c r="E13643" s="832"/>
      <c r="F13643" s="178"/>
      <c r="G13643" s="671"/>
      <c r="H13643" s="178"/>
      <c r="I13643" s="11"/>
    </row>
    <row r="13644" spans="1:12" ht="9" customHeight="1">
      <c r="A13644" s="239" t="s">
        <v>1077</v>
      </c>
      <c r="B13644" s="681"/>
      <c r="C13644" s="830"/>
      <c r="D13644" s="834"/>
      <c r="E13644" s="334"/>
      <c r="F13644" s="150"/>
      <c r="G13644" s="1238"/>
      <c r="H13644" s="150"/>
      <c r="I13644" s="11"/>
    </row>
    <row r="13645" spans="1:12" ht="9" customHeight="1">
      <c r="A13645" s="162" t="s">
        <v>18117</v>
      </c>
      <c r="B13645" s="681"/>
      <c r="C13645" s="830"/>
      <c r="D13645" s="834"/>
      <c r="E13645" s="334"/>
      <c r="F13645" s="150"/>
      <c r="G13645" s="1238"/>
      <c r="H13645" s="150"/>
      <c r="I13645" s="11"/>
    </row>
    <row r="13646" spans="1:12" ht="9" customHeight="1">
      <c r="A13646" s="162" t="s">
        <v>18118</v>
      </c>
      <c r="B13646" s="681"/>
      <c r="C13646" s="830"/>
      <c r="D13646" s="834"/>
      <c r="E13646" s="334"/>
      <c r="F13646" s="150"/>
      <c r="G13646" s="1238"/>
      <c r="H13646" s="150"/>
      <c r="I13646" s="11"/>
    </row>
    <row r="13647" spans="1:12" ht="9" customHeight="1">
      <c r="A13647" s="162" t="s">
        <v>18119</v>
      </c>
      <c r="B13647" s="681"/>
      <c r="C13647" s="830"/>
      <c r="D13647" s="834"/>
      <c r="E13647" s="334"/>
      <c r="F13647" s="150"/>
      <c r="G13647" s="1238"/>
      <c r="H13647" s="150"/>
      <c r="I13647" s="11"/>
    </row>
    <row r="13648" spans="1:12" ht="9" customHeight="1">
      <c r="A13648" s="162" t="s">
        <v>18120</v>
      </c>
      <c r="B13648" s="681"/>
      <c r="C13648" s="830"/>
      <c r="D13648" s="834"/>
      <c r="E13648" s="334"/>
      <c r="F13648" s="150"/>
      <c r="G13648" s="1238"/>
      <c r="H13648" s="150"/>
      <c r="I13648" s="11"/>
    </row>
    <row r="13649" spans="1:12" ht="9" customHeight="1">
      <c r="A13649" s="162" t="s">
        <v>18121</v>
      </c>
      <c r="B13649" s="681"/>
      <c r="C13649" s="830"/>
      <c r="D13649" s="834"/>
      <c r="E13649" s="334"/>
      <c r="F13649" s="150"/>
      <c r="G13649" s="1238"/>
      <c r="H13649" s="150"/>
      <c r="I13649" s="11"/>
    </row>
    <row r="13650" spans="1:12" ht="9" customHeight="1">
      <c r="A13650" s="162" t="s">
        <v>18122</v>
      </c>
      <c r="B13650" s="681"/>
      <c r="C13650" s="830"/>
      <c r="D13650" s="834"/>
      <c r="E13650" s="334"/>
      <c r="F13650" s="150"/>
      <c r="G13650" s="1238"/>
      <c r="H13650" s="150"/>
      <c r="I13650" s="11"/>
    </row>
    <row r="13651" spans="1:12" ht="9" customHeight="1">
      <c r="A13651" s="162" t="s">
        <v>18123</v>
      </c>
      <c r="B13651" s="681"/>
      <c r="C13651" s="830"/>
      <c r="D13651" s="834"/>
      <c r="E13651" s="334"/>
      <c r="F13651" s="150"/>
      <c r="G13651" s="1238"/>
      <c r="H13651" s="150"/>
      <c r="I13651" s="11"/>
    </row>
    <row r="13652" spans="1:12" ht="9" customHeight="1">
      <c r="A13652" s="162" t="s">
        <v>18124</v>
      </c>
      <c r="B13652" s="681"/>
      <c r="C13652" s="830"/>
      <c r="D13652" s="834"/>
      <c r="E13652" s="334"/>
      <c r="F13652" s="150"/>
      <c r="G13652" s="1238"/>
      <c r="H13652" s="150"/>
      <c r="I13652" s="11"/>
    </row>
    <row r="13653" spans="1:12" ht="9" customHeight="1">
      <c r="A13653" s="162" t="s">
        <v>18125</v>
      </c>
      <c r="B13653" s="681"/>
      <c r="C13653" s="830"/>
      <c r="D13653" s="834"/>
      <c r="E13653" s="334"/>
      <c r="F13653" s="150"/>
      <c r="G13653" s="1238"/>
      <c r="H13653" s="150"/>
      <c r="I13653" s="11"/>
    </row>
    <row r="13654" spans="1:12" ht="9" customHeight="1">
      <c r="A13654" s="162" t="s">
        <v>18126</v>
      </c>
      <c r="B13654" s="681"/>
      <c r="C13654" s="830"/>
      <c r="D13654" s="834"/>
      <c r="E13654" s="334"/>
      <c r="F13654" s="150"/>
      <c r="G13654" s="1238"/>
      <c r="H13654" s="150"/>
      <c r="I13654" s="11"/>
    </row>
    <row r="13655" spans="1:12" ht="9" customHeight="1">
      <c r="A13655" s="162" t="s">
        <v>18127</v>
      </c>
      <c r="B13655" s="681"/>
      <c r="C13655" s="830"/>
      <c r="D13655" s="834"/>
      <c r="E13655" s="334"/>
      <c r="F13655" s="150"/>
      <c r="G13655" s="1238"/>
      <c r="H13655" s="150"/>
      <c r="I13655" s="11"/>
    </row>
    <row r="13656" spans="1:12" ht="11.15" customHeight="1">
      <c r="A13656" s="162" t="s">
        <v>18128</v>
      </c>
      <c r="B13656" s="835"/>
      <c r="C13656" s="830"/>
      <c r="D13656" s="831"/>
      <c r="E13656" s="832"/>
      <c r="F13656" s="178"/>
      <c r="G13656" s="671"/>
      <c r="H13656" s="178"/>
      <c r="I13656" s="11"/>
    </row>
    <row r="13657" spans="1:12" ht="11.15" customHeight="1">
      <c r="A13657" s="199" t="s">
        <v>18129</v>
      </c>
      <c r="B13657" s="656"/>
      <c r="C13657" s="147"/>
      <c r="D13657" s="129"/>
      <c r="E13657" s="836"/>
      <c r="F13657" s="60"/>
      <c r="G13657" s="671"/>
      <c r="H13657" s="228"/>
      <c r="I13657" s="11"/>
    </row>
    <row r="13658" spans="1:12" ht="11.15" customHeight="1">
      <c r="A13658" s="616" t="s">
        <v>5463</v>
      </c>
      <c r="B13658" s="656"/>
      <c r="C13658" s="830"/>
      <c r="D13658" s="831"/>
      <c r="E13658" s="832"/>
      <c r="F13658" s="178"/>
      <c r="G13658" s="671"/>
      <c r="H13658" s="178"/>
      <c r="I13658" s="11"/>
    </row>
    <row r="13659" spans="1:12" ht="11.15" customHeight="1">
      <c r="A13659" s="285" t="s">
        <v>18130</v>
      </c>
      <c r="B13659" s="656"/>
      <c r="C13659" s="830"/>
      <c r="D13659" s="831"/>
      <c r="E13659" s="832"/>
      <c r="F13659" s="178"/>
      <c r="G13659" s="671"/>
      <c r="H13659" s="178"/>
      <c r="I13659" s="11"/>
    </row>
    <row r="13660" spans="1:12" ht="9" customHeight="1">
      <c r="A13660" s="837"/>
      <c r="B13660" s="210" t="s">
        <v>18131</v>
      </c>
      <c r="C13660" s="830"/>
      <c r="D13660" s="831"/>
      <c r="E13660" s="228"/>
      <c r="F13660" s="178"/>
      <c r="G13660" s="671"/>
      <c r="H13660" s="178"/>
      <c r="I13660" s="11"/>
    </row>
    <row r="13661" spans="1:12" ht="9" customHeight="1" thickBot="1">
      <c r="A13661" s="837"/>
      <c r="B13661" s="150" t="s">
        <v>18132</v>
      </c>
      <c r="C13661" s="830"/>
      <c r="D13661" s="831"/>
      <c r="E13661" s="228"/>
      <c r="F13661" s="178"/>
      <c r="G13661" s="671"/>
      <c r="H13661" s="178"/>
      <c r="I13661" s="11"/>
    </row>
    <row r="13662" spans="1:12" ht="11.15" customHeight="1" thickBot="1">
      <c r="A13662" s="704" t="s">
        <v>18133</v>
      </c>
      <c r="B13662" s="59" t="s">
        <v>22987</v>
      </c>
      <c r="C13662" s="147" t="s">
        <v>20221</v>
      </c>
      <c r="D13662" s="1318" t="s">
        <v>18030</v>
      </c>
      <c r="E13662" s="178" t="s">
        <v>20221</v>
      </c>
      <c r="F13662" s="178" t="s">
        <v>23426</v>
      </c>
      <c r="G13662" s="496"/>
      <c r="H13662" s="994" t="s">
        <v>20221</v>
      </c>
      <c r="I13662" s="11" t="s">
        <v>18134</v>
      </c>
      <c r="J13662" s="1285"/>
      <c r="K13662" s="1285"/>
      <c r="L13662" s="1285"/>
    </row>
    <row r="13663" spans="1:12" ht="11.15" customHeight="1">
      <c r="A13663" s="104" t="s">
        <v>18135</v>
      </c>
      <c r="B13663" s="656" t="s">
        <v>18136</v>
      </c>
      <c r="C13663" s="830"/>
      <c r="D13663" s="831"/>
      <c r="E13663" s="832"/>
      <c r="F13663" s="178"/>
      <c r="G13663" s="430"/>
      <c r="H13663" s="178"/>
      <c r="I13663" s="11"/>
    </row>
    <row r="13664" spans="1:12" ht="11.15" customHeight="1">
      <c r="A13664" s="104" t="s">
        <v>18137</v>
      </c>
      <c r="B13664" s="835"/>
      <c r="C13664" s="835"/>
      <c r="D13664" s="835"/>
      <c r="E13664" s="835"/>
      <c r="F13664" s="835"/>
      <c r="G13664" s="835"/>
      <c r="H13664" s="835"/>
      <c r="I13664" s="11"/>
    </row>
    <row r="13665" spans="1:9" ht="11.15" customHeight="1">
      <c r="A13665" s="104" t="s">
        <v>18138</v>
      </c>
      <c r="B13665" s="835"/>
      <c r="C13665" s="830"/>
      <c r="D13665" s="831"/>
      <c r="E13665" s="832"/>
      <c r="F13665" s="178"/>
      <c r="G13665" s="671"/>
      <c r="H13665" s="178"/>
      <c r="I13665" s="11"/>
    </row>
    <row r="13666" spans="1:9" ht="11.15" customHeight="1">
      <c r="A13666" s="104" t="s">
        <v>18139</v>
      </c>
      <c r="B13666" s="90"/>
      <c r="C13666" s="830"/>
      <c r="D13666" s="831"/>
      <c r="E13666" s="832"/>
      <c r="F13666" s="178"/>
      <c r="G13666" s="671"/>
      <c r="H13666" s="178"/>
      <c r="I13666" s="11"/>
    </row>
    <row r="13667" spans="1:9" ht="11.15" customHeight="1">
      <c r="A13667" s="838" t="s">
        <v>18140</v>
      </c>
      <c r="B13667" s="90"/>
      <c r="C13667" s="830"/>
      <c r="D13667" s="831"/>
      <c r="E13667" s="832"/>
      <c r="F13667" s="178"/>
      <c r="G13667" s="671"/>
      <c r="H13667" s="178"/>
      <c r="I13667" s="11"/>
    </row>
    <row r="13668" spans="1:9" ht="9" customHeight="1">
      <c r="A13668" s="163" t="s">
        <v>18141</v>
      </c>
      <c r="B13668" s="90"/>
      <c r="C13668" s="830"/>
      <c r="D13668" s="831"/>
      <c r="E13668" s="832"/>
      <c r="F13668" s="178"/>
      <c r="G13668" s="671"/>
      <c r="H13668" s="178"/>
      <c r="I13668" s="11"/>
    </row>
    <row r="13669" spans="1:9" ht="9" customHeight="1">
      <c r="A13669" s="292" t="s">
        <v>18142</v>
      </c>
      <c r="B13669" s="90"/>
      <c r="C13669" s="830"/>
      <c r="D13669" s="831"/>
      <c r="E13669" s="832"/>
      <c r="F13669" s="178"/>
      <c r="G13669" s="671"/>
      <c r="H13669" s="178"/>
      <c r="I13669" s="11"/>
    </row>
    <row r="13670" spans="1:9" ht="9" customHeight="1">
      <c r="A13670" s="163" t="s">
        <v>18143</v>
      </c>
      <c r="B13670" s="90"/>
      <c r="C13670" s="830"/>
      <c r="D13670" s="831"/>
      <c r="E13670" s="832"/>
      <c r="F13670" s="178"/>
      <c r="G13670" s="671"/>
      <c r="H13670" s="178"/>
      <c r="I13670" s="11"/>
    </row>
    <row r="13671" spans="1:9" ht="9" customHeight="1">
      <c r="A13671" s="163" t="s">
        <v>18144</v>
      </c>
      <c r="B13671" s="90"/>
      <c r="C13671" s="830"/>
      <c r="D13671" s="831"/>
      <c r="E13671" s="832"/>
      <c r="F13671" s="178"/>
      <c r="G13671" s="671"/>
      <c r="H13671" s="178"/>
      <c r="I13671" s="11"/>
    </row>
    <row r="13672" spans="1:9" ht="9" customHeight="1">
      <c r="A13672" s="163" t="s">
        <v>18145</v>
      </c>
      <c r="B13672" s="90"/>
      <c r="C13672" s="830"/>
      <c r="D13672" s="831"/>
      <c r="E13672" s="832"/>
      <c r="F13672" s="178"/>
      <c r="G13672" s="671"/>
      <c r="H13672" s="178"/>
      <c r="I13672" s="11"/>
    </row>
    <row r="13673" spans="1:9" ht="9" customHeight="1">
      <c r="A13673" s="163" t="s">
        <v>18146</v>
      </c>
      <c r="B13673" s="90"/>
      <c r="C13673" s="830"/>
      <c r="D13673" s="831"/>
      <c r="E13673" s="832"/>
      <c r="F13673" s="178"/>
      <c r="G13673" s="671"/>
      <c r="H13673" s="178"/>
      <c r="I13673" s="11"/>
    </row>
    <row r="13674" spans="1:9" ht="9" customHeight="1">
      <c r="A13674" s="162" t="s">
        <v>18147</v>
      </c>
      <c r="B13674" s="286"/>
      <c r="C13674" s="147"/>
      <c r="D13674" s="66"/>
      <c r="E13674" s="178"/>
      <c r="F13674" s="178"/>
      <c r="G13674" s="60"/>
      <c r="H13674" s="178"/>
      <c r="I13674" s="11"/>
    </row>
    <row r="13675" spans="1:9" ht="11.15" customHeight="1">
      <c r="A13675" s="199" t="s">
        <v>18148</v>
      </c>
      <c r="B13675" s="835"/>
      <c r="C13675" s="830"/>
      <c r="D13675" s="831"/>
      <c r="E13675" s="832"/>
      <c r="F13675" s="178"/>
      <c r="G13675" s="671"/>
      <c r="H13675" s="178"/>
      <c r="I13675" s="11"/>
    </row>
    <row r="13676" spans="1:9" ht="11.15" customHeight="1">
      <c r="A13676" s="616" t="s">
        <v>18149</v>
      </c>
      <c r="B13676" s="656"/>
      <c r="C13676" s="830"/>
      <c r="D13676" s="831"/>
      <c r="E13676" s="832"/>
      <c r="F13676" s="178"/>
      <c r="G13676" s="671"/>
      <c r="H13676" s="178"/>
      <c r="I13676" s="11"/>
    </row>
    <row r="13677" spans="1:9" ht="11.15" customHeight="1">
      <c r="A13677" s="835"/>
      <c r="B13677" s="575"/>
      <c r="C13677" s="830"/>
      <c r="D13677" s="831"/>
      <c r="E13677" s="832"/>
      <c r="F13677" s="178"/>
      <c r="G13677" s="671"/>
      <c r="H13677" s="178"/>
      <c r="I13677" s="11"/>
    </row>
    <row r="13678" spans="1:9" ht="11.15" customHeight="1">
      <c r="A13678" s="839"/>
      <c r="B13678" s="840" t="s">
        <v>18150</v>
      </c>
      <c r="C13678" s="826"/>
      <c r="D13678" s="827"/>
      <c r="E13678" s="828"/>
      <c r="F13678" s="971"/>
      <c r="G13678" s="1256"/>
      <c r="H13678" s="828"/>
      <c r="I13678" s="11"/>
    </row>
    <row r="13679" spans="1:9" ht="9" customHeight="1">
      <c r="A13679" s="829"/>
      <c r="B13679" s="216" t="s">
        <v>18102</v>
      </c>
      <c r="C13679" s="147"/>
      <c r="D13679" s="122"/>
      <c r="E13679" s="36"/>
      <c r="F13679" s="178"/>
      <c r="G13679" s="671"/>
      <c r="H13679" s="36"/>
      <c r="I13679" s="11"/>
    </row>
    <row r="13680" spans="1:9" ht="9" customHeight="1" thickBot="1">
      <c r="A13680" s="829"/>
      <c r="B13680" s="210" t="s">
        <v>18151</v>
      </c>
      <c r="C13680" s="147"/>
      <c r="D13680" s="122"/>
      <c r="E13680" s="36"/>
      <c r="F13680" s="178"/>
      <c r="G13680" s="671"/>
      <c r="H13680" s="36"/>
      <c r="I13680" s="11"/>
    </row>
    <row r="13681" spans="1:12" ht="11.15" customHeight="1">
      <c r="A13681" s="600" t="s">
        <v>18104</v>
      </c>
      <c r="B13681" s="90" t="s">
        <v>18152</v>
      </c>
      <c r="C13681" s="147" t="s">
        <v>20221</v>
      </c>
      <c r="D13681" s="1318" t="s">
        <v>18030</v>
      </c>
      <c r="E13681" s="178" t="s">
        <v>20221</v>
      </c>
      <c r="F13681" s="178" t="s">
        <v>23426</v>
      </c>
      <c r="G13681" s="496"/>
      <c r="H13681" s="994" t="s">
        <v>20224</v>
      </c>
      <c r="I13681" s="11" t="s">
        <v>18153</v>
      </c>
      <c r="J13681" s="1285"/>
      <c r="K13681" s="1285"/>
      <c r="L13681" s="1285"/>
    </row>
    <row r="13682" spans="1:12" ht="11.15" customHeight="1" thickBot="1">
      <c r="A13682" s="601" t="s">
        <v>18105</v>
      </c>
      <c r="B13682" s="656" t="s">
        <v>18154</v>
      </c>
      <c r="C13682" s="830"/>
      <c r="D13682" s="831"/>
      <c r="E13682" s="832"/>
      <c r="F13682" s="178"/>
      <c r="G13682" s="430"/>
      <c r="H13682" s="178"/>
      <c r="I13682" s="11"/>
    </row>
    <row r="13683" spans="1:12" ht="11.15" customHeight="1">
      <c r="A13683" s="104" t="s">
        <v>18107</v>
      </c>
      <c r="B13683" s="36"/>
      <c r="C13683" s="830"/>
      <c r="D13683" s="831"/>
      <c r="E13683" s="832"/>
      <c r="F13683" s="178"/>
      <c r="G13683" s="430"/>
      <c r="H13683" s="178"/>
      <c r="I13683" s="11"/>
    </row>
    <row r="13684" spans="1:12" ht="11.15" customHeight="1">
      <c r="A13684" s="104" t="s">
        <v>18109</v>
      </c>
      <c r="B13684" s="67"/>
      <c r="C13684" s="830"/>
      <c r="D13684" s="831"/>
      <c r="E13684" s="832"/>
      <c r="F13684" s="178"/>
      <c r="G13684" s="671"/>
      <c r="H13684" s="178"/>
      <c r="I13684" s="11"/>
    </row>
    <row r="13685" spans="1:12" ht="11.15" customHeight="1">
      <c r="A13685" s="104" t="s">
        <v>18110</v>
      </c>
      <c r="B13685" s="67"/>
      <c r="C13685" s="830"/>
      <c r="D13685" s="831"/>
      <c r="E13685" s="832"/>
      <c r="F13685" s="178"/>
      <c r="G13685" s="671"/>
      <c r="H13685" s="178"/>
      <c r="I13685" s="11"/>
    </row>
    <row r="13686" spans="1:12" ht="11.15" customHeight="1">
      <c r="A13686" s="104" t="s">
        <v>18111</v>
      </c>
      <c r="B13686" s="833"/>
      <c r="C13686" s="830"/>
      <c r="D13686" s="831"/>
      <c r="E13686" s="667"/>
      <c r="F13686" s="122"/>
      <c r="G13686" s="1257"/>
      <c r="H13686" s="122"/>
      <c r="I13686" s="11"/>
    </row>
    <row r="13687" spans="1:12" ht="11.15" customHeight="1">
      <c r="A13687" s="29" t="s">
        <v>18112</v>
      </c>
      <c r="B13687" s="656"/>
      <c r="C13687" s="830"/>
      <c r="D13687" s="831"/>
      <c r="E13687" s="832"/>
      <c r="F13687" s="178"/>
      <c r="G13687" s="671"/>
      <c r="H13687" s="178"/>
      <c r="I13687" s="11"/>
    </row>
    <row r="13688" spans="1:12" ht="11.15" customHeight="1">
      <c r="A13688" s="29" t="s">
        <v>18113</v>
      </c>
      <c r="B13688" s="656"/>
      <c r="C13688" s="830"/>
      <c r="D13688" s="831"/>
      <c r="E13688" s="832"/>
      <c r="F13688" s="178"/>
      <c r="G13688" s="671"/>
      <c r="H13688" s="178"/>
      <c r="I13688" s="11"/>
    </row>
    <row r="13689" spans="1:12" ht="11.15" customHeight="1">
      <c r="A13689" s="29" t="s">
        <v>18114</v>
      </c>
      <c r="B13689" s="656"/>
      <c r="C13689" s="830"/>
      <c r="D13689" s="831"/>
      <c r="E13689" s="832"/>
      <c r="F13689" s="178"/>
      <c r="G13689" s="671"/>
      <c r="H13689" s="178"/>
      <c r="I13689" s="11"/>
    </row>
    <row r="13690" spans="1:12" ht="11.15" customHeight="1">
      <c r="A13690" s="29" t="s">
        <v>18115</v>
      </c>
      <c r="B13690" s="656"/>
      <c r="C13690" s="830"/>
      <c r="D13690" s="831"/>
      <c r="E13690" s="832"/>
      <c r="F13690" s="178"/>
      <c r="G13690" s="671"/>
      <c r="H13690" s="178"/>
      <c r="I13690" s="11"/>
    </row>
    <row r="13691" spans="1:12" ht="11.15" customHeight="1">
      <c r="A13691" s="29" t="s">
        <v>18116</v>
      </c>
      <c r="B13691" s="656"/>
      <c r="C13691" s="830"/>
      <c r="D13691" s="831"/>
      <c r="E13691" s="832"/>
      <c r="F13691" s="178"/>
      <c r="G13691" s="671"/>
      <c r="H13691" s="178"/>
      <c r="I13691" s="11"/>
    </row>
    <row r="13692" spans="1:12" ht="11.15" customHeight="1">
      <c r="A13692" s="239" t="s">
        <v>18155</v>
      </c>
      <c r="B13692" s="656"/>
      <c r="C13692" s="830"/>
      <c r="D13692" s="831"/>
      <c r="E13692" s="832"/>
      <c r="F13692" s="178"/>
      <c r="G13692" s="671"/>
      <c r="H13692" s="178"/>
      <c r="I13692" s="11"/>
    </row>
    <row r="13693" spans="1:12" ht="9" customHeight="1">
      <c r="A13693" s="162" t="s">
        <v>18117</v>
      </c>
      <c r="B13693" s="681"/>
      <c r="C13693" s="830"/>
      <c r="D13693" s="834"/>
      <c r="E13693" s="334"/>
      <c r="F13693" s="150"/>
      <c r="G13693" s="1238"/>
      <c r="H13693" s="150"/>
      <c r="I13693" s="11"/>
    </row>
    <row r="13694" spans="1:12" ht="9" customHeight="1">
      <c r="A13694" s="162" t="s">
        <v>18118</v>
      </c>
      <c r="B13694" s="681"/>
      <c r="C13694" s="830"/>
      <c r="D13694" s="834"/>
      <c r="E13694" s="334"/>
      <c r="F13694" s="150"/>
      <c r="G13694" s="1238"/>
      <c r="H13694" s="150"/>
      <c r="I13694" s="11"/>
    </row>
    <row r="13695" spans="1:12" ht="9" customHeight="1">
      <c r="A13695" s="162" t="s">
        <v>18119</v>
      </c>
      <c r="B13695" s="681"/>
      <c r="C13695" s="830"/>
      <c r="D13695" s="834"/>
      <c r="E13695" s="334"/>
      <c r="F13695" s="150"/>
      <c r="G13695" s="1238"/>
      <c r="H13695" s="150"/>
      <c r="I13695" s="11"/>
    </row>
    <row r="13696" spans="1:12" ht="11.15" customHeight="1">
      <c r="A13696" s="199" t="s">
        <v>18129</v>
      </c>
      <c r="B13696" s="656"/>
      <c r="C13696" s="147"/>
      <c r="D13696" s="129"/>
      <c r="E13696" s="836"/>
      <c r="F13696" s="60"/>
      <c r="G13696" s="671"/>
      <c r="H13696" s="228"/>
      <c r="I13696" s="11"/>
    </row>
    <row r="13697" spans="1:12" ht="11.15" customHeight="1">
      <c r="A13697" s="201" t="s">
        <v>10093</v>
      </c>
      <c r="B13697" s="656"/>
      <c r="C13697" s="830"/>
      <c r="D13697" s="831"/>
      <c r="E13697" s="832"/>
      <c r="F13697" s="178"/>
      <c r="G13697" s="671"/>
      <c r="H13697" s="178"/>
      <c r="I13697" s="11"/>
    </row>
    <row r="13698" spans="1:12" ht="11.15" customHeight="1">
      <c r="A13698" s="285" t="s">
        <v>18130</v>
      </c>
      <c r="B13698" s="656"/>
      <c r="C13698" s="830"/>
      <c r="D13698" s="831"/>
      <c r="E13698" s="832"/>
      <c r="F13698" s="178"/>
      <c r="G13698" s="671"/>
      <c r="H13698" s="178"/>
      <c r="I13698" s="11"/>
    </row>
    <row r="13699" spans="1:12" ht="11.15" customHeight="1">
      <c r="A13699" s="424" t="s">
        <v>18156</v>
      </c>
      <c r="B13699" s="656"/>
      <c r="C13699" s="830"/>
      <c r="D13699" s="831"/>
      <c r="E13699" s="832"/>
      <c r="F13699" s="178"/>
      <c r="G13699" s="671"/>
      <c r="H13699" s="178"/>
      <c r="I13699" s="11"/>
    </row>
    <row r="13700" spans="1:12" ht="9" customHeight="1">
      <c r="A13700" s="837"/>
      <c r="B13700" s="210" t="s">
        <v>18131</v>
      </c>
      <c r="C13700" s="830"/>
      <c r="D13700" s="831"/>
      <c r="E13700" s="228"/>
      <c r="F13700" s="178"/>
      <c r="G13700" s="671"/>
      <c r="H13700" s="178"/>
      <c r="I13700" s="11"/>
    </row>
    <row r="13701" spans="1:12" ht="9" customHeight="1" thickBot="1">
      <c r="A13701" s="837"/>
      <c r="B13701" s="150" t="s">
        <v>18132</v>
      </c>
      <c r="C13701" s="830"/>
      <c r="D13701" s="831"/>
      <c r="E13701" s="228"/>
      <c r="F13701" s="178"/>
      <c r="G13701" s="671"/>
      <c r="H13701" s="178"/>
      <c r="I13701" s="11"/>
    </row>
    <row r="13702" spans="1:12" ht="11.15" customHeight="1" thickBot="1">
      <c r="A13702" s="704" t="s">
        <v>18133</v>
      </c>
      <c r="B13702" s="59" t="s">
        <v>22988</v>
      </c>
      <c r="C13702" s="147" t="s">
        <v>20221</v>
      </c>
      <c r="D13702" s="1318" t="s">
        <v>18030</v>
      </c>
      <c r="E13702" s="178" t="s">
        <v>20221</v>
      </c>
      <c r="F13702" s="178" t="s">
        <v>23426</v>
      </c>
      <c r="G13702" s="496"/>
      <c r="H13702" s="994" t="s">
        <v>20224</v>
      </c>
      <c r="I13702" s="11" t="s">
        <v>18157</v>
      </c>
      <c r="J13702" s="1285"/>
      <c r="K13702" s="1285"/>
      <c r="L13702" s="1285"/>
    </row>
    <row r="13703" spans="1:12" ht="11.15" customHeight="1">
      <c r="A13703" s="104" t="s">
        <v>18137</v>
      </c>
      <c r="B13703" s="656" t="s">
        <v>18158</v>
      </c>
      <c r="C13703" s="147"/>
      <c r="D13703" s="122"/>
      <c r="E13703" s="36"/>
      <c r="F13703" s="178"/>
      <c r="G13703" s="60"/>
      <c r="H13703" s="36"/>
      <c r="I13703" s="11"/>
    </row>
    <row r="13704" spans="1:12" ht="11.15" customHeight="1">
      <c r="A13704" s="104" t="s">
        <v>18138</v>
      </c>
      <c r="B13704" s="656"/>
      <c r="C13704" s="830"/>
      <c r="D13704" s="831"/>
      <c r="E13704" s="832"/>
      <c r="F13704" s="178"/>
      <c r="G13704" s="671"/>
      <c r="H13704" s="178"/>
      <c r="I13704" s="11"/>
    </row>
    <row r="13705" spans="1:12" ht="11.15" customHeight="1">
      <c r="A13705" s="104" t="s">
        <v>18139</v>
      </c>
      <c r="B13705" s="835"/>
      <c r="C13705" s="830"/>
      <c r="D13705" s="831"/>
      <c r="E13705" s="832"/>
      <c r="F13705" s="178"/>
      <c r="G13705" s="671"/>
      <c r="H13705" s="178"/>
      <c r="I13705" s="11"/>
    </row>
    <row r="13706" spans="1:12" ht="11.15" customHeight="1">
      <c r="A13706" s="838" t="s">
        <v>18140</v>
      </c>
      <c r="B13706" s="90"/>
      <c r="C13706" s="830"/>
      <c r="D13706" s="831"/>
      <c r="E13706" s="832"/>
      <c r="F13706" s="178"/>
      <c r="G13706" s="671"/>
      <c r="H13706" s="178"/>
      <c r="I13706" s="11"/>
    </row>
    <row r="13707" spans="1:12" ht="11.15" customHeight="1">
      <c r="A13707" s="163" t="s">
        <v>18141</v>
      </c>
      <c r="B13707" s="90"/>
      <c r="C13707" s="830"/>
      <c r="D13707" s="831"/>
      <c r="E13707" s="832"/>
      <c r="F13707" s="178"/>
      <c r="G13707" s="671"/>
      <c r="H13707" s="178"/>
      <c r="I13707" s="11"/>
    </row>
    <row r="13708" spans="1:12" ht="9" customHeight="1">
      <c r="A13708" s="292" t="s">
        <v>18142</v>
      </c>
      <c r="B13708" s="90"/>
      <c r="C13708" s="830"/>
      <c r="D13708" s="831"/>
      <c r="E13708" s="832"/>
      <c r="F13708" s="178"/>
      <c r="G13708" s="671"/>
      <c r="H13708" s="178"/>
      <c r="I13708" s="11"/>
    </row>
    <row r="13709" spans="1:12" ht="9" customHeight="1">
      <c r="A13709" s="163" t="s">
        <v>18143</v>
      </c>
      <c r="B13709" s="90"/>
      <c r="C13709" s="830"/>
      <c r="D13709" s="831"/>
      <c r="E13709" s="832"/>
      <c r="F13709" s="178"/>
      <c r="G13709" s="671"/>
      <c r="H13709" s="178"/>
      <c r="I13709" s="11"/>
    </row>
    <row r="13710" spans="1:12" ht="9" customHeight="1">
      <c r="A13710" s="163" t="s">
        <v>18144</v>
      </c>
      <c r="B13710" s="90"/>
      <c r="C13710" s="830"/>
      <c r="D13710" s="831"/>
      <c r="E13710" s="832"/>
      <c r="F13710" s="178"/>
      <c r="G13710" s="671"/>
      <c r="H13710" s="178"/>
      <c r="I13710" s="11"/>
    </row>
    <row r="13711" spans="1:12" ht="9" customHeight="1">
      <c r="A13711" s="163" t="s">
        <v>18145</v>
      </c>
      <c r="B13711" s="90"/>
      <c r="C13711" s="830"/>
      <c r="D13711" s="831"/>
      <c r="E13711" s="832"/>
      <c r="F13711" s="178"/>
      <c r="G13711" s="671"/>
      <c r="H13711" s="178"/>
      <c r="I13711" s="11"/>
    </row>
    <row r="13712" spans="1:12" ht="9" customHeight="1">
      <c r="A13712" s="163" t="s">
        <v>18146</v>
      </c>
      <c r="B13712" s="90"/>
      <c r="C13712" s="830"/>
      <c r="D13712" s="831"/>
      <c r="E13712" s="832"/>
      <c r="F13712" s="178"/>
      <c r="G13712" s="671"/>
      <c r="H13712" s="178"/>
      <c r="I13712" s="11"/>
    </row>
    <row r="13713" spans="1:12" ht="9" customHeight="1">
      <c r="A13713" s="162" t="s">
        <v>18147</v>
      </c>
      <c r="B13713" s="90"/>
      <c r="C13713" s="830"/>
      <c r="D13713" s="831"/>
      <c r="E13713" s="832"/>
      <c r="F13713" s="178"/>
      <c r="G13713" s="671"/>
      <c r="H13713" s="178"/>
      <c r="I13713" s="11"/>
    </row>
    <row r="13714" spans="1:12" ht="9" customHeight="1">
      <c r="A13714" s="199" t="s">
        <v>18148</v>
      </c>
      <c r="B13714" s="286"/>
      <c r="C13714" s="147"/>
      <c r="D13714" s="66"/>
      <c r="E13714" s="178"/>
      <c r="F13714" s="178"/>
      <c r="G13714" s="60"/>
      <c r="H13714" s="178"/>
      <c r="I13714" s="11"/>
    </row>
    <row r="13715" spans="1:12" ht="11.15" customHeight="1">
      <c r="A13715" s="201" t="s">
        <v>1022</v>
      </c>
      <c r="B13715" s="835"/>
      <c r="C13715" s="830"/>
      <c r="D13715" s="831"/>
      <c r="E13715" s="832"/>
      <c r="F13715" s="178"/>
      <c r="G13715" s="671"/>
      <c r="H13715" s="178"/>
      <c r="I13715" s="11"/>
    </row>
    <row r="13716" spans="1:12" ht="11.15" customHeight="1">
      <c r="A13716" s="835"/>
      <c r="B13716" s="835"/>
      <c r="C13716" s="830"/>
      <c r="D13716" s="831"/>
      <c r="E13716" s="832"/>
      <c r="F13716" s="178"/>
      <c r="G13716" s="671"/>
      <c r="H13716" s="178"/>
      <c r="I13716" s="11"/>
    </row>
    <row r="13717" spans="1:12" ht="11.15" customHeight="1" thickBot="1">
      <c r="A13717" s="839"/>
      <c r="B13717" s="841" t="s">
        <v>18159</v>
      </c>
      <c r="C13717" s="826"/>
      <c r="D13717" s="827"/>
      <c r="E13717" s="828"/>
      <c r="F13717" s="971"/>
      <c r="G13717" s="1258"/>
      <c r="H13717" s="828"/>
      <c r="I13717" s="11"/>
    </row>
    <row r="13718" spans="1:12" ht="11.15" customHeight="1">
      <c r="A13718" s="600" t="s">
        <v>18104</v>
      </c>
      <c r="B13718" s="59" t="s">
        <v>22985</v>
      </c>
      <c r="C13718" s="147" t="s">
        <v>20221</v>
      </c>
      <c r="D13718" s="1318" t="s">
        <v>18030</v>
      </c>
      <c r="E13718" s="178" t="s">
        <v>20221</v>
      </c>
      <c r="F13718" s="178" t="s">
        <v>23426</v>
      </c>
      <c r="G13718" s="496"/>
      <c r="H13718" s="994" t="s">
        <v>20224</v>
      </c>
      <c r="I13718" s="11" t="s">
        <v>23359</v>
      </c>
      <c r="J13718" s="1285"/>
      <c r="K13718" s="1285"/>
      <c r="L13718" s="1285"/>
    </row>
    <row r="13719" spans="1:12" ht="11.15" customHeight="1" thickBot="1">
      <c r="A13719" s="670" t="s">
        <v>18105</v>
      </c>
      <c r="B13719" s="656" t="s">
        <v>18106</v>
      </c>
      <c r="C13719" s="830"/>
      <c r="D13719" s="831"/>
      <c r="E13719" s="832"/>
      <c r="F13719" s="178"/>
      <c r="G13719" s="430"/>
      <c r="H13719" s="178"/>
      <c r="I13719" s="11"/>
    </row>
    <row r="13720" spans="1:12" ht="11.15" customHeight="1" thickBot="1">
      <c r="A13720" s="842"/>
      <c r="B13720" s="656"/>
      <c r="C13720" s="830"/>
      <c r="D13720" s="831"/>
      <c r="E13720" s="832"/>
      <c r="F13720" s="178"/>
      <c r="G13720" s="671"/>
      <c r="H13720" s="178"/>
      <c r="I13720" s="11"/>
    </row>
    <row r="13721" spans="1:12" ht="11.15" customHeight="1" thickBot="1">
      <c r="A13721" s="184" t="s">
        <v>18160</v>
      </c>
      <c r="B13721" s="59" t="s">
        <v>22990</v>
      </c>
      <c r="C13721" s="147" t="s">
        <v>20221</v>
      </c>
      <c r="D13721" s="183" t="s">
        <v>18030</v>
      </c>
      <c r="E13721" s="178" t="s">
        <v>20221</v>
      </c>
      <c r="F13721" s="178" t="s">
        <v>23426</v>
      </c>
      <c r="G13721" s="496"/>
      <c r="H13721" s="994" t="s">
        <v>20221</v>
      </c>
      <c r="I13721" s="11" t="s">
        <v>18161</v>
      </c>
      <c r="J13721" s="1285"/>
      <c r="K13721" s="1285"/>
      <c r="L13721" s="1285"/>
    </row>
    <row r="13722" spans="1:12" ht="11.15" customHeight="1">
      <c r="A13722" s="29"/>
      <c r="B13722" s="656" t="s">
        <v>18162</v>
      </c>
      <c r="C13722" s="147"/>
      <c r="D13722" s="122"/>
      <c r="E13722" s="36"/>
      <c r="F13722" s="178"/>
      <c r="G13722" s="60"/>
      <c r="H13722" s="36"/>
      <c r="I13722" s="11"/>
    </row>
    <row r="13723" spans="1:12" ht="11.15" customHeight="1" thickBot="1">
      <c r="A13723" s="169"/>
      <c r="B13723" s="29"/>
      <c r="C13723" s="147"/>
      <c r="D13723" s="122"/>
      <c r="E13723" s="36"/>
      <c r="F13723" s="178"/>
      <c r="G13723" s="671"/>
      <c r="H13723" s="36"/>
      <c r="I13723" s="11"/>
    </row>
    <row r="13724" spans="1:12" ht="11.15" customHeight="1" thickBot="1">
      <c r="A13724" s="184" t="s">
        <v>18043</v>
      </c>
      <c r="B13724" s="59" t="s">
        <v>22983</v>
      </c>
      <c r="C13724" s="147" t="s">
        <v>20221</v>
      </c>
      <c r="D13724" s="183" t="s">
        <v>18030</v>
      </c>
      <c r="E13724" s="178">
        <v>2019</v>
      </c>
      <c r="F13724" s="178" t="s">
        <v>23426</v>
      </c>
      <c r="G13724" s="496"/>
      <c r="H13724" s="994" t="s">
        <v>20221</v>
      </c>
      <c r="I13724" s="11" t="s">
        <v>18044</v>
      </c>
      <c r="J13724" s="1285"/>
      <c r="K13724" s="1285"/>
      <c r="L13724" s="1285"/>
    </row>
    <row r="13725" spans="1:12" ht="11.15" customHeight="1">
      <c r="A13725" s="29"/>
      <c r="B13725" s="656" t="s">
        <v>18163</v>
      </c>
      <c r="C13725" s="147"/>
      <c r="D13725" s="129"/>
      <c r="E13725" s="29"/>
      <c r="F13725" s="29"/>
      <c r="G13725" s="29"/>
      <c r="H13725" s="29"/>
      <c r="I13725" s="11"/>
    </row>
    <row r="13726" spans="1:12" ht="11.15" customHeight="1">
      <c r="A13726" s="29"/>
      <c r="B13726" s="656" t="s">
        <v>18164</v>
      </c>
      <c r="C13726" s="147"/>
      <c r="D13726" s="122"/>
      <c r="E13726" s="36"/>
      <c r="F13726" s="178"/>
      <c r="G13726" s="60"/>
      <c r="H13726" s="36"/>
      <c r="I13726" s="11"/>
    </row>
    <row r="13727" spans="1:12" ht="11.15" customHeight="1" thickBot="1">
      <c r="A13727" s="29"/>
      <c r="B13727" s="820"/>
      <c r="C13727" s="147"/>
      <c r="D13727" s="122"/>
      <c r="E13727" s="36"/>
      <c r="F13727" s="178"/>
      <c r="G13727" s="60"/>
      <c r="H13727" s="36"/>
      <c r="I13727" s="11"/>
    </row>
    <row r="13728" spans="1:12" ht="11.15" customHeight="1" thickBot="1">
      <c r="A13728" s="704" t="s">
        <v>18133</v>
      </c>
      <c r="B13728" s="59" t="s">
        <v>22987</v>
      </c>
      <c r="C13728" s="147" t="s">
        <v>20221</v>
      </c>
      <c r="D13728" s="1318" t="s">
        <v>18030</v>
      </c>
      <c r="E13728" s="178" t="s">
        <v>20221</v>
      </c>
      <c r="F13728" s="178" t="s">
        <v>23426</v>
      </c>
      <c r="G13728" s="496"/>
      <c r="H13728" s="994" t="s">
        <v>20221</v>
      </c>
      <c r="I13728" s="11" t="s">
        <v>18134</v>
      </c>
      <c r="J13728" s="1285"/>
      <c r="K13728" s="1285"/>
      <c r="L13728" s="1285"/>
    </row>
    <row r="13729" spans="1:12" ht="11.15" customHeight="1">
      <c r="A13729" s="843"/>
      <c r="B13729" s="656" t="s">
        <v>18136</v>
      </c>
      <c r="C13729" s="830"/>
      <c r="D13729" s="831"/>
      <c r="E13729" s="832"/>
      <c r="F13729" s="178"/>
      <c r="G13729" s="430"/>
      <c r="H13729" s="178"/>
      <c r="I13729" s="11"/>
    </row>
    <row r="13730" spans="1:12" ht="11.15" customHeight="1" thickBot="1">
      <c r="A13730" s="104"/>
      <c r="B13730" s="835"/>
      <c r="C13730" s="835"/>
      <c r="D13730" s="835"/>
      <c r="E13730" s="835"/>
      <c r="F13730" s="835"/>
      <c r="G13730" s="835"/>
      <c r="H13730" s="835"/>
      <c r="I13730" s="11"/>
    </row>
    <row r="13731" spans="1:12" ht="11.15" customHeight="1" thickBot="1">
      <c r="A13731" s="184" t="s">
        <v>18029</v>
      </c>
      <c r="B13731" s="59" t="s">
        <v>22980</v>
      </c>
      <c r="C13731" s="147" t="s">
        <v>20221</v>
      </c>
      <c r="D13731" s="183" t="s">
        <v>18030</v>
      </c>
      <c r="E13731" s="178" t="s">
        <v>20221</v>
      </c>
      <c r="F13731" s="178" t="s">
        <v>23426</v>
      </c>
      <c r="G13731" s="496"/>
      <c r="H13731" s="994" t="s">
        <v>20277</v>
      </c>
      <c r="I13731" s="11" t="s">
        <v>18031</v>
      </c>
      <c r="J13731" s="1285"/>
      <c r="K13731" s="1285"/>
      <c r="L13731" s="1285"/>
    </row>
    <row r="13732" spans="1:12" ht="11.15" customHeight="1">
      <c r="A13732" s="29"/>
      <c r="B13732" s="817" t="s">
        <v>18033</v>
      </c>
      <c r="C13732" s="147"/>
      <c r="D13732" s="122"/>
      <c r="E13732" s="36"/>
      <c r="F13732" s="178"/>
      <c r="G13732" s="671"/>
      <c r="H13732" s="36"/>
      <c r="I13732" s="11"/>
    </row>
    <row r="13733" spans="1:12" ht="11.15" customHeight="1">
      <c r="A13733" s="169"/>
      <c r="B13733" s="29"/>
      <c r="C13733" s="147"/>
      <c r="D13733" s="122"/>
      <c r="E13733" s="36"/>
      <c r="F13733" s="178"/>
      <c r="G13733" s="671"/>
      <c r="H13733" s="36"/>
      <c r="I13733" s="11"/>
    </row>
    <row r="13734" spans="1:12" ht="11.15" customHeight="1">
      <c r="A13734" s="844"/>
      <c r="B13734" s="845" t="s">
        <v>18165</v>
      </c>
      <c r="C13734" s="846"/>
      <c r="D13734" s="847"/>
      <c r="E13734" s="848"/>
      <c r="F13734" s="1090"/>
      <c r="G13734" s="1259"/>
      <c r="H13734" s="848"/>
      <c r="I13734" s="11"/>
    </row>
    <row r="13735" spans="1:12" ht="11.15" customHeight="1" thickBot="1">
      <c r="A13735" s="849"/>
      <c r="B13735" s="716" t="s">
        <v>18166</v>
      </c>
      <c r="C13735" s="147"/>
      <c r="D13735" s="122"/>
      <c r="E13735" s="36"/>
      <c r="F13735" s="178"/>
      <c r="G13735" s="671"/>
      <c r="H13735" s="36"/>
      <c r="I13735" s="11"/>
    </row>
    <row r="13736" spans="1:12" ht="11.15" customHeight="1" thickBot="1">
      <c r="A13736" s="184" t="s">
        <v>18167</v>
      </c>
      <c r="B13736" s="59" t="s">
        <v>22993</v>
      </c>
      <c r="C13736" s="147" t="s">
        <v>20221</v>
      </c>
      <c r="D13736" s="183" t="s">
        <v>18030</v>
      </c>
      <c r="E13736" s="178" t="s">
        <v>20221</v>
      </c>
      <c r="F13736" s="178" t="s">
        <v>23426</v>
      </c>
      <c r="G13736" s="496"/>
      <c r="H13736" s="994" t="s">
        <v>20221</v>
      </c>
      <c r="I13736" s="11" t="s">
        <v>18168</v>
      </c>
      <c r="J13736" s="1285"/>
      <c r="K13736" s="1285"/>
      <c r="L13736" s="1285"/>
    </row>
    <row r="13737" spans="1:12" ht="11.15" customHeight="1">
      <c r="A13737" s="29" t="s">
        <v>18169</v>
      </c>
      <c r="B13737" s="817" t="s">
        <v>18170</v>
      </c>
      <c r="C13737" s="147"/>
      <c r="D13737" s="129"/>
      <c r="E13737" s="836"/>
      <c r="F13737" s="178"/>
      <c r="G13737" s="671"/>
      <c r="H13737" s="36"/>
      <c r="I13737" s="11"/>
    </row>
    <row r="13738" spans="1:12" ht="11.15" customHeight="1">
      <c r="A13738" s="29" t="s">
        <v>18171</v>
      </c>
      <c r="B13738" s="498" t="s">
        <v>18172</v>
      </c>
      <c r="C13738" s="147"/>
      <c r="D13738" s="122"/>
      <c r="E13738" s="36"/>
      <c r="F13738" s="178"/>
      <c r="G13738" s="60"/>
      <c r="H13738" s="36"/>
      <c r="I13738" s="11"/>
    </row>
    <row r="13739" spans="1:12" ht="11.15" customHeight="1">
      <c r="A13739" s="29" t="s">
        <v>18173</v>
      </c>
      <c r="B13739" s="29"/>
      <c r="C13739" s="147"/>
      <c r="D13739" s="122"/>
      <c r="E13739" s="36"/>
      <c r="F13739" s="178"/>
      <c r="G13739" s="60"/>
      <c r="H13739" s="36"/>
      <c r="I13739" s="11"/>
    </row>
    <row r="13740" spans="1:12" ht="11.15" customHeight="1">
      <c r="A13740" s="195" t="s">
        <v>18174</v>
      </c>
      <c r="B13740" s="59" t="s">
        <v>22994</v>
      </c>
      <c r="C13740" s="147" t="s">
        <v>20221</v>
      </c>
      <c r="D13740" s="183" t="s">
        <v>18030</v>
      </c>
      <c r="E13740" s="178" t="s">
        <v>20221</v>
      </c>
      <c r="F13740" s="178" t="s">
        <v>23426</v>
      </c>
      <c r="G13740" s="496"/>
      <c r="H13740" s="994" t="s">
        <v>20221</v>
      </c>
      <c r="I13740" s="11" t="s">
        <v>18175</v>
      </c>
      <c r="J13740" s="1285"/>
      <c r="K13740" s="1285"/>
      <c r="L13740" s="1285"/>
    </row>
    <row r="13741" spans="1:12" ht="11.15" customHeight="1">
      <c r="A13741" s="29" t="s">
        <v>18176</v>
      </c>
      <c r="B13741" s="656" t="s">
        <v>18177</v>
      </c>
      <c r="C13741" s="147"/>
      <c r="D13741" s="122"/>
      <c r="E13741" s="36"/>
      <c r="F13741" s="183"/>
      <c r="G13741" s="430"/>
      <c r="H13741" s="34"/>
      <c r="I13741" s="11"/>
    </row>
    <row r="13742" spans="1:12" ht="11.15" customHeight="1">
      <c r="A13742" s="29" t="s">
        <v>18178</v>
      </c>
      <c r="B13742" s="656"/>
      <c r="C13742" s="147"/>
      <c r="D13742" s="122"/>
      <c r="E13742" s="36"/>
      <c r="F13742" s="183"/>
      <c r="G13742" s="497"/>
      <c r="H13742" s="34"/>
      <c r="I13742" s="11"/>
    </row>
    <row r="13743" spans="1:12" ht="11.15" customHeight="1">
      <c r="A13743" s="29" t="s">
        <v>18179</v>
      </c>
      <c r="B13743" s="656"/>
      <c r="C13743" s="147"/>
      <c r="D13743" s="122"/>
      <c r="E13743" s="36"/>
      <c r="F13743" s="183"/>
      <c r="G13743" s="497"/>
      <c r="H13743" s="34"/>
      <c r="I13743" s="11"/>
    </row>
    <row r="13744" spans="1:12" ht="11.15" customHeight="1">
      <c r="A13744" s="29" t="s">
        <v>18180</v>
      </c>
      <c r="B13744" s="656"/>
      <c r="C13744" s="147"/>
      <c r="D13744" s="122"/>
      <c r="E13744" s="36"/>
      <c r="F13744" s="183"/>
      <c r="G13744" s="497"/>
      <c r="H13744" s="34"/>
      <c r="I13744" s="11"/>
    </row>
    <row r="13745" spans="1:12" ht="11.15" customHeight="1">
      <c r="A13745" s="129" t="s">
        <v>1077</v>
      </c>
      <c r="B13745" s="29"/>
      <c r="C13745" s="147"/>
      <c r="D13745" s="129"/>
      <c r="E13745" s="29"/>
      <c r="F13745" s="29"/>
      <c r="G13745" s="29"/>
      <c r="H13745" s="29"/>
      <c r="I13745" s="11"/>
    </row>
    <row r="13746" spans="1:12" ht="11.15" customHeight="1">
      <c r="A13746" s="162" t="s">
        <v>18181</v>
      </c>
      <c r="B13746" s="29"/>
      <c r="C13746" s="147"/>
      <c r="D13746" s="129"/>
      <c r="E13746" s="29"/>
      <c r="F13746" s="29"/>
      <c r="G13746" s="29"/>
      <c r="H13746" s="29"/>
      <c r="I13746" s="11"/>
    </row>
    <row r="13747" spans="1:12" ht="11.15" customHeight="1">
      <c r="A13747" s="283" t="s">
        <v>18182</v>
      </c>
      <c r="B13747" s="29"/>
      <c r="C13747" s="147"/>
      <c r="D13747" s="129"/>
      <c r="E13747" s="29"/>
      <c r="F13747" s="29"/>
      <c r="G13747" s="29"/>
      <c r="H13747" s="29"/>
      <c r="I13747" s="11"/>
    </row>
    <row r="13748" spans="1:12" ht="11.15" customHeight="1">
      <c r="A13748" s="162" t="s">
        <v>18183</v>
      </c>
      <c r="B13748" s="29"/>
      <c r="C13748" s="147"/>
      <c r="D13748" s="129"/>
      <c r="E13748" s="29"/>
      <c r="F13748" s="29"/>
      <c r="G13748" s="29"/>
      <c r="H13748" s="29"/>
      <c r="I13748" s="11"/>
    </row>
    <row r="13749" spans="1:12" ht="11.15" customHeight="1">
      <c r="A13749" s="162" t="s">
        <v>18184</v>
      </c>
      <c r="B13749" s="29"/>
      <c r="C13749" s="147"/>
      <c r="D13749" s="129"/>
      <c r="E13749" s="29"/>
      <c r="F13749" s="29"/>
      <c r="G13749" s="29"/>
      <c r="H13749" s="29"/>
      <c r="I13749" s="11"/>
    </row>
    <row r="13750" spans="1:12" ht="11.15" customHeight="1">
      <c r="A13750" s="162" t="s">
        <v>18185</v>
      </c>
      <c r="B13750" s="29"/>
      <c r="C13750" s="147"/>
      <c r="D13750" s="129"/>
      <c r="E13750" s="29"/>
      <c r="F13750" s="29"/>
      <c r="G13750" s="29"/>
      <c r="H13750" s="29"/>
      <c r="I13750" s="11"/>
    </row>
    <row r="13751" spans="1:12" ht="11.15" customHeight="1">
      <c r="A13751" s="29"/>
      <c r="B13751" s="29"/>
      <c r="C13751" s="147"/>
      <c r="D13751" s="122"/>
      <c r="E13751" s="36"/>
      <c r="F13751" s="178"/>
      <c r="G13751" s="60"/>
      <c r="H13751" s="36"/>
      <c r="I13751" s="11"/>
    </row>
    <row r="13752" spans="1:12" ht="11.15" customHeight="1" thickBot="1">
      <c r="A13752" s="844"/>
      <c r="B13752" s="850" t="s">
        <v>18186</v>
      </c>
      <c r="C13752" s="846"/>
      <c r="D13752" s="847"/>
      <c r="E13752" s="848"/>
      <c r="F13752" s="1090"/>
      <c r="G13752" s="1259"/>
      <c r="H13752" s="848"/>
      <c r="I13752" s="11"/>
    </row>
    <row r="13753" spans="1:12" ht="11.15" customHeight="1" thickBot="1">
      <c r="A13753" s="704" t="s">
        <v>18187</v>
      </c>
      <c r="B13753" s="59" t="s">
        <v>22996</v>
      </c>
      <c r="C13753" s="147" t="s">
        <v>20221</v>
      </c>
      <c r="D13753" s="183" t="s">
        <v>18030</v>
      </c>
      <c r="E13753" s="178" t="s">
        <v>20221</v>
      </c>
      <c r="F13753" s="178" t="s">
        <v>23426</v>
      </c>
      <c r="G13753" s="496"/>
      <c r="H13753" s="994" t="s">
        <v>20221</v>
      </c>
      <c r="I13753" s="11" t="s">
        <v>18188</v>
      </c>
      <c r="J13753" s="1285"/>
      <c r="K13753" s="1285"/>
      <c r="L13753" s="1285"/>
    </row>
    <row r="13754" spans="1:12" ht="11.15" customHeight="1">
      <c r="A13754" s="29" t="s">
        <v>18189</v>
      </c>
      <c r="B13754" s="656" t="s">
        <v>18190</v>
      </c>
      <c r="C13754" s="147"/>
      <c r="D13754" s="129"/>
      <c r="E13754" s="836"/>
      <c r="F13754" s="178"/>
      <c r="G13754" s="671"/>
      <c r="H13754" s="36"/>
      <c r="I13754" s="11"/>
    </row>
    <row r="13755" spans="1:12" ht="11.15" customHeight="1">
      <c r="A13755" s="272" t="s">
        <v>18191</v>
      </c>
      <c r="B13755" s="820"/>
      <c r="C13755" s="147"/>
      <c r="D13755" s="129"/>
      <c r="E13755" s="836"/>
      <c r="F13755" s="178"/>
      <c r="G13755" s="671"/>
      <c r="H13755" s="36"/>
      <c r="I13755" s="11"/>
    </row>
    <row r="13756" spans="1:12" ht="11.15" customHeight="1">
      <c r="A13756" s="616" t="s">
        <v>5463</v>
      </c>
      <c r="B13756" s="656"/>
      <c r="C13756" s="147"/>
      <c r="D13756" s="129"/>
      <c r="E13756" s="836"/>
      <c r="F13756" s="178"/>
      <c r="G13756" s="671"/>
      <c r="H13756" s="36"/>
      <c r="I13756" s="11"/>
    </row>
    <row r="13757" spans="1:12" ht="11.15" customHeight="1" thickBot="1">
      <c r="A13757" s="851"/>
      <c r="B13757" s="656"/>
      <c r="C13757" s="147"/>
      <c r="D13757" s="129"/>
      <c r="E13757" s="836"/>
      <c r="F13757" s="178"/>
      <c r="G13757" s="671"/>
      <c r="H13757" s="36"/>
      <c r="I13757" s="11"/>
    </row>
    <row r="13758" spans="1:12" ht="11.15" customHeight="1" thickBot="1">
      <c r="A13758" s="184" t="s">
        <v>18043</v>
      </c>
      <c r="B13758" s="59" t="s">
        <v>22997</v>
      </c>
      <c r="C13758" s="147" t="s">
        <v>20221</v>
      </c>
      <c r="D13758" s="183" t="s">
        <v>18030</v>
      </c>
      <c r="E13758" s="178" t="s">
        <v>20221</v>
      </c>
      <c r="F13758" s="178" t="s">
        <v>23426</v>
      </c>
      <c r="G13758" s="496"/>
      <c r="H13758" s="994" t="s">
        <v>3907</v>
      </c>
      <c r="I13758" s="11" t="s">
        <v>18192</v>
      </c>
      <c r="J13758" s="1285"/>
      <c r="K13758" s="1285"/>
      <c r="L13758" s="1285"/>
    </row>
    <row r="13759" spans="1:12" ht="11.15" customHeight="1">
      <c r="A13759" s="29" t="s">
        <v>18045</v>
      </c>
      <c r="B13759" s="656" t="s">
        <v>18193</v>
      </c>
      <c r="C13759" s="147"/>
      <c r="D13759" s="122"/>
      <c r="E13759" s="36"/>
      <c r="F13759" s="178"/>
      <c r="G13759" s="60"/>
      <c r="H13759" s="36"/>
      <c r="I13759" s="11"/>
    </row>
    <row r="13760" spans="1:12" ht="11.15" customHeight="1">
      <c r="A13760" s="29" t="s">
        <v>18047</v>
      </c>
      <c r="B13760" s="29"/>
      <c r="C13760" s="147"/>
      <c r="D13760" s="129"/>
      <c r="E13760" s="29"/>
      <c r="F13760" s="29"/>
      <c r="G13760" s="29"/>
      <c r="H13760" s="29"/>
      <c r="I13760" s="11"/>
    </row>
    <row r="13761" spans="1:12" ht="11.15" customHeight="1">
      <c r="A13761" s="29" t="s">
        <v>18194</v>
      </c>
      <c r="B13761" s="656"/>
      <c r="C13761" s="147"/>
      <c r="D13761" s="122"/>
      <c r="E13761" s="36"/>
      <c r="F13761" s="178"/>
      <c r="G13761" s="60"/>
      <c r="H13761" s="36"/>
      <c r="I13761" s="11"/>
    </row>
    <row r="13762" spans="1:12" ht="11.15" customHeight="1">
      <c r="A13762" s="181" t="s">
        <v>1595</v>
      </c>
      <c r="B13762" s="90"/>
      <c r="C13762" s="147"/>
      <c r="D13762" s="122"/>
      <c r="E13762" s="36"/>
      <c r="F13762" s="178"/>
      <c r="G13762" s="60"/>
      <c r="H13762" s="36"/>
      <c r="I13762" s="11"/>
    </row>
    <row r="13763" spans="1:12" ht="11.15" customHeight="1">
      <c r="A13763" s="29" t="s">
        <v>18052</v>
      </c>
      <c r="B13763" s="90"/>
      <c r="C13763" s="147"/>
      <c r="D13763" s="122"/>
      <c r="E13763" s="36"/>
      <c r="F13763" s="178"/>
      <c r="G13763" s="60"/>
      <c r="H13763" s="36"/>
      <c r="I13763" s="11"/>
    </row>
    <row r="13764" spans="1:12" ht="11.15" customHeight="1">
      <c r="A13764" s="29" t="s">
        <v>18054</v>
      </c>
      <c r="B13764" s="90"/>
      <c r="C13764" s="147"/>
      <c r="D13764" s="122"/>
      <c r="E13764" s="36"/>
      <c r="F13764" s="178"/>
      <c r="G13764" s="60"/>
      <c r="H13764" s="36"/>
      <c r="I13764" s="11"/>
    </row>
    <row r="13765" spans="1:12" ht="11.15" customHeight="1">
      <c r="A13765" s="29" t="s">
        <v>18056</v>
      </c>
      <c r="B13765" s="90"/>
      <c r="C13765" s="147"/>
      <c r="D13765" s="122"/>
      <c r="E13765" s="36"/>
      <c r="F13765" s="178"/>
      <c r="G13765" s="60"/>
      <c r="H13765" s="36"/>
      <c r="I13765" s="11"/>
    </row>
    <row r="13766" spans="1:12" ht="11.15" customHeight="1">
      <c r="A13766" s="129" t="s">
        <v>18195</v>
      </c>
      <c r="B13766" s="90"/>
      <c r="C13766" s="147"/>
      <c r="D13766" s="122"/>
      <c r="E13766" s="36"/>
      <c r="F13766" s="178"/>
      <c r="G13766" s="60"/>
      <c r="H13766" s="36"/>
      <c r="I13766" s="11"/>
    </row>
    <row r="13767" spans="1:12" ht="9" customHeight="1">
      <c r="A13767" s="514" t="s">
        <v>18196</v>
      </c>
      <c r="B13767" s="210"/>
      <c r="C13767" s="147"/>
      <c r="D13767" s="150"/>
      <c r="E13767" s="210"/>
      <c r="F13767" s="150"/>
      <c r="G13767" s="623"/>
      <c r="H13767" s="210"/>
      <c r="I13767" s="11"/>
    </row>
    <row r="13768" spans="1:12" ht="9" customHeight="1">
      <c r="A13768" s="514" t="s">
        <v>18197</v>
      </c>
      <c r="B13768" s="210"/>
      <c r="C13768" s="147"/>
      <c r="D13768" s="150"/>
      <c r="E13768" s="210"/>
      <c r="F13768" s="150"/>
      <c r="G13768" s="623"/>
      <c r="H13768" s="210"/>
      <c r="I13768" s="11"/>
    </row>
    <row r="13769" spans="1:12" ht="9" customHeight="1">
      <c r="A13769" s="514" t="s">
        <v>18198</v>
      </c>
      <c r="B13769" s="210"/>
      <c r="C13769" s="147"/>
      <c r="D13769" s="150"/>
      <c r="E13769" s="210"/>
      <c r="F13769" s="150"/>
      <c r="G13769" s="623"/>
      <c r="H13769" s="210"/>
      <c r="I13769" s="11"/>
    </row>
    <row r="13770" spans="1:12" ht="9" customHeight="1">
      <c r="A13770" s="162" t="s">
        <v>18199</v>
      </c>
      <c r="B13770" s="210"/>
      <c r="C13770" s="147"/>
      <c r="D13770" s="150"/>
      <c r="E13770" s="210"/>
      <c r="F13770" s="150"/>
      <c r="G13770" s="623"/>
      <c r="H13770" s="210"/>
      <c r="I13770" s="11"/>
    </row>
    <row r="13771" spans="1:12" ht="11.15" customHeight="1">
      <c r="A13771" s="168" t="s">
        <v>18200</v>
      </c>
      <c r="B13771" s="379"/>
      <c r="C13771" s="147"/>
      <c r="D13771" s="122"/>
      <c r="E13771" s="36"/>
      <c r="F13771" s="178"/>
      <c r="G13771" s="60"/>
      <c r="H13771" s="36"/>
      <c r="I13771" s="11"/>
    </row>
    <row r="13772" spans="1:12" ht="11.15" customHeight="1">
      <c r="A13772" s="822" t="s">
        <v>18201</v>
      </c>
      <c r="B13772" s="29"/>
      <c r="C13772" s="147"/>
      <c r="D13772" s="129"/>
      <c r="E13772" s="29"/>
      <c r="F13772" s="29"/>
      <c r="G13772" s="29"/>
      <c r="H13772" s="29"/>
      <c r="I13772" s="11"/>
    </row>
    <row r="13773" spans="1:12" ht="11.15" customHeight="1">
      <c r="A13773" s="356"/>
      <c r="B13773" s="379"/>
      <c r="C13773" s="147"/>
      <c r="D13773" s="122"/>
      <c r="E13773" s="36"/>
      <c r="F13773" s="178"/>
      <c r="G13773" s="60"/>
      <c r="H13773" s="36"/>
      <c r="I13773" s="11"/>
    </row>
    <row r="13774" spans="1:12" ht="11.15" customHeight="1" thickBot="1">
      <c r="A13774" s="319"/>
      <c r="B13774" s="852" t="s">
        <v>18202</v>
      </c>
      <c r="C13774" s="321"/>
      <c r="D13774" s="320"/>
      <c r="E13774" s="322"/>
      <c r="F13774" s="1091"/>
      <c r="G13774" s="579"/>
      <c r="H13774" s="853"/>
      <c r="I13774" s="11"/>
    </row>
    <row r="13775" spans="1:12" ht="11.15" customHeight="1" thickBot="1">
      <c r="A13775" s="184" t="s">
        <v>18160</v>
      </c>
      <c r="B13775" s="59" t="s">
        <v>22990</v>
      </c>
      <c r="C13775" s="147" t="s">
        <v>20221</v>
      </c>
      <c r="D13775" s="183" t="s">
        <v>18030</v>
      </c>
      <c r="E13775" s="178" t="s">
        <v>20221</v>
      </c>
      <c r="F13775" s="178" t="s">
        <v>23426</v>
      </c>
      <c r="G13775" s="496"/>
      <c r="H13775" s="994" t="s">
        <v>20221</v>
      </c>
      <c r="I13775" s="11" t="s">
        <v>18161</v>
      </c>
      <c r="J13775" s="1285"/>
      <c r="K13775" s="1285"/>
      <c r="L13775" s="1285"/>
    </row>
    <row r="13776" spans="1:12" ht="11.15" customHeight="1">
      <c r="A13776" s="29"/>
      <c r="B13776" s="656" t="s">
        <v>18162</v>
      </c>
      <c r="C13776" s="147"/>
      <c r="D13776" s="122"/>
      <c r="E13776" s="36"/>
      <c r="F13776" s="178"/>
      <c r="G13776" s="60"/>
      <c r="H13776" s="36"/>
      <c r="I13776" s="11"/>
    </row>
    <row r="13777" spans="1:12" ht="11.15" customHeight="1" thickBot="1">
      <c r="A13777" s="29"/>
      <c r="B13777" s="656"/>
      <c r="C13777" s="147"/>
      <c r="D13777" s="122"/>
      <c r="E13777" s="36"/>
      <c r="F13777" s="178"/>
      <c r="G13777" s="60"/>
      <c r="H13777" s="36"/>
      <c r="I13777" s="11"/>
    </row>
    <row r="13778" spans="1:12" ht="11.15" customHeight="1" thickBot="1">
      <c r="A13778" s="184" t="s">
        <v>18203</v>
      </c>
      <c r="B13778" s="59" t="s">
        <v>22999</v>
      </c>
      <c r="C13778" s="147" t="s">
        <v>20221</v>
      </c>
      <c r="D13778" s="183" t="s">
        <v>18030</v>
      </c>
      <c r="E13778" s="178" t="s">
        <v>20221</v>
      </c>
      <c r="F13778" s="178" t="s">
        <v>23426</v>
      </c>
      <c r="G13778" s="496"/>
      <c r="H13778" s="994" t="s">
        <v>20221</v>
      </c>
      <c r="I13778" s="11" t="s">
        <v>18204</v>
      </c>
      <c r="J13778" s="1285"/>
      <c r="K13778" s="1285"/>
      <c r="L13778" s="1285"/>
    </row>
    <row r="13779" spans="1:12" ht="11.15" customHeight="1">
      <c r="A13779" s="29" t="s">
        <v>18205</v>
      </c>
      <c r="B13779" s="59" t="s">
        <v>23000</v>
      </c>
      <c r="C13779" s="147" t="s">
        <v>20221</v>
      </c>
      <c r="D13779" s="183" t="s">
        <v>18030</v>
      </c>
      <c r="E13779" s="178">
        <v>2017</v>
      </c>
      <c r="F13779" s="178" t="s">
        <v>23426</v>
      </c>
      <c r="G13779" s="496"/>
      <c r="H13779" s="994" t="s">
        <v>20224</v>
      </c>
      <c r="I13779" s="11" t="s">
        <v>18206</v>
      </c>
      <c r="J13779" s="1285"/>
      <c r="K13779" s="1285"/>
      <c r="L13779" s="1285"/>
    </row>
    <row r="13780" spans="1:12" ht="11.15" customHeight="1">
      <c r="A13780" s="168" t="s">
        <v>18207</v>
      </c>
      <c r="B13780" s="29"/>
      <c r="C13780" s="147"/>
      <c r="D13780" s="122"/>
      <c r="E13780" s="36"/>
      <c r="F13780" s="1092"/>
      <c r="G13780" s="60"/>
      <c r="H13780" s="854"/>
      <c r="I13780" s="11"/>
    </row>
    <row r="13781" spans="1:12" ht="11.15" customHeight="1" thickBot="1">
      <c r="A13781" s="29"/>
      <c r="B13781" s="90"/>
      <c r="C13781" s="147"/>
      <c r="D13781" s="122"/>
      <c r="E13781" s="36"/>
      <c r="F13781" s="1092"/>
      <c r="G13781" s="60"/>
      <c r="H13781" s="854"/>
      <c r="I13781" s="11"/>
    </row>
    <row r="13782" spans="1:12" ht="11.15" customHeight="1" thickBot="1">
      <c r="A13782" s="184" t="s">
        <v>18043</v>
      </c>
      <c r="B13782" s="59" t="s">
        <v>23001</v>
      </c>
      <c r="C13782" s="147" t="s">
        <v>20221</v>
      </c>
      <c r="D13782" s="183" t="s">
        <v>18030</v>
      </c>
      <c r="E13782" s="178" t="s">
        <v>20221</v>
      </c>
      <c r="F13782" s="178" t="s">
        <v>23426</v>
      </c>
      <c r="G13782" s="496"/>
      <c r="H13782" s="994" t="s">
        <v>20221</v>
      </c>
      <c r="I13782" s="11" t="s">
        <v>18208</v>
      </c>
      <c r="J13782" s="1285"/>
      <c r="K13782" s="1285"/>
      <c r="L13782" s="1285"/>
    </row>
    <row r="13783" spans="1:12" ht="11.15" customHeight="1">
      <c r="A13783" s="29" t="s">
        <v>18045</v>
      </c>
      <c r="B13783" s="656" t="s">
        <v>18209</v>
      </c>
      <c r="C13783" s="147"/>
      <c r="D13783" s="29"/>
      <c r="E13783" s="29"/>
      <c r="F13783" s="29"/>
      <c r="G13783" s="430"/>
      <c r="H13783" s="29"/>
      <c r="I13783" s="11"/>
    </row>
    <row r="13784" spans="1:12" ht="11.15" customHeight="1">
      <c r="A13784" s="29" t="s">
        <v>18047</v>
      </c>
      <c r="B13784" s="59" t="s">
        <v>23002</v>
      </c>
      <c r="C13784" s="147" t="s">
        <v>20221</v>
      </c>
      <c r="D13784" s="183" t="s">
        <v>18030</v>
      </c>
      <c r="E13784" s="178" t="s">
        <v>20221</v>
      </c>
      <c r="F13784" s="178" t="s">
        <v>23426</v>
      </c>
      <c r="G13784" s="496"/>
      <c r="H13784" s="994" t="s">
        <v>20221</v>
      </c>
      <c r="I13784" s="11" t="s">
        <v>18210</v>
      </c>
      <c r="J13784" s="1285"/>
      <c r="K13784" s="1285"/>
      <c r="L13784" s="1285"/>
    </row>
    <row r="13785" spans="1:12" ht="11.15" customHeight="1">
      <c r="A13785" s="29" t="s">
        <v>18194</v>
      </c>
      <c r="B13785" s="59" t="s">
        <v>23003</v>
      </c>
      <c r="C13785" s="147" t="s">
        <v>20221</v>
      </c>
      <c r="D13785" s="183" t="s">
        <v>18030</v>
      </c>
      <c r="E13785" s="178" t="s">
        <v>20221</v>
      </c>
      <c r="F13785" s="178" t="s">
        <v>23427</v>
      </c>
      <c r="G13785" s="496"/>
      <c r="H13785" s="994" t="s">
        <v>20224</v>
      </c>
      <c r="I13785" s="11" t="s">
        <v>18211</v>
      </c>
      <c r="J13785" s="1285"/>
      <c r="K13785" s="1285"/>
      <c r="L13785" s="1285"/>
    </row>
    <row r="13786" spans="1:12" ht="11.15" customHeight="1">
      <c r="A13786" s="181" t="s">
        <v>1595</v>
      </c>
      <c r="B13786" s="656" t="s">
        <v>18212</v>
      </c>
      <c r="C13786" s="147"/>
      <c r="D13786" s="122"/>
      <c r="E13786" s="36"/>
      <c r="F13786" s="178"/>
      <c r="G13786" s="60"/>
      <c r="H13786" s="36"/>
      <c r="I13786" s="11"/>
    </row>
    <row r="13787" spans="1:12" ht="11.15" customHeight="1">
      <c r="A13787" s="29" t="s">
        <v>18052</v>
      </c>
      <c r="B13787" s="820"/>
      <c r="C13787" s="147"/>
      <c r="D13787" s="122"/>
      <c r="E13787" s="36"/>
      <c r="F13787" s="178"/>
      <c r="G13787" s="60"/>
      <c r="H13787" s="36"/>
      <c r="I13787" s="11"/>
    </row>
    <row r="13788" spans="1:12" ht="11.15" customHeight="1">
      <c r="A13788" s="29" t="s">
        <v>18054</v>
      </c>
      <c r="B13788" s="59" t="s">
        <v>23005</v>
      </c>
      <c r="C13788" s="147" t="s">
        <v>20221</v>
      </c>
      <c r="D13788" s="183" t="s">
        <v>18030</v>
      </c>
      <c r="E13788" s="178" t="s">
        <v>20221</v>
      </c>
      <c r="F13788" s="178" t="s">
        <v>23426</v>
      </c>
      <c r="G13788" s="496"/>
      <c r="H13788" s="994" t="s">
        <v>20221</v>
      </c>
      <c r="I13788" s="11" t="s">
        <v>18213</v>
      </c>
      <c r="J13788" s="1285"/>
      <c r="K13788" s="1285"/>
      <c r="L13788" s="1285"/>
    </row>
    <row r="13789" spans="1:12" ht="10.5" customHeight="1">
      <c r="A13789" s="29" t="s">
        <v>18056</v>
      </c>
      <c r="B13789" s="817" t="s">
        <v>18214</v>
      </c>
      <c r="C13789" s="147"/>
      <c r="D13789" s="122"/>
      <c r="E13789" s="36"/>
      <c r="F13789" s="178"/>
      <c r="G13789" s="430"/>
      <c r="H13789" s="36"/>
      <c r="I13789" s="11"/>
    </row>
    <row r="13790" spans="1:12" ht="10.5" customHeight="1">
      <c r="A13790" s="129" t="s">
        <v>18215</v>
      </c>
      <c r="B13790" s="656"/>
      <c r="C13790" s="147"/>
      <c r="D13790" s="122"/>
      <c r="E13790" s="36"/>
      <c r="F13790" s="178"/>
      <c r="G13790" s="60"/>
      <c r="H13790" s="36"/>
      <c r="I13790" s="11"/>
    </row>
    <row r="13791" spans="1:12" ht="9" customHeight="1">
      <c r="A13791" s="514" t="s">
        <v>18216</v>
      </c>
      <c r="B13791" s="656"/>
      <c r="C13791" s="147"/>
      <c r="D13791" s="122"/>
      <c r="E13791" s="36"/>
      <c r="F13791" s="178"/>
      <c r="G13791" s="60"/>
      <c r="H13791" s="36"/>
      <c r="I13791" s="11"/>
    </row>
    <row r="13792" spans="1:12" ht="9" customHeight="1">
      <c r="A13792" s="514" t="s">
        <v>18217</v>
      </c>
      <c r="B13792" s="656"/>
      <c r="C13792" s="147"/>
      <c r="D13792" s="122"/>
      <c r="E13792" s="36"/>
      <c r="F13792" s="178"/>
      <c r="G13792" s="60"/>
      <c r="H13792" s="36"/>
      <c r="I13792" s="11"/>
    </row>
    <row r="13793" spans="1:12" ht="9" customHeight="1">
      <c r="A13793" s="514" t="s">
        <v>18218</v>
      </c>
      <c r="B13793" s="656"/>
      <c r="C13793" s="147"/>
      <c r="D13793" s="122"/>
      <c r="E13793" s="36"/>
      <c r="F13793" s="178"/>
      <c r="G13793" s="60"/>
      <c r="H13793" s="36"/>
      <c r="I13793" s="11"/>
    </row>
    <row r="13794" spans="1:12" ht="9" customHeight="1">
      <c r="A13794" s="514" t="s">
        <v>18219</v>
      </c>
      <c r="B13794" s="656"/>
      <c r="C13794" s="147"/>
      <c r="D13794" s="122"/>
      <c r="E13794" s="36"/>
      <c r="F13794" s="178"/>
      <c r="G13794" s="60"/>
      <c r="H13794" s="36"/>
      <c r="I13794" s="11"/>
    </row>
    <row r="13795" spans="1:12" ht="9" customHeight="1">
      <c r="A13795" s="162" t="s">
        <v>18220</v>
      </c>
      <c r="B13795" s="656"/>
      <c r="C13795" s="147"/>
      <c r="D13795" s="122"/>
      <c r="E13795" s="36"/>
      <c r="F13795" s="178"/>
      <c r="G13795" s="60"/>
      <c r="H13795" s="36"/>
      <c r="I13795" s="11"/>
    </row>
    <row r="13796" spans="1:12" ht="9" customHeight="1">
      <c r="A13796" s="162" t="s">
        <v>18221</v>
      </c>
      <c r="B13796" s="656"/>
      <c r="C13796" s="147"/>
      <c r="D13796" s="122"/>
      <c r="E13796" s="36"/>
      <c r="F13796" s="178"/>
      <c r="G13796" s="60"/>
      <c r="H13796" s="36"/>
      <c r="I13796" s="11"/>
    </row>
    <row r="13797" spans="1:12" ht="9" customHeight="1">
      <c r="A13797" s="514" t="s">
        <v>18222</v>
      </c>
      <c r="B13797" s="656"/>
      <c r="C13797" s="147"/>
      <c r="D13797" s="122"/>
      <c r="E13797" s="36"/>
      <c r="F13797" s="178"/>
      <c r="G13797" s="60"/>
      <c r="H13797" s="36"/>
      <c r="I13797" s="11"/>
    </row>
    <row r="13798" spans="1:12" ht="9" customHeight="1">
      <c r="A13798" s="162" t="s">
        <v>18223</v>
      </c>
      <c r="B13798" s="656"/>
      <c r="C13798" s="147"/>
      <c r="D13798" s="122"/>
      <c r="E13798" s="36"/>
      <c r="F13798" s="178"/>
      <c r="G13798" s="60"/>
      <c r="H13798" s="36"/>
      <c r="I13798" s="11"/>
    </row>
    <row r="13799" spans="1:12" ht="10.5" customHeight="1">
      <c r="A13799" s="168" t="s">
        <v>18200</v>
      </c>
      <c r="B13799" s="656"/>
      <c r="C13799" s="147"/>
      <c r="D13799" s="122"/>
      <c r="E13799" s="36"/>
      <c r="F13799" s="178"/>
      <c r="G13799" s="60"/>
      <c r="H13799" s="36"/>
      <c r="I13799" s="11"/>
    </row>
    <row r="13800" spans="1:12" ht="10.5" customHeight="1">
      <c r="A13800" s="822" t="s">
        <v>18201</v>
      </c>
      <c r="B13800" s="656"/>
      <c r="C13800" s="147"/>
      <c r="D13800" s="122"/>
      <c r="E13800" s="36"/>
      <c r="F13800" s="178"/>
      <c r="G13800" s="60"/>
      <c r="H13800" s="36"/>
      <c r="I13800" s="11"/>
    </row>
    <row r="13801" spans="1:12" ht="10.5" customHeight="1">
      <c r="A13801" s="356"/>
      <c r="B13801" s="90"/>
      <c r="C13801" s="147"/>
      <c r="D13801" s="122"/>
      <c r="E13801" s="36"/>
      <c r="F13801" s="178"/>
      <c r="G13801" s="60"/>
      <c r="H13801" s="36"/>
      <c r="I13801" s="11"/>
    </row>
    <row r="13802" spans="1:12" ht="11.15" customHeight="1">
      <c r="A13802" s="319"/>
      <c r="B13802" s="855" t="s">
        <v>18224</v>
      </c>
      <c r="C13802" s="321"/>
      <c r="D13802" s="320"/>
      <c r="E13802" s="322"/>
      <c r="F13802" s="578"/>
      <c r="G13802" s="579"/>
      <c r="H13802" s="322"/>
      <c r="I13802" s="11"/>
    </row>
    <row r="13803" spans="1:12" ht="11.15" customHeight="1" thickBot="1">
      <c r="A13803" s="29"/>
      <c r="B13803" s="210" t="s">
        <v>18225</v>
      </c>
      <c r="C13803" s="147"/>
      <c r="D13803" s="122"/>
      <c r="E13803" s="36"/>
      <c r="F13803" s="178"/>
      <c r="G13803" s="60"/>
      <c r="H13803" s="36"/>
      <c r="I13803" s="11"/>
    </row>
    <row r="13804" spans="1:12" ht="11.15" customHeight="1" thickBot="1">
      <c r="A13804" s="184" t="s">
        <v>18226</v>
      </c>
      <c r="B13804" s="59" t="s">
        <v>23007</v>
      </c>
      <c r="C13804" s="147" t="s">
        <v>20221</v>
      </c>
      <c r="D13804" s="183" t="s">
        <v>18030</v>
      </c>
      <c r="E13804" s="178" t="s">
        <v>20221</v>
      </c>
      <c r="F13804" s="178" t="s">
        <v>23426</v>
      </c>
      <c r="G13804" s="496"/>
      <c r="H13804" s="994" t="s">
        <v>20221</v>
      </c>
      <c r="I13804" s="11" t="s">
        <v>18227</v>
      </c>
      <c r="J13804" s="1285"/>
      <c r="K13804" s="1285"/>
      <c r="L13804" s="1285"/>
    </row>
    <row r="13805" spans="1:12" ht="11.15" customHeight="1">
      <c r="A13805" s="29" t="s">
        <v>18228</v>
      </c>
      <c r="B13805" s="59" t="s">
        <v>23008</v>
      </c>
      <c r="C13805" s="147" t="s">
        <v>20221</v>
      </c>
      <c r="D13805" s="183" t="s">
        <v>18030</v>
      </c>
      <c r="E13805" s="178" t="s">
        <v>20221</v>
      </c>
      <c r="F13805" s="178" t="s">
        <v>23427</v>
      </c>
      <c r="G13805" s="496"/>
      <c r="H13805" s="994" t="s">
        <v>20224</v>
      </c>
      <c r="I13805" s="10" t="s">
        <v>18229</v>
      </c>
      <c r="J13805" s="1285"/>
      <c r="K13805" s="1285"/>
      <c r="L13805" s="1285"/>
    </row>
    <row r="13806" spans="1:12" ht="11.15" customHeight="1">
      <c r="A13806" s="29" t="s">
        <v>18230</v>
      </c>
      <c r="B13806" s="856" t="s">
        <v>18231</v>
      </c>
      <c r="C13806" s="147"/>
      <c r="D13806" s="122"/>
      <c r="E13806" s="656"/>
      <c r="F13806" s="178"/>
      <c r="G13806" s="496"/>
      <c r="H13806" s="36"/>
      <c r="I13806" s="11"/>
    </row>
    <row r="13807" spans="1:12" ht="11.15" customHeight="1">
      <c r="A13807" s="29" t="s">
        <v>18232</v>
      </c>
      <c r="B13807" s="90"/>
      <c r="C13807" s="147"/>
      <c r="D13807" s="122"/>
      <c r="E13807" s="656"/>
      <c r="F13807" s="178"/>
      <c r="G13807" s="496"/>
      <c r="H13807" s="36"/>
      <c r="I13807" s="11"/>
    </row>
    <row r="13808" spans="1:12" ht="11.15" customHeight="1">
      <c r="A13808" s="29" t="s">
        <v>18233</v>
      </c>
      <c r="B13808" s="90"/>
      <c r="C13808" s="147"/>
      <c r="D13808" s="122"/>
      <c r="E13808" s="656"/>
      <c r="F13808" s="178"/>
      <c r="G13808" s="496"/>
      <c r="H13808" s="36"/>
      <c r="I13808" s="11"/>
    </row>
    <row r="13809" spans="1:12" ht="11.15" customHeight="1">
      <c r="A13809" s="29" t="s">
        <v>18234</v>
      </c>
      <c r="B13809" s="90"/>
      <c r="C13809" s="147"/>
      <c r="D13809" s="122"/>
      <c r="E13809" s="656"/>
      <c r="F13809" s="178"/>
      <c r="G13809" s="496"/>
      <c r="H13809" s="36"/>
      <c r="I13809" s="11"/>
    </row>
    <row r="13810" spans="1:12" ht="11.15" customHeight="1">
      <c r="A13810" s="29" t="s">
        <v>18235</v>
      </c>
      <c r="B13810" s="90"/>
      <c r="C13810" s="147"/>
      <c r="D13810" s="122"/>
      <c r="E13810" s="656"/>
      <c r="F13810" s="178"/>
      <c r="G13810" s="496"/>
      <c r="H13810" s="36"/>
      <c r="I13810" s="11"/>
    </row>
    <row r="13811" spans="1:12" ht="11.15" customHeight="1">
      <c r="A13811" s="29" t="s">
        <v>18236</v>
      </c>
      <c r="B13811" s="656"/>
      <c r="C13811" s="147"/>
      <c r="D13811" s="122"/>
      <c r="E13811" s="36"/>
      <c r="F13811" s="178"/>
      <c r="G13811" s="60"/>
      <c r="H13811" s="36"/>
      <c r="I13811" s="11"/>
    </row>
    <row r="13812" spans="1:12" ht="11.15" customHeight="1">
      <c r="A13812" s="29" t="s">
        <v>18237</v>
      </c>
      <c r="B13812" s="656"/>
      <c r="C13812" s="147"/>
      <c r="D13812" s="122"/>
      <c r="E13812" s="36"/>
      <c r="F13812" s="178"/>
      <c r="G13812" s="60"/>
      <c r="H13812" s="36"/>
      <c r="I13812" s="11"/>
    </row>
    <row r="13813" spans="1:12" ht="11.15" customHeight="1">
      <c r="A13813" s="29" t="s">
        <v>18238</v>
      </c>
      <c r="B13813" s="656"/>
      <c r="C13813" s="147"/>
      <c r="D13813" s="122"/>
      <c r="E13813" s="36"/>
      <c r="F13813" s="178"/>
      <c r="G13813" s="60"/>
      <c r="H13813" s="36"/>
      <c r="I13813" s="11"/>
    </row>
    <row r="13814" spans="1:12" ht="11.15" customHeight="1">
      <c r="A13814" s="29" t="s">
        <v>18239</v>
      </c>
      <c r="B13814" s="656"/>
      <c r="C13814" s="147"/>
      <c r="D13814" s="122"/>
      <c r="E13814" s="36"/>
      <c r="F13814" s="178"/>
      <c r="G13814" s="60"/>
      <c r="H13814" s="36"/>
      <c r="I13814" s="11"/>
    </row>
    <row r="13815" spans="1:12" ht="11.15" customHeight="1">
      <c r="A13815" s="169" t="s">
        <v>18240</v>
      </c>
      <c r="B13815" s="656"/>
      <c r="C13815" s="147"/>
      <c r="D13815" s="122"/>
      <c r="E13815" s="36"/>
      <c r="F13815" s="178"/>
      <c r="G13815" s="60"/>
      <c r="H13815" s="36"/>
      <c r="I13815" s="11"/>
    </row>
    <row r="13816" spans="1:12" ht="11.15" customHeight="1">
      <c r="A13816" s="333" t="s">
        <v>2482</v>
      </c>
      <c r="B13816" s="656"/>
      <c r="C13816" s="147"/>
      <c r="D13816" s="122"/>
      <c r="E13816" s="36"/>
      <c r="F13816" s="178"/>
      <c r="G13816" s="60"/>
      <c r="H13816" s="36"/>
      <c r="I13816" s="11"/>
    </row>
    <row r="13817" spans="1:12" ht="11.15" customHeight="1" thickBot="1">
      <c r="A13817" s="162"/>
      <c r="B13817" s="656"/>
      <c r="C13817" s="147"/>
      <c r="D13817" s="122"/>
      <c r="E13817" s="36"/>
      <c r="F13817" s="178"/>
      <c r="G13817" s="60"/>
      <c r="H13817" s="36"/>
      <c r="I13817" s="11"/>
    </row>
    <row r="13818" spans="1:12" ht="11.15" customHeight="1" thickBot="1">
      <c r="A13818" s="184" t="s">
        <v>18241</v>
      </c>
      <c r="B13818" s="59" t="s">
        <v>23010</v>
      </c>
      <c r="C13818" s="147" t="s">
        <v>20221</v>
      </c>
      <c r="D13818" s="183" t="s">
        <v>18030</v>
      </c>
      <c r="E13818" s="178">
        <v>2016</v>
      </c>
      <c r="F13818" s="178" t="s">
        <v>23426</v>
      </c>
      <c r="G13818" s="496"/>
      <c r="H13818" s="994" t="s">
        <v>20224</v>
      </c>
      <c r="I13818" s="11" t="s">
        <v>18242</v>
      </c>
      <c r="J13818" s="1285"/>
      <c r="K13818" s="1285"/>
      <c r="L13818" s="1285"/>
    </row>
    <row r="13819" spans="1:12" ht="11.15" customHeight="1">
      <c r="A13819" s="29" t="s">
        <v>18243</v>
      </c>
      <c r="B13819" s="59" t="s">
        <v>23011</v>
      </c>
      <c r="C13819" s="147" t="s">
        <v>20221</v>
      </c>
      <c r="D13819" s="183" t="s">
        <v>18030</v>
      </c>
      <c r="E13819" s="178">
        <v>2023</v>
      </c>
      <c r="F13819" s="178" t="s">
        <v>23426</v>
      </c>
      <c r="G13819" s="496"/>
      <c r="H13819" s="994" t="s">
        <v>20221</v>
      </c>
      <c r="I13819" s="11" t="s">
        <v>18244</v>
      </c>
      <c r="J13819" s="1285"/>
      <c r="K13819" s="1285"/>
      <c r="L13819" s="1285"/>
    </row>
    <row r="13820" spans="1:12" ht="11.15" customHeight="1">
      <c r="A13820" s="29" t="s">
        <v>18245</v>
      </c>
      <c r="B13820" s="59" t="s">
        <v>23011</v>
      </c>
      <c r="C13820" s="147" t="s">
        <v>20221</v>
      </c>
      <c r="D13820" s="183" t="s">
        <v>18030</v>
      </c>
      <c r="E13820" s="178">
        <v>2016</v>
      </c>
      <c r="F13820" s="178" t="s">
        <v>23426</v>
      </c>
      <c r="G13820" s="496"/>
      <c r="H13820" s="994" t="s">
        <v>20277</v>
      </c>
      <c r="I13820" s="11" t="s">
        <v>18246</v>
      </c>
      <c r="J13820" s="1285"/>
      <c r="K13820" s="1285"/>
      <c r="L13820" s="1285"/>
    </row>
    <row r="13821" spans="1:12" ht="11.15" customHeight="1">
      <c r="A13821" s="29" t="s">
        <v>18247</v>
      </c>
      <c r="B13821" s="29"/>
      <c r="C13821" s="29"/>
      <c r="D13821" s="29"/>
      <c r="E13821" s="29"/>
      <c r="F13821" s="29"/>
      <c r="G13821" s="29"/>
      <c r="H13821" s="29"/>
      <c r="I13821" s="11"/>
    </row>
    <row r="13822" spans="1:12" ht="11.15" customHeight="1">
      <c r="A13822" s="129" t="s">
        <v>1077</v>
      </c>
      <c r="B13822" s="29"/>
      <c r="C13822" s="29"/>
      <c r="D13822" s="29"/>
      <c r="E13822" s="29"/>
      <c r="F13822" s="29"/>
      <c r="G13822" s="29"/>
      <c r="H13822" s="29"/>
      <c r="I13822" s="11"/>
    </row>
    <row r="13823" spans="1:12" ht="11.15" customHeight="1">
      <c r="A13823" s="162" t="s">
        <v>18248</v>
      </c>
      <c r="B13823" s="29"/>
      <c r="C13823" s="29"/>
      <c r="D13823" s="29"/>
      <c r="E13823" s="29"/>
      <c r="F13823" s="29"/>
      <c r="G13823" s="29"/>
      <c r="H13823" s="29"/>
      <c r="I13823" s="11"/>
    </row>
    <row r="13824" spans="1:12" ht="11.15" customHeight="1">
      <c r="A13824" s="162" t="s">
        <v>18249</v>
      </c>
      <c r="B13824" s="656"/>
      <c r="C13824" s="147"/>
      <c r="D13824" s="122"/>
      <c r="E13824" s="36"/>
      <c r="F13824" s="178"/>
      <c r="G13824" s="60"/>
      <c r="H13824" s="36"/>
      <c r="I13824" s="11"/>
    </row>
    <row r="13825" spans="1:12" ht="11.15" customHeight="1">
      <c r="A13825" s="162" t="s">
        <v>18250</v>
      </c>
      <c r="B13825" s="656"/>
      <c r="C13825" s="147"/>
      <c r="D13825" s="122"/>
      <c r="E13825" s="36"/>
      <c r="F13825" s="178"/>
      <c r="G13825" s="60"/>
      <c r="H13825" s="36"/>
      <c r="I13825" s="11"/>
    </row>
    <row r="13826" spans="1:12" ht="11.15" customHeight="1">
      <c r="A13826" s="162" t="s">
        <v>18251</v>
      </c>
      <c r="B13826" s="656"/>
      <c r="C13826" s="147"/>
      <c r="D13826" s="122"/>
      <c r="E13826" s="36"/>
      <c r="F13826" s="178"/>
      <c r="G13826" s="60"/>
      <c r="H13826" s="36"/>
      <c r="I13826" s="11"/>
    </row>
    <row r="13827" spans="1:12" ht="11.15" customHeight="1">
      <c r="A13827" s="162" t="s">
        <v>18252</v>
      </c>
      <c r="B13827" s="656"/>
      <c r="C13827" s="147"/>
      <c r="D13827" s="122"/>
      <c r="E13827" s="36"/>
      <c r="F13827" s="178"/>
      <c r="G13827" s="60"/>
      <c r="H13827" s="36"/>
      <c r="I13827" s="11"/>
    </row>
    <row r="13828" spans="1:12" ht="11.15" customHeight="1">
      <c r="A13828" s="166" t="s">
        <v>18253</v>
      </c>
      <c r="B13828" s="656"/>
      <c r="C13828" s="147"/>
      <c r="D13828" s="122"/>
      <c r="E13828" s="36"/>
      <c r="F13828" s="178"/>
      <c r="G13828" s="60"/>
      <c r="H13828" s="36"/>
      <c r="I13828" s="11"/>
    </row>
    <row r="13829" spans="1:12" ht="11.15" customHeight="1" thickBot="1">
      <c r="A13829" s="29"/>
      <c r="B13829" s="90"/>
      <c r="C13829" s="147"/>
      <c r="D13829" s="122"/>
      <c r="E13829" s="36"/>
      <c r="F13829" s="178"/>
      <c r="G13829" s="60"/>
      <c r="H13829" s="36"/>
      <c r="I13829" s="11"/>
    </row>
    <row r="13830" spans="1:12" ht="11.15" customHeight="1" thickBot="1">
      <c r="A13830" s="184" t="s">
        <v>18043</v>
      </c>
      <c r="B13830" s="59" t="s">
        <v>23005</v>
      </c>
      <c r="C13830" s="147" t="s">
        <v>20221</v>
      </c>
      <c r="D13830" s="183" t="s">
        <v>18030</v>
      </c>
      <c r="E13830" s="178" t="s">
        <v>20221</v>
      </c>
      <c r="F13830" s="178" t="s">
        <v>23426</v>
      </c>
      <c r="G13830" s="496"/>
      <c r="H13830" s="994" t="s">
        <v>20221</v>
      </c>
      <c r="I13830" s="11" t="s">
        <v>18213</v>
      </c>
      <c r="J13830" s="1285"/>
      <c r="K13830" s="1285"/>
      <c r="L13830" s="1285"/>
    </row>
    <row r="13831" spans="1:12" ht="11.15" customHeight="1">
      <c r="A13831" s="29" t="s">
        <v>18045</v>
      </c>
      <c r="B13831" s="817" t="s">
        <v>18214</v>
      </c>
      <c r="C13831" s="147"/>
      <c r="D13831" s="122"/>
      <c r="E13831" s="36"/>
      <c r="F13831" s="178"/>
      <c r="G13831" s="430"/>
      <c r="H13831" s="36"/>
      <c r="I13831" s="11"/>
    </row>
    <row r="13832" spans="1:12" ht="11.15" customHeight="1">
      <c r="A13832" s="29" t="s">
        <v>18047</v>
      </c>
      <c r="B13832" s="656"/>
      <c r="C13832" s="147"/>
      <c r="D13832" s="122"/>
      <c r="E13832" s="36"/>
      <c r="F13832" s="178"/>
      <c r="G13832" s="60"/>
      <c r="H13832" s="36"/>
      <c r="I13832" s="11"/>
    </row>
    <row r="13833" spans="1:12" ht="11.15" customHeight="1">
      <c r="A13833" s="29" t="s">
        <v>18194</v>
      </c>
      <c r="B13833" s="656"/>
      <c r="C13833" s="147"/>
      <c r="D13833" s="122"/>
      <c r="E13833" s="36"/>
      <c r="F13833" s="178"/>
      <c r="G13833" s="60"/>
      <c r="H13833" s="36"/>
      <c r="I13833" s="11"/>
    </row>
    <row r="13834" spans="1:12" ht="11.15" customHeight="1">
      <c r="A13834" s="181" t="s">
        <v>1595</v>
      </c>
      <c r="B13834" s="29"/>
      <c r="C13834" s="147"/>
      <c r="D13834" s="129"/>
      <c r="E13834" s="29"/>
      <c r="F13834" s="29"/>
      <c r="G13834" s="29"/>
      <c r="H13834" s="29"/>
      <c r="I13834" s="11"/>
    </row>
    <row r="13835" spans="1:12" ht="11.15" customHeight="1">
      <c r="A13835" s="29" t="s">
        <v>18052</v>
      </c>
      <c r="B13835" s="29"/>
      <c r="C13835" s="147"/>
      <c r="D13835" s="129"/>
      <c r="E13835" s="29"/>
      <c r="F13835" s="29"/>
      <c r="G13835" s="29"/>
      <c r="H13835" s="29"/>
      <c r="I13835" s="11"/>
    </row>
    <row r="13836" spans="1:12" ht="10.5" customHeight="1">
      <c r="A13836" s="29" t="s">
        <v>18054</v>
      </c>
      <c r="B13836" s="90"/>
      <c r="C13836" s="147"/>
      <c r="D13836" s="122"/>
      <c r="E13836" s="36"/>
      <c r="F13836" s="178"/>
      <c r="G13836" s="60"/>
      <c r="H13836" s="36"/>
      <c r="I13836" s="11"/>
    </row>
    <row r="13837" spans="1:12" ht="10.5" customHeight="1">
      <c r="A13837" s="29" t="s">
        <v>18056</v>
      </c>
      <c r="B13837" s="90"/>
      <c r="C13837" s="147"/>
      <c r="D13837" s="122"/>
      <c r="E13837" s="36"/>
      <c r="F13837" s="178"/>
      <c r="G13837" s="60"/>
      <c r="H13837" s="36"/>
      <c r="I13837" s="11"/>
    </row>
    <row r="13838" spans="1:12" ht="10.5" customHeight="1">
      <c r="A13838" s="129" t="s">
        <v>18215</v>
      </c>
      <c r="B13838" s="90"/>
      <c r="C13838" s="147"/>
      <c r="D13838" s="122"/>
      <c r="E13838" s="36"/>
      <c r="F13838" s="178"/>
      <c r="G13838" s="60"/>
      <c r="H13838" s="36"/>
      <c r="I13838" s="11"/>
    </row>
    <row r="13839" spans="1:12" ht="9" customHeight="1">
      <c r="A13839" s="514" t="s">
        <v>18216</v>
      </c>
      <c r="B13839" s="90"/>
      <c r="C13839" s="147"/>
      <c r="D13839" s="122"/>
      <c r="E13839" s="36"/>
      <c r="F13839" s="178"/>
      <c r="G13839" s="60"/>
      <c r="H13839" s="36"/>
      <c r="I13839" s="11"/>
    </row>
    <row r="13840" spans="1:12" ht="9" customHeight="1">
      <c r="A13840" s="514" t="s">
        <v>18254</v>
      </c>
      <c r="B13840" s="90"/>
      <c r="C13840" s="147"/>
      <c r="D13840" s="122"/>
      <c r="E13840" s="36"/>
      <c r="F13840" s="178"/>
      <c r="G13840" s="60"/>
      <c r="H13840" s="36"/>
      <c r="I13840" s="11"/>
    </row>
    <row r="13841" spans="1:12" ht="9" customHeight="1">
      <c r="A13841" s="514" t="s">
        <v>18255</v>
      </c>
      <c r="B13841" s="29"/>
      <c r="C13841" s="147"/>
      <c r="D13841" s="129"/>
      <c r="E13841" s="29"/>
      <c r="F13841" s="29"/>
      <c r="G13841" s="29"/>
      <c r="H13841" s="29"/>
      <c r="I13841" s="11"/>
    </row>
    <row r="13842" spans="1:12" ht="9" customHeight="1">
      <c r="A13842" s="514" t="s">
        <v>18256</v>
      </c>
      <c r="B13842" s="29"/>
      <c r="C13842" s="147"/>
      <c r="D13842" s="129"/>
      <c r="E13842" s="29"/>
      <c r="F13842" s="29"/>
      <c r="G13842" s="29"/>
      <c r="H13842" s="29"/>
      <c r="I13842" s="11"/>
    </row>
    <row r="13843" spans="1:12" ht="11.15" customHeight="1">
      <c r="A13843" s="168" t="s">
        <v>18200</v>
      </c>
      <c r="B13843" s="29"/>
      <c r="C13843" s="147"/>
      <c r="D13843" s="129"/>
      <c r="E13843" s="29"/>
      <c r="F13843" s="29"/>
      <c r="G13843" s="29"/>
      <c r="H13843" s="29"/>
      <c r="I13843" s="11"/>
    </row>
    <row r="13844" spans="1:12" ht="11.15" customHeight="1">
      <c r="A13844" s="822" t="s">
        <v>18201</v>
      </c>
      <c r="B13844" s="29"/>
      <c r="C13844" s="147"/>
      <c r="D13844" s="122"/>
      <c r="E13844" s="36"/>
      <c r="F13844" s="178"/>
      <c r="G13844" s="671"/>
      <c r="H13844" s="36"/>
      <c r="I13844" s="11"/>
    </row>
    <row r="13845" spans="1:12" ht="11.15" customHeight="1">
      <c r="A13845" s="822"/>
      <c r="B13845" s="716" t="s">
        <v>18166</v>
      </c>
      <c r="C13845" s="147"/>
      <c r="D13845" s="122"/>
      <c r="E13845" s="36"/>
      <c r="F13845" s="178"/>
      <c r="G13845" s="671"/>
      <c r="H13845" s="36"/>
      <c r="I13845" s="11"/>
    </row>
    <row r="13846" spans="1:12" ht="11.15" customHeight="1" thickBot="1">
      <c r="A13846" s="29"/>
      <c r="B13846" s="122" t="s">
        <v>18257</v>
      </c>
      <c r="C13846" s="147"/>
      <c r="D13846" s="129"/>
      <c r="E13846" s="29"/>
      <c r="F13846" s="29"/>
      <c r="G13846" s="29"/>
      <c r="H13846" s="29"/>
      <c r="I13846" s="11"/>
    </row>
    <row r="13847" spans="1:12" ht="11.15" customHeight="1" thickBot="1">
      <c r="A13847" s="184" t="s">
        <v>18167</v>
      </c>
      <c r="B13847" s="59" t="s">
        <v>23012</v>
      </c>
      <c r="C13847" s="147" t="s">
        <v>20221</v>
      </c>
      <c r="D13847" s="183" t="s">
        <v>18030</v>
      </c>
      <c r="E13847" s="178">
        <v>2018</v>
      </c>
      <c r="F13847" s="178" t="s">
        <v>23426</v>
      </c>
      <c r="G13847" s="496"/>
      <c r="H13847" s="994" t="s">
        <v>20221</v>
      </c>
      <c r="I13847" s="11" t="s">
        <v>18258</v>
      </c>
      <c r="J13847" s="1285"/>
      <c r="K13847" s="1285"/>
      <c r="L13847" s="1285"/>
    </row>
    <row r="13848" spans="1:12" ht="11.15" customHeight="1">
      <c r="A13848" s="29" t="s">
        <v>18169</v>
      </c>
      <c r="B13848" s="59" t="s">
        <v>23013</v>
      </c>
      <c r="C13848" s="147" t="s">
        <v>20221</v>
      </c>
      <c r="D13848" s="183" t="s">
        <v>18030</v>
      </c>
      <c r="E13848" s="178" t="s">
        <v>23014</v>
      </c>
      <c r="F13848" s="178" t="s">
        <v>23427</v>
      </c>
      <c r="G13848" s="496"/>
      <c r="H13848" s="994" t="s">
        <v>20224</v>
      </c>
      <c r="I13848" s="11" t="s">
        <v>18259</v>
      </c>
      <c r="J13848" s="1285"/>
      <c r="K13848" s="1285"/>
      <c r="L13848" s="1285"/>
    </row>
    <row r="13849" spans="1:12" ht="11.15" customHeight="1">
      <c r="A13849" s="29" t="s">
        <v>18171</v>
      </c>
      <c r="B13849" s="817" t="s">
        <v>18260</v>
      </c>
      <c r="C13849" s="147"/>
      <c r="D13849" s="122"/>
      <c r="E13849" s="36"/>
      <c r="F13849" s="178"/>
      <c r="G13849" s="60"/>
      <c r="H13849" s="36"/>
      <c r="I13849" s="11"/>
    </row>
    <row r="13850" spans="1:12" ht="11.15" customHeight="1">
      <c r="A13850" s="29" t="s">
        <v>18173</v>
      </c>
      <c r="B13850" s="656"/>
      <c r="C13850" s="147"/>
      <c r="D13850" s="122"/>
      <c r="E13850" s="36"/>
      <c r="F13850" s="178"/>
      <c r="G13850" s="60"/>
      <c r="H13850" s="36"/>
      <c r="I13850" s="11"/>
    </row>
    <row r="13851" spans="1:12" ht="11.15" customHeight="1">
      <c r="A13851" s="195" t="s">
        <v>18174</v>
      </c>
      <c r="B13851" s="656"/>
      <c r="C13851" s="147"/>
      <c r="D13851" s="122"/>
      <c r="E13851" s="36"/>
      <c r="F13851" s="178"/>
      <c r="G13851" s="60"/>
      <c r="H13851" s="36"/>
      <c r="I13851" s="11"/>
    </row>
    <row r="13852" spans="1:12" ht="11.15" customHeight="1">
      <c r="A13852" s="29" t="s">
        <v>18176</v>
      </c>
      <c r="B13852" s="656"/>
      <c r="C13852" s="147"/>
      <c r="D13852" s="122"/>
      <c r="E13852" s="36"/>
      <c r="F13852" s="178"/>
      <c r="G13852" s="60"/>
      <c r="H13852" s="36"/>
      <c r="I13852" s="11"/>
    </row>
    <row r="13853" spans="1:12" ht="11.15" customHeight="1">
      <c r="A13853" s="29" t="s">
        <v>18178</v>
      </c>
      <c r="B13853" s="29"/>
      <c r="C13853" s="147"/>
      <c r="D13853" s="122"/>
      <c r="E13853" s="36"/>
      <c r="F13853" s="178"/>
      <c r="G13853" s="60"/>
      <c r="H13853" s="36"/>
      <c r="I13853" s="11"/>
    </row>
    <row r="13854" spans="1:12" ht="11.15" customHeight="1">
      <c r="A13854" s="29" t="s">
        <v>18179</v>
      </c>
      <c r="B13854" s="29"/>
      <c r="C13854" s="147"/>
      <c r="D13854" s="122"/>
      <c r="E13854" s="36"/>
      <c r="F13854" s="178"/>
      <c r="G13854" s="60"/>
      <c r="H13854" s="36"/>
      <c r="I13854" s="11"/>
    </row>
    <row r="13855" spans="1:12" ht="11.15" customHeight="1">
      <c r="A13855" s="29" t="s">
        <v>18180</v>
      </c>
      <c r="B13855" s="29"/>
      <c r="C13855" s="147"/>
      <c r="D13855" s="122"/>
      <c r="E13855" s="36"/>
      <c r="F13855" s="178"/>
      <c r="G13855" s="60"/>
      <c r="H13855" s="36"/>
      <c r="I13855" s="11"/>
    </row>
    <row r="13856" spans="1:12" ht="11.15" customHeight="1">
      <c r="A13856" s="129" t="s">
        <v>18261</v>
      </c>
      <c r="B13856" s="29"/>
      <c r="C13856" s="147"/>
      <c r="D13856" s="122"/>
      <c r="E13856" s="36"/>
      <c r="F13856" s="178"/>
      <c r="G13856" s="60"/>
      <c r="H13856" s="36"/>
      <c r="I13856" s="11"/>
    </row>
    <row r="13857" spans="1:12" ht="11.15" customHeight="1">
      <c r="A13857" s="168"/>
      <c r="B13857" s="29"/>
      <c r="C13857" s="147"/>
      <c r="D13857" s="122"/>
      <c r="E13857" s="36"/>
      <c r="F13857" s="1092"/>
      <c r="G13857" s="60"/>
      <c r="H13857" s="854"/>
      <c r="I13857" s="11"/>
    </row>
    <row r="13858" spans="1:12" ht="9.75" customHeight="1" thickBot="1">
      <c r="A13858" s="857"/>
      <c r="B13858" s="858" t="s">
        <v>18262</v>
      </c>
      <c r="C13858" s="252"/>
      <c r="D13858" s="859"/>
      <c r="E13858" s="253"/>
      <c r="F13858" s="1041"/>
      <c r="G13858" s="1260"/>
      <c r="H13858" s="253"/>
      <c r="I13858" s="11"/>
    </row>
    <row r="13859" spans="1:12" ht="11.15" customHeight="1" thickBot="1">
      <c r="A13859" s="184" t="s">
        <v>18043</v>
      </c>
      <c r="B13859" s="59" t="s">
        <v>23015</v>
      </c>
      <c r="C13859" s="147" t="s">
        <v>20221</v>
      </c>
      <c r="D13859" s="183" t="s">
        <v>18030</v>
      </c>
      <c r="E13859" s="178">
        <v>2022</v>
      </c>
      <c r="F13859" s="178" t="s">
        <v>23426</v>
      </c>
      <c r="G13859" s="496"/>
      <c r="H13859" s="994" t="s">
        <v>20224</v>
      </c>
      <c r="I13859" s="11" t="s">
        <v>18263</v>
      </c>
      <c r="J13859" s="1285"/>
      <c r="K13859" s="1285"/>
      <c r="L13859" s="1285"/>
    </row>
    <row r="13860" spans="1:12" ht="11.15" customHeight="1">
      <c r="A13860" s="29" t="s">
        <v>18045</v>
      </c>
      <c r="B13860" s="59" t="s">
        <v>23016</v>
      </c>
      <c r="C13860" s="147" t="s">
        <v>20221</v>
      </c>
      <c r="D13860" s="183" t="s">
        <v>18030</v>
      </c>
      <c r="E13860" s="178">
        <v>2017</v>
      </c>
      <c r="F13860" s="178" t="s">
        <v>23426</v>
      </c>
      <c r="G13860" s="496"/>
      <c r="H13860" s="994" t="s">
        <v>20221</v>
      </c>
      <c r="I13860" s="11" t="s">
        <v>18264</v>
      </c>
      <c r="J13860" s="1285"/>
      <c r="K13860" s="1285"/>
      <c r="L13860" s="1285"/>
    </row>
    <row r="13861" spans="1:12" ht="11.15" customHeight="1">
      <c r="A13861" s="29" t="s">
        <v>18047</v>
      </c>
      <c r="B13861" s="656" t="s">
        <v>18265</v>
      </c>
      <c r="C13861" s="147"/>
      <c r="D13861" s="122"/>
      <c r="E13861" s="36"/>
      <c r="F13861" s="178"/>
      <c r="G13861" s="60"/>
      <c r="H13861" s="36"/>
      <c r="I13861" s="11"/>
    </row>
    <row r="13862" spans="1:12" ht="11.15" customHeight="1">
      <c r="A13862" s="29" t="s">
        <v>18194</v>
      </c>
      <c r="B13862" s="29"/>
      <c r="C13862" s="147"/>
      <c r="D13862" s="29"/>
      <c r="E13862" s="29"/>
      <c r="F13862" s="29"/>
      <c r="G13862" s="29"/>
      <c r="H13862" s="29"/>
      <c r="I13862" s="11"/>
    </row>
    <row r="13863" spans="1:12" ht="11.15" customHeight="1">
      <c r="A13863" s="181" t="s">
        <v>1595</v>
      </c>
      <c r="B13863" s="29"/>
      <c r="C13863" s="147"/>
      <c r="D13863" s="29"/>
      <c r="E13863" s="29"/>
      <c r="F13863" s="29"/>
      <c r="G13863" s="29"/>
      <c r="H13863" s="29"/>
      <c r="I13863" s="11"/>
    </row>
    <row r="13864" spans="1:12" ht="11.15" customHeight="1">
      <c r="A13864" s="29" t="s">
        <v>18052</v>
      </c>
      <c r="B13864" s="29"/>
      <c r="C13864" s="147"/>
      <c r="D13864" s="29"/>
      <c r="E13864" s="29"/>
      <c r="F13864" s="29"/>
      <c r="G13864" s="29"/>
      <c r="H13864" s="29"/>
      <c r="I13864" s="11"/>
    </row>
    <row r="13865" spans="1:12" ht="11.15" customHeight="1">
      <c r="A13865" s="29" t="s">
        <v>18054</v>
      </c>
      <c r="B13865" s="29"/>
      <c r="C13865" s="147"/>
      <c r="D13865" s="29"/>
      <c r="E13865" s="29"/>
      <c r="F13865" s="29"/>
      <c r="G13865" s="29"/>
      <c r="H13865" s="29"/>
      <c r="I13865" s="11"/>
    </row>
    <row r="13866" spans="1:12" ht="11.15" customHeight="1">
      <c r="A13866" s="29" t="s">
        <v>18056</v>
      </c>
      <c r="B13866" s="29"/>
      <c r="C13866" s="147"/>
      <c r="D13866" s="29"/>
      <c r="E13866" s="29"/>
      <c r="F13866" s="29"/>
      <c r="G13866" s="29"/>
      <c r="H13866" s="29"/>
      <c r="I13866" s="11"/>
    </row>
    <row r="13867" spans="1:12" ht="11.15" customHeight="1">
      <c r="A13867" s="129" t="s">
        <v>18266</v>
      </c>
      <c r="B13867" s="29"/>
      <c r="C13867" s="147"/>
      <c r="D13867" s="29"/>
      <c r="E13867" s="29"/>
      <c r="F13867" s="29"/>
      <c r="G13867" s="29"/>
      <c r="H13867" s="29"/>
      <c r="I13867" s="11"/>
    </row>
    <row r="13868" spans="1:12" ht="9" customHeight="1">
      <c r="A13868" s="514" t="s">
        <v>18267</v>
      </c>
      <c r="B13868" s="656"/>
      <c r="C13868" s="147"/>
      <c r="D13868" s="122"/>
      <c r="E13868" s="36"/>
      <c r="F13868" s="178"/>
      <c r="G13868" s="60"/>
      <c r="H13868" s="36"/>
      <c r="I13868" s="11"/>
    </row>
    <row r="13869" spans="1:12" ht="9" customHeight="1">
      <c r="A13869" s="514" t="s">
        <v>18268</v>
      </c>
      <c r="B13869" s="656"/>
      <c r="C13869" s="147"/>
      <c r="D13869" s="122"/>
      <c r="E13869" s="36"/>
      <c r="F13869" s="178"/>
      <c r="G13869" s="60"/>
      <c r="H13869" s="36"/>
      <c r="I13869" s="11"/>
    </row>
    <row r="13870" spans="1:12" ht="9" customHeight="1">
      <c r="A13870" s="514" t="s">
        <v>18269</v>
      </c>
      <c r="B13870" s="656"/>
      <c r="C13870" s="147"/>
      <c r="D13870" s="122"/>
      <c r="E13870" s="36"/>
      <c r="F13870" s="178"/>
      <c r="G13870" s="60"/>
      <c r="H13870" s="36"/>
      <c r="I13870" s="11"/>
    </row>
    <row r="13871" spans="1:12" ht="11.15" customHeight="1">
      <c r="A13871" s="168" t="s">
        <v>18200</v>
      </c>
      <c r="B13871" s="656"/>
      <c r="C13871" s="147"/>
      <c r="D13871" s="122"/>
      <c r="E13871" s="36"/>
      <c r="F13871" s="178"/>
      <c r="G13871" s="60"/>
      <c r="H13871" s="36"/>
      <c r="I13871" s="11"/>
    </row>
    <row r="13872" spans="1:12" ht="11.15" customHeight="1">
      <c r="A13872" s="822" t="s">
        <v>18201</v>
      </c>
      <c r="B13872" s="656"/>
      <c r="C13872" s="147"/>
      <c r="D13872" s="122"/>
      <c r="E13872" s="36"/>
      <c r="F13872" s="178"/>
      <c r="G13872" s="60"/>
      <c r="H13872" s="36"/>
      <c r="I13872" s="11"/>
    </row>
    <row r="13873" spans="1:12" ht="11.15" customHeight="1">
      <c r="A13873" s="857"/>
      <c r="B13873" s="858" t="s">
        <v>18270</v>
      </c>
      <c r="C13873" s="252"/>
      <c r="D13873" s="859"/>
      <c r="E13873" s="253"/>
      <c r="F13873" s="1041"/>
      <c r="G13873" s="1260"/>
      <c r="H13873" s="253"/>
      <c r="I13873" s="11"/>
    </row>
    <row r="13874" spans="1:12" ht="11.15" customHeight="1">
      <c r="A13874" s="849"/>
      <c r="B13874" s="716" t="s">
        <v>18166</v>
      </c>
      <c r="C13874" s="147"/>
      <c r="D13874" s="122"/>
      <c r="E13874" s="36"/>
      <c r="F13874" s="178"/>
      <c r="G13874" s="671"/>
      <c r="H13874" s="36"/>
      <c r="I13874" s="11"/>
    </row>
    <row r="13875" spans="1:12" ht="11.15" customHeight="1" thickBot="1">
      <c r="A13875" s="29"/>
      <c r="B13875" s="226" t="s">
        <v>18271</v>
      </c>
      <c r="C13875" s="147"/>
      <c r="D13875" s="129"/>
      <c r="E13875" s="29"/>
      <c r="F13875" s="29"/>
      <c r="G13875" s="29"/>
      <c r="H13875" s="29"/>
      <c r="I13875" s="11"/>
    </row>
    <row r="13876" spans="1:12" ht="11.15" customHeight="1" thickBot="1">
      <c r="A13876" s="184" t="s">
        <v>18167</v>
      </c>
      <c r="B13876" s="59" t="s">
        <v>23012</v>
      </c>
      <c r="C13876" s="147" t="s">
        <v>20221</v>
      </c>
      <c r="D13876" s="183" t="s">
        <v>18030</v>
      </c>
      <c r="E13876" s="178">
        <v>2018</v>
      </c>
      <c r="F13876" s="178" t="s">
        <v>23426</v>
      </c>
      <c r="G13876" s="496"/>
      <c r="H13876" s="994" t="s">
        <v>20221</v>
      </c>
      <c r="I13876" s="11" t="s">
        <v>18258</v>
      </c>
      <c r="J13876" s="1285"/>
      <c r="K13876" s="1285"/>
      <c r="L13876" s="1285"/>
    </row>
    <row r="13877" spans="1:12" ht="11.15" customHeight="1">
      <c r="A13877" s="29" t="s">
        <v>18169</v>
      </c>
      <c r="B13877" s="59" t="s">
        <v>23013</v>
      </c>
      <c r="C13877" s="147" t="s">
        <v>20221</v>
      </c>
      <c r="D13877" s="183" t="s">
        <v>18030</v>
      </c>
      <c r="E13877" s="178" t="s">
        <v>23014</v>
      </c>
      <c r="F13877" s="178" t="s">
        <v>23427</v>
      </c>
      <c r="G13877" s="496"/>
      <c r="H13877" s="994" t="s">
        <v>20224</v>
      </c>
      <c r="I13877" s="11" t="s">
        <v>18259</v>
      </c>
      <c r="J13877" s="1285"/>
      <c r="K13877" s="1285"/>
      <c r="L13877" s="1285"/>
    </row>
    <row r="13878" spans="1:12" ht="11.15" customHeight="1">
      <c r="A13878" s="29" t="s">
        <v>18171</v>
      </c>
      <c r="B13878" s="817" t="s">
        <v>18260</v>
      </c>
      <c r="C13878" s="147"/>
      <c r="D13878" s="122"/>
      <c r="E13878" s="36"/>
      <c r="F13878" s="178"/>
      <c r="G13878" s="60"/>
      <c r="H13878" s="36"/>
      <c r="I13878" s="11"/>
    </row>
    <row r="13879" spans="1:12" ht="11.15" customHeight="1">
      <c r="A13879" s="29" t="s">
        <v>18173</v>
      </c>
      <c r="B13879" s="656"/>
      <c r="C13879" s="147"/>
      <c r="D13879" s="122"/>
      <c r="E13879" s="36"/>
      <c r="F13879" s="178"/>
      <c r="G13879" s="60"/>
      <c r="H13879" s="36"/>
      <c r="I13879" s="11"/>
    </row>
    <row r="13880" spans="1:12" ht="11.15" customHeight="1">
      <c r="A13880" s="195" t="s">
        <v>18272</v>
      </c>
      <c r="B13880" s="656"/>
      <c r="C13880" s="147"/>
      <c r="D13880" s="122"/>
      <c r="E13880" s="36"/>
      <c r="F13880" s="178"/>
      <c r="G13880" s="60"/>
      <c r="H13880" s="36"/>
      <c r="I13880" s="11"/>
    </row>
    <row r="13881" spans="1:12" ht="11.15" customHeight="1">
      <c r="A13881" s="29" t="s">
        <v>18176</v>
      </c>
      <c r="B13881" s="656"/>
      <c r="C13881" s="147"/>
      <c r="D13881" s="122"/>
      <c r="E13881" s="36"/>
      <c r="F13881" s="178"/>
      <c r="G13881" s="60"/>
      <c r="H13881" s="36"/>
      <c r="I13881" s="11"/>
    </row>
    <row r="13882" spans="1:12" ht="11.15" customHeight="1">
      <c r="A13882" s="29" t="s">
        <v>18178</v>
      </c>
      <c r="B13882" s="29"/>
      <c r="C13882" s="147"/>
      <c r="D13882" s="122"/>
      <c r="E13882" s="36"/>
      <c r="F13882" s="178"/>
      <c r="G13882" s="60"/>
      <c r="H13882" s="36"/>
      <c r="I13882" s="11"/>
    </row>
    <row r="13883" spans="1:12" ht="11.15" customHeight="1">
      <c r="A13883" s="29" t="s">
        <v>18179</v>
      </c>
      <c r="B13883" s="29"/>
      <c r="C13883" s="147"/>
      <c r="D13883" s="122"/>
      <c r="E13883" s="36"/>
      <c r="F13883" s="178"/>
      <c r="G13883" s="60"/>
      <c r="H13883" s="36"/>
      <c r="I13883" s="11"/>
    </row>
    <row r="13884" spans="1:12" ht="11.15" customHeight="1">
      <c r="A13884" s="29" t="s">
        <v>18180</v>
      </c>
      <c r="B13884" s="29"/>
      <c r="C13884" s="147"/>
      <c r="D13884" s="122"/>
      <c r="E13884" s="36"/>
      <c r="F13884" s="178"/>
      <c r="G13884" s="60"/>
      <c r="H13884" s="36"/>
      <c r="I13884" s="11"/>
    </row>
    <row r="13885" spans="1:12" ht="11.15" customHeight="1">
      <c r="A13885" s="129" t="s">
        <v>18261</v>
      </c>
      <c r="B13885" s="29"/>
      <c r="C13885" s="147"/>
      <c r="D13885" s="122"/>
      <c r="E13885" s="36"/>
      <c r="F13885" s="178"/>
      <c r="G13885" s="60"/>
      <c r="H13885" s="36"/>
      <c r="I13885" s="11"/>
    </row>
    <row r="13886" spans="1:12" ht="9.75" customHeight="1" thickBot="1">
      <c r="A13886" s="29"/>
      <c r="B13886" s="816"/>
      <c r="C13886" s="147"/>
      <c r="D13886" s="122"/>
      <c r="E13886" s="36"/>
      <c r="F13886" s="178"/>
      <c r="G13886" s="60"/>
      <c r="H13886" s="36"/>
      <c r="I13886" s="11"/>
    </row>
    <row r="13887" spans="1:12" ht="11.15" customHeight="1" thickBot="1">
      <c r="A13887" s="184" t="s">
        <v>18043</v>
      </c>
      <c r="B13887" s="59" t="s">
        <v>23017</v>
      </c>
      <c r="C13887" s="147" t="s">
        <v>20221</v>
      </c>
      <c r="D13887" s="183" t="s">
        <v>18030</v>
      </c>
      <c r="E13887" s="178">
        <v>2006</v>
      </c>
      <c r="F13887" s="178" t="s">
        <v>23426</v>
      </c>
      <c r="G13887" s="496"/>
      <c r="H13887" s="994" t="s">
        <v>20224</v>
      </c>
      <c r="I13887" s="11" t="s">
        <v>18273</v>
      </c>
      <c r="J13887" s="1285"/>
      <c r="K13887" s="1285"/>
      <c r="L13887" s="1285"/>
    </row>
    <row r="13888" spans="1:12" ht="11.15" customHeight="1">
      <c r="A13888" s="29" t="s">
        <v>18045</v>
      </c>
      <c r="B13888" s="59" t="s">
        <v>23017</v>
      </c>
      <c r="C13888" s="147" t="s">
        <v>20221</v>
      </c>
      <c r="D13888" s="183" t="s">
        <v>18030</v>
      </c>
      <c r="E13888" s="178">
        <v>2005</v>
      </c>
      <c r="F13888" s="178" t="s">
        <v>23426</v>
      </c>
      <c r="G13888" s="496"/>
      <c r="H13888" s="994" t="s">
        <v>20224</v>
      </c>
      <c r="I13888" s="11" t="s">
        <v>18274</v>
      </c>
      <c r="J13888" s="1285"/>
      <c r="K13888" s="1285"/>
      <c r="L13888" s="1285"/>
    </row>
    <row r="13889" spans="1:12" ht="11.15" customHeight="1">
      <c r="A13889" s="29" t="s">
        <v>18047</v>
      </c>
      <c r="B13889" s="656" t="s">
        <v>18275</v>
      </c>
      <c r="C13889" s="147"/>
      <c r="D13889" s="122"/>
      <c r="E13889" s="36"/>
      <c r="F13889" s="178"/>
      <c r="G13889" s="496"/>
      <c r="H13889" s="36"/>
      <c r="I13889" s="11"/>
    </row>
    <row r="13890" spans="1:12" ht="11.15" customHeight="1">
      <c r="A13890" s="29" t="s">
        <v>18194</v>
      </c>
      <c r="B13890" s="656"/>
      <c r="C13890" s="147"/>
      <c r="D13890" s="122"/>
      <c r="E13890" s="36"/>
      <c r="F13890" s="178"/>
      <c r="G13890" s="60"/>
      <c r="H13890" s="36"/>
      <c r="I13890" s="11"/>
    </row>
    <row r="13891" spans="1:12" ht="11.15" customHeight="1">
      <c r="A13891" s="181" t="s">
        <v>1595</v>
      </c>
      <c r="B13891" s="656"/>
      <c r="C13891" s="147"/>
      <c r="D13891" s="122"/>
      <c r="E13891" s="36"/>
      <c r="F13891" s="178"/>
      <c r="G13891" s="60"/>
      <c r="H13891" s="36"/>
      <c r="I13891" s="11"/>
    </row>
    <row r="13892" spans="1:12" ht="11.15" customHeight="1">
      <c r="A13892" s="29" t="s">
        <v>18052</v>
      </c>
      <c r="B13892" s="656"/>
      <c r="C13892" s="147"/>
      <c r="D13892" s="122"/>
      <c r="E13892" s="36"/>
      <c r="F13892" s="178"/>
      <c r="G13892" s="60"/>
      <c r="H13892" s="36"/>
      <c r="I13892" s="11"/>
    </row>
    <row r="13893" spans="1:12" ht="11.15" customHeight="1">
      <c r="A13893" s="29" t="s">
        <v>18054</v>
      </c>
      <c r="B13893" s="656"/>
      <c r="C13893" s="147"/>
      <c r="D13893" s="122"/>
      <c r="E13893" s="36"/>
      <c r="F13893" s="178"/>
      <c r="G13893" s="60"/>
      <c r="H13893" s="36"/>
      <c r="I13893" s="11"/>
    </row>
    <row r="13894" spans="1:12" ht="11.15" customHeight="1">
      <c r="A13894" s="29" t="s">
        <v>18056</v>
      </c>
      <c r="B13894" s="656"/>
      <c r="C13894" s="147"/>
      <c r="D13894" s="122"/>
      <c r="E13894" s="36"/>
      <c r="F13894" s="178"/>
      <c r="G13894" s="60"/>
      <c r="H13894" s="36"/>
      <c r="I13894" s="11"/>
    </row>
    <row r="13895" spans="1:12" ht="11.15" customHeight="1">
      <c r="A13895" s="129" t="s">
        <v>18276</v>
      </c>
      <c r="B13895" s="333"/>
      <c r="C13895" s="147"/>
      <c r="D13895" s="99"/>
      <c r="E13895" s="333"/>
      <c r="F13895" s="99"/>
      <c r="G13895" s="99"/>
      <c r="H13895" s="333"/>
      <c r="I13895" s="11"/>
    </row>
    <row r="13896" spans="1:12" ht="9" customHeight="1">
      <c r="A13896" s="162" t="s">
        <v>18277</v>
      </c>
      <c r="B13896" s="210"/>
      <c r="C13896" s="147"/>
      <c r="D13896" s="209"/>
      <c r="E13896" s="210"/>
      <c r="F13896" s="150"/>
      <c r="G13896" s="623"/>
      <c r="H13896" s="210"/>
      <c r="I13896" s="11"/>
    </row>
    <row r="13897" spans="1:12" ht="9" customHeight="1">
      <c r="A13897" s="514" t="s">
        <v>18278</v>
      </c>
      <c r="B13897" s="210"/>
      <c r="C13897" s="147"/>
      <c r="D13897" s="209"/>
      <c r="E13897" s="210"/>
      <c r="F13897" s="150"/>
      <c r="G13897" s="623"/>
      <c r="H13897" s="210"/>
      <c r="I13897" s="11"/>
    </row>
    <row r="13898" spans="1:12" ht="9" customHeight="1">
      <c r="A13898" s="162" t="s">
        <v>18279</v>
      </c>
      <c r="B13898" s="210"/>
      <c r="C13898" s="147"/>
      <c r="D13898" s="209"/>
      <c r="E13898" s="210"/>
      <c r="F13898" s="150"/>
      <c r="G13898" s="623"/>
      <c r="H13898" s="210"/>
      <c r="I13898" s="11"/>
    </row>
    <row r="13899" spans="1:12" ht="9" customHeight="1">
      <c r="A13899" s="162" t="s">
        <v>18280</v>
      </c>
      <c r="B13899" s="210"/>
      <c r="C13899" s="147"/>
      <c r="D13899" s="209"/>
      <c r="E13899" s="210"/>
      <c r="F13899" s="150"/>
      <c r="G13899" s="623"/>
      <c r="H13899" s="210"/>
      <c r="I13899" s="11"/>
    </row>
    <row r="13900" spans="1:12" ht="9" customHeight="1">
      <c r="A13900" s="514" t="s">
        <v>18269</v>
      </c>
      <c r="B13900" s="656"/>
      <c r="C13900" s="147"/>
      <c r="D13900" s="183"/>
      <c r="E13900" s="36"/>
      <c r="F13900" s="178"/>
      <c r="G13900" s="60"/>
      <c r="H13900" s="36"/>
      <c r="I13900" s="11"/>
    </row>
    <row r="13901" spans="1:12" ht="10.5" customHeight="1">
      <c r="A13901" s="168" t="s">
        <v>18200</v>
      </c>
      <c r="B13901" s="90"/>
      <c r="C13901" s="147"/>
      <c r="D13901" s="122"/>
      <c r="E13901" s="36"/>
      <c r="F13901" s="178"/>
      <c r="G13901" s="60"/>
      <c r="H13901" s="36"/>
      <c r="I13901" s="11"/>
    </row>
    <row r="13902" spans="1:12" ht="10.5" customHeight="1">
      <c r="A13902" s="822" t="s">
        <v>18201</v>
      </c>
      <c r="B13902" s="90"/>
      <c r="C13902" s="147"/>
      <c r="D13902" s="122"/>
      <c r="E13902" s="36"/>
      <c r="F13902" s="178"/>
      <c r="G13902" s="60"/>
      <c r="H13902" s="36"/>
      <c r="I13902" s="11"/>
    </row>
    <row r="13903" spans="1:12" ht="11.15" customHeight="1" thickBot="1">
      <c r="A13903" s="29"/>
      <c r="B13903" s="152" t="s">
        <v>18281</v>
      </c>
      <c r="C13903" s="147"/>
      <c r="D13903" s="122"/>
      <c r="E13903" s="36"/>
      <c r="F13903" s="178"/>
      <c r="G13903" s="60"/>
      <c r="H13903" s="36"/>
      <c r="I13903" s="11"/>
    </row>
    <row r="13904" spans="1:12" ht="11.15" customHeight="1" thickBot="1">
      <c r="A13904" s="184" t="s">
        <v>18282</v>
      </c>
      <c r="B13904" s="59" t="s">
        <v>23019</v>
      </c>
      <c r="C13904" s="147" t="s">
        <v>20221</v>
      </c>
      <c r="D13904" s="183" t="s">
        <v>18030</v>
      </c>
      <c r="E13904" s="178">
        <v>1999</v>
      </c>
      <c r="F13904" s="178" t="s">
        <v>23426</v>
      </c>
      <c r="G13904" s="496"/>
      <c r="H13904" s="994" t="s">
        <v>20224</v>
      </c>
      <c r="I13904" s="11" t="s">
        <v>18283</v>
      </c>
      <c r="J13904" s="1285"/>
      <c r="K13904" s="1285"/>
      <c r="L13904" s="1285"/>
    </row>
    <row r="13905" spans="1:12" ht="11.15" customHeight="1">
      <c r="A13905" s="29" t="s">
        <v>18284</v>
      </c>
      <c r="B13905" s="59" t="s">
        <v>23020</v>
      </c>
      <c r="C13905" s="147" t="s">
        <v>20221</v>
      </c>
      <c r="D13905" s="183" t="s">
        <v>18030</v>
      </c>
      <c r="E13905" s="178">
        <v>1999</v>
      </c>
      <c r="F13905" s="178" t="s">
        <v>23427</v>
      </c>
      <c r="G13905" s="496"/>
      <c r="H13905" s="994" t="s">
        <v>20224</v>
      </c>
      <c r="I13905" s="11" t="s">
        <v>18285</v>
      </c>
      <c r="J13905" s="1285"/>
      <c r="K13905" s="1285"/>
      <c r="L13905" s="1285"/>
    </row>
    <row r="13906" spans="1:12" ht="11.15" customHeight="1">
      <c r="A13906" s="29" t="s">
        <v>18286</v>
      </c>
      <c r="B13906" s="656" t="s">
        <v>18287</v>
      </c>
      <c r="C13906" s="147"/>
      <c r="D13906" s="122"/>
      <c r="E13906" s="36"/>
      <c r="F13906" s="178"/>
      <c r="G13906" s="60"/>
      <c r="H13906" s="36"/>
      <c r="I13906" s="11"/>
    </row>
    <row r="13907" spans="1:12" ht="11.15" customHeight="1">
      <c r="A13907" s="29" t="s">
        <v>18288</v>
      </c>
      <c r="B13907" s="656"/>
      <c r="C13907" s="147"/>
      <c r="D13907" s="122"/>
      <c r="E13907" s="36"/>
      <c r="F13907" s="178"/>
      <c r="G13907" s="60"/>
      <c r="H13907" s="36"/>
      <c r="I13907" s="11"/>
    </row>
    <row r="13908" spans="1:12" ht="11.15" customHeight="1">
      <c r="A13908" s="129" t="s">
        <v>1077</v>
      </c>
      <c r="B13908" s="656"/>
      <c r="C13908" s="147"/>
      <c r="D13908" s="122"/>
      <c r="E13908" s="36"/>
      <c r="F13908" s="178"/>
      <c r="G13908" s="60"/>
      <c r="H13908" s="36"/>
      <c r="I13908" s="11"/>
    </row>
    <row r="13909" spans="1:12" ht="11.15" customHeight="1">
      <c r="A13909" s="162" t="s">
        <v>18289</v>
      </c>
      <c r="B13909" s="656"/>
      <c r="C13909" s="147"/>
      <c r="D13909" s="122"/>
      <c r="E13909" s="36"/>
      <c r="F13909" s="178"/>
      <c r="G13909" s="60"/>
      <c r="H13909" s="36"/>
      <c r="I13909" s="11"/>
    </row>
    <row r="13910" spans="1:12" ht="11.15" customHeight="1">
      <c r="A13910" s="162" t="s">
        <v>18290</v>
      </c>
      <c r="B13910" s="656"/>
      <c r="C13910" s="147"/>
      <c r="D13910" s="122"/>
      <c r="E13910" s="36"/>
      <c r="F13910" s="178"/>
      <c r="G13910" s="60"/>
      <c r="H13910" s="36"/>
      <c r="I13910" s="11"/>
    </row>
    <row r="13911" spans="1:12" ht="11.15" customHeight="1">
      <c r="A13911" s="162" t="s">
        <v>18291</v>
      </c>
      <c r="B13911" s="656"/>
      <c r="C13911" s="147"/>
      <c r="D13911" s="122"/>
      <c r="E13911" s="36"/>
      <c r="F13911" s="178"/>
      <c r="G13911" s="60"/>
      <c r="H13911" s="36"/>
      <c r="I13911" s="11"/>
    </row>
    <row r="13912" spans="1:12" ht="11.15" customHeight="1">
      <c r="A13912" s="29"/>
      <c r="B13912" s="656"/>
      <c r="C13912" s="147"/>
      <c r="D13912" s="122"/>
      <c r="E13912" s="36"/>
      <c r="F13912" s="178"/>
      <c r="G13912" s="60"/>
      <c r="H13912" s="36"/>
      <c r="I13912" s="11"/>
    </row>
    <row r="13913" spans="1:12" ht="11.15" customHeight="1" thickBot="1">
      <c r="A13913" s="857"/>
      <c r="B13913" s="858" t="s">
        <v>18292</v>
      </c>
      <c r="C13913" s="252"/>
      <c r="D13913" s="859"/>
      <c r="E13913" s="253"/>
      <c r="F13913" s="1041"/>
      <c r="G13913" s="1260"/>
      <c r="H13913" s="253"/>
      <c r="I13913" s="11"/>
    </row>
    <row r="13914" spans="1:12" ht="11.15" customHeight="1" thickBot="1">
      <c r="A13914" s="184" t="s">
        <v>18293</v>
      </c>
      <c r="B13914" s="59" t="s">
        <v>23022</v>
      </c>
      <c r="C13914" s="147" t="s">
        <v>20221</v>
      </c>
      <c r="D13914" s="183" t="s">
        <v>18030</v>
      </c>
      <c r="E13914" s="178">
        <v>2011</v>
      </c>
      <c r="F13914" s="178" t="s">
        <v>23426</v>
      </c>
      <c r="G13914" s="496"/>
      <c r="H13914" s="994" t="s">
        <v>20221</v>
      </c>
      <c r="I13914" s="11" t="s">
        <v>18294</v>
      </c>
      <c r="J13914" s="1285"/>
      <c r="K13914" s="1285"/>
      <c r="L13914" s="1285"/>
    </row>
    <row r="13915" spans="1:12" ht="11.15" customHeight="1">
      <c r="A13915" s="29" t="s">
        <v>18205</v>
      </c>
      <c r="B13915" s="656" t="s">
        <v>18295</v>
      </c>
      <c r="C13915" s="147"/>
      <c r="D13915" s="122"/>
      <c r="E13915" s="36"/>
      <c r="F13915" s="178"/>
      <c r="G13915" s="671"/>
      <c r="H13915" s="36"/>
      <c r="I13915" s="11"/>
    </row>
    <row r="13916" spans="1:12" ht="11.15" customHeight="1">
      <c r="A13916" s="168" t="s">
        <v>18207</v>
      </c>
      <c r="B13916" s="29"/>
      <c r="C13916" s="147"/>
      <c r="D13916" s="122"/>
      <c r="E13916" s="36"/>
      <c r="F13916" s="1092"/>
      <c r="G13916" s="60"/>
      <c r="H13916" s="854"/>
      <c r="I13916" s="11"/>
    </row>
    <row r="13917" spans="1:12" ht="11.15" customHeight="1">
      <c r="A13917" s="59"/>
      <c r="B13917" s="29"/>
      <c r="C13917" s="147"/>
      <c r="D13917" s="122"/>
      <c r="E13917" s="36"/>
      <c r="F13917" s="178"/>
      <c r="G13917" s="671"/>
      <c r="H13917" s="36"/>
      <c r="I13917" s="11"/>
    </row>
    <row r="13918" spans="1:12" ht="11.15" customHeight="1" thickBot="1">
      <c r="A13918" s="857"/>
      <c r="B13918" s="858" t="s">
        <v>18296</v>
      </c>
      <c r="C13918" s="252"/>
      <c r="D13918" s="859"/>
      <c r="E13918" s="253"/>
      <c r="F13918" s="1041"/>
      <c r="G13918" s="1260"/>
      <c r="H13918" s="253"/>
      <c r="I13918" s="11"/>
    </row>
    <row r="13919" spans="1:12" ht="11.15" customHeight="1" thickBot="1">
      <c r="A13919" s="184" t="s">
        <v>18241</v>
      </c>
      <c r="B13919" s="59" t="s">
        <v>23023</v>
      </c>
      <c r="C13919" s="147" t="s">
        <v>20221</v>
      </c>
      <c r="D13919" s="183" t="s">
        <v>18030</v>
      </c>
      <c r="E13919" s="178">
        <v>1990</v>
      </c>
      <c r="F13919" s="178" t="s">
        <v>23428</v>
      </c>
      <c r="G13919" s="496"/>
      <c r="H13919" s="994" t="s">
        <v>20224</v>
      </c>
      <c r="I13919" s="11" t="s">
        <v>18297</v>
      </c>
      <c r="J13919" s="1285"/>
      <c r="K13919" s="1285"/>
      <c r="L13919" s="1285"/>
    </row>
    <row r="13920" spans="1:12" ht="11.15" customHeight="1">
      <c r="A13920" s="29" t="s">
        <v>18298</v>
      </c>
      <c r="B13920" s="656" t="s">
        <v>18299</v>
      </c>
      <c r="C13920" s="147"/>
      <c r="D13920" s="122"/>
      <c r="E13920" s="36"/>
      <c r="F13920" s="178"/>
      <c r="G13920" s="60"/>
      <c r="H13920" s="36"/>
      <c r="I13920" s="11"/>
    </row>
    <row r="13921" spans="1:12" ht="11.15" customHeight="1">
      <c r="A13921" s="166" t="s">
        <v>18253</v>
      </c>
      <c r="B13921" s="29"/>
      <c r="C13921" s="147"/>
      <c r="D13921" s="129"/>
      <c r="E13921" s="29"/>
      <c r="F13921" s="29"/>
      <c r="G13921" s="29"/>
      <c r="H13921" s="29"/>
      <c r="I13921" s="11"/>
    </row>
    <row r="13922" spans="1:12" ht="11.15" customHeight="1">
      <c r="A13922" s="616" t="s">
        <v>5463</v>
      </c>
      <c r="B13922" s="656"/>
      <c r="C13922" s="147"/>
      <c r="D13922" s="122"/>
      <c r="E13922" s="36"/>
      <c r="F13922" s="178"/>
      <c r="G13922" s="60"/>
      <c r="H13922" s="36"/>
      <c r="I13922" s="11"/>
    </row>
    <row r="13923" spans="1:12" ht="11.15" customHeight="1">
      <c r="A13923" s="616"/>
      <c r="B13923" s="656"/>
      <c r="C13923" s="147"/>
      <c r="D13923" s="122"/>
      <c r="E13923" s="36"/>
      <c r="F13923" s="178"/>
      <c r="G13923" s="60"/>
      <c r="H13923" s="36"/>
      <c r="I13923" s="11"/>
    </row>
    <row r="13924" spans="1:12" ht="11.15" customHeight="1">
      <c r="A13924" s="844"/>
      <c r="B13924" s="850" t="s">
        <v>18300</v>
      </c>
      <c r="C13924" s="846"/>
      <c r="D13924" s="847"/>
      <c r="E13924" s="844"/>
      <c r="F13924" s="1090"/>
      <c r="G13924" s="1259"/>
      <c r="H13924" s="848"/>
      <c r="I13924" s="11"/>
    </row>
    <row r="13925" spans="1:12" ht="9" customHeight="1">
      <c r="A13925" s="829"/>
      <c r="B13925" s="216" t="s">
        <v>18102</v>
      </c>
      <c r="C13925" s="147"/>
      <c r="D13925" s="122"/>
      <c r="E13925" s="36"/>
      <c r="F13925" s="178"/>
      <c r="G13925" s="671"/>
      <c r="H13925" s="36"/>
      <c r="I13925" s="11"/>
    </row>
    <row r="13926" spans="1:12" ht="9" customHeight="1" thickBot="1">
      <c r="A13926" s="829"/>
      <c r="B13926" s="210" t="s">
        <v>18151</v>
      </c>
      <c r="C13926" s="147"/>
      <c r="D13926" s="122"/>
      <c r="E13926" s="36"/>
      <c r="F13926" s="178"/>
      <c r="G13926" s="671"/>
      <c r="H13926" s="36"/>
      <c r="I13926" s="11"/>
    </row>
    <row r="13927" spans="1:12" ht="11.15" customHeight="1">
      <c r="A13927" s="600" t="s">
        <v>18104</v>
      </c>
      <c r="B13927" s="59" t="s">
        <v>23024</v>
      </c>
      <c r="C13927" s="147" t="s">
        <v>20221</v>
      </c>
      <c r="D13927" s="183" t="s">
        <v>18030</v>
      </c>
      <c r="E13927" s="178" t="s">
        <v>23025</v>
      </c>
      <c r="F13927" s="178" t="s">
        <v>23426</v>
      </c>
      <c r="G13927" s="496"/>
      <c r="H13927" s="994" t="s">
        <v>20221</v>
      </c>
      <c r="I13927" s="11" t="s">
        <v>18301</v>
      </c>
      <c r="J13927" s="1285"/>
      <c r="K13927" s="1285"/>
      <c r="L13927" s="1285"/>
    </row>
    <row r="13928" spans="1:12" ht="11.15" customHeight="1" thickBot="1">
      <c r="A13928" s="601" t="s">
        <v>18302</v>
      </c>
      <c r="B13928" s="656" t="s">
        <v>18303</v>
      </c>
      <c r="C13928" s="147"/>
      <c r="D13928" s="129"/>
      <c r="E13928" s="836"/>
      <c r="F13928" s="60"/>
      <c r="G13928" s="671"/>
      <c r="H13928" s="228"/>
      <c r="I13928" s="11"/>
    </row>
    <row r="13929" spans="1:12" ht="11.15" customHeight="1">
      <c r="A13929" s="104" t="s">
        <v>18304</v>
      </c>
      <c r="B13929" s="482"/>
      <c r="C13929" s="482"/>
      <c r="D13929" s="482"/>
      <c r="E13929" s="482"/>
      <c r="F13929" s="482"/>
      <c r="G13929" s="482"/>
      <c r="H13929" s="482"/>
      <c r="I13929" s="11"/>
    </row>
    <row r="13930" spans="1:12" ht="11.15" customHeight="1">
      <c r="A13930" s="199" t="s">
        <v>18129</v>
      </c>
      <c r="B13930" s="656"/>
      <c r="C13930" s="147"/>
      <c r="D13930" s="129"/>
      <c r="E13930" s="836"/>
      <c r="F13930" s="60"/>
      <c r="G13930" s="671"/>
      <c r="H13930" s="228"/>
      <c r="I13930" s="11"/>
    </row>
    <row r="13931" spans="1:12" ht="11.15" customHeight="1">
      <c r="A13931" s="199" t="s">
        <v>18305</v>
      </c>
      <c r="B13931" s="656"/>
      <c r="C13931" s="147"/>
      <c r="D13931" s="129"/>
      <c r="E13931" s="836"/>
      <c r="F13931" s="60"/>
      <c r="G13931" s="671"/>
      <c r="H13931" s="228"/>
      <c r="I13931" s="11"/>
    </row>
    <row r="13932" spans="1:12" ht="11.15" customHeight="1">
      <c r="A13932" s="616" t="s">
        <v>5463</v>
      </c>
      <c r="B13932" s="656"/>
      <c r="C13932" s="830"/>
      <c r="D13932" s="831"/>
      <c r="E13932" s="832"/>
      <c r="F13932" s="178"/>
      <c r="G13932" s="671"/>
      <c r="H13932" s="178"/>
      <c r="I13932" s="11"/>
    </row>
    <row r="13933" spans="1:12" ht="11.15" customHeight="1">
      <c r="A13933" s="285" t="s">
        <v>18306</v>
      </c>
      <c r="B13933" s="656"/>
      <c r="C13933" s="830"/>
      <c r="D13933" s="831"/>
      <c r="E13933" s="832"/>
      <c r="F13933" s="178"/>
      <c r="G13933" s="671"/>
      <c r="H13933" s="178"/>
      <c r="I13933" s="11"/>
    </row>
    <row r="13934" spans="1:12" ht="11.15" customHeight="1" thickBot="1">
      <c r="A13934" s="851"/>
      <c r="B13934" s="152" t="s">
        <v>18281</v>
      </c>
      <c r="C13934" s="147"/>
      <c r="D13934" s="129"/>
      <c r="E13934" s="836"/>
      <c r="F13934" s="60"/>
      <c r="G13934" s="671"/>
      <c r="H13934" s="228"/>
      <c r="I13934" s="11"/>
    </row>
    <row r="13935" spans="1:12" ht="11.15" customHeight="1" thickBot="1">
      <c r="A13935" s="184" t="s">
        <v>18282</v>
      </c>
      <c r="B13935" s="59" t="s">
        <v>23026</v>
      </c>
      <c r="C13935" s="147" t="s">
        <v>20221</v>
      </c>
      <c r="D13935" s="183" t="s">
        <v>18030</v>
      </c>
      <c r="E13935" s="178" t="s">
        <v>23027</v>
      </c>
      <c r="F13935" s="178" t="s">
        <v>23429</v>
      </c>
      <c r="G13935" s="496"/>
      <c r="H13935" s="994" t="s">
        <v>20221</v>
      </c>
      <c r="I13935" s="11" t="s">
        <v>18307</v>
      </c>
      <c r="J13935" s="1285"/>
      <c r="K13935" s="1285"/>
      <c r="L13935" s="1285"/>
    </row>
    <row r="13936" spans="1:12" ht="11.15" customHeight="1">
      <c r="A13936" s="29" t="s">
        <v>18284</v>
      </c>
      <c r="B13936" s="59" t="s">
        <v>23029</v>
      </c>
      <c r="C13936" s="147" t="s">
        <v>20221</v>
      </c>
      <c r="D13936" s="183" t="s">
        <v>18030</v>
      </c>
      <c r="E13936" s="178" t="s">
        <v>23027</v>
      </c>
      <c r="F13936" s="178" t="s">
        <v>23426</v>
      </c>
      <c r="G13936" s="496"/>
      <c r="H13936" s="994" t="s">
        <v>20221</v>
      </c>
      <c r="I13936" s="11" t="s">
        <v>18308</v>
      </c>
      <c r="J13936" s="1285"/>
      <c r="K13936" s="1285"/>
      <c r="L13936" s="1285"/>
    </row>
    <row r="13937" spans="1:12" ht="11.15" customHeight="1">
      <c r="A13937" s="29" t="s">
        <v>18286</v>
      </c>
      <c r="B13937" s="59" t="s">
        <v>23030</v>
      </c>
      <c r="C13937" s="147" t="s">
        <v>20221</v>
      </c>
      <c r="D13937" s="183" t="s">
        <v>18030</v>
      </c>
      <c r="E13937" s="178" t="s">
        <v>23027</v>
      </c>
      <c r="F13937" s="178" t="s">
        <v>23427</v>
      </c>
      <c r="G13937" s="496"/>
      <c r="H13937" s="994" t="s">
        <v>20221</v>
      </c>
      <c r="I13937" s="11" t="s">
        <v>18309</v>
      </c>
      <c r="J13937" s="1285"/>
      <c r="K13937" s="1285"/>
      <c r="L13937" s="1285"/>
    </row>
    <row r="13938" spans="1:12" ht="11.15" customHeight="1">
      <c r="A13938" s="29" t="s">
        <v>18288</v>
      </c>
      <c r="B13938" s="656" t="s">
        <v>18310</v>
      </c>
      <c r="C13938" s="147"/>
      <c r="D13938" s="122"/>
      <c r="E13938" s="36"/>
      <c r="F13938" s="178"/>
      <c r="G13938" s="60"/>
      <c r="H13938" s="36"/>
      <c r="I13938" s="11"/>
    </row>
    <row r="13939" spans="1:12" ht="11.15" customHeight="1">
      <c r="A13939" s="129" t="s">
        <v>1077</v>
      </c>
      <c r="B13939" s="29"/>
      <c r="C13939" s="147"/>
      <c r="D13939" s="122"/>
      <c r="E13939" s="36"/>
      <c r="F13939" s="178"/>
      <c r="G13939" s="453"/>
      <c r="H13939" s="36"/>
      <c r="I13939" s="11"/>
    </row>
    <row r="13940" spans="1:12" ht="11.15" customHeight="1">
      <c r="A13940" s="162" t="s">
        <v>18289</v>
      </c>
      <c r="B13940" s="656"/>
      <c r="C13940" s="147"/>
      <c r="D13940" s="122"/>
      <c r="E13940" s="36"/>
      <c r="F13940" s="178"/>
      <c r="G13940" s="453"/>
      <c r="H13940" s="36"/>
      <c r="I13940" s="11"/>
    </row>
    <row r="13941" spans="1:12" ht="11.15" customHeight="1">
      <c r="A13941" s="162" t="s">
        <v>18290</v>
      </c>
      <c r="B13941" s="656"/>
      <c r="C13941" s="147"/>
      <c r="D13941" s="122"/>
      <c r="E13941" s="36"/>
      <c r="F13941" s="178"/>
      <c r="G13941" s="453"/>
      <c r="H13941" s="36"/>
      <c r="I13941" s="11"/>
    </row>
    <row r="13942" spans="1:12" ht="11.15" customHeight="1">
      <c r="A13942" s="162" t="s">
        <v>18291</v>
      </c>
      <c r="B13942" s="656"/>
      <c r="C13942" s="147"/>
      <c r="D13942" s="122"/>
      <c r="E13942" s="36"/>
      <c r="F13942" s="178"/>
      <c r="G13942" s="453"/>
      <c r="H13942" s="36"/>
      <c r="I13942" s="11"/>
    </row>
    <row r="13943" spans="1:12" ht="11.15" customHeight="1">
      <c r="A13943" s="29"/>
      <c r="B13943" s="29"/>
      <c r="C13943" s="147"/>
      <c r="D13943" s="122"/>
      <c r="E13943" s="36"/>
      <c r="F13943" s="178"/>
      <c r="G13943" s="60"/>
      <c r="H13943" s="36"/>
      <c r="I13943" s="11"/>
    </row>
    <row r="13944" spans="1:12" ht="11.15" customHeight="1">
      <c r="A13944" s="844"/>
      <c r="B13944" s="850" t="s">
        <v>18311</v>
      </c>
      <c r="C13944" s="846"/>
      <c r="D13944" s="847"/>
      <c r="E13944" s="848"/>
      <c r="F13944" s="1090"/>
      <c r="G13944" s="1261"/>
      <c r="H13944" s="848"/>
      <c r="I13944" s="11"/>
    </row>
    <row r="13945" spans="1:12" ht="9" customHeight="1">
      <c r="A13945" s="829"/>
      <c r="B13945" s="216" t="s">
        <v>18102</v>
      </c>
      <c r="C13945" s="147"/>
      <c r="D13945" s="122"/>
      <c r="E13945" s="36"/>
      <c r="F13945" s="178"/>
      <c r="G13945" s="671"/>
      <c r="H13945" s="36"/>
      <c r="I13945" s="11"/>
    </row>
    <row r="13946" spans="1:12" ht="9" customHeight="1" thickBot="1">
      <c r="A13946" s="829"/>
      <c r="B13946" s="210" t="s">
        <v>18151</v>
      </c>
      <c r="C13946" s="147"/>
      <c r="D13946" s="122"/>
      <c r="E13946" s="36"/>
      <c r="F13946" s="178"/>
      <c r="G13946" s="671"/>
      <c r="H13946" s="36"/>
      <c r="I13946" s="11"/>
    </row>
    <row r="13947" spans="1:12" ht="11.15" customHeight="1">
      <c r="A13947" s="600" t="s">
        <v>18104</v>
      </c>
      <c r="B13947" s="59" t="s">
        <v>23031</v>
      </c>
      <c r="C13947" s="147" t="s">
        <v>20221</v>
      </c>
      <c r="D13947" s="183" t="s">
        <v>18030</v>
      </c>
      <c r="E13947" s="178" t="s">
        <v>20221</v>
      </c>
      <c r="F13947" s="178" t="s">
        <v>23426</v>
      </c>
      <c r="G13947" s="496"/>
      <c r="H13947" s="994" t="s">
        <v>20221</v>
      </c>
      <c r="I13947" s="11" t="s">
        <v>18312</v>
      </c>
      <c r="J13947" s="1285"/>
      <c r="K13947" s="1285"/>
      <c r="L13947" s="1285"/>
    </row>
    <row r="13948" spans="1:12" ht="11.15" customHeight="1" thickBot="1">
      <c r="A13948" s="670" t="s">
        <v>18302</v>
      </c>
      <c r="B13948" s="59" t="s">
        <v>23033</v>
      </c>
      <c r="C13948" s="147" t="s">
        <v>20221</v>
      </c>
      <c r="D13948" s="183" t="s">
        <v>18030</v>
      </c>
      <c r="E13948" s="178" t="s">
        <v>20221</v>
      </c>
      <c r="F13948" s="178" t="s">
        <v>23427</v>
      </c>
      <c r="G13948" s="496"/>
      <c r="H13948" s="994" t="s">
        <v>20221</v>
      </c>
      <c r="I13948" s="11" t="s">
        <v>18313</v>
      </c>
      <c r="J13948" s="1285"/>
      <c r="K13948" s="1285"/>
      <c r="L13948" s="1285"/>
    </row>
    <row r="13949" spans="1:12" ht="11.15" customHeight="1">
      <c r="A13949" s="424" t="s">
        <v>18304</v>
      </c>
      <c r="B13949" s="656" t="s">
        <v>18314</v>
      </c>
      <c r="C13949" s="147"/>
      <c r="D13949" s="129"/>
      <c r="E13949" s="836"/>
      <c r="F13949" s="60"/>
      <c r="G13949" s="671"/>
      <c r="H13949" s="228"/>
      <c r="I13949" s="11"/>
    </row>
    <row r="13950" spans="1:12" ht="11.15" customHeight="1">
      <c r="A13950" s="104" t="s">
        <v>18315</v>
      </c>
      <c r="B13950" s="656"/>
      <c r="C13950" s="147"/>
      <c r="D13950" s="129"/>
      <c r="E13950" s="836"/>
      <c r="F13950" s="60"/>
      <c r="G13950" s="671"/>
      <c r="H13950" s="228"/>
      <c r="I13950" s="11"/>
    </row>
    <row r="13951" spans="1:12" ht="11.15" customHeight="1">
      <c r="A13951" s="199" t="s">
        <v>18129</v>
      </c>
      <c r="B13951" s="656"/>
      <c r="C13951" s="147"/>
      <c r="D13951" s="129"/>
      <c r="E13951" s="836"/>
      <c r="F13951" s="60"/>
      <c r="G13951" s="671"/>
      <c r="H13951" s="228"/>
      <c r="I13951" s="11"/>
    </row>
    <row r="13952" spans="1:12" ht="11.15" customHeight="1">
      <c r="A13952" s="199" t="s">
        <v>18305</v>
      </c>
      <c r="B13952" s="656"/>
      <c r="C13952" s="147"/>
      <c r="D13952" s="129"/>
      <c r="E13952" s="836"/>
      <c r="F13952" s="60"/>
      <c r="G13952" s="671"/>
      <c r="H13952" s="228"/>
      <c r="I13952" s="11"/>
    </row>
    <row r="13953" spans="1:12" ht="11.15" customHeight="1">
      <c r="A13953" s="616" t="s">
        <v>5463</v>
      </c>
      <c r="B13953" s="656"/>
      <c r="C13953" s="830"/>
      <c r="D13953" s="831"/>
      <c r="E13953" s="832"/>
      <c r="F13953" s="178"/>
      <c r="G13953" s="671"/>
      <c r="H13953" s="178"/>
      <c r="I13953" s="11"/>
    </row>
    <row r="13954" spans="1:12" ht="11.15" customHeight="1">
      <c r="A13954" s="285" t="s">
        <v>18306</v>
      </c>
      <c r="B13954" s="656"/>
      <c r="C13954" s="830"/>
      <c r="D13954" s="831"/>
      <c r="E13954" s="832"/>
      <c r="F13954" s="178"/>
      <c r="G13954" s="671"/>
      <c r="H13954" s="178"/>
      <c r="I13954" s="11"/>
    </row>
    <row r="13955" spans="1:12" ht="11.15" customHeight="1" thickBot="1">
      <c r="A13955" s="851"/>
      <c r="B13955" s="656"/>
      <c r="C13955" s="147"/>
      <c r="D13955" s="129"/>
      <c r="E13955" s="836"/>
      <c r="F13955" s="60"/>
      <c r="G13955" s="671"/>
      <c r="H13955" s="228"/>
      <c r="I13955" s="11"/>
    </row>
    <row r="13956" spans="1:12" ht="11.15" customHeight="1" thickBot="1">
      <c r="A13956" s="184" t="s">
        <v>18316</v>
      </c>
      <c r="B13956" s="59" t="s">
        <v>23035</v>
      </c>
      <c r="C13956" s="147" t="s">
        <v>20221</v>
      </c>
      <c r="D13956" s="183" t="s">
        <v>18030</v>
      </c>
      <c r="E13956" s="178" t="s">
        <v>20221</v>
      </c>
      <c r="F13956" s="178" t="s">
        <v>23426</v>
      </c>
      <c r="G13956" s="496"/>
      <c r="H13956" s="994" t="s">
        <v>20221</v>
      </c>
      <c r="I13956" s="11" t="s">
        <v>18317</v>
      </c>
      <c r="J13956" s="1285"/>
      <c r="K13956" s="1285"/>
      <c r="L13956" s="1285"/>
    </row>
    <row r="13957" spans="1:12" ht="11.15" customHeight="1">
      <c r="A13957" s="29" t="s">
        <v>18318</v>
      </c>
      <c r="B13957" s="59" t="s">
        <v>23036</v>
      </c>
      <c r="C13957" s="147" t="s">
        <v>20221</v>
      </c>
      <c r="D13957" s="183" t="s">
        <v>18030</v>
      </c>
      <c r="E13957" s="178" t="s">
        <v>20221</v>
      </c>
      <c r="F13957" s="178" t="s">
        <v>23427</v>
      </c>
      <c r="G13957" s="496" t="s">
        <v>20221</v>
      </c>
      <c r="H13957" s="994" t="s">
        <v>3907</v>
      </c>
      <c r="I13957" s="11" t="s">
        <v>18319</v>
      </c>
      <c r="J13957" s="1285"/>
      <c r="K13957" s="1285"/>
      <c r="L13957" s="1285"/>
    </row>
    <row r="13958" spans="1:12" ht="11.15" customHeight="1">
      <c r="A13958" s="29" t="s">
        <v>18320</v>
      </c>
      <c r="B13958" s="860" t="s">
        <v>18321</v>
      </c>
      <c r="C13958" s="147"/>
      <c r="D13958" s="122"/>
      <c r="E13958" s="36"/>
      <c r="F13958" s="178"/>
      <c r="G13958" s="496"/>
      <c r="H13958" s="36"/>
      <c r="I13958" s="11"/>
    </row>
    <row r="13959" spans="1:12" ht="11.15" customHeight="1">
      <c r="A13959" s="29" t="s">
        <v>18322</v>
      </c>
      <c r="B13959" s="860"/>
      <c r="C13959" s="147"/>
      <c r="D13959" s="122"/>
      <c r="E13959" s="36"/>
      <c r="F13959" s="178"/>
      <c r="G13959" s="496"/>
      <c r="H13959" s="36"/>
      <c r="I13959" s="11"/>
    </row>
    <row r="13960" spans="1:12" ht="11.15" customHeight="1">
      <c r="A13960" s="29" t="s">
        <v>18323</v>
      </c>
      <c r="B13960" s="860"/>
      <c r="C13960" s="147"/>
      <c r="D13960" s="122"/>
      <c r="E13960" s="36"/>
      <c r="F13960" s="178"/>
      <c r="G13960" s="496"/>
      <c r="H13960" s="36"/>
      <c r="I13960" s="11"/>
    </row>
    <row r="13961" spans="1:12" ht="11.15" customHeight="1">
      <c r="A13961" s="29"/>
      <c r="B13961" s="860"/>
      <c r="C13961" s="147"/>
      <c r="D13961" s="122"/>
      <c r="E13961" s="36"/>
      <c r="F13961" s="178"/>
      <c r="G13961" s="496"/>
      <c r="H13961" s="36"/>
      <c r="I13961" s="11"/>
    </row>
    <row r="13962" spans="1:12" ht="11.15" customHeight="1" thickBot="1">
      <c r="A13962" s="839"/>
      <c r="B13962" s="840" t="s">
        <v>18324</v>
      </c>
      <c r="C13962" s="826"/>
      <c r="D13962" s="827"/>
      <c r="E13962" s="828"/>
      <c r="F13962" s="971"/>
      <c r="G13962" s="1258"/>
      <c r="H13962" s="828"/>
      <c r="I13962" s="11"/>
    </row>
    <row r="13963" spans="1:12" ht="11.15" customHeight="1" thickBot="1">
      <c r="A13963" s="184" t="s">
        <v>18325</v>
      </c>
      <c r="B13963" s="59" t="s">
        <v>23037</v>
      </c>
      <c r="C13963" s="147" t="s">
        <v>20221</v>
      </c>
      <c r="D13963" s="183" t="s">
        <v>6904</v>
      </c>
      <c r="E13963" s="178" t="s">
        <v>19060</v>
      </c>
      <c r="F13963" s="178" t="s">
        <v>23426</v>
      </c>
      <c r="G13963" s="496"/>
      <c r="H13963" s="994" t="s">
        <v>20221</v>
      </c>
      <c r="I13963" s="11" t="s">
        <v>18326</v>
      </c>
      <c r="J13963" s="1285"/>
      <c r="K13963" s="1285"/>
      <c r="L13963" s="1285"/>
    </row>
    <row r="13964" spans="1:12" ht="11.15" customHeight="1">
      <c r="A13964" s="29" t="s">
        <v>18327</v>
      </c>
      <c r="B13964" s="59" t="s">
        <v>23039</v>
      </c>
      <c r="C13964" s="147" t="s">
        <v>20221</v>
      </c>
      <c r="D13964" s="183" t="s">
        <v>6904</v>
      </c>
      <c r="E13964" s="178" t="s">
        <v>19060</v>
      </c>
      <c r="F13964" s="178" t="s">
        <v>23427</v>
      </c>
      <c r="G13964" s="496"/>
      <c r="H13964" s="994" t="s">
        <v>20224</v>
      </c>
      <c r="I13964" s="11" t="s">
        <v>18328</v>
      </c>
      <c r="J13964" s="1285"/>
      <c r="K13964" s="1285"/>
      <c r="L13964" s="1285"/>
    </row>
    <row r="13965" spans="1:12" ht="11.15" customHeight="1">
      <c r="A13965" s="29" t="s">
        <v>18329</v>
      </c>
      <c r="B13965" s="656" t="s">
        <v>18330</v>
      </c>
      <c r="C13965" s="147"/>
      <c r="D13965" s="122"/>
      <c r="E13965" s="36"/>
      <c r="F13965" s="178"/>
      <c r="G13965" s="496"/>
      <c r="H13965" s="36"/>
      <c r="I13965" s="11"/>
    </row>
    <row r="13966" spans="1:12" ht="11.15" customHeight="1">
      <c r="A13966" s="29" t="s">
        <v>18331</v>
      </c>
      <c r="B13966" s="656"/>
      <c r="C13966" s="147"/>
      <c r="D13966" s="122"/>
      <c r="E13966" s="36"/>
      <c r="F13966" s="178"/>
      <c r="G13966" s="496"/>
      <c r="H13966" s="36"/>
      <c r="I13966" s="11"/>
    </row>
    <row r="13967" spans="1:12" ht="11.15" customHeight="1">
      <c r="A13967" s="29" t="s">
        <v>18332</v>
      </c>
      <c r="B13967" s="241"/>
      <c r="C13967" s="147"/>
      <c r="D13967" s="122"/>
      <c r="E13967" s="36"/>
      <c r="F13967" s="178"/>
      <c r="G13967" s="496"/>
      <c r="H13967" s="36"/>
      <c r="I13967" s="11"/>
    </row>
    <row r="13968" spans="1:12" ht="11.15" customHeight="1">
      <c r="A13968" s="29" t="s">
        <v>18333</v>
      </c>
      <c r="B13968" s="104"/>
      <c r="C13968" s="147"/>
      <c r="D13968" s="122"/>
      <c r="E13968" s="36"/>
      <c r="F13968" s="178"/>
      <c r="G13968" s="496"/>
      <c r="H13968" s="36"/>
      <c r="I13968" s="11"/>
    </row>
    <row r="13969" spans="1:12" ht="11.15" customHeight="1">
      <c r="A13969" s="29" t="s">
        <v>18334</v>
      </c>
      <c r="B13969" s="104"/>
      <c r="C13969" s="147"/>
      <c r="D13969" s="122"/>
      <c r="E13969" s="36"/>
      <c r="F13969" s="178"/>
      <c r="G13969" s="496"/>
      <c r="H13969" s="36"/>
      <c r="I13969" s="11"/>
    </row>
    <row r="13970" spans="1:12" ht="11.15" customHeight="1">
      <c r="A13970" s="29" t="s">
        <v>18335</v>
      </c>
      <c r="B13970" s="185"/>
      <c r="C13970" s="147"/>
      <c r="D13970" s="129"/>
      <c r="E13970" s="185"/>
      <c r="F13970" s="185"/>
      <c r="G13970" s="185"/>
      <c r="H13970" s="185"/>
      <c r="I13970" s="11"/>
    </row>
    <row r="13971" spans="1:12" ht="11.15" customHeight="1">
      <c r="A13971" s="129" t="s">
        <v>18336</v>
      </c>
      <c r="B13971" s="185"/>
      <c r="C13971" s="147"/>
      <c r="D13971" s="129"/>
      <c r="E13971" s="185"/>
      <c r="F13971" s="185"/>
      <c r="G13971" s="185"/>
      <c r="H13971" s="185"/>
      <c r="I13971" s="11"/>
    </row>
    <row r="13972" spans="1:12" ht="11.15" customHeight="1">
      <c r="A13972" s="616" t="s">
        <v>5463</v>
      </c>
      <c r="B13972" s="185"/>
      <c r="C13972" s="147"/>
      <c r="D13972" s="161"/>
      <c r="E13972" s="36"/>
      <c r="F13972" s="178"/>
      <c r="G13972" s="496"/>
      <c r="H13972" s="36"/>
      <c r="I13972" s="11"/>
    </row>
    <row r="13973" spans="1:12" ht="11.15" customHeight="1" thickBot="1">
      <c r="A13973" s="29"/>
      <c r="B13973" s="860"/>
      <c r="C13973" s="147"/>
      <c r="D13973" s="122"/>
      <c r="E13973" s="36"/>
      <c r="F13973" s="178"/>
      <c r="G13973" s="496"/>
      <c r="H13973" s="36"/>
      <c r="I13973" s="11"/>
    </row>
    <row r="13974" spans="1:12" ht="24.75" customHeight="1" thickBot="1">
      <c r="A13974" s="861"/>
      <c r="B13974" s="50" t="s">
        <v>18337</v>
      </c>
      <c r="C13974" s="170"/>
      <c r="D13974" s="382"/>
      <c r="E13974" s="235"/>
      <c r="F13974" s="383"/>
      <c r="G13974" s="1094"/>
      <c r="H13974" s="875"/>
      <c r="I13974" s="11"/>
    </row>
    <row r="13975" spans="1:12" ht="11.15" customHeight="1">
      <c r="A13975" s="862"/>
      <c r="B13975" s="146" t="s">
        <v>18338</v>
      </c>
      <c r="C13975" s="147"/>
      <c r="D13975" s="122"/>
      <c r="E13975" s="90"/>
      <c r="F13975" s="59"/>
      <c r="G13975" s="59"/>
      <c r="H13975" s="90"/>
      <c r="I13975" s="11"/>
    </row>
    <row r="13976" spans="1:12" ht="9" customHeight="1">
      <c r="A13976" s="863"/>
      <c r="B13976" s="150" t="s">
        <v>18339</v>
      </c>
      <c r="C13976" s="147"/>
      <c r="D13976" s="122"/>
      <c r="E13976" s="36"/>
      <c r="F13976" s="178"/>
      <c r="G13976" s="178"/>
      <c r="H13976" s="36"/>
      <c r="I13976" s="11"/>
    </row>
    <row r="13977" spans="1:12" ht="9" customHeight="1">
      <c r="A13977" s="863"/>
      <c r="B13977" s="150" t="s">
        <v>18340</v>
      </c>
      <c r="C13977" s="147"/>
      <c r="D13977" s="122"/>
      <c r="E13977" s="36"/>
      <c r="F13977" s="178"/>
      <c r="G13977" s="178"/>
      <c r="H13977" s="36"/>
      <c r="I13977" s="11"/>
    </row>
    <row r="13978" spans="1:12" ht="9" customHeight="1">
      <c r="A13978" s="863"/>
      <c r="B13978" s="150" t="s">
        <v>18341</v>
      </c>
      <c r="C13978" s="147"/>
      <c r="D13978" s="122"/>
      <c r="E13978" s="36"/>
      <c r="F13978" s="178"/>
      <c r="G13978" s="178"/>
      <c r="H13978" s="36"/>
      <c r="I13978" s="11"/>
    </row>
    <row r="13979" spans="1:12" ht="9" customHeight="1">
      <c r="A13979" s="863"/>
      <c r="B13979" s="150" t="s">
        <v>18342</v>
      </c>
      <c r="C13979" s="147"/>
      <c r="D13979" s="122"/>
      <c r="E13979" s="36"/>
      <c r="F13979" s="178"/>
      <c r="G13979" s="178"/>
      <c r="H13979" s="36"/>
      <c r="I13979" s="11"/>
    </row>
    <row r="13980" spans="1:12" ht="9" customHeight="1">
      <c r="A13980" s="863"/>
      <c r="B13980" s="150" t="s">
        <v>18343</v>
      </c>
      <c r="C13980" s="147"/>
      <c r="D13980" s="122"/>
      <c r="E13980" s="36"/>
      <c r="F13980" s="178"/>
      <c r="G13980" s="178"/>
      <c r="H13980" s="36"/>
      <c r="I13980" s="11"/>
    </row>
    <row r="13981" spans="1:12" ht="9" customHeight="1">
      <c r="A13981" s="863"/>
      <c r="B13981" s="150" t="s">
        <v>18344</v>
      </c>
      <c r="C13981" s="147"/>
      <c r="D13981" s="122"/>
      <c r="E13981" s="36"/>
      <c r="F13981" s="178"/>
      <c r="G13981" s="178"/>
      <c r="H13981" s="36"/>
      <c r="I13981" s="11"/>
    </row>
    <row r="13982" spans="1:12" ht="9" customHeight="1">
      <c r="A13982" s="863"/>
      <c r="B13982" s="150" t="s">
        <v>18345</v>
      </c>
      <c r="C13982" s="147"/>
      <c r="D13982" s="122"/>
      <c r="E13982" s="36"/>
      <c r="F13982" s="178"/>
      <c r="G13982" s="178"/>
      <c r="H13982" s="36"/>
      <c r="I13982" s="11"/>
    </row>
    <row r="13983" spans="1:12" ht="9" customHeight="1" thickBot="1">
      <c r="A13983" s="863"/>
      <c r="B13983" s="150" t="s">
        <v>18346</v>
      </c>
      <c r="C13983" s="147"/>
      <c r="D13983" s="122"/>
      <c r="E13983" s="36"/>
      <c r="F13983" s="178"/>
      <c r="G13983" s="178"/>
      <c r="H13983" s="36"/>
      <c r="I13983" s="11"/>
    </row>
    <row r="13984" spans="1:12" ht="11.15" customHeight="1" thickBot="1">
      <c r="A13984" s="184" t="s">
        <v>18347</v>
      </c>
      <c r="B13984" s="59" t="s">
        <v>23040</v>
      </c>
      <c r="C13984" s="147" t="s">
        <v>20221</v>
      </c>
      <c r="D13984" s="1035" t="s">
        <v>14689</v>
      </c>
      <c r="E13984" s="178" t="s">
        <v>20221</v>
      </c>
      <c r="F13984" s="178" t="s">
        <v>23430</v>
      </c>
      <c r="G13984" s="496"/>
      <c r="H13984" s="994" t="s">
        <v>20221</v>
      </c>
      <c r="I13984" s="11" t="s">
        <v>18348</v>
      </c>
      <c r="J13984" s="1285"/>
      <c r="K13984" s="1285"/>
      <c r="L13984" s="1285"/>
    </row>
    <row r="13985" spans="1:12" ht="11.25" customHeight="1">
      <c r="A13985" s="29" t="s">
        <v>18349</v>
      </c>
      <c r="B13985" s="177" t="s">
        <v>14687</v>
      </c>
      <c r="C13985" s="147"/>
      <c r="D13985" s="122"/>
      <c r="E13985" s="36"/>
      <c r="F13985" s="178"/>
      <c r="G13985" s="59"/>
      <c r="H13985" s="36"/>
      <c r="I13985" s="11"/>
    </row>
    <row r="13986" spans="1:12" ht="11.15" customHeight="1">
      <c r="A13986" s="29" t="s">
        <v>18350</v>
      </c>
      <c r="B13986" s="59" t="s">
        <v>22356</v>
      </c>
      <c r="C13986" s="147" t="s">
        <v>20221</v>
      </c>
      <c r="D13986" s="1035" t="s">
        <v>14689</v>
      </c>
      <c r="E13986" s="178" t="s">
        <v>22357</v>
      </c>
      <c r="F13986" s="178" t="s">
        <v>4520</v>
      </c>
      <c r="G13986" s="496"/>
      <c r="H13986" s="994" t="s">
        <v>20221</v>
      </c>
      <c r="I13986" s="11" t="s">
        <v>14690</v>
      </c>
      <c r="J13986" s="1285"/>
      <c r="K13986" s="1285"/>
      <c r="L13986" s="1285"/>
    </row>
    <row r="13987" spans="1:12" ht="11.15" customHeight="1">
      <c r="A13987" s="29" t="s">
        <v>18351</v>
      </c>
      <c r="B13987" s="59" t="s">
        <v>22358</v>
      </c>
      <c r="C13987" s="147" t="s">
        <v>20221</v>
      </c>
      <c r="D13987" s="1035" t="s">
        <v>14689</v>
      </c>
      <c r="E13987" s="178" t="s">
        <v>22359</v>
      </c>
      <c r="F13987" s="178" t="s">
        <v>7168</v>
      </c>
      <c r="G13987" s="496"/>
      <c r="H13987" s="994" t="s">
        <v>20221</v>
      </c>
      <c r="I13987" s="11" t="s">
        <v>14692</v>
      </c>
      <c r="J13987" s="1285"/>
      <c r="K13987" s="1285"/>
      <c r="L13987" s="1285"/>
    </row>
    <row r="13988" spans="1:12" ht="11.25" customHeight="1">
      <c r="A13988" s="129" t="s">
        <v>951</v>
      </c>
      <c r="B13988" s="177" t="s">
        <v>18352</v>
      </c>
      <c r="C13988" s="147"/>
      <c r="D13988" s="122"/>
      <c r="E13988" s="36"/>
      <c r="F13988" s="178"/>
      <c r="G13988" s="59"/>
      <c r="H13988" s="36"/>
      <c r="I13988" s="11"/>
    </row>
    <row r="13989" spans="1:12" ht="11.15" customHeight="1">
      <c r="A13989" s="162" t="s">
        <v>18353</v>
      </c>
      <c r="B13989" s="59" t="s">
        <v>23043</v>
      </c>
      <c r="C13989" s="147" t="s">
        <v>20221</v>
      </c>
      <c r="D13989" s="1035" t="s">
        <v>18354</v>
      </c>
      <c r="E13989" s="178" t="s">
        <v>23044</v>
      </c>
      <c r="F13989" s="178" t="s">
        <v>4520</v>
      </c>
      <c r="G13989" s="496"/>
      <c r="H13989" s="994" t="s">
        <v>20221</v>
      </c>
      <c r="I13989" s="11" t="s">
        <v>23360</v>
      </c>
      <c r="J13989" s="1285"/>
      <c r="K13989" s="1285"/>
      <c r="L13989" s="1285"/>
    </row>
    <row r="13990" spans="1:12" ht="11.15" customHeight="1">
      <c r="A13990" s="162" t="s">
        <v>18355</v>
      </c>
      <c r="B13990" s="59" t="s">
        <v>23045</v>
      </c>
      <c r="C13990" s="147" t="s">
        <v>20221</v>
      </c>
      <c r="D13990" s="1035" t="s">
        <v>18354</v>
      </c>
      <c r="E13990" s="178" t="s">
        <v>23046</v>
      </c>
      <c r="F13990" s="178" t="s">
        <v>4520</v>
      </c>
      <c r="G13990" s="496"/>
      <c r="H13990" s="994" t="s">
        <v>20221</v>
      </c>
      <c r="I13990" s="16" t="s">
        <v>18356</v>
      </c>
      <c r="J13990" s="1285"/>
      <c r="K13990" s="1285"/>
      <c r="L13990" s="1285"/>
    </row>
    <row r="13991" spans="1:12" ht="11.15" customHeight="1">
      <c r="A13991" s="162" t="s">
        <v>18357</v>
      </c>
      <c r="B13991" s="59" t="s">
        <v>23047</v>
      </c>
      <c r="C13991" s="147" t="s">
        <v>20221</v>
      </c>
      <c r="D13991" s="1035" t="s">
        <v>18354</v>
      </c>
      <c r="E13991" s="178">
        <v>1968</v>
      </c>
      <c r="F13991" s="178" t="s">
        <v>9658</v>
      </c>
      <c r="G13991" s="496"/>
      <c r="H13991" s="994" t="s">
        <v>20221</v>
      </c>
      <c r="I13991" s="11" t="s">
        <v>18358</v>
      </c>
      <c r="J13991" s="1285"/>
      <c r="K13991" s="1285"/>
      <c r="L13991" s="1285"/>
    </row>
    <row r="13992" spans="1:12" ht="11.15" customHeight="1">
      <c r="A13992" s="162" t="s">
        <v>18359</v>
      </c>
      <c r="B13992" s="177" t="s">
        <v>18360</v>
      </c>
      <c r="C13992" s="147"/>
      <c r="D13992" s="231"/>
      <c r="E13992" s="36"/>
      <c r="F13992" s="178"/>
      <c r="G13992" s="496"/>
      <c r="H13992" s="178"/>
      <c r="I13992" s="11"/>
    </row>
    <row r="13993" spans="1:12" ht="11.15" customHeight="1">
      <c r="A13993" s="129" t="s">
        <v>1308</v>
      </c>
      <c r="B13993" s="59" t="s">
        <v>23048</v>
      </c>
      <c r="C13993" s="147" t="s">
        <v>20221</v>
      </c>
      <c r="D13993" s="284" t="s">
        <v>10155</v>
      </c>
      <c r="E13993" s="178">
        <v>2009</v>
      </c>
      <c r="F13993" s="178" t="s">
        <v>7168</v>
      </c>
      <c r="G13993" s="496"/>
      <c r="H13993" s="994" t="s">
        <v>20221</v>
      </c>
      <c r="I13993" s="11" t="s">
        <v>18361</v>
      </c>
      <c r="J13993" s="1285"/>
      <c r="K13993" s="1285"/>
      <c r="L13993" s="1285"/>
    </row>
    <row r="13994" spans="1:12" ht="11.15" customHeight="1">
      <c r="A13994" s="162" t="s">
        <v>18362</v>
      </c>
      <c r="B13994" s="59" t="s">
        <v>23049</v>
      </c>
      <c r="C13994" s="147" t="s">
        <v>20221</v>
      </c>
      <c r="D13994" s="284" t="s">
        <v>10155</v>
      </c>
      <c r="E13994" s="178">
        <v>2017</v>
      </c>
      <c r="F13994" s="178" t="s">
        <v>7168</v>
      </c>
      <c r="G13994" s="496"/>
      <c r="H13994" s="994" t="s">
        <v>20221</v>
      </c>
      <c r="I13994" s="11" t="s">
        <v>18363</v>
      </c>
      <c r="J13994" s="1285"/>
      <c r="K13994" s="1285"/>
      <c r="L13994" s="1285"/>
    </row>
    <row r="13995" spans="1:12" ht="11.15" customHeight="1">
      <c r="A13995" s="162" t="s">
        <v>18364</v>
      </c>
      <c r="B13995" s="59" t="s">
        <v>23050</v>
      </c>
      <c r="C13995" s="147" t="s">
        <v>20221</v>
      </c>
      <c r="D13995" s="284" t="s">
        <v>10155</v>
      </c>
      <c r="E13995" s="178" t="s">
        <v>20221</v>
      </c>
      <c r="F13995" s="178" t="s">
        <v>7168</v>
      </c>
      <c r="G13995" s="496" t="s">
        <v>20221</v>
      </c>
      <c r="H13995" s="994" t="s">
        <v>3907</v>
      </c>
      <c r="I13995" s="11" t="s">
        <v>18365</v>
      </c>
      <c r="J13995" s="1285"/>
      <c r="K13995" s="1285"/>
      <c r="L13995" s="1285"/>
    </row>
    <row r="13996" spans="1:12" ht="11.15" customHeight="1">
      <c r="A13996" s="162" t="s">
        <v>18366</v>
      </c>
      <c r="B13996" s="177" t="s">
        <v>18367</v>
      </c>
      <c r="C13996" s="147"/>
      <c r="D13996" s="161"/>
      <c r="E13996" s="36"/>
      <c r="F13996" s="183"/>
      <c r="G13996" s="496"/>
      <c r="H13996" s="34"/>
      <c r="I13996" s="11"/>
    </row>
    <row r="13997" spans="1:12" ht="11.15" customHeight="1">
      <c r="A13997" s="129" t="s">
        <v>3659</v>
      </c>
      <c r="B13997" s="59" t="s">
        <v>23051</v>
      </c>
      <c r="C13997" s="147" t="s">
        <v>20221</v>
      </c>
      <c r="D13997" s="284" t="s">
        <v>10155</v>
      </c>
      <c r="E13997" s="178" t="s">
        <v>20221</v>
      </c>
      <c r="F13997" s="178" t="s">
        <v>4520</v>
      </c>
      <c r="G13997" s="496" t="s">
        <v>20221</v>
      </c>
      <c r="H13997" s="994" t="s">
        <v>3907</v>
      </c>
      <c r="I13997" s="11" t="s">
        <v>18368</v>
      </c>
      <c r="J13997" s="1285"/>
      <c r="K13997" s="1285"/>
      <c r="L13997" s="1285"/>
    </row>
    <row r="13998" spans="1:12" ht="11.15" customHeight="1">
      <c r="A13998" s="162" t="s">
        <v>18369</v>
      </c>
      <c r="B13998" s="59" t="s">
        <v>23052</v>
      </c>
      <c r="C13998" s="147" t="s">
        <v>20221</v>
      </c>
      <c r="D13998" s="284" t="s">
        <v>10155</v>
      </c>
      <c r="E13998" s="178" t="s">
        <v>23046</v>
      </c>
      <c r="F13998" s="178" t="s">
        <v>4520</v>
      </c>
      <c r="G13998" s="496"/>
      <c r="H13998" s="994" t="s">
        <v>20221</v>
      </c>
      <c r="I13998" s="11" t="s">
        <v>23291</v>
      </c>
      <c r="J13998" s="1285"/>
      <c r="K13998" s="1285"/>
      <c r="L13998" s="1285"/>
    </row>
    <row r="13999" spans="1:12" ht="11.15" customHeight="1">
      <c r="A13999" s="387" t="s">
        <v>18370</v>
      </c>
      <c r="B13999" s="59" t="s">
        <v>23053</v>
      </c>
      <c r="C13999" s="147" t="s">
        <v>20221</v>
      </c>
      <c r="D13999" s="284" t="s">
        <v>10155</v>
      </c>
      <c r="E13999" s="178" t="s">
        <v>22359</v>
      </c>
      <c r="F13999" s="178" t="s">
        <v>4520</v>
      </c>
      <c r="G13999" s="496"/>
      <c r="H13999" s="994" t="s">
        <v>20221</v>
      </c>
      <c r="I13999" s="11" t="s">
        <v>18371</v>
      </c>
      <c r="J13999" s="1285"/>
      <c r="K13999" s="1285"/>
      <c r="L13999" s="1285"/>
    </row>
    <row r="14000" spans="1:12" ht="11.15" customHeight="1">
      <c r="A14000" s="162" t="s">
        <v>18372</v>
      </c>
      <c r="B14000" s="59" t="s">
        <v>23054</v>
      </c>
      <c r="C14000" s="147" t="s">
        <v>20221</v>
      </c>
      <c r="D14000" s="284" t="s">
        <v>10155</v>
      </c>
      <c r="E14000" s="178" t="s">
        <v>23055</v>
      </c>
      <c r="F14000" s="178" t="s">
        <v>4520</v>
      </c>
      <c r="G14000" s="496"/>
      <c r="H14000" s="994" t="s">
        <v>20277</v>
      </c>
      <c r="I14000" s="11" t="s">
        <v>18373</v>
      </c>
      <c r="J14000" s="1285"/>
      <c r="K14000" s="1285"/>
      <c r="L14000" s="1285"/>
    </row>
    <row r="14001" spans="1:12" ht="11.15" customHeight="1">
      <c r="A14001" s="162" t="s">
        <v>18374</v>
      </c>
      <c r="B14001" s="59" t="s">
        <v>23056</v>
      </c>
      <c r="C14001" s="147" t="s">
        <v>20221</v>
      </c>
      <c r="D14001" s="284" t="s">
        <v>10155</v>
      </c>
      <c r="E14001" s="178">
        <v>2012</v>
      </c>
      <c r="F14001" s="178" t="s">
        <v>4520</v>
      </c>
      <c r="G14001" s="496"/>
      <c r="H14001" s="994" t="s">
        <v>20221</v>
      </c>
      <c r="I14001" s="11" t="s">
        <v>18375</v>
      </c>
      <c r="J14001" s="1285"/>
      <c r="K14001" s="1285"/>
      <c r="L14001" s="1285"/>
    </row>
    <row r="14002" spans="1:12" ht="11.15" customHeight="1">
      <c r="A14002" s="162" t="s">
        <v>18376</v>
      </c>
      <c r="B14002" s="59" t="s">
        <v>23056</v>
      </c>
      <c r="C14002" s="147" t="s">
        <v>20221</v>
      </c>
      <c r="D14002" s="284" t="s">
        <v>10155</v>
      </c>
      <c r="E14002" s="178">
        <v>2010</v>
      </c>
      <c r="F14002" s="178" t="s">
        <v>4520</v>
      </c>
      <c r="G14002" s="496"/>
      <c r="H14002" s="994" t="s">
        <v>20221</v>
      </c>
      <c r="I14002" s="11" t="s">
        <v>18377</v>
      </c>
      <c r="J14002" s="1285"/>
      <c r="K14002" s="1285"/>
      <c r="L14002" s="1285"/>
    </row>
    <row r="14003" spans="1:12" ht="11.15" customHeight="1">
      <c r="A14003" s="162" t="s">
        <v>18378</v>
      </c>
      <c r="B14003" s="59" t="s">
        <v>23057</v>
      </c>
      <c r="C14003" s="147" t="s">
        <v>20221</v>
      </c>
      <c r="D14003" s="284" t="s">
        <v>10155</v>
      </c>
      <c r="E14003" s="178">
        <v>2003</v>
      </c>
      <c r="F14003" s="178" t="s">
        <v>4520</v>
      </c>
      <c r="G14003" s="496"/>
      <c r="H14003" s="994" t="s">
        <v>20221</v>
      </c>
      <c r="I14003" s="11" t="s">
        <v>18379</v>
      </c>
      <c r="J14003" s="1285"/>
      <c r="K14003" s="1285"/>
      <c r="L14003" s="1285"/>
    </row>
    <row r="14004" spans="1:12" ht="11.15" customHeight="1">
      <c r="A14004" s="162" t="s">
        <v>3177</v>
      </c>
      <c r="B14004" s="59" t="s">
        <v>23058</v>
      </c>
      <c r="C14004" s="147" t="s">
        <v>20221</v>
      </c>
      <c r="D14004" s="284" t="s">
        <v>10155</v>
      </c>
      <c r="E14004" s="178">
        <v>1968</v>
      </c>
      <c r="F14004" s="178" t="s">
        <v>9658</v>
      </c>
      <c r="G14004" s="496"/>
      <c r="H14004" s="994" t="s">
        <v>20224</v>
      </c>
      <c r="I14004" s="11" t="s">
        <v>18380</v>
      </c>
      <c r="J14004" s="1285"/>
      <c r="K14004" s="1285"/>
      <c r="L14004" s="1285"/>
    </row>
    <row r="14005" spans="1:12" ht="11.15" customHeight="1">
      <c r="A14005" s="166" t="s">
        <v>14300</v>
      </c>
      <c r="B14005" s="59" t="s">
        <v>23059</v>
      </c>
      <c r="C14005" s="147" t="s">
        <v>20221</v>
      </c>
      <c r="D14005" s="284" t="s">
        <v>10155</v>
      </c>
      <c r="E14005" s="178">
        <v>1977</v>
      </c>
      <c r="F14005" s="178" t="s">
        <v>9658</v>
      </c>
      <c r="G14005" s="496"/>
      <c r="H14005" s="994" t="s">
        <v>20224</v>
      </c>
      <c r="I14005" s="11" t="s">
        <v>18381</v>
      </c>
      <c r="J14005" s="1285"/>
      <c r="K14005" s="1285"/>
      <c r="L14005" s="1285"/>
    </row>
    <row r="14006" spans="1:12" ht="11.15" customHeight="1">
      <c r="A14006" s="129" t="s">
        <v>18382</v>
      </c>
      <c r="B14006" s="59" t="s">
        <v>23060</v>
      </c>
      <c r="C14006" s="147" t="s">
        <v>20221</v>
      </c>
      <c r="D14006" s="284" t="s">
        <v>10155</v>
      </c>
      <c r="E14006" s="178" t="s">
        <v>23046</v>
      </c>
      <c r="F14006" s="178" t="s">
        <v>9678</v>
      </c>
      <c r="G14006" s="496"/>
      <c r="H14006" s="994" t="s">
        <v>20221</v>
      </c>
      <c r="I14006" s="11" t="s">
        <v>18383</v>
      </c>
      <c r="J14006" s="1285"/>
      <c r="K14006" s="1285"/>
      <c r="L14006" s="1285"/>
    </row>
    <row r="14007" spans="1:12" ht="11.15" customHeight="1">
      <c r="A14007" s="129" t="s">
        <v>18384</v>
      </c>
      <c r="B14007" s="177" t="s">
        <v>18385</v>
      </c>
      <c r="C14007" s="147"/>
      <c r="D14007" s="161"/>
      <c r="E14007" s="36"/>
      <c r="F14007" s="183"/>
      <c r="G14007" s="453"/>
      <c r="H14007" s="34"/>
      <c r="I14007" s="11"/>
    </row>
    <row r="14008" spans="1:12" ht="11.15" customHeight="1">
      <c r="A14008" s="129" t="s">
        <v>14301</v>
      </c>
      <c r="B14008" s="59" t="s">
        <v>23061</v>
      </c>
      <c r="C14008" s="147" t="s">
        <v>20221</v>
      </c>
      <c r="D14008" s="284" t="s">
        <v>10155</v>
      </c>
      <c r="E14008" s="178" t="s">
        <v>19060</v>
      </c>
      <c r="F14008" s="178" t="s">
        <v>4520</v>
      </c>
      <c r="G14008" s="496"/>
      <c r="H14008" s="994" t="s">
        <v>20221</v>
      </c>
      <c r="I14008" s="11" t="s">
        <v>23361</v>
      </c>
      <c r="J14008" s="1285"/>
      <c r="K14008" s="1285"/>
      <c r="L14008" s="1285"/>
    </row>
    <row r="14009" spans="1:12" ht="11.15" customHeight="1">
      <c r="B14009" s="59" t="s">
        <v>23062</v>
      </c>
      <c r="C14009" s="147" t="s">
        <v>20221</v>
      </c>
      <c r="D14009" s="284" t="s">
        <v>10155</v>
      </c>
      <c r="E14009" s="178">
        <v>2019</v>
      </c>
      <c r="F14009" s="178" t="s">
        <v>4520</v>
      </c>
      <c r="G14009" s="496"/>
      <c r="H14009" s="994" t="s">
        <v>20221</v>
      </c>
      <c r="I14009" s="11" t="s">
        <v>23362</v>
      </c>
      <c r="J14009" s="1285"/>
      <c r="K14009" s="1285"/>
      <c r="L14009" s="1285"/>
    </row>
    <row r="14010" spans="1:12" ht="11.15" customHeight="1">
      <c r="A14010" s="29"/>
      <c r="B14010" s="59" t="s">
        <v>23063</v>
      </c>
      <c r="C14010" s="147" t="s">
        <v>20221</v>
      </c>
      <c r="D14010" s="284" t="s">
        <v>10155</v>
      </c>
      <c r="E14010" s="178" t="s">
        <v>20221</v>
      </c>
      <c r="F14010" s="178" t="s">
        <v>4520</v>
      </c>
      <c r="G14010" s="496"/>
      <c r="H14010" s="994" t="s">
        <v>20221</v>
      </c>
      <c r="I14010" s="11" t="s">
        <v>18386</v>
      </c>
      <c r="J14010" s="1285"/>
      <c r="K14010" s="1285"/>
      <c r="L14010" s="1285"/>
    </row>
    <row r="14011" spans="1:12" ht="11.15" customHeight="1">
      <c r="A14011" s="185"/>
      <c r="B14011" s="59" t="s">
        <v>23064</v>
      </c>
      <c r="C14011" s="147" t="s">
        <v>20221</v>
      </c>
      <c r="D14011" s="284" t="s">
        <v>10155</v>
      </c>
      <c r="E14011" s="178" t="s">
        <v>23065</v>
      </c>
      <c r="F14011" s="178" t="s">
        <v>4520</v>
      </c>
      <c r="G14011" s="496"/>
      <c r="H14011" s="994" t="s">
        <v>20221</v>
      </c>
      <c r="I14011" s="11" t="s">
        <v>18387</v>
      </c>
      <c r="J14011" s="1285"/>
      <c r="K14011" s="1285"/>
      <c r="L14011" s="1285"/>
    </row>
    <row r="14012" spans="1:12" ht="11.15" customHeight="1">
      <c r="A14012" s="185"/>
      <c r="B14012" s="59" t="s">
        <v>23066</v>
      </c>
      <c r="C14012" s="147" t="s">
        <v>20221</v>
      </c>
      <c r="D14012" s="284" t="s">
        <v>10155</v>
      </c>
      <c r="E14012" s="178" t="s">
        <v>23067</v>
      </c>
      <c r="F14012" s="178" t="s">
        <v>4520</v>
      </c>
      <c r="G14012" s="496"/>
      <c r="H14012" s="994" t="s">
        <v>20221</v>
      </c>
      <c r="I14012" s="11" t="s">
        <v>18388</v>
      </c>
      <c r="J14012" s="1285"/>
      <c r="K14012" s="1285"/>
      <c r="L14012" s="1285"/>
    </row>
    <row r="14013" spans="1:12" ht="11.15" customHeight="1">
      <c r="A14013" s="185"/>
      <c r="B14013" s="177" t="s">
        <v>18389</v>
      </c>
      <c r="C14013" s="147"/>
      <c r="D14013" s="161"/>
      <c r="E14013" s="36"/>
      <c r="F14013" s="183"/>
      <c r="G14013" s="453"/>
      <c r="H14013" s="34"/>
      <c r="I14013" s="11"/>
    </row>
    <row r="14014" spans="1:12" ht="11.15" customHeight="1">
      <c r="A14014" s="185"/>
      <c r="B14014" s="59" t="s">
        <v>23068</v>
      </c>
      <c r="C14014" s="147" t="s">
        <v>20221</v>
      </c>
      <c r="D14014" s="284" t="s">
        <v>10155</v>
      </c>
      <c r="E14014" s="178">
        <v>2019</v>
      </c>
      <c r="F14014" s="178" t="s">
        <v>4520</v>
      </c>
      <c r="G14014" s="496"/>
      <c r="H14014" s="994" t="s">
        <v>20221</v>
      </c>
      <c r="I14014" s="11" t="s">
        <v>18390</v>
      </c>
      <c r="J14014" s="1285"/>
      <c r="K14014" s="1285"/>
      <c r="L14014" s="1285"/>
    </row>
    <row r="14015" spans="1:12" ht="11.15" customHeight="1">
      <c r="A14015" s="185"/>
      <c r="B14015" s="59" t="s">
        <v>23068</v>
      </c>
      <c r="C14015" s="147" t="s">
        <v>20221</v>
      </c>
      <c r="D14015" s="284" t="s">
        <v>10155</v>
      </c>
      <c r="E14015" s="178">
        <v>2017</v>
      </c>
      <c r="F14015" s="178" t="s">
        <v>4520</v>
      </c>
      <c r="G14015" s="496"/>
      <c r="H14015" s="994" t="s">
        <v>20224</v>
      </c>
      <c r="I14015" s="11" t="s">
        <v>18391</v>
      </c>
      <c r="J14015" s="1285"/>
      <c r="K14015" s="1285"/>
      <c r="L14015" s="1285"/>
    </row>
    <row r="14016" spans="1:12" ht="11.15" customHeight="1">
      <c r="A14016" s="185"/>
      <c r="B14016" s="59" t="s">
        <v>23068</v>
      </c>
      <c r="C14016" s="147" t="s">
        <v>20221</v>
      </c>
      <c r="D14016" s="284" t="s">
        <v>10155</v>
      </c>
      <c r="E14016" s="178">
        <v>2015</v>
      </c>
      <c r="F14016" s="178" t="s">
        <v>4520</v>
      </c>
      <c r="G14016" s="496"/>
      <c r="H14016" s="994" t="s">
        <v>20221</v>
      </c>
      <c r="I14016" s="11" t="s">
        <v>18392</v>
      </c>
      <c r="J14016" s="1285"/>
      <c r="K14016" s="1285"/>
      <c r="L14016" s="1285"/>
    </row>
    <row r="14017" spans="1:12" ht="11.15" customHeight="1">
      <c r="A14017" s="185"/>
      <c r="B14017" s="59" t="s">
        <v>23068</v>
      </c>
      <c r="C14017" s="147" t="s">
        <v>20221</v>
      </c>
      <c r="D14017" s="284" t="s">
        <v>10155</v>
      </c>
      <c r="E14017" s="178">
        <v>2007</v>
      </c>
      <c r="F14017" s="178" t="s">
        <v>4520</v>
      </c>
      <c r="G14017" s="496"/>
      <c r="H14017" s="994" t="s">
        <v>20221</v>
      </c>
      <c r="I14017" s="11" t="s">
        <v>18393</v>
      </c>
      <c r="J14017" s="1285"/>
      <c r="K14017" s="1285"/>
      <c r="L14017" s="1285"/>
    </row>
    <row r="14018" spans="1:12" ht="11.15" customHeight="1">
      <c r="A14018" s="29"/>
      <c r="B14018" s="59" t="s">
        <v>23068</v>
      </c>
      <c r="C14018" s="147" t="s">
        <v>20221</v>
      </c>
      <c r="D14018" s="284" t="s">
        <v>10155</v>
      </c>
      <c r="E14018" s="178">
        <v>2005</v>
      </c>
      <c r="F14018" s="178" t="s">
        <v>4520</v>
      </c>
      <c r="G14018" s="496"/>
      <c r="H14018" s="994" t="s">
        <v>20224</v>
      </c>
      <c r="I14018" s="11" t="s">
        <v>18394</v>
      </c>
      <c r="J14018" s="1285"/>
      <c r="K14018" s="1285"/>
      <c r="L14018" s="1285"/>
    </row>
    <row r="14019" spans="1:12" ht="11.15" customHeight="1">
      <c r="A14019" s="29"/>
      <c r="B14019" s="59" t="s">
        <v>23068</v>
      </c>
      <c r="C14019" s="147" t="s">
        <v>20221</v>
      </c>
      <c r="D14019" s="284" t="s">
        <v>10155</v>
      </c>
      <c r="E14019" s="178">
        <v>2000</v>
      </c>
      <c r="F14019" s="178" t="s">
        <v>4520</v>
      </c>
      <c r="G14019" s="496"/>
      <c r="H14019" s="994" t="s">
        <v>20224</v>
      </c>
      <c r="I14019" s="11" t="s">
        <v>18395</v>
      </c>
      <c r="J14019" s="1285"/>
      <c r="K14019" s="1285"/>
      <c r="L14019" s="1285"/>
    </row>
    <row r="14020" spans="1:12" ht="11.15" customHeight="1">
      <c r="A14020" s="29"/>
      <c r="B14020" s="59" t="s">
        <v>23068</v>
      </c>
      <c r="C14020" s="147" t="s">
        <v>20221</v>
      </c>
      <c r="D14020" s="284" t="s">
        <v>10155</v>
      </c>
      <c r="E14020" s="178">
        <v>1987</v>
      </c>
      <c r="F14020" s="178" t="s">
        <v>4520</v>
      </c>
      <c r="G14020" s="496"/>
      <c r="H14020" s="994" t="s">
        <v>20224</v>
      </c>
      <c r="I14020" s="11" t="s">
        <v>18396</v>
      </c>
      <c r="J14020" s="1285"/>
      <c r="K14020" s="1285"/>
      <c r="L14020" s="1285"/>
    </row>
    <row r="14021" spans="1:12" ht="11.15" customHeight="1">
      <c r="A14021" s="29"/>
      <c r="B14021" s="59" t="s">
        <v>23068</v>
      </c>
      <c r="C14021" s="147" t="s">
        <v>20221</v>
      </c>
      <c r="D14021" s="284" t="s">
        <v>10155</v>
      </c>
      <c r="E14021" s="178">
        <v>1983</v>
      </c>
      <c r="F14021" s="178" t="s">
        <v>4520</v>
      </c>
      <c r="G14021" s="496"/>
      <c r="H14021" s="994" t="s">
        <v>20224</v>
      </c>
      <c r="I14021" s="11" t="s">
        <v>18397</v>
      </c>
      <c r="J14021" s="1285"/>
      <c r="K14021" s="1285"/>
      <c r="L14021" s="1285"/>
    </row>
    <row r="14022" spans="1:12" ht="11.15" customHeight="1">
      <c r="A14022" s="29"/>
      <c r="B14022" s="59" t="s">
        <v>23069</v>
      </c>
      <c r="C14022" s="147" t="s">
        <v>20221</v>
      </c>
      <c r="D14022" s="284" t="s">
        <v>10155</v>
      </c>
      <c r="E14022" s="178" t="s">
        <v>20221</v>
      </c>
      <c r="F14022" s="178" t="s">
        <v>9678</v>
      </c>
      <c r="G14022" s="496" t="s">
        <v>20221</v>
      </c>
      <c r="H14022" s="994" t="s">
        <v>3907</v>
      </c>
      <c r="I14022" s="11" t="s">
        <v>18398</v>
      </c>
      <c r="J14022" s="1285"/>
      <c r="K14022" s="1285"/>
      <c r="L14022" s="1285"/>
    </row>
    <row r="14023" spans="1:12" ht="11.15" customHeight="1">
      <c r="A14023" s="29"/>
      <c r="B14023" s="177" t="s">
        <v>18399</v>
      </c>
      <c r="C14023" s="147"/>
      <c r="D14023" s="161"/>
      <c r="E14023" s="36"/>
      <c r="F14023" s="183"/>
      <c r="G14023" s="496"/>
      <c r="H14023" s="34"/>
      <c r="I14023" s="11"/>
    </row>
    <row r="14024" spans="1:12" ht="11.15" customHeight="1">
      <c r="A14024" s="29"/>
      <c r="B14024" s="59" t="s">
        <v>23070</v>
      </c>
      <c r="C14024" s="147" t="s">
        <v>20221</v>
      </c>
      <c r="D14024" s="284" t="s">
        <v>10155</v>
      </c>
      <c r="E14024" s="178">
        <v>2016</v>
      </c>
      <c r="F14024" s="178" t="s">
        <v>23394</v>
      </c>
      <c r="G14024" s="496"/>
      <c r="H14024" s="994" t="s">
        <v>20224</v>
      </c>
      <c r="I14024" s="11" t="s">
        <v>18400</v>
      </c>
      <c r="J14024" s="1285"/>
      <c r="K14024" s="1285"/>
      <c r="L14024" s="1285"/>
    </row>
    <row r="14025" spans="1:12" ht="11.15" customHeight="1">
      <c r="A14025" s="29"/>
      <c r="B14025" s="59" t="s">
        <v>23070</v>
      </c>
      <c r="C14025" s="147" t="s">
        <v>20221</v>
      </c>
      <c r="D14025" s="284" t="s">
        <v>10155</v>
      </c>
      <c r="E14025" s="178">
        <v>2015</v>
      </c>
      <c r="F14025" s="178" t="s">
        <v>23394</v>
      </c>
      <c r="G14025" s="496"/>
      <c r="H14025" s="994" t="s">
        <v>20221</v>
      </c>
      <c r="I14025" s="11" t="s">
        <v>18401</v>
      </c>
      <c r="J14025" s="1285"/>
      <c r="K14025" s="1285"/>
      <c r="L14025" s="1285"/>
    </row>
    <row r="14026" spans="1:12" ht="11.15" customHeight="1">
      <c r="A14026" s="29"/>
      <c r="B14026" s="59" t="s">
        <v>23070</v>
      </c>
      <c r="C14026" s="147" t="s">
        <v>20221</v>
      </c>
      <c r="D14026" s="284" t="s">
        <v>10155</v>
      </c>
      <c r="E14026" s="178">
        <v>2009</v>
      </c>
      <c r="F14026" s="178" t="s">
        <v>23394</v>
      </c>
      <c r="G14026" s="496"/>
      <c r="H14026" s="994" t="s">
        <v>20221</v>
      </c>
      <c r="I14026" s="11" t="s">
        <v>18402</v>
      </c>
      <c r="J14026" s="1285"/>
      <c r="K14026" s="1285"/>
      <c r="L14026" s="1285"/>
    </row>
    <row r="14027" spans="1:12" ht="11.15" customHeight="1">
      <c r="A14027" s="29"/>
      <c r="B14027" s="59" t="s">
        <v>23070</v>
      </c>
      <c r="C14027" s="147" t="s">
        <v>20221</v>
      </c>
      <c r="D14027" s="284" t="s">
        <v>10155</v>
      </c>
      <c r="E14027" s="178">
        <v>2008</v>
      </c>
      <c r="F14027" s="178" t="s">
        <v>23394</v>
      </c>
      <c r="G14027" s="496"/>
      <c r="H14027" s="994" t="s">
        <v>20224</v>
      </c>
      <c r="I14027" s="11" t="s">
        <v>18403</v>
      </c>
      <c r="J14027" s="1285"/>
      <c r="K14027" s="1285"/>
      <c r="L14027" s="1285"/>
    </row>
    <row r="14028" spans="1:12" ht="11.15" customHeight="1">
      <c r="A14028" s="29"/>
      <c r="B14028" s="59" t="s">
        <v>23071</v>
      </c>
      <c r="C14028" s="147" t="s">
        <v>20221</v>
      </c>
      <c r="D14028" s="284" t="s">
        <v>10155</v>
      </c>
      <c r="E14028" s="178">
        <v>2007</v>
      </c>
      <c r="F14028" s="178" t="s">
        <v>23394</v>
      </c>
      <c r="G14028" s="496"/>
      <c r="H14028" s="994" t="s">
        <v>20224</v>
      </c>
      <c r="I14028" s="11" t="s">
        <v>18404</v>
      </c>
      <c r="J14028" s="1285"/>
      <c r="K14028" s="1285"/>
      <c r="L14028" s="1285"/>
    </row>
    <row r="14029" spans="1:12" ht="11.15" customHeight="1" thickBot="1">
      <c r="A14029" s="29"/>
      <c r="B14029" s="90"/>
      <c r="C14029" s="147"/>
      <c r="D14029" s="161"/>
      <c r="E14029" s="34"/>
      <c r="F14029" s="178"/>
      <c r="G14029" s="671"/>
      <c r="H14029" s="36"/>
      <c r="I14029" s="11"/>
    </row>
    <row r="14030" spans="1:12" ht="11.15" customHeight="1" thickBot="1">
      <c r="A14030" s="184" t="s">
        <v>18405</v>
      </c>
      <c r="B14030" s="59" t="s">
        <v>23073</v>
      </c>
      <c r="C14030" s="147" t="s">
        <v>20221</v>
      </c>
      <c r="D14030" s="284" t="s">
        <v>10155</v>
      </c>
      <c r="E14030" s="178">
        <v>2017</v>
      </c>
      <c r="F14030" s="178" t="s">
        <v>4520</v>
      </c>
      <c r="G14030" s="496"/>
      <c r="H14030" s="994" t="s">
        <v>20221</v>
      </c>
      <c r="I14030" s="11" t="s">
        <v>18406</v>
      </c>
      <c r="J14030" s="1285"/>
      <c r="K14030" s="1285"/>
      <c r="L14030" s="1285"/>
    </row>
    <row r="14031" spans="1:12" ht="11.15" customHeight="1">
      <c r="A14031" s="29" t="s">
        <v>18407</v>
      </c>
      <c r="B14031" s="59" t="s">
        <v>23073</v>
      </c>
      <c r="C14031" s="147" t="s">
        <v>20221</v>
      </c>
      <c r="D14031" s="284" t="s">
        <v>10155</v>
      </c>
      <c r="E14031" s="178">
        <v>2016</v>
      </c>
      <c r="F14031" s="178" t="s">
        <v>4520</v>
      </c>
      <c r="G14031" s="496"/>
      <c r="H14031" s="994" t="s">
        <v>20221</v>
      </c>
      <c r="I14031" s="11" t="s">
        <v>18408</v>
      </c>
      <c r="J14031" s="1285"/>
      <c r="K14031" s="1285"/>
      <c r="L14031" s="1285"/>
    </row>
    <row r="14032" spans="1:12" ht="11.15" customHeight="1">
      <c r="A14032" s="29" t="s">
        <v>18409</v>
      </c>
      <c r="B14032" s="59" t="s">
        <v>23073</v>
      </c>
      <c r="C14032" s="147" t="s">
        <v>20221</v>
      </c>
      <c r="D14032" s="284" t="s">
        <v>10155</v>
      </c>
      <c r="E14032" s="178">
        <v>2014</v>
      </c>
      <c r="F14032" s="178" t="s">
        <v>4520</v>
      </c>
      <c r="G14032" s="496"/>
      <c r="H14032" s="994" t="s">
        <v>20221</v>
      </c>
      <c r="I14032" s="11" t="s">
        <v>18410</v>
      </c>
      <c r="J14032" s="1285"/>
      <c r="K14032" s="1285"/>
      <c r="L14032" s="1285"/>
    </row>
    <row r="14033" spans="1:12" ht="11.15" customHeight="1">
      <c r="A14033" s="29" t="s">
        <v>18411</v>
      </c>
      <c r="B14033" s="59" t="s">
        <v>23073</v>
      </c>
      <c r="C14033" s="147" t="s">
        <v>20221</v>
      </c>
      <c r="D14033" s="284" t="s">
        <v>10155</v>
      </c>
      <c r="E14033" s="178">
        <v>2012</v>
      </c>
      <c r="F14033" s="178" t="s">
        <v>4520</v>
      </c>
      <c r="G14033" s="496"/>
      <c r="H14033" s="994" t="s">
        <v>20221</v>
      </c>
      <c r="I14033" s="11" t="s">
        <v>18412</v>
      </c>
      <c r="J14033" s="1285"/>
      <c r="K14033" s="1285"/>
      <c r="L14033" s="1285"/>
    </row>
    <row r="14034" spans="1:12" ht="11.15" customHeight="1">
      <c r="A14034" s="29" t="s">
        <v>18413</v>
      </c>
      <c r="B14034" s="59" t="s">
        <v>23073</v>
      </c>
      <c r="C14034" s="147" t="s">
        <v>20221</v>
      </c>
      <c r="D14034" s="284" t="s">
        <v>10155</v>
      </c>
      <c r="E14034" s="178">
        <v>2003</v>
      </c>
      <c r="F14034" s="178" t="s">
        <v>4520</v>
      </c>
      <c r="G14034" s="496"/>
      <c r="H14034" s="994" t="s">
        <v>20224</v>
      </c>
      <c r="I14034" s="11" t="s">
        <v>18414</v>
      </c>
      <c r="J14034" s="1285"/>
      <c r="K14034" s="1285"/>
      <c r="L14034" s="1285"/>
    </row>
    <row r="14035" spans="1:12" ht="11.15" customHeight="1">
      <c r="A14035" s="29" t="s">
        <v>18415</v>
      </c>
      <c r="B14035" s="59" t="s">
        <v>23074</v>
      </c>
      <c r="C14035" s="147" t="s">
        <v>20221</v>
      </c>
      <c r="D14035" s="284" t="s">
        <v>10155</v>
      </c>
      <c r="E14035" s="178">
        <v>2004</v>
      </c>
      <c r="F14035" s="178" t="s">
        <v>23394</v>
      </c>
      <c r="G14035" s="496"/>
      <c r="H14035" s="994" t="s">
        <v>20224</v>
      </c>
      <c r="I14035" s="11" t="s">
        <v>18416</v>
      </c>
      <c r="J14035" s="1285"/>
      <c r="K14035" s="1285"/>
      <c r="L14035" s="1285"/>
    </row>
    <row r="14036" spans="1:12" ht="11.15" customHeight="1">
      <c r="A14036" s="166" t="s">
        <v>18417</v>
      </c>
      <c r="B14036" s="59" t="s">
        <v>23074</v>
      </c>
      <c r="C14036" s="147" t="s">
        <v>20221</v>
      </c>
      <c r="D14036" s="284" t="s">
        <v>10155</v>
      </c>
      <c r="E14036" s="178">
        <v>2001</v>
      </c>
      <c r="F14036" s="178" t="s">
        <v>4520</v>
      </c>
      <c r="G14036" s="496"/>
      <c r="H14036" s="994" t="s">
        <v>20224</v>
      </c>
      <c r="I14036" s="11" t="s">
        <v>18418</v>
      </c>
      <c r="J14036" s="1285"/>
      <c r="K14036" s="1285"/>
      <c r="L14036" s="1285"/>
    </row>
    <row r="14037" spans="1:12" ht="11.15" customHeight="1">
      <c r="A14037" s="129" t="s">
        <v>18419</v>
      </c>
      <c r="B14037" s="59"/>
      <c r="C14037" s="147"/>
      <c r="D14037" s="161"/>
      <c r="E14037" s="36"/>
      <c r="F14037" s="178"/>
      <c r="G14037" s="497"/>
      <c r="H14037" s="36"/>
      <c r="I14037" s="11"/>
    </row>
    <row r="14038" spans="1:12" ht="11.15" customHeight="1" thickBot="1">
      <c r="A14038" s="185" t="s">
        <v>18420</v>
      </c>
      <c r="B14038" s="90"/>
      <c r="C14038" s="147"/>
      <c r="D14038" s="161"/>
      <c r="E14038" s="36"/>
      <c r="F14038" s="183"/>
      <c r="G14038" s="497"/>
      <c r="H14038" s="34"/>
      <c r="I14038" s="11"/>
    </row>
    <row r="14039" spans="1:12" ht="11.15" customHeight="1" thickBot="1">
      <c r="A14039" s="273" t="s">
        <v>18421</v>
      </c>
      <c r="B14039" s="59" t="s">
        <v>23076</v>
      </c>
      <c r="C14039" s="147" t="s">
        <v>20221</v>
      </c>
      <c r="D14039" s="284" t="s">
        <v>10155</v>
      </c>
      <c r="E14039" s="178">
        <v>2000</v>
      </c>
      <c r="F14039" s="178" t="s">
        <v>7168</v>
      </c>
      <c r="G14039" s="496"/>
      <c r="H14039" s="994" t="s">
        <v>20221</v>
      </c>
      <c r="I14039" s="11" t="s">
        <v>18422</v>
      </c>
      <c r="J14039" s="1285"/>
      <c r="K14039" s="1285"/>
      <c r="L14039" s="1285"/>
    </row>
    <row r="14040" spans="1:12" ht="11.15" customHeight="1">
      <c r="A14040" s="29" t="s">
        <v>18423</v>
      </c>
      <c r="B14040" s="59" t="s">
        <v>23076</v>
      </c>
      <c r="C14040" s="147" t="s">
        <v>20221</v>
      </c>
      <c r="D14040" s="284" t="s">
        <v>10155</v>
      </c>
      <c r="E14040" s="178">
        <v>1997</v>
      </c>
      <c r="F14040" s="178" t="s">
        <v>7168</v>
      </c>
      <c r="G14040" s="496"/>
      <c r="H14040" s="994" t="s">
        <v>20221</v>
      </c>
      <c r="I14040" s="11" t="s">
        <v>18424</v>
      </c>
      <c r="J14040" s="1285"/>
      <c r="K14040" s="1285"/>
      <c r="L14040" s="1285"/>
    </row>
    <row r="14041" spans="1:12" ht="11.15" customHeight="1">
      <c r="A14041" s="29" t="s">
        <v>18425</v>
      </c>
      <c r="B14041" s="59" t="s">
        <v>23076</v>
      </c>
      <c r="C14041" s="147" t="s">
        <v>20221</v>
      </c>
      <c r="D14041" s="284" t="s">
        <v>10155</v>
      </c>
      <c r="E14041" s="178">
        <v>1994</v>
      </c>
      <c r="F14041" s="178" t="s">
        <v>7168</v>
      </c>
      <c r="G14041" s="496"/>
      <c r="H14041" s="994" t="s">
        <v>20221</v>
      </c>
      <c r="I14041" s="11" t="s">
        <v>18426</v>
      </c>
      <c r="J14041" s="1285"/>
      <c r="K14041" s="1285"/>
      <c r="L14041" s="1285"/>
    </row>
    <row r="14042" spans="1:12" ht="11.15" customHeight="1">
      <c r="A14042" s="166" t="s">
        <v>18427</v>
      </c>
      <c r="B14042" s="59" t="s">
        <v>23077</v>
      </c>
      <c r="C14042" s="147" t="s">
        <v>20221</v>
      </c>
      <c r="D14042" s="284" t="s">
        <v>10155</v>
      </c>
      <c r="E14042" s="178">
        <v>1994</v>
      </c>
      <c r="F14042" s="178" t="s">
        <v>5257</v>
      </c>
      <c r="G14042" s="496"/>
      <c r="H14042" s="994" t="s">
        <v>20224</v>
      </c>
      <c r="I14042" s="11" t="s">
        <v>18428</v>
      </c>
      <c r="J14042" s="1285"/>
      <c r="K14042" s="1285"/>
      <c r="L14042" s="1285"/>
    </row>
    <row r="14043" spans="1:12" ht="11.15" customHeight="1">
      <c r="A14043" s="129" t="s">
        <v>18429</v>
      </c>
      <c r="B14043" s="185"/>
      <c r="C14043" s="147"/>
      <c r="D14043" s="129"/>
      <c r="E14043" s="185"/>
      <c r="F14043" s="185"/>
      <c r="G14043" s="185"/>
      <c r="H14043" s="185"/>
      <c r="I14043" s="11"/>
    </row>
    <row r="14044" spans="1:12" ht="11.15" customHeight="1" thickBot="1">
      <c r="A14044" s="319"/>
      <c r="B14044" s="547" t="s">
        <v>2549</v>
      </c>
      <c r="C14044" s="321"/>
      <c r="D14044" s="330"/>
      <c r="E14044" s="329"/>
      <c r="F14044" s="329"/>
      <c r="G14044" s="329"/>
      <c r="H14044" s="329"/>
      <c r="I14044" s="11"/>
    </row>
    <row r="14045" spans="1:12" ht="11.15" customHeight="1">
      <c r="A14045" s="323" t="s">
        <v>18430</v>
      </c>
      <c r="B14045" s="695" t="s">
        <v>18431</v>
      </c>
      <c r="C14045" s="321"/>
      <c r="D14045" s="325"/>
      <c r="E14045" s="322"/>
      <c r="F14045" s="347"/>
      <c r="G14045" s="1204"/>
      <c r="H14045" s="326"/>
      <c r="I14045" s="11"/>
    </row>
    <row r="14046" spans="1:12" ht="11.15" customHeight="1" thickBot="1">
      <c r="A14046" s="864" t="s">
        <v>18432</v>
      </c>
      <c r="B14046" s="324" t="s">
        <v>23078</v>
      </c>
      <c r="C14046" s="321" t="s">
        <v>20221</v>
      </c>
      <c r="D14046" s="1295" t="s">
        <v>10155</v>
      </c>
      <c r="E14046" s="578" t="s">
        <v>20221</v>
      </c>
      <c r="F14046" s="578" t="s">
        <v>4520</v>
      </c>
      <c r="G14046" s="1204" t="s">
        <v>20221</v>
      </c>
      <c r="H14046" s="1296" t="s">
        <v>3907</v>
      </c>
      <c r="I14046" s="11" t="s">
        <v>18433</v>
      </c>
      <c r="J14046" s="1285"/>
      <c r="K14046" s="1285"/>
      <c r="L14046" s="1285"/>
    </row>
    <row r="14047" spans="1:12" ht="11.15" customHeight="1">
      <c r="A14047" s="319" t="s">
        <v>18434</v>
      </c>
      <c r="B14047" s="324" t="s">
        <v>23079</v>
      </c>
      <c r="C14047" s="321" t="s">
        <v>20221</v>
      </c>
      <c r="D14047" s="1295" t="s">
        <v>10155</v>
      </c>
      <c r="E14047" s="578" t="s">
        <v>20221</v>
      </c>
      <c r="F14047" s="578" t="s">
        <v>4520</v>
      </c>
      <c r="G14047" s="1204" t="s">
        <v>20221</v>
      </c>
      <c r="H14047" s="1296" t="s">
        <v>3907</v>
      </c>
      <c r="I14047" s="11" t="s">
        <v>18435</v>
      </c>
      <c r="J14047" s="1285"/>
      <c r="K14047" s="1285"/>
      <c r="L14047" s="1285"/>
    </row>
    <row r="14048" spans="1:12" ht="11.15" customHeight="1">
      <c r="A14048" s="330" t="s">
        <v>18436</v>
      </c>
      <c r="B14048" s="339" t="s">
        <v>18437</v>
      </c>
      <c r="C14048" s="321"/>
      <c r="D14048" s="325"/>
      <c r="E14048" s="326"/>
      <c r="F14048" s="347"/>
      <c r="G14048" s="1204"/>
      <c r="H14048" s="326"/>
      <c r="I14048" s="11"/>
    </row>
    <row r="14049" spans="1:12" ht="11.15" customHeight="1">
      <c r="A14049" s="331" t="s">
        <v>18438</v>
      </c>
      <c r="B14049" s="324" t="s">
        <v>23080</v>
      </c>
      <c r="C14049" s="321" t="s">
        <v>20221</v>
      </c>
      <c r="D14049" s="1295" t="s">
        <v>10155</v>
      </c>
      <c r="E14049" s="578">
        <v>2011</v>
      </c>
      <c r="F14049" s="578" t="s">
        <v>4520</v>
      </c>
      <c r="G14049" s="1204"/>
      <c r="H14049" s="322" t="s">
        <v>20221</v>
      </c>
      <c r="I14049" s="11" t="s">
        <v>18439</v>
      </c>
      <c r="J14049" s="1285"/>
      <c r="K14049" s="1285"/>
      <c r="L14049" s="1285"/>
    </row>
    <row r="14050" spans="1:12" ht="11.15" customHeight="1">
      <c r="A14050" s="331" t="s">
        <v>18440</v>
      </c>
      <c r="B14050" s="324" t="s">
        <v>23080</v>
      </c>
      <c r="C14050" s="321" t="s">
        <v>20221</v>
      </c>
      <c r="D14050" s="1295" t="s">
        <v>10155</v>
      </c>
      <c r="E14050" s="578">
        <v>2009</v>
      </c>
      <c r="F14050" s="578" t="s">
        <v>23395</v>
      </c>
      <c r="G14050" s="1204"/>
      <c r="H14050" s="322" t="s">
        <v>20221</v>
      </c>
      <c r="I14050" s="11" t="s">
        <v>18441</v>
      </c>
      <c r="J14050" s="1285"/>
      <c r="K14050" s="1285"/>
      <c r="L14050" s="1285"/>
    </row>
    <row r="14051" spans="1:12" ht="11.15" customHeight="1">
      <c r="A14051" s="331" t="s">
        <v>18442</v>
      </c>
      <c r="B14051" s="324" t="s">
        <v>23081</v>
      </c>
      <c r="C14051" s="321" t="s">
        <v>20221</v>
      </c>
      <c r="D14051" s="1295" t="s">
        <v>10155</v>
      </c>
      <c r="E14051" s="578">
        <v>2011</v>
      </c>
      <c r="F14051" s="578" t="s">
        <v>4520</v>
      </c>
      <c r="G14051" s="1204"/>
      <c r="H14051" s="322" t="s">
        <v>20221</v>
      </c>
      <c r="I14051" s="11" t="s">
        <v>18443</v>
      </c>
      <c r="J14051" s="1285"/>
      <c r="K14051" s="1285"/>
      <c r="L14051" s="1285"/>
    </row>
    <row r="14052" spans="1:12" ht="11.15" customHeight="1">
      <c r="A14052" s="331" t="s">
        <v>18444</v>
      </c>
      <c r="B14052" s="324" t="s">
        <v>23081</v>
      </c>
      <c r="C14052" s="321" t="s">
        <v>20221</v>
      </c>
      <c r="D14052" s="1295" t="s">
        <v>10155</v>
      </c>
      <c r="E14052" s="578">
        <v>2009</v>
      </c>
      <c r="F14052" s="578" t="s">
        <v>23395</v>
      </c>
      <c r="G14052" s="1204"/>
      <c r="H14052" s="322" t="s">
        <v>20221</v>
      </c>
      <c r="I14052" s="11" t="s">
        <v>18445</v>
      </c>
      <c r="J14052" s="1285"/>
      <c r="K14052" s="1285"/>
      <c r="L14052" s="1285"/>
    </row>
    <row r="14053" spans="1:12" ht="11.15" customHeight="1">
      <c r="A14053" s="331" t="s">
        <v>18446</v>
      </c>
      <c r="B14053" s="324" t="s">
        <v>23081</v>
      </c>
      <c r="C14053" s="321" t="s">
        <v>20221</v>
      </c>
      <c r="D14053" s="1295" t="s">
        <v>10155</v>
      </c>
      <c r="E14053" s="578">
        <v>2007</v>
      </c>
      <c r="F14053" s="578" t="s">
        <v>4520</v>
      </c>
      <c r="G14053" s="1204"/>
      <c r="H14053" s="1296" t="s">
        <v>20277</v>
      </c>
      <c r="I14053" s="11" t="s">
        <v>18447</v>
      </c>
      <c r="J14053" s="1285"/>
      <c r="K14053" s="1285"/>
      <c r="L14053" s="1285"/>
    </row>
    <row r="14054" spans="1:12" ht="11.15" customHeight="1">
      <c r="A14054" s="330" t="s">
        <v>18448</v>
      </c>
      <c r="B14054" s="339" t="s">
        <v>18449</v>
      </c>
      <c r="C14054" s="321"/>
      <c r="D14054" s="325"/>
      <c r="E14054" s="322"/>
      <c r="F14054" s="347"/>
      <c r="G14054" s="1204"/>
      <c r="H14054" s="326"/>
      <c r="I14054" s="11"/>
    </row>
    <row r="14055" spans="1:12" ht="11.15" customHeight="1">
      <c r="A14055" s="331" t="s">
        <v>18450</v>
      </c>
      <c r="B14055" s="324" t="s">
        <v>23082</v>
      </c>
      <c r="C14055" s="321" t="s">
        <v>20221</v>
      </c>
      <c r="D14055" s="1295" t="s">
        <v>10155</v>
      </c>
      <c r="E14055" s="578">
        <v>2017</v>
      </c>
      <c r="F14055" s="578" t="s">
        <v>23394</v>
      </c>
      <c r="G14055" s="1204"/>
      <c r="H14055" s="1296" t="s">
        <v>20277</v>
      </c>
      <c r="I14055" s="11" t="s">
        <v>18451</v>
      </c>
      <c r="J14055" s="1285"/>
      <c r="K14055" s="1285"/>
      <c r="L14055" s="1285"/>
    </row>
    <row r="14056" spans="1:12" ht="11.15" customHeight="1">
      <c r="A14056" s="331" t="s">
        <v>18452</v>
      </c>
      <c r="B14056" s="324" t="s">
        <v>23083</v>
      </c>
      <c r="C14056" s="321" t="s">
        <v>20221</v>
      </c>
      <c r="D14056" s="1295" t="s">
        <v>10155</v>
      </c>
      <c r="E14056" s="578">
        <v>2011</v>
      </c>
      <c r="F14056" s="578" t="s">
        <v>23394</v>
      </c>
      <c r="G14056" s="1204"/>
      <c r="H14056" s="1296" t="s">
        <v>20224</v>
      </c>
      <c r="I14056" s="11" t="s">
        <v>18453</v>
      </c>
      <c r="J14056" s="1285"/>
      <c r="K14056" s="1285"/>
      <c r="L14056" s="1285"/>
    </row>
    <row r="14057" spans="1:12" ht="11.15" customHeight="1">
      <c r="A14057" s="331" t="s">
        <v>18454</v>
      </c>
      <c r="B14057" s="324" t="s">
        <v>23083</v>
      </c>
      <c r="C14057" s="321" t="s">
        <v>20221</v>
      </c>
      <c r="D14057" s="1295" t="s">
        <v>10155</v>
      </c>
      <c r="E14057" s="578">
        <v>2009</v>
      </c>
      <c r="F14057" s="578" t="s">
        <v>23394</v>
      </c>
      <c r="G14057" s="1204"/>
      <c r="H14057" s="1296" t="s">
        <v>20224</v>
      </c>
      <c r="I14057" s="11" t="s">
        <v>18455</v>
      </c>
      <c r="J14057" s="1285"/>
      <c r="K14057" s="1285"/>
      <c r="L14057" s="1285"/>
    </row>
    <row r="14058" spans="1:12" ht="11.15" customHeight="1">
      <c r="A14058" s="331" t="s">
        <v>18456</v>
      </c>
      <c r="B14058" s="324" t="s">
        <v>23083</v>
      </c>
      <c r="C14058" s="321" t="s">
        <v>20221</v>
      </c>
      <c r="D14058" s="1295" t="s">
        <v>10155</v>
      </c>
      <c r="E14058" s="578">
        <v>2007</v>
      </c>
      <c r="F14058" s="578" t="s">
        <v>23394</v>
      </c>
      <c r="G14058" s="1204"/>
      <c r="H14058" s="1296" t="s">
        <v>20277</v>
      </c>
      <c r="I14058" s="11" t="s">
        <v>18457</v>
      </c>
      <c r="J14058" s="1285"/>
      <c r="K14058" s="1285"/>
      <c r="L14058" s="1285"/>
    </row>
    <row r="14059" spans="1:12" ht="11.15" customHeight="1">
      <c r="A14059" s="331" t="s">
        <v>18458</v>
      </c>
      <c r="B14059" s="329"/>
      <c r="C14059" s="321"/>
      <c r="D14059" s="329"/>
      <c r="E14059" s="329"/>
      <c r="F14059" s="329"/>
      <c r="G14059" s="329"/>
      <c r="H14059" s="329"/>
      <c r="I14059" s="11"/>
    </row>
    <row r="14060" spans="1:12" ht="11.15" customHeight="1">
      <c r="A14060" s="331" t="s">
        <v>18459</v>
      </c>
      <c r="B14060" s="580"/>
      <c r="C14060" s="321"/>
      <c r="D14060" s="325"/>
      <c r="E14060" s="322"/>
      <c r="F14060" s="578"/>
      <c r="G14060" s="1205"/>
      <c r="H14060" s="322"/>
      <c r="I14060" s="11"/>
    </row>
    <row r="14061" spans="1:12" ht="11.15" customHeight="1">
      <c r="A14061" s="330" t="s">
        <v>1077</v>
      </c>
      <c r="B14061" s="329"/>
      <c r="C14061" s="321"/>
      <c r="D14061" s="329"/>
      <c r="E14061" s="329"/>
      <c r="F14061" s="329"/>
      <c r="G14061" s="329"/>
      <c r="H14061" s="329"/>
      <c r="I14061" s="11"/>
    </row>
    <row r="14062" spans="1:12" ht="11.15" customHeight="1">
      <c r="A14062" s="331" t="s">
        <v>18460</v>
      </c>
      <c r="B14062" s="580"/>
      <c r="C14062" s="321"/>
      <c r="D14062" s="325"/>
      <c r="E14062" s="322"/>
      <c r="F14062" s="578"/>
      <c r="G14062" s="1205"/>
      <c r="H14062" s="322"/>
      <c r="I14062" s="11"/>
    </row>
    <row r="14063" spans="1:12" ht="11.15" customHeight="1">
      <c r="A14063" s="331" t="s">
        <v>18461</v>
      </c>
      <c r="B14063" s="580"/>
      <c r="C14063" s="321"/>
      <c r="D14063" s="325"/>
      <c r="E14063" s="322"/>
      <c r="F14063" s="578"/>
      <c r="G14063" s="1205"/>
      <c r="H14063" s="322"/>
      <c r="I14063" s="11"/>
    </row>
    <row r="14064" spans="1:12" ht="11.15" customHeight="1">
      <c r="A14064" s="331" t="s">
        <v>18462</v>
      </c>
      <c r="B14064" s="580"/>
      <c r="C14064" s="321"/>
      <c r="D14064" s="325"/>
      <c r="E14064" s="322"/>
      <c r="F14064" s="578"/>
      <c r="G14064" s="1205"/>
      <c r="H14064" s="322"/>
      <c r="I14064" s="11"/>
    </row>
    <row r="14065" spans="1:9" ht="11.15" customHeight="1">
      <c r="A14065" s="331" t="s">
        <v>18463</v>
      </c>
      <c r="B14065" s="580"/>
      <c r="C14065" s="321"/>
      <c r="D14065" s="325"/>
      <c r="E14065" s="322"/>
      <c r="F14065" s="578"/>
      <c r="G14065" s="1205"/>
      <c r="H14065" s="322"/>
      <c r="I14065" s="11"/>
    </row>
    <row r="14066" spans="1:9" ht="11.15" customHeight="1">
      <c r="A14066" s="331" t="s">
        <v>18464</v>
      </c>
      <c r="B14066" s="580"/>
      <c r="C14066" s="321"/>
      <c r="D14066" s="325"/>
      <c r="E14066" s="322"/>
      <c r="F14066" s="578"/>
      <c r="G14066" s="1205"/>
      <c r="H14066" s="322"/>
      <c r="I14066" s="11"/>
    </row>
    <row r="14067" spans="1:9" ht="11.15" customHeight="1">
      <c r="A14067" s="331" t="s">
        <v>18465</v>
      </c>
      <c r="B14067" s="580"/>
      <c r="C14067" s="321"/>
      <c r="D14067" s="325"/>
      <c r="E14067" s="322"/>
      <c r="F14067" s="578"/>
      <c r="G14067" s="1205"/>
      <c r="H14067" s="322"/>
      <c r="I14067" s="11"/>
    </row>
    <row r="14068" spans="1:9" ht="11.15" customHeight="1">
      <c r="A14068" s="331" t="s">
        <v>18466</v>
      </c>
      <c r="B14068" s="580"/>
      <c r="C14068" s="321"/>
      <c r="D14068" s="325"/>
      <c r="E14068" s="322"/>
      <c r="F14068" s="578"/>
      <c r="G14068" s="1205"/>
      <c r="H14068" s="322"/>
      <c r="I14068" s="11"/>
    </row>
    <row r="14069" spans="1:9" ht="11.15" customHeight="1">
      <c r="A14069" s="331" t="s">
        <v>18467</v>
      </c>
      <c r="B14069" s="580"/>
      <c r="C14069" s="321"/>
      <c r="D14069" s="325"/>
      <c r="E14069" s="322"/>
      <c r="F14069" s="578"/>
      <c r="G14069" s="1205"/>
      <c r="H14069" s="322"/>
      <c r="I14069" s="11"/>
    </row>
    <row r="14070" spans="1:9" ht="11.15" customHeight="1">
      <c r="A14070" s="331" t="s">
        <v>18468</v>
      </c>
      <c r="B14070" s="580"/>
      <c r="C14070" s="321"/>
      <c r="D14070" s="325"/>
      <c r="E14070" s="322"/>
      <c r="F14070" s="578"/>
      <c r="G14070" s="1205"/>
      <c r="H14070" s="322"/>
      <c r="I14070" s="11"/>
    </row>
    <row r="14071" spans="1:9" ht="11.15" customHeight="1">
      <c r="A14071" s="331" t="s">
        <v>18469</v>
      </c>
      <c r="B14071" s="580"/>
      <c r="C14071" s="321"/>
      <c r="D14071" s="325"/>
      <c r="E14071" s="322"/>
      <c r="F14071" s="578"/>
      <c r="G14071" s="1205"/>
      <c r="H14071" s="322"/>
      <c r="I14071" s="11"/>
    </row>
    <row r="14072" spans="1:9" ht="11.15" customHeight="1">
      <c r="A14072" s="331" t="s">
        <v>18470</v>
      </c>
      <c r="B14072" s="580"/>
      <c r="C14072" s="321"/>
      <c r="D14072" s="325"/>
      <c r="E14072" s="322"/>
      <c r="F14072" s="578"/>
      <c r="G14072" s="1205"/>
      <c r="H14072" s="322"/>
      <c r="I14072" s="11"/>
    </row>
    <row r="14073" spans="1:9" ht="11.15" customHeight="1">
      <c r="A14073" s="331" t="s">
        <v>18471</v>
      </c>
      <c r="B14073" s="580"/>
      <c r="C14073" s="321"/>
      <c r="D14073" s="325"/>
      <c r="E14073" s="322"/>
      <c r="F14073" s="578"/>
      <c r="G14073" s="1205"/>
      <c r="H14073" s="322"/>
      <c r="I14073" s="11"/>
    </row>
    <row r="14074" spans="1:9" ht="11.15" customHeight="1">
      <c r="A14074" s="331" t="s">
        <v>18472</v>
      </c>
      <c r="B14074" s="580"/>
      <c r="C14074" s="321"/>
      <c r="D14074" s="325"/>
      <c r="E14074" s="322"/>
      <c r="F14074" s="578"/>
      <c r="G14074" s="1205"/>
      <c r="H14074" s="322"/>
      <c r="I14074" s="11"/>
    </row>
    <row r="14075" spans="1:9" ht="11.15" customHeight="1">
      <c r="A14075" s="331" t="s">
        <v>18473</v>
      </c>
      <c r="B14075" s="580"/>
      <c r="C14075" s="321"/>
      <c r="D14075" s="325"/>
      <c r="E14075" s="322"/>
      <c r="F14075" s="578"/>
      <c r="G14075" s="1205"/>
      <c r="H14075" s="322"/>
      <c r="I14075" s="11"/>
    </row>
    <row r="14076" spans="1:9" ht="11.15" customHeight="1">
      <c r="A14076" s="331" t="s">
        <v>18474</v>
      </c>
      <c r="B14076" s="580"/>
      <c r="C14076" s="321"/>
      <c r="D14076" s="325"/>
      <c r="E14076" s="322"/>
      <c r="F14076" s="578"/>
      <c r="G14076" s="1205"/>
      <c r="H14076" s="322"/>
      <c r="I14076" s="11"/>
    </row>
    <row r="14077" spans="1:9" ht="11.15" customHeight="1">
      <c r="A14077" s="331" t="s">
        <v>18475</v>
      </c>
      <c r="B14077" s="580"/>
      <c r="C14077" s="321"/>
      <c r="D14077" s="325"/>
      <c r="E14077" s="322"/>
      <c r="F14077" s="578"/>
      <c r="G14077" s="1205"/>
      <c r="H14077" s="322"/>
      <c r="I14077" s="11"/>
    </row>
    <row r="14078" spans="1:9" ht="11.15" customHeight="1">
      <c r="A14078" s="331" t="s">
        <v>18476</v>
      </c>
      <c r="B14078" s="580"/>
      <c r="C14078" s="321"/>
      <c r="D14078" s="325"/>
      <c r="E14078" s="322"/>
      <c r="F14078" s="578"/>
      <c r="G14078" s="1205"/>
      <c r="H14078" s="322"/>
      <c r="I14078" s="11"/>
    </row>
    <row r="14079" spans="1:9" ht="11.15" customHeight="1">
      <c r="A14079" s="331" t="s">
        <v>18477</v>
      </c>
      <c r="B14079" s="580"/>
      <c r="C14079" s="321"/>
      <c r="D14079" s="325"/>
      <c r="E14079" s="322"/>
      <c r="F14079" s="578"/>
      <c r="G14079" s="1205"/>
      <c r="H14079" s="322"/>
      <c r="I14079" s="11"/>
    </row>
    <row r="14080" spans="1:9" ht="11.15" customHeight="1">
      <c r="A14080" s="658" t="s">
        <v>18478</v>
      </c>
      <c r="B14080" s="580"/>
      <c r="C14080" s="321"/>
      <c r="D14080" s="325"/>
      <c r="E14080" s="322"/>
      <c r="F14080" s="578"/>
      <c r="G14080" s="1205"/>
      <c r="H14080" s="322"/>
      <c r="I14080" s="11"/>
    </row>
    <row r="14081" spans="1:12" ht="11.15" customHeight="1">
      <c r="A14081" s="332" t="s">
        <v>18479</v>
      </c>
      <c r="B14081" s="580"/>
      <c r="C14081" s="321"/>
      <c r="D14081" s="325"/>
      <c r="E14081" s="322"/>
      <c r="F14081" s="578"/>
      <c r="G14081" s="1205"/>
      <c r="H14081" s="322"/>
      <c r="I14081" s="11"/>
    </row>
    <row r="14082" spans="1:12" ht="11.15" customHeight="1">
      <c r="A14082" s="332" t="s">
        <v>18480</v>
      </c>
      <c r="B14082" s="580"/>
      <c r="C14082" s="321"/>
      <c r="D14082" s="325"/>
      <c r="E14082" s="322"/>
      <c r="F14082" s="578"/>
      <c r="G14082" s="1205"/>
      <c r="H14082" s="322"/>
      <c r="I14082" s="11"/>
    </row>
    <row r="14083" spans="1:12" ht="11.15" customHeight="1">
      <c r="A14083" s="346" t="s">
        <v>18481</v>
      </c>
      <c r="B14083" s="865"/>
      <c r="C14083" s="321"/>
      <c r="D14083" s="320"/>
      <c r="E14083" s="322"/>
      <c r="F14083" s="347"/>
      <c r="G14083" s="1262"/>
      <c r="H14083" s="326"/>
      <c r="I14083" s="11"/>
    </row>
    <row r="14084" spans="1:12" ht="11.15" customHeight="1">
      <c r="A14084" s="866" t="s">
        <v>18482</v>
      </c>
      <c r="B14084" s="580"/>
      <c r="C14084" s="321"/>
      <c r="D14084" s="341"/>
      <c r="E14084" s="322"/>
      <c r="F14084" s="578"/>
      <c r="G14084" s="1204"/>
      <c r="H14084" s="322"/>
      <c r="I14084" s="11"/>
    </row>
    <row r="14085" spans="1:12" ht="11.15" customHeight="1">
      <c r="A14085" s="330" t="s">
        <v>18483</v>
      </c>
      <c r="B14085" s="330"/>
      <c r="C14085" s="321"/>
      <c r="D14085" s="330"/>
      <c r="E14085" s="330"/>
      <c r="F14085" s="330"/>
      <c r="G14085" s="330"/>
      <c r="H14085" s="330"/>
      <c r="I14085" s="11"/>
    </row>
    <row r="14086" spans="1:12" ht="11.15" customHeight="1">
      <c r="A14086" s="330" t="s">
        <v>916</v>
      </c>
      <c r="B14086" s="324"/>
      <c r="C14086" s="321"/>
      <c r="D14086" s="325"/>
      <c r="E14086" s="322"/>
      <c r="F14086" s="578"/>
      <c r="G14086" s="1204"/>
      <c r="H14086" s="322"/>
      <c r="I14086" s="11"/>
    </row>
    <row r="14087" spans="1:12" ht="11.15" customHeight="1" thickBot="1">
      <c r="A14087" s="166"/>
      <c r="B14087" s="867"/>
      <c r="C14087" s="147"/>
      <c r="D14087" s="122"/>
      <c r="E14087" s="36"/>
      <c r="F14087" s="183"/>
      <c r="G14087" s="1217"/>
      <c r="H14087" s="34"/>
      <c r="I14087" s="11"/>
    </row>
    <row r="14088" spans="1:12" ht="24" customHeight="1" thickBot="1">
      <c r="A14088" s="861"/>
      <c r="B14088" s="50" t="s">
        <v>18484</v>
      </c>
      <c r="C14088" s="170"/>
      <c r="D14088" s="382"/>
      <c r="E14088" s="382"/>
      <c r="F14088" s="383"/>
      <c r="G14088" s="1094"/>
      <c r="H14088" s="875"/>
      <c r="I14088" s="11"/>
    </row>
    <row r="14089" spans="1:12" ht="11.15" customHeight="1">
      <c r="A14089" s="153" t="s">
        <v>18485</v>
      </c>
      <c r="B14089" s="177" t="s">
        <v>18486</v>
      </c>
      <c r="C14089" s="147"/>
      <c r="D14089" s="122"/>
      <c r="E14089" s="226"/>
      <c r="F14089" s="1093"/>
      <c r="G14089" s="1263"/>
      <c r="H14089" s="868"/>
      <c r="I14089" s="11"/>
    </row>
    <row r="14090" spans="1:12" ht="11.15" customHeight="1" thickBot="1">
      <c r="A14090" s="230" t="s">
        <v>18487</v>
      </c>
      <c r="B14090" s="59" t="s">
        <v>23085</v>
      </c>
      <c r="C14090" s="147" t="s">
        <v>20221</v>
      </c>
      <c r="D14090" s="701" t="s">
        <v>18488</v>
      </c>
      <c r="E14090" s="178" t="s">
        <v>23086</v>
      </c>
      <c r="F14090" s="178" t="s">
        <v>4520</v>
      </c>
      <c r="G14090" s="496"/>
      <c r="H14090" s="994" t="s">
        <v>20221</v>
      </c>
      <c r="I14090" s="11" t="s">
        <v>18489</v>
      </c>
      <c r="J14090" s="1285"/>
      <c r="K14090" s="1285"/>
      <c r="L14090" s="1285"/>
    </row>
    <row r="14091" spans="1:12" ht="11.15" customHeight="1">
      <c r="A14091" s="29" t="s">
        <v>18490</v>
      </c>
      <c r="B14091" s="59" t="s">
        <v>23087</v>
      </c>
      <c r="C14091" s="147" t="s">
        <v>20221</v>
      </c>
      <c r="D14091" s="701" t="s">
        <v>18488</v>
      </c>
      <c r="E14091" s="178" t="s">
        <v>23088</v>
      </c>
      <c r="F14091" s="178" t="s">
        <v>4520</v>
      </c>
      <c r="G14091" s="496"/>
      <c r="H14091" s="994" t="s">
        <v>20221</v>
      </c>
      <c r="I14091" s="11" t="s">
        <v>18491</v>
      </c>
      <c r="J14091" s="1285"/>
      <c r="K14091" s="1285"/>
      <c r="L14091" s="1285"/>
    </row>
    <row r="14092" spans="1:12" ht="11.15" customHeight="1">
      <c r="A14092" s="129" t="s">
        <v>1077</v>
      </c>
      <c r="B14092" s="59" t="s">
        <v>23089</v>
      </c>
      <c r="C14092" s="147" t="s">
        <v>20221</v>
      </c>
      <c r="D14092" s="701" t="s">
        <v>18488</v>
      </c>
      <c r="E14092" s="178" t="s">
        <v>23090</v>
      </c>
      <c r="F14092" s="178" t="s">
        <v>23398</v>
      </c>
      <c r="G14092" s="496"/>
      <c r="H14092" s="994" t="s">
        <v>20221</v>
      </c>
      <c r="I14092" s="11" t="s">
        <v>18492</v>
      </c>
      <c r="J14092" s="1285"/>
      <c r="K14092" s="1285"/>
      <c r="L14092" s="1285"/>
    </row>
    <row r="14093" spans="1:12" ht="11.15" customHeight="1">
      <c r="A14093" s="291" t="s">
        <v>18493</v>
      </c>
      <c r="B14093" s="59" t="s">
        <v>23091</v>
      </c>
      <c r="C14093" s="147" t="s">
        <v>20221</v>
      </c>
      <c r="D14093" s="701" t="s">
        <v>18488</v>
      </c>
      <c r="E14093" s="178" t="s">
        <v>23090</v>
      </c>
      <c r="F14093" s="178" t="s">
        <v>23398</v>
      </c>
      <c r="G14093" s="496"/>
      <c r="H14093" s="994" t="s">
        <v>20221</v>
      </c>
      <c r="I14093" s="11" t="s">
        <v>18494</v>
      </c>
      <c r="J14093" s="1285"/>
      <c r="K14093" s="1285"/>
      <c r="L14093" s="1285"/>
    </row>
    <row r="14094" spans="1:12" ht="11.15" customHeight="1">
      <c r="A14094" s="291" t="s">
        <v>18495</v>
      </c>
      <c r="B14094" s="177" t="s">
        <v>18496</v>
      </c>
      <c r="C14094" s="147"/>
      <c r="D14094" s="159"/>
      <c r="E14094" s="36"/>
      <c r="F14094" s="183"/>
      <c r="G14094" s="496"/>
      <c r="H14094" s="34"/>
      <c r="I14094" s="11"/>
    </row>
    <row r="14095" spans="1:12" ht="11.15" customHeight="1">
      <c r="A14095" s="291" t="s">
        <v>18497</v>
      </c>
      <c r="B14095" s="59" t="s">
        <v>23092</v>
      </c>
      <c r="C14095" s="147" t="s">
        <v>20221</v>
      </c>
      <c r="D14095" s="701" t="s">
        <v>18488</v>
      </c>
      <c r="E14095" s="178" t="s">
        <v>23090</v>
      </c>
      <c r="F14095" s="178" t="s">
        <v>4520</v>
      </c>
      <c r="G14095" s="496"/>
      <c r="H14095" s="994" t="s">
        <v>20277</v>
      </c>
      <c r="I14095" s="11" t="s">
        <v>18498</v>
      </c>
      <c r="J14095" s="1285"/>
      <c r="K14095" s="1285"/>
      <c r="L14095" s="1285"/>
    </row>
    <row r="14096" spans="1:12" ht="11.15" customHeight="1">
      <c r="A14096" s="291" t="s">
        <v>18499</v>
      </c>
      <c r="B14096" s="59" t="s">
        <v>23093</v>
      </c>
      <c r="C14096" s="147" t="s">
        <v>20221</v>
      </c>
      <c r="D14096" s="701" t="s">
        <v>18488</v>
      </c>
      <c r="E14096" s="178" t="s">
        <v>23094</v>
      </c>
      <c r="F14096" s="178" t="s">
        <v>4520</v>
      </c>
      <c r="G14096" s="496"/>
      <c r="H14096" s="994" t="s">
        <v>20224</v>
      </c>
      <c r="I14096" s="11" t="s">
        <v>18500</v>
      </c>
      <c r="J14096" s="1285"/>
      <c r="K14096" s="1285"/>
      <c r="L14096" s="1285"/>
    </row>
    <row r="14097" spans="1:12" ht="11.15" customHeight="1">
      <c r="A14097" s="291" t="s">
        <v>18501</v>
      </c>
      <c r="B14097" s="59" t="s">
        <v>23095</v>
      </c>
      <c r="C14097" s="147" t="s">
        <v>20221</v>
      </c>
      <c r="D14097" s="701" t="s">
        <v>18488</v>
      </c>
      <c r="E14097" s="178" t="s">
        <v>23090</v>
      </c>
      <c r="F14097" s="178" t="s">
        <v>4520</v>
      </c>
      <c r="G14097" s="496"/>
      <c r="H14097" s="994" t="s">
        <v>20221</v>
      </c>
      <c r="I14097" s="11" t="s">
        <v>18502</v>
      </c>
      <c r="J14097" s="1285"/>
      <c r="K14097" s="1285"/>
      <c r="L14097" s="1285"/>
    </row>
    <row r="14098" spans="1:12" ht="11.15" customHeight="1">
      <c r="A14098" s="291" t="s">
        <v>18503</v>
      </c>
      <c r="B14098" s="59" t="s">
        <v>23096</v>
      </c>
      <c r="C14098" s="147" t="s">
        <v>20221</v>
      </c>
      <c r="D14098" s="701" t="s">
        <v>18488</v>
      </c>
      <c r="E14098" s="178" t="s">
        <v>23097</v>
      </c>
      <c r="F14098" s="178" t="s">
        <v>23398</v>
      </c>
      <c r="G14098" s="496"/>
      <c r="H14098" s="994" t="s">
        <v>20221</v>
      </c>
      <c r="I14098" s="11" t="s">
        <v>18504</v>
      </c>
      <c r="J14098" s="1285"/>
      <c r="K14098" s="1285"/>
      <c r="L14098" s="1285"/>
    </row>
    <row r="14099" spans="1:12" ht="11.15" customHeight="1">
      <c r="A14099" s="291" t="s">
        <v>18505</v>
      </c>
      <c r="B14099" s="59" t="s">
        <v>23098</v>
      </c>
      <c r="C14099" s="147" t="s">
        <v>20221</v>
      </c>
      <c r="D14099" s="701" t="s">
        <v>18488</v>
      </c>
      <c r="E14099" s="178" t="s">
        <v>23099</v>
      </c>
      <c r="F14099" s="178" t="s">
        <v>23398</v>
      </c>
      <c r="G14099" s="496"/>
      <c r="H14099" s="994" t="s">
        <v>20221</v>
      </c>
      <c r="I14099" s="11" t="s">
        <v>18506</v>
      </c>
      <c r="J14099" s="1285"/>
      <c r="K14099" s="1285"/>
      <c r="L14099" s="1285"/>
    </row>
    <row r="14100" spans="1:12" ht="11.15" customHeight="1">
      <c r="A14100" s="162" t="s">
        <v>18507</v>
      </c>
      <c r="B14100" s="177" t="s">
        <v>18508</v>
      </c>
      <c r="C14100" s="147"/>
      <c r="D14100" s="159"/>
      <c r="E14100" s="36"/>
      <c r="F14100" s="183"/>
      <c r="G14100" s="496"/>
      <c r="H14100" s="34"/>
      <c r="I14100" s="11"/>
    </row>
    <row r="14101" spans="1:12" ht="11.15" customHeight="1">
      <c r="A14101" s="291" t="s">
        <v>18509</v>
      </c>
      <c r="B14101" s="59" t="s">
        <v>23100</v>
      </c>
      <c r="C14101" s="147" t="s">
        <v>20221</v>
      </c>
      <c r="D14101" s="1035" t="s">
        <v>1280</v>
      </c>
      <c r="E14101" s="178" t="s">
        <v>23101</v>
      </c>
      <c r="F14101" s="178" t="s">
        <v>4520</v>
      </c>
      <c r="G14101" s="496"/>
      <c r="H14101" s="994" t="s">
        <v>20221</v>
      </c>
      <c r="I14101" s="11" t="s">
        <v>18510</v>
      </c>
      <c r="J14101" s="1285"/>
      <c r="K14101" s="1285"/>
      <c r="L14101" s="1285"/>
    </row>
    <row r="14102" spans="1:12" ht="11.15" customHeight="1">
      <c r="A14102" s="168" t="s">
        <v>18511</v>
      </c>
      <c r="B14102" s="59" t="s">
        <v>23102</v>
      </c>
      <c r="C14102" s="147" t="s">
        <v>20221</v>
      </c>
      <c r="D14102" s="1035" t="s">
        <v>1280</v>
      </c>
      <c r="E14102" s="178" t="s">
        <v>23103</v>
      </c>
      <c r="F14102" s="178" t="s">
        <v>23398</v>
      </c>
      <c r="G14102" s="496"/>
      <c r="H14102" s="994" t="s">
        <v>20221</v>
      </c>
      <c r="I14102" s="11" t="s">
        <v>18512</v>
      </c>
      <c r="J14102" s="1285"/>
      <c r="K14102" s="1285"/>
      <c r="L14102" s="1285"/>
    </row>
    <row r="14103" spans="1:12" ht="11.15" customHeight="1">
      <c r="A14103" s="129" t="s">
        <v>18513</v>
      </c>
      <c r="B14103" s="185"/>
      <c r="C14103" s="147"/>
      <c r="D14103" s="185"/>
      <c r="E14103" s="185"/>
      <c r="F14103" s="185"/>
      <c r="G14103" s="185"/>
      <c r="H14103" s="185"/>
      <c r="I14103" s="11"/>
    </row>
    <row r="14104" spans="1:12" ht="11.15" customHeight="1" thickBot="1">
      <c r="A14104" s="185"/>
      <c r="B14104" s="185"/>
      <c r="C14104" s="147"/>
      <c r="D14104" s="185"/>
      <c r="E14104" s="185"/>
      <c r="F14104" s="185"/>
      <c r="G14104" s="185"/>
      <c r="H14104" s="185"/>
      <c r="I14104" s="11"/>
    </row>
    <row r="14105" spans="1:12" ht="11.15" customHeight="1" thickBot="1">
      <c r="A14105" s="184" t="s">
        <v>18514</v>
      </c>
      <c r="B14105" s="177" t="s">
        <v>1408</v>
      </c>
      <c r="C14105" s="147"/>
      <c r="D14105" s="159"/>
      <c r="E14105" s="36"/>
      <c r="F14105" s="183"/>
      <c r="G14105" s="496"/>
      <c r="H14105" s="34"/>
      <c r="I14105" s="11"/>
    </row>
    <row r="14106" spans="1:12" ht="11.15" customHeight="1">
      <c r="A14106" s="29" t="s">
        <v>18515</v>
      </c>
      <c r="B14106" s="59" t="s">
        <v>23104</v>
      </c>
      <c r="C14106" s="147" t="s">
        <v>20221</v>
      </c>
      <c r="D14106" s="1035" t="s">
        <v>1280</v>
      </c>
      <c r="E14106" s="178" t="s">
        <v>23105</v>
      </c>
      <c r="F14106" s="178" t="s">
        <v>4520</v>
      </c>
      <c r="G14106" s="496"/>
      <c r="H14106" s="994" t="s">
        <v>20224</v>
      </c>
      <c r="I14106" s="11" t="s">
        <v>18516</v>
      </c>
      <c r="J14106" s="1285"/>
      <c r="K14106" s="1285"/>
      <c r="L14106" s="1285"/>
    </row>
    <row r="14107" spans="1:12" ht="11.15" customHeight="1">
      <c r="A14107" s="29" t="s">
        <v>18517</v>
      </c>
      <c r="B14107" s="177" t="s">
        <v>18496</v>
      </c>
      <c r="C14107" s="147"/>
      <c r="D14107" s="159"/>
      <c r="E14107" s="36"/>
      <c r="F14107" s="183"/>
      <c r="G14107" s="496"/>
      <c r="H14107" s="34"/>
      <c r="I14107" s="11"/>
    </row>
    <row r="14108" spans="1:12" ht="11.15" customHeight="1">
      <c r="A14108" s="29" t="s">
        <v>18518</v>
      </c>
      <c r="B14108" s="59" t="s">
        <v>23106</v>
      </c>
      <c r="C14108" s="147" t="s">
        <v>20221</v>
      </c>
      <c r="D14108" s="701" t="s">
        <v>18488</v>
      </c>
      <c r="E14108" s="178" t="s">
        <v>23107</v>
      </c>
      <c r="F14108" s="178" t="s">
        <v>4520</v>
      </c>
      <c r="G14108" s="496"/>
      <c r="H14108" s="994" t="s">
        <v>20221</v>
      </c>
      <c r="I14108" s="11" t="s">
        <v>18519</v>
      </c>
      <c r="J14108" s="1285"/>
      <c r="K14108" s="1285"/>
      <c r="L14108" s="1285"/>
    </row>
    <row r="14109" spans="1:12" ht="11.15" customHeight="1">
      <c r="A14109" s="29" t="s">
        <v>16848</v>
      </c>
      <c r="B14109" s="59" t="s">
        <v>23108</v>
      </c>
      <c r="C14109" s="147" t="s">
        <v>20221</v>
      </c>
      <c r="D14109" s="701" t="s">
        <v>18488</v>
      </c>
      <c r="E14109" s="178" t="s">
        <v>19307</v>
      </c>
      <c r="F14109" s="178" t="s">
        <v>4520</v>
      </c>
      <c r="G14109" s="496"/>
      <c r="H14109" s="994" t="s">
        <v>20277</v>
      </c>
      <c r="I14109" s="11" t="s">
        <v>18520</v>
      </c>
      <c r="J14109" s="1285"/>
      <c r="K14109" s="1285"/>
      <c r="L14109" s="1285"/>
    </row>
    <row r="14110" spans="1:12" ht="11.15" customHeight="1">
      <c r="A14110" s="212" t="s">
        <v>18521</v>
      </c>
      <c r="B14110" s="59" t="s">
        <v>23109</v>
      </c>
      <c r="C14110" s="147" t="s">
        <v>20221</v>
      </c>
      <c r="D14110" s="701" t="s">
        <v>18488</v>
      </c>
      <c r="E14110" s="178" t="s">
        <v>19307</v>
      </c>
      <c r="F14110" s="178" t="s">
        <v>9678</v>
      </c>
      <c r="G14110" s="496"/>
      <c r="H14110" s="994" t="s">
        <v>20224</v>
      </c>
      <c r="I14110" s="11" t="s">
        <v>18522</v>
      </c>
      <c r="J14110" s="1285"/>
      <c r="K14110" s="1285"/>
      <c r="L14110" s="1285"/>
    </row>
    <row r="14111" spans="1:12" ht="11.15" customHeight="1">
      <c r="A14111" s="129" t="s">
        <v>18523</v>
      </c>
      <c r="B14111" s="177" t="s">
        <v>18524</v>
      </c>
      <c r="C14111" s="147"/>
      <c r="D14111" s="129"/>
      <c r="E14111" s="185"/>
      <c r="F14111" s="185"/>
      <c r="G14111" s="185"/>
      <c r="H14111" s="185"/>
      <c r="I14111" s="11"/>
    </row>
    <row r="14112" spans="1:12" ht="11.15" customHeight="1">
      <c r="A14112" s="29"/>
      <c r="B14112" s="59" t="s">
        <v>23110</v>
      </c>
      <c r="C14112" s="147" t="s">
        <v>20221</v>
      </c>
      <c r="D14112" s="183" t="s">
        <v>6904</v>
      </c>
      <c r="E14112" s="178" t="s">
        <v>23111</v>
      </c>
      <c r="F14112" s="178" t="s">
        <v>23406</v>
      </c>
      <c r="G14112" s="496"/>
      <c r="H14112" s="994" t="s">
        <v>20224</v>
      </c>
      <c r="I14112" s="11" t="s">
        <v>18525</v>
      </c>
      <c r="J14112" s="1285"/>
      <c r="K14112" s="1285"/>
      <c r="L14112" s="1285"/>
    </row>
    <row r="14113" spans="1:12" ht="11.15" customHeight="1">
      <c r="A14113" s="185"/>
      <c r="B14113" s="185"/>
      <c r="C14113" s="147"/>
      <c r="D14113" s="129"/>
      <c r="E14113" s="185"/>
      <c r="F14113" s="185"/>
      <c r="G14113" s="185"/>
      <c r="H14113" s="185"/>
      <c r="I14113" s="11"/>
    </row>
    <row r="14114" spans="1:12" ht="11.15" customHeight="1" thickBot="1">
      <c r="A14114" s="329"/>
      <c r="B14114" s="547" t="s">
        <v>18526</v>
      </c>
      <c r="C14114" s="321"/>
      <c r="D14114" s="320"/>
      <c r="E14114" s="322"/>
      <c r="F14114" s="578"/>
      <c r="G14114" s="1262"/>
      <c r="H14114" s="322"/>
      <c r="I14114" s="11"/>
    </row>
    <row r="14115" spans="1:12" ht="11.15" customHeight="1" thickBot="1">
      <c r="A14115" s="343" t="s">
        <v>18527</v>
      </c>
      <c r="B14115" s="339" t="s">
        <v>18496</v>
      </c>
      <c r="C14115" s="321"/>
      <c r="D14115" s="329"/>
      <c r="E14115" s="329"/>
      <c r="F14115" s="329"/>
      <c r="G14115" s="329"/>
      <c r="H14115" s="329"/>
      <c r="I14115" s="11"/>
    </row>
    <row r="14116" spans="1:12" ht="11.15" customHeight="1">
      <c r="A14116" s="319" t="s">
        <v>18528</v>
      </c>
      <c r="B14116" s="324" t="s">
        <v>23113</v>
      </c>
      <c r="C14116" s="321" t="s">
        <v>20221</v>
      </c>
      <c r="D14116" s="1297" t="s">
        <v>18488</v>
      </c>
      <c r="E14116" s="578" t="s">
        <v>20221</v>
      </c>
      <c r="F14116" s="578" t="s">
        <v>4520</v>
      </c>
      <c r="G14116" s="1204" t="s">
        <v>20221</v>
      </c>
      <c r="H14116" s="1296" t="s">
        <v>3907</v>
      </c>
      <c r="I14116" s="11" t="s">
        <v>18529</v>
      </c>
      <c r="J14116" s="1285"/>
      <c r="K14116" s="1285"/>
      <c r="L14116" s="1285"/>
    </row>
    <row r="14117" spans="1:12" ht="11.15" customHeight="1">
      <c r="A14117" s="330" t="s">
        <v>1077</v>
      </c>
      <c r="B14117" s="324" t="s">
        <v>23114</v>
      </c>
      <c r="C14117" s="321" t="s">
        <v>20221</v>
      </c>
      <c r="D14117" s="1297" t="s">
        <v>18488</v>
      </c>
      <c r="E14117" s="578" t="s">
        <v>23115</v>
      </c>
      <c r="F14117" s="578" t="s">
        <v>23398</v>
      </c>
      <c r="G14117" s="1204"/>
      <c r="H14117" s="1296" t="s">
        <v>20277</v>
      </c>
      <c r="I14117" s="11" t="s">
        <v>18530</v>
      </c>
      <c r="J14117" s="1285"/>
      <c r="K14117" s="1285"/>
      <c r="L14117" s="1285"/>
    </row>
    <row r="14118" spans="1:12" ht="11.15" customHeight="1">
      <c r="A14118" s="331" t="s">
        <v>18531</v>
      </c>
      <c r="B14118" s="324" t="s">
        <v>23116</v>
      </c>
      <c r="C14118" s="321" t="s">
        <v>20221</v>
      </c>
      <c r="D14118" s="1297" t="s">
        <v>18488</v>
      </c>
      <c r="E14118" s="578" t="s">
        <v>23117</v>
      </c>
      <c r="F14118" s="578" t="s">
        <v>23398</v>
      </c>
      <c r="G14118" s="1204"/>
      <c r="H14118" s="1296" t="s">
        <v>20224</v>
      </c>
      <c r="I14118" s="11" t="s">
        <v>18532</v>
      </c>
      <c r="J14118" s="1285"/>
      <c r="K14118" s="1285"/>
      <c r="L14118" s="1285"/>
    </row>
    <row r="14119" spans="1:12" ht="11.15" customHeight="1">
      <c r="A14119" s="331" t="s">
        <v>18533</v>
      </c>
      <c r="B14119" s="339"/>
      <c r="C14119" s="321"/>
      <c r="D14119" s="329"/>
      <c r="E14119" s="329"/>
      <c r="F14119" s="329"/>
      <c r="G14119" s="329"/>
      <c r="H14119" s="329"/>
      <c r="I14119" s="11"/>
    </row>
    <row r="14120" spans="1:12" ht="11.15" customHeight="1">
      <c r="A14120" s="331" t="s">
        <v>18534</v>
      </c>
      <c r="B14120" s="324"/>
      <c r="C14120" s="321"/>
      <c r="D14120" s="320"/>
      <c r="E14120" s="322"/>
      <c r="F14120" s="347"/>
      <c r="G14120" s="1204"/>
      <c r="H14120" s="326"/>
      <c r="I14120" s="11"/>
    </row>
    <row r="14121" spans="1:12" ht="11.15" customHeight="1">
      <c r="A14121" s="346" t="s">
        <v>18535</v>
      </c>
      <c r="B14121" s="329"/>
      <c r="C14121" s="321"/>
      <c r="D14121" s="330"/>
      <c r="E14121" s="329"/>
      <c r="F14121" s="329"/>
      <c r="G14121" s="329"/>
      <c r="H14121" s="329"/>
      <c r="I14121" s="11"/>
    </row>
    <row r="14122" spans="1:12" ht="11.15" customHeight="1" thickBot="1">
      <c r="A14122" s="330" t="s">
        <v>18536</v>
      </c>
      <c r="B14122" s="547"/>
      <c r="C14122" s="321"/>
      <c r="D14122" s="320"/>
      <c r="E14122" s="322"/>
      <c r="F14122" s="578"/>
      <c r="G14122" s="1234"/>
      <c r="H14122" s="322"/>
      <c r="I14122" s="11"/>
    </row>
    <row r="14123" spans="1:12" ht="24" customHeight="1" thickBot="1">
      <c r="A14123" s="542"/>
      <c r="B14123" s="50" t="s">
        <v>18537</v>
      </c>
      <c r="C14123" s="170"/>
      <c r="D14123" s="382"/>
      <c r="E14123" s="510"/>
      <c r="F14123" s="1080"/>
      <c r="G14123" s="1094"/>
      <c r="H14123" s="875"/>
      <c r="I14123" s="11"/>
    </row>
    <row r="14124" spans="1:12" ht="11.15" customHeight="1" thickBot="1">
      <c r="A14124" s="329"/>
      <c r="B14124" s="320" t="s">
        <v>18538</v>
      </c>
      <c r="C14124" s="321"/>
      <c r="D14124" s="320"/>
      <c r="E14124" s="322"/>
      <c r="F14124" s="578"/>
      <c r="G14124" s="1262"/>
      <c r="H14124" s="322"/>
      <c r="I14124" s="11"/>
    </row>
    <row r="14125" spans="1:12" ht="11.15" customHeight="1" thickBot="1">
      <c r="A14125" s="343" t="s">
        <v>18539</v>
      </c>
      <c r="B14125" s="344" t="s">
        <v>18540</v>
      </c>
      <c r="C14125" s="321"/>
      <c r="D14125" s="320"/>
      <c r="E14125" s="322"/>
      <c r="F14125" s="578"/>
      <c r="G14125" s="1264"/>
      <c r="H14125" s="322"/>
      <c r="I14125" s="11"/>
    </row>
    <row r="14126" spans="1:12" ht="11.15" customHeight="1">
      <c r="A14126" s="319" t="s">
        <v>18541</v>
      </c>
      <c r="B14126" s="1347" t="s">
        <v>23118</v>
      </c>
      <c r="C14126" s="321" t="s">
        <v>20221</v>
      </c>
      <c r="D14126" s="347" t="s">
        <v>6904</v>
      </c>
      <c r="E14126" s="578" t="s">
        <v>23119</v>
      </c>
      <c r="F14126" s="578" t="s">
        <v>23406</v>
      </c>
      <c r="G14126" s="1204"/>
      <c r="H14126" s="1296" t="s">
        <v>20277</v>
      </c>
      <c r="I14126" s="11" t="s">
        <v>18542</v>
      </c>
      <c r="J14126" s="1285"/>
      <c r="K14126" s="1285"/>
      <c r="L14126" s="1285"/>
    </row>
    <row r="14127" spans="1:12" ht="11.15" customHeight="1">
      <c r="A14127" s="319" t="s">
        <v>18543</v>
      </c>
      <c r="B14127" s="748" t="s">
        <v>18544</v>
      </c>
      <c r="C14127" s="321"/>
      <c r="D14127" s="320"/>
      <c r="E14127" s="322"/>
      <c r="F14127" s="578"/>
      <c r="G14127" s="1235"/>
      <c r="H14127" s="322"/>
      <c r="I14127" s="11"/>
    </row>
    <row r="14128" spans="1:12" ht="11.15" customHeight="1">
      <c r="A14128" s="346" t="s">
        <v>18545</v>
      </c>
      <c r="B14128" s="344" t="s">
        <v>18546</v>
      </c>
      <c r="C14128" s="321"/>
      <c r="D14128" s="320"/>
      <c r="E14128" s="322"/>
      <c r="F14128" s="578"/>
      <c r="G14128" s="1235"/>
      <c r="H14128" s="322"/>
      <c r="I14128" s="11"/>
    </row>
    <row r="14129" spans="1:12" ht="11.15" customHeight="1">
      <c r="A14129" s="319"/>
      <c r="B14129" s="580" t="s">
        <v>23121</v>
      </c>
      <c r="C14129" s="321" t="s">
        <v>20221</v>
      </c>
      <c r="D14129" s="347" t="s">
        <v>6904</v>
      </c>
      <c r="E14129" s="578" t="s">
        <v>23122</v>
      </c>
      <c r="F14129" s="578" t="s">
        <v>23406</v>
      </c>
      <c r="G14129" s="1204"/>
      <c r="H14129" s="1296" t="s">
        <v>20277</v>
      </c>
      <c r="I14129" s="11" t="s">
        <v>18547</v>
      </c>
      <c r="J14129" s="1285"/>
      <c r="K14129" s="1285"/>
      <c r="L14129" s="1285"/>
    </row>
    <row r="14130" spans="1:12" ht="11.15" customHeight="1">
      <c r="A14130" s="346"/>
      <c r="B14130" s="694" t="s">
        <v>18548</v>
      </c>
      <c r="C14130" s="321"/>
      <c r="D14130" s="320"/>
      <c r="E14130" s="322"/>
      <c r="F14130" s="578"/>
      <c r="G14130" s="1235"/>
      <c r="H14130" s="322"/>
      <c r="I14130" s="11"/>
    </row>
    <row r="14131" spans="1:12" ht="11.15" customHeight="1">
      <c r="A14131" s="346"/>
      <c r="B14131" s="324" t="s">
        <v>23123</v>
      </c>
      <c r="C14131" s="321" t="s">
        <v>20221</v>
      </c>
      <c r="D14131" s="347" t="s">
        <v>6904</v>
      </c>
      <c r="E14131" s="578" t="s">
        <v>23124</v>
      </c>
      <c r="F14131" s="578" t="s">
        <v>23406</v>
      </c>
      <c r="G14131" s="1204"/>
      <c r="H14131" s="1296" t="s">
        <v>20221</v>
      </c>
      <c r="I14131" s="11" t="s">
        <v>18549</v>
      </c>
      <c r="J14131" s="1285"/>
      <c r="K14131" s="1285"/>
      <c r="L14131" s="1285"/>
    </row>
    <row r="14132" spans="1:12" ht="11.15" customHeight="1">
      <c r="A14132" s="346"/>
      <c r="B14132" s="694" t="s">
        <v>18550</v>
      </c>
      <c r="C14132" s="321"/>
      <c r="D14132" s="320"/>
      <c r="E14132" s="322"/>
      <c r="F14132" s="578"/>
      <c r="G14132" s="1235"/>
      <c r="H14132" s="322"/>
      <c r="I14132" s="11"/>
    </row>
    <row r="14133" spans="1:12" ht="11.15" customHeight="1">
      <c r="A14133" s="346"/>
      <c r="B14133" s="869" t="s">
        <v>18551</v>
      </c>
      <c r="C14133" s="321"/>
      <c r="D14133" s="320"/>
      <c r="E14133" s="322"/>
      <c r="F14133" s="578"/>
      <c r="G14133" s="1235"/>
      <c r="H14133" s="322"/>
      <c r="I14133" s="11"/>
    </row>
    <row r="14134" spans="1:12" ht="11.15" customHeight="1">
      <c r="A14134" s="346"/>
      <c r="B14134" s="324" t="s">
        <v>23125</v>
      </c>
      <c r="C14134" s="321" t="s">
        <v>20221</v>
      </c>
      <c r="D14134" s="347" t="s">
        <v>6904</v>
      </c>
      <c r="E14134" s="578" t="s">
        <v>19031</v>
      </c>
      <c r="F14134" s="578" t="s">
        <v>23406</v>
      </c>
      <c r="G14134" s="1204"/>
      <c r="H14134" s="1296" t="s">
        <v>20221</v>
      </c>
      <c r="I14134" s="11" t="s">
        <v>18552</v>
      </c>
      <c r="J14134" s="1285"/>
      <c r="K14134" s="1285"/>
      <c r="L14134" s="1285"/>
    </row>
    <row r="14135" spans="1:12" ht="11.15" customHeight="1">
      <c r="A14135" s="346"/>
      <c r="B14135" s="694" t="s">
        <v>18553</v>
      </c>
      <c r="C14135" s="321"/>
      <c r="D14135" s="320"/>
      <c r="E14135" s="322"/>
      <c r="F14135" s="578"/>
      <c r="G14135" s="1235"/>
      <c r="H14135" s="322"/>
      <c r="I14135" s="11"/>
    </row>
    <row r="14136" spans="1:12" ht="11.15" customHeight="1">
      <c r="A14136" s="212"/>
      <c r="B14136" s="150"/>
      <c r="C14136" s="147"/>
      <c r="D14136" s="122"/>
      <c r="E14136" s="36"/>
      <c r="F14136" s="178"/>
      <c r="G14136" s="671"/>
      <c r="H14136" s="36"/>
      <c r="I14136" s="11"/>
    </row>
    <row r="14137" spans="1:12" ht="9" customHeight="1">
      <c r="A14137" s="212"/>
      <c r="B14137" s="152" t="s">
        <v>18554</v>
      </c>
      <c r="C14137" s="147"/>
      <c r="D14137" s="122"/>
      <c r="E14137" s="36"/>
      <c r="F14137" s="178"/>
      <c r="G14137" s="671"/>
      <c r="H14137" s="36"/>
      <c r="I14137" s="11"/>
    </row>
    <row r="14138" spans="1:12" ht="9" customHeight="1" thickBot="1">
      <c r="A14138" s="212"/>
      <c r="B14138" s="152" t="s">
        <v>18555</v>
      </c>
      <c r="C14138" s="147"/>
      <c r="D14138" s="122"/>
      <c r="E14138" s="36"/>
      <c r="F14138" s="178"/>
      <c r="G14138" s="671"/>
      <c r="H14138" s="36"/>
      <c r="I14138" s="11"/>
    </row>
    <row r="14139" spans="1:12" ht="11.15" customHeight="1" thickBot="1">
      <c r="A14139" s="184" t="s">
        <v>18556</v>
      </c>
      <c r="B14139" s="177" t="s">
        <v>18557</v>
      </c>
      <c r="C14139" s="147"/>
      <c r="D14139" s="122"/>
      <c r="E14139" s="36"/>
      <c r="F14139" s="178"/>
      <c r="G14139" s="1181"/>
      <c r="H14139" s="36"/>
      <c r="I14139" s="11"/>
    </row>
    <row r="14140" spans="1:12" ht="11.15" customHeight="1">
      <c r="A14140" s="29" t="s">
        <v>18558</v>
      </c>
      <c r="B14140" s="59" t="s">
        <v>23126</v>
      </c>
      <c r="C14140" s="147" t="s">
        <v>20221</v>
      </c>
      <c r="D14140" s="183" t="s">
        <v>6904</v>
      </c>
      <c r="E14140" s="178" t="s">
        <v>23127</v>
      </c>
      <c r="F14140" s="178" t="s">
        <v>23431</v>
      </c>
      <c r="G14140" s="496"/>
      <c r="H14140" s="994" t="s">
        <v>20224</v>
      </c>
      <c r="I14140" s="11" t="s">
        <v>18559</v>
      </c>
      <c r="J14140" s="1285"/>
      <c r="K14140" s="1285"/>
      <c r="L14140" s="1285"/>
    </row>
    <row r="14141" spans="1:12" ht="11.15" customHeight="1">
      <c r="A14141" s="29" t="s">
        <v>18560</v>
      </c>
      <c r="B14141" s="59" t="s">
        <v>23128</v>
      </c>
      <c r="C14141" s="147" t="s">
        <v>20221</v>
      </c>
      <c r="D14141" s="183" t="s">
        <v>6904</v>
      </c>
      <c r="E14141" s="178" t="s">
        <v>23127</v>
      </c>
      <c r="F14141" s="178" t="s">
        <v>23431</v>
      </c>
      <c r="G14141" s="496"/>
      <c r="H14141" s="994" t="s">
        <v>20224</v>
      </c>
      <c r="I14141" s="11" t="s">
        <v>18561</v>
      </c>
      <c r="J14141" s="1285"/>
      <c r="K14141" s="1285"/>
      <c r="L14141" s="1285"/>
    </row>
    <row r="14142" spans="1:12" ht="11.15" customHeight="1">
      <c r="A14142" s="29" t="s">
        <v>18562</v>
      </c>
      <c r="B14142" s="59" t="s">
        <v>23129</v>
      </c>
      <c r="C14142" s="147" t="s">
        <v>20221</v>
      </c>
      <c r="D14142" s="183" t="s">
        <v>6904</v>
      </c>
      <c r="E14142" s="178" t="s">
        <v>22357</v>
      </c>
      <c r="F14142" s="178" t="s">
        <v>23431</v>
      </c>
      <c r="G14142" s="496"/>
      <c r="H14142" s="994" t="s">
        <v>20224</v>
      </c>
      <c r="I14142" s="11" t="s">
        <v>18563</v>
      </c>
      <c r="J14142" s="1285"/>
      <c r="K14142" s="1285"/>
      <c r="L14142" s="1285"/>
    </row>
    <row r="14143" spans="1:12" ht="11.15" customHeight="1">
      <c r="A14143" s="29" t="s">
        <v>18564</v>
      </c>
      <c r="B14143" s="177" t="s">
        <v>18565</v>
      </c>
      <c r="C14143" s="147"/>
      <c r="D14143" s="122"/>
      <c r="E14143" s="36"/>
      <c r="F14143" s="178"/>
      <c r="G14143" s="671"/>
      <c r="H14143" s="36"/>
      <c r="I14143" s="11"/>
    </row>
    <row r="14144" spans="1:12" ht="11.15" customHeight="1">
      <c r="A14144" s="29" t="s">
        <v>18566</v>
      </c>
      <c r="B14144" s="59" t="s">
        <v>23130</v>
      </c>
      <c r="C14144" s="147" t="s">
        <v>20221</v>
      </c>
      <c r="D14144" s="183" t="s">
        <v>6904</v>
      </c>
      <c r="E14144" s="178" t="s">
        <v>20221</v>
      </c>
      <c r="F14144" s="178" t="s">
        <v>23431</v>
      </c>
      <c r="G14144" s="496"/>
      <c r="H14144" s="994" t="s">
        <v>20224</v>
      </c>
      <c r="I14144" s="11" t="s">
        <v>18567</v>
      </c>
      <c r="J14144" s="1285"/>
      <c r="K14144" s="1285"/>
      <c r="L14144" s="1285"/>
    </row>
    <row r="14145" spans="1:9" ht="11.15" customHeight="1">
      <c r="A14145" s="29" t="s">
        <v>18568</v>
      </c>
      <c r="B14145" s="477" t="s">
        <v>18569</v>
      </c>
      <c r="C14145" s="147"/>
      <c r="D14145" s="185"/>
      <c r="E14145" s="185"/>
      <c r="F14145" s="185"/>
      <c r="G14145" s="185"/>
      <c r="H14145" s="185"/>
      <c r="I14145" s="11"/>
    </row>
    <row r="14146" spans="1:9" ht="11.15" customHeight="1">
      <c r="A14146" s="29" t="s">
        <v>18570</v>
      </c>
      <c r="B14146" s="185"/>
      <c r="C14146" s="147"/>
      <c r="D14146" s="185"/>
      <c r="E14146" s="185"/>
      <c r="F14146" s="185"/>
      <c r="G14146" s="185"/>
      <c r="H14146" s="185"/>
      <c r="I14146" s="11"/>
    </row>
    <row r="14147" spans="1:9" ht="11.15" customHeight="1">
      <c r="A14147" s="29" t="s">
        <v>18571</v>
      </c>
      <c r="B14147" s="185"/>
      <c r="C14147" s="147"/>
      <c r="D14147" s="185"/>
      <c r="E14147" s="185"/>
      <c r="F14147" s="185"/>
      <c r="G14147" s="185"/>
      <c r="H14147" s="185"/>
      <c r="I14147" s="11"/>
    </row>
    <row r="14148" spans="1:9" ht="11.15" customHeight="1">
      <c r="A14148" s="29" t="s">
        <v>18572</v>
      </c>
      <c r="B14148" s="185"/>
      <c r="C14148" s="147"/>
      <c r="D14148" s="185"/>
      <c r="E14148" s="185"/>
      <c r="F14148" s="185"/>
      <c r="G14148" s="185"/>
      <c r="H14148" s="185"/>
      <c r="I14148" s="11"/>
    </row>
    <row r="14149" spans="1:9" ht="11.15" customHeight="1">
      <c r="A14149" s="129" t="s">
        <v>18573</v>
      </c>
      <c r="B14149" s="185"/>
      <c r="C14149" s="147"/>
      <c r="D14149" s="185"/>
      <c r="E14149" s="185"/>
      <c r="F14149" s="185"/>
      <c r="G14149" s="185"/>
      <c r="H14149" s="185"/>
      <c r="I14149" s="11"/>
    </row>
    <row r="14150" spans="1:9" ht="11.15" customHeight="1">
      <c r="A14150" s="195" t="s">
        <v>18574</v>
      </c>
      <c r="B14150" s="185"/>
      <c r="C14150" s="147"/>
      <c r="D14150" s="185"/>
      <c r="E14150" s="185"/>
      <c r="F14150" s="185"/>
      <c r="G14150" s="185"/>
      <c r="H14150" s="185"/>
      <c r="I14150" s="11"/>
    </row>
    <row r="14151" spans="1:9" ht="11.15" customHeight="1">
      <c r="A14151" s="29" t="s">
        <v>18575</v>
      </c>
      <c r="B14151" s="185"/>
      <c r="C14151" s="147"/>
      <c r="D14151" s="185"/>
      <c r="E14151" s="185"/>
      <c r="F14151" s="185"/>
      <c r="G14151" s="185"/>
      <c r="H14151" s="185"/>
      <c r="I14151" s="11"/>
    </row>
    <row r="14152" spans="1:9" ht="11.15" customHeight="1">
      <c r="A14152" s="29" t="s">
        <v>18576</v>
      </c>
      <c r="B14152" s="185"/>
      <c r="C14152" s="147"/>
      <c r="D14152" s="185"/>
      <c r="E14152" s="185"/>
      <c r="F14152" s="185"/>
      <c r="G14152" s="185"/>
      <c r="H14152" s="185"/>
      <c r="I14152" s="11"/>
    </row>
    <row r="14153" spans="1:9" ht="11.15" customHeight="1">
      <c r="A14153" s="29" t="s">
        <v>18577</v>
      </c>
      <c r="B14153" s="185"/>
      <c r="C14153" s="147"/>
      <c r="D14153" s="185"/>
      <c r="E14153" s="185"/>
      <c r="F14153" s="185"/>
      <c r="G14153" s="185"/>
      <c r="H14153" s="185"/>
      <c r="I14153" s="11"/>
    </row>
    <row r="14154" spans="1:9" ht="11.15" customHeight="1">
      <c r="A14154" s="29" t="s">
        <v>18578</v>
      </c>
      <c r="B14154" s="185"/>
      <c r="C14154" s="147"/>
      <c r="D14154" s="185"/>
      <c r="E14154" s="185"/>
      <c r="F14154" s="185"/>
      <c r="G14154" s="185"/>
      <c r="H14154" s="185"/>
      <c r="I14154" s="11"/>
    </row>
    <row r="14155" spans="1:9" ht="11.15" customHeight="1">
      <c r="A14155" s="29" t="s">
        <v>18579</v>
      </c>
      <c r="B14155" s="185"/>
      <c r="C14155" s="147"/>
      <c r="D14155" s="185"/>
      <c r="E14155" s="185"/>
      <c r="F14155" s="185"/>
      <c r="G14155" s="185"/>
      <c r="H14155" s="185"/>
      <c r="I14155" s="11"/>
    </row>
    <row r="14156" spans="1:9" ht="11.15" customHeight="1">
      <c r="A14156" s="29" t="s">
        <v>18580</v>
      </c>
      <c r="B14156" s="185"/>
      <c r="C14156" s="147"/>
      <c r="D14156" s="185"/>
      <c r="E14156" s="185"/>
      <c r="F14156" s="185"/>
      <c r="G14156" s="185"/>
      <c r="H14156" s="185"/>
      <c r="I14156" s="11"/>
    </row>
    <row r="14157" spans="1:9" ht="11.15" customHeight="1">
      <c r="A14157" s="195" t="s">
        <v>18581</v>
      </c>
      <c r="B14157" s="185"/>
      <c r="C14157" s="147"/>
      <c r="D14157" s="185"/>
      <c r="E14157" s="185"/>
      <c r="F14157" s="185"/>
      <c r="G14157" s="185"/>
      <c r="H14157" s="185"/>
      <c r="I14157" s="11"/>
    </row>
    <row r="14158" spans="1:9" ht="9" customHeight="1">
      <c r="A14158" s="514" t="s">
        <v>18582</v>
      </c>
      <c r="B14158" s="162"/>
      <c r="C14158" s="147"/>
      <c r="D14158" s="162"/>
      <c r="E14158" s="162"/>
      <c r="F14158" s="162"/>
      <c r="G14158" s="162"/>
      <c r="H14158" s="162"/>
      <c r="I14158" s="11"/>
    </row>
    <row r="14159" spans="1:9" ht="9" customHeight="1">
      <c r="A14159" s="514" t="s">
        <v>18583</v>
      </c>
      <c r="B14159" s="162"/>
      <c r="C14159" s="147"/>
      <c r="D14159" s="162"/>
      <c r="E14159" s="162"/>
      <c r="F14159" s="162"/>
      <c r="G14159" s="162"/>
      <c r="H14159" s="162"/>
      <c r="I14159" s="11"/>
    </row>
    <row r="14160" spans="1:9" ht="9" customHeight="1">
      <c r="A14160" s="514" t="s">
        <v>18584</v>
      </c>
      <c r="B14160" s="162"/>
      <c r="C14160" s="147"/>
      <c r="D14160" s="162"/>
      <c r="E14160" s="162"/>
      <c r="F14160" s="162"/>
      <c r="G14160" s="162"/>
      <c r="H14160" s="162"/>
      <c r="I14160" s="11"/>
    </row>
    <row r="14161" spans="1:12" ht="9" customHeight="1">
      <c r="A14161" s="514" t="s">
        <v>18585</v>
      </c>
      <c r="B14161" s="162"/>
      <c r="C14161" s="147"/>
      <c r="D14161" s="162"/>
      <c r="E14161" s="162"/>
      <c r="F14161" s="162"/>
      <c r="G14161" s="162"/>
      <c r="H14161" s="162"/>
      <c r="I14161" s="11"/>
    </row>
    <row r="14162" spans="1:12" ht="9" customHeight="1">
      <c r="A14162" s="514" t="s">
        <v>18586</v>
      </c>
      <c r="B14162" s="162"/>
      <c r="C14162" s="147"/>
      <c r="D14162" s="162"/>
      <c r="E14162" s="162"/>
      <c r="F14162" s="162"/>
      <c r="G14162" s="162"/>
      <c r="H14162" s="162"/>
      <c r="I14162" s="11"/>
    </row>
    <row r="14163" spans="1:12" ht="9" customHeight="1">
      <c r="A14163" s="162" t="s">
        <v>18587</v>
      </c>
      <c r="B14163" s="162"/>
      <c r="C14163" s="147"/>
      <c r="D14163" s="162"/>
      <c r="E14163" s="162"/>
      <c r="F14163" s="162"/>
      <c r="G14163" s="162"/>
      <c r="H14163" s="162"/>
      <c r="I14163" s="11"/>
    </row>
    <row r="14164" spans="1:12" ht="9" customHeight="1">
      <c r="A14164" s="162" t="s">
        <v>18588</v>
      </c>
      <c r="B14164" s="162"/>
      <c r="C14164" s="147"/>
      <c r="D14164" s="162"/>
      <c r="E14164" s="162"/>
      <c r="F14164" s="162"/>
      <c r="G14164" s="162"/>
      <c r="H14164" s="162"/>
      <c r="I14164" s="11"/>
    </row>
    <row r="14165" spans="1:12" ht="9" customHeight="1">
      <c r="A14165" s="162" t="s">
        <v>18589</v>
      </c>
      <c r="B14165" s="162"/>
      <c r="C14165" s="147"/>
      <c r="D14165" s="162"/>
      <c r="E14165" s="162"/>
      <c r="F14165" s="162"/>
      <c r="G14165" s="162"/>
      <c r="H14165" s="162"/>
      <c r="I14165" s="11"/>
    </row>
    <row r="14166" spans="1:12" ht="9" customHeight="1">
      <c r="A14166" s="129" t="s">
        <v>18590</v>
      </c>
      <c r="B14166" s="162"/>
      <c r="C14166" s="147"/>
      <c r="D14166" s="162"/>
      <c r="E14166" s="162"/>
      <c r="F14166" s="162"/>
      <c r="G14166" s="162"/>
      <c r="H14166" s="162"/>
      <c r="I14166" s="11"/>
    </row>
    <row r="14167" spans="1:12" ht="9" customHeight="1">
      <c r="A14167" s="162" t="s">
        <v>18591</v>
      </c>
      <c r="B14167" s="162"/>
      <c r="C14167" s="147"/>
      <c r="D14167" s="162"/>
      <c r="E14167" s="162"/>
      <c r="F14167" s="162"/>
      <c r="G14167" s="162"/>
      <c r="H14167" s="162"/>
      <c r="I14167" s="11"/>
    </row>
    <row r="14168" spans="1:12" ht="9" customHeight="1">
      <c r="A14168" s="162" t="s">
        <v>18592</v>
      </c>
      <c r="B14168" s="162"/>
      <c r="C14168" s="147"/>
      <c r="D14168" s="162"/>
      <c r="E14168" s="162"/>
      <c r="F14168" s="162"/>
      <c r="G14168" s="162"/>
      <c r="H14168" s="162"/>
      <c r="I14168" s="11"/>
    </row>
    <row r="14169" spans="1:12" ht="11.15" customHeight="1">
      <c r="A14169" s="162" t="s">
        <v>18593</v>
      </c>
      <c r="B14169" s="162"/>
      <c r="C14169" s="147"/>
      <c r="D14169" s="162"/>
      <c r="E14169" s="162"/>
      <c r="F14169" s="162"/>
      <c r="G14169" s="162"/>
      <c r="H14169" s="162"/>
      <c r="I14169" s="11"/>
    </row>
    <row r="14170" spans="1:12" ht="11.15" customHeight="1">
      <c r="A14170" s="169" t="s">
        <v>18594</v>
      </c>
      <c r="B14170" s="185"/>
      <c r="C14170" s="147"/>
      <c r="D14170" s="185"/>
      <c r="E14170" s="185"/>
      <c r="F14170" s="185"/>
      <c r="G14170" s="185"/>
      <c r="H14170" s="185"/>
      <c r="I14170" s="11"/>
    </row>
    <row r="14171" spans="1:12" ht="11.15" customHeight="1">
      <c r="A14171" s="169" t="s">
        <v>18595</v>
      </c>
      <c r="B14171" s="185"/>
      <c r="C14171" s="147"/>
      <c r="D14171" s="185"/>
      <c r="E14171" s="185"/>
      <c r="F14171" s="185"/>
      <c r="G14171" s="185"/>
      <c r="H14171" s="185"/>
      <c r="I14171" s="11"/>
    </row>
    <row r="14172" spans="1:12" ht="11.15" customHeight="1">
      <c r="A14172" s="363" t="s">
        <v>1327</v>
      </c>
      <c r="B14172" s="185"/>
      <c r="C14172" s="147"/>
      <c r="D14172" s="185"/>
      <c r="E14172" s="185"/>
      <c r="F14172" s="185"/>
      <c r="G14172" s="185"/>
      <c r="H14172" s="185"/>
      <c r="I14172" s="11"/>
    </row>
    <row r="14173" spans="1:12" ht="11.15" customHeight="1">
      <c r="A14173" s="129" t="s">
        <v>18596</v>
      </c>
      <c r="B14173" s="377"/>
      <c r="C14173" s="147"/>
      <c r="D14173" s="122"/>
      <c r="E14173" s="36"/>
      <c r="F14173" s="178"/>
      <c r="G14173" s="60"/>
      <c r="H14173" s="36"/>
      <c r="I14173" s="11"/>
    </row>
    <row r="14174" spans="1:12" ht="11.15" customHeight="1" thickBot="1">
      <c r="A14174" s="129" t="s">
        <v>18597</v>
      </c>
      <c r="B14174" s="90"/>
      <c r="C14174" s="147"/>
      <c r="D14174" s="161"/>
      <c r="E14174" s="36"/>
      <c r="F14174" s="178"/>
      <c r="G14174" s="496"/>
      <c r="H14174" s="36"/>
      <c r="I14174" s="11"/>
    </row>
    <row r="14175" spans="1:12" ht="24" customHeight="1" thickBot="1">
      <c r="A14175" s="381"/>
      <c r="B14175" s="50" t="s">
        <v>18598</v>
      </c>
      <c r="C14175" s="170"/>
      <c r="D14175" s="382"/>
      <c r="E14175" s="235"/>
      <c r="F14175" s="383"/>
      <c r="G14175" s="1094"/>
      <c r="H14175" s="875"/>
      <c r="I14175" s="11"/>
    </row>
    <row r="14176" spans="1:12" ht="11.15" customHeight="1" thickBot="1">
      <c r="A14176" s="184" t="s">
        <v>8759</v>
      </c>
      <c r="B14176" s="59" t="s">
        <v>21391</v>
      </c>
      <c r="C14176" s="147" t="s">
        <v>23393</v>
      </c>
      <c r="D14176" s="183" t="s">
        <v>6904</v>
      </c>
      <c r="E14176" s="178" t="s">
        <v>20221</v>
      </c>
      <c r="F14176" s="178" t="s">
        <v>23406</v>
      </c>
      <c r="G14176" s="496"/>
      <c r="H14176" s="994" t="s">
        <v>20277</v>
      </c>
      <c r="I14176" s="11" t="s">
        <v>8801</v>
      </c>
      <c r="J14176" s="1285"/>
      <c r="K14176" s="1285"/>
      <c r="L14176" s="1285"/>
    </row>
    <row r="14177" spans="1:12" ht="11.15" customHeight="1">
      <c r="A14177" s="129" t="s">
        <v>8803</v>
      </c>
      <c r="B14177" s="870"/>
      <c r="C14177" s="147"/>
      <c r="D14177" s="870"/>
      <c r="E14177" s="870"/>
      <c r="F14177" s="870"/>
      <c r="G14177" s="870"/>
      <c r="H14177" s="870"/>
      <c r="I14177" s="11"/>
    </row>
    <row r="14178" spans="1:12" ht="10.5" customHeight="1" thickBot="1">
      <c r="A14178" s="29"/>
      <c r="B14178" s="90"/>
      <c r="C14178" s="147"/>
      <c r="D14178" s="159"/>
      <c r="E14178" s="90"/>
      <c r="F14178" s="122"/>
      <c r="G14178" s="1265"/>
      <c r="H14178" s="226"/>
      <c r="I14178" s="11"/>
    </row>
    <row r="14179" spans="1:12" ht="11.15" customHeight="1" thickBot="1">
      <c r="A14179" s="184" t="s">
        <v>18599</v>
      </c>
      <c r="B14179" s="177" t="s">
        <v>18600</v>
      </c>
      <c r="C14179" s="147"/>
      <c r="D14179" s="122"/>
      <c r="E14179" s="36"/>
      <c r="F14179" s="178"/>
      <c r="G14179" s="453"/>
      <c r="H14179" s="36"/>
      <c r="I14179" s="11"/>
    </row>
    <row r="14180" spans="1:12" ht="11.15" customHeight="1">
      <c r="A14180" s="29" t="s">
        <v>18601</v>
      </c>
      <c r="B14180" s="59" t="s">
        <v>23131</v>
      </c>
      <c r="C14180" s="147" t="s">
        <v>20221</v>
      </c>
      <c r="D14180" s="183" t="s">
        <v>18602</v>
      </c>
      <c r="E14180" s="178" t="s">
        <v>20221</v>
      </c>
      <c r="F14180" s="178" t="s">
        <v>23432</v>
      </c>
      <c r="G14180" s="496"/>
      <c r="H14180" s="994" t="s">
        <v>20221</v>
      </c>
      <c r="I14180" s="11" t="s">
        <v>18603</v>
      </c>
      <c r="J14180" s="1285"/>
      <c r="K14180" s="1285"/>
      <c r="L14180" s="1285"/>
    </row>
    <row r="14181" spans="1:12" ht="11.15" customHeight="1">
      <c r="A14181" s="29" t="s">
        <v>18604</v>
      </c>
      <c r="B14181" s="59" t="s">
        <v>23133</v>
      </c>
      <c r="C14181" s="147" t="s">
        <v>20221</v>
      </c>
      <c r="D14181" s="183" t="s">
        <v>18602</v>
      </c>
      <c r="E14181" s="178" t="s">
        <v>20221</v>
      </c>
      <c r="F14181" s="178" t="s">
        <v>4520</v>
      </c>
      <c r="G14181" s="496"/>
      <c r="H14181" s="994" t="s">
        <v>20221</v>
      </c>
      <c r="I14181" s="11" t="s">
        <v>18605</v>
      </c>
      <c r="J14181" s="1285"/>
      <c r="K14181" s="1285"/>
      <c r="L14181" s="1285"/>
    </row>
    <row r="14182" spans="1:12" ht="11.15" customHeight="1">
      <c r="A14182" s="29" t="s">
        <v>18606</v>
      </c>
      <c r="B14182" s="177" t="s">
        <v>18607</v>
      </c>
      <c r="C14182" s="147"/>
      <c r="D14182" s="122"/>
      <c r="E14182" s="36"/>
      <c r="F14182" s="178"/>
      <c r="G14182" s="453"/>
      <c r="H14182" s="36"/>
      <c r="I14182" s="11"/>
    </row>
    <row r="14183" spans="1:12" ht="11.15" customHeight="1">
      <c r="A14183" s="29" t="s">
        <v>18608</v>
      </c>
      <c r="B14183" s="59" t="s">
        <v>23134</v>
      </c>
      <c r="C14183" s="147" t="s">
        <v>20221</v>
      </c>
      <c r="D14183" s="183" t="s">
        <v>6904</v>
      </c>
      <c r="E14183" s="178" t="s">
        <v>23135</v>
      </c>
      <c r="F14183" s="178" t="s">
        <v>23406</v>
      </c>
      <c r="G14183" s="496"/>
      <c r="H14183" s="994" t="s">
        <v>20221</v>
      </c>
      <c r="I14183" s="11" t="s">
        <v>18609</v>
      </c>
      <c r="J14183" s="1285"/>
      <c r="K14183" s="1285"/>
      <c r="L14183" s="1285"/>
    </row>
    <row r="14184" spans="1:12" ht="11.15" customHeight="1">
      <c r="A14184" s="1175" t="s">
        <v>18610</v>
      </c>
      <c r="B14184" s="59" t="s">
        <v>23136</v>
      </c>
      <c r="C14184" s="147" t="s">
        <v>20221</v>
      </c>
      <c r="D14184" s="183" t="s">
        <v>6904</v>
      </c>
      <c r="E14184" s="178" t="s">
        <v>23135</v>
      </c>
      <c r="F14184" s="178" t="s">
        <v>23406</v>
      </c>
      <c r="G14184" s="496"/>
      <c r="H14184" s="994" t="s">
        <v>20221</v>
      </c>
      <c r="I14184" s="11" t="s">
        <v>18611</v>
      </c>
      <c r="J14184" s="1285"/>
      <c r="K14184" s="1285"/>
      <c r="L14184" s="1285"/>
    </row>
    <row r="14185" spans="1:12" ht="11.15" customHeight="1">
      <c r="A14185" s="129" t="s">
        <v>18612</v>
      </c>
      <c r="B14185" s="59" t="s">
        <v>23137</v>
      </c>
      <c r="C14185" s="147" t="s">
        <v>20221</v>
      </c>
      <c r="D14185" s="183" t="s">
        <v>6904</v>
      </c>
      <c r="E14185" s="178" t="s">
        <v>23135</v>
      </c>
      <c r="F14185" s="178" t="s">
        <v>23406</v>
      </c>
      <c r="G14185" s="496"/>
      <c r="H14185" s="994" t="s">
        <v>20221</v>
      </c>
      <c r="I14185" s="11" t="s">
        <v>18613</v>
      </c>
      <c r="J14185" s="1285"/>
      <c r="K14185" s="1285"/>
      <c r="L14185" s="1285"/>
    </row>
    <row r="14186" spans="1:12" ht="11.15" customHeight="1">
      <c r="A14186" s="29"/>
      <c r="B14186" s="59" t="s">
        <v>23138</v>
      </c>
      <c r="C14186" s="147" t="s">
        <v>20221</v>
      </c>
      <c r="D14186" s="183" t="s">
        <v>6904</v>
      </c>
      <c r="E14186" s="178" t="s">
        <v>23135</v>
      </c>
      <c r="F14186" s="178" t="s">
        <v>23406</v>
      </c>
      <c r="G14186" s="496"/>
      <c r="H14186" s="994" t="s">
        <v>20221</v>
      </c>
      <c r="I14186" s="11" t="s">
        <v>18614</v>
      </c>
      <c r="J14186" s="1285"/>
      <c r="K14186" s="1285"/>
      <c r="L14186" s="1285"/>
    </row>
    <row r="14187" spans="1:12" ht="11.15" customHeight="1">
      <c r="A14187" s="185"/>
      <c r="B14187" s="59" t="s">
        <v>23139</v>
      </c>
      <c r="C14187" s="147" t="s">
        <v>20221</v>
      </c>
      <c r="D14187" s="183" t="s">
        <v>6904</v>
      </c>
      <c r="E14187" s="178" t="s">
        <v>23135</v>
      </c>
      <c r="F14187" s="178" t="s">
        <v>23406</v>
      </c>
      <c r="G14187" s="496"/>
      <c r="H14187" s="994" t="s">
        <v>20221</v>
      </c>
      <c r="I14187" s="11" t="s">
        <v>18615</v>
      </c>
      <c r="J14187" s="1285"/>
      <c r="K14187" s="1285"/>
      <c r="L14187" s="1285"/>
    </row>
    <row r="14188" spans="1:12" ht="11.15" customHeight="1">
      <c r="A14188" s="185"/>
      <c r="B14188" s="59" t="s">
        <v>23140</v>
      </c>
      <c r="C14188" s="147" t="s">
        <v>20221</v>
      </c>
      <c r="D14188" s="183" t="s">
        <v>6904</v>
      </c>
      <c r="E14188" s="178" t="s">
        <v>23141</v>
      </c>
      <c r="F14188" s="178" t="s">
        <v>23406</v>
      </c>
      <c r="G14188" s="496"/>
      <c r="H14188" s="994" t="s">
        <v>20277</v>
      </c>
      <c r="I14188" s="11" t="s">
        <v>18616</v>
      </c>
      <c r="J14188" s="1285"/>
      <c r="K14188" s="1285"/>
      <c r="L14188" s="1285"/>
    </row>
    <row r="14189" spans="1:12" ht="11.15" customHeight="1">
      <c r="A14189" s="185"/>
      <c r="B14189" s="59" t="s">
        <v>23142</v>
      </c>
      <c r="C14189" s="147" t="s">
        <v>20221</v>
      </c>
      <c r="D14189" s="183" t="s">
        <v>6904</v>
      </c>
      <c r="E14189" s="178" t="s">
        <v>23143</v>
      </c>
      <c r="F14189" s="178" t="s">
        <v>23406</v>
      </c>
      <c r="G14189" s="496"/>
      <c r="H14189" s="994" t="s">
        <v>20224</v>
      </c>
      <c r="I14189" s="11" t="s">
        <v>18617</v>
      </c>
      <c r="J14189" s="1285"/>
      <c r="K14189" s="1285"/>
      <c r="L14189" s="1285"/>
    </row>
    <row r="14190" spans="1:12" ht="11.15" customHeight="1">
      <c r="A14190" s="185"/>
      <c r="B14190" s="59" t="s">
        <v>23144</v>
      </c>
      <c r="C14190" s="147" t="s">
        <v>20221</v>
      </c>
      <c r="D14190" s="183" t="s">
        <v>6904</v>
      </c>
      <c r="E14190" s="178">
        <v>1980</v>
      </c>
      <c r="F14190" s="178" t="s">
        <v>23406</v>
      </c>
      <c r="G14190" s="496"/>
      <c r="H14190" s="994" t="s">
        <v>20277</v>
      </c>
      <c r="I14190" s="11" t="s">
        <v>18618</v>
      </c>
      <c r="J14190" s="1285"/>
      <c r="K14190" s="1285"/>
      <c r="L14190" s="1285"/>
    </row>
    <row r="14191" spans="1:12" ht="11.15" customHeight="1" thickBot="1">
      <c r="A14191" s="454"/>
      <c r="B14191" s="226"/>
      <c r="C14191" s="147"/>
      <c r="D14191" s="122"/>
      <c r="E14191" s="36"/>
      <c r="F14191" s="178"/>
      <c r="G14191" s="453"/>
      <c r="H14191" s="36"/>
      <c r="I14191" s="11"/>
    </row>
    <row r="14192" spans="1:12" ht="11.15" customHeight="1" thickBot="1">
      <c r="A14192" s="184" t="s">
        <v>18619</v>
      </c>
      <c r="B14192" s="59" t="s">
        <v>21100</v>
      </c>
      <c r="C14192" s="147" t="s">
        <v>20221</v>
      </c>
      <c r="D14192" s="183" t="s">
        <v>6904</v>
      </c>
      <c r="E14192" s="178">
        <v>2008</v>
      </c>
      <c r="F14192" s="178" t="s">
        <v>23395</v>
      </c>
      <c r="G14192" s="496"/>
      <c r="H14192" s="994" t="s">
        <v>20224</v>
      </c>
      <c r="I14192" s="11" t="s">
        <v>6905</v>
      </c>
      <c r="J14192" s="1285"/>
      <c r="K14192" s="1285"/>
      <c r="L14192" s="1285"/>
    </row>
    <row r="14193" spans="1:12" ht="11.15" customHeight="1">
      <c r="A14193" s="29" t="s">
        <v>18620</v>
      </c>
      <c r="B14193" s="90"/>
      <c r="C14193" s="147"/>
      <c r="D14193" s="122"/>
      <c r="E14193" s="36"/>
      <c r="F14193" s="183"/>
      <c r="G14193" s="671"/>
      <c r="H14193" s="34"/>
      <c r="I14193" s="11"/>
    </row>
    <row r="14194" spans="1:12" ht="11.15" customHeight="1" thickBot="1">
      <c r="A14194" s="871"/>
      <c r="B14194" s="547" t="s">
        <v>18621</v>
      </c>
      <c r="C14194" s="321"/>
      <c r="D14194" s="320"/>
      <c r="E14194" s="322"/>
      <c r="F14194" s="578"/>
      <c r="G14194" s="1234"/>
      <c r="H14194" s="322"/>
      <c r="I14194" s="11"/>
    </row>
    <row r="14195" spans="1:12" ht="11.15" customHeight="1" thickBot="1">
      <c r="A14195" s="343" t="s">
        <v>18622</v>
      </c>
      <c r="B14195" s="339" t="s">
        <v>18623</v>
      </c>
      <c r="C14195" s="321"/>
      <c r="D14195" s="320"/>
      <c r="E14195" s="322"/>
      <c r="F14195" s="578"/>
      <c r="G14195" s="1234"/>
      <c r="H14195" s="322"/>
      <c r="I14195" s="11"/>
    </row>
    <row r="14196" spans="1:12" ht="11.15" customHeight="1">
      <c r="A14196" s="319" t="s">
        <v>18624</v>
      </c>
      <c r="B14196" s="324" t="s">
        <v>23147</v>
      </c>
      <c r="C14196" s="321" t="s">
        <v>20221</v>
      </c>
      <c r="D14196" s="347" t="s">
        <v>6904</v>
      </c>
      <c r="E14196" s="578" t="s">
        <v>19060</v>
      </c>
      <c r="F14196" s="578" t="s">
        <v>23398</v>
      </c>
      <c r="G14196" s="1204"/>
      <c r="H14196" s="1296" t="s">
        <v>20277</v>
      </c>
      <c r="I14196" s="11" t="s">
        <v>18625</v>
      </c>
      <c r="J14196" s="1285"/>
      <c r="K14196" s="1285"/>
      <c r="L14196" s="1285"/>
    </row>
    <row r="14197" spans="1:12" ht="11.15" customHeight="1">
      <c r="A14197" s="319" t="s">
        <v>18626</v>
      </c>
      <c r="B14197" s="324" t="s">
        <v>23148</v>
      </c>
      <c r="C14197" s="321" t="s">
        <v>20221</v>
      </c>
      <c r="D14197" s="347" t="s">
        <v>6904</v>
      </c>
      <c r="E14197" s="578" t="s">
        <v>19060</v>
      </c>
      <c r="F14197" s="578" t="s">
        <v>23406</v>
      </c>
      <c r="G14197" s="1204"/>
      <c r="H14197" s="1296" t="s">
        <v>20277</v>
      </c>
      <c r="I14197" s="11" t="s">
        <v>18627</v>
      </c>
      <c r="J14197" s="1285"/>
      <c r="K14197" s="1285"/>
      <c r="L14197" s="1285"/>
    </row>
    <row r="14198" spans="1:12" ht="11.15" customHeight="1">
      <c r="A14198" s="319" t="s">
        <v>18628</v>
      </c>
      <c r="B14198" s="324" t="s">
        <v>23149</v>
      </c>
      <c r="C14198" s="321" t="s">
        <v>20221</v>
      </c>
      <c r="D14198" s="347" t="s">
        <v>6904</v>
      </c>
      <c r="E14198" s="578" t="s">
        <v>19060</v>
      </c>
      <c r="F14198" s="578" t="s">
        <v>23406</v>
      </c>
      <c r="G14198" s="1204"/>
      <c r="H14198" s="1296" t="s">
        <v>20277</v>
      </c>
      <c r="I14198" s="11" t="s">
        <v>18630</v>
      </c>
      <c r="J14198" s="1285"/>
      <c r="K14198" s="1285"/>
      <c r="L14198" s="1285"/>
    </row>
    <row r="14199" spans="1:12" ht="11.15" customHeight="1">
      <c r="A14199" s="319" t="s">
        <v>18629</v>
      </c>
      <c r="B14199" s="324" t="s">
        <v>23150</v>
      </c>
      <c r="C14199" s="321" t="s">
        <v>20221</v>
      </c>
      <c r="D14199" s="347" t="s">
        <v>6904</v>
      </c>
      <c r="E14199" s="578" t="s">
        <v>19060</v>
      </c>
      <c r="F14199" s="578" t="s">
        <v>23406</v>
      </c>
      <c r="G14199" s="1204"/>
      <c r="H14199" s="1296" t="s">
        <v>20277</v>
      </c>
      <c r="I14199" s="11" t="s">
        <v>18632</v>
      </c>
      <c r="J14199" s="1285"/>
      <c r="K14199" s="1285"/>
      <c r="L14199" s="1285"/>
    </row>
    <row r="14200" spans="1:12" ht="11.15" customHeight="1">
      <c r="A14200" s="330" t="s">
        <v>18631</v>
      </c>
      <c r="B14200" s="324" t="s">
        <v>23151</v>
      </c>
      <c r="C14200" s="321" t="s">
        <v>20221</v>
      </c>
      <c r="D14200" s="347" t="s">
        <v>6904</v>
      </c>
      <c r="E14200" s="578" t="s">
        <v>20221</v>
      </c>
      <c r="F14200" s="578" t="s">
        <v>23406</v>
      </c>
      <c r="G14200" s="1204" t="s">
        <v>20221</v>
      </c>
      <c r="H14200" s="1296" t="s">
        <v>3907</v>
      </c>
      <c r="I14200" s="11" t="s">
        <v>18635</v>
      </c>
      <c r="J14200" s="1285"/>
      <c r="K14200" s="1285"/>
      <c r="L14200" s="1285"/>
    </row>
    <row r="14201" spans="1:12" ht="11.15" customHeight="1">
      <c r="A14201" s="872" t="s">
        <v>18633</v>
      </c>
      <c r="B14201" s="324" t="s">
        <v>23152</v>
      </c>
      <c r="C14201" s="321" t="s">
        <v>20221</v>
      </c>
      <c r="D14201" s="347" t="s">
        <v>6904</v>
      </c>
      <c r="E14201" s="578" t="s">
        <v>19060</v>
      </c>
      <c r="F14201" s="578" t="s">
        <v>23406</v>
      </c>
      <c r="G14201" s="1204"/>
      <c r="H14201" s="1296" t="s">
        <v>20277</v>
      </c>
      <c r="I14201" s="11" t="s">
        <v>18637</v>
      </c>
      <c r="J14201" s="1285"/>
      <c r="K14201" s="1285"/>
      <c r="L14201" s="1285"/>
    </row>
    <row r="14202" spans="1:12" ht="11.15" customHeight="1">
      <c r="A14202" s="331" t="s">
        <v>18634</v>
      </c>
      <c r="B14202" s="339" t="s">
        <v>18639</v>
      </c>
      <c r="C14202" s="321"/>
      <c r="D14202" s="320"/>
      <c r="E14202" s="322"/>
      <c r="F14202" s="578"/>
      <c r="G14202" s="579"/>
      <c r="H14202" s="322"/>
      <c r="I14202" s="11"/>
    </row>
    <row r="14203" spans="1:12" ht="11.15" customHeight="1">
      <c r="A14203" s="872" t="s">
        <v>18636</v>
      </c>
      <c r="B14203" s="324" t="s">
        <v>23153</v>
      </c>
      <c r="C14203" s="321" t="s">
        <v>20221</v>
      </c>
      <c r="D14203" s="347" t="s">
        <v>6904</v>
      </c>
      <c r="E14203" s="578" t="s">
        <v>19060</v>
      </c>
      <c r="F14203" s="578" t="s">
        <v>23406</v>
      </c>
      <c r="G14203" s="1204"/>
      <c r="H14203" s="1296" t="s">
        <v>20465</v>
      </c>
      <c r="I14203" s="11" t="s">
        <v>18641</v>
      </c>
      <c r="J14203" s="1285"/>
      <c r="K14203" s="1285"/>
      <c r="L14203" s="1285"/>
    </row>
    <row r="14204" spans="1:12" ht="11.15" customHeight="1">
      <c r="A14204" s="873" t="s">
        <v>18638</v>
      </c>
      <c r="B14204" s="324" t="s">
        <v>23154</v>
      </c>
      <c r="C14204" s="321" t="s">
        <v>20221</v>
      </c>
      <c r="D14204" s="347" t="s">
        <v>6904</v>
      </c>
      <c r="E14204" s="578" t="s">
        <v>19060</v>
      </c>
      <c r="F14204" s="578" t="s">
        <v>23406</v>
      </c>
      <c r="G14204" s="1204"/>
      <c r="H14204" s="1296" t="s">
        <v>20277</v>
      </c>
      <c r="I14204" s="11" t="s">
        <v>18643</v>
      </c>
      <c r="J14204" s="1285"/>
      <c r="K14204" s="1285"/>
      <c r="L14204" s="1285"/>
    </row>
    <row r="14205" spans="1:12" ht="11.15" customHeight="1">
      <c r="A14205" s="346" t="s">
        <v>18640</v>
      </c>
      <c r="B14205" s="324" t="s">
        <v>23155</v>
      </c>
      <c r="C14205" s="321" t="s">
        <v>20221</v>
      </c>
      <c r="D14205" s="347" t="s">
        <v>6904</v>
      </c>
      <c r="E14205" s="578" t="s">
        <v>19060</v>
      </c>
      <c r="F14205" s="578" t="s">
        <v>23406</v>
      </c>
      <c r="G14205" s="1204"/>
      <c r="H14205" s="1296" t="s">
        <v>20277</v>
      </c>
      <c r="I14205" s="11" t="s">
        <v>18644</v>
      </c>
      <c r="J14205" s="1285"/>
      <c r="K14205" s="1285"/>
      <c r="L14205" s="1285"/>
    </row>
    <row r="14206" spans="1:12" ht="11.15" customHeight="1">
      <c r="A14206" s="330" t="s">
        <v>18642</v>
      </c>
      <c r="B14206" s="324" t="s">
        <v>23156</v>
      </c>
      <c r="C14206" s="321" t="s">
        <v>20221</v>
      </c>
      <c r="D14206" s="347" t="s">
        <v>6904</v>
      </c>
      <c r="E14206" s="578" t="s">
        <v>19060</v>
      </c>
      <c r="F14206" s="578" t="s">
        <v>23406</v>
      </c>
      <c r="G14206" s="1204"/>
      <c r="H14206" s="1296" t="s">
        <v>20277</v>
      </c>
      <c r="I14206" s="11" t="s">
        <v>18645</v>
      </c>
      <c r="J14206" s="1285"/>
      <c r="K14206" s="1285"/>
      <c r="L14206" s="1285"/>
    </row>
    <row r="14207" spans="1:12" ht="11.15" customHeight="1">
      <c r="A14207" s="319"/>
      <c r="B14207" s="339" t="s">
        <v>18646</v>
      </c>
      <c r="C14207" s="321"/>
      <c r="D14207" s="320"/>
      <c r="E14207" s="322"/>
      <c r="F14207" s="578"/>
      <c r="G14207" s="579"/>
      <c r="H14207" s="322"/>
      <c r="I14207" s="11"/>
    </row>
    <row r="14208" spans="1:12" ht="11.15" customHeight="1">
      <c r="A14208" s="329"/>
      <c r="B14208" s="324" t="s">
        <v>23157</v>
      </c>
      <c r="C14208" s="321" t="s">
        <v>20221</v>
      </c>
      <c r="D14208" s="347" t="s">
        <v>6904</v>
      </c>
      <c r="E14208" s="578" t="s">
        <v>19060</v>
      </c>
      <c r="F14208" s="578" t="s">
        <v>23406</v>
      </c>
      <c r="G14208" s="1204"/>
      <c r="H14208" s="1296" t="s">
        <v>20277</v>
      </c>
      <c r="I14208" s="11" t="s">
        <v>18647</v>
      </c>
      <c r="J14208" s="1285"/>
      <c r="K14208" s="1285"/>
      <c r="L14208" s="1285"/>
    </row>
    <row r="14209" spans="1:12" ht="11.15" customHeight="1">
      <c r="A14209" s="329"/>
      <c r="B14209" s="90"/>
      <c r="C14209" s="147"/>
      <c r="D14209" s="122"/>
      <c r="E14209" s="36"/>
      <c r="F14209" s="178"/>
      <c r="G14209" s="453"/>
      <c r="H14209" s="36"/>
      <c r="I14209" s="11"/>
    </row>
    <row r="14210" spans="1:12" ht="11.15" customHeight="1" thickBot="1">
      <c r="A14210" s="185"/>
      <c r="B14210" s="90"/>
      <c r="C14210" s="147"/>
      <c r="D14210" s="122"/>
      <c r="E14210" s="36"/>
      <c r="F14210" s="178"/>
      <c r="G14210" s="453"/>
      <c r="H14210" s="36"/>
      <c r="I14210" s="11"/>
    </row>
    <row r="14211" spans="1:12" ht="11.15" customHeight="1" thickBot="1">
      <c r="A14211" s="184" t="s">
        <v>18648</v>
      </c>
      <c r="B14211" s="226"/>
      <c r="C14211" s="147"/>
      <c r="D14211" s="122"/>
      <c r="E14211" s="36"/>
      <c r="F14211" s="178"/>
      <c r="G14211" s="453"/>
      <c r="H14211" s="36"/>
      <c r="I14211" s="11"/>
    </row>
    <row r="14212" spans="1:12" ht="11.15" customHeight="1">
      <c r="A14212" s="29" t="s">
        <v>18649</v>
      </c>
      <c r="B14212" s="59" t="s">
        <v>23158</v>
      </c>
      <c r="C14212" s="147" t="s">
        <v>20221</v>
      </c>
      <c r="D14212" s="183" t="s">
        <v>6904</v>
      </c>
      <c r="E14212" s="178" t="s">
        <v>19060</v>
      </c>
      <c r="F14212" s="178" t="s">
        <v>23406</v>
      </c>
      <c r="G14212" s="496"/>
      <c r="H14212" s="994" t="s">
        <v>20221</v>
      </c>
      <c r="I14212" s="11" t="s">
        <v>18650</v>
      </c>
      <c r="J14212" s="1285"/>
      <c r="K14212" s="1285"/>
      <c r="L14212" s="1285"/>
    </row>
    <row r="14213" spans="1:12" ht="11.15" customHeight="1">
      <c r="A14213" s="212" t="s">
        <v>18640</v>
      </c>
      <c r="B14213" s="59" t="s">
        <v>666</v>
      </c>
      <c r="C14213" s="147" t="s">
        <v>20221</v>
      </c>
      <c r="D14213" s="183" t="s">
        <v>6904</v>
      </c>
      <c r="E14213" s="178">
        <v>2003</v>
      </c>
      <c r="F14213" s="178" t="s">
        <v>23406</v>
      </c>
      <c r="G14213" s="496"/>
      <c r="H14213" s="994" t="s">
        <v>20224</v>
      </c>
      <c r="I14213" s="11" t="s">
        <v>18651</v>
      </c>
      <c r="J14213" s="1285"/>
      <c r="K14213" s="1285"/>
      <c r="L14213" s="1285"/>
    </row>
    <row r="14214" spans="1:12" ht="11.15" customHeight="1">
      <c r="A14214" s="129" t="s">
        <v>18652</v>
      </c>
      <c r="B14214" s="59" t="s">
        <v>666</v>
      </c>
      <c r="C14214" s="147" t="s">
        <v>20221</v>
      </c>
      <c r="D14214" s="183" t="s">
        <v>6904</v>
      </c>
      <c r="E14214" s="178">
        <v>2000</v>
      </c>
      <c r="F14214" s="178" t="s">
        <v>23406</v>
      </c>
      <c r="G14214" s="496"/>
      <c r="H14214" s="994" t="s">
        <v>20221</v>
      </c>
      <c r="I14214" s="11" t="s">
        <v>18653</v>
      </c>
      <c r="J14214" s="1285"/>
      <c r="K14214" s="1285"/>
      <c r="L14214" s="1285"/>
    </row>
    <row r="14215" spans="1:12" ht="11.15" customHeight="1">
      <c r="A14215" s="29"/>
      <c r="B14215" s="59" t="s">
        <v>666</v>
      </c>
      <c r="C14215" s="147" t="s">
        <v>20221</v>
      </c>
      <c r="D14215" s="183" t="s">
        <v>6904</v>
      </c>
      <c r="E14215" s="178">
        <v>1999</v>
      </c>
      <c r="F14215" s="178" t="s">
        <v>23406</v>
      </c>
      <c r="G14215" s="496"/>
      <c r="H14215" s="994" t="s">
        <v>20224</v>
      </c>
      <c r="I14215" s="11" t="s">
        <v>18654</v>
      </c>
      <c r="J14215" s="1285"/>
      <c r="K14215" s="1285"/>
      <c r="L14215" s="1285"/>
    </row>
    <row r="14216" spans="1:12" ht="11.15" customHeight="1">
      <c r="A14216" s="185"/>
      <c r="B14216" s="59" t="s">
        <v>666</v>
      </c>
      <c r="C14216" s="147" t="s">
        <v>20221</v>
      </c>
      <c r="D14216" s="183" t="s">
        <v>6904</v>
      </c>
      <c r="E14216" s="178">
        <v>1998</v>
      </c>
      <c r="F14216" s="178" t="s">
        <v>23406</v>
      </c>
      <c r="G14216" s="496"/>
      <c r="H14216" s="994" t="s">
        <v>20221</v>
      </c>
      <c r="I14216" s="11" t="s">
        <v>18655</v>
      </c>
      <c r="J14216" s="1285"/>
      <c r="K14216" s="1285"/>
      <c r="L14216" s="1285"/>
    </row>
    <row r="14217" spans="1:12" ht="11.15" customHeight="1">
      <c r="A14217" s="185" t="s">
        <v>1220</v>
      </c>
      <c r="B14217" s="59" t="s">
        <v>666</v>
      </c>
      <c r="C14217" s="147" t="s">
        <v>20221</v>
      </c>
      <c r="D14217" s="183" t="s">
        <v>6904</v>
      </c>
      <c r="E14217" s="178">
        <v>1994</v>
      </c>
      <c r="F14217" s="178" t="s">
        <v>23406</v>
      </c>
      <c r="G14217" s="496"/>
      <c r="H14217" s="994" t="s">
        <v>20277</v>
      </c>
      <c r="I14217" s="11" t="s">
        <v>18656</v>
      </c>
      <c r="J14217" s="1285"/>
      <c r="K14217" s="1285"/>
      <c r="L14217" s="1285"/>
    </row>
    <row r="14218" spans="1:12" ht="11.15" customHeight="1">
      <c r="A14218" s="185"/>
      <c r="B14218" s="59" t="s">
        <v>666</v>
      </c>
      <c r="C14218" s="147" t="s">
        <v>20221</v>
      </c>
      <c r="D14218" s="183" t="s">
        <v>6904</v>
      </c>
      <c r="E14218" s="178">
        <v>1990</v>
      </c>
      <c r="F14218" s="178" t="s">
        <v>23406</v>
      </c>
      <c r="G14218" s="496"/>
      <c r="H14218" s="994" t="s">
        <v>20224</v>
      </c>
      <c r="I14218" s="11" t="s">
        <v>18657</v>
      </c>
      <c r="J14218" s="1285"/>
      <c r="K14218" s="1285"/>
      <c r="L14218" s="1285"/>
    </row>
    <row r="14219" spans="1:12" ht="11.15" customHeight="1">
      <c r="A14219" s="185"/>
      <c r="B14219" s="59" t="s">
        <v>666</v>
      </c>
      <c r="C14219" s="147" t="s">
        <v>20221</v>
      </c>
      <c r="D14219" s="183" t="s">
        <v>6904</v>
      </c>
      <c r="E14219" s="178">
        <v>1988</v>
      </c>
      <c r="F14219" s="178" t="s">
        <v>23406</v>
      </c>
      <c r="G14219" s="496"/>
      <c r="H14219" s="994" t="s">
        <v>20221</v>
      </c>
      <c r="I14219" s="11" t="s">
        <v>18658</v>
      </c>
      <c r="J14219" s="1285"/>
      <c r="K14219" s="1285"/>
      <c r="L14219" s="1285"/>
    </row>
    <row r="14220" spans="1:12" ht="11.15" customHeight="1">
      <c r="A14220" s="185"/>
      <c r="B14220" s="59" t="s">
        <v>666</v>
      </c>
      <c r="C14220" s="147" t="s">
        <v>20221</v>
      </c>
      <c r="D14220" s="183" t="s">
        <v>6904</v>
      </c>
      <c r="E14220" s="178">
        <v>1986</v>
      </c>
      <c r="F14220" s="178" t="s">
        <v>23406</v>
      </c>
      <c r="G14220" s="496"/>
      <c r="H14220" s="994" t="s">
        <v>20224</v>
      </c>
      <c r="I14220" s="11" t="s">
        <v>18659</v>
      </c>
      <c r="J14220" s="1285"/>
      <c r="K14220" s="1285"/>
      <c r="L14220" s="1285"/>
    </row>
    <row r="14221" spans="1:12" ht="11.15" customHeight="1">
      <c r="A14221" s="185"/>
      <c r="B14221" s="59" t="s">
        <v>666</v>
      </c>
      <c r="C14221" s="147" t="s">
        <v>20221</v>
      </c>
      <c r="D14221" s="183" t="s">
        <v>6904</v>
      </c>
      <c r="E14221" s="178">
        <v>1984</v>
      </c>
      <c r="F14221" s="178" t="s">
        <v>23406</v>
      </c>
      <c r="G14221" s="496"/>
      <c r="H14221" s="994" t="s">
        <v>20224</v>
      </c>
      <c r="I14221" s="11" t="s">
        <v>18660</v>
      </c>
      <c r="J14221" s="1285"/>
      <c r="K14221" s="1285"/>
      <c r="L14221" s="1285"/>
    </row>
    <row r="14222" spans="1:12" ht="11.15" customHeight="1">
      <c r="A14222" s="185"/>
      <c r="B14222" s="59" t="s">
        <v>666</v>
      </c>
      <c r="C14222" s="147" t="s">
        <v>20221</v>
      </c>
      <c r="D14222" s="183" t="s">
        <v>6904</v>
      </c>
      <c r="E14222" s="178">
        <v>1980</v>
      </c>
      <c r="F14222" s="178" t="s">
        <v>23406</v>
      </c>
      <c r="G14222" s="496"/>
      <c r="H14222" s="994" t="s">
        <v>20277</v>
      </c>
      <c r="I14222" s="11" t="s">
        <v>18661</v>
      </c>
      <c r="J14222" s="1285"/>
      <c r="K14222" s="1285"/>
      <c r="L14222" s="1285"/>
    </row>
    <row r="14223" spans="1:12" ht="11.15" customHeight="1">
      <c r="A14223" s="185"/>
      <c r="B14223" s="59" t="s">
        <v>666</v>
      </c>
      <c r="C14223" s="147" t="s">
        <v>20221</v>
      </c>
      <c r="D14223" s="183" t="s">
        <v>6904</v>
      </c>
      <c r="E14223" s="178">
        <v>1974</v>
      </c>
      <c r="F14223" s="178" t="s">
        <v>23406</v>
      </c>
      <c r="G14223" s="496"/>
      <c r="H14223" s="994" t="s">
        <v>20224</v>
      </c>
      <c r="I14223" s="11" t="s">
        <v>18662</v>
      </c>
      <c r="J14223" s="1285"/>
      <c r="K14223" s="1285"/>
      <c r="L14223" s="1285"/>
    </row>
    <row r="14224" spans="1:12" ht="11.15" customHeight="1">
      <c r="A14224" s="185" t="s">
        <v>1220</v>
      </c>
      <c r="B14224" s="59" t="s">
        <v>666</v>
      </c>
      <c r="C14224" s="147" t="s">
        <v>20221</v>
      </c>
      <c r="D14224" s="183" t="s">
        <v>6904</v>
      </c>
      <c r="E14224" s="178">
        <v>1973</v>
      </c>
      <c r="F14224" s="178" t="s">
        <v>23406</v>
      </c>
      <c r="G14224" s="496"/>
      <c r="H14224" s="994" t="s">
        <v>20224</v>
      </c>
      <c r="I14224" s="11" t="s">
        <v>18663</v>
      </c>
      <c r="J14224" s="1285"/>
      <c r="K14224" s="1285"/>
      <c r="L14224" s="1285"/>
    </row>
    <row r="14225" spans="1:12" ht="11.15" customHeight="1">
      <c r="A14225" s="185" t="s">
        <v>1220</v>
      </c>
      <c r="B14225" s="59" t="s">
        <v>666</v>
      </c>
      <c r="C14225" s="147" t="s">
        <v>20221</v>
      </c>
      <c r="D14225" s="183" t="s">
        <v>6904</v>
      </c>
      <c r="E14225" s="178">
        <v>1970</v>
      </c>
      <c r="F14225" s="178" t="s">
        <v>23406</v>
      </c>
      <c r="G14225" s="496"/>
      <c r="H14225" s="994" t="s">
        <v>20224</v>
      </c>
      <c r="I14225" s="11" t="s">
        <v>18664</v>
      </c>
      <c r="J14225" s="1285"/>
      <c r="K14225" s="1285"/>
      <c r="L14225" s="1285"/>
    </row>
    <row r="14226" spans="1:12" ht="11.15" customHeight="1" thickBot="1">
      <c r="A14226" s="29"/>
      <c r="B14226" s="185"/>
      <c r="C14226" s="147"/>
      <c r="D14226" s="129"/>
      <c r="E14226" s="185"/>
      <c r="F14226" s="185"/>
      <c r="G14226" s="185"/>
      <c r="H14226" s="185"/>
      <c r="I14226" s="11"/>
    </row>
    <row r="14227" spans="1:12" ht="24" customHeight="1" thickBot="1">
      <c r="A14227" s="381"/>
      <c r="B14227" s="64" t="s">
        <v>18665</v>
      </c>
      <c r="C14227" s="170"/>
      <c r="D14227" s="382"/>
      <c r="E14227" s="235"/>
      <c r="F14227" s="383"/>
      <c r="G14227" s="1094"/>
      <c r="H14227" s="875"/>
      <c r="I14227" s="11"/>
    </row>
    <row r="14228" spans="1:12" ht="11.15" customHeight="1" thickBot="1">
      <c r="A14228" s="184" t="s">
        <v>11455</v>
      </c>
      <c r="B14228" s="59" t="s">
        <v>21870</v>
      </c>
      <c r="C14228" s="147" t="s">
        <v>20221</v>
      </c>
      <c r="D14228" s="183" t="s">
        <v>6904</v>
      </c>
      <c r="E14228" s="178" t="s">
        <v>20221</v>
      </c>
      <c r="F14228" s="178" t="s">
        <v>23406</v>
      </c>
      <c r="G14228" s="496"/>
      <c r="H14228" s="994" t="s">
        <v>20224</v>
      </c>
      <c r="I14228" s="11" t="s">
        <v>11593</v>
      </c>
      <c r="J14228" s="1285"/>
      <c r="K14228" s="1285"/>
      <c r="L14228" s="1285"/>
    </row>
    <row r="14229" spans="1:12" ht="11.15" customHeight="1">
      <c r="A14229" s="29" t="s">
        <v>18666</v>
      </c>
      <c r="B14229" s="59" t="s">
        <v>21871</v>
      </c>
      <c r="C14229" s="147" t="s">
        <v>20221</v>
      </c>
      <c r="D14229" s="183" t="s">
        <v>6904</v>
      </c>
      <c r="E14229" s="178" t="s">
        <v>20221</v>
      </c>
      <c r="F14229" s="178" t="s">
        <v>23406</v>
      </c>
      <c r="G14229" s="496"/>
      <c r="H14229" s="994" t="s">
        <v>20224</v>
      </c>
      <c r="I14229" s="11" t="s">
        <v>11595</v>
      </c>
      <c r="J14229" s="1285"/>
      <c r="K14229" s="1285"/>
      <c r="L14229" s="1285"/>
    </row>
    <row r="14230" spans="1:12" ht="11.15" customHeight="1">
      <c r="A14230" s="166" t="s">
        <v>11607</v>
      </c>
      <c r="B14230" s="90"/>
      <c r="C14230" s="147"/>
      <c r="D14230" s="122"/>
      <c r="E14230" s="36"/>
      <c r="F14230" s="178"/>
      <c r="G14230" s="60"/>
      <c r="H14230" s="36"/>
      <c r="I14230" s="11"/>
    </row>
    <row r="14231" spans="1:12" ht="11.15" customHeight="1">
      <c r="A14231" s="129" t="s">
        <v>11610</v>
      </c>
      <c r="B14231" s="377"/>
      <c r="C14231" s="147"/>
      <c r="D14231" s="122"/>
      <c r="E14231" s="36"/>
      <c r="F14231" s="178"/>
      <c r="G14231" s="60"/>
      <c r="H14231" s="36"/>
      <c r="I14231" s="11"/>
    </row>
    <row r="14232" spans="1:12" ht="11.15" customHeight="1" thickBot="1">
      <c r="A14232" s="129"/>
      <c r="B14232" s="377"/>
      <c r="C14232" s="147"/>
      <c r="D14232" s="122"/>
      <c r="E14232" s="36"/>
      <c r="F14232" s="178"/>
      <c r="G14232" s="60"/>
      <c r="H14232" s="36"/>
      <c r="I14232" s="11"/>
    </row>
    <row r="14233" spans="1:12" ht="11.15" customHeight="1" thickBot="1">
      <c r="A14233" s="184" t="s">
        <v>13905</v>
      </c>
      <c r="B14233" s="59" t="s">
        <v>22206</v>
      </c>
      <c r="C14233" s="147" t="s">
        <v>20221</v>
      </c>
      <c r="D14233" s="183" t="s">
        <v>6904</v>
      </c>
      <c r="E14233" s="178" t="s">
        <v>19060</v>
      </c>
      <c r="F14233" s="178" t="s">
        <v>23398</v>
      </c>
      <c r="G14233" s="496"/>
      <c r="H14233" s="994" t="s">
        <v>20221</v>
      </c>
      <c r="I14233" s="11" t="s">
        <v>13906</v>
      </c>
      <c r="J14233" s="1285"/>
      <c r="K14233" s="1285"/>
      <c r="L14233" s="1285"/>
    </row>
    <row r="14234" spans="1:12" ht="11.15" customHeight="1">
      <c r="A14234" s="29" t="s">
        <v>13907</v>
      </c>
      <c r="B14234" s="90"/>
      <c r="C14234" s="147"/>
      <c r="D14234" s="122"/>
      <c r="E14234" s="36"/>
      <c r="F14234" s="178"/>
      <c r="G14234" s="60"/>
      <c r="H14234" s="36"/>
      <c r="I14234" s="11"/>
    </row>
    <row r="14235" spans="1:12" ht="11.15" customHeight="1">
      <c r="A14235" s="212" t="s">
        <v>13908</v>
      </c>
      <c r="B14235" s="90"/>
      <c r="C14235" s="147"/>
      <c r="D14235" s="122"/>
      <c r="E14235" s="36"/>
      <c r="F14235" s="178"/>
      <c r="G14235" s="60"/>
      <c r="H14235" s="36"/>
      <c r="I14235" s="11"/>
    </row>
    <row r="14236" spans="1:12" ht="11.15" customHeight="1">
      <c r="A14236" s="129" t="s">
        <v>13909</v>
      </c>
      <c r="B14236" s="377"/>
      <c r="C14236" s="147"/>
      <c r="D14236" s="122"/>
      <c r="E14236" s="36"/>
      <c r="F14236" s="178"/>
      <c r="G14236" s="60"/>
      <c r="H14236" s="36"/>
      <c r="I14236" s="11"/>
    </row>
    <row r="14237" spans="1:12" ht="11.15" customHeight="1">
      <c r="B14237" s="146" t="s">
        <v>18667</v>
      </c>
      <c r="C14237" s="147"/>
      <c r="D14237" s="770"/>
      <c r="E14237" s="67"/>
      <c r="F14237" s="67"/>
      <c r="G14237" s="67"/>
      <c r="H14237" s="67"/>
      <c r="I14237" s="11"/>
    </row>
    <row r="14238" spans="1:12" ht="200.15" customHeight="1" thickBot="1">
      <c r="B14238" s="146"/>
      <c r="C14238" s="147"/>
      <c r="D14238" s="770"/>
      <c r="E14238" s="67"/>
      <c r="F14238" s="67"/>
      <c r="G14238" s="67"/>
      <c r="H14238" s="67"/>
      <c r="I14238" s="11"/>
    </row>
    <row r="14239" spans="1:12" ht="11.15" customHeight="1" thickBot="1">
      <c r="A14239" s="184" t="s">
        <v>18668</v>
      </c>
      <c r="B14239" s="177" t="s">
        <v>18669</v>
      </c>
      <c r="C14239" s="147"/>
      <c r="D14239" s="122"/>
      <c r="E14239" s="36"/>
      <c r="F14239" s="178"/>
      <c r="G14239" s="60"/>
      <c r="H14239" s="36"/>
      <c r="I14239" s="11"/>
    </row>
    <row r="14240" spans="1:12" ht="11.15" customHeight="1">
      <c r="A14240" s="29" t="s">
        <v>18670</v>
      </c>
      <c r="B14240" s="59" t="s">
        <v>23159</v>
      </c>
      <c r="C14240" s="147" t="s">
        <v>20221</v>
      </c>
      <c r="D14240" s="183" t="s">
        <v>6904</v>
      </c>
      <c r="E14240" s="178">
        <v>2009</v>
      </c>
      <c r="F14240" s="178" t="s">
        <v>23433</v>
      </c>
      <c r="G14240" s="496"/>
      <c r="H14240" s="994" t="s">
        <v>20221</v>
      </c>
      <c r="I14240" s="11" t="s">
        <v>18671</v>
      </c>
      <c r="J14240" s="1285"/>
      <c r="K14240" s="1285"/>
      <c r="L14240" s="1285"/>
    </row>
    <row r="14241" spans="1:12" ht="11.15" customHeight="1">
      <c r="A14241" s="29" t="s">
        <v>18672</v>
      </c>
      <c r="B14241" s="90"/>
      <c r="C14241" s="147"/>
      <c r="D14241" s="122"/>
      <c r="E14241" s="34"/>
      <c r="F14241" s="178"/>
      <c r="G14241" s="496"/>
      <c r="H14241" s="36"/>
      <c r="I14241" s="11"/>
    </row>
    <row r="14242" spans="1:12" ht="11.15" customHeight="1">
      <c r="A14242" s="129" t="s">
        <v>1077</v>
      </c>
      <c r="B14242" s="177" t="s">
        <v>18673</v>
      </c>
      <c r="C14242" s="147"/>
      <c r="D14242" s="122"/>
      <c r="E14242" s="34"/>
      <c r="F14242" s="178"/>
      <c r="G14242" s="60"/>
      <c r="H14242" s="36"/>
      <c r="I14242" s="11"/>
    </row>
    <row r="14243" spans="1:12" ht="11.15" customHeight="1">
      <c r="A14243" s="162" t="s">
        <v>18674</v>
      </c>
      <c r="B14243" s="59" t="s">
        <v>23160</v>
      </c>
      <c r="C14243" s="147" t="s">
        <v>20221</v>
      </c>
      <c r="D14243" s="183" t="s">
        <v>6904</v>
      </c>
      <c r="E14243" s="178">
        <v>2003</v>
      </c>
      <c r="F14243" s="178" t="s">
        <v>23433</v>
      </c>
      <c r="G14243" s="496"/>
      <c r="H14243" s="994" t="s">
        <v>20224</v>
      </c>
      <c r="I14243" s="11" t="s">
        <v>18675</v>
      </c>
      <c r="J14243" s="1285"/>
      <c r="K14243" s="1285"/>
      <c r="L14243" s="1285"/>
    </row>
    <row r="14244" spans="1:12" ht="11.15" customHeight="1">
      <c r="A14244" s="162" t="s">
        <v>18676</v>
      </c>
      <c r="B14244" s="59" t="s">
        <v>23161</v>
      </c>
      <c r="C14244" s="147" t="s">
        <v>20221</v>
      </c>
      <c r="D14244" s="183" t="s">
        <v>6904</v>
      </c>
      <c r="E14244" s="178">
        <v>2012</v>
      </c>
      <c r="F14244" s="178" t="s">
        <v>23433</v>
      </c>
      <c r="G14244" s="496"/>
      <c r="H14244" s="994" t="s">
        <v>20224</v>
      </c>
      <c r="I14244" s="11" t="s">
        <v>18677</v>
      </c>
      <c r="J14244" s="1285"/>
      <c r="K14244" s="1285"/>
      <c r="L14244" s="1285"/>
    </row>
    <row r="14245" spans="1:12" ht="11.15" customHeight="1">
      <c r="A14245" s="162" t="s">
        <v>18678</v>
      </c>
      <c r="B14245" s="150" t="s">
        <v>18679</v>
      </c>
      <c r="C14245" s="147"/>
      <c r="D14245" s="129"/>
      <c r="E14245" s="61"/>
      <c r="F14245" s="185"/>
      <c r="G14245" s="185"/>
      <c r="H14245" s="185"/>
      <c r="I14245" s="11"/>
    </row>
    <row r="14246" spans="1:12" ht="11.15" customHeight="1">
      <c r="A14246" s="162" t="s">
        <v>18680</v>
      </c>
      <c r="B14246" s="59" t="s">
        <v>23162</v>
      </c>
      <c r="C14246" s="147" t="s">
        <v>20221</v>
      </c>
      <c r="D14246" s="183" t="s">
        <v>6904</v>
      </c>
      <c r="E14246" s="178">
        <v>2000</v>
      </c>
      <c r="F14246" s="178" t="s">
        <v>23433</v>
      </c>
      <c r="G14246" s="496"/>
      <c r="H14246" s="994" t="s">
        <v>20221</v>
      </c>
      <c r="I14246" s="11" t="s">
        <v>18681</v>
      </c>
      <c r="J14246" s="1285"/>
      <c r="K14246" s="1285"/>
      <c r="L14246" s="1285"/>
    </row>
    <row r="14247" spans="1:12" ht="11.15" customHeight="1">
      <c r="A14247" s="162" t="s">
        <v>18682</v>
      </c>
      <c r="B14247" s="59" t="s">
        <v>23162</v>
      </c>
      <c r="C14247" s="147" t="s">
        <v>20221</v>
      </c>
      <c r="D14247" s="183" t="s">
        <v>6904</v>
      </c>
      <c r="E14247" s="178">
        <v>1998</v>
      </c>
      <c r="F14247" s="178" t="s">
        <v>23433</v>
      </c>
      <c r="G14247" s="496"/>
      <c r="H14247" s="994" t="s">
        <v>20224</v>
      </c>
      <c r="I14247" s="11" t="s">
        <v>18683</v>
      </c>
      <c r="J14247" s="1285"/>
      <c r="K14247" s="1285"/>
      <c r="L14247" s="1285"/>
    </row>
    <row r="14248" spans="1:12" ht="11.15" customHeight="1">
      <c r="A14248" s="162" t="s">
        <v>18684</v>
      </c>
      <c r="B14248" s="59" t="s">
        <v>23163</v>
      </c>
      <c r="C14248" s="147" t="s">
        <v>20221</v>
      </c>
      <c r="D14248" s="183" t="s">
        <v>6904</v>
      </c>
      <c r="E14248" s="178">
        <v>1998</v>
      </c>
      <c r="F14248" s="178" t="s">
        <v>9678</v>
      </c>
      <c r="G14248" s="496"/>
      <c r="H14248" s="994" t="s">
        <v>20224</v>
      </c>
      <c r="I14248" s="11" t="s">
        <v>18685</v>
      </c>
      <c r="J14248" s="1285"/>
      <c r="K14248" s="1285"/>
      <c r="L14248" s="1285"/>
    </row>
    <row r="14249" spans="1:12" ht="11.15" customHeight="1">
      <c r="A14249" s="162" t="s">
        <v>18686</v>
      </c>
      <c r="B14249" s="59" t="s">
        <v>23164</v>
      </c>
      <c r="C14249" s="147" t="s">
        <v>20221</v>
      </c>
      <c r="D14249" s="183" t="s">
        <v>6904</v>
      </c>
      <c r="E14249" s="178">
        <v>1994</v>
      </c>
      <c r="F14249" s="178" t="s">
        <v>23398</v>
      </c>
      <c r="G14249" s="496"/>
      <c r="H14249" s="994" t="s">
        <v>20224</v>
      </c>
      <c r="I14249" s="11" t="s">
        <v>18687</v>
      </c>
      <c r="J14249" s="1285"/>
      <c r="K14249" s="1285"/>
      <c r="L14249" s="1285"/>
    </row>
    <row r="14250" spans="1:12" ht="11.15" customHeight="1">
      <c r="A14250" s="162" t="s">
        <v>18688</v>
      </c>
      <c r="B14250" s="185"/>
      <c r="C14250" s="147"/>
      <c r="D14250" s="129"/>
      <c r="E14250" s="185"/>
      <c r="F14250" s="185"/>
      <c r="G14250" s="185"/>
      <c r="H14250" s="185"/>
      <c r="I14250" s="11"/>
    </row>
    <row r="14251" spans="1:12" ht="11.15" customHeight="1">
      <c r="A14251" s="162" t="s">
        <v>18689</v>
      </c>
      <c r="B14251" s="574" t="s">
        <v>18690</v>
      </c>
      <c r="C14251" s="147"/>
      <c r="D14251" s="122"/>
      <c r="E14251" s="36"/>
      <c r="F14251" s="183"/>
      <c r="G14251" s="1190"/>
      <c r="H14251" s="34"/>
      <c r="I14251" s="11"/>
    </row>
    <row r="14252" spans="1:12" ht="11.15" customHeight="1">
      <c r="A14252" s="129" t="s">
        <v>18691</v>
      </c>
      <c r="B14252" s="59" t="s">
        <v>23165</v>
      </c>
      <c r="C14252" s="147" t="s">
        <v>20221</v>
      </c>
      <c r="D14252" s="183" t="s">
        <v>6904</v>
      </c>
      <c r="E14252" s="178">
        <v>2015</v>
      </c>
      <c r="F14252" s="178" t="s">
        <v>23398</v>
      </c>
      <c r="G14252" s="496"/>
      <c r="H14252" s="994" t="s">
        <v>20224</v>
      </c>
      <c r="I14252" s="11" t="s">
        <v>18692</v>
      </c>
      <c r="J14252" s="1285"/>
      <c r="K14252" s="1285"/>
      <c r="L14252" s="1285"/>
    </row>
    <row r="14253" spans="1:12" ht="11.15" customHeight="1">
      <c r="A14253" s="162" t="s">
        <v>18693</v>
      </c>
      <c r="B14253" s="59" t="s">
        <v>23166</v>
      </c>
      <c r="C14253" s="147" t="s">
        <v>20221</v>
      </c>
      <c r="D14253" s="183" t="s">
        <v>6904</v>
      </c>
      <c r="E14253" s="178">
        <v>2014</v>
      </c>
      <c r="F14253" s="178" t="s">
        <v>23434</v>
      </c>
      <c r="G14253" s="496"/>
      <c r="H14253" s="994" t="s">
        <v>20221</v>
      </c>
      <c r="I14253" s="11" t="s">
        <v>18694</v>
      </c>
      <c r="J14253" s="1285"/>
      <c r="K14253" s="1285"/>
      <c r="L14253" s="1285"/>
    </row>
    <row r="14254" spans="1:12" ht="11.15" customHeight="1">
      <c r="A14254" s="162" t="s">
        <v>18695</v>
      </c>
      <c r="B14254" s="59" t="s">
        <v>23167</v>
      </c>
      <c r="C14254" s="147" t="s">
        <v>20221</v>
      </c>
      <c r="D14254" s="183" t="s">
        <v>6904</v>
      </c>
      <c r="E14254" s="178">
        <v>2010</v>
      </c>
      <c r="F14254" s="178" t="s">
        <v>23398</v>
      </c>
      <c r="G14254" s="496"/>
      <c r="H14254" s="994" t="s">
        <v>20224</v>
      </c>
      <c r="I14254" s="11" t="s">
        <v>18696</v>
      </c>
      <c r="J14254" s="1285"/>
      <c r="K14254" s="1285"/>
      <c r="L14254" s="1285"/>
    </row>
    <row r="14255" spans="1:12" ht="11.15" customHeight="1">
      <c r="A14255" s="162" t="s">
        <v>18697</v>
      </c>
      <c r="B14255" s="59" t="s">
        <v>23168</v>
      </c>
      <c r="C14255" s="147" t="s">
        <v>20221</v>
      </c>
      <c r="D14255" s="183" t="s">
        <v>6904</v>
      </c>
      <c r="E14255" s="178">
        <v>2005</v>
      </c>
      <c r="F14255" s="178" t="s">
        <v>23398</v>
      </c>
      <c r="G14255" s="496"/>
      <c r="H14255" s="994" t="s">
        <v>20224</v>
      </c>
      <c r="I14255" s="11" t="s">
        <v>18698</v>
      </c>
      <c r="J14255" s="1285"/>
      <c r="K14255" s="1285"/>
      <c r="L14255" s="1285"/>
    </row>
    <row r="14256" spans="1:12" ht="11.15" customHeight="1">
      <c r="A14256" s="162" t="s">
        <v>18699</v>
      </c>
      <c r="B14256" s="59" t="s">
        <v>23169</v>
      </c>
      <c r="C14256" s="147" t="s">
        <v>20221</v>
      </c>
      <c r="D14256" s="183" t="s">
        <v>6904</v>
      </c>
      <c r="E14256" s="178">
        <v>1995</v>
      </c>
      <c r="F14256" s="178" t="s">
        <v>23398</v>
      </c>
      <c r="G14256" s="496"/>
      <c r="H14256" s="994" t="s">
        <v>20224</v>
      </c>
      <c r="I14256" s="11" t="s">
        <v>18700</v>
      </c>
      <c r="J14256" s="1285"/>
      <c r="K14256" s="1285"/>
      <c r="L14256" s="1285"/>
    </row>
    <row r="14257" spans="1:12" ht="11.15" customHeight="1">
      <c r="A14257" s="162" t="s">
        <v>18701</v>
      </c>
      <c r="B14257" s="185"/>
      <c r="C14257" s="147"/>
      <c r="D14257" s="129"/>
      <c r="E14257" s="185"/>
      <c r="F14257" s="185"/>
      <c r="G14257" s="185"/>
      <c r="H14257" s="185"/>
      <c r="I14257" s="11"/>
    </row>
    <row r="14258" spans="1:12" ht="11.15" customHeight="1">
      <c r="A14258" s="129" t="s">
        <v>18702</v>
      </c>
      <c r="B14258" s="177" t="s">
        <v>18703</v>
      </c>
      <c r="C14258" s="147"/>
      <c r="D14258" s="122"/>
      <c r="E14258" s="36"/>
      <c r="F14258" s="178"/>
      <c r="G14258" s="60"/>
      <c r="H14258" s="36"/>
      <c r="I14258" s="11"/>
    </row>
    <row r="14259" spans="1:12" ht="11.15" customHeight="1">
      <c r="A14259" s="162" t="s">
        <v>18704</v>
      </c>
      <c r="B14259" s="59" t="s">
        <v>23170</v>
      </c>
      <c r="C14259" s="147" t="s">
        <v>20221</v>
      </c>
      <c r="D14259" s="183" t="s">
        <v>6904</v>
      </c>
      <c r="E14259" s="178">
        <v>2001</v>
      </c>
      <c r="F14259" s="178" t="s">
        <v>23434</v>
      </c>
      <c r="G14259" s="496"/>
      <c r="H14259" s="994" t="s">
        <v>20221</v>
      </c>
      <c r="I14259" s="11" t="s">
        <v>18705</v>
      </c>
      <c r="J14259" s="1285"/>
      <c r="K14259" s="1285"/>
      <c r="L14259" s="1285"/>
    </row>
    <row r="14260" spans="1:12" ht="11.15" customHeight="1">
      <c r="A14260" s="162" t="s">
        <v>18706</v>
      </c>
      <c r="B14260" s="59" t="s">
        <v>23171</v>
      </c>
      <c r="C14260" s="147" t="s">
        <v>20221</v>
      </c>
      <c r="D14260" s="183" t="s">
        <v>6904</v>
      </c>
      <c r="E14260" s="178">
        <v>1999</v>
      </c>
      <c r="F14260" s="178" t="s">
        <v>23434</v>
      </c>
      <c r="G14260" s="496"/>
      <c r="H14260" s="994" t="s">
        <v>20224</v>
      </c>
      <c r="I14260" s="11" t="s">
        <v>18707</v>
      </c>
      <c r="J14260" s="1285"/>
      <c r="K14260" s="1285"/>
      <c r="L14260" s="1285"/>
    </row>
    <row r="14261" spans="1:12" ht="11.15" customHeight="1">
      <c r="A14261" s="162" t="s">
        <v>18708</v>
      </c>
      <c r="B14261" s="90"/>
      <c r="C14261" s="147"/>
      <c r="D14261" s="122"/>
      <c r="E14261" s="34"/>
      <c r="F14261" s="183"/>
      <c r="G14261" s="496"/>
      <c r="H14261" s="34"/>
      <c r="I14261" s="11"/>
    </row>
    <row r="14262" spans="1:12" ht="11.15" customHeight="1">
      <c r="A14262" s="162" t="s">
        <v>18709</v>
      </c>
      <c r="B14262" s="177" t="s">
        <v>18710</v>
      </c>
      <c r="C14262" s="147"/>
      <c r="D14262" s="122"/>
      <c r="E14262" s="34"/>
      <c r="F14262" s="178"/>
      <c r="G14262" s="60"/>
      <c r="H14262" s="36"/>
      <c r="I14262" s="11"/>
    </row>
    <row r="14263" spans="1:12" ht="11.15" customHeight="1">
      <c r="A14263" s="162" t="s">
        <v>18711</v>
      </c>
      <c r="B14263" s="59" t="s">
        <v>23172</v>
      </c>
      <c r="C14263" s="147" t="s">
        <v>20221</v>
      </c>
      <c r="D14263" s="183" t="s">
        <v>6904</v>
      </c>
      <c r="E14263" s="178">
        <v>1992</v>
      </c>
      <c r="F14263" s="178" t="s">
        <v>23434</v>
      </c>
      <c r="G14263" s="496"/>
      <c r="H14263" s="994" t="s">
        <v>20224</v>
      </c>
      <c r="I14263" s="11" t="s">
        <v>18712</v>
      </c>
      <c r="J14263" s="1285"/>
      <c r="K14263" s="1285"/>
      <c r="L14263" s="1285"/>
    </row>
    <row r="14264" spans="1:12" ht="11.15" customHeight="1">
      <c r="A14264" s="162" t="s">
        <v>18713</v>
      </c>
      <c r="B14264" s="59" t="s">
        <v>23173</v>
      </c>
      <c r="C14264" s="147" t="s">
        <v>20221</v>
      </c>
      <c r="D14264" s="183" t="s">
        <v>6904</v>
      </c>
      <c r="E14264" s="178">
        <v>1990</v>
      </c>
      <c r="F14264" s="178" t="s">
        <v>23434</v>
      </c>
      <c r="G14264" s="496"/>
      <c r="H14264" s="994" t="s">
        <v>20221</v>
      </c>
      <c r="I14264" s="11" t="s">
        <v>18714</v>
      </c>
      <c r="J14264" s="1285"/>
      <c r="K14264" s="1285"/>
      <c r="L14264" s="1285"/>
    </row>
    <row r="14265" spans="1:12" ht="11.15" customHeight="1">
      <c r="A14265" s="162" t="s">
        <v>18715</v>
      </c>
      <c r="B14265" s="59" t="s">
        <v>23174</v>
      </c>
      <c r="C14265" s="147" t="s">
        <v>20221</v>
      </c>
      <c r="D14265" s="183" t="s">
        <v>6904</v>
      </c>
      <c r="E14265" s="178">
        <v>1990</v>
      </c>
      <c r="F14265" s="178" t="s">
        <v>23434</v>
      </c>
      <c r="G14265" s="496"/>
      <c r="H14265" s="994" t="s">
        <v>20221</v>
      </c>
      <c r="I14265" s="11" t="s">
        <v>18716</v>
      </c>
      <c r="J14265" s="1285"/>
      <c r="K14265" s="1285"/>
      <c r="L14265" s="1285"/>
    </row>
    <row r="14266" spans="1:12" ht="11.15" customHeight="1">
      <c r="A14266" s="212" t="s">
        <v>18717</v>
      </c>
      <c r="B14266" s="226"/>
      <c r="C14266" s="147"/>
      <c r="D14266" s="122"/>
      <c r="E14266" s="34"/>
      <c r="F14266" s="183"/>
      <c r="G14266" s="496"/>
      <c r="H14266" s="34"/>
      <c r="I14266" s="11"/>
    </row>
    <row r="14267" spans="1:12" ht="11.15" customHeight="1">
      <c r="A14267" s="129" t="s">
        <v>18718</v>
      </c>
      <c r="B14267" s="177" t="s">
        <v>18719</v>
      </c>
      <c r="C14267" s="147"/>
      <c r="D14267" s="122"/>
      <c r="E14267" s="36"/>
      <c r="F14267" s="183"/>
      <c r="G14267" s="60"/>
      <c r="H14267" s="34"/>
      <c r="I14267" s="11"/>
    </row>
    <row r="14268" spans="1:12" ht="11.15" customHeight="1">
      <c r="A14268" s="29"/>
      <c r="B14268" s="59" t="s">
        <v>23175</v>
      </c>
      <c r="C14268" s="147" t="s">
        <v>20221</v>
      </c>
      <c r="D14268" s="183" t="s">
        <v>6904</v>
      </c>
      <c r="E14268" s="178">
        <v>2014</v>
      </c>
      <c r="F14268" s="178" t="s">
        <v>23434</v>
      </c>
      <c r="G14268" s="496"/>
      <c r="H14268" s="994" t="s">
        <v>20224</v>
      </c>
      <c r="I14268" s="11" t="s">
        <v>18720</v>
      </c>
      <c r="J14268" s="1285"/>
      <c r="K14268" s="1285"/>
      <c r="L14268" s="1285"/>
    </row>
    <row r="14269" spans="1:12" ht="11.15" customHeight="1">
      <c r="A14269" s="185"/>
      <c r="B14269" s="59" t="s">
        <v>23176</v>
      </c>
      <c r="C14269" s="147" t="s">
        <v>20221</v>
      </c>
      <c r="D14269" s="183" t="s">
        <v>6904</v>
      </c>
      <c r="E14269" s="178">
        <v>2012</v>
      </c>
      <c r="F14269" s="178" t="s">
        <v>23434</v>
      </c>
      <c r="G14269" s="496"/>
      <c r="H14269" s="994" t="s">
        <v>20224</v>
      </c>
      <c r="I14269" s="11" t="s">
        <v>18721</v>
      </c>
      <c r="J14269" s="1285"/>
      <c r="K14269" s="1285"/>
      <c r="L14269" s="1285"/>
    </row>
    <row r="14270" spans="1:12" ht="11.15" customHeight="1">
      <c r="A14270" s="185"/>
      <c r="B14270" s="59" t="s">
        <v>23177</v>
      </c>
      <c r="C14270" s="147" t="s">
        <v>20221</v>
      </c>
      <c r="D14270" s="183" t="s">
        <v>6904</v>
      </c>
      <c r="E14270" s="178">
        <v>2003</v>
      </c>
      <c r="F14270" s="178" t="s">
        <v>23434</v>
      </c>
      <c r="G14270" s="496"/>
      <c r="H14270" s="994" t="s">
        <v>20224</v>
      </c>
      <c r="I14270" s="11" t="s">
        <v>18722</v>
      </c>
      <c r="J14270" s="1285"/>
      <c r="K14270" s="1285"/>
      <c r="L14270" s="1285"/>
    </row>
    <row r="14271" spans="1:12" ht="11.15" customHeight="1">
      <c r="A14271" s="185"/>
      <c r="B14271" s="59" t="s">
        <v>23177</v>
      </c>
      <c r="C14271" s="147" t="s">
        <v>20221</v>
      </c>
      <c r="D14271" s="183" t="s">
        <v>6904</v>
      </c>
      <c r="E14271" s="178">
        <v>1998</v>
      </c>
      <c r="F14271" s="178" t="s">
        <v>23434</v>
      </c>
      <c r="G14271" s="496"/>
      <c r="H14271" s="994" t="s">
        <v>20224</v>
      </c>
      <c r="I14271" s="11" t="s">
        <v>18723</v>
      </c>
      <c r="J14271" s="1285"/>
      <c r="K14271" s="1285"/>
      <c r="L14271" s="1285"/>
    </row>
    <row r="14272" spans="1:12" ht="11.15" customHeight="1">
      <c r="A14272" s="185"/>
      <c r="B14272" s="59" t="s">
        <v>23178</v>
      </c>
      <c r="C14272" s="147" t="s">
        <v>20221</v>
      </c>
      <c r="D14272" s="183" t="s">
        <v>6904</v>
      </c>
      <c r="E14272" s="178">
        <v>1992</v>
      </c>
      <c r="F14272" s="178" t="s">
        <v>23434</v>
      </c>
      <c r="G14272" s="496"/>
      <c r="H14272" s="994" t="s">
        <v>20221</v>
      </c>
      <c r="I14272" s="11" t="s">
        <v>18724</v>
      </c>
      <c r="J14272" s="1285"/>
      <c r="K14272" s="1285"/>
      <c r="L14272" s="1285"/>
    </row>
    <row r="14273" spans="1:12" ht="11.15" customHeight="1">
      <c r="A14273" s="185"/>
      <c r="B14273" s="226"/>
      <c r="C14273" s="147"/>
      <c r="D14273" s="122"/>
      <c r="E14273" s="36"/>
      <c r="F14273" s="183"/>
      <c r="G14273" s="496"/>
      <c r="H14273" s="34"/>
      <c r="I14273" s="11"/>
    </row>
    <row r="14274" spans="1:12" ht="11.15" customHeight="1">
      <c r="A14274" s="185"/>
      <c r="B14274" s="177" t="s">
        <v>18725</v>
      </c>
      <c r="C14274" s="147"/>
      <c r="D14274" s="122"/>
      <c r="E14274" s="36"/>
      <c r="F14274" s="183"/>
      <c r="G14274" s="60"/>
      <c r="H14274" s="34"/>
      <c r="I14274" s="11"/>
    </row>
    <row r="14275" spans="1:12" ht="11.15" customHeight="1">
      <c r="A14275" s="185"/>
      <c r="B14275" s="59" t="s">
        <v>23179</v>
      </c>
      <c r="C14275" s="147" t="s">
        <v>20221</v>
      </c>
      <c r="D14275" s="183" t="s">
        <v>6904</v>
      </c>
      <c r="E14275" s="178">
        <v>2001</v>
      </c>
      <c r="F14275" s="178" t="s">
        <v>23434</v>
      </c>
      <c r="G14275" s="496"/>
      <c r="H14275" s="994" t="s">
        <v>20224</v>
      </c>
      <c r="I14275" s="11" t="s">
        <v>18726</v>
      </c>
      <c r="J14275" s="1285"/>
      <c r="K14275" s="1285"/>
      <c r="L14275" s="1285"/>
    </row>
    <row r="14276" spans="1:12" ht="11.15" customHeight="1" thickBot="1">
      <c r="A14276" s="29"/>
      <c r="B14276" s="185"/>
      <c r="C14276" s="147"/>
      <c r="D14276" s="129"/>
      <c r="E14276" s="185"/>
      <c r="F14276" s="185"/>
      <c r="G14276" s="185"/>
      <c r="H14276" s="185"/>
      <c r="I14276" s="11"/>
    </row>
    <row r="14277" spans="1:12" ht="11.15" customHeight="1" thickBot="1">
      <c r="A14277" s="184" t="s">
        <v>18727</v>
      </c>
      <c r="B14277" s="59" t="s">
        <v>23181</v>
      </c>
      <c r="C14277" s="147" t="s">
        <v>20221</v>
      </c>
      <c r="D14277" s="183" t="s">
        <v>6904</v>
      </c>
      <c r="E14277" s="178" t="s">
        <v>20221</v>
      </c>
      <c r="F14277" s="178" t="s">
        <v>23404</v>
      </c>
      <c r="G14277" s="496" t="s">
        <v>20221</v>
      </c>
      <c r="H14277" s="994" t="s">
        <v>3907</v>
      </c>
      <c r="I14277" s="11" t="s">
        <v>18729</v>
      </c>
      <c r="J14277" s="1285"/>
      <c r="K14277" s="1285"/>
      <c r="L14277" s="1285"/>
    </row>
    <row r="14278" spans="1:12" ht="11.15" customHeight="1">
      <c r="A14278" s="29" t="s">
        <v>18728</v>
      </c>
      <c r="B14278" s="377"/>
      <c r="C14278" s="147"/>
      <c r="D14278" s="122"/>
      <c r="E14278" s="36"/>
      <c r="F14278" s="178"/>
      <c r="G14278" s="60"/>
      <c r="H14278" s="36"/>
      <c r="I14278" s="11"/>
    </row>
    <row r="14279" spans="1:12" ht="11.15" customHeight="1">
      <c r="A14279" s="29" t="s">
        <v>18730</v>
      </c>
      <c r="B14279" s="377"/>
      <c r="C14279" s="147"/>
      <c r="D14279" s="122"/>
      <c r="E14279" s="36"/>
      <c r="F14279" s="178"/>
      <c r="G14279" s="60"/>
      <c r="H14279" s="36"/>
      <c r="I14279" s="11"/>
    </row>
    <row r="14280" spans="1:12" ht="11.15" customHeight="1">
      <c r="A14280" s="129" t="s">
        <v>18718</v>
      </c>
      <c r="B14280" s="377"/>
      <c r="C14280" s="147"/>
      <c r="D14280" s="122"/>
      <c r="E14280" s="36"/>
      <c r="F14280" s="178"/>
      <c r="G14280" s="60"/>
      <c r="H14280" s="36"/>
      <c r="I14280" s="11"/>
    </row>
    <row r="14281" spans="1:12" ht="11.15" customHeight="1" thickBot="1">
      <c r="A14281" s="185"/>
      <c r="B14281" s="185"/>
      <c r="C14281" s="147"/>
      <c r="D14281" s="129"/>
      <c r="E14281" s="185"/>
      <c r="F14281" s="185"/>
      <c r="G14281" s="185"/>
      <c r="H14281" s="185"/>
      <c r="I14281" s="11"/>
    </row>
    <row r="14282" spans="1:12" ht="11.15" customHeight="1" thickBot="1">
      <c r="A14282" s="184" t="s">
        <v>13199</v>
      </c>
      <c r="B14282" s="59" t="s">
        <v>23183</v>
      </c>
      <c r="C14282" s="147" t="s">
        <v>20221</v>
      </c>
      <c r="D14282" s="1039" t="s">
        <v>6904</v>
      </c>
      <c r="E14282" s="178" t="s">
        <v>19060</v>
      </c>
      <c r="F14282" s="178" t="s">
        <v>23398</v>
      </c>
      <c r="G14282" s="496"/>
      <c r="H14282" s="994" t="s">
        <v>20224</v>
      </c>
      <c r="I14282" s="11" t="s">
        <v>13432</v>
      </c>
      <c r="J14282" s="1285"/>
      <c r="K14282" s="1285"/>
      <c r="L14282" s="1285"/>
    </row>
    <row r="14283" spans="1:12" ht="11.15" customHeight="1">
      <c r="A14283" s="29" t="s">
        <v>18731</v>
      </c>
      <c r="B14283" s="59" t="s">
        <v>23184</v>
      </c>
      <c r="C14283" s="147" t="s">
        <v>20221</v>
      </c>
      <c r="D14283" s="1039" t="s">
        <v>6904</v>
      </c>
      <c r="E14283" s="178" t="s">
        <v>19060</v>
      </c>
      <c r="F14283" s="178" t="s">
        <v>23398</v>
      </c>
      <c r="G14283" s="496"/>
      <c r="H14283" s="994" t="s">
        <v>20224</v>
      </c>
      <c r="I14283" s="11" t="s">
        <v>18732</v>
      </c>
      <c r="J14283" s="1285"/>
      <c r="K14283" s="1285"/>
      <c r="L14283" s="1285"/>
    </row>
    <row r="14284" spans="1:12" ht="11.15" customHeight="1">
      <c r="A14284" s="166" t="s">
        <v>13476</v>
      </c>
      <c r="B14284" s="90"/>
      <c r="C14284" s="147"/>
      <c r="D14284" s="122"/>
      <c r="E14284" s="36"/>
      <c r="F14284" s="178"/>
      <c r="G14284" s="496"/>
      <c r="H14284" s="36"/>
      <c r="I14284" s="11"/>
    </row>
    <row r="14285" spans="1:12" ht="11.15" customHeight="1">
      <c r="A14285" s="29" t="s">
        <v>18733</v>
      </c>
      <c r="B14285" s="185"/>
      <c r="C14285" s="147"/>
      <c r="D14285" s="29"/>
      <c r="E14285" s="185"/>
      <c r="F14285" s="185"/>
      <c r="G14285" s="185"/>
      <c r="H14285" s="185"/>
      <c r="I14285" s="11"/>
    </row>
    <row r="14286" spans="1:12" ht="11.15" customHeight="1" thickBot="1">
      <c r="A14286" s="129" t="s">
        <v>13477</v>
      </c>
      <c r="B14286" s="185"/>
      <c r="C14286" s="147"/>
      <c r="D14286" s="129"/>
      <c r="E14286" s="185"/>
      <c r="F14286" s="185"/>
      <c r="G14286" s="185"/>
      <c r="H14286" s="185"/>
      <c r="I14286" s="11"/>
    </row>
    <row r="14287" spans="1:12" ht="24" customHeight="1" thickBot="1">
      <c r="A14287" s="381"/>
      <c r="B14287" s="50" t="s">
        <v>18734</v>
      </c>
      <c r="C14287" s="170"/>
      <c r="D14287" s="382"/>
      <c r="E14287" s="235"/>
      <c r="F14287" s="383"/>
      <c r="G14287" s="1094"/>
      <c r="H14287" s="875"/>
      <c r="I14287" s="11"/>
    </row>
    <row r="14288" spans="1:12" ht="11.15" customHeight="1" thickBot="1">
      <c r="A14288" s="184" t="s">
        <v>18325</v>
      </c>
      <c r="B14288" s="59" t="s">
        <v>23037</v>
      </c>
      <c r="C14288" s="147" t="s">
        <v>20221</v>
      </c>
      <c r="D14288" s="183" t="s">
        <v>6904</v>
      </c>
      <c r="E14288" s="178" t="s">
        <v>19060</v>
      </c>
      <c r="F14288" s="178" t="s">
        <v>23426</v>
      </c>
      <c r="G14288" s="496"/>
      <c r="H14288" s="994" t="s">
        <v>20221</v>
      </c>
      <c r="I14288" s="11" t="s">
        <v>18326</v>
      </c>
      <c r="J14288" s="1285"/>
      <c r="K14288" s="1285"/>
      <c r="L14288" s="1285"/>
    </row>
    <row r="14289" spans="1:12" ht="11.15" customHeight="1">
      <c r="A14289" s="29" t="s">
        <v>18327</v>
      </c>
      <c r="B14289" s="59" t="s">
        <v>23039</v>
      </c>
      <c r="C14289" s="147" t="s">
        <v>20221</v>
      </c>
      <c r="D14289" s="183" t="s">
        <v>6904</v>
      </c>
      <c r="E14289" s="178" t="s">
        <v>19060</v>
      </c>
      <c r="F14289" s="178" t="s">
        <v>23427</v>
      </c>
      <c r="G14289" s="496"/>
      <c r="H14289" s="994" t="s">
        <v>20224</v>
      </c>
      <c r="I14289" s="11" t="s">
        <v>18328</v>
      </c>
      <c r="J14289" s="1285"/>
      <c r="K14289" s="1285"/>
      <c r="L14289" s="1285"/>
    </row>
    <row r="14290" spans="1:12" ht="11.15" customHeight="1">
      <c r="A14290" s="29" t="s">
        <v>18329</v>
      </c>
      <c r="B14290" s="656" t="s">
        <v>18330</v>
      </c>
      <c r="C14290" s="147"/>
      <c r="D14290" s="122"/>
      <c r="E14290" s="36"/>
      <c r="F14290" s="178"/>
      <c r="G14290" s="496"/>
      <c r="H14290" s="36"/>
      <c r="I14290" s="11"/>
    </row>
    <row r="14291" spans="1:12" ht="11.15" customHeight="1">
      <c r="A14291" s="29" t="s">
        <v>18331</v>
      </c>
      <c r="B14291" s="656"/>
      <c r="C14291" s="147"/>
      <c r="D14291" s="122"/>
      <c r="E14291" s="36"/>
      <c r="F14291" s="178"/>
      <c r="G14291" s="496"/>
      <c r="H14291" s="36"/>
      <c r="I14291" s="11"/>
    </row>
    <row r="14292" spans="1:12" ht="11.15" customHeight="1">
      <c r="A14292" s="29" t="s">
        <v>18332</v>
      </c>
      <c r="B14292" s="656"/>
      <c r="C14292" s="147"/>
      <c r="D14292" s="122"/>
      <c r="E14292" s="36"/>
      <c r="F14292" s="178"/>
      <c r="G14292" s="496"/>
      <c r="H14292" s="36"/>
      <c r="I14292" s="11"/>
    </row>
    <row r="14293" spans="1:12" ht="11.15" customHeight="1">
      <c r="A14293" s="29" t="s">
        <v>18333</v>
      </c>
      <c r="B14293" s="90"/>
      <c r="C14293" s="147"/>
      <c r="D14293" s="122"/>
      <c r="E14293" s="36"/>
      <c r="F14293" s="178"/>
      <c r="G14293" s="496"/>
      <c r="H14293" s="36"/>
      <c r="I14293" s="11"/>
    </row>
    <row r="14294" spans="1:12" ht="11.15" customHeight="1">
      <c r="A14294" s="29" t="s">
        <v>18334</v>
      </c>
      <c r="B14294" s="90"/>
      <c r="C14294" s="147"/>
      <c r="D14294" s="122"/>
      <c r="E14294" s="36"/>
      <c r="F14294" s="178"/>
      <c r="G14294" s="496"/>
      <c r="H14294" s="36"/>
      <c r="I14294" s="11"/>
    </row>
    <row r="14295" spans="1:12" ht="11.15" customHeight="1">
      <c r="A14295" s="29" t="s">
        <v>18335</v>
      </c>
      <c r="B14295" s="90"/>
      <c r="C14295" s="147"/>
      <c r="D14295" s="122"/>
      <c r="E14295" s="36"/>
      <c r="F14295" s="178"/>
      <c r="G14295" s="496"/>
      <c r="H14295" s="36"/>
      <c r="I14295" s="11"/>
    </row>
    <row r="14296" spans="1:12" ht="11.15" customHeight="1">
      <c r="A14296" s="129" t="s">
        <v>18336</v>
      </c>
      <c r="B14296" s="90"/>
      <c r="C14296" s="147"/>
      <c r="D14296" s="122"/>
      <c r="E14296" s="36"/>
      <c r="F14296" s="178"/>
      <c r="G14296" s="496"/>
      <c r="H14296" s="36"/>
      <c r="I14296" s="11"/>
    </row>
    <row r="14297" spans="1:12" ht="11.15" customHeight="1">
      <c r="A14297" s="616" t="s">
        <v>5463</v>
      </c>
      <c r="B14297" s="90"/>
      <c r="C14297" s="147"/>
      <c r="D14297" s="122"/>
      <c r="E14297" s="36"/>
      <c r="F14297" s="178"/>
      <c r="G14297" s="496"/>
      <c r="H14297" s="36"/>
      <c r="I14297" s="11"/>
    </row>
    <row r="14298" spans="1:12" ht="11.15" customHeight="1" thickBot="1">
      <c r="A14298" s="616"/>
      <c r="B14298" s="185"/>
      <c r="C14298" s="147"/>
      <c r="D14298" s="161"/>
      <c r="E14298" s="36"/>
      <c r="F14298" s="178"/>
      <c r="G14298" s="496"/>
      <c r="H14298" s="36"/>
      <c r="I14298" s="11"/>
    </row>
    <row r="14299" spans="1:12" ht="24" customHeight="1" thickBot="1">
      <c r="A14299" s="234"/>
      <c r="B14299" s="64" t="s">
        <v>18735</v>
      </c>
      <c r="C14299" s="170"/>
      <c r="D14299" s="139"/>
      <c r="E14299" s="874"/>
      <c r="F14299" s="1094"/>
      <c r="G14299" s="1094"/>
      <c r="H14299" s="875"/>
      <c r="I14299" s="11"/>
    </row>
    <row r="14300" spans="1:12" ht="24" customHeight="1" thickBot="1">
      <c r="A14300" s="234"/>
      <c r="B14300" s="64" t="s">
        <v>18736</v>
      </c>
      <c r="C14300" s="170"/>
      <c r="D14300" s="139"/>
      <c r="E14300" s="874"/>
      <c r="F14300" s="1094"/>
      <c r="G14300" s="1094"/>
      <c r="H14300" s="875"/>
      <c r="I14300" s="11"/>
    </row>
    <row r="14301" spans="1:12" ht="21" customHeight="1">
      <c r="A14301" s="876"/>
      <c r="B14301" s="877" t="s">
        <v>18737</v>
      </c>
      <c r="C14301" s="147"/>
      <c r="D14301" s="87"/>
      <c r="E14301" s="34"/>
      <c r="F14301" s="183"/>
      <c r="G14301" s="1266"/>
      <c r="H14301" s="34"/>
      <c r="I14301" s="11"/>
    </row>
    <row r="14302" spans="1:12" ht="11.15" customHeight="1">
      <c r="A14302" s="129" t="s">
        <v>4112</v>
      </c>
      <c r="B14302" s="90" t="s">
        <v>18738</v>
      </c>
      <c r="C14302" s="147"/>
      <c r="D14302" s="284" t="s">
        <v>897</v>
      </c>
      <c r="E14302" s="36"/>
      <c r="F14302" s="178"/>
      <c r="G14302" s="496"/>
      <c r="H14302" s="36"/>
      <c r="I14302" s="11"/>
    </row>
    <row r="14303" spans="1:12" ht="11.15" customHeight="1">
      <c r="A14303" s="129" t="s">
        <v>18739</v>
      </c>
      <c r="B14303" s="90" t="s">
        <v>18740</v>
      </c>
      <c r="C14303" s="147"/>
      <c r="D14303" s="1034" t="s">
        <v>18741</v>
      </c>
      <c r="E14303" s="36"/>
      <c r="F14303" s="178"/>
      <c r="G14303" s="496"/>
      <c r="H14303" s="36"/>
      <c r="I14303" s="11"/>
    </row>
    <row r="14304" spans="1:12" ht="11.15" customHeight="1">
      <c r="A14304" s="129" t="s">
        <v>16857</v>
      </c>
      <c r="B14304" s="90" t="s">
        <v>16858</v>
      </c>
      <c r="C14304" s="147"/>
      <c r="D14304" s="1034" t="s">
        <v>18742</v>
      </c>
      <c r="E14304" s="36"/>
      <c r="F14304" s="178"/>
      <c r="G14304" s="496"/>
      <c r="H14304" s="36"/>
      <c r="I14304" s="11"/>
    </row>
    <row r="14305" spans="1:9" ht="11.15" customHeight="1">
      <c r="A14305" s="129" t="s">
        <v>18743</v>
      </c>
      <c r="B14305" s="90" t="s">
        <v>606</v>
      </c>
      <c r="C14305" s="147"/>
      <c r="D14305" s="284" t="s">
        <v>897</v>
      </c>
      <c r="E14305" s="36"/>
      <c r="F14305" s="178"/>
      <c r="G14305" s="496"/>
      <c r="H14305" s="36"/>
      <c r="I14305" s="11"/>
    </row>
    <row r="14306" spans="1:9" ht="21" customHeight="1">
      <c r="A14306" s="876"/>
      <c r="B14306" s="879" t="s">
        <v>18744</v>
      </c>
      <c r="C14306" s="147"/>
      <c r="D14306" s="87"/>
      <c r="E14306" s="34"/>
      <c r="F14306" s="183"/>
      <c r="G14306" s="1266"/>
      <c r="H14306" s="34"/>
      <c r="I14306" s="11"/>
    </row>
    <row r="14307" spans="1:9" ht="9" customHeight="1">
      <c r="A14307" s="129" t="s">
        <v>18745</v>
      </c>
      <c r="B14307" s="90" t="s">
        <v>7</v>
      </c>
      <c r="C14307" s="147"/>
      <c r="D14307" s="701" t="s">
        <v>884</v>
      </c>
      <c r="E14307" s="36"/>
      <c r="F14307" s="178"/>
      <c r="G14307" s="496"/>
      <c r="H14307" s="36"/>
      <c r="I14307" s="11"/>
    </row>
    <row r="14308" spans="1:9" ht="11.15" customHeight="1">
      <c r="A14308" s="129" t="s">
        <v>3507</v>
      </c>
      <c r="B14308" s="59" t="s">
        <v>3549</v>
      </c>
      <c r="C14308" s="147"/>
      <c r="D14308" s="284" t="s">
        <v>897</v>
      </c>
      <c r="E14308" s="36"/>
      <c r="F14308" s="178"/>
      <c r="G14308" s="496"/>
      <c r="H14308" s="36"/>
      <c r="I14308" s="11"/>
    </row>
    <row r="14309" spans="1:9" ht="9" customHeight="1">
      <c r="A14309" s="129" t="s">
        <v>10154</v>
      </c>
      <c r="B14309" s="59" t="s">
        <v>18746</v>
      </c>
      <c r="C14309" s="147"/>
      <c r="D14309" s="284" t="s">
        <v>10155</v>
      </c>
      <c r="E14309" s="178"/>
      <c r="F14309" s="178"/>
      <c r="G14309" s="496"/>
      <c r="H14309" s="36"/>
      <c r="I14309" s="11"/>
    </row>
    <row r="14310" spans="1:9" ht="9" customHeight="1">
      <c r="A14310" s="129" t="s">
        <v>11044</v>
      </c>
      <c r="B14310" s="90" t="s">
        <v>18747</v>
      </c>
      <c r="C14310" s="147"/>
      <c r="D14310" s="284" t="s">
        <v>897</v>
      </c>
      <c r="E14310" s="36"/>
      <c r="F14310" s="178"/>
      <c r="G14310" s="496"/>
      <c r="H14310" s="36"/>
      <c r="I14310" s="11"/>
    </row>
    <row r="14311" spans="1:9" ht="9" customHeight="1">
      <c r="A14311" s="733" t="s">
        <v>13071</v>
      </c>
      <c r="B14311" s="59" t="s">
        <v>18748</v>
      </c>
      <c r="C14311" s="147"/>
      <c r="D14311" s="284" t="s">
        <v>897</v>
      </c>
      <c r="E14311" s="36"/>
      <c r="F14311" s="178"/>
      <c r="G14311" s="496"/>
      <c r="H14311" s="36"/>
      <c r="I14311" s="11"/>
    </row>
    <row r="14312" spans="1:9" ht="9" customHeight="1">
      <c r="A14312" s="129" t="s">
        <v>13291</v>
      </c>
      <c r="B14312" s="90" t="s">
        <v>438</v>
      </c>
      <c r="C14312" s="147"/>
      <c r="D14312" s="284" t="s">
        <v>897</v>
      </c>
      <c r="E14312" s="36"/>
      <c r="F14312" s="178"/>
      <c r="G14312" s="496"/>
      <c r="H14312" s="36"/>
      <c r="I14312" s="11"/>
    </row>
    <row r="14313" spans="1:9" ht="9" customHeight="1">
      <c r="A14313" s="129" t="s">
        <v>13646</v>
      </c>
      <c r="B14313" s="90" t="s">
        <v>18749</v>
      </c>
      <c r="C14313" s="147"/>
      <c r="D14313" s="701" t="s">
        <v>18750</v>
      </c>
      <c r="E14313" s="36"/>
      <c r="F14313" s="178"/>
      <c r="G14313" s="496"/>
      <c r="H14313" s="36"/>
      <c r="I14313" s="11"/>
    </row>
    <row r="14314" spans="1:9" ht="9" customHeight="1">
      <c r="A14314" s="129" t="s">
        <v>18751</v>
      </c>
      <c r="B14314" s="90" t="s">
        <v>18752</v>
      </c>
      <c r="C14314" s="147"/>
      <c r="D14314" s="284" t="s">
        <v>897</v>
      </c>
      <c r="E14314" s="36"/>
      <c r="F14314" s="178"/>
      <c r="G14314" s="496"/>
      <c r="H14314" s="36"/>
      <c r="I14314" s="11"/>
    </row>
    <row r="14315" spans="1:9" ht="9" customHeight="1">
      <c r="A14315" s="129" t="s">
        <v>16269</v>
      </c>
      <c r="B14315" s="90" t="s">
        <v>18753</v>
      </c>
      <c r="C14315" s="147"/>
      <c r="D14315" s="701" t="s">
        <v>18754</v>
      </c>
      <c r="E14315" s="36"/>
      <c r="F14315" s="178"/>
      <c r="G14315" s="496"/>
      <c r="H14315" s="36"/>
      <c r="I14315" s="11"/>
    </row>
    <row r="14316" spans="1:9" ht="11.15" customHeight="1">
      <c r="A14316" s="129" t="s">
        <v>18755</v>
      </c>
      <c r="B14316" s="90" t="s">
        <v>18756</v>
      </c>
      <c r="C14316" s="147"/>
      <c r="D14316" s="183" t="s">
        <v>6904</v>
      </c>
      <c r="E14316" s="36"/>
      <c r="F14316" s="178"/>
      <c r="G14316" s="496"/>
      <c r="H14316" s="36"/>
      <c r="I14316" s="11"/>
    </row>
    <row r="14317" spans="1:9" ht="21" customHeight="1">
      <c r="A14317" s="876"/>
      <c r="B14317" s="880" t="s">
        <v>18757</v>
      </c>
      <c r="C14317" s="147"/>
      <c r="D14317" s="87"/>
      <c r="E14317" s="34"/>
      <c r="F14317" s="183"/>
      <c r="G14317" s="1266"/>
      <c r="H14317" s="34"/>
      <c r="I14317" s="11"/>
    </row>
    <row r="14318" spans="1:9" ht="9" customHeight="1">
      <c r="A14318" s="129" t="s">
        <v>1426</v>
      </c>
      <c r="B14318" s="90" t="s">
        <v>18758</v>
      </c>
      <c r="C14318" s="147"/>
      <c r="D14318" s="701" t="s">
        <v>1129</v>
      </c>
      <c r="E14318" s="36"/>
      <c r="F14318" s="178"/>
      <c r="G14318" s="496"/>
      <c r="H14318" s="36"/>
      <c r="I14318" s="11"/>
    </row>
    <row r="14319" spans="1:9" ht="9" customHeight="1">
      <c r="A14319" s="129" t="s">
        <v>18759</v>
      </c>
      <c r="B14319" s="90" t="s">
        <v>18760</v>
      </c>
      <c r="C14319" s="147"/>
      <c r="D14319" s="284" t="s">
        <v>897</v>
      </c>
      <c r="E14319" s="36"/>
      <c r="F14319" s="178"/>
      <c r="G14319" s="496"/>
      <c r="H14319" s="36"/>
      <c r="I14319" s="11"/>
    </row>
    <row r="14320" spans="1:9" ht="9" customHeight="1">
      <c r="A14320" s="129" t="s">
        <v>18761</v>
      </c>
      <c r="B14320" s="90" t="s">
        <v>18760</v>
      </c>
      <c r="C14320" s="147"/>
      <c r="D14320" s="701" t="s">
        <v>18762</v>
      </c>
      <c r="E14320" s="36"/>
      <c r="F14320" s="178"/>
      <c r="G14320" s="496"/>
      <c r="H14320" s="36"/>
      <c r="I14320" s="11"/>
    </row>
    <row r="14321" spans="1:9" ht="9" customHeight="1">
      <c r="A14321" s="129" t="s">
        <v>9013</v>
      </c>
      <c r="B14321" s="90" t="s">
        <v>298</v>
      </c>
      <c r="C14321" s="147"/>
      <c r="D14321" s="701" t="s">
        <v>18762</v>
      </c>
      <c r="E14321" s="36"/>
      <c r="F14321" s="178"/>
      <c r="G14321" s="496"/>
      <c r="H14321" s="36"/>
      <c r="I14321" s="11"/>
    </row>
    <row r="14322" spans="1:9" ht="9" customHeight="1">
      <c r="A14322" s="129" t="s">
        <v>18763</v>
      </c>
      <c r="B14322" s="90" t="s">
        <v>457</v>
      </c>
      <c r="C14322" s="147"/>
      <c r="D14322" s="701" t="s">
        <v>18762</v>
      </c>
      <c r="E14322" s="36"/>
      <c r="F14322" s="178"/>
      <c r="G14322" s="496"/>
      <c r="H14322" s="36"/>
      <c r="I14322" s="11"/>
    </row>
    <row r="14323" spans="1:9" ht="9" customHeight="1">
      <c r="A14323" s="129" t="s">
        <v>18764</v>
      </c>
      <c r="B14323" s="90" t="s">
        <v>18765</v>
      </c>
      <c r="C14323" s="147"/>
      <c r="D14323" s="701" t="s">
        <v>1129</v>
      </c>
      <c r="E14323" s="36"/>
      <c r="F14323" s="178"/>
      <c r="G14323" s="496"/>
      <c r="H14323" s="36"/>
      <c r="I14323" s="11"/>
    </row>
    <row r="14324" spans="1:9" ht="9" customHeight="1">
      <c r="A14324" s="129" t="s">
        <v>14570</v>
      </c>
      <c r="B14324" s="90" t="s">
        <v>18766</v>
      </c>
      <c r="C14324" s="147"/>
      <c r="D14324" s="701" t="s">
        <v>1129</v>
      </c>
      <c r="E14324" s="36"/>
      <c r="F14324" s="178"/>
      <c r="G14324" s="496"/>
      <c r="H14324" s="36"/>
      <c r="I14324" s="11"/>
    </row>
    <row r="14325" spans="1:9" ht="9" customHeight="1">
      <c r="A14325" s="129" t="s">
        <v>18767</v>
      </c>
      <c r="B14325" s="90" t="s">
        <v>559</v>
      </c>
      <c r="C14325" s="147"/>
      <c r="D14325" s="701" t="s">
        <v>1129</v>
      </c>
      <c r="E14325" s="36"/>
      <c r="F14325" s="178"/>
      <c r="G14325" s="496"/>
      <c r="H14325" s="36"/>
      <c r="I14325" s="11"/>
    </row>
    <row r="14326" spans="1:9" ht="9" customHeight="1">
      <c r="A14326" s="129" t="s">
        <v>18768</v>
      </c>
      <c r="B14326" s="90" t="s">
        <v>18769</v>
      </c>
      <c r="C14326" s="147"/>
      <c r="D14326" s="284" t="s">
        <v>897</v>
      </c>
      <c r="E14326" s="36"/>
      <c r="F14326" s="178"/>
      <c r="G14326" s="496"/>
      <c r="H14326" s="36"/>
      <c r="I14326" s="11"/>
    </row>
    <row r="14327" spans="1:9" ht="9" customHeight="1">
      <c r="A14327" s="129" t="s">
        <v>18226</v>
      </c>
      <c r="B14327" s="90" t="s">
        <v>18030</v>
      </c>
      <c r="C14327" s="147"/>
      <c r="D14327" s="183" t="s">
        <v>18030</v>
      </c>
      <c r="E14327" s="36"/>
      <c r="F14327" s="178"/>
      <c r="G14327" s="496"/>
      <c r="H14327" s="36"/>
      <c r="I14327" s="11"/>
    </row>
    <row r="14328" spans="1:9" ht="21" customHeight="1">
      <c r="A14328" s="876"/>
      <c r="B14328" s="881" t="s">
        <v>18770</v>
      </c>
      <c r="C14328" s="147"/>
      <c r="D14328" s="87"/>
      <c r="E14328" s="34"/>
      <c r="F14328" s="183"/>
      <c r="G14328" s="1266"/>
      <c r="H14328" s="34"/>
      <c r="I14328" s="11"/>
    </row>
    <row r="14329" spans="1:9" ht="9" customHeight="1">
      <c r="A14329" s="129" t="s">
        <v>18771</v>
      </c>
      <c r="B14329" s="90" t="s">
        <v>7</v>
      </c>
      <c r="C14329" s="147"/>
      <c r="D14329" s="701" t="s">
        <v>884</v>
      </c>
      <c r="E14329" s="36"/>
      <c r="F14329" s="178"/>
      <c r="G14329" s="496"/>
      <c r="H14329" s="36"/>
      <c r="I14329" s="11"/>
    </row>
    <row r="14330" spans="1:9" ht="9" customHeight="1">
      <c r="A14330" s="129" t="s">
        <v>18772</v>
      </c>
      <c r="B14330" s="126" t="s">
        <v>2407</v>
      </c>
      <c r="C14330" s="147"/>
      <c r="D14330" s="284" t="s">
        <v>897</v>
      </c>
      <c r="E14330" s="90"/>
      <c r="F14330" s="59"/>
      <c r="G14330" s="496"/>
      <c r="H14330" s="90"/>
      <c r="I14330" s="11"/>
    </row>
    <row r="14331" spans="1:9" ht="9" customHeight="1">
      <c r="A14331" s="129" t="s">
        <v>18773</v>
      </c>
      <c r="B14331" s="126" t="s">
        <v>18774</v>
      </c>
      <c r="C14331" s="147"/>
      <c r="D14331" s="284" t="s">
        <v>897</v>
      </c>
      <c r="E14331" s="90"/>
      <c r="F14331" s="59"/>
      <c r="G14331" s="496"/>
      <c r="H14331" s="90"/>
      <c r="I14331" s="11"/>
    </row>
    <row r="14332" spans="1:9" ht="9" customHeight="1">
      <c r="A14332" s="129" t="s">
        <v>18775</v>
      </c>
      <c r="B14332" s="126" t="s">
        <v>18776</v>
      </c>
      <c r="C14332" s="147"/>
      <c r="D14332" s="284" t="s">
        <v>897</v>
      </c>
      <c r="E14332" s="90"/>
      <c r="F14332" s="59"/>
      <c r="G14332" s="496"/>
      <c r="H14332" s="90"/>
      <c r="I14332" s="11"/>
    </row>
    <row r="14333" spans="1:9" ht="9" customHeight="1">
      <c r="A14333" s="129" t="s">
        <v>18777</v>
      </c>
      <c r="B14333" s="126" t="s">
        <v>18738</v>
      </c>
      <c r="C14333" s="147"/>
      <c r="D14333" s="284" t="s">
        <v>897</v>
      </c>
      <c r="E14333" s="90"/>
      <c r="F14333" s="59"/>
      <c r="G14333" s="496"/>
      <c r="H14333" s="90"/>
      <c r="I14333" s="11"/>
    </row>
    <row r="14334" spans="1:9" ht="9" customHeight="1">
      <c r="A14334" s="129" t="s">
        <v>18778</v>
      </c>
      <c r="B14334" s="126" t="s">
        <v>292</v>
      </c>
      <c r="C14334" s="147"/>
      <c r="D14334" s="701" t="s">
        <v>1129</v>
      </c>
      <c r="E14334" s="90"/>
      <c r="F14334" s="59"/>
      <c r="G14334" s="496"/>
      <c r="H14334" s="90"/>
      <c r="I14334" s="11"/>
    </row>
    <row r="14335" spans="1:9" ht="9" customHeight="1">
      <c r="A14335" s="129" t="s">
        <v>9344</v>
      </c>
      <c r="B14335" s="90" t="s">
        <v>18779</v>
      </c>
      <c r="C14335" s="147"/>
      <c r="D14335" s="284" t="s">
        <v>897</v>
      </c>
      <c r="E14335" s="36"/>
      <c r="F14335" s="178"/>
      <c r="G14335" s="496"/>
      <c r="H14335" s="36"/>
      <c r="I14335" s="11"/>
    </row>
    <row r="14336" spans="1:9" ht="9" customHeight="1">
      <c r="A14336" s="129" t="s">
        <v>18780</v>
      </c>
      <c r="B14336" s="126" t="s">
        <v>18781</v>
      </c>
      <c r="C14336" s="147"/>
      <c r="D14336" s="284" t="s">
        <v>897</v>
      </c>
      <c r="E14336" s="90"/>
      <c r="F14336" s="59"/>
      <c r="G14336" s="496"/>
      <c r="H14336" s="90"/>
      <c r="I14336" s="11"/>
    </row>
    <row r="14337" spans="1:9" ht="9" customHeight="1">
      <c r="A14337" s="129" t="s">
        <v>10772</v>
      </c>
      <c r="B14337" s="126" t="s">
        <v>18782</v>
      </c>
      <c r="C14337" s="147"/>
      <c r="D14337" s="701" t="s">
        <v>18762</v>
      </c>
      <c r="E14337" s="36"/>
      <c r="F14337" s="178"/>
      <c r="G14337" s="496"/>
      <c r="H14337" s="36"/>
      <c r="I14337" s="11"/>
    </row>
    <row r="14338" spans="1:9" ht="9" customHeight="1">
      <c r="A14338" s="129" t="s">
        <v>11704</v>
      </c>
      <c r="B14338" s="126" t="s">
        <v>18783</v>
      </c>
      <c r="C14338" s="147"/>
      <c r="D14338" s="284" t="s">
        <v>897</v>
      </c>
      <c r="E14338" s="36"/>
      <c r="F14338" s="178"/>
      <c r="G14338" s="496"/>
      <c r="H14338" s="36"/>
      <c r="I14338" s="11"/>
    </row>
    <row r="14339" spans="1:9" ht="9" customHeight="1">
      <c r="A14339" s="129" t="s">
        <v>12190</v>
      </c>
      <c r="B14339" s="126" t="s">
        <v>387</v>
      </c>
      <c r="C14339" s="147"/>
      <c r="D14339" s="701" t="s">
        <v>18784</v>
      </c>
      <c r="E14339" s="36"/>
      <c r="F14339" s="178"/>
      <c r="G14339" s="496"/>
      <c r="H14339" s="36"/>
      <c r="I14339" s="11"/>
    </row>
    <row r="14340" spans="1:9" ht="9" customHeight="1">
      <c r="A14340" s="129" t="s">
        <v>12436</v>
      </c>
      <c r="B14340" s="126" t="s">
        <v>18785</v>
      </c>
      <c r="C14340" s="147"/>
      <c r="D14340" s="739" t="s">
        <v>1410</v>
      </c>
      <c r="E14340" s="90"/>
      <c r="F14340" s="59"/>
      <c r="G14340" s="496"/>
      <c r="H14340" s="90"/>
      <c r="I14340" s="11"/>
    </row>
    <row r="14341" spans="1:9" ht="9" customHeight="1">
      <c r="A14341" s="129" t="s">
        <v>14378</v>
      </c>
      <c r="B14341" s="126" t="s">
        <v>18786</v>
      </c>
      <c r="C14341" s="147"/>
      <c r="D14341" s="701" t="s">
        <v>18787</v>
      </c>
      <c r="E14341" s="90"/>
      <c r="F14341" s="59"/>
      <c r="G14341" s="496"/>
      <c r="H14341" s="90"/>
      <c r="I14341" s="11"/>
    </row>
    <row r="14342" spans="1:9" ht="21" customHeight="1">
      <c r="A14342" s="876"/>
      <c r="B14342" s="882" t="s">
        <v>18788</v>
      </c>
      <c r="C14342" s="147"/>
      <c r="D14342" s="87"/>
      <c r="E14342" s="34"/>
      <c r="F14342" s="183"/>
      <c r="G14342" s="1266"/>
      <c r="H14342" s="34"/>
      <c r="I14342" s="11"/>
    </row>
    <row r="14343" spans="1:9" ht="9" customHeight="1">
      <c r="A14343" s="129" t="s">
        <v>5380</v>
      </c>
      <c r="B14343" s="126" t="s">
        <v>18789</v>
      </c>
      <c r="C14343" s="147"/>
      <c r="D14343" s="701" t="s">
        <v>18762</v>
      </c>
      <c r="E14343" s="90"/>
      <c r="F14343" s="59"/>
      <c r="G14343" s="496"/>
      <c r="H14343" s="90"/>
      <c r="I14343" s="11"/>
    </row>
    <row r="14344" spans="1:9" ht="9" customHeight="1">
      <c r="A14344" s="129" t="s">
        <v>8889</v>
      </c>
      <c r="B14344" s="126" t="s">
        <v>18790</v>
      </c>
      <c r="C14344" s="147"/>
      <c r="D14344" s="701" t="s">
        <v>18762</v>
      </c>
      <c r="E14344" s="90"/>
      <c r="F14344" s="59"/>
      <c r="G14344" s="496"/>
      <c r="H14344" s="90"/>
      <c r="I14344" s="11"/>
    </row>
    <row r="14345" spans="1:9" ht="9" customHeight="1">
      <c r="A14345" s="129" t="s">
        <v>18791</v>
      </c>
      <c r="B14345" s="126" t="s">
        <v>18792</v>
      </c>
      <c r="C14345" s="147"/>
      <c r="D14345" s="284" t="s">
        <v>897</v>
      </c>
      <c r="E14345" s="90"/>
      <c r="F14345" s="59"/>
      <c r="G14345" s="496"/>
      <c r="H14345" s="90"/>
      <c r="I14345" s="11"/>
    </row>
    <row r="14346" spans="1:9" ht="9" customHeight="1">
      <c r="A14346" s="129" t="s">
        <v>18793</v>
      </c>
      <c r="B14346" s="126" t="s">
        <v>18794</v>
      </c>
      <c r="C14346" s="147"/>
      <c r="D14346" s="284" t="s">
        <v>897</v>
      </c>
      <c r="E14346" s="90"/>
      <c r="F14346" s="59"/>
      <c r="G14346" s="496"/>
      <c r="H14346" s="90"/>
      <c r="I14346" s="11"/>
    </row>
    <row r="14347" spans="1:9" ht="9" customHeight="1">
      <c r="A14347" s="129" t="s">
        <v>11252</v>
      </c>
      <c r="B14347" s="126" t="s">
        <v>18795</v>
      </c>
      <c r="C14347" s="147"/>
      <c r="D14347" s="284" t="s">
        <v>897</v>
      </c>
      <c r="E14347" s="90"/>
      <c r="F14347" s="59"/>
      <c r="G14347" s="496"/>
      <c r="H14347" s="90"/>
      <c r="I14347" s="11"/>
    </row>
    <row r="14348" spans="1:9" ht="9" customHeight="1">
      <c r="A14348" s="129" t="s">
        <v>13355</v>
      </c>
      <c r="B14348" s="126" t="s">
        <v>438</v>
      </c>
      <c r="C14348" s="147"/>
      <c r="D14348" s="284" t="s">
        <v>897</v>
      </c>
      <c r="E14348" s="90"/>
      <c r="F14348" s="59"/>
      <c r="G14348" s="496"/>
      <c r="H14348" s="90"/>
      <c r="I14348" s="11"/>
    </row>
    <row r="14349" spans="1:9" ht="9" customHeight="1">
      <c r="A14349" s="129" t="s">
        <v>13146</v>
      </c>
      <c r="B14349" s="126" t="s">
        <v>18796</v>
      </c>
      <c r="C14349" s="147"/>
      <c r="D14349" s="284" t="s">
        <v>897</v>
      </c>
      <c r="E14349" s="90"/>
      <c r="F14349" s="59"/>
      <c r="G14349" s="496"/>
      <c r="H14349" s="90"/>
      <c r="I14349" s="11"/>
    </row>
    <row r="14350" spans="1:9" ht="9" customHeight="1">
      <c r="A14350" s="129" t="s">
        <v>14070</v>
      </c>
      <c r="B14350" s="126" t="s">
        <v>477</v>
      </c>
      <c r="C14350" s="147"/>
      <c r="D14350" s="701" t="s">
        <v>18762</v>
      </c>
      <c r="E14350" s="90"/>
      <c r="F14350" s="59"/>
      <c r="G14350" s="496"/>
      <c r="H14350" s="90"/>
      <c r="I14350" s="11"/>
    </row>
    <row r="14351" spans="1:9" ht="9" customHeight="1">
      <c r="A14351" s="129" t="s">
        <v>17333</v>
      </c>
      <c r="B14351" s="126" t="s">
        <v>614</v>
      </c>
      <c r="C14351" s="147"/>
      <c r="D14351" s="701" t="s">
        <v>18762</v>
      </c>
      <c r="E14351" s="90"/>
      <c r="F14351" s="59"/>
      <c r="G14351" s="496"/>
      <c r="H14351" s="90"/>
      <c r="I14351" s="11"/>
    </row>
    <row r="14352" spans="1:9" ht="9" customHeight="1">
      <c r="A14352" s="129" t="s">
        <v>17614</v>
      </c>
      <c r="B14352" s="126" t="s">
        <v>623</v>
      </c>
      <c r="C14352" s="147"/>
      <c r="D14352" s="701" t="s">
        <v>18762</v>
      </c>
      <c r="E14352" s="90"/>
      <c r="F14352" s="59"/>
      <c r="G14352" s="496"/>
      <c r="H14352" s="90"/>
      <c r="I14352" s="11"/>
    </row>
    <row r="14353" spans="1:9" ht="9" customHeight="1">
      <c r="A14353" s="129" t="s">
        <v>18797</v>
      </c>
      <c r="B14353" s="126" t="s">
        <v>623</v>
      </c>
      <c r="C14353" s="147"/>
      <c r="D14353" s="701" t="s">
        <v>1129</v>
      </c>
      <c r="E14353" s="90"/>
      <c r="F14353" s="59"/>
      <c r="G14353" s="496"/>
      <c r="H14353" s="90"/>
      <c r="I14353" s="11"/>
    </row>
    <row r="14354" spans="1:9" ht="9" customHeight="1">
      <c r="A14354" s="424" t="s">
        <v>18798</v>
      </c>
      <c r="B14354" s="90" t="s">
        <v>18799</v>
      </c>
      <c r="C14354" s="147"/>
      <c r="D14354" s="183" t="s">
        <v>18030</v>
      </c>
      <c r="E14354" s="36"/>
      <c r="F14354" s="953"/>
      <c r="G14354" s="496"/>
      <c r="H14354" s="883"/>
      <c r="I14354" s="11"/>
    </row>
    <row r="14355" spans="1:9" ht="9" customHeight="1">
      <c r="A14355" s="424" t="s">
        <v>18187</v>
      </c>
      <c r="B14355" s="90" t="s">
        <v>18800</v>
      </c>
      <c r="C14355" s="147"/>
      <c r="D14355" s="183" t="s">
        <v>18030</v>
      </c>
      <c r="E14355" s="836"/>
      <c r="F14355" s="178"/>
      <c r="G14355" s="496"/>
      <c r="H14355" s="36"/>
      <c r="I14355" s="11"/>
    </row>
    <row r="14356" spans="1:9" ht="9" customHeight="1">
      <c r="A14356" s="424" t="s">
        <v>18133</v>
      </c>
      <c r="B14356" s="90" t="s">
        <v>18800</v>
      </c>
      <c r="C14356" s="147"/>
      <c r="D14356" s="183" t="s">
        <v>18030</v>
      </c>
      <c r="E14356" s="836"/>
      <c r="F14356" s="178"/>
      <c r="G14356" s="496"/>
      <c r="H14356" s="36"/>
      <c r="I14356" s="11"/>
    </row>
    <row r="14357" spans="1:9" ht="9" customHeight="1">
      <c r="A14357" s="129" t="s">
        <v>18325</v>
      </c>
      <c r="B14357" s="90" t="s">
        <v>18801</v>
      </c>
      <c r="C14357" s="147"/>
      <c r="D14357" s="183" t="s">
        <v>6904</v>
      </c>
      <c r="E14357" s="36"/>
      <c r="F14357" s="178"/>
      <c r="G14357" s="496"/>
      <c r="H14357" s="36"/>
      <c r="I14357" s="11"/>
    </row>
    <row r="14358" spans="1:9" ht="21" customHeight="1">
      <c r="A14358" s="876"/>
      <c r="B14358" s="884" t="s">
        <v>18802</v>
      </c>
      <c r="C14358" s="147"/>
      <c r="D14358" s="87"/>
      <c r="E14358" s="34"/>
      <c r="F14358" s="183"/>
      <c r="G14358" s="1266"/>
      <c r="H14358" s="34"/>
      <c r="I14358" s="11"/>
    </row>
    <row r="14359" spans="1:9" ht="9" customHeight="1">
      <c r="A14359" s="129" t="s">
        <v>3577</v>
      </c>
      <c r="B14359" s="90" t="s">
        <v>18803</v>
      </c>
      <c r="C14359" s="147"/>
      <c r="D14359" s="284" t="s">
        <v>897</v>
      </c>
      <c r="E14359" s="36"/>
      <c r="F14359" s="178"/>
      <c r="G14359" s="496"/>
      <c r="H14359" s="36"/>
      <c r="I14359" s="11"/>
    </row>
    <row r="14360" spans="1:9" ht="9" customHeight="1">
      <c r="A14360" s="129" t="s">
        <v>18804</v>
      </c>
      <c r="B14360" s="90" t="s">
        <v>3549</v>
      </c>
      <c r="C14360" s="147"/>
      <c r="D14360" s="284" t="s">
        <v>897</v>
      </c>
      <c r="E14360" s="36"/>
      <c r="F14360" s="178"/>
      <c r="G14360" s="496"/>
      <c r="H14360" s="36"/>
      <c r="I14360" s="11"/>
    </row>
    <row r="14361" spans="1:9" ht="9" customHeight="1">
      <c r="A14361" s="129" t="s">
        <v>18805</v>
      </c>
      <c r="B14361" s="126" t="s">
        <v>18806</v>
      </c>
      <c r="C14361" s="147"/>
      <c r="D14361" s="284" t="s">
        <v>897</v>
      </c>
      <c r="E14361" s="90"/>
      <c r="F14361" s="59"/>
      <c r="G14361" s="496"/>
      <c r="H14361" s="90"/>
      <c r="I14361" s="11"/>
    </row>
    <row r="14362" spans="1:9" ht="9" customHeight="1">
      <c r="A14362" s="129" t="s">
        <v>18807</v>
      </c>
      <c r="B14362" s="126" t="s">
        <v>18808</v>
      </c>
      <c r="C14362" s="147"/>
      <c r="D14362" s="284" t="s">
        <v>897</v>
      </c>
      <c r="E14362" s="90"/>
      <c r="F14362" s="59"/>
      <c r="G14362" s="496"/>
      <c r="H14362" s="90"/>
      <c r="I14362" s="11"/>
    </row>
    <row r="14363" spans="1:9" ht="9" customHeight="1">
      <c r="A14363" s="129" t="s">
        <v>18809</v>
      </c>
      <c r="B14363" s="126" t="s">
        <v>18810</v>
      </c>
      <c r="C14363" s="147"/>
      <c r="D14363" s="284" t="s">
        <v>897</v>
      </c>
      <c r="E14363" s="90"/>
      <c r="F14363" s="59"/>
      <c r="G14363" s="496"/>
      <c r="H14363" s="90"/>
      <c r="I14363" s="11"/>
    </row>
    <row r="14364" spans="1:9" ht="9" customHeight="1">
      <c r="A14364" s="129" t="s">
        <v>18811</v>
      </c>
      <c r="B14364" s="126" t="s">
        <v>18812</v>
      </c>
      <c r="C14364" s="147"/>
      <c r="D14364" s="701" t="s">
        <v>18762</v>
      </c>
      <c r="E14364" s="90"/>
      <c r="F14364" s="59"/>
      <c r="G14364" s="496"/>
      <c r="H14364" s="90"/>
      <c r="I14364" s="11"/>
    </row>
    <row r="14365" spans="1:9" ht="9" customHeight="1">
      <c r="A14365" s="129" t="s">
        <v>18813</v>
      </c>
      <c r="B14365" s="126" t="s">
        <v>18814</v>
      </c>
      <c r="C14365" s="147"/>
      <c r="D14365" s="284" t="s">
        <v>897</v>
      </c>
      <c r="E14365" s="90"/>
      <c r="F14365" s="59"/>
      <c r="G14365" s="496"/>
      <c r="H14365" s="90"/>
      <c r="I14365" s="11"/>
    </row>
    <row r="14366" spans="1:9" ht="9" customHeight="1">
      <c r="A14366" s="129" t="s">
        <v>18815</v>
      </c>
      <c r="B14366" s="126" t="s">
        <v>11289</v>
      </c>
      <c r="C14366" s="147"/>
      <c r="D14366" s="284" t="s">
        <v>897</v>
      </c>
      <c r="E14366" s="90"/>
      <c r="F14366" s="59"/>
      <c r="G14366" s="496"/>
      <c r="H14366" s="90"/>
      <c r="I14366" s="11"/>
    </row>
    <row r="14367" spans="1:9" ht="9" customHeight="1">
      <c r="A14367" s="129" t="s">
        <v>18816</v>
      </c>
      <c r="B14367" s="126" t="s">
        <v>18817</v>
      </c>
      <c r="C14367" s="147"/>
      <c r="D14367" s="284" t="s">
        <v>897</v>
      </c>
      <c r="E14367" s="90"/>
      <c r="F14367" s="59"/>
      <c r="G14367" s="496"/>
      <c r="H14367" s="90"/>
      <c r="I14367" s="11"/>
    </row>
    <row r="14368" spans="1:9" ht="9" customHeight="1">
      <c r="A14368" s="129" t="s">
        <v>18818</v>
      </c>
      <c r="B14368" s="126" t="s">
        <v>18819</v>
      </c>
      <c r="C14368" s="147"/>
      <c r="D14368" s="284" t="s">
        <v>897</v>
      </c>
      <c r="E14368" s="90"/>
      <c r="F14368" s="59"/>
      <c r="G14368" s="496"/>
      <c r="H14368" s="90"/>
      <c r="I14368" s="11"/>
    </row>
    <row r="14369" spans="1:12" ht="9" customHeight="1">
      <c r="A14369" s="129" t="s">
        <v>18820</v>
      </c>
      <c r="B14369" s="126" t="s">
        <v>18821</v>
      </c>
      <c r="C14369" s="147"/>
      <c r="D14369" s="701" t="s">
        <v>18762</v>
      </c>
      <c r="E14369" s="90"/>
      <c r="F14369" s="59"/>
      <c r="G14369" s="496"/>
      <c r="H14369" s="90"/>
      <c r="I14369" s="11"/>
    </row>
    <row r="14370" spans="1:12" ht="9" customHeight="1">
      <c r="A14370" s="129" t="s">
        <v>18822</v>
      </c>
      <c r="B14370" s="126" t="s">
        <v>533</v>
      </c>
      <c r="C14370" s="147"/>
      <c r="D14370" s="284" t="s">
        <v>897</v>
      </c>
      <c r="E14370" s="90"/>
      <c r="F14370" s="59"/>
      <c r="G14370" s="496"/>
      <c r="H14370" s="90"/>
      <c r="I14370" s="11"/>
    </row>
    <row r="14371" spans="1:12" ht="9" customHeight="1">
      <c r="A14371" s="129" t="s">
        <v>15243</v>
      </c>
      <c r="B14371" s="126" t="s">
        <v>546</v>
      </c>
      <c r="C14371" s="147"/>
      <c r="D14371" s="701" t="s">
        <v>1129</v>
      </c>
      <c r="E14371" s="90"/>
      <c r="F14371" s="59"/>
      <c r="G14371" s="496"/>
      <c r="H14371" s="90"/>
      <c r="I14371" s="11"/>
    </row>
    <row r="14372" spans="1:12" ht="9" customHeight="1" thickBot="1">
      <c r="A14372" s="129" t="s">
        <v>17879</v>
      </c>
      <c r="B14372" s="126" t="s">
        <v>18823</v>
      </c>
      <c r="C14372" s="147"/>
      <c r="D14372" s="701" t="s">
        <v>18762</v>
      </c>
      <c r="E14372" s="90"/>
      <c r="F14372" s="59"/>
      <c r="G14372" s="496"/>
      <c r="H14372" s="90"/>
      <c r="I14372" s="11"/>
    </row>
    <row r="14373" spans="1:12" ht="24" customHeight="1" thickBot="1">
      <c r="A14373" s="234"/>
      <c r="B14373" s="885" t="s">
        <v>18824</v>
      </c>
      <c r="C14373" s="170"/>
      <c r="D14373" s="139"/>
      <c r="E14373" s="874"/>
      <c r="F14373" s="1094"/>
      <c r="G14373" s="1094"/>
      <c r="H14373" s="875"/>
      <c r="I14373" s="11"/>
    </row>
    <row r="14374" spans="1:12" ht="11.15" customHeight="1">
      <c r="A14374" s="129"/>
      <c r="B14374" s="90"/>
      <c r="C14374" s="147"/>
      <c r="D14374" s="122"/>
      <c r="E14374" s="36"/>
      <c r="F14374" s="178"/>
      <c r="G14374" s="774"/>
      <c r="H14374" s="36"/>
      <c r="I14374" s="11"/>
    </row>
    <row r="14375" spans="1:12" ht="9" customHeight="1">
      <c r="A14375" s="285" t="s">
        <v>23435</v>
      </c>
      <c r="B14375" s="59" t="s">
        <v>20479</v>
      </c>
      <c r="C14375" s="147" t="s">
        <v>20221</v>
      </c>
      <c r="D14375" s="701" t="s">
        <v>1129</v>
      </c>
      <c r="E14375" s="178">
        <v>2015</v>
      </c>
      <c r="F14375" s="178" t="s">
        <v>23399</v>
      </c>
      <c r="G14375" s="496"/>
      <c r="H14375" s="994" t="s">
        <v>20221</v>
      </c>
      <c r="I14375" s="11" t="s">
        <v>1439</v>
      </c>
      <c r="J14375" s="1285"/>
      <c r="K14375" s="1285"/>
      <c r="L14375" s="1285"/>
    </row>
    <row r="14376" spans="1:12" ht="9" customHeight="1">
      <c r="A14376" s="285" t="s">
        <v>23436</v>
      </c>
      <c r="B14376" s="59" t="s">
        <v>22662</v>
      </c>
      <c r="C14376" s="147" t="s">
        <v>20221</v>
      </c>
      <c r="D14376" s="701" t="s">
        <v>1129</v>
      </c>
      <c r="E14376" s="178">
        <v>2021</v>
      </c>
      <c r="F14376" s="178" t="s">
        <v>4520</v>
      </c>
      <c r="G14376" s="496"/>
      <c r="H14376" s="994" t="s">
        <v>20224</v>
      </c>
      <c r="I14376" s="11" t="s">
        <v>16066</v>
      </c>
      <c r="J14376" s="1285"/>
      <c r="K14376" s="1285"/>
      <c r="L14376" s="1285"/>
    </row>
    <row r="14377" spans="1:12" ht="9" customHeight="1">
      <c r="A14377" s="285" t="s">
        <v>23437</v>
      </c>
      <c r="B14377" s="903" t="s">
        <v>21485</v>
      </c>
      <c r="C14377" s="147" t="s">
        <v>20221</v>
      </c>
      <c r="D14377" s="183" t="s">
        <v>18825</v>
      </c>
      <c r="E14377" s="178" t="s">
        <v>21486</v>
      </c>
      <c r="F14377" s="178" t="s">
        <v>23394</v>
      </c>
      <c r="G14377" s="496"/>
      <c r="H14377" s="994" t="s">
        <v>20224</v>
      </c>
      <c r="I14377" s="11" t="s">
        <v>9428</v>
      </c>
      <c r="J14377" s="1285"/>
      <c r="K14377" s="1285"/>
      <c r="L14377" s="1285"/>
    </row>
    <row r="14378" spans="1:12" ht="9" customHeight="1">
      <c r="A14378" s="285" t="s">
        <v>23438</v>
      </c>
      <c r="B14378" s="59" t="s">
        <v>20571</v>
      </c>
      <c r="C14378" s="147" t="s">
        <v>20221</v>
      </c>
      <c r="D14378" s="284" t="s">
        <v>897</v>
      </c>
      <c r="E14378" s="178">
        <v>2020</v>
      </c>
      <c r="F14378" s="178" t="s">
        <v>23402</v>
      </c>
      <c r="G14378" s="496"/>
      <c r="H14378" s="994" t="s">
        <v>20221</v>
      </c>
      <c r="I14378" s="11" t="s">
        <v>3351</v>
      </c>
      <c r="J14378" s="1285"/>
      <c r="K14378" s="1285"/>
      <c r="L14378" s="1285"/>
    </row>
    <row r="14379" spans="1:12" ht="9" customHeight="1">
      <c r="A14379" s="285" t="s">
        <v>23438</v>
      </c>
      <c r="B14379" s="59" t="s">
        <v>20573</v>
      </c>
      <c r="C14379" s="147" t="s">
        <v>20221</v>
      </c>
      <c r="D14379" s="284" t="s">
        <v>897</v>
      </c>
      <c r="E14379" s="178">
        <v>2020</v>
      </c>
      <c r="F14379" s="178" t="s">
        <v>23402</v>
      </c>
      <c r="G14379" s="496"/>
      <c r="H14379" s="994" t="s">
        <v>20221</v>
      </c>
      <c r="I14379" s="11" t="s">
        <v>3352</v>
      </c>
      <c r="J14379" s="1285"/>
      <c r="K14379" s="1285"/>
      <c r="L14379" s="1285"/>
    </row>
    <row r="14380" spans="1:12" ht="9" customHeight="1">
      <c r="A14380" s="285" t="s">
        <v>23439</v>
      </c>
      <c r="B14380" s="59" t="s">
        <v>21821</v>
      </c>
      <c r="C14380" s="147" t="s">
        <v>20221</v>
      </c>
      <c r="D14380" s="284" t="s">
        <v>897</v>
      </c>
      <c r="E14380" s="178">
        <v>2016</v>
      </c>
      <c r="F14380" s="178" t="s">
        <v>4520</v>
      </c>
      <c r="G14380" s="496"/>
      <c r="H14380" s="994" t="s">
        <v>20224</v>
      </c>
      <c r="I14380" s="11" t="s">
        <v>11410</v>
      </c>
      <c r="J14380" s="1285"/>
      <c r="K14380" s="1285"/>
      <c r="L14380" s="1285"/>
    </row>
    <row r="14381" spans="1:12" ht="11.15" customHeight="1">
      <c r="A14381" s="285" t="s">
        <v>23440</v>
      </c>
      <c r="B14381" s="59" t="s">
        <v>21864</v>
      </c>
      <c r="C14381" s="147" t="s">
        <v>20221</v>
      </c>
      <c r="D14381" s="284" t="s">
        <v>897</v>
      </c>
      <c r="E14381" s="178">
        <v>2017</v>
      </c>
      <c r="F14381" s="178" t="s">
        <v>23414</v>
      </c>
      <c r="G14381" s="496"/>
      <c r="H14381" s="994" t="s">
        <v>20224</v>
      </c>
      <c r="I14381" s="11" t="s">
        <v>11582</v>
      </c>
      <c r="J14381" s="1285"/>
      <c r="K14381" s="1285"/>
      <c r="L14381" s="1285"/>
    </row>
    <row r="14382" spans="1:12" ht="11.15" customHeight="1">
      <c r="A14382" s="285" t="s">
        <v>23440</v>
      </c>
      <c r="B14382" s="59" t="s">
        <v>21866</v>
      </c>
      <c r="C14382" s="147" t="s">
        <v>20221</v>
      </c>
      <c r="D14382" s="284" t="s">
        <v>897</v>
      </c>
      <c r="E14382" s="178">
        <v>2017</v>
      </c>
      <c r="F14382" s="178" t="s">
        <v>23415</v>
      </c>
      <c r="G14382" s="496"/>
      <c r="H14382" s="994" t="s">
        <v>20224</v>
      </c>
      <c r="I14382" s="11" t="s">
        <v>11583</v>
      </c>
      <c r="J14382" s="1285"/>
      <c r="K14382" s="1285"/>
      <c r="L14382" s="1285"/>
    </row>
    <row r="14383" spans="1:12" ht="9" customHeight="1">
      <c r="A14383" s="285" t="s">
        <v>23441</v>
      </c>
      <c r="B14383" s="59" t="s">
        <v>23304</v>
      </c>
      <c r="C14383" s="147" t="s">
        <v>20221</v>
      </c>
      <c r="D14383" s="284" t="s">
        <v>897</v>
      </c>
      <c r="E14383" s="178" t="s">
        <v>22001</v>
      </c>
      <c r="F14383" s="178" t="s">
        <v>23394</v>
      </c>
      <c r="G14383" s="496"/>
      <c r="H14383" s="994" t="s">
        <v>20221</v>
      </c>
      <c r="I14383" s="11" t="s">
        <v>12417</v>
      </c>
      <c r="J14383" s="1285"/>
      <c r="K14383" s="1285"/>
      <c r="L14383" s="1285"/>
    </row>
    <row r="14384" spans="1:12" ht="9" customHeight="1">
      <c r="A14384" s="285" t="s">
        <v>23442</v>
      </c>
      <c r="B14384" s="59" t="s">
        <v>22170</v>
      </c>
      <c r="C14384" s="147" t="s">
        <v>20221</v>
      </c>
      <c r="D14384" s="284" t="s">
        <v>897</v>
      </c>
      <c r="E14384" s="178" t="s">
        <v>22171</v>
      </c>
      <c r="F14384" s="178" t="s">
        <v>23394</v>
      </c>
      <c r="G14384" s="496"/>
      <c r="H14384" s="994" t="s">
        <v>20221</v>
      </c>
      <c r="I14384" s="11" t="s">
        <v>13714</v>
      </c>
      <c r="J14384" s="1285"/>
      <c r="K14384" s="1285"/>
      <c r="L14384" s="1285"/>
    </row>
    <row r="14385" spans="1:12" ht="9" customHeight="1">
      <c r="A14385" s="285" t="s">
        <v>18826</v>
      </c>
      <c r="B14385" s="226" t="s">
        <v>18827</v>
      </c>
      <c r="C14385" s="147"/>
      <c r="D14385" s="284" t="s">
        <v>897</v>
      </c>
      <c r="E14385" s="178"/>
      <c r="F14385" s="178" t="s">
        <v>18828</v>
      </c>
      <c r="G14385" s="496"/>
      <c r="H14385" s="183"/>
      <c r="I14385" s="11"/>
    </row>
    <row r="14386" spans="1:12" ht="11.15" customHeight="1">
      <c r="A14386" s="285" t="s">
        <v>23443</v>
      </c>
      <c r="B14386" s="59" t="s">
        <v>21545</v>
      </c>
      <c r="C14386" s="147" t="s">
        <v>20221</v>
      </c>
      <c r="D14386" s="284" t="s">
        <v>897</v>
      </c>
      <c r="E14386" s="178">
        <v>2019</v>
      </c>
      <c r="F14386" s="178" t="s">
        <v>23408</v>
      </c>
      <c r="G14386" s="496"/>
      <c r="H14386" s="994" t="s">
        <v>20224</v>
      </c>
      <c r="I14386" s="11" t="s">
        <v>9681</v>
      </c>
      <c r="J14386" s="1285"/>
      <c r="K14386" s="1285"/>
      <c r="L14386" s="1285"/>
    </row>
    <row r="14387" spans="1:12" ht="9" customHeight="1">
      <c r="A14387" s="162"/>
      <c r="B14387" s="150" t="s">
        <v>18829</v>
      </c>
      <c r="C14387" s="147"/>
      <c r="D14387" s="209"/>
      <c r="E14387" s="150"/>
      <c r="F14387" s="150"/>
      <c r="G14387" s="886"/>
      <c r="H14387" s="150"/>
      <c r="I14387" s="11"/>
    </row>
    <row r="14388" spans="1:12" ht="11.15" customHeight="1">
      <c r="A14388" s="285" t="s">
        <v>23443</v>
      </c>
      <c r="B14388" s="59" t="s">
        <v>21545</v>
      </c>
      <c r="C14388" s="147" t="s">
        <v>20221</v>
      </c>
      <c r="D14388" s="284" t="s">
        <v>897</v>
      </c>
      <c r="E14388" s="178">
        <v>2018</v>
      </c>
      <c r="F14388" s="178" t="s">
        <v>23408</v>
      </c>
      <c r="G14388" s="496"/>
      <c r="H14388" s="994" t="s">
        <v>20224</v>
      </c>
      <c r="I14388" s="11" t="s">
        <v>9685</v>
      </c>
      <c r="J14388" s="1285"/>
      <c r="K14388" s="1285"/>
      <c r="L14388" s="1285"/>
    </row>
    <row r="14389" spans="1:12" ht="9" customHeight="1">
      <c r="A14389" s="162"/>
      <c r="B14389" s="150" t="s">
        <v>18830</v>
      </c>
      <c r="C14389" s="147"/>
      <c r="D14389" s="209"/>
      <c r="E14389" s="150"/>
      <c r="F14389" s="150"/>
      <c r="G14389" s="886"/>
      <c r="H14389" s="150"/>
      <c r="I14389" s="11"/>
    </row>
    <row r="14390" spans="1:12" ht="11.15" customHeight="1">
      <c r="A14390" s="285" t="s">
        <v>23443</v>
      </c>
      <c r="B14390" s="59" t="s">
        <v>21546</v>
      </c>
      <c r="C14390" s="147" t="s">
        <v>20221</v>
      </c>
      <c r="D14390" s="284" t="s">
        <v>897</v>
      </c>
      <c r="E14390" s="178">
        <v>2016</v>
      </c>
      <c r="F14390" s="178" t="s">
        <v>4520</v>
      </c>
      <c r="G14390" s="496"/>
      <c r="H14390" s="994" t="s">
        <v>20224</v>
      </c>
      <c r="I14390" s="11" t="s">
        <v>9687</v>
      </c>
      <c r="J14390" s="1285"/>
      <c r="K14390" s="1285"/>
      <c r="L14390" s="1285"/>
    </row>
    <row r="14391" spans="1:12" ht="9" customHeight="1">
      <c r="A14391" s="162"/>
      <c r="B14391" s="150" t="s">
        <v>9688</v>
      </c>
      <c r="C14391" s="147"/>
      <c r="D14391" s="209"/>
      <c r="E14391" s="150"/>
      <c r="F14391" s="150"/>
      <c r="G14391" s="886"/>
      <c r="H14391" s="150"/>
      <c r="I14391" s="11"/>
    </row>
    <row r="14392" spans="1:12" ht="11.15" customHeight="1">
      <c r="A14392" s="285" t="s">
        <v>23443</v>
      </c>
      <c r="B14392" s="59" t="s">
        <v>21547</v>
      </c>
      <c r="C14392" s="147" t="s">
        <v>20221</v>
      </c>
      <c r="D14392" s="284" t="s">
        <v>897</v>
      </c>
      <c r="E14392" s="178">
        <v>2015</v>
      </c>
      <c r="F14392" s="178" t="s">
        <v>23409</v>
      </c>
      <c r="G14392" s="496"/>
      <c r="H14392" s="994" t="s">
        <v>20224</v>
      </c>
      <c r="I14392" s="11" t="s">
        <v>9689</v>
      </c>
      <c r="J14392" s="1285"/>
      <c r="K14392" s="1285"/>
      <c r="L14392" s="1285"/>
    </row>
    <row r="14393" spans="1:12" ht="9" customHeight="1">
      <c r="A14393" s="162"/>
      <c r="B14393" s="150" t="s">
        <v>18831</v>
      </c>
      <c r="C14393" s="147"/>
      <c r="D14393" s="209"/>
      <c r="E14393" s="150"/>
      <c r="F14393" s="150"/>
      <c r="G14393" s="886"/>
      <c r="H14393" s="150"/>
      <c r="I14393" s="11"/>
    </row>
    <row r="14394" spans="1:12" ht="11.15" customHeight="1">
      <c r="A14394" s="285" t="s">
        <v>23443</v>
      </c>
      <c r="B14394" s="59" t="s">
        <v>21546</v>
      </c>
      <c r="C14394" s="147" t="s">
        <v>20221</v>
      </c>
      <c r="D14394" s="284" t="s">
        <v>897</v>
      </c>
      <c r="E14394" s="178">
        <v>2013</v>
      </c>
      <c r="F14394" s="178" t="s">
        <v>4520</v>
      </c>
      <c r="G14394" s="496"/>
      <c r="H14394" s="994" t="s">
        <v>20224</v>
      </c>
      <c r="I14394" s="11" t="s">
        <v>9691</v>
      </c>
      <c r="J14394" s="1285"/>
      <c r="K14394" s="1285"/>
      <c r="L14394" s="1285"/>
    </row>
    <row r="14395" spans="1:12" ht="9" customHeight="1">
      <c r="A14395" s="162"/>
      <c r="B14395" s="150" t="s">
        <v>18832</v>
      </c>
      <c r="C14395" s="147"/>
      <c r="D14395" s="209"/>
      <c r="E14395" s="210"/>
      <c r="F14395" s="150"/>
      <c r="G14395" s="886"/>
      <c r="H14395" s="210"/>
      <c r="I14395" s="11"/>
    </row>
    <row r="14396" spans="1:12" ht="9" customHeight="1" thickBot="1">
      <c r="A14396" s="162"/>
      <c r="B14396" s="150"/>
      <c r="C14396" s="147"/>
      <c r="D14396" s="209"/>
      <c r="E14396" s="210"/>
      <c r="F14396" s="150"/>
      <c r="G14396" s="886"/>
      <c r="H14396" s="210"/>
      <c r="I14396" s="11"/>
    </row>
    <row r="14397" spans="1:12" ht="24" customHeight="1" thickBot="1">
      <c r="A14397" s="234"/>
      <c r="B14397" s="64" t="s">
        <v>18833</v>
      </c>
      <c r="C14397" s="170"/>
      <c r="D14397" s="139"/>
      <c r="E14397" s="874"/>
      <c r="F14397" s="1094"/>
      <c r="G14397" s="1094"/>
      <c r="H14397" s="875"/>
      <c r="I14397" s="11"/>
    </row>
    <row r="14398" spans="1:12" ht="24" customHeight="1">
      <c r="A14398" s="887" t="s">
        <v>18834</v>
      </c>
      <c r="B14398" s="888" t="s">
        <v>18835</v>
      </c>
      <c r="C14398" s="147"/>
      <c r="D14398" s="889"/>
      <c r="E14398" s="177"/>
      <c r="F14398" s="1095"/>
      <c r="G14398" s="908"/>
      <c r="H14398" s="890"/>
      <c r="I14398" s="11"/>
    </row>
    <row r="14399" spans="1:12" ht="9" customHeight="1">
      <c r="A14399" s="129"/>
      <c r="B14399" s="90"/>
      <c r="C14399" s="147"/>
      <c r="D14399" s="159"/>
      <c r="E14399" s="34"/>
      <c r="F14399" s="178"/>
      <c r="G14399" s="496"/>
      <c r="H14399" s="36"/>
      <c r="I14399" s="11"/>
    </row>
    <row r="14400" spans="1:12" ht="24" customHeight="1">
      <c r="A14400" s="887" t="s">
        <v>18834</v>
      </c>
      <c r="B14400" s="888" t="s">
        <v>23730</v>
      </c>
      <c r="C14400" s="147"/>
      <c r="D14400" s="889"/>
      <c r="E14400" s="177"/>
      <c r="F14400" s="1095"/>
      <c r="G14400" s="1267"/>
      <c r="H14400" s="890"/>
      <c r="I14400" s="11"/>
    </row>
    <row r="14401" spans="1:12" ht="9" customHeight="1">
      <c r="A14401" s="285" t="s">
        <v>23444</v>
      </c>
      <c r="B14401" s="59" t="s">
        <v>22223</v>
      </c>
      <c r="C14401" s="147" t="s">
        <v>20221</v>
      </c>
      <c r="D14401" s="701" t="s">
        <v>1129</v>
      </c>
      <c r="E14401" s="178">
        <v>2011</v>
      </c>
      <c r="F14401" s="178" t="s">
        <v>4520</v>
      </c>
      <c r="G14401" s="496"/>
      <c r="H14401" s="994" t="s">
        <v>20224</v>
      </c>
      <c r="I14401" s="11" t="s">
        <v>14013</v>
      </c>
      <c r="J14401" s="1285"/>
      <c r="K14401" s="1285"/>
      <c r="L14401" s="1285"/>
    </row>
    <row r="14402" spans="1:12" ht="9" customHeight="1">
      <c r="A14402" s="285" t="s">
        <v>23445</v>
      </c>
      <c r="B14402" s="59" t="s">
        <v>23237</v>
      </c>
      <c r="C14402" s="147" t="s">
        <v>20221</v>
      </c>
      <c r="D14402" s="701" t="s">
        <v>1129</v>
      </c>
      <c r="E14402" s="178">
        <v>2016</v>
      </c>
      <c r="F14402" s="178" t="s">
        <v>4520</v>
      </c>
      <c r="G14402" s="496"/>
      <c r="H14402" s="994" t="s">
        <v>20221</v>
      </c>
      <c r="I14402" s="11" t="s">
        <v>18836</v>
      </c>
      <c r="J14402" s="1285"/>
      <c r="K14402" s="1285"/>
      <c r="L14402" s="1285"/>
    </row>
    <row r="14403" spans="1:12" ht="9" customHeight="1">
      <c r="A14403" s="285" t="s">
        <v>23446</v>
      </c>
      <c r="B14403" s="59" t="s">
        <v>21912</v>
      </c>
      <c r="C14403" s="147" t="s">
        <v>20221</v>
      </c>
      <c r="D14403" s="701" t="s">
        <v>1129</v>
      </c>
      <c r="E14403" s="178">
        <v>2014</v>
      </c>
      <c r="F14403" s="178" t="s">
        <v>4520</v>
      </c>
      <c r="G14403" s="496"/>
      <c r="H14403" s="994" t="s">
        <v>20221</v>
      </c>
      <c r="I14403" s="11" t="s">
        <v>11920</v>
      </c>
      <c r="J14403" s="1285"/>
      <c r="K14403" s="1285"/>
      <c r="L14403" s="1285"/>
    </row>
    <row r="14404" spans="1:12" ht="9" customHeight="1">
      <c r="A14404" s="285" t="s">
        <v>23447</v>
      </c>
      <c r="B14404" s="59" t="s">
        <v>21934</v>
      </c>
      <c r="C14404" s="147" t="s">
        <v>20221</v>
      </c>
      <c r="D14404" s="701" t="s">
        <v>1129</v>
      </c>
      <c r="E14404" s="178">
        <v>2016</v>
      </c>
      <c r="F14404" s="178" t="s">
        <v>4520</v>
      </c>
      <c r="G14404" s="496"/>
      <c r="H14404" s="994" t="s">
        <v>20221</v>
      </c>
      <c r="I14404" s="11" t="s">
        <v>12088</v>
      </c>
      <c r="J14404" s="1285"/>
      <c r="K14404" s="1285"/>
      <c r="L14404" s="1285"/>
    </row>
    <row r="14405" spans="1:12" ht="9" customHeight="1">
      <c r="A14405" s="129"/>
      <c r="B14405" s="90"/>
      <c r="C14405" s="147"/>
      <c r="D14405" s="159"/>
      <c r="E14405" s="34"/>
      <c r="F14405" s="178"/>
      <c r="G14405" s="496"/>
      <c r="H14405" s="36"/>
      <c r="I14405" s="11"/>
    </row>
    <row r="14406" spans="1:12" ht="24" customHeight="1">
      <c r="A14406" s="887" t="s">
        <v>18834</v>
      </c>
      <c r="B14406" s="891" t="s">
        <v>18837</v>
      </c>
      <c r="C14406" s="147"/>
      <c r="D14406" s="889"/>
      <c r="E14406" s="177"/>
      <c r="F14406" s="1095"/>
      <c r="G14406" s="1267"/>
      <c r="H14406" s="890"/>
      <c r="I14406" s="11"/>
    </row>
    <row r="14407" spans="1:12" ht="9" customHeight="1">
      <c r="A14407" s="285" t="s">
        <v>23448</v>
      </c>
      <c r="B14407" s="59" t="s">
        <v>21631</v>
      </c>
      <c r="C14407" s="147" t="s">
        <v>20221</v>
      </c>
      <c r="D14407" s="701" t="s">
        <v>1129</v>
      </c>
      <c r="E14407" s="178">
        <v>2010</v>
      </c>
      <c r="F14407" s="178" t="s">
        <v>23395</v>
      </c>
      <c r="G14407" s="496"/>
      <c r="H14407" s="994" t="s">
        <v>20221</v>
      </c>
      <c r="I14407" s="11" t="s">
        <v>10165</v>
      </c>
      <c r="J14407" s="1285"/>
      <c r="K14407" s="1285"/>
      <c r="L14407" s="1285"/>
    </row>
    <row r="14408" spans="1:12" ht="9" customHeight="1">
      <c r="A14408" s="285" t="s">
        <v>23449</v>
      </c>
      <c r="B14408" s="59" t="s">
        <v>23194</v>
      </c>
      <c r="C14408" s="147" t="s">
        <v>20221</v>
      </c>
      <c r="D14408" s="739" t="s">
        <v>1410</v>
      </c>
      <c r="E14408" s="178">
        <v>2002</v>
      </c>
      <c r="F14408" s="178" t="s">
        <v>7168</v>
      </c>
      <c r="G14408" s="496"/>
      <c r="H14408" s="994" t="s">
        <v>20221</v>
      </c>
      <c r="I14408" s="11" t="s">
        <v>18838</v>
      </c>
      <c r="J14408" s="1285"/>
      <c r="K14408" s="1285"/>
      <c r="L14408" s="1285"/>
    </row>
    <row r="14409" spans="1:12" ht="9" customHeight="1">
      <c r="A14409" s="285" t="s">
        <v>23449</v>
      </c>
      <c r="B14409" s="59" t="s">
        <v>23192</v>
      </c>
      <c r="C14409" s="147" t="s">
        <v>20221</v>
      </c>
      <c r="D14409" s="739" t="s">
        <v>1410</v>
      </c>
      <c r="E14409" s="178">
        <v>2003</v>
      </c>
      <c r="F14409" s="178" t="s">
        <v>4520</v>
      </c>
      <c r="G14409" s="496"/>
      <c r="H14409" s="994" t="s">
        <v>20224</v>
      </c>
      <c r="I14409" s="11" t="s">
        <v>18839</v>
      </c>
      <c r="J14409" s="1285"/>
      <c r="K14409" s="1285"/>
      <c r="L14409" s="1285"/>
    </row>
    <row r="14410" spans="1:12" ht="9" customHeight="1">
      <c r="A14410" s="285" t="s">
        <v>23450</v>
      </c>
      <c r="B14410" s="59" t="s">
        <v>23229</v>
      </c>
      <c r="C14410" s="147" t="s">
        <v>20221</v>
      </c>
      <c r="D14410" s="701" t="s">
        <v>1129</v>
      </c>
      <c r="E14410" s="178">
        <v>1999</v>
      </c>
      <c r="F14410" s="178" t="s">
        <v>4520</v>
      </c>
      <c r="G14410" s="496"/>
      <c r="H14410" s="994" t="s">
        <v>20224</v>
      </c>
      <c r="I14410" s="11" t="s">
        <v>18840</v>
      </c>
      <c r="J14410" s="1285"/>
      <c r="K14410" s="1285"/>
      <c r="L14410" s="1285"/>
    </row>
    <row r="14411" spans="1:12" ht="9" customHeight="1">
      <c r="A14411" s="424"/>
      <c r="B14411" s="227"/>
      <c r="C14411" s="147"/>
      <c r="D14411" s="182"/>
      <c r="E14411" s="34"/>
      <c r="F14411" s="178"/>
      <c r="G14411" s="496"/>
      <c r="H14411" s="36"/>
      <c r="I14411" s="11"/>
    </row>
    <row r="14412" spans="1:12" ht="24" customHeight="1">
      <c r="A14412" s="887" t="s">
        <v>18834</v>
      </c>
      <c r="B14412" s="891" t="s">
        <v>18841</v>
      </c>
      <c r="C14412" s="147"/>
      <c r="D14412" s="889"/>
      <c r="E14412" s="177"/>
      <c r="F14412" s="1095"/>
      <c r="G14412" s="908"/>
      <c r="H14412" s="890"/>
      <c r="I14412" s="11"/>
    </row>
    <row r="14413" spans="1:12" ht="9" customHeight="1">
      <c r="A14413" s="285" t="s">
        <v>23451</v>
      </c>
      <c r="B14413" s="59" t="s">
        <v>23240</v>
      </c>
      <c r="C14413" s="147" t="s">
        <v>20221</v>
      </c>
      <c r="D14413" s="701" t="s">
        <v>1129</v>
      </c>
      <c r="E14413" s="178">
        <v>2005</v>
      </c>
      <c r="F14413" s="178" t="s">
        <v>20280</v>
      </c>
      <c r="G14413" s="496"/>
      <c r="H14413" s="994" t="s">
        <v>20277</v>
      </c>
      <c r="I14413" s="11" t="s">
        <v>18842</v>
      </c>
      <c r="J14413" s="1285"/>
      <c r="K14413" s="1285"/>
      <c r="L14413" s="1285"/>
    </row>
    <row r="14414" spans="1:12" ht="9" customHeight="1">
      <c r="A14414" s="285" t="s">
        <v>23452</v>
      </c>
      <c r="B14414" s="59" t="s">
        <v>21980</v>
      </c>
      <c r="C14414" s="147" t="s">
        <v>20221</v>
      </c>
      <c r="D14414" s="701" t="s">
        <v>1129</v>
      </c>
      <c r="E14414" s="178">
        <v>2014</v>
      </c>
      <c r="F14414" s="178" t="s">
        <v>23395</v>
      </c>
      <c r="G14414" s="496"/>
      <c r="H14414" s="994" t="s">
        <v>20221</v>
      </c>
      <c r="I14414" s="11" t="s">
        <v>17040</v>
      </c>
      <c r="J14414" s="1285"/>
      <c r="K14414" s="1285"/>
      <c r="L14414" s="1285"/>
    </row>
    <row r="14415" spans="1:12" ht="9" customHeight="1">
      <c r="A14415" s="285" t="s">
        <v>23445</v>
      </c>
      <c r="B14415" s="59" t="s">
        <v>23237</v>
      </c>
      <c r="C14415" s="147" t="s">
        <v>20221</v>
      </c>
      <c r="D14415" s="701" t="s">
        <v>1129</v>
      </c>
      <c r="E14415" s="178">
        <v>2016</v>
      </c>
      <c r="F14415" s="178" t="s">
        <v>4520</v>
      </c>
      <c r="G14415" s="496"/>
      <c r="H14415" s="994" t="s">
        <v>20221</v>
      </c>
      <c r="I14415" s="11" t="s">
        <v>18836</v>
      </c>
      <c r="J14415" s="1285"/>
      <c r="K14415" s="1285"/>
      <c r="L14415" s="1285"/>
    </row>
    <row r="14416" spans="1:12" ht="9" customHeight="1">
      <c r="A14416" s="285" t="s">
        <v>23453</v>
      </c>
      <c r="B14416" s="59" t="s">
        <v>21980</v>
      </c>
      <c r="C14416" s="147" t="s">
        <v>20221</v>
      </c>
      <c r="D14416" s="701" t="s">
        <v>1129</v>
      </c>
      <c r="E14416" s="178">
        <v>2016</v>
      </c>
      <c r="F14416" s="178" t="s">
        <v>4520</v>
      </c>
      <c r="G14416" s="496"/>
      <c r="H14416" s="994" t="s">
        <v>20221</v>
      </c>
      <c r="I14416" s="11" t="s">
        <v>12918</v>
      </c>
      <c r="J14416" s="1285"/>
      <c r="K14416" s="1285"/>
      <c r="L14416" s="1285"/>
    </row>
    <row r="14417" spans="1:12" ht="9" customHeight="1">
      <c r="A14417" s="285" t="s">
        <v>23454</v>
      </c>
      <c r="B14417" s="59" t="s">
        <v>22316</v>
      </c>
      <c r="C14417" s="147" t="s">
        <v>20221</v>
      </c>
      <c r="D14417" s="701" t="s">
        <v>1129</v>
      </c>
      <c r="E14417" s="178">
        <v>2017</v>
      </c>
      <c r="F14417" s="178" t="s">
        <v>4520</v>
      </c>
      <c r="G14417" s="496"/>
      <c r="H14417" s="994" t="s">
        <v>20221</v>
      </c>
      <c r="I14417" s="11" t="s">
        <v>14545</v>
      </c>
      <c r="J14417" s="1285"/>
      <c r="K14417" s="1285"/>
      <c r="L14417" s="1285"/>
    </row>
    <row r="14418" spans="1:12" ht="9" customHeight="1">
      <c r="A14418" s="285" t="s">
        <v>23455</v>
      </c>
      <c r="B14418" s="59" t="s">
        <v>23232</v>
      </c>
      <c r="C14418" s="147" t="s">
        <v>20221</v>
      </c>
      <c r="D14418" s="701" t="s">
        <v>1129</v>
      </c>
      <c r="E14418" s="178">
        <v>2011</v>
      </c>
      <c r="F14418" s="178" t="s">
        <v>23395</v>
      </c>
      <c r="G14418" s="496"/>
      <c r="H14418" s="994" t="s">
        <v>20277</v>
      </c>
      <c r="I14418" s="11" t="s">
        <v>18843</v>
      </c>
      <c r="J14418" s="1285"/>
      <c r="K14418" s="1285"/>
      <c r="L14418" s="1285"/>
    </row>
    <row r="14419" spans="1:12" ht="9" customHeight="1">
      <c r="A14419" s="285" t="s">
        <v>23456</v>
      </c>
      <c r="B14419" s="59" t="s">
        <v>23234</v>
      </c>
      <c r="C14419" s="147" t="s">
        <v>20221</v>
      </c>
      <c r="D14419" s="701" t="s">
        <v>1129</v>
      </c>
      <c r="E14419" s="178">
        <v>1999</v>
      </c>
      <c r="F14419" s="178" t="s">
        <v>20220</v>
      </c>
      <c r="G14419" s="496"/>
      <c r="H14419" s="994" t="s">
        <v>20465</v>
      </c>
      <c r="I14419" s="11" t="s">
        <v>18844</v>
      </c>
      <c r="J14419" s="1285"/>
      <c r="K14419" s="1285"/>
      <c r="L14419" s="1285"/>
    </row>
    <row r="14420" spans="1:12" ht="9" customHeight="1">
      <c r="A14420" s="424"/>
      <c r="B14420" s="59"/>
      <c r="C14420" s="147"/>
      <c r="D14420" s="182"/>
      <c r="E14420" s="36"/>
      <c r="F14420" s="183"/>
      <c r="G14420" s="496"/>
      <c r="H14420" s="34"/>
      <c r="I14420" s="11"/>
    </row>
    <row r="14421" spans="1:12" ht="24" customHeight="1">
      <c r="A14421" s="892" t="s">
        <v>18834</v>
      </c>
      <c r="B14421" s="893" t="s">
        <v>18845</v>
      </c>
      <c r="C14421" s="321"/>
      <c r="D14421" s="894"/>
      <c r="E14421" s="339"/>
      <c r="F14421" s="1096"/>
      <c r="G14421" s="1113"/>
      <c r="H14421" s="895"/>
      <c r="I14421" s="11"/>
    </row>
    <row r="14422" spans="1:12" ht="11.15" customHeight="1">
      <c r="A14422" s="871"/>
      <c r="B14422" s="896" t="s">
        <v>18846</v>
      </c>
      <c r="C14422" s="897"/>
      <c r="D14422" s="898"/>
      <c r="E14422" s="899"/>
      <c r="F14422" s="899"/>
      <c r="G14422" s="900"/>
      <c r="H14422" s="899"/>
      <c r="I14422" s="11"/>
    </row>
    <row r="14423" spans="1:12" ht="9" customHeight="1">
      <c r="A14423" s="330" t="s">
        <v>23451</v>
      </c>
      <c r="B14423" s="324" t="s">
        <v>23240</v>
      </c>
      <c r="C14423" s="321" t="s">
        <v>20221</v>
      </c>
      <c r="D14423" s="1297" t="s">
        <v>1129</v>
      </c>
      <c r="E14423" s="578">
        <v>2005</v>
      </c>
      <c r="F14423" s="578" t="s">
        <v>20280</v>
      </c>
      <c r="G14423" s="1204"/>
      <c r="H14423" s="1296" t="s">
        <v>20277</v>
      </c>
      <c r="I14423" s="11" t="s">
        <v>18842</v>
      </c>
      <c r="J14423" s="1285"/>
      <c r="K14423" s="1285"/>
      <c r="L14423" s="1285"/>
    </row>
    <row r="14424" spans="1:12" ht="9" customHeight="1">
      <c r="A14424" s="330" t="s">
        <v>23457</v>
      </c>
      <c r="B14424" s="324" t="s">
        <v>23195</v>
      </c>
      <c r="C14424" s="321" t="s">
        <v>20221</v>
      </c>
      <c r="D14424" s="1297" t="s">
        <v>1129</v>
      </c>
      <c r="E14424" s="578">
        <v>2011</v>
      </c>
      <c r="F14424" s="578" t="s">
        <v>23395</v>
      </c>
      <c r="G14424" s="1204"/>
      <c r="H14424" s="1296" t="s">
        <v>20465</v>
      </c>
      <c r="I14424" s="11" t="s">
        <v>18847</v>
      </c>
      <c r="J14424" s="1285"/>
      <c r="K14424" s="1285"/>
      <c r="L14424" s="1285"/>
    </row>
    <row r="14425" spans="1:12" ht="9" customHeight="1">
      <c r="A14425" s="330" t="s">
        <v>23458</v>
      </c>
      <c r="B14425" s="324" t="s">
        <v>23227</v>
      </c>
      <c r="C14425" s="321" t="s">
        <v>20221</v>
      </c>
      <c r="D14425" s="1297" t="s">
        <v>1129</v>
      </c>
      <c r="E14425" s="578">
        <v>2008</v>
      </c>
      <c r="F14425" s="578" t="s">
        <v>20220</v>
      </c>
      <c r="G14425" s="1204"/>
      <c r="H14425" s="1296" t="s">
        <v>20465</v>
      </c>
      <c r="I14425" s="11" t="s">
        <v>18848</v>
      </c>
      <c r="J14425" s="1285"/>
      <c r="K14425" s="1285"/>
      <c r="L14425" s="1285"/>
    </row>
    <row r="14426" spans="1:12" ht="9" customHeight="1">
      <c r="A14426" s="901" t="s">
        <v>23459</v>
      </c>
      <c r="B14426" s="324" t="s">
        <v>21980</v>
      </c>
      <c r="C14426" s="321" t="s">
        <v>20221</v>
      </c>
      <c r="D14426" s="1297" t="s">
        <v>1129</v>
      </c>
      <c r="E14426" s="578">
        <v>2007</v>
      </c>
      <c r="F14426" s="578" t="s">
        <v>23395</v>
      </c>
      <c r="G14426" s="1204"/>
      <c r="H14426" s="1296" t="s">
        <v>20277</v>
      </c>
      <c r="I14426" s="11" t="s">
        <v>18849</v>
      </c>
      <c r="J14426" s="1285"/>
      <c r="K14426" s="1285"/>
      <c r="L14426" s="1285"/>
    </row>
    <row r="14427" spans="1:12" ht="9" customHeight="1">
      <c r="A14427" s="330" t="s">
        <v>23460</v>
      </c>
      <c r="B14427" s="324" t="s">
        <v>22777</v>
      </c>
      <c r="C14427" s="321" t="s">
        <v>20221</v>
      </c>
      <c r="D14427" s="1297" t="s">
        <v>1129</v>
      </c>
      <c r="E14427" s="578">
        <v>2003</v>
      </c>
      <c r="F14427" s="578" t="s">
        <v>4520</v>
      </c>
      <c r="G14427" s="1204"/>
      <c r="H14427" s="1296" t="s">
        <v>20277</v>
      </c>
      <c r="I14427" s="11" t="s">
        <v>16395</v>
      </c>
      <c r="J14427" s="1285"/>
      <c r="K14427" s="1285"/>
      <c r="L14427" s="1285"/>
    </row>
    <row r="14428" spans="1:12" ht="9" customHeight="1">
      <c r="A14428" s="902" t="s">
        <v>23461</v>
      </c>
      <c r="B14428" s="324" t="s">
        <v>23198</v>
      </c>
      <c r="C14428" s="321" t="s">
        <v>20221</v>
      </c>
      <c r="D14428" s="1297" t="s">
        <v>1129</v>
      </c>
      <c r="E14428" s="578">
        <v>2011</v>
      </c>
      <c r="F14428" s="578" t="s">
        <v>4520</v>
      </c>
      <c r="G14428" s="1204"/>
      <c r="H14428" s="1296" t="s">
        <v>20465</v>
      </c>
      <c r="I14428" s="11" t="s">
        <v>18850</v>
      </c>
      <c r="J14428" s="1285"/>
      <c r="K14428" s="1285"/>
      <c r="L14428" s="1285"/>
    </row>
    <row r="14429" spans="1:12" ht="9" customHeight="1">
      <c r="A14429" s="901" t="s">
        <v>23462</v>
      </c>
      <c r="B14429" s="324" t="s">
        <v>23190</v>
      </c>
      <c r="C14429" s="321" t="s">
        <v>20221</v>
      </c>
      <c r="D14429" s="1298" t="s">
        <v>1410</v>
      </c>
      <c r="E14429" s="578">
        <v>1997</v>
      </c>
      <c r="F14429" s="578" t="s">
        <v>20220</v>
      </c>
      <c r="G14429" s="1204"/>
      <c r="H14429" s="1296" t="s">
        <v>20465</v>
      </c>
      <c r="I14429" s="11" t="s">
        <v>18851</v>
      </c>
      <c r="J14429" s="1285"/>
      <c r="K14429" s="1285"/>
      <c r="L14429" s="1285"/>
    </row>
    <row r="14430" spans="1:12" ht="9" customHeight="1">
      <c r="A14430" s="901" t="s">
        <v>23455</v>
      </c>
      <c r="B14430" s="324" t="s">
        <v>23232</v>
      </c>
      <c r="C14430" s="321" t="s">
        <v>20221</v>
      </c>
      <c r="D14430" s="1297" t="s">
        <v>1129</v>
      </c>
      <c r="E14430" s="578">
        <v>2011</v>
      </c>
      <c r="F14430" s="578" t="s">
        <v>23395</v>
      </c>
      <c r="G14430" s="1204"/>
      <c r="H14430" s="1296" t="s">
        <v>20277</v>
      </c>
      <c r="I14430" s="11" t="s">
        <v>18843</v>
      </c>
      <c r="J14430" s="1285"/>
      <c r="K14430" s="1285"/>
      <c r="L14430" s="1285"/>
    </row>
    <row r="14431" spans="1:12" ht="9" customHeight="1">
      <c r="A14431" s="901" t="s">
        <v>23456</v>
      </c>
      <c r="B14431" s="324" t="s">
        <v>23234</v>
      </c>
      <c r="C14431" s="321" t="s">
        <v>20221</v>
      </c>
      <c r="D14431" s="1297" t="s">
        <v>1129</v>
      </c>
      <c r="E14431" s="578">
        <v>1999</v>
      </c>
      <c r="F14431" s="578" t="s">
        <v>20220</v>
      </c>
      <c r="G14431" s="1204"/>
      <c r="H14431" s="1296" t="s">
        <v>20465</v>
      </c>
      <c r="I14431" s="11" t="s">
        <v>18844</v>
      </c>
      <c r="J14431" s="1285"/>
      <c r="K14431" s="1285"/>
      <c r="L14431" s="1285"/>
    </row>
    <row r="14432" spans="1:12" ht="24" customHeight="1">
      <c r="A14432" s="887" t="s">
        <v>18834</v>
      </c>
      <c r="B14432" s="888" t="s">
        <v>18852</v>
      </c>
      <c r="C14432" s="147"/>
      <c r="D14432" s="231"/>
      <c r="E14432" s="177"/>
      <c r="F14432" s="1095"/>
      <c r="G14432" s="908"/>
      <c r="H14432" s="890"/>
      <c r="I14432" s="11"/>
    </row>
    <row r="14433" spans="1:12" ht="9" customHeight="1">
      <c r="A14433" s="129" t="s">
        <v>23463</v>
      </c>
      <c r="B14433" s="59" t="s">
        <v>20466</v>
      </c>
      <c r="C14433" s="147" t="s">
        <v>20221</v>
      </c>
      <c r="D14433" s="1034" t="s">
        <v>2573</v>
      </c>
      <c r="E14433" s="178">
        <v>2013</v>
      </c>
      <c r="F14433" s="178" t="s">
        <v>4520</v>
      </c>
      <c r="G14433" s="496"/>
      <c r="H14433" s="994" t="s">
        <v>20465</v>
      </c>
      <c r="I14433" s="11" t="s">
        <v>2576</v>
      </c>
      <c r="J14433" s="1285"/>
      <c r="K14433" s="1285"/>
      <c r="L14433" s="1285"/>
    </row>
    <row r="14434" spans="1:12" ht="24" customHeight="1">
      <c r="A14434" s="887" t="s">
        <v>18834</v>
      </c>
      <c r="B14434" s="888" t="s">
        <v>18853</v>
      </c>
      <c r="C14434" s="147"/>
      <c r="D14434" s="889"/>
      <c r="E14434" s="177"/>
      <c r="F14434" s="1095"/>
      <c r="G14434" s="1267"/>
      <c r="H14434" s="890"/>
      <c r="I14434" s="11"/>
    </row>
    <row r="14435" spans="1:12" ht="9" customHeight="1">
      <c r="A14435" s="129" t="s">
        <v>23464</v>
      </c>
      <c r="B14435" s="59" t="s">
        <v>22314</v>
      </c>
      <c r="C14435" s="147" t="s">
        <v>20221</v>
      </c>
      <c r="D14435" s="284" t="s">
        <v>897</v>
      </c>
      <c r="E14435" s="178">
        <v>2006</v>
      </c>
      <c r="F14435" s="178" t="s">
        <v>4520</v>
      </c>
      <c r="G14435" s="496"/>
      <c r="H14435" s="994" t="s">
        <v>20221</v>
      </c>
      <c r="I14435" s="11" t="s">
        <v>14531</v>
      </c>
      <c r="J14435" s="1285"/>
      <c r="K14435" s="1285"/>
      <c r="L14435" s="1285"/>
    </row>
    <row r="14436" spans="1:12" ht="9" customHeight="1">
      <c r="A14436" s="129" t="s">
        <v>23465</v>
      </c>
      <c r="B14436" s="59" t="s">
        <v>23204</v>
      </c>
      <c r="C14436" s="147" t="s">
        <v>20221</v>
      </c>
      <c r="D14436" s="284" t="s">
        <v>897</v>
      </c>
      <c r="E14436" s="178">
        <v>2013</v>
      </c>
      <c r="F14436" s="178" t="s">
        <v>4520</v>
      </c>
      <c r="G14436" s="496"/>
      <c r="H14436" s="994" t="s">
        <v>20221</v>
      </c>
      <c r="I14436" s="11" t="s">
        <v>18854</v>
      </c>
      <c r="J14436" s="1285"/>
      <c r="K14436" s="1285"/>
      <c r="L14436" s="1285"/>
    </row>
    <row r="14437" spans="1:12" ht="9" customHeight="1">
      <c r="A14437" s="129" t="s">
        <v>23466</v>
      </c>
      <c r="B14437" s="59" t="s">
        <v>23201</v>
      </c>
      <c r="C14437" s="147" t="s">
        <v>20221</v>
      </c>
      <c r="D14437" s="284" t="s">
        <v>897</v>
      </c>
      <c r="E14437" s="178">
        <v>2004</v>
      </c>
      <c r="F14437" s="178" t="s">
        <v>4520</v>
      </c>
      <c r="G14437" s="496"/>
      <c r="H14437" s="994" t="s">
        <v>20221</v>
      </c>
      <c r="I14437" s="11" t="s">
        <v>18855</v>
      </c>
      <c r="J14437" s="1285"/>
      <c r="K14437" s="1285"/>
      <c r="L14437" s="1285"/>
    </row>
    <row r="14438" spans="1:12" ht="9" customHeight="1">
      <c r="A14438" s="129" t="s">
        <v>23467</v>
      </c>
      <c r="B14438" s="59" t="s">
        <v>23223</v>
      </c>
      <c r="C14438" s="147" t="s">
        <v>20221</v>
      </c>
      <c r="D14438" s="284" t="s">
        <v>897</v>
      </c>
      <c r="E14438" s="178">
        <v>2000</v>
      </c>
      <c r="F14438" s="178" t="s">
        <v>23395</v>
      </c>
      <c r="G14438" s="496"/>
      <c r="H14438" s="994" t="s">
        <v>20224</v>
      </c>
      <c r="I14438" s="11" t="s">
        <v>18856</v>
      </c>
      <c r="J14438" s="1285"/>
      <c r="K14438" s="1285"/>
      <c r="L14438" s="1285"/>
    </row>
    <row r="14439" spans="1:12" ht="9" customHeight="1">
      <c r="A14439" s="129" t="s">
        <v>23468</v>
      </c>
      <c r="B14439" s="59" t="s">
        <v>23206</v>
      </c>
      <c r="C14439" s="147" t="s">
        <v>20221</v>
      </c>
      <c r="D14439" s="284" t="s">
        <v>897</v>
      </c>
      <c r="E14439" s="178">
        <v>2009</v>
      </c>
      <c r="F14439" s="178" t="s">
        <v>4520</v>
      </c>
      <c r="G14439" s="496"/>
      <c r="H14439" s="994" t="s">
        <v>20221</v>
      </c>
      <c r="I14439" s="11" t="s">
        <v>18857</v>
      </c>
      <c r="J14439" s="1285"/>
      <c r="K14439" s="1285"/>
      <c r="L14439" s="1285"/>
    </row>
    <row r="14440" spans="1:12" ht="9" customHeight="1">
      <c r="A14440" s="129" t="s">
        <v>23469</v>
      </c>
      <c r="B14440" s="59" t="s">
        <v>23220</v>
      </c>
      <c r="C14440" s="147" t="s">
        <v>20221</v>
      </c>
      <c r="D14440" s="284" t="s">
        <v>897</v>
      </c>
      <c r="E14440" s="178">
        <v>2001</v>
      </c>
      <c r="F14440" s="178" t="s">
        <v>23395</v>
      </c>
      <c r="G14440" s="496"/>
      <c r="H14440" s="994" t="s">
        <v>20221</v>
      </c>
      <c r="I14440" s="11" t="s">
        <v>18858</v>
      </c>
      <c r="J14440" s="1285"/>
      <c r="K14440" s="1285"/>
      <c r="L14440" s="1285"/>
    </row>
    <row r="14441" spans="1:12" ht="9" customHeight="1">
      <c r="A14441" s="129" t="s">
        <v>23470</v>
      </c>
      <c r="B14441" s="59" t="s">
        <v>23209</v>
      </c>
      <c r="C14441" s="147" t="s">
        <v>20221</v>
      </c>
      <c r="D14441" s="284" t="s">
        <v>897</v>
      </c>
      <c r="E14441" s="178">
        <v>2004</v>
      </c>
      <c r="F14441" s="178" t="s">
        <v>4520</v>
      </c>
      <c r="G14441" s="496"/>
      <c r="H14441" s="994" t="s">
        <v>20277</v>
      </c>
      <c r="I14441" s="11" t="s">
        <v>18859</v>
      </c>
      <c r="J14441" s="1285"/>
      <c r="K14441" s="1285"/>
      <c r="L14441" s="1285"/>
    </row>
    <row r="14442" spans="1:12" ht="9" customHeight="1">
      <c r="A14442" s="424"/>
      <c r="B14442" s="903"/>
      <c r="C14442" s="147"/>
      <c r="D14442" s="161"/>
      <c r="E14442" s="36"/>
      <c r="F14442" s="178"/>
      <c r="G14442" s="496"/>
      <c r="H14442" s="36"/>
      <c r="I14442" s="11"/>
    </row>
    <row r="14443" spans="1:12" ht="24" customHeight="1">
      <c r="A14443" s="892" t="s">
        <v>18834</v>
      </c>
      <c r="B14443" s="893" t="s">
        <v>18860</v>
      </c>
      <c r="C14443" s="321"/>
      <c r="D14443" s="894"/>
      <c r="E14443" s="339"/>
      <c r="F14443" s="1096"/>
      <c r="G14443" s="1113"/>
      <c r="H14443" s="895"/>
      <c r="I14443" s="11"/>
    </row>
    <row r="14444" spans="1:12" ht="11.15" customHeight="1">
      <c r="A14444" s="871"/>
      <c r="B14444" s="896" t="s">
        <v>18846</v>
      </c>
      <c r="C14444" s="897"/>
      <c r="D14444" s="898"/>
      <c r="E14444" s="899"/>
      <c r="F14444" s="899"/>
      <c r="G14444" s="900"/>
      <c r="H14444" s="899"/>
      <c r="I14444" s="11"/>
    </row>
    <row r="14445" spans="1:12" ht="9" customHeight="1">
      <c r="A14445" s="330" t="s">
        <v>23471</v>
      </c>
      <c r="B14445" s="324" t="s">
        <v>21294</v>
      </c>
      <c r="C14445" s="321" t="s">
        <v>20221</v>
      </c>
      <c r="D14445" s="1295" t="s">
        <v>897</v>
      </c>
      <c r="E14445" s="578">
        <v>2003</v>
      </c>
      <c r="F14445" s="578" t="s">
        <v>23395</v>
      </c>
      <c r="G14445" s="1204"/>
      <c r="H14445" s="1296" t="s">
        <v>20277</v>
      </c>
      <c r="I14445" s="11" t="s">
        <v>8231</v>
      </c>
      <c r="J14445" s="1285"/>
      <c r="K14445" s="1285"/>
      <c r="L14445" s="1285"/>
    </row>
    <row r="14446" spans="1:12" ht="9" customHeight="1">
      <c r="A14446" s="330" t="s">
        <v>23472</v>
      </c>
      <c r="B14446" s="324" t="s">
        <v>23218</v>
      </c>
      <c r="C14446" s="321" t="s">
        <v>20221</v>
      </c>
      <c r="D14446" s="1295" t="s">
        <v>897</v>
      </c>
      <c r="E14446" s="578">
        <v>2008</v>
      </c>
      <c r="F14446" s="578" t="s">
        <v>4520</v>
      </c>
      <c r="G14446" s="1204"/>
      <c r="H14446" s="1296" t="s">
        <v>20465</v>
      </c>
      <c r="I14446" s="11" t="s">
        <v>18861</v>
      </c>
      <c r="J14446" s="1285"/>
      <c r="K14446" s="1285"/>
      <c r="L14446" s="1285"/>
    </row>
    <row r="14447" spans="1:12" ht="9" customHeight="1">
      <c r="A14447" s="330" t="s">
        <v>23461</v>
      </c>
      <c r="B14447" s="324" t="s">
        <v>23210</v>
      </c>
      <c r="C14447" s="321" t="s">
        <v>20221</v>
      </c>
      <c r="D14447" s="1295" t="s">
        <v>897</v>
      </c>
      <c r="E14447" s="578">
        <v>2006</v>
      </c>
      <c r="F14447" s="578" t="s">
        <v>4520</v>
      </c>
      <c r="G14447" s="1204"/>
      <c r="H14447" s="1296" t="s">
        <v>20277</v>
      </c>
      <c r="I14447" s="11" t="s">
        <v>18862</v>
      </c>
      <c r="J14447" s="1285"/>
      <c r="K14447" s="1285"/>
      <c r="L14447" s="1285"/>
    </row>
    <row r="14448" spans="1:12" ht="9" customHeight="1">
      <c r="A14448" s="330" t="s">
        <v>23461</v>
      </c>
      <c r="B14448" s="324" t="s">
        <v>23210</v>
      </c>
      <c r="C14448" s="321" t="s">
        <v>20221</v>
      </c>
      <c r="D14448" s="1295" t="s">
        <v>897</v>
      </c>
      <c r="E14448" s="578">
        <v>2005</v>
      </c>
      <c r="F14448" s="578" t="s">
        <v>4520</v>
      </c>
      <c r="G14448" s="1204"/>
      <c r="H14448" s="1296" t="s">
        <v>20465</v>
      </c>
      <c r="I14448" s="11" t="s">
        <v>18863</v>
      </c>
      <c r="J14448" s="1285"/>
      <c r="K14448" s="1285"/>
      <c r="L14448" s="1285"/>
    </row>
    <row r="14449" spans="1:12" ht="9" customHeight="1">
      <c r="A14449" s="330" t="s">
        <v>23473</v>
      </c>
      <c r="B14449" s="324" t="s">
        <v>23225</v>
      </c>
      <c r="C14449" s="321" t="s">
        <v>20221</v>
      </c>
      <c r="D14449" s="1295" t="s">
        <v>897</v>
      </c>
      <c r="E14449" s="578">
        <v>2005</v>
      </c>
      <c r="F14449" s="578" t="s">
        <v>23395</v>
      </c>
      <c r="G14449" s="1204"/>
      <c r="H14449" s="1296" t="s">
        <v>20277</v>
      </c>
      <c r="I14449" s="11" t="s">
        <v>18864</v>
      </c>
      <c r="J14449" s="1285"/>
      <c r="K14449" s="1285"/>
      <c r="L14449" s="1285"/>
    </row>
    <row r="14450" spans="1:12" ht="9" customHeight="1">
      <c r="A14450" s="330" t="s">
        <v>23474</v>
      </c>
      <c r="B14450" s="324" t="s">
        <v>23212</v>
      </c>
      <c r="C14450" s="321" t="s">
        <v>20221</v>
      </c>
      <c r="D14450" s="1295" t="s">
        <v>897</v>
      </c>
      <c r="E14450" s="578">
        <v>2004</v>
      </c>
      <c r="F14450" s="578" t="s">
        <v>23395</v>
      </c>
      <c r="G14450" s="1204"/>
      <c r="H14450" s="1296" t="s">
        <v>20277</v>
      </c>
      <c r="I14450" s="11" t="s">
        <v>18865</v>
      </c>
      <c r="J14450" s="1285"/>
      <c r="K14450" s="1285"/>
      <c r="L14450" s="1285"/>
    </row>
    <row r="14451" spans="1:12" ht="9" customHeight="1">
      <c r="A14451" s="330" t="s">
        <v>23475</v>
      </c>
      <c r="B14451" s="324" t="s">
        <v>23217</v>
      </c>
      <c r="C14451" s="321" t="s">
        <v>20221</v>
      </c>
      <c r="D14451" s="1295" t="s">
        <v>897</v>
      </c>
      <c r="E14451" s="578">
        <v>2001</v>
      </c>
      <c r="F14451" s="578" t="s">
        <v>20220</v>
      </c>
      <c r="G14451" s="1204"/>
      <c r="H14451" s="1296" t="s">
        <v>20277</v>
      </c>
      <c r="I14451" s="11" t="s">
        <v>18866</v>
      </c>
      <c r="J14451" s="1285"/>
      <c r="K14451" s="1285"/>
      <c r="L14451" s="1285"/>
    </row>
    <row r="14452" spans="1:12" ht="9" customHeight="1" thickBot="1">
      <c r="A14452" s="330" t="s">
        <v>23476</v>
      </c>
      <c r="B14452" s="324" t="s">
        <v>23214</v>
      </c>
      <c r="C14452" s="321" t="s">
        <v>20221</v>
      </c>
      <c r="D14452" s="1295" t="s">
        <v>897</v>
      </c>
      <c r="E14452" s="578">
        <v>1998</v>
      </c>
      <c r="F14452" s="578" t="s">
        <v>23395</v>
      </c>
      <c r="G14452" s="1204"/>
      <c r="H14452" s="1296" t="s">
        <v>20465</v>
      </c>
      <c r="I14452" s="11" t="s">
        <v>18867</v>
      </c>
      <c r="J14452" s="1285"/>
      <c r="K14452" s="1285"/>
      <c r="L14452" s="1285"/>
    </row>
    <row r="14453" spans="1:12" ht="24" customHeight="1" thickBot="1">
      <c r="A14453" s="234"/>
      <c r="B14453" s="64" t="s">
        <v>23731</v>
      </c>
      <c r="C14453" s="170"/>
      <c r="D14453" s="139"/>
      <c r="E14453" s="874"/>
      <c r="F14453" s="1094"/>
      <c r="G14453" s="1094"/>
      <c r="H14453" s="875"/>
      <c r="I14453" s="11"/>
    </row>
    <row r="14454" spans="1:12" ht="24" customHeight="1">
      <c r="A14454" s="904" t="s">
        <v>18868</v>
      </c>
      <c r="B14454" s="891" t="s">
        <v>18869</v>
      </c>
      <c r="C14454" s="147"/>
      <c r="D14454" s="161"/>
      <c r="E14454" s="177"/>
      <c r="F14454" s="1095"/>
      <c r="G14454" s="908"/>
      <c r="H14454" s="890"/>
      <c r="I14454" s="11"/>
    </row>
    <row r="14455" spans="1:12" ht="9" customHeight="1">
      <c r="A14455" s="285" t="s">
        <v>23477</v>
      </c>
      <c r="B14455" s="59" t="s">
        <v>22018</v>
      </c>
      <c r="C14455" s="147" t="s">
        <v>20221</v>
      </c>
      <c r="D14455" s="701" t="s">
        <v>884</v>
      </c>
      <c r="E14455" s="178" t="s">
        <v>19060</v>
      </c>
      <c r="F14455" s="178" t="s">
        <v>4520</v>
      </c>
      <c r="G14455" s="496"/>
      <c r="H14455" s="994" t="s">
        <v>20221</v>
      </c>
      <c r="I14455" s="11" t="s">
        <v>12502</v>
      </c>
      <c r="J14455" s="1285"/>
      <c r="K14455" s="1285"/>
      <c r="L14455" s="1285"/>
    </row>
    <row r="14456" spans="1:12" ht="9" customHeight="1">
      <c r="A14456" s="285" t="s">
        <v>23478</v>
      </c>
      <c r="B14456" s="59" t="s">
        <v>22298</v>
      </c>
      <c r="C14456" s="147" t="s">
        <v>20221</v>
      </c>
      <c r="D14456" s="701" t="s">
        <v>884</v>
      </c>
      <c r="E14456" s="178" t="s">
        <v>22299</v>
      </c>
      <c r="F14456" s="178" t="s">
        <v>4520</v>
      </c>
      <c r="G14456" s="496"/>
      <c r="H14456" s="994" t="s">
        <v>20221</v>
      </c>
      <c r="I14456" s="11" t="s">
        <v>14448</v>
      </c>
      <c r="J14456" s="1285"/>
      <c r="K14456" s="1285"/>
      <c r="L14456" s="1285"/>
    </row>
    <row r="14457" spans="1:12" ht="9" customHeight="1">
      <c r="A14457" s="285" t="s">
        <v>23478</v>
      </c>
      <c r="B14457" s="59" t="s">
        <v>22300</v>
      </c>
      <c r="C14457" s="147" t="s">
        <v>20221</v>
      </c>
      <c r="D14457" s="701" t="s">
        <v>884</v>
      </c>
      <c r="E14457" s="178" t="s">
        <v>22299</v>
      </c>
      <c r="F14457" s="178" t="s">
        <v>4520</v>
      </c>
      <c r="G14457" s="496"/>
      <c r="H14457" s="994" t="s">
        <v>20221</v>
      </c>
      <c r="I14457" s="11" t="s">
        <v>14450</v>
      </c>
      <c r="J14457" s="1285"/>
      <c r="K14457" s="1285"/>
      <c r="L14457" s="1285"/>
    </row>
    <row r="14458" spans="1:12" ht="9" customHeight="1">
      <c r="A14458" s="285" t="s">
        <v>23477</v>
      </c>
      <c r="B14458" s="59" t="s">
        <v>22019</v>
      </c>
      <c r="C14458" s="147" t="s">
        <v>23393</v>
      </c>
      <c r="D14458" s="701" t="s">
        <v>884</v>
      </c>
      <c r="E14458" s="178" t="s">
        <v>19060</v>
      </c>
      <c r="F14458" s="178" t="s">
        <v>4520</v>
      </c>
      <c r="G14458" s="496"/>
      <c r="H14458" s="994" t="s">
        <v>20221</v>
      </c>
      <c r="I14458" s="11" t="s">
        <v>12504</v>
      </c>
      <c r="J14458" s="1285"/>
      <c r="K14458" s="1285"/>
      <c r="L14458" s="1285"/>
    </row>
    <row r="14459" spans="1:12" ht="9" customHeight="1">
      <c r="A14459" s="285" t="s">
        <v>23479</v>
      </c>
      <c r="B14459" s="59" t="s">
        <v>21923</v>
      </c>
      <c r="C14459" s="147" t="s">
        <v>23393</v>
      </c>
      <c r="D14459" s="701" t="s">
        <v>884</v>
      </c>
      <c r="E14459" s="178" t="s">
        <v>20253</v>
      </c>
      <c r="F14459" s="178" t="s">
        <v>23395</v>
      </c>
      <c r="G14459" s="496"/>
      <c r="H14459" s="994" t="s">
        <v>20221</v>
      </c>
      <c r="I14459" s="11" t="s">
        <v>12028</v>
      </c>
      <c r="J14459" s="1285"/>
      <c r="K14459" s="1285"/>
      <c r="L14459" s="1285"/>
    </row>
    <row r="14460" spans="1:12" ht="9" customHeight="1">
      <c r="A14460" s="285" t="s">
        <v>23480</v>
      </c>
      <c r="B14460" s="59" t="s">
        <v>22021</v>
      </c>
      <c r="C14460" s="147" t="s">
        <v>20221</v>
      </c>
      <c r="D14460" s="701" t="s">
        <v>884</v>
      </c>
      <c r="E14460" s="178">
        <v>2018</v>
      </c>
      <c r="F14460" s="178" t="s">
        <v>4520</v>
      </c>
      <c r="G14460" s="496"/>
      <c r="H14460" s="994" t="s">
        <v>20221</v>
      </c>
      <c r="I14460" s="11" t="s">
        <v>12519</v>
      </c>
      <c r="J14460" s="1285"/>
      <c r="K14460" s="1285"/>
      <c r="L14460" s="1285"/>
    </row>
    <row r="14461" spans="1:12" ht="9" customHeight="1">
      <c r="A14461" s="285" t="s">
        <v>23481</v>
      </c>
      <c r="B14461" s="59" t="s">
        <v>21413</v>
      </c>
      <c r="C14461" s="147" t="s">
        <v>23393</v>
      </c>
      <c r="D14461" s="701" t="s">
        <v>884</v>
      </c>
      <c r="E14461" s="178">
        <v>2022</v>
      </c>
      <c r="F14461" s="178" t="s">
        <v>23395</v>
      </c>
      <c r="G14461" s="496"/>
      <c r="H14461" s="994" t="s">
        <v>20221</v>
      </c>
      <c r="I14461" s="11" t="s">
        <v>8901</v>
      </c>
      <c r="J14461" s="1285"/>
      <c r="K14461" s="1285"/>
      <c r="L14461" s="1285"/>
    </row>
    <row r="14462" spans="1:12" ht="9" customHeight="1">
      <c r="A14462" s="285" t="s">
        <v>23478</v>
      </c>
      <c r="B14462" s="59" t="s">
        <v>22301</v>
      </c>
      <c r="C14462" s="147" t="s">
        <v>20221</v>
      </c>
      <c r="D14462" s="701" t="s">
        <v>884</v>
      </c>
      <c r="E14462" s="178" t="s">
        <v>22299</v>
      </c>
      <c r="F14462" s="178" t="s">
        <v>4520</v>
      </c>
      <c r="G14462" s="496"/>
      <c r="H14462" s="994" t="s">
        <v>20221</v>
      </c>
      <c r="I14462" s="11" t="s">
        <v>14452</v>
      </c>
      <c r="J14462" s="1285"/>
      <c r="K14462" s="1285"/>
      <c r="L14462" s="1285"/>
    </row>
    <row r="14463" spans="1:12" ht="9" customHeight="1">
      <c r="A14463" s="285" t="s">
        <v>23482</v>
      </c>
      <c r="B14463" s="59" t="s">
        <v>22135</v>
      </c>
      <c r="C14463" s="147" t="s">
        <v>20221</v>
      </c>
      <c r="D14463" s="701" t="s">
        <v>884</v>
      </c>
      <c r="E14463" s="178">
        <v>2014</v>
      </c>
      <c r="F14463" s="178" t="s">
        <v>4520</v>
      </c>
      <c r="G14463" s="496"/>
      <c r="H14463" s="994" t="s">
        <v>20221</v>
      </c>
      <c r="I14463" s="11" t="s">
        <v>13532</v>
      </c>
      <c r="J14463" s="1285"/>
      <c r="K14463" s="1285"/>
      <c r="L14463" s="1285"/>
    </row>
    <row r="14464" spans="1:12" ht="9" customHeight="1">
      <c r="A14464" s="285" t="s">
        <v>23483</v>
      </c>
      <c r="B14464" s="59" t="s">
        <v>21394</v>
      </c>
      <c r="C14464" s="147" t="s">
        <v>23393</v>
      </c>
      <c r="D14464" s="701" t="s">
        <v>884</v>
      </c>
      <c r="E14464" s="178" t="s">
        <v>19060</v>
      </c>
      <c r="F14464" s="178" t="s">
        <v>4520</v>
      </c>
      <c r="G14464" s="496"/>
      <c r="H14464" s="994" t="s">
        <v>20221</v>
      </c>
      <c r="I14464" s="11" t="s">
        <v>8813</v>
      </c>
      <c r="J14464" s="1285"/>
      <c r="K14464" s="1285"/>
      <c r="L14464" s="1285"/>
    </row>
    <row r="14465" spans="1:12" ht="9" customHeight="1">
      <c r="A14465" s="285" t="s">
        <v>23479</v>
      </c>
      <c r="B14465" s="59" t="s">
        <v>21924</v>
      </c>
      <c r="C14465" s="147" t="s">
        <v>20221</v>
      </c>
      <c r="D14465" s="701" t="s">
        <v>884</v>
      </c>
      <c r="E14465" s="178">
        <v>2011</v>
      </c>
      <c r="F14465" s="178" t="s">
        <v>4520</v>
      </c>
      <c r="G14465" s="496"/>
      <c r="H14465" s="994" t="s">
        <v>20277</v>
      </c>
      <c r="I14465" s="11" t="s">
        <v>12030</v>
      </c>
      <c r="J14465" s="1285"/>
      <c r="K14465" s="1285"/>
      <c r="L14465" s="1285"/>
    </row>
    <row r="14466" spans="1:12" ht="9" customHeight="1">
      <c r="A14466" s="285" t="s">
        <v>23484</v>
      </c>
      <c r="B14466" s="59" t="s">
        <v>20281</v>
      </c>
      <c r="C14466" s="147" t="s">
        <v>20221</v>
      </c>
      <c r="D14466" s="701" t="s">
        <v>884</v>
      </c>
      <c r="E14466" s="178" t="s">
        <v>20253</v>
      </c>
      <c r="F14466" s="178" t="s">
        <v>4520</v>
      </c>
      <c r="G14466" s="496"/>
      <c r="H14466" s="994" t="s">
        <v>20221</v>
      </c>
      <c r="I14466" s="11" t="s">
        <v>1161</v>
      </c>
      <c r="J14466" s="1285"/>
      <c r="K14466" s="1285"/>
      <c r="L14466" s="1285"/>
    </row>
    <row r="14467" spans="1:12" ht="9" customHeight="1">
      <c r="A14467" s="285" t="s">
        <v>23483</v>
      </c>
      <c r="B14467" s="59" t="s">
        <v>21395</v>
      </c>
      <c r="C14467" s="147" t="s">
        <v>23393</v>
      </c>
      <c r="D14467" s="701" t="s">
        <v>884</v>
      </c>
      <c r="E14467" s="178">
        <v>2020</v>
      </c>
      <c r="F14467" s="178" t="s">
        <v>4520</v>
      </c>
      <c r="G14467" s="496"/>
      <c r="H14467" s="994" t="s">
        <v>20221</v>
      </c>
      <c r="I14467" s="11" t="s">
        <v>8815</v>
      </c>
      <c r="J14467" s="1285"/>
      <c r="K14467" s="1285"/>
      <c r="L14467" s="1285"/>
    </row>
    <row r="14468" spans="1:12" ht="9" customHeight="1">
      <c r="A14468" s="285" t="s">
        <v>23485</v>
      </c>
      <c r="B14468" s="59" t="s">
        <v>20252</v>
      </c>
      <c r="C14468" s="147" t="s">
        <v>20221</v>
      </c>
      <c r="D14468" s="701" t="s">
        <v>884</v>
      </c>
      <c r="E14468" s="178" t="s">
        <v>20253</v>
      </c>
      <c r="F14468" s="178" t="s">
        <v>4520</v>
      </c>
      <c r="G14468" s="496"/>
      <c r="H14468" s="994" t="s">
        <v>20221</v>
      </c>
      <c r="I14468" s="11" t="s">
        <v>1061</v>
      </c>
      <c r="J14468" s="1285"/>
      <c r="K14468" s="1285"/>
      <c r="L14468" s="1285"/>
    </row>
    <row r="14469" spans="1:12" ht="24" customHeight="1">
      <c r="A14469" s="904" t="s">
        <v>18868</v>
      </c>
      <c r="B14469" s="888" t="s">
        <v>18870</v>
      </c>
      <c r="C14469" s="147"/>
      <c r="D14469" s="161"/>
      <c r="E14469" s="177"/>
      <c r="F14469" s="1095"/>
      <c r="G14469" s="908"/>
      <c r="H14469" s="890"/>
      <c r="I14469" s="11"/>
    </row>
    <row r="14470" spans="1:12" ht="9" customHeight="1">
      <c r="A14470" s="285" t="s">
        <v>23486</v>
      </c>
      <c r="B14470" s="59" t="s">
        <v>21922</v>
      </c>
      <c r="C14470" s="147" t="s">
        <v>20221</v>
      </c>
      <c r="D14470" s="1034" t="s">
        <v>8904</v>
      </c>
      <c r="E14470" s="178" t="s">
        <v>19060</v>
      </c>
      <c r="F14470" s="178" t="s">
        <v>4520</v>
      </c>
      <c r="G14470" s="496"/>
      <c r="H14470" s="994" t="s">
        <v>20224</v>
      </c>
      <c r="I14470" s="11" t="s">
        <v>12012</v>
      </c>
      <c r="J14470" s="1285"/>
      <c r="K14470" s="1285"/>
      <c r="L14470" s="1285"/>
    </row>
    <row r="14471" spans="1:12" ht="9" customHeight="1">
      <c r="A14471" s="285" t="s">
        <v>23481</v>
      </c>
      <c r="B14471" s="59" t="s">
        <v>21414</v>
      </c>
      <c r="C14471" s="147" t="s">
        <v>23393</v>
      </c>
      <c r="D14471" s="1034" t="s">
        <v>8904</v>
      </c>
      <c r="E14471" s="178">
        <v>2024</v>
      </c>
      <c r="F14471" s="178" t="s">
        <v>23395</v>
      </c>
      <c r="G14471" s="496"/>
      <c r="H14471" s="994" t="s">
        <v>20221</v>
      </c>
      <c r="I14471" s="11" t="s">
        <v>8905</v>
      </c>
      <c r="J14471" s="1285"/>
      <c r="K14471" s="1285"/>
      <c r="L14471" s="1285"/>
    </row>
    <row r="14472" spans="1:12" ht="9" customHeight="1">
      <c r="A14472" s="285" t="s">
        <v>23487</v>
      </c>
      <c r="B14472" s="59" t="s">
        <v>20292</v>
      </c>
      <c r="C14472" s="147" t="s">
        <v>20221</v>
      </c>
      <c r="D14472" s="1034" t="s">
        <v>879</v>
      </c>
      <c r="E14472" s="178" t="s">
        <v>19060</v>
      </c>
      <c r="F14472" s="178" t="s">
        <v>4520</v>
      </c>
      <c r="G14472" s="496"/>
      <c r="H14472" s="994" t="s">
        <v>20221</v>
      </c>
      <c r="I14472" s="11" t="s">
        <v>1201</v>
      </c>
      <c r="J14472" s="1285"/>
      <c r="K14472" s="1285"/>
      <c r="L14472" s="1285"/>
    </row>
    <row r="14473" spans="1:12" ht="9" customHeight="1">
      <c r="A14473" s="285" t="s">
        <v>23488</v>
      </c>
      <c r="B14473" s="59" t="s">
        <v>21902</v>
      </c>
      <c r="C14473" s="147" t="s">
        <v>20221</v>
      </c>
      <c r="D14473" s="1034" t="s">
        <v>879</v>
      </c>
      <c r="E14473" s="178" t="s">
        <v>20221</v>
      </c>
      <c r="F14473" s="178" t="s">
        <v>4520</v>
      </c>
      <c r="G14473" s="496" t="s">
        <v>20221</v>
      </c>
      <c r="H14473" s="994" t="s">
        <v>3907</v>
      </c>
      <c r="I14473" s="11" t="s">
        <v>11868</v>
      </c>
      <c r="J14473" s="1285"/>
      <c r="K14473" s="1285"/>
      <c r="L14473" s="1285"/>
    </row>
    <row r="14474" spans="1:12" ht="9" customHeight="1">
      <c r="A14474" s="285" t="s">
        <v>23489</v>
      </c>
      <c r="B14474" s="59" t="s">
        <v>20234</v>
      </c>
      <c r="C14474" s="147" t="s">
        <v>20221</v>
      </c>
      <c r="D14474" s="1034" t="s">
        <v>879</v>
      </c>
      <c r="E14474" s="178" t="s">
        <v>19060</v>
      </c>
      <c r="F14474" s="178" t="s">
        <v>4520</v>
      </c>
      <c r="G14474" s="496"/>
      <c r="H14474" s="994" t="s">
        <v>20221</v>
      </c>
      <c r="I14474" s="11" t="s">
        <v>961</v>
      </c>
      <c r="J14474" s="1285"/>
      <c r="K14474" s="1285"/>
      <c r="L14474" s="1285"/>
    </row>
    <row r="14475" spans="1:12" ht="9" customHeight="1">
      <c r="A14475" s="285" t="s">
        <v>23490</v>
      </c>
      <c r="B14475" s="59" t="s">
        <v>20219</v>
      </c>
      <c r="C14475" s="147" t="s">
        <v>20221</v>
      </c>
      <c r="D14475" s="1034" t="s">
        <v>879</v>
      </c>
      <c r="E14475" s="178">
        <v>2017</v>
      </c>
      <c r="F14475" s="178" t="s">
        <v>4520</v>
      </c>
      <c r="G14475" s="496"/>
      <c r="H14475" s="994" t="s">
        <v>20221</v>
      </c>
      <c r="I14475" s="11" t="s">
        <v>880</v>
      </c>
      <c r="J14475" s="1285"/>
      <c r="K14475" s="1285"/>
      <c r="L14475" s="1285"/>
    </row>
    <row r="14476" spans="1:12" ht="9" customHeight="1">
      <c r="A14476" s="285" t="s">
        <v>23485</v>
      </c>
      <c r="B14476" s="59" t="s">
        <v>20251</v>
      </c>
      <c r="C14476" s="147" t="s">
        <v>20221</v>
      </c>
      <c r="D14476" s="1034" t="s">
        <v>879</v>
      </c>
      <c r="E14476" s="178" t="s">
        <v>19060</v>
      </c>
      <c r="F14476" s="178" t="s">
        <v>23395</v>
      </c>
      <c r="G14476" s="496"/>
      <c r="H14476" s="994" t="s">
        <v>20221</v>
      </c>
      <c r="I14476" s="11" t="s">
        <v>1059</v>
      </c>
      <c r="J14476" s="1285"/>
      <c r="K14476" s="1285"/>
      <c r="L14476" s="1285"/>
    </row>
    <row r="14477" spans="1:12" ht="11.15" customHeight="1">
      <c r="A14477" s="129" t="s">
        <v>23491</v>
      </c>
      <c r="B14477" s="59" t="s">
        <v>21738</v>
      </c>
      <c r="C14477" s="147" t="s">
        <v>20221</v>
      </c>
      <c r="D14477" s="1034" t="s">
        <v>879</v>
      </c>
      <c r="E14477" s="178">
        <v>2019</v>
      </c>
      <c r="F14477" s="178" t="s">
        <v>4520</v>
      </c>
      <c r="G14477" s="496"/>
      <c r="H14477" s="994" t="s">
        <v>20221</v>
      </c>
      <c r="I14477" s="11" t="s">
        <v>10673</v>
      </c>
      <c r="J14477" s="1285"/>
      <c r="K14477" s="1285"/>
      <c r="L14477" s="1285"/>
    </row>
    <row r="14478" spans="1:12" ht="24" customHeight="1">
      <c r="A14478" s="904" t="s">
        <v>18868</v>
      </c>
      <c r="B14478" s="891" t="s">
        <v>18871</v>
      </c>
      <c r="C14478" s="147"/>
      <c r="D14478" s="889"/>
      <c r="E14478" s="177"/>
      <c r="F14478" s="1095"/>
      <c r="G14478" s="908"/>
      <c r="H14478" s="890"/>
      <c r="I14478" s="11"/>
    </row>
    <row r="14479" spans="1:12" ht="9" customHeight="1">
      <c r="A14479" s="129" t="s">
        <v>23492</v>
      </c>
      <c r="B14479" s="59" t="s">
        <v>21896</v>
      </c>
      <c r="C14479" s="147" t="s">
        <v>20221</v>
      </c>
      <c r="D14479" s="739" t="s">
        <v>11144</v>
      </c>
      <c r="E14479" s="178">
        <v>2023</v>
      </c>
      <c r="F14479" s="178" t="s">
        <v>7168</v>
      </c>
      <c r="G14479" s="496"/>
      <c r="H14479" s="994" t="s">
        <v>20221</v>
      </c>
      <c r="I14479" s="11" t="s">
        <v>11822</v>
      </c>
      <c r="J14479" s="1285"/>
      <c r="K14479" s="1285"/>
      <c r="L14479" s="1285"/>
    </row>
    <row r="14480" spans="1:12" ht="9" customHeight="1">
      <c r="A14480" s="129" t="s">
        <v>23493</v>
      </c>
      <c r="B14480" s="59" t="s">
        <v>21786</v>
      </c>
      <c r="C14480" s="147" t="s">
        <v>20221</v>
      </c>
      <c r="D14480" s="739" t="s">
        <v>11144</v>
      </c>
      <c r="E14480" s="178">
        <v>2022</v>
      </c>
      <c r="F14480" s="178" t="s">
        <v>4520</v>
      </c>
      <c r="G14480" s="496"/>
      <c r="H14480" s="994" t="s">
        <v>20221</v>
      </c>
      <c r="I14480" s="11" t="s">
        <v>11145</v>
      </c>
      <c r="J14480" s="1285"/>
      <c r="K14480" s="1285"/>
      <c r="L14480" s="1285"/>
    </row>
    <row r="14481" spans="1:12" ht="9" customHeight="1">
      <c r="A14481" s="129" t="s">
        <v>23492</v>
      </c>
      <c r="B14481" s="59" t="s">
        <v>21897</v>
      </c>
      <c r="C14481" s="147" t="s">
        <v>20221</v>
      </c>
      <c r="D14481" s="739" t="s">
        <v>11144</v>
      </c>
      <c r="E14481" s="178">
        <v>2023</v>
      </c>
      <c r="F14481" s="178" t="s">
        <v>4520</v>
      </c>
      <c r="G14481" s="496"/>
      <c r="H14481" s="994" t="s">
        <v>20221</v>
      </c>
      <c r="I14481" s="11" t="s">
        <v>11824</v>
      </c>
      <c r="J14481" s="1285"/>
      <c r="K14481" s="1285"/>
      <c r="L14481" s="1285"/>
    </row>
    <row r="14482" spans="1:12" ht="9" customHeight="1">
      <c r="A14482" s="285" t="s">
        <v>23486</v>
      </c>
      <c r="B14482" s="59" t="s">
        <v>21922</v>
      </c>
      <c r="C14482" s="147" t="s">
        <v>20221</v>
      </c>
      <c r="D14482" s="1034" t="s">
        <v>8904</v>
      </c>
      <c r="E14482" s="178" t="s">
        <v>19060</v>
      </c>
      <c r="F14482" s="178" t="s">
        <v>4520</v>
      </c>
      <c r="G14482" s="496"/>
      <c r="H14482" s="994" t="s">
        <v>20224</v>
      </c>
      <c r="I14482" s="11" t="s">
        <v>12012</v>
      </c>
      <c r="J14482" s="1285"/>
      <c r="K14482" s="1285"/>
      <c r="L14482" s="1285"/>
    </row>
    <row r="14483" spans="1:12" ht="9" customHeight="1" thickBot="1">
      <c r="A14483" s="285" t="s">
        <v>23481</v>
      </c>
      <c r="B14483" s="59" t="s">
        <v>21414</v>
      </c>
      <c r="C14483" s="147" t="s">
        <v>23393</v>
      </c>
      <c r="D14483" s="1034" t="s">
        <v>8904</v>
      </c>
      <c r="E14483" s="178">
        <v>2024</v>
      </c>
      <c r="F14483" s="178" t="s">
        <v>23395</v>
      </c>
      <c r="G14483" s="496"/>
      <c r="H14483" s="994" t="s">
        <v>20221</v>
      </c>
      <c r="I14483" s="11" t="s">
        <v>8905</v>
      </c>
      <c r="J14483" s="1285"/>
      <c r="K14483" s="1285"/>
      <c r="L14483" s="1285"/>
    </row>
    <row r="14484" spans="1:12" ht="24" customHeight="1" thickBot="1">
      <c r="A14484" s="234"/>
      <c r="B14484" s="64" t="s">
        <v>23732</v>
      </c>
      <c r="C14484" s="170"/>
      <c r="D14484" s="139"/>
      <c r="E14484" s="874"/>
      <c r="F14484" s="1094"/>
      <c r="G14484" s="1094"/>
      <c r="H14484" s="875"/>
      <c r="I14484" s="11"/>
    </row>
    <row r="14485" spans="1:12" ht="24" customHeight="1">
      <c r="A14485" s="904" t="s">
        <v>18868</v>
      </c>
      <c r="B14485" s="888" t="s">
        <v>18872</v>
      </c>
      <c r="C14485" s="147"/>
      <c r="D14485" s="231"/>
      <c r="E14485" s="177"/>
      <c r="F14485" s="1095"/>
      <c r="G14485" s="908"/>
      <c r="H14485" s="890"/>
      <c r="I14485" s="11"/>
    </row>
    <row r="14486" spans="1:12" ht="9" customHeight="1">
      <c r="A14486" s="129" t="s">
        <v>23494</v>
      </c>
      <c r="B14486" s="59" t="s">
        <v>21644</v>
      </c>
      <c r="C14486" s="147" t="s">
        <v>23393</v>
      </c>
      <c r="D14486" s="701" t="s">
        <v>1129</v>
      </c>
      <c r="E14486" s="178">
        <v>2023</v>
      </c>
      <c r="F14486" s="178" t="s">
        <v>23395</v>
      </c>
      <c r="G14486" s="496"/>
      <c r="H14486" s="994" t="s">
        <v>20221</v>
      </c>
      <c r="I14486" s="11" t="s">
        <v>10216</v>
      </c>
      <c r="J14486" s="1285"/>
      <c r="K14486" s="1285"/>
      <c r="L14486" s="1285"/>
    </row>
    <row r="14487" spans="1:12" ht="9" customHeight="1">
      <c r="A14487" s="129" t="s">
        <v>23495</v>
      </c>
      <c r="B14487" s="59" t="s">
        <v>20461</v>
      </c>
      <c r="C14487" s="147" t="s">
        <v>23393</v>
      </c>
      <c r="D14487" s="701" t="s">
        <v>1129</v>
      </c>
      <c r="E14487" s="178">
        <v>2018</v>
      </c>
      <c r="F14487" s="178" t="s">
        <v>23395</v>
      </c>
      <c r="G14487" s="496"/>
      <c r="H14487" s="994" t="s">
        <v>20221</v>
      </c>
      <c r="I14487" s="11" t="s">
        <v>1425</v>
      </c>
      <c r="J14487" s="1285"/>
      <c r="K14487" s="1285"/>
      <c r="L14487" s="1285"/>
    </row>
    <row r="14488" spans="1:12" ht="9" customHeight="1">
      <c r="A14488" s="129" t="s">
        <v>23463</v>
      </c>
      <c r="B14488" s="59" t="s">
        <v>20464</v>
      </c>
      <c r="C14488" s="147" t="s">
        <v>20221</v>
      </c>
      <c r="D14488" s="701" t="s">
        <v>1129</v>
      </c>
      <c r="E14488" s="178">
        <v>2021</v>
      </c>
      <c r="F14488" s="178" t="s">
        <v>4520</v>
      </c>
      <c r="G14488" s="496"/>
      <c r="H14488" s="994" t="s">
        <v>20221</v>
      </c>
      <c r="I14488" s="11" t="s">
        <v>2568</v>
      </c>
      <c r="J14488" s="1285"/>
      <c r="K14488" s="1285"/>
      <c r="L14488" s="1285"/>
    </row>
    <row r="14489" spans="1:12" ht="9" customHeight="1">
      <c r="A14489" s="129" t="s">
        <v>23496</v>
      </c>
      <c r="B14489" s="59" t="s">
        <v>21614</v>
      </c>
      <c r="C14489" s="147" t="s">
        <v>20221</v>
      </c>
      <c r="D14489" s="701" t="s">
        <v>1129</v>
      </c>
      <c r="E14489" s="178">
        <v>2020</v>
      </c>
      <c r="F14489" s="178" t="s">
        <v>4520</v>
      </c>
      <c r="G14489" s="496"/>
      <c r="H14489" s="994" t="s">
        <v>20221</v>
      </c>
      <c r="I14489" s="11" t="s">
        <v>10068</v>
      </c>
      <c r="J14489" s="1285"/>
      <c r="K14489" s="1285"/>
      <c r="L14489" s="1285"/>
    </row>
    <row r="14490" spans="1:12" ht="9" customHeight="1">
      <c r="A14490" s="129" t="s">
        <v>23497</v>
      </c>
      <c r="B14490" s="59" t="s">
        <v>21287</v>
      </c>
      <c r="C14490" s="147" t="s">
        <v>20221</v>
      </c>
      <c r="D14490" s="701" t="s">
        <v>1129</v>
      </c>
      <c r="E14490" s="178">
        <v>2016</v>
      </c>
      <c r="F14490" s="178" t="s">
        <v>23395</v>
      </c>
      <c r="G14490" s="496"/>
      <c r="H14490" s="994" t="s">
        <v>20221</v>
      </c>
      <c r="I14490" s="11" t="s">
        <v>8200</v>
      </c>
      <c r="J14490" s="1285"/>
      <c r="K14490" s="1285"/>
      <c r="L14490" s="1285"/>
    </row>
    <row r="14491" spans="1:12" ht="9" customHeight="1">
      <c r="A14491" s="129" t="s">
        <v>23497</v>
      </c>
      <c r="B14491" s="59" t="s">
        <v>21288</v>
      </c>
      <c r="C14491" s="147" t="s">
        <v>20221</v>
      </c>
      <c r="D14491" s="701" t="s">
        <v>1129</v>
      </c>
      <c r="E14491" s="178">
        <v>2016</v>
      </c>
      <c r="F14491" s="178" t="s">
        <v>23395</v>
      </c>
      <c r="G14491" s="496"/>
      <c r="H14491" s="994" t="s">
        <v>20221</v>
      </c>
      <c r="I14491" s="11" t="s">
        <v>8204</v>
      </c>
      <c r="J14491" s="1285"/>
      <c r="K14491" s="1285"/>
      <c r="L14491" s="1285"/>
    </row>
    <row r="14492" spans="1:12" ht="9" customHeight="1">
      <c r="A14492" s="129" t="s">
        <v>23498</v>
      </c>
      <c r="B14492" s="59" t="s">
        <v>21460</v>
      </c>
      <c r="C14492" s="147" t="s">
        <v>23393</v>
      </c>
      <c r="D14492" s="701" t="s">
        <v>1129</v>
      </c>
      <c r="E14492" s="178">
        <v>2022</v>
      </c>
      <c r="F14492" s="178" t="s">
        <v>4520</v>
      </c>
      <c r="G14492" s="496"/>
      <c r="H14492" s="994" t="s">
        <v>20277</v>
      </c>
      <c r="I14492" s="11" t="s">
        <v>9181</v>
      </c>
      <c r="J14492" s="1285"/>
      <c r="K14492" s="1285"/>
      <c r="L14492" s="1285"/>
    </row>
    <row r="14493" spans="1:12" ht="9" customHeight="1">
      <c r="A14493" s="129" t="s">
        <v>23443</v>
      </c>
      <c r="B14493" s="59" t="s">
        <v>21530</v>
      </c>
      <c r="C14493" s="147" t="s">
        <v>20221</v>
      </c>
      <c r="D14493" s="701" t="s">
        <v>1129</v>
      </c>
      <c r="E14493" s="178">
        <v>2023</v>
      </c>
      <c r="F14493" s="178" t="s">
        <v>4520</v>
      </c>
      <c r="G14493" s="496"/>
      <c r="H14493" s="994" t="s">
        <v>20221</v>
      </c>
      <c r="I14493" s="11" t="s">
        <v>9614</v>
      </c>
      <c r="J14493" s="1285"/>
      <c r="K14493" s="1285"/>
      <c r="L14493" s="1285"/>
    </row>
    <row r="14494" spans="1:12" ht="9" customHeight="1">
      <c r="A14494" s="129" t="s">
        <v>23499</v>
      </c>
      <c r="B14494" s="59" t="s">
        <v>21686</v>
      </c>
      <c r="C14494" s="147" t="s">
        <v>23393</v>
      </c>
      <c r="D14494" s="701" t="s">
        <v>1129</v>
      </c>
      <c r="E14494" s="178">
        <v>2022</v>
      </c>
      <c r="F14494" s="178" t="s">
        <v>4520</v>
      </c>
      <c r="G14494" s="496"/>
      <c r="H14494" s="994" t="s">
        <v>20221</v>
      </c>
      <c r="I14494" s="11" t="s">
        <v>10373</v>
      </c>
      <c r="J14494" s="1285"/>
      <c r="K14494" s="1285"/>
      <c r="L14494" s="1285"/>
    </row>
    <row r="14495" spans="1:12" ht="9" customHeight="1">
      <c r="A14495" s="129" t="s">
        <v>23500</v>
      </c>
      <c r="B14495" s="59" t="s">
        <v>21525</v>
      </c>
      <c r="C14495" s="147" t="s">
        <v>20221</v>
      </c>
      <c r="D14495" s="701" t="s">
        <v>1129</v>
      </c>
      <c r="E14495" s="178">
        <v>2020</v>
      </c>
      <c r="F14495" s="178" t="s">
        <v>4520</v>
      </c>
      <c r="G14495" s="496"/>
      <c r="H14495" s="994" t="s">
        <v>20221</v>
      </c>
      <c r="I14495" s="11" t="s">
        <v>9584</v>
      </c>
      <c r="J14495" s="1285"/>
      <c r="K14495" s="1285"/>
      <c r="L14495" s="1285"/>
    </row>
    <row r="14496" spans="1:12" ht="9" customHeight="1">
      <c r="A14496" s="129" t="s">
        <v>23501</v>
      </c>
      <c r="B14496" s="59" t="s">
        <v>21317</v>
      </c>
      <c r="C14496" s="147" t="s">
        <v>20221</v>
      </c>
      <c r="D14496" s="701" t="s">
        <v>1129</v>
      </c>
      <c r="E14496" s="178">
        <v>2023</v>
      </c>
      <c r="F14496" s="178" t="s">
        <v>4520</v>
      </c>
      <c r="G14496" s="496"/>
      <c r="H14496" s="994" t="s">
        <v>20221</v>
      </c>
      <c r="I14496" s="11" t="s">
        <v>8368</v>
      </c>
      <c r="J14496" s="1285"/>
      <c r="K14496" s="1285"/>
      <c r="L14496" s="1285"/>
    </row>
    <row r="14497" spans="1:12" ht="9" customHeight="1">
      <c r="A14497" s="129" t="s">
        <v>23502</v>
      </c>
      <c r="B14497" s="59" t="s">
        <v>21428</v>
      </c>
      <c r="C14497" s="147" t="s">
        <v>20221</v>
      </c>
      <c r="D14497" s="701" t="s">
        <v>1129</v>
      </c>
      <c r="E14497" s="178">
        <v>2024</v>
      </c>
      <c r="F14497" s="178" t="s">
        <v>4520</v>
      </c>
      <c r="G14497" s="496"/>
      <c r="H14497" s="994" t="s">
        <v>20221</v>
      </c>
      <c r="I14497" s="11" t="s">
        <v>23303</v>
      </c>
      <c r="J14497" s="1285"/>
      <c r="K14497" s="1285"/>
      <c r="L14497" s="1285"/>
    </row>
    <row r="14498" spans="1:12" ht="9" customHeight="1">
      <c r="A14498" s="129" t="s">
        <v>23471</v>
      </c>
      <c r="B14498" s="59" t="s">
        <v>21290</v>
      </c>
      <c r="C14498" s="147" t="s">
        <v>20221</v>
      </c>
      <c r="D14498" s="701" t="s">
        <v>1129</v>
      </c>
      <c r="E14498" s="178">
        <v>2021</v>
      </c>
      <c r="F14498" s="178" t="s">
        <v>23395</v>
      </c>
      <c r="G14498" s="496"/>
      <c r="H14498" s="994" t="s">
        <v>20221</v>
      </c>
      <c r="I14498" s="11" t="s">
        <v>8216</v>
      </c>
      <c r="J14498" s="1285"/>
      <c r="K14498" s="1285"/>
      <c r="L14498" s="1285"/>
    </row>
    <row r="14499" spans="1:12" ht="9" customHeight="1">
      <c r="A14499" s="129" t="s">
        <v>23471</v>
      </c>
      <c r="B14499" s="59" t="s">
        <v>21292</v>
      </c>
      <c r="C14499" s="147" t="s">
        <v>20221</v>
      </c>
      <c r="D14499" s="701" t="s">
        <v>1129</v>
      </c>
      <c r="E14499" s="178">
        <v>2019</v>
      </c>
      <c r="F14499" s="178" t="s">
        <v>23395</v>
      </c>
      <c r="G14499" s="496"/>
      <c r="H14499" s="994" t="s">
        <v>20221</v>
      </c>
      <c r="I14499" s="11" t="s">
        <v>8225</v>
      </c>
      <c r="J14499" s="1285"/>
      <c r="K14499" s="1285"/>
      <c r="L14499" s="1285"/>
    </row>
    <row r="14500" spans="1:12" ht="24" customHeight="1">
      <c r="A14500" s="904" t="s">
        <v>18868</v>
      </c>
      <c r="B14500" s="888" t="s">
        <v>18873</v>
      </c>
      <c r="C14500" s="147"/>
      <c r="D14500" s="231"/>
      <c r="E14500" s="177"/>
      <c r="F14500" s="1095"/>
      <c r="G14500" s="908"/>
      <c r="H14500" s="890"/>
      <c r="I14500" s="11"/>
    </row>
    <row r="14501" spans="1:12" ht="9" customHeight="1">
      <c r="A14501" s="129" t="s">
        <v>23503</v>
      </c>
      <c r="B14501" s="59" t="s">
        <v>22271</v>
      </c>
      <c r="C14501" s="147" t="s">
        <v>20221</v>
      </c>
      <c r="D14501" s="701" t="s">
        <v>1129</v>
      </c>
      <c r="E14501" s="178">
        <v>2016</v>
      </c>
      <c r="F14501" s="178" t="s">
        <v>23395</v>
      </c>
      <c r="G14501" s="496"/>
      <c r="H14501" s="994" t="s">
        <v>20221</v>
      </c>
      <c r="I14501" s="11" t="s">
        <v>14304</v>
      </c>
      <c r="J14501" s="1285"/>
      <c r="K14501" s="1285"/>
      <c r="L14501" s="1285"/>
    </row>
    <row r="14502" spans="1:12" ht="9" customHeight="1">
      <c r="A14502" s="129" t="s">
        <v>23504</v>
      </c>
      <c r="B14502" s="59" t="s">
        <v>22282</v>
      </c>
      <c r="C14502" s="147" t="s">
        <v>20221</v>
      </c>
      <c r="D14502" s="701" t="s">
        <v>1129</v>
      </c>
      <c r="E14502" s="178" t="s">
        <v>20221</v>
      </c>
      <c r="F14502" s="178" t="s">
        <v>4520</v>
      </c>
      <c r="G14502" s="496" t="s">
        <v>20221</v>
      </c>
      <c r="H14502" s="994" t="s">
        <v>3907</v>
      </c>
      <c r="I14502" s="11" t="s">
        <v>14369</v>
      </c>
      <c r="J14502" s="1285"/>
      <c r="K14502" s="1285"/>
      <c r="L14502" s="1285"/>
    </row>
    <row r="14503" spans="1:12" ht="9" customHeight="1">
      <c r="A14503" s="129" t="s">
        <v>23505</v>
      </c>
      <c r="B14503" s="59" t="s">
        <v>22326</v>
      </c>
      <c r="C14503" s="147" t="s">
        <v>20221</v>
      </c>
      <c r="D14503" s="701" t="s">
        <v>1129</v>
      </c>
      <c r="E14503" s="178">
        <v>2023</v>
      </c>
      <c r="F14503" s="178" t="s">
        <v>23395</v>
      </c>
      <c r="G14503" s="496"/>
      <c r="H14503" s="994" t="s">
        <v>20221</v>
      </c>
      <c r="I14503" s="11" t="s">
        <v>14587</v>
      </c>
      <c r="J14503" s="1285"/>
      <c r="K14503" s="1285"/>
      <c r="L14503" s="1285"/>
    </row>
    <row r="14504" spans="1:12" ht="9" customHeight="1">
      <c r="A14504" s="129" t="s">
        <v>23506</v>
      </c>
      <c r="B14504" s="59" t="s">
        <v>22324</v>
      </c>
      <c r="C14504" s="147" t="s">
        <v>20221</v>
      </c>
      <c r="D14504" s="701" t="s">
        <v>1129</v>
      </c>
      <c r="E14504" s="178">
        <v>2023</v>
      </c>
      <c r="F14504" s="178" t="s">
        <v>4520</v>
      </c>
      <c r="G14504" s="496"/>
      <c r="H14504" s="994" t="s">
        <v>20221</v>
      </c>
      <c r="I14504" s="11" t="s">
        <v>14577</v>
      </c>
      <c r="J14504" s="1285"/>
      <c r="K14504" s="1285"/>
      <c r="L14504" s="1285"/>
    </row>
    <row r="14505" spans="1:12" ht="24" customHeight="1">
      <c r="A14505" s="904" t="s">
        <v>18868</v>
      </c>
      <c r="B14505" s="888" t="s">
        <v>18874</v>
      </c>
      <c r="C14505" s="147"/>
      <c r="D14505" s="231"/>
      <c r="E14505" s="177"/>
      <c r="F14505" s="1095"/>
      <c r="G14505" s="908"/>
      <c r="H14505" s="890"/>
      <c r="I14505" s="11"/>
    </row>
    <row r="14506" spans="1:12" ht="9" customHeight="1">
      <c r="A14506" s="129" t="s">
        <v>23507</v>
      </c>
      <c r="B14506" s="59" t="s">
        <v>22006</v>
      </c>
      <c r="C14506" s="147" t="s">
        <v>20221</v>
      </c>
      <c r="D14506" s="701" t="s">
        <v>1129</v>
      </c>
      <c r="E14506" s="178">
        <v>2023</v>
      </c>
      <c r="F14506" s="178" t="s">
        <v>4520</v>
      </c>
      <c r="G14506" s="496"/>
      <c r="H14506" s="994" t="s">
        <v>20221</v>
      </c>
      <c r="I14506" s="11" t="s">
        <v>12453</v>
      </c>
      <c r="J14506" s="1285"/>
      <c r="K14506" s="1285"/>
      <c r="L14506" s="1285"/>
    </row>
    <row r="14507" spans="1:12" ht="9" customHeight="1">
      <c r="A14507" s="129" t="s">
        <v>23446</v>
      </c>
      <c r="B14507" s="59" t="s">
        <v>21912</v>
      </c>
      <c r="C14507" s="147" t="s">
        <v>20221</v>
      </c>
      <c r="D14507" s="701" t="s">
        <v>1129</v>
      </c>
      <c r="E14507" s="178">
        <v>2014</v>
      </c>
      <c r="F14507" s="178" t="s">
        <v>4520</v>
      </c>
      <c r="G14507" s="496"/>
      <c r="H14507" s="994" t="s">
        <v>20221</v>
      </c>
      <c r="I14507" s="11" t="s">
        <v>11920</v>
      </c>
      <c r="J14507" s="1285"/>
      <c r="K14507" s="1285"/>
      <c r="L14507" s="1285"/>
    </row>
    <row r="14508" spans="1:12" ht="9" customHeight="1">
      <c r="A14508" s="129" t="s">
        <v>23453</v>
      </c>
      <c r="B14508" s="59" t="s">
        <v>22061</v>
      </c>
      <c r="C14508" s="147" t="s">
        <v>20221</v>
      </c>
      <c r="D14508" s="701" t="s">
        <v>1129</v>
      </c>
      <c r="E14508" s="178">
        <v>2015</v>
      </c>
      <c r="F14508" s="178" t="s">
        <v>4520</v>
      </c>
      <c r="G14508" s="496"/>
      <c r="H14508" s="994" t="s">
        <v>20221</v>
      </c>
      <c r="I14508" s="11" t="s">
        <v>12914</v>
      </c>
      <c r="J14508" s="1285"/>
      <c r="K14508" s="1285"/>
      <c r="L14508" s="1285"/>
    </row>
    <row r="14509" spans="1:12" ht="9" customHeight="1">
      <c r="A14509" s="129" t="s">
        <v>23453</v>
      </c>
      <c r="B14509" s="59" t="s">
        <v>21980</v>
      </c>
      <c r="C14509" s="147" t="s">
        <v>20221</v>
      </c>
      <c r="D14509" s="701" t="s">
        <v>1129</v>
      </c>
      <c r="E14509" s="178">
        <v>2016</v>
      </c>
      <c r="F14509" s="178" t="s">
        <v>4520</v>
      </c>
      <c r="G14509" s="496"/>
      <c r="H14509" s="994" t="s">
        <v>20221</v>
      </c>
      <c r="I14509" s="11" t="s">
        <v>12918</v>
      </c>
      <c r="J14509" s="1285"/>
      <c r="K14509" s="1285"/>
      <c r="L14509" s="1285"/>
    </row>
    <row r="14510" spans="1:12" ht="9" customHeight="1">
      <c r="A14510" s="129" t="s">
        <v>23453</v>
      </c>
      <c r="B14510" s="59" t="s">
        <v>22060</v>
      </c>
      <c r="C14510" s="147" t="s">
        <v>20221</v>
      </c>
      <c r="D14510" s="701" t="s">
        <v>1129</v>
      </c>
      <c r="E14510" s="178">
        <v>2018</v>
      </c>
      <c r="F14510" s="178" t="s">
        <v>4520</v>
      </c>
      <c r="G14510" s="496"/>
      <c r="H14510" s="994" t="s">
        <v>20221</v>
      </c>
      <c r="I14510" s="11" t="s">
        <v>12912</v>
      </c>
      <c r="J14510" s="1285"/>
      <c r="K14510" s="1285"/>
      <c r="L14510" s="1285"/>
    </row>
    <row r="14511" spans="1:12" ht="9" customHeight="1">
      <c r="A14511" s="129" t="s">
        <v>23453</v>
      </c>
      <c r="B14511" s="59" t="s">
        <v>22062</v>
      </c>
      <c r="C14511" s="147" t="s">
        <v>20221</v>
      </c>
      <c r="D14511" s="701" t="s">
        <v>1129</v>
      </c>
      <c r="E14511" s="178">
        <v>2016</v>
      </c>
      <c r="F14511" s="178" t="s">
        <v>4520</v>
      </c>
      <c r="G14511" s="496"/>
      <c r="H14511" s="994" t="s">
        <v>20221</v>
      </c>
      <c r="I14511" s="11" t="s">
        <v>12917</v>
      </c>
      <c r="J14511" s="1285"/>
      <c r="K14511" s="1285"/>
      <c r="L14511" s="1285"/>
    </row>
    <row r="14512" spans="1:12" ht="9" customHeight="1">
      <c r="A14512" s="129" t="s">
        <v>23453</v>
      </c>
      <c r="B14512" s="59" t="s">
        <v>22059</v>
      </c>
      <c r="C14512" s="147" t="s">
        <v>20221</v>
      </c>
      <c r="D14512" s="701" t="s">
        <v>1129</v>
      </c>
      <c r="E14512" s="178">
        <v>2021</v>
      </c>
      <c r="F14512" s="178" t="s">
        <v>4520</v>
      </c>
      <c r="G14512" s="496"/>
      <c r="H14512" s="994" t="s">
        <v>20221</v>
      </c>
      <c r="I14512" s="11" t="s">
        <v>12908</v>
      </c>
      <c r="J14512" s="1285"/>
      <c r="K14512" s="1285"/>
      <c r="L14512" s="1285"/>
    </row>
    <row r="14513" spans="1:12" ht="9" customHeight="1">
      <c r="A14513" s="129" t="s">
        <v>23508</v>
      </c>
      <c r="B14513" s="59" t="s">
        <v>21978</v>
      </c>
      <c r="C14513" s="147" t="s">
        <v>20221</v>
      </c>
      <c r="D14513" s="701" t="s">
        <v>1129</v>
      </c>
      <c r="E14513" s="178">
        <v>2017</v>
      </c>
      <c r="F14513" s="178" t="s">
        <v>4520</v>
      </c>
      <c r="G14513" s="496"/>
      <c r="H14513" s="994" t="s">
        <v>20221</v>
      </c>
      <c r="I14513" s="12" t="s">
        <v>12327</v>
      </c>
      <c r="J14513" s="1285"/>
      <c r="K14513" s="1285"/>
      <c r="L14513" s="1285"/>
    </row>
    <row r="14514" spans="1:12" ht="9" customHeight="1">
      <c r="A14514" s="129" t="s">
        <v>23479</v>
      </c>
      <c r="B14514" s="59" t="s">
        <v>21926</v>
      </c>
      <c r="C14514" s="147" t="s">
        <v>23393</v>
      </c>
      <c r="D14514" s="701" t="s">
        <v>1129</v>
      </c>
      <c r="E14514" s="178">
        <v>2023</v>
      </c>
      <c r="F14514" s="178" t="s">
        <v>23395</v>
      </c>
      <c r="G14514" s="496"/>
      <c r="H14514" s="994" t="s">
        <v>20277</v>
      </c>
      <c r="I14514" s="11" t="s">
        <v>12038</v>
      </c>
      <c r="J14514" s="1285"/>
      <c r="K14514" s="1285"/>
      <c r="L14514" s="1285"/>
    </row>
    <row r="14515" spans="1:12" ht="9" customHeight="1">
      <c r="A14515" s="129" t="s">
        <v>23509</v>
      </c>
      <c r="B14515" s="59" t="s">
        <v>21718</v>
      </c>
      <c r="C14515" s="147" t="s">
        <v>20221</v>
      </c>
      <c r="D14515" s="701" t="s">
        <v>1129</v>
      </c>
      <c r="E14515" s="178">
        <v>2018</v>
      </c>
      <c r="F14515" s="178" t="s">
        <v>4520</v>
      </c>
      <c r="G14515" s="496"/>
      <c r="H14515" s="994" t="s">
        <v>20221</v>
      </c>
      <c r="I14515" s="11" t="s">
        <v>10590</v>
      </c>
      <c r="J14515" s="1285"/>
      <c r="K14515" s="1285"/>
      <c r="L14515" s="1285"/>
    </row>
    <row r="14516" spans="1:12" ht="9" customHeight="1">
      <c r="A14516" s="129" t="s">
        <v>23510</v>
      </c>
      <c r="B14516" s="59" t="s">
        <v>22013</v>
      </c>
      <c r="C14516" s="147" t="s">
        <v>20221</v>
      </c>
      <c r="D14516" s="701" t="s">
        <v>1129</v>
      </c>
      <c r="E14516" s="178">
        <v>2015</v>
      </c>
      <c r="F14516" s="178" t="s">
        <v>23395</v>
      </c>
      <c r="G14516" s="496"/>
      <c r="H14516" s="994" t="s">
        <v>20221</v>
      </c>
      <c r="I14516" s="11" t="s">
        <v>12473</v>
      </c>
      <c r="J14516" s="1285"/>
      <c r="K14516" s="1285"/>
      <c r="L14516" s="1285"/>
    </row>
    <row r="14517" spans="1:12" ht="9" customHeight="1">
      <c r="A14517" s="129" t="s">
        <v>23447</v>
      </c>
      <c r="B14517" s="59" t="s">
        <v>21934</v>
      </c>
      <c r="C14517" s="147" t="s">
        <v>20221</v>
      </c>
      <c r="D14517" s="701" t="s">
        <v>1129</v>
      </c>
      <c r="E14517" s="178">
        <v>2016</v>
      </c>
      <c r="F14517" s="178" t="s">
        <v>4520</v>
      </c>
      <c r="G14517" s="496"/>
      <c r="H14517" s="994" t="s">
        <v>20221</v>
      </c>
      <c r="I14517" s="11" t="s">
        <v>12088</v>
      </c>
      <c r="J14517" s="1285"/>
      <c r="K14517" s="1285"/>
      <c r="L14517" s="1285"/>
    </row>
    <row r="14518" spans="1:12" ht="9" customHeight="1">
      <c r="A14518" s="129" t="s">
        <v>23511</v>
      </c>
      <c r="B14518" s="59" t="s">
        <v>21919</v>
      </c>
      <c r="C14518" s="147" t="s">
        <v>20221</v>
      </c>
      <c r="D14518" s="701" t="s">
        <v>1129</v>
      </c>
      <c r="E14518" s="178">
        <v>2016</v>
      </c>
      <c r="F14518" s="178" t="s">
        <v>4520</v>
      </c>
      <c r="G14518" s="496"/>
      <c r="H14518" s="994" t="s">
        <v>20221</v>
      </c>
      <c r="I14518" s="11" t="s">
        <v>11997</v>
      </c>
      <c r="J14518" s="1285"/>
      <c r="K14518" s="1285"/>
      <c r="L14518" s="1285"/>
    </row>
    <row r="14519" spans="1:12" ht="9" customHeight="1">
      <c r="A14519" s="129" t="s">
        <v>23492</v>
      </c>
      <c r="B14519" s="59" t="s">
        <v>21898</v>
      </c>
      <c r="C14519" s="147" t="s">
        <v>20221</v>
      </c>
      <c r="D14519" s="701" t="s">
        <v>1129</v>
      </c>
      <c r="E14519" s="178">
        <v>2016</v>
      </c>
      <c r="F14519" s="178" t="s">
        <v>4520</v>
      </c>
      <c r="G14519" s="496"/>
      <c r="H14519" s="994" t="s">
        <v>20221</v>
      </c>
      <c r="I14519" s="11" t="s">
        <v>11829</v>
      </c>
      <c r="J14519" s="1285"/>
      <c r="K14519" s="1285"/>
      <c r="L14519" s="1285"/>
    </row>
    <row r="14520" spans="1:12" ht="9" customHeight="1">
      <c r="A14520" s="129" t="s">
        <v>23512</v>
      </c>
      <c r="B14520" s="59" t="s">
        <v>22056</v>
      </c>
      <c r="C14520" s="147" t="s">
        <v>20221</v>
      </c>
      <c r="D14520" s="701" t="s">
        <v>1129</v>
      </c>
      <c r="E14520" s="178">
        <v>2015</v>
      </c>
      <c r="F14520" s="178" t="s">
        <v>23395</v>
      </c>
      <c r="G14520" s="496"/>
      <c r="H14520" s="994" t="s">
        <v>20221</v>
      </c>
      <c r="I14520" s="11" t="s">
        <v>12891</v>
      </c>
      <c r="J14520" s="1285"/>
      <c r="K14520" s="1285"/>
      <c r="L14520" s="1285"/>
    </row>
    <row r="14521" spans="1:12" ht="9" customHeight="1">
      <c r="A14521" s="129" t="s">
        <v>23512</v>
      </c>
      <c r="B14521" s="59" t="s">
        <v>22057</v>
      </c>
      <c r="C14521" s="147" t="s">
        <v>20221</v>
      </c>
      <c r="D14521" s="701" t="s">
        <v>1129</v>
      </c>
      <c r="E14521" s="178">
        <v>2015</v>
      </c>
      <c r="F14521" s="178" t="s">
        <v>23395</v>
      </c>
      <c r="G14521" s="496"/>
      <c r="H14521" s="994" t="s">
        <v>20221</v>
      </c>
      <c r="I14521" s="11" t="s">
        <v>12893</v>
      </c>
      <c r="J14521" s="1285"/>
      <c r="K14521" s="1285"/>
      <c r="L14521" s="1285"/>
    </row>
    <row r="14522" spans="1:12" ht="9" customHeight="1">
      <c r="A14522" s="129" t="s">
        <v>23479</v>
      </c>
      <c r="B14522" s="59" t="s">
        <v>21927</v>
      </c>
      <c r="C14522" s="147" t="s">
        <v>23393</v>
      </c>
      <c r="D14522" s="701" t="s">
        <v>1129</v>
      </c>
      <c r="E14522" s="178">
        <v>2021</v>
      </c>
      <c r="F14522" s="178" t="s">
        <v>4520</v>
      </c>
      <c r="G14522" s="496"/>
      <c r="H14522" s="994" t="s">
        <v>20224</v>
      </c>
      <c r="I14522" s="11" t="s">
        <v>12039</v>
      </c>
      <c r="J14522" s="1285"/>
      <c r="K14522" s="1285"/>
      <c r="L14522" s="1285"/>
    </row>
    <row r="14523" spans="1:12" ht="9" customHeight="1">
      <c r="A14523" s="129" t="s">
        <v>23479</v>
      </c>
      <c r="B14523" s="59" t="s">
        <v>21928</v>
      </c>
      <c r="C14523" s="147" t="s">
        <v>23393</v>
      </c>
      <c r="D14523" s="701" t="s">
        <v>1129</v>
      </c>
      <c r="E14523" s="178">
        <v>2021</v>
      </c>
      <c r="F14523" s="178" t="s">
        <v>4520</v>
      </c>
      <c r="G14523" s="496"/>
      <c r="H14523" s="994" t="s">
        <v>20221</v>
      </c>
      <c r="I14523" s="11" t="s">
        <v>12043</v>
      </c>
      <c r="J14523" s="1285"/>
      <c r="K14523" s="1285"/>
      <c r="L14523" s="1285"/>
    </row>
    <row r="14524" spans="1:12" ht="9" customHeight="1">
      <c r="A14524" s="129" t="s">
        <v>23439</v>
      </c>
      <c r="B14524" s="59" t="s">
        <v>21813</v>
      </c>
      <c r="C14524" s="147" t="s">
        <v>20221</v>
      </c>
      <c r="D14524" s="701" t="s">
        <v>1129</v>
      </c>
      <c r="E14524" s="178">
        <v>2017</v>
      </c>
      <c r="F14524" s="178" t="s">
        <v>4520</v>
      </c>
      <c r="G14524" s="496"/>
      <c r="H14524" s="994" t="s">
        <v>20221</v>
      </c>
      <c r="I14524" s="11" t="s">
        <v>11374</v>
      </c>
      <c r="J14524" s="1285"/>
      <c r="K14524" s="1285"/>
      <c r="L14524" s="1285"/>
    </row>
    <row r="14525" spans="1:12" ht="9" customHeight="1">
      <c r="A14525" s="129" t="s">
        <v>23513</v>
      </c>
      <c r="B14525" s="59" t="s">
        <v>22004</v>
      </c>
      <c r="C14525" s="147" t="s">
        <v>20221</v>
      </c>
      <c r="D14525" s="701" t="s">
        <v>1129</v>
      </c>
      <c r="E14525" s="178">
        <v>2019</v>
      </c>
      <c r="F14525" s="178" t="s">
        <v>4520</v>
      </c>
      <c r="G14525" s="496"/>
      <c r="H14525" s="994" t="s">
        <v>20277</v>
      </c>
      <c r="I14525" s="11" t="s">
        <v>12439</v>
      </c>
      <c r="J14525" s="1285"/>
      <c r="K14525" s="1285"/>
      <c r="L14525" s="1285"/>
    </row>
    <row r="14526" spans="1:12" ht="24" customHeight="1">
      <c r="A14526" s="904" t="s">
        <v>18868</v>
      </c>
      <c r="B14526" s="904" t="s">
        <v>18875</v>
      </c>
      <c r="C14526" s="147"/>
      <c r="D14526" s="231"/>
      <c r="E14526" s="177"/>
      <c r="F14526" s="1095"/>
      <c r="G14526" s="908"/>
      <c r="H14526" s="890"/>
      <c r="I14526" s="11"/>
    </row>
    <row r="14527" spans="1:12" ht="9" customHeight="1">
      <c r="A14527" s="129" t="s">
        <v>23444</v>
      </c>
      <c r="B14527" s="59" t="s">
        <v>22223</v>
      </c>
      <c r="C14527" s="147" t="s">
        <v>20221</v>
      </c>
      <c r="D14527" s="701" t="s">
        <v>1129</v>
      </c>
      <c r="E14527" s="178">
        <v>2011</v>
      </c>
      <c r="F14527" s="178" t="s">
        <v>4520</v>
      </c>
      <c r="G14527" s="496"/>
      <c r="H14527" s="994" t="s">
        <v>20224</v>
      </c>
      <c r="I14527" s="11" t="s">
        <v>14013</v>
      </c>
      <c r="J14527" s="1285"/>
      <c r="K14527" s="1285"/>
      <c r="L14527" s="1285"/>
    </row>
    <row r="14528" spans="1:12" ht="9" customHeight="1">
      <c r="A14528" s="129" t="s">
        <v>23514</v>
      </c>
      <c r="B14528" s="59" t="s">
        <v>22157</v>
      </c>
      <c r="C14528" s="147" t="s">
        <v>20221</v>
      </c>
      <c r="D14528" s="701" t="s">
        <v>1129</v>
      </c>
      <c r="E14528" s="178">
        <v>2016</v>
      </c>
      <c r="F14528" s="178" t="s">
        <v>4520</v>
      </c>
      <c r="G14528" s="496"/>
      <c r="H14528" s="994" t="s">
        <v>20221</v>
      </c>
      <c r="I14528" s="11" t="s">
        <v>13666</v>
      </c>
      <c r="J14528" s="1285"/>
      <c r="K14528" s="1285"/>
      <c r="L14528" s="1285"/>
    </row>
    <row r="14529" spans="1:12" ht="9" customHeight="1">
      <c r="A14529" s="129" t="s">
        <v>23514</v>
      </c>
      <c r="B14529" s="59" t="s">
        <v>22158</v>
      </c>
      <c r="C14529" s="147" t="s">
        <v>20221</v>
      </c>
      <c r="D14529" s="701" t="s">
        <v>1129</v>
      </c>
      <c r="E14529" s="178">
        <v>2019</v>
      </c>
      <c r="F14529" s="178" t="s">
        <v>4520</v>
      </c>
      <c r="G14529" s="496"/>
      <c r="H14529" s="994" t="s">
        <v>20221</v>
      </c>
      <c r="I14529" s="11" t="s">
        <v>13668</v>
      </c>
      <c r="J14529" s="1285"/>
      <c r="K14529" s="1285"/>
      <c r="L14529" s="1285"/>
    </row>
    <row r="14530" spans="1:12" ht="9" customHeight="1">
      <c r="A14530" s="129" t="s">
        <v>23515</v>
      </c>
      <c r="B14530" s="59" t="s">
        <v>22073</v>
      </c>
      <c r="C14530" s="147" t="s">
        <v>20221</v>
      </c>
      <c r="D14530" s="701" t="s">
        <v>1129</v>
      </c>
      <c r="E14530" s="178">
        <v>2022</v>
      </c>
      <c r="F14530" s="178" t="s">
        <v>23395</v>
      </c>
      <c r="G14530" s="496"/>
      <c r="H14530" s="994" t="s">
        <v>20277</v>
      </c>
      <c r="I14530" s="11" t="s">
        <v>13022</v>
      </c>
      <c r="J14530" s="1285"/>
      <c r="K14530" s="1285"/>
      <c r="L14530" s="1285"/>
    </row>
    <row r="14531" spans="1:12" ht="9" customHeight="1">
      <c r="A14531" s="129" t="s">
        <v>23516</v>
      </c>
      <c r="B14531" s="59" t="s">
        <v>22208</v>
      </c>
      <c r="C14531" s="147" t="s">
        <v>20221</v>
      </c>
      <c r="D14531" s="701" t="s">
        <v>1129</v>
      </c>
      <c r="E14531" s="178">
        <v>2021</v>
      </c>
      <c r="F14531" s="178" t="s">
        <v>23395</v>
      </c>
      <c r="G14531" s="496"/>
      <c r="H14531" s="994" t="s">
        <v>20221</v>
      </c>
      <c r="I14531" s="11" t="s">
        <v>13913</v>
      </c>
      <c r="J14531" s="1285"/>
      <c r="K14531" s="1285"/>
      <c r="L14531" s="1285"/>
    </row>
    <row r="14532" spans="1:12" ht="9" customHeight="1">
      <c r="A14532" s="129" t="s">
        <v>23516</v>
      </c>
      <c r="B14532" s="59" t="s">
        <v>22209</v>
      </c>
      <c r="C14532" s="147" t="s">
        <v>20221</v>
      </c>
      <c r="D14532" s="701" t="s">
        <v>1129</v>
      </c>
      <c r="E14532" s="178">
        <v>2021</v>
      </c>
      <c r="F14532" s="178" t="s">
        <v>23395</v>
      </c>
      <c r="G14532" s="496"/>
      <c r="H14532" s="994" t="s">
        <v>20221</v>
      </c>
      <c r="I14532" s="11" t="s">
        <v>13915</v>
      </c>
      <c r="J14532" s="1285"/>
      <c r="K14532" s="1285"/>
      <c r="L14532" s="1285"/>
    </row>
    <row r="14533" spans="1:12" ht="9" customHeight="1">
      <c r="A14533" s="129" t="s">
        <v>23517</v>
      </c>
      <c r="B14533" s="59" t="s">
        <v>22143</v>
      </c>
      <c r="C14533" s="147" t="s">
        <v>20221</v>
      </c>
      <c r="D14533" s="701" t="s">
        <v>1129</v>
      </c>
      <c r="E14533" s="178">
        <v>2017</v>
      </c>
      <c r="F14533" s="178" t="s">
        <v>23395</v>
      </c>
      <c r="G14533" s="496"/>
      <c r="H14533" s="994" t="s">
        <v>20221</v>
      </c>
      <c r="I14533" s="11" t="s">
        <v>13574</v>
      </c>
      <c r="J14533" s="1285"/>
      <c r="K14533" s="1285"/>
      <c r="L14533" s="1285"/>
    </row>
    <row r="14534" spans="1:12" ht="9" customHeight="1">
      <c r="A14534" s="129" t="s">
        <v>23518</v>
      </c>
      <c r="B14534" s="59" t="s">
        <v>22139</v>
      </c>
      <c r="C14534" s="147" t="s">
        <v>20221</v>
      </c>
      <c r="D14534" s="701" t="s">
        <v>1129</v>
      </c>
      <c r="E14534" s="178">
        <v>2019</v>
      </c>
      <c r="F14534" s="178" t="s">
        <v>4520</v>
      </c>
      <c r="G14534" s="496"/>
      <c r="H14534" s="994" t="s">
        <v>20221</v>
      </c>
      <c r="I14534" s="11" t="s">
        <v>13557</v>
      </c>
      <c r="J14534" s="1285"/>
      <c r="K14534" s="1285"/>
      <c r="L14534" s="1285"/>
    </row>
    <row r="14535" spans="1:12" ht="9" customHeight="1">
      <c r="A14535" s="424" t="s">
        <v>23519</v>
      </c>
      <c r="B14535" s="59" t="s">
        <v>22262</v>
      </c>
      <c r="C14535" s="147" t="s">
        <v>20221</v>
      </c>
      <c r="D14535" s="701" t="s">
        <v>14940</v>
      </c>
      <c r="E14535" s="178">
        <v>2020</v>
      </c>
      <c r="F14535" s="178" t="s">
        <v>23410</v>
      </c>
      <c r="G14535" s="496"/>
      <c r="H14535" s="994" t="s">
        <v>20221</v>
      </c>
      <c r="I14535" s="11" t="s">
        <v>14247</v>
      </c>
      <c r="J14535" s="1285"/>
      <c r="K14535" s="1285"/>
      <c r="L14535" s="1285"/>
    </row>
    <row r="14536" spans="1:12" ht="24" customHeight="1">
      <c r="A14536" s="904" t="s">
        <v>18868</v>
      </c>
      <c r="B14536" s="888" t="s">
        <v>18876</v>
      </c>
      <c r="C14536" s="147"/>
      <c r="D14536" s="231"/>
      <c r="E14536" s="177"/>
      <c r="F14536" s="1095"/>
      <c r="G14536" s="908"/>
      <c r="H14536" s="890"/>
      <c r="I14536" s="11"/>
    </row>
    <row r="14537" spans="1:12" ht="9" customHeight="1">
      <c r="A14537" s="733" t="s">
        <v>23520</v>
      </c>
      <c r="B14537" s="59" t="s">
        <v>22579</v>
      </c>
      <c r="C14537" s="147" t="s">
        <v>20221</v>
      </c>
      <c r="D14537" s="701" t="s">
        <v>1129</v>
      </c>
      <c r="E14537" s="178">
        <v>2021</v>
      </c>
      <c r="F14537" s="178" t="s">
        <v>4520</v>
      </c>
      <c r="G14537" s="496"/>
      <c r="H14537" s="994" t="s">
        <v>20221</v>
      </c>
      <c r="I14537" s="11" t="s">
        <v>15861</v>
      </c>
      <c r="J14537" s="1285"/>
      <c r="K14537" s="1285"/>
      <c r="L14537" s="1285"/>
    </row>
    <row r="14538" spans="1:12" ht="9" customHeight="1">
      <c r="A14538" s="129" t="s">
        <v>23521</v>
      </c>
      <c r="B14538" s="59" t="s">
        <v>22882</v>
      </c>
      <c r="C14538" s="147" t="s">
        <v>20221</v>
      </c>
      <c r="D14538" s="701" t="s">
        <v>1129</v>
      </c>
      <c r="E14538" s="178">
        <v>2014</v>
      </c>
      <c r="F14538" s="178" t="s">
        <v>23395</v>
      </c>
      <c r="G14538" s="496"/>
      <c r="H14538" s="994" t="s">
        <v>20221</v>
      </c>
      <c r="I14538" s="11" t="s">
        <v>17209</v>
      </c>
      <c r="J14538" s="1285"/>
      <c r="K14538" s="1285"/>
      <c r="L14538" s="1285"/>
    </row>
    <row r="14539" spans="1:12" ht="9" customHeight="1">
      <c r="A14539" s="733" t="s">
        <v>23522</v>
      </c>
      <c r="B14539" s="59" t="s">
        <v>22545</v>
      </c>
      <c r="C14539" s="147" t="s">
        <v>20221</v>
      </c>
      <c r="D14539" s="701" t="s">
        <v>1129</v>
      </c>
      <c r="E14539" s="178">
        <v>2019</v>
      </c>
      <c r="F14539" s="178" t="s">
        <v>4520</v>
      </c>
      <c r="G14539" s="496"/>
      <c r="H14539" s="994" t="s">
        <v>20221</v>
      </c>
      <c r="I14539" s="11" t="s">
        <v>15756</v>
      </c>
      <c r="J14539" s="1285"/>
      <c r="K14539" s="1285"/>
      <c r="L14539" s="1285"/>
    </row>
    <row r="14540" spans="1:12" ht="9" customHeight="1">
      <c r="A14540" s="129" t="s">
        <v>23520</v>
      </c>
      <c r="B14540" s="59" t="s">
        <v>22580</v>
      </c>
      <c r="C14540" s="147" t="s">
        <v>20221</v>
      </c>
      <c r="D14540" s="701" t="s">
        <v>1129</v>
      </c>
      <c r="E14540" s="178">
        <v>2018</v>
      </c>
      <c r="F14540" s="178" t="s">
        <v>4520</v>
      </c>
      <c r="G14540" s="496"/>
      <c r="H14540" s="994" t="s">
        <v>20221</v>
      </c>
      <c r="I14540" s="11" t="s">
        <v>15863</v>
      </c>
      <c r="J14540" s="1285"/>
      <c r="K14540" s="1285"/>
      <c r="L14540" s="1285"/>
    </row>
    <row r="14541" spans="1:12" ht="9" customHeight="1">
      <c r="A14541" s="129" t="s">
        <v>23520</v>
      </c>
      <c r="B14541" s="59" t="s">
        <v>22581</v>
      </c>
      <c r="C14541" s="147" t="s">
        <v>20221</v>
      </c>
      <c r="D14541" s="701" t="s">
        <v>1129</v>
      </c>
      <c r="E14541" s="178">
        <v>2017</v>
      </c>
      <c r="F14541" s="178" t="s">
        <v>4520</v>
      </c>
      <c r="G14541" s="496"/>
      <c r="H14541" s="994" t="s">
        <v>20221</v>
      </c>
      <c r="I14541" s="11" t="s">
        <v>15865</v>
      </c>
      <c r="J14541" s="1285"/>
      <c r="K14541" s="1285"/>
      <c r="L14541" s="1285"/>
    </row>
    <row r="14542" spans="1:12" ht="9" customHeight="1">
      <c r="A14542" s="129" t="s">
        <v>23523</v>
      </c>
      <c r="B14542" s="59" t="s">
        <v>22487</v>
      </c>
      <c r="C14542" s="147" t="s">
        <v>20221</v>
      </c>
      <c r="D14542" s="701" t="s">
        <v>1129</v>
      </c>
      <c r="E14542" s="178">
        <v>2024</v>
      </c>
      <c r="F14542" s="178" t="s">
        <v>4520</v>
      </c>
      <c r="G14542" s="496"/>
      <c r="H14542" s="994" t="s">
        <v>20221</v>
      </c>
      <c r="I14542" s="11" t="s">
        <v>15416</v>
      </c>
      <c r="J14542" s="1285"/>
      <c r="K14542" s="1285"/>
      <c r="L14542" s="1285"/>
    </row>
    <row r="14543" spans="1:12" ht="9" customHeight="1">
      <c r="A14543" s="129" t="s">
        <v>23524</v>
      </c>
      <c r="B14543" s="59" t="s">
        <v>22513</v>
      </c>
      <c r="C14543" s="147" t="s">
        <v>20221</v>
      </c>
      <c r="D14543" s="701" t="s">
        <v>1129</v>
      </c>
      <c r="E14543" s="178">
        <v>2021</v>
      </c>
      <c r="F14543" s="178" t="s">
        <v>4520</v>
      </c>
      <c r="G14543" s="496"/>
      <c r="H14543" s="994" t="s">
        <v>20221</v>
      </c>
      <c r="I14543" s="11" t="s">
        <v>15587</v>
      </c>
      <c r="J14543" s="1285"/>
      <c r="K14543" s="1285"/>
      <c r="L14543" s="1285"/>
    </row>
    <row r="14544" spans="1:12" ht="9" customHeight="1">
      <c r="A14544" s="129" t="s">
        <v>23520</v>
      </c>
      <c r="B14544" s="59" t="s">
        <v>22583</v>
      </c>
      <c r="C14544" s="147" t="s">
        <v>20221</v>
      </c>
      <c r="D14544" s="701" t="s">
        <v>1129</v>
      </c>
      <c r="E14544" s="178">
        <v>2012</v>
      </c>
      <c r="F14544" s="178" t="s">
        <v>4520</v>
      </c>
      <c r="G14544" s="496"/>
      <c r="H14544" s="994" t="s">
        <v>20221</v>
      </c>
      <c r="I14544" s="11" t="s">
        <v>15867</v>
      </c>
      <c r="J14544" s="1285"/>
      <c r="K14544" s="1285"/>
      <c r="L14544" s="1285"/>
    </row>
    <row r="14545" spans="1:12" ht="9" customHeight="1">
      <c r="A14545" s="129" t="s">
        <v>23524</v>
      </c>
      <c r="B14545" s="59" t="s">
        <v>22523</v>
      </c>
      <c r="C14545" s="147" t="s">
        <v>20221</v>
      </c>
      <c r="D14545" s="701" t="s">
        <v>1129</v>
      </c>
      <c r="E14545" s="178">
        <v>2022</v>
      </c>
      <c r="F14545" s="178" t="s">
        <v>4520</v>
      </c>
      <c r="G14545" s="496"/>
      <c r="H14545" s="994" t="s">
        <v>20221</v>
      </c>
      <c r="I14545" s="11" t="s">
        <v>15640</v>
      </c>
      <c r="J14545" s="1285"/>
      <c r="K14545" s="1285"/>
      <c r="L14545" s="1285"/>
    </row>
    <row r="14546" spans="1:12" ht="9" customHeight="1">
      <c r="A14546" s="129" t="s">
        <v>23460</v>
      </c>
      <c r="B14546" s="59" t="s">
        <v>22778</v>
      </c>
      <c r="C14546" s="147" t="s">
        <v>20221</v>
      </c>
      <c r="D14546" s="701" t="s">
        <v>1129</v>
      </c>
      <c r="E14546" s="178">
        <v>2002</v>
      </c>
      <c r="F14546" s="178" t="s">
        <v>4520</v>
      </c>
      <c r="G14546" s="496"/>
      <c r="H14546" s="994" t="s">
        <v>20224</v>
      </c>
      <c r="I14546" s="11" t="s">
        <v>16399</v>
      </c>
      <c r="J14546" s="1285"/>
      <c r="K14546" s="1285"/>
      <c r="L14546" s="1285"/>
    </row>
    <row r="14547" spans="1:12" ht="9" customHeight="1">
      <c r="A14547" s="129" t="s">
        <v>23460</v>
      </c>
      <c r="B14547" s="59" t="s">
        <v>22777</v>
      </c>
      <c r="C14547" s="147" t="s">
        <v>20221</v>
      </c>
      <c r="D14547" s="701" t="s">
        <v>1129</v>
      </c>
      <c r="E14547" s="178">
        <v>2003</v>
      </c>
      <c r="F14547" s="178" t="s">
        <v>4520</v>
      </c>
      <c r="G14547" s="496"/>
      <c r="H14547" s="994" t="s">
        <v>20277</v>
      </c>
      <c r="I14547" s="11" t="s">
        <v>16395</v>
      </c>
      <c r="J14547" s="1285"/>
      <c r="K14547" s="1285"/>
      <c r="L14547" s="1285"/>
    </row>
    <row r="14548" spans="1:12" ht="9" customHeight="1">
      <c r="A14548" s="129" t="s">
        <v>23520</v>
      </c>
      <c r="B14548" s="59" t="s">
        <v>22582</v>
      </c>
      <c r="C14548" s="147" t="s">
        <v>20221</v>
      </c>
      <c r="D14548" s="701" t="s">
        <v>1129</v>
      </c>
      <c r="E14548" s="178">
        <v>2003</v>
      </c>
      <c r="F14548" s="178" t="s">
        <v>4520</v>
      </c>
      <c r="G14548" s="496"/>
      <c r="H14548" s="994" t="s">
        <v>20221</v>
      </c>
      <c r="I14548" s="11" t="s">
        <v>15870</v>
      </c>
      <c r="J14548" s="1285"/>
      <c r="K14548" s="1285"/>
      <c r="L14548" s="1285"/>
    </row>
    <row r="14549" spans="1:12" ht="24" customHeight="1">
      <c r="A14549" s="904" t="s">
        <v>18868</v>
      </c>
      <c r="B14549" s="1277" t="s">
        <v>18877</v>
      </c>
      <c r="C14549" s="147"/>
      <c r="D14549" s="231"/>
      <c r="E14549" s="177"/>
      <c r="F14549" s="1095"/>
      <c r="G14549" s="908"/>
      <c r="H14549" s="890"/>
      <c r="I14549" s="11"/>
    </row>
    <row r="14550" spans="1:12" ht="9" customHeight="1">
      <c r="A14550" s="129" t="s">
        <v>23525</v>
      </c>
      <c r="B14550" s="59" t="s">
        <v>22940</v>
      </c>
      <c r="C14550" s="147" t="s">
        <v>23393</v>
      </c>
      <c r="D14550" s="701" t="s">
        <v>1129</v>
      </c>
      <c r="E14550" s="178">
        <v>2023</v>
      </c>
      <c r="F14550" s="178" t="s">
        <v>4520</v>
      </c>
      <c r="G14550" s="496"/>
      <c r="H14550" s="994" t="s">
        <v>20221</v>
      </c>
      <c r="I14550" s="11" t="s">
        <v>17617</v>
      </c>
      <c r="J14550" s="1285"/>
      <c r="K14550" s="1285"/>
      <c r="L14550" s="1285"/>
    </row>
    <row r="14551" spans="1:12" ht="9" customHeight="1">
      <c r="A14551" s="129" t="s">
        <v>23452</v>
      </c>
      <c r="B14551" s="59" t="s">
        <v>21980</v>
      </c>
      <c r="C14551" s="147" t="s">
        <v>20221</v>
      </c>
      <c r="D14551" s="701" t="s">
        <v>1129</v>
      </c>
      <c r="E14551" s="178">
        <v>2014</v>
      </c>
      <c r="F14551" s="178" t="s">
        <v>23395</v>
      </c>
      <c r="G14551" s="496"/>
      <c r="H14551" s="994" t="s">
        <v>20221</v>
      </c>
      <c r="I14551" s="11" t="s">
        <v>17040</v>
      </c>
      <c r="J14551" s="1285"/>
      <c r="K14551" s="1285"/>
      <c r="L14551" s="1285"/>
    </row>
    <row r="14552" spans="1:12" ht="9" customHeight="1">
      <c r="A14552" s="129" t="s">
        <v>23521</v>
      </c>
      <c r="B14552" s="59" t="s">
        <v>22882</v>
      </c>
      <c r="C14552" s="147" t="s">
        <v>20221</v>
      </c>
      <c r="D14552" s="701" t="s">
        <v>1129</v>
      </c>
      <c r="E14552" s="178">
        <v>2014</v>
      </c>
      <c r="F14552" s="178" t="s">
        <v>23395</v>
      </c>
      <c r="G14552" s="496"/>
      <c r="H14552" s="994" t="s">
        <v>20221</v>
      </c>
      <c r="I14552" s="11" t="s">
        <v>17209</v>
      </c>
      <c r="J14552" s="1285"/>
      <c r="K14552" s="1285"/>
      <c r="L14552" s="1285"/>
    </row>
    <row r="14553" spans="1:12" ht="9" customHeight="1">
      <c r="A14553" s="220" t="s">
        <v>23526</v>
      </c>
      <c r="B14553" s="59" t="s">
        <v>22886</v>
      </c>
      <c r="C14553" s="147" t="s">
        <v>20221</v>
      </c>
      <c r="D14553" s="701" t="s">
        <v>1129</v>
      </c>
      <c r="E14553" s="178">
        <v>2023</v>
      </c>
      <c r="F14553" s="178" t="s">
        <v>4520</v>
      </c>
      <c r="G14553" s="496"/>
      <c r="H14553" s="994" t="s">
        <v>20221</v>
      </c>
      <c r="I14553" s="11" t="s">
        <v>17274</v>
      </c>
      <c r="J14553" s="1285"/>
      <c r="K14553" s="1285"/>
      <c r="L14553" s="1285"/>
    </row>
    <row r="14554" spans="1:12" ht="9" customHeight="1">
      <c r="A14554" s="129" t="s">
        <v>23527</v>
      </c>
      <c r="B14554" s="59" t="s">
        <v>22947</v>
      </c>
      <c r="C14554" s="147" t="s">
        <v>20221</v>
      </c>
      <c r="D14554" s="701" t="s">
        <v>1129</v>
      </c>
      <c r="E14554" s="178">
        <v>2014</v>
      </c>
      <c r="F14554" s="178" t="s">
        <v>4520</v>
      </c>
      <c r="G14554" s="496"/>
      <c r="H14554" s="994" t="s">
        <v>20221</v>
      </c>
      <c r="I14554" s="11" t="s">
        <v>17628</v>
      </c>
      <c r="J14554" s="1285"/>
      <c r="K14554" s="1285"/>
      <c r="L14554" s="1285"/>
    </row>
    <row r="14555" spans="1:12" ht="9" customHeight="1">
      <c r="A14555" s="129" t="s">
        <v>23528</v>
      </c>
      <c r="B14555" s="59" t="s">
        <v>22816</v>
      </c>
      <c r="C14555" s="147" t="s">
        <v>20221</v>
      </c>
      <c r="D14555" s="701" t="s">
        <v>1129</v>
      </c>
      <c r="E14555" s="178">
        <v>2017</v>
      </c>
      <c r="F14555" s="178" t="s">
        <v>23395</v>
      </c>
      <c r="G14555" s="496"/>
      <c r="H14555" s="994" t="s">
        <v>20221</v>
      </c>
      <c r="I14555" s="11" t="s">
        <v>16752</v>
      </c>
      <c r="J14555" s="1285"/>
      <c r="K14555" s="1285"/>
      <c r="L14555" s="1285"/>
    </row>
    <row r="14556" spans="1:12" ht="9" customHeight="1">
      <c r="A14556" s="129" t="s">
        <v>23529</v>
      </c>
      <c r="B14556" s="59" t="s">
        <v>22962</v>
      </c>
      <c r="C14556" s="147" t="s">
        <v>20221</v>
      </c>
      <c r="D14556" s="701" t="s">
        <v>1129</v>
      </c>
      <c r="E14556" s="178">
        <v>2017</v>
      </c>
      <c r="F14556" s="178" t="s">
        <v>4520</v>
      </c>
      <c r="G14556" s="496"/>
      <c r="H14556" s="994" t="s">
        <v>20221</v>
      </c>
      <c r="I14556" s="11" t="s">
        <v>17892</v>
      </c>
      <c r="J14556" s="1285"/>
      <c r="K14556" s="1285"/>
      <c r="L14556" s="1285"/>
    </row>
    <row r="14557" spans="1:12" ht="9" customHeight="1">
      <c r="A14557" s="220" t="s">
        <v>23530</v>
      </c>
      <c r="B14557" s="59" t="s">
        <v>22914</v>
      </c>
      <c r="C14557" s="147" t="s">
        <v>20221</v>
      </c>
      <c r="D14557" s="701" t="s">
        <v>1129</v>
      </c>
      <c r="E14557" s="178">
        <v>2017</v>
      </c>
      <c r="F14557" s="178" t="s">
        <v>4520</v>
      </c>
      <c r="G14557" s="496"/>
      <c r="H14557" s="994" t="s">
        <v>20221</v>
      </c>
      <c r="I14557" s="11" t="s">
        <v>17527</v>
      </c>
      <c r="J14557" s="1285"/>
      <c r="K14557" s="1285"/>
      <c r="L14557" s="1285"/>
    </row>
    <row r="14558" spans="1:12" ht="24" customHeight="1">
      <c r="A14558" s="904" t="s">
        <v>18878</v>
      </c>
      <c r="B14558" s="906" t="s">
        <v>18879</v>
      </c>
      <c r="C14558" s="147"/>
      <c r="D14558" s="907"/>
      <c r="E14558" s="908"/>
      <c r="F14558" s="909"/>
      <c r="G14558" s="908"/>
      <c r="H14558" s="909"/>
      <c r="I14558" s="11"/>
    </row>
    <row r="14559" spans="1:12" ht="9" customHeight="1">
      <c r="A14559" s="129" t="s">
        <v>23494</v>
      </c>
      <c r="B14559" s="59" t="s">
        <v>21644</v>
      </c>
      <c r="C14559" s="147" t="s">
        <v>23393</v>
      </c>
      <c r="D14559" s="701" t="s">
        <v>1129</v>
      </c>
      <c r="E14559" s="178">
        <v>2023</v>
      </c>
      <c r="F14559" s="178" t="s">
        <v>23395</v>
      </c>
      <c r="G14559" s="496"/>
      <c r="H14559" s="994" t="s">
        <v>20221</v>
      </c>
      <c r="I14559" s="11" t="s">
        <v>10216</v>
      </c>
      <c r="J14559" s="1285"/>
      <c r="K14559" s="1285"/>
      <c r="L14559" s="1285"/>
    </row>
    <row r="14560" spans="1:12" ht="9" customHeight="1">
      <c r="A14560" s="129" t="s">
        <v>23525</v>
      </c>
      <c r="B14560" s="59" t="s">
        <v>22940</v>
      </c>
      <c r="C14560" s="147" t="s">
        <v>23393</v>
      </c>
      <c r="D14560" s="701" t="s">
        <v>1129</v>
      </c>
      <c r="E14560" s="178">
        <v>2023</v>
      </c>
      <c r="F14560" s="178" t="s">
        <v>4520</v>
      </c>
      <c r="G14560" s="496"/>
      <c r="H14560" s="994" t="s">
        <v>20221</v>
      </c>
      <c r="I14560" s="11" t="s">
        <v>17617</v>
      </c>
      <c r="J14560" s="1285"/>
      <c r="K14560" s="1285"/>
      <c r="L14560" s="1285"/>
    </row>
    <row r="14561" spans="1:12" ht="9" customHeight="1">
      <c r="A14561" s="129" t="s">
        <v>23452</v>
      </c>
      <c r="B14561" s="59" t="s">
        <v>21980</v>
      </c>
      <c r="C14561" s="147" t="s">
        <v>20221</v>
      </c>
      <c r="D14561" s="701" t="s">
        <v>1129</v>
      </c>
      <c r="E14561" s="178">
        <v>2014</v>
      </c>
      <c r="F14561" s="178" t="s">
        <v>23395</v>
      </c>
      <c r="G14561" s="496"/>
      <c r="H14561" s="994" t="s">
        <v>20221</v>
      </c>
      <c r="I14561" s="11" t="s">
        <v>17040</v>
      </c>
      <c r="J14561" s="1285"/>
      <c r="K14561" s="1285"/>
      <c r="L14561" s="1285"/>
    </row>
    <row r="14562" spans="1:12" ht="9" customHeight="1">
      <c r="A14562" s="129" t="s">
        <v>23503</v>
      </c>
      <c r="B14562" s="59" t="s">
        <v>22271</v>
      </c>
      <c r="C14562" s="147" t="s">
        <v>20221</v>
      </c>
      <c r="D14562" s="701" t="s">
        <v>1129</v>
      </c>
      <c r="E14562" s="178">
        <v>2016</v>
      </c>
      <c r="F14562" s="178" t="s">
        <v>23395</v>
      </c>
      <c r="G14562" s="496"/>
      <c r="H14562" s="994" t="s">
        <v>20221</v>
      </c>
      <c r="I14562" s="11" t="s">
        <v>14304</v>
      </c>
      <c r="J14562" s="1285"/>
      <c r="K14562" s="1285"/>
      <c r="L14562" s="1285"/>
    </row>
    <row r="14563" spans="1:12" ht="9" customHeight="1">
      <c r="A14563" s="129" t="s">
        <v>23505</v>
      </c>
      <c r="B14563" s="59" t="s">
        <v>22326</v>
      </c>
      <c r="C14563" s="147" t="s">
        <v>20221</v>
      </c>
      <c r="D14563" s="701" t="s">
        <v>1129</v>
      </c>
      <c r="E14563" s="178">
        <v>2023</v>
      </c>
      <c r="F14563" s="178" t="s">
        <v>23395</v>
      </c>
      <c r="G14563" s="496"/>
      <c r="H14563" s="994" t="s">
        <v>20221</v>
      </c>
      <c r="I14563" s="11" t="s">
        <v>14587</v>
      </c>
      <c r="J14563" s="1285"/>
      <c r="K14563" s="1285"/>
      <c r="L14563" s="1285"/>
    </row>
    <row r="14564" spans="1:12" ht="9" customHeight="1">
      <c r="A14564" s="129" t="s">
        <v>23507</v>
      </c>
      <c r="B14564" s="59" t="s">
        <v>22006</v>
      </c>
      <c r="C14564" s="147" t="s">
        <v>20221</v>
      </c>
      <c r="D14564" s="701" t="s">
        <v>1129</v>
      </c>
      <c r="E14564" s="178">
        <v>2023</v>
      </c>
      <c r="F14564" s="178" t="s">
        <v>4520</v>
      </c>
      <c r="G14564" s="496"/>
      <c r="H14564" s="994" t="s">
        <v>20221</v>
      </c>
      <c r="I14564" s="11" t="s">
        <v>12453</v>
      </c>
      <c r="J14564" s="1285"/>
      <c r="K14564" s="1285"/>
      <c r="L14564" s="1285"/>
    </row>
    <row r="14565" spans="1:12" ht="9" customHeight="1">
      <c r="A14565" s="129" t="s">
        <v>23495</v>
      </c>
      <c r="B14565" s="59" t="s">
        <v>20461</v>
      </c>
      <c r="C14565" s="147" t="s">
        <v>23393</v>
      </c>
      <c r="D14565" s="701" t="s">
        <v>1129</v>
      </c>
      <c r="E14565" s="178">
        <v>2018</v>
      </c>
      <c r="F14565" s="178" t="s">
        <v>23395</v>
      </c>
      <c r="G14565" s="496"/>
      <c r="H14565" s="994" t="s">
        <v>20221</v>
      </c>
      <c r="I14565" s="11" t="s">
        <v>1425</v>
      </c>
      <c r="J14565" s="1285"/>
      <c r="K14565" s="1285"/>
      <c r="L14565" s="1285"/>
    </row>
    <row r="14566" spans="1:12" ht="9" customHeight="1">
      <c r="A14566" s="129" t="s">
        <v>23504</v>
      </c>
      <c r="B14566" s="59" t="s">
        <v>22282</v>
      </c>
      <c r="C14566" s="147" t="s">
        <v>20221</v>
      </c>
      <c r="D14566" s="701" t="s">
        <v>1129</v>
      </c>
      <c r="E14566" s="178" t="s">
        <v>20221</v>
      </c>
      <c r="F14566" s="178" t="s">
        <v>4520</v>
      </c>
      <c r="G14566" s="496" t="s">
        <v>20221</v>
      </c>
      <c r="H14566" s="994" t="s">
        <v>3907</v>
      </c>
      <c r="I14566" s="11" t="s">
        <v>14369</v>
      </c>
      <c r="J14566" s="1285"/>
      <c r="K14566" s="1285"/>
      <c r="L14566" s="1285"/>
    </row>
    <row r="14567" spans="1:12" ht="9" customHeight="1">
      <c r="A14567" s="129" t="s">
        <v>23520</v>
      </c>
      <c r="B14567" s="59" t="s">
        <v>22579</v>
      </c>
      <c r="C14567" s="147" t="s">
        <v>20221</v>
      </c>
      <c r="D14567" s="701" t="s">
        <v>1129</v>
      </c>
      <c r="E14567" s="178">
        <v>2021</v>
      </c>
      <c r="F14567" s="178" t="s">
        <v>4520</v>
      </c>
      <c r="G14567" s="496"/>
      <c r="H14567" s="994" t="s">
        <v>20221</v>
      </c>
      <c r="I14567" s="11" t="s">
        <v>15861</v>
      </c>
      <c r="J14567" s="1285"/>
      <c r="K14567" s="1285"/>
      <c r="L14567" s="1285"/>
    </row>
    <row r="14568" spans="1:12" ht="9" customHeight="1">
      <c r="A14568" s="129" t="s">
        <v>23479</v>
      </c>
      <c r="B14568" s="59" t="s">
        <v>21926</v>
      </c>
      <c r="C14568" s="147" t="s">
        <v>23393</v>
      </c>
      <c r="D14568" s="701" t="s">
        <v>1129</v>
      </c>
      <c r="E14568" s="178">
        <v>2023</v>
      </c>
      <c r="F14568" s="178" t="s">
        <v>23395</v>
      </c>
      <c r="G14568" s="496"/>
      <c r="H14568" s="994" t="s">
        <v>20277</v>
      </c>
      <c r="I14568" s="11" t="s">
        <v>12038</v>
      </c>
      <c r="J14568" s="1285"/>
      <c r="K14568" s="1285"/>
      <c r="L14568" s="1285"/>
    </row>
    <row r="14569" spans="1:12" ht="9" customHeight="1">
      <c r="A14569" s="129" t="s">
        <v>23521</v>
      </c>
      <c r="B14569" s="59" t="s">
        <v>22882</v>
      </c>
      <c r="C14569" s="147" t="s">
        <v>20221</v>
      </c>
      <c r="D14569" s="701" t="s">
        <v>1129</v>
      </c>
      <c r="E14569" s="178">
        <v>2014</v>
      </c>
      <c r="F14569" s="178" t="s">
        <v>23395</v>
      </c>
      <c r="G14569" s="496"/>
      <c r="H14569" s="994" t="s">
        <v>20221</v>
      </c>
      <c r="I14569" s="11" t="s">
        <v>17209</v>
      </c>
      <c r="J14569" s="1285"/>
      <c r="K14569" s="1285"/>
      <c r="L14569" s="1285"/>
    </row>
    <row r="14570" spans="1:12" ht="9" customHeight="1">
      <c r="A14570" s="129" t="s">
        <v>23520</v>
      </c>
      <c r="B14570" s="59" t="s">
        <v>22580</v>
      </c>
      <c r="C14570" s="147" t="s">
        <v>20221</v>
      </c>
      <c r="D14570" s="701" t="s">
        <v>1129</v>
      </c>
      <c r="E14570" s="178">
        <v>2018</v>
      </c>
      <c r="F14570" s="178" t="s">
        <v>4520</v>
      </c>
      <c r="G14570" s="496"/>
      <c r="H14570" s="994" t="s">
        <v>20221</v>
      </c>
      <c r="I14570" s="11" t="s">
        <v>15863</v>
      </c>
      <c r="J14570" s="1285"/>
      <c r="K14570" s="1285"/>
      <c r="L14570" s="1285"/>
    </row>
    <row r="14571" spans="1:12" ht="9" customHeight="1">
      <c r="A14571" s="129" t="s">
        <v>23520</v>
      </c>
      <c r="B14571" s="59" t="s">
        <v>22581</v>
      </c>
      <c r="C14571" s="147" t="s">
        <v>20221</v>
      </c>
      <c r="D14571" s="701" t="s">
        <v>1129</v>
      </c>
      <c r="E14571" s="178">
        <v>2017</v>
      </c>
      <c r="F14571" s="178" t="s">
        <v>4520</v>
      </c>
      <c r="G14571" s="496"/>
      <c r="H14571" s="994" t="s">
        <v>20221</v>
      </c>
      <c r="I14571" s="11" t="s">
        <v>15865</v>
      </c>
      <c r="J14571" s="1285"/>
      <c r="K14571" s="1285"/>
      <c r="L14571" s="1285"/>
    </row>
    <row r="14572" spans="1:12" ht="9" customHeight="1">
      <c r="A14572" s="129" t="s">
        <v>23497</v>
      </c>
      <c r="B14572" s="59" t="s">
        <v>21287</v>
      </c>
      <c r="C14572" s="147" t="s">
        <v>20221</v>
      </c>
      <c r="D14572" s="701" t="s">
        <v>1129</v>
      </c>
      <c r="E14572" s="178">
        <v>2016</v>
      </c>
      <c r="F14572" s="178" t="s">
        <v>23395</v>
      </c>
      <c r="G14572" s="496"/>
      <c r="H14572" s="994" t="s">
        <v>20221</v>
      </c>
      <c r="I14572" s="11" t="s">
        <v>8200</v>
      </c>
      <c r="J14572" s="1285"/>
      <c r="K14572" s="1285"/>
      <c r="L14572" s="1285"/>
    </row>
    <row r="14573" spans="1:12" ht="9" customHeight="1">
      <c r="A14573" s="129" t="s">
        <v>23447</v>
      </c>
      <c r="B14573" s="59" t="s">
        <v>21934</v>
      </c>
      <c r="C14573" s="147" t="s">
        <v>20221</v>
      </c>
      <c r="D14573" s="701" t="s">
        <v>1129</v>
      </c>
      <c r="E14573" s="178">
        <v>2017</v>
      </c>
      <c r="F14573" s="178" t="s">
        <v>4520</v>
      </c>
      <c r="G14573" s="496"/>
      <c r="H14573" s="994" t="s">
        <v>20221</v>
      </c>
      <c r="I14573" s="11" t="s">
        <v>12086</v>
      </c>
      <c r="J14573" s="1285"/>
      <c r="K14573" s="1285"/>
      <c r="L14573" s="1285"/>
    </row>
    <row r="14574" spans="1:12" ht="9" customHeight="1">
      <c r="A14574" s="129" t="s">
        <v>23513</v>
      </c>
      <c r="B14574" s="59" t="s">
        <v>22004</v>
      </c>
      <c r="C14574" s="147" t="s">
        <v>20221</v>
      </c>
      <c r="D14574" s="701" t="s">
        <v>1129</v>
      </c>
      <c r="E14574" s="178">
        <v>2019</v>
      </c>
      <c r="F14574" s="178" t="s">
        <v>4520</v>
      </c>
      <c r="G14574" s="496"/>
      <c r="H14574" s="994" t="s">
        <v>20277</v>
      </c>
      <c r="I14574" s="11" t="s">
        <v>12439</v>
      </c>
      <c r="J14574" s="1285"/>
      <c r="K14574" s="1285"/>
      <c r="L14574" s="1285"/>
    </row>
    <row r="14575" spans="1:12" ht="9" customHeight="1">
      <c r="A14575" s="129" t="s">
        <v>23523</v>
      </c>
      <c r="B14575" s="59" t="s">
        <v>22487</v>
      </c>
      <c r="C14575" s="147" t="s">
        <v>20221</v>
      </c>
      <c r="D14575" s="701" t="s">
        <v>1129</v>
      </c>
      <c r="E14575" s="178">
        <v>2024</v>
      </c>
      <c r="F14575" s="178" t="s">
        <v>4520</v>
      </c>
      <c r="G14575" s="496"/>
      <c r="H14575" s="994" t="s">
        <v>20221</v>
      </c>
      <c r="I14575" s="11" t="s">
        <v>15416</v>
      </c>
      <c r="J14575" s="1285"/>
      <c r="K14575" s="1285"/>
      <c r="L14575" s="1285"/>
    </row>
    <row r="14576" spans="1:12" ht="9" customHeight="1">
      <c r="A14576" s="129" t="s">
        <v>23515</v>
      </c>
      <c r="B14576" s="59" t="s">
        <v>22073</v>
      </c>
      <c r="C14576" s="147" t="s">
        <v>20221</v>
      </c>
      <c r="D14576" s="701" t="s">
        <v>1129</v>
      </c>
      <c r="E14576" s="178">
        <v>2022</v>
      </c>
      <c r="F14576" s="178" t="s">
        <v>23395</v>
      </c>
      <c r="G14576" s="496"/>
      <c r="H14576" s="994" t="s">
        <v>20277</v>
      </c>
      <c r="I14576" s="11" t="s">
        <v>13022</v>
      </c>
      <c r="J14576" s="1285"/>
      <c r="K14576" s="1285"/>
      <c r="L14576" s="1285"/>
    </row>
    <row r="14577" spans="1:12" ht="9" customHeight="1">
      <c r="A14577" s="129" t="s">
        <v>23506</v>
      </c>
      <c r="B14577" s="59" t="s">
        <v>22324</v>
      </c>
      <c r="C14577" s="147" t="s">
        <v>20221</v>
      </c>
      <c r="D14577" s="701" t="s">
        <v>1129</v>
      </c>
      <c r="E14577" s="178">
        <v>2023</v>
      </c>
      <c r="F14577" s="178" t="s">
        <v>4520</v>
      </c>
      <c r="G14577" s="496"/>
      <c r="H14577" s="994" t="s">
        <v>20221</v>
      </c>
      <c r="I14577" s="11" t="s">
        <v>14577</v>
      </c>
      <c r="J14577" s="1285"/>
      <c r="K14577" s="1285"/>
      <c r="L14577" s="1285"/>
    </row>
    <row r="14578" spans="1:12" ht="9" customHeight="1">
      <c r="A14578" s="129" t="s">
        <v>23492</v>
      </c>
      <c r="B14578" s="59" t="s">
        <v>21898</v>
      </c>
      <c r="C14578" s="147" t="s">
        <v>20221</v>
      </c>
      <c r="D14578" s="701" t="s">
        <v>1129</v>
      </c>
      <c r="E14578" s="178">
        <v>2016</v>
      </c>
      <c r="F14578" s="178" t="s">
        <v>4520</v>
      </c>
      <c r="G14578" s="496"/>
      <c r="H14578" s="994" t="s">
        <v>20221</v>
      </c>
      <c r="I14578" s="11" t="s">
        <v>11829</v>
      </c>
      <c r="J14578" s="1285"/>
      <c r="K14578" s="1285"/>
      <c r="L14578" s="1285"/>
    </row>
    <row r="14579" spans="1:12" ht="9" customHeight="1">
      <c r="A14579" s="129" t="s">
        <v>23517</v>
      </c>
      <c r="B14579" s="59" t="s">
        <v>22143</v>
      </c>
      <c r="C14579" s="147" t="s">
        <v>20221</v>
      </c>
      <c r="D14579" s="701" t="s">
        <v>1129</v>
      </c>
      <c r="E14579" s="178">
        <v>2017</v>
      </c>
      <c r="F14579" s="178" t="s">
        <v>23395</v>
      </c>
      <c r="G14579" s="496"/>
      <c r="H14579" s="994" t="s">
        <v>20221</v>
      </c>
      <c r="I14579" s="11" t="s">
        <v>13574</v>
      </c>
      <c r="J14579" s="1285"/>
      <c r="K14579" s="1285"/>
      <c r="L14579" s="1285"/>
    </row>
    <row r="14580" spans="1:12" ht="9" customHeight="1">
      <c r="A14580" s="129" t="s">
        <v>23439</v>
      </c>
      <c r="B14580" s="59" t="s">
        <v>21813</v>
      </c>
      <c r="C14580" s="147" t="s">
        <v>20221</v>
      </c>
      <c r="D14580" s="701" t="s">
        <v>1129</v>
      </c>
      <c r="E14580" s="178">
        <v>2017</v>
      </c>
      <c r="F14580" s="178" t="s">
        <v>4520</v>
      </c>
      <c r="G14580" s="496"/>
      <c r="H14580" s="994" t="s">
        <v>20221</v>
      </c>
      <c r="I14580" s="11" t="s">
        <v>11374</v>
      </c>
      <c r="J14580" s="1285"/>
      <c r="K14580" s="1285"/>
      <c r="L14580" s="1285"/>
    </row>
    <row r="14581" spans="1:12" ht="9" customHeight="1">
      <c r="A14581" s="129" t="s">
        <v>23500</v>
      </c>
      <c r="B14581" s="59" t="s">
        <v>21525</v>
      </c>
      <c r="C14581" s="147" t="s">
        <v>20221</v>
      </c>
      <c r="D14581" s="701" t="s">
        <v>1129</v>
      </c>
      <c r="E14581" s="178">
        <v>2020</v>
      </c>
      <c r="F14581" s="178" t="s">
        <v>4520</v>
      </c>
      <c r="G14581" s="496"/>
      <c r="H14581" s="994" t="s">
        <v>20221</v>
      </c>
      <c r="I14581" s="11" t="s">
        <v>9584</v>
      </c>
      <c r="J14581" s="1285"/>
      <c r="K14581" s="1285"/>
      <c r="L14581" s="1285"/>
    </row>
    <row r="14582" spans="1:12" ht="9" customHeight="1">
      <c r="A14582" s="129" t="s">
        <v>23501</v>
      </c>
      <c r="B14582" s="59" t="s">
        <v>21317</v>
      </c>
      <c r="C14582" s="147" t="s">
        <v>20221</v>
      </c>
      <c r="D14582" s="701" t="s">
        <v>1129</v>
      </c>
      <c r="E14582" s="178">
        <v>2023</v>
      </c>
      <c r="F14582" s="178" t="s">
        <v>4520</v>
      </c>
      <c r="G14582" s="496"/>
      <c r="H14582" s="994" t="s">
        <v>20221</v>
      </c>
      <c r="I14582" s="11" t="s">
        <v>8368</v>
      </c>
      <c r="J14582" s="1285"/>
      <c r="K14582" s="1285"/>
      <c r="L14582" s="1285"/>
    </row>
    <row r="14583" spans="1:12" ht="9" customHeight="1">
      <c r="A14583" s="129" t="s">
        <v>23531</v>
      </c>
      <c r="B14583" s="59" t="s">
        <v>22767</v>
      </c>
      <c r="C14583" s="147" t="s">
        <v>20221</v>
      </c>
      <c r="D14583" s="701" t="s">
        <v>1129</v>
      </c>
      <c r="E14583" s="178">
        <v>2019</v>
      </c>
      <c r="F14583" s="178" t="s">
        <v>4520</v>
      </c>
      <c r="G14583" s="496"/>
      <c r="H14583" s="994" t="s">
        <v>20221</v>
      </c>
      <c r="I14583" s="11" t="s">
        <v>16319</v>
      </c>
      <c r="J14583" s="1285"/>
      <c r="K14583" s="1285"/>
      <c r="L14583" s="1285"/>
    </row>
    <row r="14584" spans="1:12" ht="9" customHeight="1">
      <c r="A14584" s="129" t="s">
        <v>23502</v>
      </c>
      <c r="B14584" s="59" t="s">
        <v>21428</v>
      </c>
      <c r="C14584" s="147" t="s">
        <v>20221</v>
      </c>
      <c r="D14584" s="701" t="s">
        <v>1129</v>
      </c>
      <c r="E14584" s="178">
        <v>2024</v>
      </c>
      <c r="F14584" s="178" t="s">
        <v>4520</v>
      </c>
      <c r="G14584" s="496"/>
      <c r="H14584" s="994" t="s">
        <v>20221</v>
      </c>
      <c r="I14584" s="11" t="s">
        <v>23303</v>
      </c>
      <c r="J14584" s="1285"/>
      <c r="K14584" s="1285"/>
      <c r="L14584" s="1285"/>
    </row>
    <row r="14585" spans="1:12" ht="9" customHeight="1">
      <c r="A14585" s="129" t="s">
        <v>23532</v>
      </c>
      <c r="B14585" s="59" t="s">
        <v>22155</v>
      </c>
      <c r="C14585" s="147" t="s">
        <v>20221</v>
      </c>
      <c r="D14585" s="701" t="s">
        <v>1129</v>
      </c>
      <c r="E14585" s="178">
        <v>2022</v>
      </c>
      <c r="F14585" s="178" t="s">
        <v>4520</v>
      </c>
      <c r="G14585" s="496"/>
      <c r="H14585" s="994" t="s">
        <v>20221</v>
      </c>
      <c r="I14585" s="11" t="s">
        <v>13650</v>
      </c>
      <c r="J14585" s="1285"/>
      <c r="K14585" s="1285"/>
      <c r="L14585" s="1285"/>
    </row>
    <row r="14586" spans="1:12" ht="9" customHeight="1">
      <c r="A14586" s="129" t="s">
        <v>23532</v>
      </c>
      <c r="B14586" s="59" t="s">
        <v>22154</v>
      </c>
      <c r="C14586" s="147" t="s">
        <v>20221</v>
      </c>
      <c r="D14586" s="701" t="s">
        <v>1129</v>
      </c>
      <c r="E14586" s="178">
        <v>2022</v>
      </c>
      <c r="F14586" s="178" t="s">
        <v>4520</v>
      </c>
      <c r="G14586" s="496"/>
      <c r="H14586" s="994" t="s">
        <v>20221</v>
      </c>
      <c r="I14586" s="11" t="s">
        <v>13648</v>
      </c>
      <c r="J14586" s="1285"/>
      <c r="K14586" s="1285"/>
      <c r="L14586" s="1285"/>
    </row>
    <row r="14587" spans="1:12" ht="9" customHeight="1">
      <c r="A14587" s="129" t="s">
        <v>23533</v>
      </c>
      <c r="B14587" s="59" t="s">
        <v>22480</v>
      </c>
      <c r="C14587" s="147" t="s">
        <v>20221</v>
      </c>
      <c r="D14587" s="701" t="s">
        <v>1129</v>
      </c>
      <c r="E14587" s="178">
        <v>2023</v>
      </c>
      <c r="F14587" s="178" t="s">
        <v>4520</v>
      </c>
      <c r="G14587" s="496"/>
      <c r="H14587" s="994" t="s">
        <v>20221</v>
      </c>
      <c r="I14587" s="11" t="s">
        <v>15393</v>
      </c>
      <c r="J14587" s="1285"/>
      <c r="K14587" s="1285"/>
      <c r="L14587" s="1285"/>
    </row>
    <row r="14588" spans="1:12" ht="24" customHeight="1">
      <c r="A14588" s="910" t="s">
        <v>18868</v>
      </c>
      <c r="B14588" s="893" t="s">
        <v>18880</v>
      </c>
      <c r="C14588" s="321"/>
      <c r="D14588" s="911"/>
      <c r="E14588" s="339"/>
      <c r="F14588" s="1096"/>
      <c r="G14588" s="1113"/>
      <c r="H14588" s="895"/>
      <c r="I14588" s="11"/>
    </row>
    <row r="14589" spans="1:12" ht="11.15" customHeight="1">
      <c r="A14589" s="871"/>
      <c r="B14589" s="896" t="s">
        <v>18846</v>
      </c>
      <c r="C14589" s="897"/>
      <c r="D14589" s="898"/>
      <c r="E14589" s="899"/>
      <c r="F14589" s="899"/>
      <c r="G14589" s="900"/>
      <c r="H14589" s="899"/>
      <c r="I14589" s="11"/>
    </row>
    <row r="14590" spans="1:12" ht="9" customHeight="1">
      <c r="A14590" s="330" t="s">
        <v>23494</v>
      </c>
      <c r="B14590" s="324" t="s">
        <v>21647</v>
      </c>
      <c r="C14590" s="321" t="s">
        <v>20221</v>
      </c>
      <c r="D14590" s="1297" t="s">
        <v>1129</v>
      </c>
      <c r="E14590" s="578">
        <v>2020</v>
      </c>
      <c r="F14590" s="578" t="s">
        <v>23395</v>
      </c>
      <c r="G14590" s="1204"/>
      <c r="H14590" s="1296" t="s">
        <v>20465</v>
      </c>
      <c r="I14590" s="11" t="s">
        <v>10229</v>
      </c>
      <c r="J14590" s="1285"/>
      <c r="K14590" s="1285"/>
      <c r="L14590" s="1285"/>
    </row>
    <row r="14591" spans="1:12" ht="9" customHeight="1">
      <c r="A14591" s="330" t="s">
        <v>23534</v>
      </c>
      <c r="B14591" s="324" t="s">
        <v>22309</v>
      </c>
      <c r="C14591" s="321" t="s">
        <v>20221</v>
      </c>
      <c r="D14591" s="1297" t="s">
        <v>1129</v>
      </c>
      <c r="E14591" s="578">
        <v>2020</v>
      </c>
      <c r="F14591" s="578" t="s">
        <v>4520</v>
      </c>
      <c r="G14591" s="1204"/>
      <c r="H14591" s="1296" t="s">
        <v>20277</v>
      </c>
      <c r="I14591" s="11" t="s">
        <v>14516</v>
      </c>
      <c r="J14591" s="1285"/>
      <c r="K14591" s="1285"/>
      <c r="L14591" s="1285"/>
    </row>
    <row r="14592" spans="1:12" ht="9" customHeight="1">
      <c r="A14592" s="330" t="s">
        <v>23463</v>
      </c>
      <c r="B14592" s="324" t="s">
        <v>20464</v>
      </c>
      <c r="C14592" s="321" t="s">
        <v>20221</v>
      </c>
      <c r="D14592" s="1297" t="s">
        <v>1129</v>
      </c>
      <c r="E14592" s="578">
        <v>2018</v>
      </c>
      <c r="F14592" s="578" t="s">
        <v>4520</v>
      </c>
      <c r="G14592" s="1204"/>
      <c r="H14592" s="1296" t="s">
        <v>20465</v>
      </c>
      <c r="I14592" s="11" t="s">
        <v>1423</v>
      </c>
      <c r="J14592" s="1285"/>
      <c r="K14592" s="1285"/>
      <c r="L14592" s="1285"/>
    </row>
    <row r="14593" spans="1:12" ht="9" customHeight="1">
      <c r="A14593" s="330" t="s">
        <v>23535</v>
      </c>
      <c r="B14593" s="324" t="s">
        <v>22273</v>
      </c>
      <c r="C14593" s="321" t="s">
        <v>20221</v>
      </c>
      <c r="D14593" s="1297" t="s">
        <v>1129</v>
      </c>
      <c r="E14593" s="578">
        <v>2021</v>
      </c>
      <c r="F14593" s="578" t="s">
        <v>23395</v>
      </c>
      <c r="G14593" s="1204"/>
      <c r="H14593" s="1296" t="s">
        <v>20465</v>
      </c>
      <c r="I14593" s="11" t="s">
        <v>14313</v>
      </c>
      <c r="J14593" s="1285"/>
      <c r="K14593" s="1285"/>
      <c r="L14593" s="1285"/>
    </row>
    <row r="14594" spans="1:12" ht="9" customHeight="1">
      <c r="A14594" s="330" t="s">
        <v>23536</v>
      </c>
      <c r="B14594" s="324" t="s">
        <v>22779</v>
      </c>
      <c r="C14594" s="321" t="s">
        <v>20221</v>
      </c>
      <c r="D14594" s="1297" t="s">
        <v>1129</v>
      </c>
      <c r="E14594" s="578">
        <v>2021</v>
      </c>
      <c r="F14594" s="578" t="s">
        <v>4520</v>
      </c>
      <c r="G14594" s="1204"/>
      <c r="H14594" s="1296" t="s">
        <v>20465</v>
      </c>
      <c r="I14594" s="11" t="s">
        <v>16409</v>
      </c>
      <c r="J14594" s="1285"/>
      <c r="K14594" s="1285"/>
      <c r="L14594" s="1285"/>
    </row>
    <row r="14595" spans="1:12" ht="9" customHeight="1" thickBot="1">
      <c r="A14595" s="330" t="s">
        <v>23508</v>
      </c>
      <c r="B14595" s="324" t="s">
        <v>21977</v>
      </c>
      <c r="C14595" s="321" t="s">
        <v>20221</v>
      </c>
      <c r="D14595" s="1297" t="s">
        <v>1129</v>
      </c>
      <c r="E14595" s="578">
        <v>2022</v>
      </c>
      <c r="F14595" s="578" t="s">
        <v>4520</v>
      </c>
      <c r="G14595" s="1204"/>
      <c r="H14595" s="1296" t="s">
        <v>20465</v>
      </c>
      <c r="I14595" s="11" t="s">
        <v>12325</v>
      </c>
      <c r="J14595" s="1285"/>
      <c r="K14595" s="1285"/>
      <c r="L14595" s="1285"/>
    </row>
    <row r="14596" spans="1:12" ht="24" customHeight="1" thickBot="1">
      <c r="A14596" s="234"/>
      <c r="B14596" s="64" t="s">
        <v>23733</v>
      </c>
      <c r="C14596" s="170"/>
      <c r="D14596" s="139"/>
      <c r="E14596" s="874"/>
      <c r="F14596" s="1094"/>
      <c r="G14596" s="1094"/>
      <c r="H14596" s="875"/>
      <c r="I14596" s="11"/>
    </row>
    <row r="14597" spans="1:12" ht="24" customHeight="1">
      <c r="A14597" s="904" t="s">
        <v>18868</v>
      </c>
      <c r="B14597" s="891" t="s">
        <v>18881</v>
      </c>
      <c r="C14597" s="147"/>
      <c r="D14597" s="231"/>
      <c r="E14597" s="177"/>
      <c r="F14597" s="1095"/>
      <c r="G14597" s="908"/>
      <c r="H14597" s="890"/>
      <c r="I14597" s="11"/>
    </row>
    <row r="14598" spans="1:12" ht="9" customHeight="1">
      <c r="A14598" s="129" t="s">
        <v>23496</v>
      </c>
      <c r="B14598" s="59" t="s">
        <v>21615</v>
      </c>
      <c r="C14598" s="147" t="s">
        <v>20221</v>
      </c>
      <c r="D14598" s="1035" t="s">
        <v>1370</v>
      </c>
      <c r="E14598" s="178">
        <v>2022</v>
      </c>
      <c r="F14598" s="178" t="s">
        <v>23395</v>
      </c>
      <c r="G14598" s="496"/>
      <c r="H14598" s="994" t="s">
        <v>20221</v>
      </c>
      <c r="I14598" s="11" t="s">
        <v>10070</v>
      </c>
      <c r="J14598" s="1285"/>
      <c r="K14598" s="1285"/>
      <c r="L14598" s="1285"/>
    </row>
    <row r="14599" spans="1:12" ht="9" customHeight="1">
      <c r="A14599" s="129" t="s">
        <v>23537</v>
      </c>
      <c r="B14599" s="59" t="s">
        <v>22187</v>
      </c>
      <c r="C14599" s="147" t="s">
        <v>20221</v>
      </c>
      <c r="D14599" s="701" t="s">
        <v>7355</v>
      </c>
      <c r="E14599" s="178">
        <v>2013</v>
      </c>
      <c r="F14599" s="178" t="s">
        <v>4520</v>
      </c>
      <c r="G14599" s="496"/>
      <c r="H14599" s="994" t="s">
        <v>20221</v>
      </c>
      <c r="I14599" s="11" t="s">
        <v>13809</v>
      </c>
      <c r="J14599" s="1285"/>
      <c r="K14599" s="1285"/>
      <c r="L14599" s="1285"/>
    </row>
    <row r="14600" spans="1:12" ht="9" customHeight="1">
      <c r="A14600" s="285" t="s">
        <v>23538</v>
      </c>
      <c r="B14600" s="59" t="s">
        <v>22010</v>
      </c>
      <c r="C14600" s="147" t="s">
        <v>20221</v>
      </c>
      <c r="D14600" s="1035" t="s">
        <v>1370</v>
      </c>
      <c r="E14600" s="178">
        <v>2018</v>
      </c>
      <c r="F14600" s="178" t="s">
        <v>23395</v>
      </c>
      <c r="G14600" s="496"/>
      <c r="H14600" s="994" t="s">
        <v>20221</v>
      </c>
      <c r="I14600" s="11" t="s">
        <v>12463</v>
      </c>
      <c r="J14600" s="1285"/>
      <c r="K14600" s="1285"/>
      <c r="L14600" s="1285"/>
    </row>
    <row r="14601" spans="1:12" ht="9" customHeight="1">
      <c r="A14601" s="129" t="s">
        <v>23539</v>
      </c>
      <c r="B14601" s="59" t="s">
        <v>21968</v>
      </c>
      <c r="C14601" s="147" t="s">
        <v>20221</v>
      </c>
      <c r="D14601" s="701" t="s">
        <v>12276</v>
      </c>
      <c r="E14601" s="178">
        <v>2016</v>
      </c>
      <c r="F14601" s="178" t="s">
        <v>4520</v>
      </c>
      <c r="G14601" s="496"/>
      <c r="H14601" s="994" t="s">
        <v>20277</v>
      </c>
      <c r="I14601" s="11" t="s">
        <v>12279</v>
      </c>
      <c r="J14601" s="1285"/>
      <c r="K14601" s="1285"/>
      <c r="L14601" s="1285"/>
    </row>
    <row r="14602" spans="1:12" ht="9" customHeight="1">
      <c r="A14602" s="129" t="s">
        <v>23540</v>
      </c>
      <c r="B14602" s="59" t="s">
        <v>21709</v>
      </c>
      <c r="C14602" s="147" t="s">
        <v>20221</v>
      </c>
      <c r="D14602" s="701" t="s">
        <v>7355</v>
      </c>
      <c r="E14602" s="178">
        <v>2015</v>
      </c>
      <c r="F14602" s="178" t="s">
        <v>23395</v>
      </c>
      <c r="G14602" s="496"/>
      <c r="H14602" s="994" t="s">
        <v>20221</v>
      </c>
      <c r="I14602" s="11" t="s">
        <v>10548</v>
      </c>
      <c r="J14602" s="1285"/>
      <c r="K14602" s="1285"/>
      <c r="L14602" s="1285"/>
    </row>
    <row r="14603" spans="1:12" ht="9" customHeight="1">
      <c r="A14603" s="129" t="s">
        <v>23526</v>
      </c>
      <c r="B14603" s="59" t="s">
        <v>22893</v>
      </c>
      <c r="C14603" s="147" t="s">
        <v>20221</v>
      </c>
      <c r="D14603" s="1035" t="s">
        <v>1370</v>
      </c>
      <c r="E14603" s="178">
        <v>2021</v>
      </c>
      <c r="F14603" s="178" t="s">
        <v>4520</v>
      </c>
      <c r="G14603" s="496"/>
      <c r="H14603" s="994" t="s">
        <v>20221</v>
      </c>
      <c r="I14603" s="11" t="s">
        <v>17313</v>
      </c>
      <c r="J14603" s="1285"/>
      <c r="K14603" s="1285"/>
      <c r="L14603" s="1285"/>
    </row>
    <row r="14604" spans="1:12" ht="11.15" customHeight="1">
      <c r="A14604" s="129" t="s">
        <v>23541</v>
      </c>
      <c r="B14604" s="59" t="s">
        <v>22305</v>
      </c>
      <c r="C14604" s="147" t="s">
        <v>23393</v>
      </c>
      <c r="D14604" s="1035" t="s">
        <v>1370</v>
      </c>
      <c r="E14604" s="178">
        <v>2019</v>
      </c>
      <c r="F14604" s="178" t="s">
        <v>4520</v>
      </c>
      <c r="G14604" s="496"/>
      <c r="H14604" s="994" t="s">
        <v>20221</v>
      </c>
      <c r="I14604" s="11" t="s">
        <v>14486</v>
      </c>
      <c r="J14604" s="1285"/>
      <c r="K14604" s="1285"/>
      <c r="L14604" s="1285"/>
    </row>
    <row r="14605" spans="1:12" ht="9" customHeight="1">
      <c r="A14605" s="424" t="s">
        <v>23519</v>
      </c>
      <c r="B14605" s="59" t="s">
        <v>22262</v>
      </c>
      <c r="C14605" s="147" t="s">
        <v>20221</v>
      </c>
      <c r="D14605" s="701" t="s">
        <v>14940</v>
      </c>
      <c r="E14605" s="178">
        <v>2020</v>
      </c>
      <c r="F14605" s="178" t="s">
        <v>23410</v>
      </c>
      <c r="G14605" s="496"/>
      <c r="H14605" s="994" t="s">
        <v>20221</v>
      </c>
      <c r="I14605" s="11" t="s">
        <v>14247</v>
      </c>
      <c r="J14605" s="1285"/>
      <c r="K14605" s="1285"/>
      <c r="L14605" s="1285"/>
    </row>
    <row r="14606" spans="1:12" ht="24" customHeight="1">
      <c r="A14606" s="904" t="s">
        <v>18868</v>
      </c>
      <c r="B14606" s="888" t="s">
        <v>18852</v>
      </c>
      <c r="C14606" s="147"/>
      <c r="D14606" s="231"/>
      <c r="E14606" s="177"/>
      <c r="F14606" s="1095"/>
      <c r="G14606" s="908"/>
      <c r="H14606" s="890"/>
      <c r="I14606" s="11"/>
    </row>
    <row r="14607" spans="1:12" ht="9" customHeight="1">
      <c r="A14607" s="129" t="s">
        <v>23494</v>
      </c>
      <c r="B14607" s="59" t="s">
        <v>21645</v>
      </c>
      <c r="C14607" s="147" t="s">
        <v>23393</v>
      </c>
      <c r="D14607" s="1034" t="s">
        <v>2573</v>
      </c>
      <c r="E14607" s="178">
        <v>2024</v>
      </c>
      <c r="F14607" s="178" t="s">
        <v>23395</v>
      </c>
      <c r="G14607" s="496"/>
      <c r="H14607" s="994" t="s">
        <v>20221</v>
      </c>
      <c r="I14607" s="11" t="s">
        <v>10219</v>
      </c>
      <c r="J14607" s="1285"/>
      <c r="K14607" s="1285"/>
      <c r="L14607" s="1285"/>
    </row>
    <row r="14608" spans="1:12" ht="9" customHeight="1">
      <c r="A14608" s="129" t="s">
        <v>23534</v>
      </c>
      <c r="B14608" s="59" t="s">
        <v>22310</v>
      </c>
      <c r="C14608" s="147" t="s">
        <v>20221</v>
      </c>
      <c r="D14608" s="1034" t="s">
        <v>2573</v>
      </c>
      <c r="E14608" s="178">
        <v>2024</v>
      </c>
      <c r="F14608" s="178" t="s">
        <v>4520</v>
      </c>
      <c r="G14608" s="496"/>
      <c r="H14608" s="994" t="s">
        <v>20221</v>
      </c>
      <c r="I14608" s="11" t="s">
        <v>14518</v>
      </c>
      <c r="J14608" s="1285"/>
      <c r="K14608" s="1285"/>
      <c r="L14608" s="1285"/>
    </row>
    <row r="14609" spans="1:12" ht="9" customHeight="1">
      <c r="A14609" s="129" t="s">
        <v>23463</v>
      </c>
      <c r="B14609" s="59" t="s">
        <v>20466</v>
      </c>
      <c r="C14609" s="147" t="s">
        <v>20221</v>
      </c>
      <c r="D14609" s="1034" t="s">
        <v>2573</v>
      </c>
      <c r="E14609" s="178">
        <v>2013</v>
      </c>
      <c r="F14609" s="178" t="s">
        <v>4520</v>
      </c>
      <c r="G14609" s="496"/>
      <c r="H14609" s="994" t="s">
        <v>20465</v>
      </c>
      <c r="I14609" s="11" t="s">
        <v>2576</v>
      </c>
      <c r="J14609" s="1285"/>
      <c r="K14609" s="1285"/>
      <c r="L14609" s="1285"/>
    </row>
    <row r="14610" spans="1:12" ht="9" customHeight="1">
      <c r="A14610" s="129" t="s">
        <v>23507</v>
      </c>
      <c r="B14610" s="59" t="s">
        <v>22007</v>
      </c>
      <c r="C14610" s="147" t="s">
        <v>20221</v>
      </c>
      <c r="D14610" s="1034" t="s">
        <v>2573</v>
      </c>
      <c r="E14610" s="178">
        <v>2022</v>
      </c>
      <c r="F14610" s="178" t="s">
        <v>4520</v>
      </c>
      <c r="G14610" s="496"/>
      <c r="H14610" s="994" t="s">
        <v>20221</v>
      </c>
      <c r="I14610" s="11" t="s">
        <v>12459</v>
      </c>
      <c r="J14610" s="1285"/>
      <c r="K14610" s="1285"/>
      <c r="L14610" s="1285"/>
    </row>
    <row r="14611" spans="1:12" ht="9" customHeight="1">
      <c r="A14611" s="129" t="s">
        <v>23542</v>
      </c>
      <c r="B14611" s="59" t="s">
        <v>21649</v>
      </c>
      <c r="C14611" s="147" t="s">
        <v>20221</v>
      </c>
      <c r="D14611" s="1034" t="s">
        <v>2573</v>
      </c>
      <c r="E14611" s="178">
        <v>2023</v>
      </c>
      <c r="F14611" s="178" t="s">
        <v>4520</v>
      </c>
      <c r="G14611" s="496"/>
      <c r="H14611" s="994" t="s">
        <v>20221</v>
      </c>
      <c r="I14611" s="11" t="s">
        <v>10240</v>
      </c>
      <c r="J14611" s="1285"/>
      <c r="K14611" s="1285"/>
      <c r="L14611" s="1285"/>
    </row>
    <row r="14612" spans="1:12" ht="9" customHeight="1">
      <c r="A14612" s="129" t="s">
        <v>23496</v>
      </c>
      <c r="B14612" s="59" t="s">
        <v>21616</v>
      </c>
      <c r="C14612" s="147" t="s">
        <v>20221</v>
      </c>
      <c r="D14612" s="1034" t="s">
        <v>2573</v>
      </c>
      <c r="E14612" s="178">
        <v>2021</v>
      </c>
      <c r="F14612" s="178" t="s">
        <v>4520</v>
      </c>
      <c r="G14612" s="496"/>
      <c r="H14612" s="994" t="s">
        <v>20221</v>
      </c>
      <c r="I14612" s="11" t="s">
        <v>10072</v>
      </c>
      <c r="J14612" s="1285"/>
      <c r="K14612" s="1285"/>
      <c r="L14612" s="1285"/>
    </row>
    <row r="14613" spans="1:12" ht="9" customHeight="1">
      <c r="A14613" s="129" t="s">
        <v>23523</v>
      </c>
      <c r="B14613" s="59" t="s">
        <v>22490</v>
      </c>
      <c r="C14613" s="147" t="s">
        <v>20221</v>
      </c>
      <c r="D14613" s="1034" t="s">
        <v>2573</v>
      </c>
      <c r="E14613" s="178">
        <v>2022</v>
      </c>
      <c r="F14613" s="178" t="s">
        <v>4520</v>
      </c>
      <c r="G14613" s="496"/>
      <c r="H14613" s="994" t="s">
        <v>20221</v>
      </c>
      <c r="I14613" s="11" t="s">
        <v>15424</v>
      </c>
      <c r="J14613" s="1285"/>
      <c r="K14613" s="1285"/>
      <c r="L14613" s="1285"/>
    </row>
    <row r="14614" spans="1:12" ht="9" customHeight="1">
      <c r="A14614" s="129" t="s">
        <v>23543</v>
      </c>
      <c r="B14614" s="59" t="s">
        <v>22328</v>
      </c>
      <c r="C14614" s="147" t="s">
        <v>20221</v>
      </c>
      <c r="D14614" s="1034" t="s">
        <v>2573</v>
      </c>
      <c r="E14614" s="178">
        <v>2022</v>
      </c>
      <c r="F14614" s="178" t="s">
        <v>4520</v>
      </c>
      <c r="G14614" s="496"/>
      <c r="H14614" s="994" t="s">
        <v>20221</v>
      </c>
      <c r="I14614" s="11" t="s">
        <v>14601</v>
      </c>
      <c r="J14614" s="1285"/>
      <c r="K14614" s="1285"/>
      <c r="L14614" s="1285"/>
    </row>
    <row r="14615" spans="1:12" ht="9" customHeight="1">
      <c r="A14615" s="129" t="s">
        <v>23540</v>
      </c>
      <c r="B14615" s="59" t="s">
        <v>21710</v>
      </c>
      <c r="C14615" s="147" t="s">
        <v>20221</v>
      </c>
      <c r="D14615" s="1034" t="s">
        <v>2573</v>
      </c>
      <c r="E14615" s="178">
        <v>2015</v>
      </c>
      <c r="F14615" s="178" t="s">
        <v>23395</v>
      </c>
      <c r="G14615" s="496"/>
      <c r="H14615" s="994" t="s">
        <v>20221</v>
      </c>
      <c r="I14615" s="11" t="s">
        <v>10550</v>
      </c>
      <c r="J14615" s="1285"/>
      <c r="K14615" s="1285"/>
      <c r="L14615" s="1285"/>
    </row>
    <row r="14616" spans="1:12" ht="9" customHeight="1">
      <c r="A14616" s="129" t="s">
        <v>23533</v>
      </c>
      <c r="B14616" s="59" t="s">
        <v>22478</v>
      </c>
      <c r="C14616" s="147" t="s">
        <v>20221</v>
      </c>
      <c r="D14616" s="1034" t="s">
        <v>2573</v>
      </c>
      <c r="E14616" s="178">
        <v>2021</v>
      </c>
      <c r="F14616" s="178" t="s">
        <v>4520</v>
      </c>
      <c r="G14616" s="496"/>
      <c r="H14616" s="994" t="s">
        <v>20221</v>
      </c>
      <c r="I14616" s="11" t="s">
        <v>15382</v>
      </c>
      <c r="J14616" s="1285"/>
      <c r="K14616" s="1285"/>
      <c r="L14616" s="1285"/>
    </row>
    <row r="14617" spans="1:12" ht="9" customHeight="1">
      <c r="A14617" s="129" t="s">
        <v>23499</v>
      </c>
      <c r="B14617" s="59" t="s">
        <v>21688</v>
      </c>
      <c r="C14617" s="147" t="s">
        <v>23393</v>
      </c>
      <c r="D14617" s="1034" t="s">
        <v>2573</v>
      </c>
      <c r="E14617" s="178">
        <v>2023</v>
      </c>
      <c r="F14617" s="178" t="s">
        <v>4520</v>
      </c>
      <c r="G14617" s="496"/>
      <c r="H14617" s="994" t="s">
        <v>20221</v>
      </c>
      <c r="I14617" s="11" t="s">
        <v>10380</v>
      </c>
      <c r="J14617" s="1285"/>
      <c r="K14617" s="1285"/>
      <c r="L14617" s="1285"/>
    </row>
    <row r="14618" spans="1:12" ht="9" customHeight="1">
      <c r="A14618" s="129" t="s">
        <v>23544</v>
      </c>
      <c r="B14618" s="59" t="s">
        <v>21435</v>
      </c>
      <c r="C14618" s="147" t="s">
        <v>20221</v>
      </c>
      <c r="D14618" s="1034" t="s">
        <v>2573</v>
      </c>
      <c r="E14618" s="178">
        <v>2022</v>
      </c>
      <c r="F14618" s="178" t="s">
        <v>4520</v>
      </c>
      <c r="G14618" s="496"/>
      <c r="H14618" s="994" t="s">
        <v>20221</v>
      </c>
      <c r="I14618" s="11" t="s">
        <v>8974</v>
      </c>
      <c r="J14618" s="1285"/>
      <c r="K14618" s="1285"/>
      <c r="L14618" s="1285"/>
    </row>
    <row r="14619" spans="1:12" ht="9" customHeight="1">
      <c r="A14619" s="129" t="s">
        <v>23545</v>
      </c>
      <c r="B14619" s="59" t="s">
        <v>22214</v>
      </c>
      <c r="C14619" s="147" t="s">
        <v>20221</v>
      </c>
      <c r="D14619" s="1034" t="s">
        <v>2573</v>
      </c>
      <c r="E14619" s="178">
        <v>2024</v>
      </c>
      <c r="F14619" s="178" t="s">
        <v>4520</v>
      </c>
      <c r="G14619" s="496"/>
      <c r="H14619" s="994" t="s">
        <v>20221</v>
      </c>
      <c r="I14619" s="11" t="s">
        <v>13937</v>
      </c>
      <c r="J14619" s="1285"/>
      <c r="K14619" s="1285"/>
      <c r="L14619" s="1285"/>
    </row>
    <row r="14620" spans="1:12" ht="11.15" customHeight="1">
      <c r="A14620" s="129" t="s">
        <v>23546</v>
      </c>
      <c r="B14620" s="59" t="s">
        <v>20808</v>
      </c>
      <c r="C14620" s="147" t="s">
        <v>20221</v>
      </c>
      <c r="D14620" s="1034" t="s">
        <v>2573</v>
      </c>
      <c r="E14620" s="178">
        <v>2022</v>
      </c>
      <c r="F14620" s="178" t="s">
        <v>4520</v>
      </c>
      <c r="G14620" s="496"/>
      <c r="H14620" s="994" t="s">
        <v>20221</v>
      </c>
      <c r="I14620" s="11" t="s">
        <v>4820</v>
      </c>
      <c r="J14620" s="1285"/>
      <c r="K14620" s="1285"/>
      <c r="L14620" s="1285"/>
    </row>
    <row r="14621" spans="1:12" ht="24" customHeight="1">
      <c r="A14621" s="910" t="s">
        <v>18868</v>
      </c>
      <c r="B14621" s="893" t="s">
        <v>18882</v>
      </c>
      <c r="C14621" s="321"/>
      <c r="D14621" s="911"/>
      <c r="E14621" s="339"/>
      <c r="F14621" s="1096"/>
      <c r="G14621" s="1113"/>
      <c r="H14621" s="895"/>
      <c r="I14621" s="11"/>
    </row>
    <row r="14622" spans="1:12" ht="11.15" customHeight="1">
      <c r="A14622" s="871"/>
      <c r="B14622" s="896" t="s">
        <v>18846</v>
      </c>
      <c r="C14622" s="897"/>
      <c r="D14622" s="898"/>
      <c r="E14622" s="899"/>
      <c r="F14622" s="899"/>
      <c r="G14622" s="900"/>
      <c r="H14622" s="899"/>
      <c r="I14622" s="11"/>
    </row>
    <row r="14623" spans="1:12" ht="9" customHeight="1">
      <c r="A14623" s="912"/>
      <c r="B14623" s="344" t="s">
        <v>18883</v>
      </c>
      <c r="C14623" s="897"/>
      <c r="D14623" s="913"/>
      <c r="E14623" s="914"/>
      <c r="F14623" s="914"/>
      <c r="G14623" s="915"/>
      <c r="H14623" s="914"/>
      <c r="I14623" s="11"/>
    </row>
    <row r="14624" spans="1:12" ht="9" customHeight="1">
      <c r="A14624" s="330" t="s">
        <v>23463</v>
      </c>
      <c r="B14624" s="324" t="s">
        <v>20466</v>
      </c>
      <c r="C14624" s="321" t="s">
        <v>20221</v>
      </c>
      <c r="D14624" s="1036" t="s">
        <v>2573</v>
      </c>
      <c r="E14624" s="578">
        <v>2021</v>
      </c>
      <c r="F14624" s="578" t="s">
        <v>4520</v>
      </c>
      <c r="G14624" s="1204"/>
      <c r="H14624" s="1296" t="s">
        <v>20277</v>
      </c>
      <c r="I14624" s="11" t="s">
        <v>2574</v>
      </c>
      <c r="J14624" s="1285"/>
      <c r="K14624" s="1285"/>
      <c r="L14624" s="1285"/>
    </row>
    <row r="14625" spans="1:12" ht="9" customHeight="1" thickBot="1">
      <c r="A14625" s="330" t="s">
        <v>23536</v>
      </c>
      <c r="B14625" s="324" t="s">
        <v>22780</v>
      </c>
      <c r="C14625" s="321" t="s">
        <v>20221</v>
      </c>
      <c r="D14625" s="1036" t="s">
        <v>2573</v>
      </c>
      <c r="E14625" s="578">
        <v>2022</v>
      </c>
      <c r="F14625" s="578" t="s">
        <v>4520</v>
      </c>
      <c r="G14625" s="1204"/>
      <c r="H14625" s="1296" t="s">
        <v>20465</v>
      </c>
      <c r="I14625" s="11" t="s">
        <v>16411</v>
      </c>
      <c r="J14625" s="1285"/>
      <c r="K14625" s="1285"/>
      <c r="L14625" s="1285"/>
    </row>
    <row r="14626" spans="1:12" ht="24" customHeight="1" thickBot="1">
      <c r="A14626" s="234"/>
      <c r="B14626" s="64" t="s">
        <v>23734</v>
      </c>
      <c r="C14626" s="170"/>
      <c r="D14626" s="139"/>
      <c r="E14626" s="874"/>
      <c r="F14626" s="1094"/>
      <c r="G14626" s="1094"/>
      <c r="H14626" s="875"/>
      <c r="I14626" s="11"/>
    </row>
    <row r="14627" spans="1:12" ht="24" customHeight="1">
      <c r="A14627" s="904" t="s">
        <v>18868</v>
      </c>
      <c r="B14627" s="888" t="s">
        <v>18884</v>
      </c>
      <c r="C14627" s="147"/>
      <c r="D14627" s="231"/>
      <c r="E14627" s="177"/>
      <c r="F14627" s="1095"/>
      <c r="G14627" s="1114"/>
      <c r="H14627" s="890"/>
      <c r="I14627" s="11"/>
    </row>
    <row r="14628" spans="1:12" ht="9" customHeight="1">
      <c r="A14628" s="129" t="s">
        <v>23496</v>
      </c>
      <c r="B14628" s="59" t="s">
        <v>21617</v>
      </c>
      <c r="C14628" s="147" t="s">
        <v>20221</v>
      </c>
      <c r="D14628" s="284" t="s">
        <v>897</v>
      </c>
      <c r="E14628" s="178">
        <v>2020</v>
      </c>
      <c r="F14628" s="178" t="s">
        <v>23395</v>
      </c>
      <c r="G14628" s="496"/>
      <c r="H14628" s="994" t="s">
        <v>20221</v>
      </c>
      <c r="I14628" s="11" t="s">
        <v>10074</v>
      </c>
      <c r="J14628" s="1285"/>
      <c r="K14628" s="1285"/>
      <c r="L14628" s="1285"/>
    </row>
    <row r="14629" spans="1:12" ht="9" customHeight="1">
      <c r="A14629" s="129" t="s">
        <v>23463</v>
      </c>
      <c r="B14629" s="59" t="s">
        <v>20468</v>
      </c>
      <c r="C14629" s="147" t="s">
        <v>20221</v>
      </c>
      <c r="D14629" s="284" t="s">
        <v>897</v>
      </c>
      <c r="E14629" s="178">
        <v>2019</v>
      </c>
      <c r="F14629" s="178" t="s">
        <v>4520</v>
      </c>
      <c r="G14629" s="496"/>
      <c r="H14629" s="994" t="s">
        <v>20221</v>
      </c>
      <c r="I14629" s="11" t="s">
        <v>2580</v>
      </c>
      <c r="J14629" s="1285"/>
      <c r="K14629" s="1285"/>
      <c r="L14629" s="1285"/>
    </row>
    <row r="14630" spans="1:12" ht="9" customHeight="1">
      <c r="A14630" s="129" t="s">
        <v>23547</v>
      </c>
      <c r="B14630" s="59" t="s">
        <v>20634</v>
      </c>
      <c r="C14630" s="147" t="s">
        <v>20221</v>
      </c>
      <c r="D14630" s="284" t="s">
        <v>897</v>
      </c>
      <c r="E14630" s="178">
        <v>2015</v>
      </c>
      <c r="F14630" s="178" t="s">
        <v>4520</v>
      </c>
      <c r="G14630" s="496"/>
      <c r="H14630" s="994" t="s">
        <v>20221</v>
      </c>
      <c r="I14630" s="11" t="s">
        <v>3856</v>
      </c>
      <c r="J14630" s="1285"/>
      <c r="K14630" s="1285"/>
      <c r="L14630" s="1285"/>
    </row>
    <row r="14631" spans="1:12" ht="9" customHeight="1">
      <c r="A14631" s="129" t="s">
        <v>23548</v>
      </c>
      <c r="B14631" s="59" t="s">
        <v>21371</v>
      </c>
      <c r="C14631" s="147" t="s">
        <v>20221</v>
      </c>
      <c r="D14631" s="284" t="s">
        <v>897</v>
      </c>
      <c r="E14631" s="178">
        <v>2017</v>
      </c>
      <c r="F14631" s="178" t="s">
        <v>4520</v>
      </c>
      <c r="G14631" s="496"/>
      <c r="H14631" s="994" t="s">
        <v>20221</v>
      </c>
      <c r="I14631" s="11" t="s">
        <v>8731</v>
      </c>
      <c r="J14631" s="1285"/>
      <c r="K14631" s="1285"/>
      <c r="L14631" s="1285"/>
    </row>
    <row r="14632" spans="1:12" ht="9" customHeight="1">
      <c r="A14632" s="129" t="s">
        <v>23549</v>
      </c>
      <c r="B14632" s="59" t="s">
        <v>21467</v>
      </c>
      <c r="C14632" s="147" t="s">
        <v>20221</v>
      </c>
      <c r="D14632" s="284" t="s">
        <v>897</v>
      </c>
      <c r="E14632" s="178">
        <v>2019</v>
      </c>
      <c r="F14632" s="178" t="s">
        <v>23395</v>
      </c>
      <c r="G14632" s="496"/>
      <c r="H14632" s="994" t="s">
        <v>20221</v>
      </c>
      <c r="I14632" s="11" t="s">
        <v>9245</v>
      </c>
      <c r="J14632" s="1285"/>
      <c r="K14632" s="1285"/>
      <c r="L14632" s="1285"/>
    </row>
    <row r="14633" spans="1:12" ht="9" customHeight="1">
      <c r="A14633" s="129" t="s">
        <v>23550</v>
      </c>
      <c r="B14633" s="59" t="s">
        <v>21420</v>
      </c>
      <c r="C14633" s="147" t="s">
        <v>20221</v>
      </c>
      <c r="D14633" s="284" t="s">
        <v>897</v>
      </c>
      <c r="E14633" s="178">
        <v>2013</v>
      </c>
      <c r="F14633" s="178" t="s">
        <v>4520</v>
      </c>
      <c r="G14633" s="496"/>
      <c r="H14633" s="994" t="s">
        <v>20465</v>
      </c>
      <c r="I14633" s="11" t="s">
        <v>8934</v>
      </c>
      <c r="J14633" s="1285"/>
      <c r="K14633" s="1285"/>
      <c r="L14633" s="1285"/>
    </row>
    <row r="14634" spans="1:12" ht="9" customHeight="1">
      <c r="A14634" s="129" t="s">
        <v>23551</v>
      </c>
      <c r="B14634" s="59" t="s">
        <v>21653</v>
      </c>
      <c r="C14634" s="147" t="s">
        <v>20221</v>
      </c>
      <c r="D14634" s="284" t="s">
        <v>897</v>
      </c>
      <c r="E14634" s="178">
        <v>2013</v>
      </c>
      <c r="F14634" s="178" t="s">
        <v>4520</v>
      </c>
      <c r="G14634" s="496"/>
      <c r="H14634" s="994" t="s">
        <v>20221</v>
      </c>
      <c r="I14634" s="11" t="s">
        <v>10260</v>
      </c>
      <c r="J14634" s="1285"/>
      <c r="K14634" s="1285"/>
      <c r="L14634" s="1285"/>
    </row>
    <row r="14635" spans="1:12" ht="9" customHeight="1">
      <c r="A14635" s="129" t="s">
        <v>23552</v>
      </c>
      <c r="B14635" s="59" t="s">
        <v>21360</v>
      </c>
      <c r="C14635" s="147" t="s">
        <v>20221</v>
      </c>
      <c r="D14635" s="284" t="s">
        <v>897</v>
      </c>
      <c r="E14635" s="178">
        <v>2017</v>
      </c>
      <c r="F14635" s="178" t="s">
        <v>4520</v>
      </c>
      <c r="G14635" s="496"/>
      <c r="H14635" s="994" t="s">
        <v>20221</v>
      </c>
      <c r="I14635" s="11" t="s">
        <v>8656</v>
      </c>
      <c r="J14635" s="1285"/>
      <c r="K14635" s="1285"/>
      <c r="L14635" s="1285"/>
    </row>
    <row r="14636" spans="1:12" ht="9" customHeight="1">
      <c r="A14636" s="129" t="s">
        <v>23542</v>
      </c>
      <c r="B14636" s="59" t="s">
        <v>21650</v>
      </c>
      <c r="C14636" s="147" t="s">
        <v>20221</v>
      </c>
      <c r="D14636" s="284" t="s">
        <v>897</v>
      </c>
      <c r="E14636" s="178">
        <v>2022</v>
      </c>
      <c r="F14636" s="178" t="s">
        <v>4520</v>
      </c>
      <c r="G14636" s="496"/>
      <c r="H14636" s="994" t="s">
        <v>20221</v>
      </c>
      <c r="I14636" s="11" t="s">
        <v>10242</v>
      </c>
      <c r="J14636" s="1285"/>
      <c r="K14636" s="1285"/>
      <c r="L14636" s="1285"/>
    </row>
    <row r="14637" spans="1:12" ht="9" customHeight="1">
      <c r="A14637" s="129" t="s">
        <v>23553</v>
      </c>
      <c r="B14637" s="59" t="s">
        <v>20473</v>
      </c>
      <c r="C14637" s="147" t="s">
        <v>20221</v>
      </c>
      <c r="D14637" s="284" t="s">
        <v>897</v>
      </c>
      <c r="E14637" s="178">
        <v>2017</v>
      </c>
      <c r="F14637" s="178" t="s">
        <v>23395</v>
      </c>
      <c r="G14637" s="496"/>
      <c r="H14637" s="994" t="s">
        <v>20221</v>
      </c>
      <c r="I14637" s="11" t="s">
        <v>2593</v>
      </c>
      <c r="J14637" s="1285"/>
      <c r="K14637" s="1285"/>
      <c r="L14637" s="1285"/>
    </row>
    <row r="14638" spans="1:12" ht="9" customHeight="1">
      <c r="A14638" s="129" t="s">
        <v>23547</v>
      </c>
      <c r="B14638" s="59" t="s">
        <v>20635</v>
      </c>
      <c r="C14638" s="147" t="s">
        <v>20221</v>
      </c>
      <c r="D14638" s="284" t="s">
        <v>897</v>
      </c>
      <c r="E14638" s="178">
        <v>2019</v>
      </c>
      <c r="F14638" s="178" t="s">
        <v>4520</v>
      </c>
      <c r="G14638" s="496"/>
      <c r="H14638" s="994" t="s">
        <v>20221</v>
      </c>
      <c r="I14638" s="11" t="s">
        <v>3858</v>
      </c>
      <c r="J14638" s="1285"/>
      <c r="K14638" s="1285"/>
      <c r="L14638" s="1285"/>
    </row>
    <row r="14639" spans="1:12" ht="9" customHeight="1">
      <c r="A14639" s="129" t="s">
        <v>23448</v>
      </c>
      <c r="B14639" s="59" t="s">
        <v>21632</v>
      </c>
      <c r="C14639" s="147" t="s">
        <v>23393</v>
      </c>
      <c r="D14639" s="284" t="s">
        <v>897</v>
      </c>
      <c r="E14639" s="178">
        <v>2020</v>
      </c>
      <c r="F14639" s="178" t="s">
        <v>4520</v>
      </c>
      <c r="G14639" s="496"/>
      <c r="H14639" s="994" t="s">
        <v>20221</v>
      </c>
      <c r="I14639" s="11" t="s">
        <v>10171</v>
      </c>
      <c r="J14639" s="1285"/>
      <c r="K14639" s="1285"/>
      <c r="L14639" s="1285"/>
    </row>
    <row r="14640" spans="1:12" ht="9" customHeight="1">
      <c r="A14640" s="129" t="s">
        <v>23550</v>
      </c>
      <c r="B14640" s="59" t="s">
        <v>21421</v>
      </c>
      <c r="C14640" s="147" t="s">
        <v>20221</v>
      </c>
      <c r="D14640" s="284" t="s">
        <v>897</v>
      </c>
      <c r="E14640" s="178">
        <v>2014</v>
      </c>
      <c r="F14640" s="178" t="s">
        <v>4520</v>
      </c>
      <c r="G14640" s="496"/>
      <c r="H14640" s="994" t="s">
        <v>20465</v>
      </c>
      <c r="I14640" s="11" t="s">
        <v>8936</v>
      </c>
      <c r="J14640" s="1285"/>
      <c r="K14640" s="1285"/>
      <c r="L14640" s="1285"/>
    </row>
    <row r="14641" spans="1:12" ht="24" customHeight="1">
      <c r="A14641" s="904" t="s">
        <v>18868</v>
      </c>
      <c r="B14641" s="888" t="s">
        <v>18885</v>
      </c>
      <c r="C14641" s="147"/>
      <c r="D14641" s="231"/>
      <c r="E14641" s="177"/>
      <c r="F14641" s="1095"/>
      <c r="G14641" s="908"/>
      <c r="H14641" s="890"/>
      <c r="I14641" s="11"/>
    </row>
    <row r="14642" spans="1:12" ht="9" customHeight="1">
      <c r="A14642" s="285" t="s">
        <v>23534</v>
      </c>
      <c r="B14642" s="59" t="s">
        <v>22311</v>
      </c>
      <c r="C14642" s="147" t="s">
        <v>20221</v>
      </c>
      <c r="D14642" s="284" t="s">
        <v>897</v>
      </c>
      <c r="E14642" s="178">
        <v>2020</v>
      </c>
      <c r="F14642" s="178" t="s">
        <v>4520</v>
      </c>
      <c r="G14642" s="496"/>
      <c r="H14642" s="994" t="s">
        <v>20221</v>
      </c>
      <c r="I14642" s="11" t="s">
        <v>14520</v>
      </c>
      <c r="J14642" s="1285"/>
      <c r="K14642" s="1285"/>
      <c r="L14642" s="1285"/>
    </row>
    <row r="14643" spans="1:12" ht="9" customHeight="1">
      <c r="A14643" s="285" t="s">
        <v>23554</v>
      </c>
      <c r="B14643" s="59" t="s">
        <v>22320</v>
      </c>
      <c r="C14643" s="147" t="s">
        <v>20221</v>
      </c>
      <c r="D14643" s="284" t="s">
        <v>897</v>
      </c>
      <c r="E14643" s="178">
        <v>2016</v>
      </c>
      <c r="F14643" s="178" t="s">
        <v>4520</v>
      </c>
      <c r="G14643" s="496"/>
      <c r="H14643" s="994" t="s">
        <v>20221</v>
      </c>
      <c r="I14643" s="11" t="s">
        <v>14559</v>
      </c>
      <c r="J14643" s="1285"/>
      <c r="K14643" s="1285"/>
      <c r="L14643" s="1285"/>
    </row>
    <row r="14644" spans="1:12" ht="9" customHeight="1">
      <c r="A14644" s="285" t="s">
        <v>23555</v>
      </c>
      <c r="B14644" s="59" t="s">
        <v>22291</v>
      </c>
      <c r="C14644" s="147" t="s">
        <v>20221</v>
      </c>
      <c r="D14644" s="284" t="s">
        <v>897</v>
      </c>
      <c r="E14644" s="178">
        <v>2022</v>
      </c>
      <c r="F14644" s="178" t="s">
        <v>23395</v>
      </c>
      <c r="G14644" s="496"/>
      <c r="H14644" s="994" t="s">
        <v>20221</v>
      </c>
      <c r="I14644" s="11" t="s">
        <v>14411</v>
      </c>
      <c r="J14644" s="1285"/>
      <c r="K14644" s="1285"/>
      <c r="L14644" s="1285"/>
    </row>
    <row r="14645" spans="1:12" ht="9" customHeight="1">
      <c r="A14645" s="129" t="s">
        <v>23556</v>
      </c>
      <c r="B14645" s="59" t="s">
        <v>22313</v>
      </c>
      <c r="C14645" s="147" t="s">
        <v>20221</v>
      </c>
      <c r="D14645" s="284" t="s">
        <v>897</v>
      </c>
      <c r="E14645" s="178">
        <v>2019</v>
      </c>
      <c r="F14645" s="178" t="s">
        <v>23395</v>
      </c>
      <c r="G14645" s="496"/>
      <c r="H14645" s="994" t="s">
        <v>20221</v>
      </c>
      <c r="I14645" s="11" t="s">
        <v>14524</v>
      </c>
      <c r="J14645" s="1285"/>
      <c r="K14645" s="1285"/>
      <c r="L14645" s="1285"/>
    </row>
    <row r="14646" spans="1:12" ht="9" customHeight="1">
      <c r="A14646" s="129" t="s">
        <v>23557</v>
      </c>
      <c r="B14646" s="59" t="s">
        <v>22315</v>
      </c>
      <c r="C14646" s="147" t="s">
        <v>20221</v>
      </c>
      <c r="D14646" s="284" t="s">
        <v>897</v>
      </c>
      <c r="E14646" s="178">
        <v>2020</v>
      </c>
      <c r="F14646" s="178" t="s">
        <v>4520</v>
      </c>
      <c r="G14646" s="496"/>
      <c r="H14646" s="994" t="s">
        <v>20221</v>
      </c>
      <c r="I14646" s="11" t="s">
        <v>14538</v>
      </c>
      <c r="J14646" s="1285"/>
      <c r="K14646" s="1285"/>
      <c r="L14646" s="1285"/>
    </row>
    <row r="14647" spans="1:12" ht="9" customHeight="1">
      <c r="A14647" s="129" t="s">
        <v>23558</v>
      </c>
      <c r="B14647" s="59" t="s">
        <v>22384</v>
      </c>
      <c r="C14647" s="147" t="s">
        <v>20221</v>
      </c>
      <c r="D14647" s="284" t="s">
        <v>897</v>
      </c>
      <c r="E14647" s="178">
        <v>2020</v>
      </c>
      <c r="F14647" s="178" t="s">
        <v>4520</v>
      </c>
      <c r="G14647" s="496"/>
      <c r="H14647" s="994" t="s">
        <v>20221</v>
      </c>
      <c r="I14647" s="11" t="s">
        <v>14819</v>
      </c>
      <c r="J14647" s="1285"/>
      <c r="K14647" s="1285"/>
      <c r="L14647" s="1285"/>
    </row>
    <row r="14648" spans="1:12" ht="9" customHeight="1">
      <c r="A14648" s="129" t="s">
        <v>23543</v>
      </c>
      <c r="B14648" s="59" t="s">
        <v>22338</v>
      </c>
      <c r="C14648" s="147" t="s">
        <v>23393</v>
      </c>
      <c r="D14648" s="284" t="s">
        <v>897</v>
      </c>
      <c r="E14648" s="178">
        <v>2022</v>
      </c>
      <c r="F14648" s="178" t="s">
        <v>4520</v>
      </c>
      <c r="G14648" s="496"/>
      <c r="H14648" s="994" t="s">
        <v>20221</v>
      </c>
      <c r="I14648" s="11" t="s">
        <v>14632</v>
      </c>
      <c r="J14648" s="1285"/>
      <c r="K14648" s="1285"/>
      <c r="L14648" s="1285"/>
    </row>
    <row r="14649" spans="1:12" ht="9" customHeight="1">
      <c r="A14649" s="129" t="s">
        <v>23559</v>
      </c>
      <c r="B14649" s="59" t="s">
        <v>22402</v>
      </c>
      <c r="C14649" s="147" t="s">
        <v>20221</v>
      </c>
      <c r="D14649" s="284" t="s">
        <v>897</v>
      </c>
      <c r="E14649" s="178">
        <v>2017</v>
      </c>
      <c r="F14649" s="178" t="s">
        <v>4520</v>
      </c>
      <c r="G14649" s="496"/>
      <c r="H14649" s="994" t="s">
        <v>20221</v>
      </c>
      <c r="I14649" s="11" t="s">
        <v>14901</v>
      </c>
      <c r="J14649" s="1285"/>
      <c r="K14649" s="1285"/>
      <c r="L14649" s="1285"/>
    </row>
    <row r="14650" spans="1:12" ht="9" customHeight="1">
      <c r="A14650" s="129" t="s">
        <v>23555</v>
      </c>
      <c r="B14650" s="59" t="s">
        <v>22292</v>
      </c>
      <c r="C14650" s="147" t="s">
        <v>20221</v>
      </c>
      <c r="D14650" s="284" t="s">
        <v>897</v>
      </c>
      <c r="E14650" s="178">
        <v>2022</v>
      </c>
      <c r="F14650" s="178" t="s">
        <v>23395</v>
      </c>
      <c r="G14650" s="496"/>
      <c r="H14650" s="994" t="s">
        <v>20221</v>
      </c>
      <c r="I14650" s="11" t="s">
        <v>14413</v>
      </c>
      <c r="J14650" s="1285"/>
      <c r="K14650" s="1285"/>
      <c r="L14650" s="1285"/>
    </row>
    <row r="14651" spans="1:12" ht="9" customHeight="1">
      <c r="A14651" s="129" t="s">
        <v>23560</v>
      </c>
      <c r="B14651" s="59" t="s">
        <v>22276</v>
      </c>
      <c r="C14651" s="147" t="s">
        <v>20221</v>
      </c>
      <c r="D14651" s="284" t="s">
        <v>897</v>
      </c>
      <c r="E14651" s="178">
        <v>2021</v>
      </c>
      <c r="F14651" s="178" t="s">
        <v>23395</v>
      </c>
      <c r="G14651" s="496"/>
      <c r="H14651" s="994" t="s">
        <v>20221</v>
      </c>
      <c r="I14651" s="11" t="s">
        <v>14330</v>
      </c>
      <c r="J14651" s="1285"/>
      <c r="K14651" s="1285"/>
      <c r="L14651" s="1285"/>
    </row>
    <row r="14652" spans="1:12" ht="9" customHeight="1">
      <c r="A14652" s="129" t="s">
        <v>23561</v>
      </c>
      <c r="B14652" s="59" t="s">
        <v>22307</v>
      </c>
      <c r="C14652" s="147" t="s">
        <v>20221</v>
      </c>
      <c r="D14652" s="284" t="s">
        <v>897</v>
      </c>
      <c r="E14652" s="178">
        <v>2021</v>
      </c>
      <c r="F14652" s="178" t="s">
        <v>23395</v>
      </c>
      <c r="G14652" s="496"/>
      <c r="H14652" s="994" t="s">
        <v>20221</v>
      </c>
      <c r="I14652" s="11" t="s">
        <v>14503</v>
      </c>
      <c r="J14652" s="1285"/>
      <c r="K14652" s="1285"/>
      <c r="L14652" s="1285"/>
    </row>
    <row r="14653" spans="1:12" ht="9" customHeight="1">
      <c r="A14653" s="129" t="s">
        <v>23503</v>
      </c>
      <c r="B14653" s="59" t="s">
        <v>22272</v>
      </c>
      <c r="C14653" s="147" t="s">
        <v>20221</v>
      </c>
      <c r="D14653" s="284" t="s">
        <v>897</v>
      </c>
      <c r="E14653" s="178">
        <v>2013</v>
      </c>
      <c r="F14653" s="178" t="s">
        <v>23395</v>
      </c>
      <c r="G14653" s="496"/>
      <c r="H14653" s="994" t="s">
        <v>20221</v>
      </c>
      <c r="I14653" s="11" t="s">
        <v>14306</v>
      </c>
      <c r="J14653" s="1285"/>
      <c r="K14653" s="1285"/>
      <c r="L14653" s="1285"/>
    </row>
    <row r="14654" spans="1:12" ht="9" customHeight="1">
      <c r="A14654" s="129" t="s">
        <v>23504</v>
      </c>
      <c r="B14654" s="59" t="s">
        <v>22283</v>
      </c>
      <c r="C14654" s="147" t="s">
        <v>20221</v>
      </c>
      <c r="D14654" s="284" t="s">
        <v>897</v>
      </c>
      <c r="E14654" s="178">
        <v>2019</v>
      </c>
      <c r="F14654" s="178" t="s">
        <v>4520</v>
      </c>
      <c r="G14654" s="496"/>
      <c r="H14654" s="994" t="s">
        <v>20221</v>
      </c>
      <c r="I14654" s="11" t="s">
        <v>14373</v>
      </c>
      <c r="J14654" s="1285"/>
      <c r="K14654" s="1285"/>
      <c r="L14654" s="1285"/>
    </row>
    <row r="14655" spans="1:12" ht="9" customHeight="1">
      <c r="A14655" s="285" t="s">
        <v>23562</v>
      </c>
      <c r="B14655" s="59" t="s">
        <v>22364</v>
      </c>
      <c r="C14655" s="147" t="s">
        <v>20221</v>
      </c>
      <c r="D14655" s="284" t="s">
        <v>897</v>
      </c>
      <c r="E14655" s="178">
        <v>2022</v>
      </c>
      <c r="F14655" s="178" t="s">
        <v>23421</v>
      </c>
      <c r="G14655" s="496"/>
      <c r="H14655" s="994" t="s">
        <v>20221</v>
      </c>
      <c r="I14655" s="11" t="s">
        <v>14732</v>
      </c>
      <c r="J14655" s="1285"/>
      <c r="K14655" s="1285"/>
      <c r="L14655" s="1285"/>
    </row>
    <row r="14656" spans="1:12" ht="9" customHeight="1">
      <c r="A14656" s="285" t="s">
        <v>23563</v>
      </c>
      <c r="B14656" s="59" t="s">
        <v>22295</v>
      </c>
      <c r="C14656" s="147" t="s">
        <v>20221</v>
      </c>
      <c r="D14656" s="284" t="s">
        <v>897</v>
      </c>
      <c r="E14656" s="178">
        <v>2020</v>
      </c>
      <c r="F14656" s="178" t="s">
        <v>23421</v>
      </c>
      <c r="G14656" s="496"/>
      <c r="H14656" s="994" t="s">
        <v>20221</v>
      </c>
      <c r="I14656" s="11" t="s">
        <v>14433</v>
      </c>
      <c r="J14656" s="1285"/>
      <c r="K14656" s="1285"/>
      <c r="L14656" s="1285"/>
    </row>
    <row r="14657" spans="1:12" ht="24" customHeight="1">
      <c r="A14657" s="904" t="s">
        <v>18868</v>
      </c>
      <c r="B14657" s="904" t="s">
        <v>18886</v>
      </c>
      <c r="C14657" s="147"/>
      <c r="D14657" s="231"/>
      <c r="E14657" s="177"/>
      <c r="F14657" s="1095"/>
      <c r="G14657" s="908"/>
      <c r="H14657" s="890"/>
      <c r="I14657" s="11"/>
    </row>
    <row r="14658" spans="1:12" ht="9" customHeight="1">
      <c r="A14658" s="129" t="s">
        <v>23509</v>
      </c>
      <c r="B14658" s="59" t="s">
        <v>21719</v>
      </c>
      <c r="C14658" s="147" t="s">
        <v>20221</v>
      </c>
      <c r="D14658" s="284" t="s">
        <v>897</v>
      </c>
      <c r="E14658" s="178">
        <v>2018</v>
      </c>
      <c r="F14658" s="178" t="s">
        <v>4520</v>
      </c>
      <c r="G14658" s="496"/>
      <c r="H14658" s="994" t="s">
        <v>20221</v>
      </c>
      <c r="I14658" s="11" t="s">
        <v>10591</v>
      </c>
      <c r="J14658" s="1285"/>
      <c r="K14658" s="1285"/>
      <c r="L14658" s="1285"/>
    </row>
    <row r="14659" spans="1:12" ht="9" customHeight="1">
      <c r="A14659" s="129" t="s">
        <v>23509</v>
      </c>
      <c r="B14659" s="59" t="s">
        <v>21720</v>
      </c>
      <c r="C14659" s="147" t="s">
        <v>20221</v>
      </c>
      <c r="D14659" s="284" t="s">
        <v>897</v>
      </c>
      <c r="E14659" s="178">
        <v>2018</v>
      </c>
      <c r="F14659" s="178" t="s">
        <v>4520</v>
      </c>
      <c r="G14659" s="496"/>
      <c r="H14659" s="994" t="s">
        <v>20221</v>
      </c>
      <c r="I14659" s="11" t="s">
        <v>10593</v>
      </c>
      <c r="J14659" s="1285"/>
      <c r="K14659" s="1285"/>
      <c r="L14659" s="1285"/>
    </row>
    <row r="14660" spans="1:12" ht="9" customHeight="1">
      <c r="A14660" s="129" t="s">
        <v>23447</v>
      </c>
      <c r="B14660" s="59" t="s">
        <v>21935</v>
      </c>
      <c r="C14660" s="147" t="s">
        <v>20221</v>
      </c>
      <c r="D14660" s="284" t="s">
        <v>897</v>
      </c>
      <c r="E14660" s="178">
        <v>2011</v>
      </c>
      <c r="F14660" s="178" t="s">
        <v>4520</v>
      </c>
      <c r="G14660" s="496"/>
      <c r="H14660" s="994" t="s">
        <v>20277</v>
      </c>
      <c r="I14660" s="11" t="s">
        <v>12093</v>
      </c>
      <c r="J14660" s="1285"/>
      <c r="K14660" s="1285"/>
      <c r="L14660" s="1285"/>
    </row>
    <row r="14661" spans="1:12" ht="9" customHeight="1">
      <c r="A14661" s="129" t="s">
        <v>23492</v>
      </c>
      <c r="B14661" s="59" t="s">
        <v>21716</v>
      </c>
      <c r="C14661" s="147" t="s">
        <v>20221</v>
      </c>
      <c r="D14661" s="284" t="s">
        <v>897</v>
      </c>
      <c r="E14661" s="178">
        <v>2014</v>
      </c>
      <c r="F14661" s="178" t="s">
        <v>4520</v>
      </c>
      <c r="G14661" s="496"/>
      <c r="H14661" s="994" t="s">
        <v>20221</v>
      </c>
      <c r="I14661" s="11" t="s">
        <v>11836</v>
      </c>
      <c r="J14661" s="1285"/>
      <c r="K14661" s="1285"/>
      <c r="L14661" s="1285"/>
    </row>
    <row r="14662" spans="1:12" ht="9" customHeight="1">
      <c r="A14662" s="129" t="s">
        <v>23493</v>
      </c>
      <c r="B14662" s="59" t="s">
        <v>21788</v>
      </c>
      <c r="C14662" s="147" t="s">
        <v>20221</v>
      </c>
      <c r="D14662" s="284" t="s">
        <v>897</v>
      </c>
      <c r="E14662" s="178">
        <v>2013</v>
      </c>
      <c r="F14662" s="178" t="s">
        <v>4520</v>
      </c>
      <c r="G14662" s="496"/>
      <c r="H14662" s="994" t="s">
        <v>20221</v>
      </c>
      <c r="I14662" s="11" t="s">
        <v>11153</v>
      </c>
      <c r="J14662" s="1285"/>
      <c r="K14662" s="1285"/>
      <c r="L14662" s="1285"/>
    </row>
    <row r="14663" spans="1:12" ht="9" customHeight="1">
      <c r="A14663" s="129" t="s">
        <v>23492</v>
      </c>
      <c r="B14663" s="59" t="s">
        <v>21716</v>
      </c>
      <c r="C14663" s="147" t="s">
        <v>20221</v>
      </c>
      <c r="D14663" s="284" t="s">
        <v>897</v>
      </c>
      <c r="E14663" s="178">
        <v>2015</v>
      </c>
      <c r="F14663" s="178" t="s">
        <v>4520</v>
      </c>
      <c r="G14663" s="496"/>
      <c r="H14663" s="994" t="s">
        <v>20221</v>
      </c>
      <c r="I14663" s="11" t="s">
        <v>11834</v>
      </c>
      <c r="J14663" s="1285"/>
      <c r="K14663" s="1285"/>
      <c r="L14663" s="1285"/>
    </row>
    <row r="14664" spans="1:12" ht="9" customHeight="1">
      <c r="A14664" s="129" t="s">
        <v>23564</v>
      </c>
      <c r="B14664" s="59" t="s">
        <v>21890</v>
      </c>
      <c r="C14664" s="147" t="s">
        <v>20221</v>
      </c>
      <c r="D14664" s="284" t="s">
        <v>897</v>
      </c>
      <c r="E14664" s="178">
        <v>2016</v>
      </c>
      <c r="F14664" s="178" t="s">
        <v>4520</v>
      </c>
      <c r="G14664" s="496"/>
      <c r="H14664" s="994" t="s">
        <v>20221</v>
      </c>
      <c r="I14664" s="11" t="s">
        <v>11795</v>
      </c>
      <c r="J14664" s="1285"/>
      <c r="K14664" s="1285"/>
      <c r="L14664" s="1285"/>
    </row>
    <row r="14665" spans="1:12" ht="9" customHeight="1">
      <c r="A14665" s="129" t="s">
        <v>23488</v>
      </c>
      <c r="B14665" s="59" t="s">
        <v>21903</v>
      </c>
      <c r="C14665" s="147" t="s">
        <v>20221</v>
      </c>
      <c r="D14665" s="284" t="s">
        <v>897</v>
      </c>
      <c r="E14665" s="178">
        <v>2020</v>
      </c>
      <c r="F14665" s="178" t="s">
        <v>4520</v>
      </c>
      <c r="G14665" s="496"/>
      <c r="H14665" s="994" t="s">
        <v>20221</v>
      </c>
      <c r="I14665" s="11" t="s">
        <v>11871</v>
      </c>
      <c r="J14665" s="1285"/>
      <c r="K14665" s="1285"/>
      <c r="L14665" s="1285"/>
    </row>
    <row r="14666" spans="1:12" ht="9" customHeight="1">
      <c r="A14666" s="129" t="s">
        <v>23565</v>
      </c>
      <c r="B14666" s="59" t="s">
        <v>21716</v>
      </c>
      <c r="C14666" s="147" t="s">
        <v>20221</v>
      </c>
      <c r="D14666" s="284" t="s">
        <v>897</v>
      </c>
      <c r="E14666" s="178">
        <v>2020</v>
      </c>
      <c r="F14666" s="178" t="s">
        <v>4520</v>
      </c>
      <c r="G14666" s="496"/>
      <c r="H14666" s="994" t="s">
        <v>20221</v>
      </c>
      <c r="I14666" s="11" t="s">
        <v>10575</v>
      </c>
      <c r="J14666" s="1285"/>
      <c r="K14666" s="1285"/>
      <c r="L14666" s="1285"/>
    </row>
    <row r="14667" spans="1:12" ht="9" customHeight="1">
      <c r="A14667" s="129" t="s">
        <v>23565</v>
      </c>
      <c r="B14667" s="59" t="s">
        <v>21717</v>
      </c>
      <c r="C14667" s="147" t="s">
        <v>20221</v>
      </c>
      <c r="D14667" s="284" t="s">
        <v>897</v>
      </c>
      <c r="E14667" s="178">
        <v>2020</v>
      </c>
      <c r="F14667" s="178" t="s">
        <v>4520</v>
      </c>
      <c r="G14667" s="496"/>
      <c r="H14667" s="994" t="s">
        <v>20221</v>
      </c>
      <c r="I14667" s="11" t="s">
        <v>10577</v>
      </c>
      <c r="J14667" s="1285"/>
      <c r="K14667" s="1285"/>
      <c r="L14667" s="1285"/>
    </row>
    <row r="14668" spans="1:12" ht="9" customHeight="1">
      <c r="A14668" s="129" t="s">
        <v>23509</v>
      </c>
      <c r="B14668" s="59" t="s">
        <v>19039</v>
      </c>
      <c r="C14668" s="147" t="s">
        <v>20221</v>
      </c>
      <c r="D14668" s="284" t="s">
        <v>897</v>
      </c>
      <c r="E14668" s="178">
        <v>2019</v>
      </c>
      <c r="F14668" s="178" t="s">
        <v>4520</v>
      </c>
      <c r="G14668" s="496"/>
      <c r="H14668" s="994" t="s">
        <v>20221</v>
      </c>
      <c r="I14668" s="11" t="s">
        <v>10595</v>
      </c>
      <c r="J14668" s="1285"/>
      <c r="K14668" s="1285"/>
      <c r="L14668" s="1285"/>
    </row>
    <row r="14669" spans="1:12" ht="9" customHeight="1">
      <c r="A14669" s="129" t="s">
        <v>23493</v>
      </c>
      <c r="B14669" s="59" t="s">
        <v>21787</v>
      </c>
      <c r="C14669" s="147" t="s">
        <v>20221</v>
      </c>
      <c r="D14669" s="284" t="s">
        <v>897</v>
      </c>
      <c r="E14669" s="178">
        <v>2016</v>
      </c>
      <c r="F14669" s="178" t="s">
        <v>23395</v>
      </c>
      <c r="G14669" s="496"/>
      <c r="H14669" s="994" t="s">
        <v>20221</v>
      </c>
      <c r="I14669" s="11" t="s">
        <v>11148</v>
      </c>
      <c r="J14669" s="1285"/>
      <c r="K14669" s="1285"/>
      <c r="L14669" s="1285"/>
    </row>
    <row r="14670" spans="1:12" ht="9" customHeight="1">
      <c r="A14670" s="129" t="s">
        <v>23566</v>
      </c>
      <c r="B14670" s="59" t="s">
        <v>21719</v>
      </c>
      <c r="C14670" s="147" t="s">
        <v>20221</v>
      </c>
      <c r="D14670" s="284" t="s">
        <v>897</v>
      </c>
      <c r="E14670" s="178">
        <v>2015</v>
      </c>
      <c r="F14670" s="178" t="s">
        <v>23395</v>
      </c>
      <c r="G14670" s="496"/>
      <c r="H14670" s="994" t="s">
        <v>20221</v>
      </c>
      <c r="I14670" s="11" t="s">
        <v>10959</v>
      </c>
      <c r="J14670" s="1285"/>
      <c r="K14670" s="1285"/>
      <c r="L14670" s="1285"/>
    </row>
    <row r="14671" spans="1:12" ht="9" customHeight="1">
      <c r="A14671" s="129" t="s">
        <v>23566</v>
      </c>
      <c r="B14671" s="59" t="s">
        <v>21719</v>
      </c>
      <c r="C14671" s="147" t="s">
        <v>20221</v>
      </c>
      <c r="D14671" s="284" t="s">
        <v>897</v>
      </c>
      <c r="E14671" s="178">
        <v>2020</v>
      </c>
      <c r="F14671" s="178" t="s">
        <v>23395</v>
      </c>
      <c r="G14671" s="496"/>
      <c r="H14671" s="994" t="s">
        <v>20221</v>
      </c>
      <c r="I14671" s="11" t="s">
        <v>10953</v>
      </c>
      <c r="J14671" s="1285"/>
      <c r="K14671" s="1285"/>
      <c r="L14671" s="1285"/>
    </row>
    <row r="14672" spans="1:12" ht="9" customHeight="1">
      <c r="A14672" s="129" t="s">
        <v>23567</v>
      </c>
      <c r="B14672" s="59" t="s">
        <v>21878</v>
      </c>
      <c r="C14672" s="147" t="s">
        <v>20221</v>
      </c>
      <c r="D14672" s="284" t="s">
        <v>897</v>
      </c>
      <c r="E14672" s="178">
        <v>2020</v>
      </c>
      <c r="F14672" s="178" t="s">
        <v>4520</v>
      </c>
      <c r="G14672" s="496"/>
      <c r="H14672" s="994" t="s">
        <v>20221</v>
      </c>
      <c r="I14672" s="11" t="s">
        <v>11708</v>
      </c>
      <c r="J14672" s="1285"/>
      <c r="K14672" s="1285"/>
      <c r="L14672" s="1285"/>
    </row>
    <row r="14673" spans="1:12" ht="9" customHeight="1">
      <c r="A14673" s="129" t="s">
        <v>23492</v>
      </c>
      <c r="B14673" s="59" t="s">
        <v>21717</v>
      </c>
      <c r="C14673" s="147" t="s">
        <v>20221</v>
      </c>
      <c r="D14673" s="284" t="s">
        <v>897</v>
      </c>
      <c r="E14673" s="178">
        <v>2015</v>
      </c>
      <c r="F14673" s="178" t="s">
        <v>4520</v>
      </c>
      <c r="G14673" s="496"/>
      <c r="H14673" s="994" t="s">
        <v>20221</v>
      </c>
      <c r="I14673" s="11" t="s">
        <v>11841</v>
      </c>
      <c r="J14673" s="1285"/>
      <c r="K14673" s="1285"/>
      <c r="L14673" s="1285"/>
    </row>
    <row r="14674" spans="1:12" ht="9" customHeight="1">
      <c r="A14674" s="129" t="s">
        <v>23568</v>
      </c>
      <c r="B14674" s="59" t="s">
        <v>21719</v>
      </c>
      <c r="C14674" s="147" t="s">
        <v>20221</v>
      </c>
      <c r="D14674" s="284" t="s">
        <v>897</v>
      </c>
      <c r="E14674" s="178">
        <v>2019</v>
      </c>
      <c r="F14674" s="178" t="s">
        <v>4520</v>
      </c>
      <c r="G14674" s="496"/>
      <c r="H14674" s="994" t="s">
        <v>20221</v>
      </c>
      <c r="I14674" s="11" t="s">
        <v>10779</v>
      </c>
      <c r="J14674" s="1285"/>
      <c r="K14674" s="1285"/>
      <c r="L14674" s="1285"/>
    </row>
    <row r="14675" spans="1:12" ht="24" customHeight="1">
      <c r="A14675" s="904" t="s">
        <v>18868</v>
      </c>
      <c r="B14675" s="891" t="s">
        <v>18887</v>
      </c>
      <c r="C14675" s="147"/>
      <c r="D14675" s="231"/>
      <c r="E14675" s="177"/>
      <c r="F14675" s="1095"/>
      <c r="G14675" s="908"/>
      <c r="H14675" s="890"/>
      <c r="I14675" s="11"/>
    </row>
    <row r="14676" spans="1:12" ht="9" customHeight="1">
      <c r="A14676" s="129" t="s">
        <v>23453</v>
      </c>
      <c r="B14676" s="59" t="s">
        <v>22063</v>
      </c>
      <c r="C14676" s="147" t="s">
        <v>20221</v>
      </c>
      <c r="D14676" s="284" t="s">
        <v>897</v>
      </c>
      <c r="E14676" s="178">
        <v>2021</v>
      </c>
      <c r="F14676" s="178" t="s">
        <v>23395</v>
      </c>
      <c r="G14676" s="496"/>
      <c r="H14676" s="994" t="s">
        <v>20221</v>
      </c>
      <c r="I14676" s="11" t="s">
        <v>12919</v>
      </c>
      <c r="J14676" s="1285"/>
      <c r="K14676" s="1285"/>
      <c r="L14676" s="1285"/>
    </row>
    <row r="14677" spans="1:12" ht="9" customHeight="1">
      <c r="A14677" s="129" t="s">
        <v>23569</v>
      </c>
      <c r="B14677" s="59" t="s">
        <v>397</v>
      </c>
      <c r="C14677" s="147" t="s">
        <v>20221</v>
      </c>
      <c r="D14677" s="284" t="s">
        <v>897</v>
      </c>
      <c r="E14677" s="178">
        <v>2017</v>
      </c>
      <c r="F14677" s="178" t="s">
        <v>4520</v>
      </c>
      <c r="G14677" s="496"/>
      <c r="H14677" s="994" t="s">
        <v>20221</v>
      </c>
      <c r="I14677" s="11" t="s">
        <v>12357</v>
      </c>
      <c r="J14677" s="1285"/>
      <c r="K14677" s="1285"/>
      <c r="L14677" s="1285"/>
    </row>
    <row r="14678" spans="1:12" ht="9" customHeight="1">
      <c r="A14678" s="129" t="s">
        <v>23507</v>
      </c>
      <c r="B14678" s="59" t="s">
        <v>22008</v>
      </c>
      <c r="C14678" s="147" t="s">
        <v>20221</v>
      </c>
      <c r="D14678" s="284" t="s">
        <v>897</v>
      </c>
      <c r="E14678" s="178">
        <v>2023</v>
      </c>
      <c r="F14678" s="178" t="s">
        <v>4520</v>
      </c>
      <c r="G14678" s="496"/>
      <c r="H14678" s="994" t="s">
        <v>20221</v>
      </c>
      <c r="I14678" s="11" t="s">
        <v>12461</v>
      </c>
      <c r="J14678" s="1285"/>
      <c r="K14678" s="1285"/>
      <c r="L14678" s="1285"/>
    </row>
    <row r="14679" spans="1:12" ht="9" customHeight="1">
      <c r="A14679" s="129" t="s">
        <v>23514</v>
      </c>
      <c r="B14679" s="59" t="s">
        <v>22159</v>
      </c>
      <c r="C14679" s="147" t="s">
        <v>20221</v>
      </c>
      <c r="D14679" s="284" t="s">
        <v>897</v>
      </c>
      <c r="E14679" s="178">
        <v>2015</v>
      </c>
      <c r="F14679" s="178" t="s">
        <v>4520</v>
      </c>
      <c r="G14679" s="496"/>
      <c r="H14679" s="994" t="s">
        <v>20277</v>
      </c>
      <c r="I14679" s="11" t="s">
        <v>13671</v>
      </c>
      <c r="J14679" s="1285"/>
      <c r="K14679" s="1285"/>
      <c r="L14679" s="1285"/>
    </row>
    <row r="14680" spans="1:12" ht="9" customHeight="1">
      <c r="A14680" s="129" t="s">
        <v>23453</v>
      </c>
      <c r="B14680" s="59" t="s">
        <v>22064</v>
      </c>
      <c r="C14680" s="147" t="s">
        <v>20221</v>
      </c>
      <c r="D14680" s="284" t="s">
        <v>897</v>
      </c>
      <c r="E14680" s="178">
        <v>2015</v>
      </c>
      <c r="F14680" s="178" t="s">
        <v>4520</v>
      </c>
      <c r="G14680" s="496"/>
      <c r="H14680" s="994" t="s">
        <v>20221</v>
      </c>
      <c r="I14680" s="11" t="s">
        <v>12921</v>
      </c>
      <c r="J14680" s="1285"/>
      <c r="K14680" s="1285"/>
      <c r="L14680" s="1285"/>
    </row>
    <row r="14681" spans="1:12" ht="9" customHeight="1">
      <c r="A14681" s="129" t="s">
        <v>23453</v>
      </c>
      <c r="B14681" s="59" t="s">
        <v>22065</v>
      </c>
      <c r="C14681" s="147" t="s">
        <v>20221</v>
      </c>
      <c r="D14681" s="284" t="s">
        <v>897</v>
      </c>
      <c r="E14681" s="178">
        <v>2021</v>
      </c>
      <c r="F14681" s="178" t="s">
        <v>4520</v>
      </c>
      <c r="G14681" s="496"/>
      <c r="H14681" s="994" t="s">
        <v>20221</v>
      </c>
      <c r="I14681" s="11" t="s">
        <v>12922</v>
      </c>
      <c r="J14681" s="1285"/>
      <c r="K14681" s="1285"/>
      <c r="L14681" s="1285"/>
    </row>
    <row r="14682" spans="1:12" ht="9" customHeight="1">
      <c r="A14682" s="129" t="s">
        <v>23508</v>
      </c>
      <c r="B14682" s="59" t="s">
        <v>21982</v>
      </c>
      <c r="C14682" s="147" t="s">
        <v>20221</v>
      </c>
      <c r="D14682" s="284" t="s">
        <v>897</v>
      </c>
      <c r="E14682" s="178">
        <v>2021</v>
      </c>
      <c r="F14682" s="178" t="s">
        <v>4520</v>
      </c>
      <c r="G14682" s="496"/>
      <c r="H14682" s="994" t="s">
        <v>20277</v>
      </c>
      <c r="I14682" s="11" t="s">
        <v>12337</v>
      </c>
      <c r="J14682" s="1285"/>
      <c r="K14682" s="1285"/>
      <c r="L14682" s="1285"/>
    </row>
    <row r="14683" spans="1:12" ht="9" customHeight="1">
      <c r="A14683" s="129" t="s">
        <v>23570</v>
      </c>
      <c r="B14683" s="59" t="s">
        <v>22091</v>
      </c>
      <c r="C14683" s="147" t="s">
        <v>20221</v>
      </c>
      <c r="D14683" s="284" t="s">
        <v>897</v>
      </c>
      <c r="E14683" s="178">
        <v>2013</v>
      </c>
      <c r="F14683" s="178" t="s">
        <v>23395</v>
      </c>
      <c r="G14683" s="496"/>
      <c r="H14683" s="994" t="s">
        <v>20221</v>
      </c>
      <c r="I14683" s="11" t="s">
        <v>13106</v>
      </c>
      <c r="J14683" s="1285"/>
      <c r="K14683" s="1285"/>
      <c r="L14683" s="1285"/>
    </row>
    <row r="14684" spans="1:12" ht="9" customHeight="1">
      <c r="A14684" s="129" t="s">
        <v>23571</v>
      </c>
      <c r="B14684" s="59" t="s">
        <v>22265</v>
      </c>
      <c r="C14684" s="147" t="s">
        <v>20221</v>
      </c>
      <c r="D14684" s="284" t="s">
        <v>897</v>
      </c>
      <c r="E14684" s="178">
        <v>2015</v>
      </c>
      <c r="F14684" s="178" t="s">
        <v>4520</v>
      </c>
      <c r="G14684" s="496"/>
      <c r="H14684" s="994" t="s">
        <v>20221</v>
      </c>
      <c r="I14684" s="11" t="s">
        <v>14269</v>
      </c>
      <c r="J14684" s="1285"/>
      <c r="K14684" s="1285"/>
      <c r="L14684" s="1285"/>
    </row>
    <row r="14685" spans="1:12" ht="9" customHeight="1">
      <c r="A14685" s="129" t="s">
        <v>23442</v>
      </c>
      <c r="B14685" s="59" t="s">
        <v>22167</v>
      </c>
      <c r="C14685" s="147" t="s">
        <v>20221</v>
      </c>
      <c r="D14685" s="284" t="s">
        <v>897</v>
      </c>
      <c r="E14685" s="178">
        <v>2015</v>
      </c>
      <c r="F14685" s="178" t="s">
        <v>4520</v>
      </c>
      <c r="G14685" s="496"/>
      <c r="H14685" s="994" t="s">
        <v>20221</v>
      </c>
      <c r="I14685" s="11" t="s">
        <v>13706</v>
      </c>
      <c r="J14685" s="1285"/>
      <c r="K14685" s="1285"/>
      <c r="L14685" s="1285"/>
    </row>
    <row r="14686" spans="1:12" ht="9" customHeight="1">
      <c r="A14686" s="129" t="s">
        <v>23444</v>
      </c>
      <c r="B14686" s="59" t="s">
        <v>22226</v>
      </c>
      <c r="C14686" s="147" t="s">
        <v>20221</v>
      </c>
      <c r="D14686" s="284" t="s">
        <v>897</v>
      </c>
      <c r="E14686" s="178">
        <v>2012</v>
      </c>
      <c r="F14686" s="178" t="s">
        <v>4520</v>
      </c>
      <c r="G14686" s="496"/>
      <c r="H14686" s="994" t="s">
        <v>20221</v>
      </c>
      <c r="I14686" s="11" t="s">
        <v>14040</v>
      </c>
      <c r="J14686" s="1285"/>
      <c r="K14686" s="1285"/>
      <c r="L14686" s="1285"/>
    </row>
    <row r="14687" spans="1:12" ht="9" customHeight="1">
      <c r="A14687" s="285" t="s">
        <v>23517</v>
      </c>
      <c r="B14687" s="59" t="s">
        <v>22145</v>
      </c>
      <c r="C14687" s="147" t="s">
        <v>20221</v>
      </c>
      <c r="D14687" s="284" t="s">
        <v>897</v>
      </c>
      <c r="E14687" s="178">
        <v>2016</v>
      </c>
      <c r="F14687" s="178" t="s">
        <v>23395</v>
      </c>
      <c r="G14687" s="496"/>
      <c r="H14687" s="994" t="s">
        <v>20221</v>
      </c>
      <c r="I14687" s="11" t="s">
        <v>13580</v>
      </c>
      <c r="J14687" s="1285"/>
      <c r="K14687" s="1285"/>
      <c r="L14687" s="1285"/>
    </row>
    <row r="14688" spans="1:12" ht="9" customHeight="1">
      <c r="A14688" s="129" t="s">
        <v>23572</v>
      </c>
      <c r="B14688" s="59" t="s">
        <v>18796</v>
      </c>
      <c r="C14688" s="147" t="s">
        <v>20221</v>
      </c>
      <c r="D14688" s="284" t="s">
        <v>897</v>
      </c>
      <c r="E14688" s="178">
        <v>2021</v>
      </c>
      <c r="F14688" s="178" t="s">
        <v>4520</v>
      </c>
      <c r="G14688" s="496"/>
      <c r="H14688" s="994" t="s">
        <v>20221</v>
      </c>
      <c r="I14688" s="11" t="s">
        <v>13147</v>
      </c>
      <c r="J14688" s="1285"/>
      <c r="K14688" s="1285"/>
      <c r="L14688" s="1285"/>
    </row>
    <row r="14689" spans="1:12" ht="9" customHeight="1">
      <c r="A14689" s="129" t="s">
        <v>23573</v>
      </c>
      <c r="B14689" s="59" t="s">
        <v>22221</v>
      </c>
      <c r="C14689" s="147" t="s">
        <v>20221</v>
      </c>
      <c r="D14689" s="284" t="s">
        <v>897</v>
      </c>
      <c r="E14689" s="178">
        <v>2015</v>
      </c>
      <c r="F14689" s="178" t="s">
        <v>4520</v>
      </c>
      <c r="G14689" s="496"/>
      <c r="H14689" s="994" t="s">
        <v>20221</v>
      </c>
      <c r="I14689" s="11" t="s">
        <v>13997</v>
      </c>
      <c r="J14689" s="1285"/>
      <c r="K14689" s="1285"/>
      <c r="L14689" s="1285"/>
    </row>
    <row r="14690" spans="1:12" ht="9" customHeight="1">
      <c r="A14690" s="129" t="s">
        <v>23518</v>
      </c>
      <c r="B14690" s="59" t="s">
        <v>22140</v>
      </c>
      <c r="C14690" s="147" t="s">
        <v>20221</v>
      </c>
      <c r="D14690" s="284" t="s">
        <v>897</v>
      </c>
      <c r="E14690" s="178">
        <v>2019</v>
      </c>
      <c r="F14690" s="178" t="s">
        <v>4520</v>
      </c>
      <c r="G14690" s="496"/>
      <c r="H14690" s="994" t="s">
        <v>20221</v>
      </c>
      <c r="I14690" s="11" t="s">
        <v>13559</v>
      </c>
      <c r="J14690" s="1285"/>
      <c r="K14690" s="1285"/>
      <c r="L14690" s="1285"/>
    </row>
    <row r="14691" spans="1:12" ht="9" customHeight="1">
      <c r="A14691" s="129" t="s">
        <v>23574</v>
      </c>
      <c r="B14691" s="59" t="s">
        <v>22137</v>
      </c>
      <c r="C14691" s="147" t="s">
        <v>20221</v>
      </c>
      <c r="D14691" s="284" t="s">
        <v>897</v>
      </c>
      <c r="E14691" s="178">
        <v>2014</v>
      </c>
      <c r="F14691" s="178" t="s">
        <v>4520</v>
      </c>
      <c r="G14691" s="496"/>
      <c r="H14691" s="994" t="s">
        <v>20221</v>
      </c>
      <c r="I14691" s="11" t="s">
        <v>13542</v>
      </c>
      <c r="J14691" s="1285"/>
      <c r="K14691" s="1285"/>
      <c r="L14691" s="1285"/>
    </row>
    <row r="14692" spans="1:12" ht="9" customHeight="1">
      <c r="A14692" s="285" t="s">
        <v>23482</v>
      </c>
      <c r="B14692" s="59" t="s">
        <v>22136</v>
      </c>
      <c r="C14692" s="147" t="s">
        <v>20221</v>
      </c>
      <c r="D14692" s="284" t="s">
        <v>897</v>
      </c>
      <c r="E14692" s="178">
        <v>2012</v>
      </c>
      <c r="F14692" s="178" t="s">
        <v>23409</v>
      </c>
      <c r="G14692" s="496"/>
      <c r="H14692" s="994" t="s">
        <v>20221</v>
      </c>
      <c r="I14692" s="11" t="s">
        <v>13534</v>
      </c>
      <c r="J14692" s="1285"/>
      <c r="K14692" s="1285"/>
      <c r="L14692" s="1285"/>
    </row>
    <row r="14693" spans="1:12" ht="9" customHeight="1">
      <c r="A14693" s="129" t="s">
        <v>23575</v>
      </c>
      <c r="B14693" s="59" t="s">
        <v>22235</v>
      </c>
      <c r="C14693" s="147" t="s">
        <v>20221</v>
      </c>
      <c r="D14693" s="284" t="s">
        <v>897</v>
      </c>
      <c r="E14693" s="178">
        <v>2022</v>
      </c>
      <c r="F14693" s="178" t="s">
        <v>23395</v>
      </c>
      <c r="G14693" s="496"/>
      <c r="H14693" s="994" t="s">
        <v>20221</v>
      </c>
      <c r="I14693" s="11" t="s">
        <v>14101</v>
      </c>
      <c r="J14693" s="1285"/>
      <c r="K14693" s="1285"/>
      <c r="L14693" s="1285"/>
    </row>
    <row r="14694" spans="1:12" ht="9" customHeight="1">
      <c r="A14694" s="129" t="s">
        <v>23514</v>
      </c>
      <c r="B14694" s="59" t="s">
        <v>22162</v>
      </c>
      <c r="C14694" s="147" t="s">
        <v>20221</v>
      </c>
      <c r="D14694" s="284" t="s">
        <v>897</v>
      </c>
      <c r="E14694" s="178">
        <v>2018</v>
      </c>
      <c r="F14694" s="178" t="s">
        <v>11931</v>
      </c>
      <c r="G14694" s="496"/>
      <c r="H14694" s="994" t="s">
        <v>20221</v>
      </c>
      <c r="I14694" s="11" t="s">
        <v>13677</v>
      </c>
      <c r="J14694" s="1285"/>
      <c r="K14694" s="1285"/>
      <c r="L14694" s="1285"/>
    </row>
    <row r="14695" spans="1:12" ht="9" customHeight="1">
      <c r="A14695" s="129" t="s">
        <v>23537</v>
      </c>
      <c r="B14695" s="59" t="s">
        <v>22190</v>
      </c>
      <c r="C14695" s="147" t="s">
        <v>20221</v>
      </c>
      <c r="D14695" s="284" t="s">
        <v>897</v>
      </c>
      <c r="E14695" s="178">
        <v>2014</v>
      </c>
      <c r="F14695" s="178" t="s">
        <v>5257</v>
      </c>
      <c r="G14695" s="496"/>
      <c r="H14695" s="994" t="s">
        <v>20221</v>
      </c>
      <c r="I14695" s="11" t="s">
        <v>13817</v>
      </c>
      <c r="J14695" s="1285"/>
      <c r="K14695" s="1285"/>
      <c r="L14695" s="1285"/>
    </row>
    <row r="14696" spans="1:12" ht="24" customHeight="1">
      <c r="A14696" s="904" t="s">
        <v>18868</v>
      </c>
      <c r="B14696" s="905" t="s">
        <v>18888</v>
      </c>
      <c r="C14696" s="147"/>
      <c r="D14696" s="231"/>
      <c r="E14696" s="177"/>
      <c r="F14696" s="1095"/>
      <c r="G14696" s="908"/>
      <c r="H14696" s="890"/>
      <c r="I14696" s="11"/>
    </row>
    <row r="14697" spans="1:12" ht="9" customHeight="1">
      <c r="A14697" s="129" t="s">
        <v>23576</v>
      </c>
      <c r="B14697" s="59" t="s">
        <v>22944</v>
      </c>
      <c r="C14697" s="147" t="s">
        <v>20221</v>
      </c>
      <c r="D14697" s="284" t="s">
        <v>897</v>
      </c>
      <c r="E14697" s="178">
        <v>2023</v>
      </c>
      <c r="F14697" s="178" t="s">
        <v>4520</v>
      </c>
      <c r="G14697" s="496"/>
      <c r="H14697" s="994" t="s">
        <v>20221</v>
      </c>
      <c r="I14697" s="11" t="s">
        <v>17622</v>
      </c>
      <c r="J14697" s="1285"/>
      <c r="K14697" s="1285"/>
      <c r="L14697" s="1285"/>
    </row>
    <row r="14698" spans="1:12" ht="9" customHeight="1">
      <c r="A14698" s="129" t="s">
        <v>23521</v>
      </c>
      <c r="B14698" s="59" t="s">
        <v>22884</v>
      </c>
      <c r="C14698" s="147" t="s">
        <v>20221</v>
      </c>
      <c r="D14698" s="284" t="s">
        <v>897</v>
      </c>
      <c r="E14698" s="178">
        <v>2011</v>
      </c>
      <c r="F14698" s="178" t="s">
        <v>23395</v>
      </c>
      <c r="G14698" s="496"/>
      <c r="H14698" s="994" t="s">
        <v>20221</v>
      </c>
      <c r="I14698" s="11" t="s">
        <v>17213</v>
      </c>
      <c r="J14698" s="1285"/>
      <c r="K14698" s="1285"/>
      <c r="L14698" s="1285"/>
    </row>
    <row r="14699" spans="1:12" ht="9" customHeight="1">
      <c r="A14699" s="129" t="s">
        <v>23529</v>
      </c>
      <c r="B14699" s="59" t="s">
        <v>22965</v>
      </c>
      <c r="C14699" s="147" t="s">
        <v>20221</v>
      </c>
      <c r="D14699" s="284" t="s">
        <v>897</v>
      </c>
      <c r="E14699" s="178">
        <v>2020</v>
      </c>
      <c r="F14699" s="178" t="s">
        <v>4520</v>
      </c>
      <c r="G14699" s="496"/>
      <c r="H14699" s="994" t="s">
        <v>20221</v>
      </c>
      <c r="I14699" s="11" t="s">
        <v>17906</v>
      </c>
      <c r="J14699" s="1285"/>
      <c r="K14699" s="1285"/>
      <c r="L14699" s="1285"/>
    </row>
    <row r="14700" spans="1:12" ht="9" customHeight="1">
      <c r="A14700" s="220" t="s">
        <v>23526</v>
      </c>
      <c r="B14700" s="59" t="s">
        <v>22889</v>
      </c>
      <c r="C14700" s="147" t="s">
        <v>20221</v>
      </c>
      <c r="D14700" s="284" t="s">
        <v>897</v>
      </c>
      <c r="E14700" s="178">
        <v>2021</v>
      </c>
      <c r="F14700" s="178" t="s">
        <v>4520</v>
      </c>
      <c r="G14700" s="496"/>
      <c r="H14700" s="994" t="s">
        <v>20221</v>
      </c>
      <c r="I14700" s="11" t="s">
        <v>17289</v>
      </c>
      <c r="J14700" s="1285"/>
      <c r="K14700" s="1285"/>
      <c r="L14700" s="1285"/>
    </row>
    <row r="14701" spans="1:12" ht="9" customHeight="1">
      <c r="A14701" s="220" t="s">
        <v>23526</v>
      </c>
      <c r="B14701" s="59" t="s">
        <v>22890</v>
      </c>
      <c r="C14701" s="147" t="s">
        <v>20221</v>
      </c>
      <c r="D14701" s="284" t="s">
        <v>897</v>
      </c>
      <c r="E14701" s="178">
        <v>2021</v>
      </c>
      <c r="F14701" s="178" t="s">
        <v>4520</v>
      </c>
      <c r="G14701" s="496"/>
      <c r="H14701" s="994" t="s">
        <v>20221</v>
      </c>
      <c r="I14701" s="11" t="s">
        <v>17295</v>
      </c>
      <c r="J14701" s="1285"/>
      <c r="K14701" s="1285"/>
      <c r="L14701" s="1285"/>
    </row>
    <row r="14702" spans="1:12" ht="9" customHeight="1">
      <c r="A14702" s="220" t="s">
        <v>23530</v>
      </c>
      <c r="B14702" s="59" t="s">
        <v>22916</v>
      </c>
      <c r="C14702" s="147" t="s">
        <v>20221</v>
      </c>
      <c r="D14702" s="284" t="s">
        <v>897</v>
      </c>
      <c r="E14702" s="178">
        <v>2019</v>
      </c>
      <c r="F14702" s="178" t="s">
        <v>23395</v>
      </c>
      <c r="G14702" s="496"/>
      <c r="H14702" s="994" t="s">
        <v>20221</v>
      </c>
      <c r="I14702" s="11" t="s">
        <v>17533</v>
      </c>
      <c r="J14702" s="1285"/>
      <c r="K14702" s="1285"/>
      <c r="L14702" s="1285"/>
    </row>
    <row r="14703" spans="1:12" ht="9" customHeight="1">
      <c r="A14703" s="129" t="s">
        <v>23577</v>
      </c>
      <c r="B14703" s="59" t="s">
        <v>22789</v>
      </c>
      <c r="C14703" s="147" t="s">
        <v>20221</v>
      </c>
      <c r="D14703" s="284" t="s">
        <v>897</v>
      </c>
      <c r="E14703" s="178">
        <v>2019</v>
      </c>
      <c r="F14703" s="178" t="s">
        <v>23395</v>
      </c>
      <c r="G14703" s="496"/>
      <c r="H14703" s="994" t="s">
        <v>20221</v>
      </c>
      <c r="I14703" s="11" t="s">
        <v>16468</v>
      </c>
      <c r="J14703" s="1285"/>
      <c r="K14703" s="1285"/>
      <c r="L14703" s="1285"/>
    </row>
    <row r="14704" spans="1:12" ht="9" customHeight="1">
      <c r="A14704" s="220" t="s">
        <v>23530</v>
      </c>
      <c r="B14704" s="59" t="s">
        <v>22921</v>
      </c>
      <c r="C14704" s="147" t="s">
        <v>20221</v>
      </c>
      <c r="D14704" s="284" t="s">
        <v>897</v>
      </c>
      <c r="E14704" s="178">
        <v>2016</v>
      </c>
      <c r="F14704" s="178" t="s">
        <v>4520</v>
      </c>
      <c r="G14704" s="496"/>
      <c r="H14704" s="994" t="s">
        <v>20221</v>
      </c>
      <c r="I14704" s="11" t="s">
        <v>17547</v>
      </c>
      <c r="J14704" s="1285"/>
      <c r="K14704" s="1285"/>
      <c r="L14704" s="1285"/>
    </row>
    <row r="14705" spans="1:12" ht="9" customHeight="1">
      <c r="A14705" s="220" t="s">
        <v>23526</v>
      </c>
      <c r="B14705" s="59" t="s">
        <v>22894</v>
      </c>
      <c r="C14705" s="147" t="s">
        <v>20221</v>
      </c>
      <c r="D14705" s="284" t="s">
        <v>897</v>
      </c>
      <c r="E14705" s="178">
        <v>2020</v>
      </c>
      <c r="F14705" s="178" t="s">
        <v>4520</v>
      </c>
      <c r="G14705" s="496"/>
      <c r="H14705" s="994" t="s">
        <v>20221</v>
      </c>
      <c r="I14705" s="11" t="s">
        <v>17321</v>
      </c>
      <c r="J14705" s="1285"/>
      <c r="K14705" s="1285"/>
      <c r="L14705" s="1285"/>
    </row>
    <row r="14706" spans="1:12" ht="9" customHeight="1">
      <c r="A14706" s="220" t="s">
        <v>23526</v>
      </c>
      <c r="B14706" s="59" t="s">
        <v>22898</v>
      </c>
      <c r="C14706" s="147" t="s">
        <v>20221</v>
      </c>
      <c r="D14706" s="284" t="s">
        <v>897</v>
      </c>
      <c r="E14706" s="178">
        <v>2018</v>
      </c>
      <c r="F14706" s="178" t="s">
        <v>4520</v>
      </c>
      <c r="G14706" s="496"/>
      <c r="H14706" s="994" t="s">
        <v>20221</v>
      </c>
      <c r="I14706" s="11" t="s">
        <v>17330</v>
      </c>
      <c r="J14706" s="1285"/>
      <c r="K14706" s="1285"/>
      <c r="L14706" s="1285"/>
    </row>
    <row r="14707" spans="1:12" ht="24" customHeight="1">
      <c r="A14707" s="904" t="s">
        <v>18868</v>
      </c>
      <c r="B14707" s="891" t="s">
        <v>18889</v>
      </c>
      <c r="C14707" s="147"/>
      <c r="D14707" s="231"/>
      <c r="E14707" s="177"/>
      <c r="F14707" s="1095"/>
      <c r="G14707" s="908"/>
      <c r="H14707" s="890"/>
      <c r="I14707" s="11"/>
    </row>
    <row r="14708" spans="1:12" ht="9" customHeight="1">
      <c r="A14708" s="285" t="s">
        <v>23555</v>
      </c>
      <c r="B14708" s="59" t="s">
        <v>22291</v>
      </c>
      <c r="C14708" s="147" t="s">
        <v>20221</v>
      </c>
      <c r="D14708" s="284" t="s">
        <v>897</v>
      </c>
      <c r="E14708" s="178">
        <v>2022</v>
      </c>
      <c r="F14708" s="178" t="s">
        <v>23395</v>
      </c>
      <c r="G14708" s="496"/>
      <c r="H14708" s="994" t="s">
        <v>20221</v>
      </c>
      <c r="I14708" s="11" t="s">
        <v>14411</v>
      </c>
      <c r="J14708" s="1285"/>
      <c r="K14708" s="1285"/>
      <c r="L14708" s="1285"/>
    </row>
    <row r="14709" spans="1:12" ht="9" customHeight="1">
      <c r="A14709" s="129" t="s">
        <v>23569</v>
      </c>
      <c r="B14709" s="59" t="s">
        <v>397</v>
      </c>
      <c r="C14709" s="147" t="s">
        <v>20221</v>
      </c>
      <c r="D14709" s="284" t="s">
        <v>897</v>
      </c>
      <c r="E14709" s="178">
        <v>2017</v>
      </c>
      <c r="F14709" s="178" t="s">
        <v>4520</v>
      </c>
      <c r="G14709" s="496"/>
      <c r="H14709" s="994" t="s">
        <v>20221</v>
      </c>
      <c r="I14709" s="11" t="s">
        <v>12357</v>
      </c>
      <c r="J14709" s="1285"/>
      <c r="K14709" s="1285"/>
      <c r="L14709" s="1285"/>
    </row>
    <row r="14710" spans="1:12" ht="9" customHeight="1">
      <c r="A14710" s="129" t="s">
        <v>23557</v>
      </c>
      <c r="B14710" s="59" t="s">
        <v>22315</v>
      </c>
      <c r="C14710" s="147" t="s">
        <v>20221</v>
      </c>
      <c r="D14710" s="284" t="s">
        <v>897</v>
      </c>
      <c r="E14710" s="178">
        <v>2020</v>
      </c>
      <c r="F14710" s="178" t="s">
        <v>4520</v>
      </c>
      <c r="G14710" s="496"/>
      <c r="H14710" s="994" t="s">
        <v>20221</v>
      </c>
      <c r="I14710" s="11" t="s">
        <v>14538</v>
      </c>
      <c r="J14710" s="1285"/>
      <c r="K14710" s="1285"/>
      <c r="L14710" s="1285"/>
    </row>
    <row r="14711" spans="1:12" ht="9" customHeight="1">
      <c r="A14711" s="129" t="s">
        <v>23507</v>
      </c>
      <c r="B14711" s="59" t="s">
        <v>22008</v>
      </c>
      <c r="C14711" s="147" t="s">
        <v>20221</v>
      </c>
      <c r="D14711" s="284" t="s">
        <v>897</v>
      </c>
      <c r="E14711" s="178">
        <v>2023</v>
      </c>
      <c r="F14711" s="178" t="s">
        <v>4520</v>
      </c>
      <c r="G14711" s="496"/>
      <c r="H14711" s="994" t="s">
        <v>20221</v>
      </c>
      <c r="I14711" s="11" t="s">
        <v>12461</v>
      </c>
      <c r="J14711" s="1285"/>
      <c r="K14711" s="1285"/>
      <c r="L14711" s="1285"/>
    </row>
    <row r="14712" spans="1:12" ht="9" customHeight="1">
      <c r="A14712" s="129" t="s">
        <v>23558</v>
      </c>
      <c r="B14712" s="59" t="s">
        <v>22384</v>
      </c>
      <c r="C14712" s="147" t="s">
        <v>20221</v>
      </c>
      <c r="D14712" s="284" t="s">
        <v>897</v>
      </c>
      <c r="E14712" s="178">
        <v>2020</v>
      </c>
      <c r="F14712" s="178" t="s">
        <v>4520</v>
      </c>
      <c r="G14712" s="496"/>
      <c r="H14712" s="994" t="s">
        <v>20221</v>
      </c>
      <c r="I14712" s="11" t="s">
        <v>14819</v>
      </c>
      <c r="J14712" s="1285"/>
      <c r="K14712" s="1285"/>
      <c r="L14712" s="1285"/>
    </row>
    <row r="14713" spans="1:12" ht="9" customHeight="1">
      <c r="A14713" s="285" t="s">
        <v>23555</v>
      </c>
      <c r="B14713" s="59" t="s">
        <v>22292</v>
      </c>
      <c r="C14713" s="147" t="s">
        <v>20221</v>
      </c>
      <c r="D14713" s="284" t="s">
        <v>897</v>
      </c>
      <c r="E14713" s="178">
        <v>2022</v>
      </c>
      <c r="F14713" s="178" t="s">
        <v>23395</v>
      </c>
      <c r="G14713" s="496"/>
      <c r="H14713" s="994" t="s">
        <v>20221</v>
      </c>
      <c r="I14713" s="11" t="s">
        <v>14413</v>
      </c>
      <c r="J14713" s="1285"/>
      <c r="K14713" s="1285"/>
      <c r="L14713" s="1285"/>
    </row>
    <row r="14714" spans="1:12" ht="9" customHeight="1">
      <c r="A14714" s="129" t="s">
        <v>23547</v>
      </c>
      <c r="B14714" s="59" t="s">
        <v>20634</v>
      </c>
      <c r="C14714" s="147" t="s">
        <v>20221</v>
      </c>
      <c r="D14714" s="284" t="s">
        <v>897</v>
      </c>
      <c r="E14714" s="178">
        <v>2015</v>
      </c>
      <c r="F14714" s="178" t="s">
        <v>4520</v>
      </c>
      <c r="G14714" s="496"/>
      <c r="H14714" s="994" t="s">
        <v>20221</v>
      </c>
      <c r="I14714" s="11" t="s">
        <v>3856</v>
      </c>
      <c r="J14714" s="1285"/>
      <c r="K14714" s="1285"/>
      <c r="L14714" s="1285"/>
    </row>
    <row r="14715" spans="1:12" ht="9" customHeight="1">
      <c r="A14715" s="129" t="s">
        <v>23509</v>
      </c>
      <c r="B14715" s="59" t="s">
        <v>21719</v>
      </c>
      <c r="C14715" s="147" t="s">
        <v>20221</v>
      </c>
      <c r="D14715" s="284" t="s">
        <v>897</v>
      </c>
      <c r="E14715" s="178">
        <v>2018</v>
      </c>
      <c r="F14715" s="178" t="s">
        <v>4520</v>
      </c>
      <c r="G14715" s="496"/>
      <c r="H14715" s="994" t="s">
        <v>20221</v>
      </c>
      <c r="I14715" s="11" t="s">
        <v>10591</v>
      </c>
      <c r="J14715" s="1285"/>
      <c r="K14715" s="1285"/>
      <c r="L14715" s="1285"/>
    </row>
    <row r="14716" spans="1:12" ht="9" customHeight="1">
      <c r="A14716" s="129" t="s">
        <v>23509</v>
      </c>
      <c r="B14716" s="59" t="s">
        <v>21720</v>
      </c>
      <c r="C14716" s="147" t="s">
        <v>20221</v>
      </c>
      <c r="D14716" s="284" t="s">
        <v>897</v>
      </c>
      <c r="E14716" s="178">
        <v>2018</v>
      </c>
      <c r="F14716" s="178" t="s">
        <v>4520</v>
      </c>
      <c r="G14716" s="496"/>
      <c r="H14716" s="994" t="s">
        <v>20221</v>
      </c>
      <c r="I14716" s="11" t="s">
        <v>10593</v>
      </c>
      <c r="J14716" s="1285"/>
      <c r="K14716" s="1285"/>
      <c r="L14716" s="1285"/>
    </row>
    <row r="14717" spans="1:12" ht="9" customHeight="1">
      <c r="A14717" s="129" t="s">
        <v>23521</v>
      </c>
      <c r="B14717" s="59" t="s">
        <v>22884</v>
      </c>
      <c r="C14717" s="147" t="s">
        <v>20221</v>
      </c>
      <c r="D14717" s="284" t="s">
        <v>897</v>
      </c>
      <c r="E14717" s="178">
        <v>2011</v>
      </c>
      <c r="F14717" s="178" t="s">
        <v>23395</v>
      </c>
      <c r="G14717" s="496"/>
      <c r="H14717" s="994" t="s">
        <v>20221</v>
      </c>
      <c r="I14717" s="11" t="s">
        <v>17213</v>
      </c>
      <c r="J14717" s="1285"/>
      <c r="K14717" s="1285"/>
      <c r="L14717" s="1285"/>
    </row>
    <row r="14718" spans="1:12" ht="9" customHeight="1">
      <c r="A14718" s="129" t="s">
        <v>23570</v>
      </c>
      <c r="B14718" s="59" t="s">
        <v>22091</v>
      </c>
      <c r="C14718" s="147" t="s">
        <v>20221</v>
      </c>
      <c r="D14718" s="284" t="s">
        <v>897</v>
      </c>
      <c r="E14718" s="178">
        <v>2013</v>
      </c>
      <c r="F14718" s="178" t="s">
        <v>23395</v>
      </c>
      <c r="G14718" s="496"/>
      <c r="H14718" s="994" t="s">
        <v>20221</v>
      </c>
      <c r="I14718" s="11" t="s">
        <v>13106</v>
      </c>
      <c r="J14718" s="1285"/>
      <c r="K14718" s="1285"/>
      <c r="L14718" s="1285"/>
    </row>
    <row r="14719" spans="1:12" ht="9" customHeight="1">
      <c r="A14719" s="129" t="s">
        <v>23560</v>
      </c>
      <c r="B14719" s="59" t="s">
        <v>22276</v>
      </c>
      <c r="C14719" s="147" t="s">
        <v>20221</v>
      </c>
      <c r="D14719" s="284" t="s">
        <v>897</v>
      </c>
      <c r="E14719" s="178">
        <v>2021</v>
      </c>
      <c r="F14719" s="178" t="s">
        <v>23395</v>
      </c>
      <c r="G14719" s="496"/>
      <c r="H14719" s="994" t="s">
        <v>20221</v>
      </c>
      <c r="I14719" s="11" t="s">
        <v>14330</v>
      </c>
      <c r="J14719" s="1285"/>
      <c r="K14719" s="1285"/>
      <c r="L14719" s="1285"/>
    </row>
    <row r="14720" spans="1:12" ht="9" customHeight="1">
      <c r="A14720" s="129" t="s">
        <v>23548</v>
      </c>
      <c r="B14720" s="59" t="s">
        <v>21371</v>
      </c>
      <c r="C14720" s="147" t="s">
        <v>20221</v>
      </c>
      <c r="D14720" s="284" t="s">
        <v>897</v>
      </c>
      <c r="E14720" s="178">
        <v>2017</v>
      </c>
      <c r="F14720" s="178" t="s">
        <v>4520</v>
      </c>
      <c r="G14720" s="496"/>
      <c r="H14720" s="994" t="s">
        <v>20221</v>
      </c>
      <c r="I14720" s="11" t="s">
        <v>8731</v>
      </c>
      <c r="J14720" s="1285"/>
      <c r="K14720" s="1285"/>
      <c r="L14720" s="1285"/>
    </row>
    <row r="14721" spans="1:12" ht="9" customHeight="1">
      <c r="A14721" s="129" t="s">
        <v>23561</v>
      </c>
      <c r="B14721" s="59" t="s">
        <v>22307</v>
      </c>
      <c r="C14721" s="147" t="s">
        <v>20221</v>
      </c>
      <c r="D14721" s="284" t="s">
        <v>897</v>
      </c>
      <c r="E14721" s="178">
        <v>2021</v>
      </c>
      <c r="F14721" s="178" t="s">
        <v>23395</v>
      </c>
      <c r="G14721" s="496"/>
      <c r="H14721" s="994" t="s">
        <v>20221</v>
      </c>
      <c r="I14721" s="11" t="s">
        <v>14503</v>
      </c>
      <c r="J14721" s="1285"/>
      <c r="K14721" s="1285"/>
      <c r="L14721" s="1285"/>
    </row>
    <row r="14722" spans="1:12" ht="9" customHeight="1">
      <c r="A14722" s="129" t="s">
        <v>23504</v>
      </c>
      <c r="B14722" s="59" t="s">
        <v>22283</v>
      </c>
      <c r="C14722" s="147" t="s">
        <v>20221</v>
      </c>
      <c r="D14722" s="284" t="s">
        <v>897</v>
      </c>
      <c r="E14722" s="178">
        <v>2019</v>
      </c>
      <c r="F14722" s="178" t="s">
        <v>4520</v>
      </c>
      <c r="G14722" s="496"/>
      <c r="H14722" s="994" t="s">
        <v>20221</v>
      </c>
      <c r="I14722" s="11" t="s">
        <v>14373</v>
      </c>
      <c r="J14722" s="1285"/>
      <c r="K14722" s="1285"/>
      <c r="L14722" s="1285"/>
    </row>
    <row r="14723" spans="1:12" ht="9" customHeight="1">
      <c r="A14723" s="129" t="s">
        <v>23503</v>
      </c>
      <c r="B14723" s="59" t="s">
        <v>22272</v>
      </c>
      <c r="C14723" s="147" t="s">
        <v>20221</v>
      </c>
      <c r="D14723" s="284" t="s">
        <v>897</v>
      </c>
      <c r="E14723" s="178">
        <v>2013</v>
      </c>
      <c r="F14723" s="178" t="s">
        <v>23395</v>
      </c>
      <c r="G14723" s="496"/>
      <c r="H14723" s="994" t="s">
        <v>20221</v>
      </c>
      <c r="I14723" s="11" t="s">
        <v>14306</v>
      </c>
      <c r="J14723" s="1285"/>
      <c r="K14723" s="1285"/>
      <c r="L14723" s="1285"/>
    </row>
    <row r="14724" spans="1:12" ht="9" customHeight="1">
      <c r="A14724" s="129" t="s">
        <v>23447</v>
      </c>
      <c r="B14724" s="59" t="s">
        <v>21935</v>
      </c>
      <c r="C14724" s="147" t="s">
        <v>20221</v>
      </c>
      <c r="D14724" s="284" t="s">
        <v>897</v>
      </c>
      <c r="E14724" s="178">
        <v>2011</v>
      </c>
      <c r="F14724" s="178" t="s">
        <v>4520</v>
      </c>
      <c r="G14724" s="496"/>
      <c r="H14724" s="994" t="s">
        <v>20277</v>
      </c>
      <c r="I14724" s="11" t="s">
        <v>12093</v>
      </c>
      <c r="J14724" s="1285"/>
      <c r="K14724" s="1285"/>
      <c r="L14724" s="1285"/>
    </row>
    <row r="14725" spans="1:12" ht="9" customHeight="1">
      <c r="A14725" s="129" t="s">
        <v>23549</v>
      </c>
      <c r="B14725" s="59" t="s">
        <v>21467</v>
      </c>
      <c r="C14725" s="147" t="s">
        <v>20221</v>
      </c>
      <c r="D14725" s="284" t="s">
        <v>897</v>
      </c>
      <c r="E14725" s="178">
        <v>2019</v>
      </c>
      <c r="F14725" s="178" t="s">
        <v>23395</v>
      </c>
      <c r="G14725" s="496"/>
      <c r="H14725" s="994" t="s">
        <v>20221</v>
      </c>
      <c r="I14725" s="11" t="s">
        <v>9245</v>
      </c>
      <c r="J14725" s="1285"/>
      <c r="K14725" s="1285"/>
      <c r="L14725" s="1285"/>
    </row>
    <row r="14726" spans="1:12" ht="9" customHeight="1">
      <c r="A14726" s="129" t="s">
        <v>23550</v>
      </c>
      <c r="B14726" s="59" t="s">
        <v>21420</v>
      </c>
      <c r="C14726" s="147" t="s">
        <v>20221</v>
      </c>
      <c r="D14726" s="284" t="s">
        <v>897</v>
      </c>
      <c r="E14726" s="178">
        <v>2013</v>
      </c>
      <c r="F14726" s="178" t="s">
        <v>4520</v>
      </c>
      <c r="G14726" s="496"/>
      <c r="H14726" s="994" t="s">
        <v>20465</v>
      </c>
      <c r="I14726" s="11" t="s">
        <v>8934</v>
      </c>
      <c r="J14726" s="1285"/>
      <c r="K14726" s="1285"/>
      <c r="L14726" s="1285"/>
    </row>
    <row r="14727" spans="1:12" ht="9" customHeight="1">
      <c r="A14727" s="129" t="s">
        <v>23551</v>
      </c>
      <c r="B14727" s="59" t="s">
        <v>21653</v>
      </c>
      <c r="C14727" s="147" t="s">
        <v>20221</v>
      </c>
      <c r="D14727" s="284" t="s">
        <v>897</v>
      </c>
      <c r="E14727" s="178">
        <v>2013</v>
      </c>
      <c r="F14727" s="178" t="s">
        <v>4520</v>
      </c>
      <c r="G14727" s="496"/>
      <c r="H14727" s="994" t="s">
        <v>20221</v>
      </c>
      <c r="I14727" s="11" t="s">
        <v>10260</v>
      </c>
      <c r="J14727" s="1285"/>
      <c r="K14727" s="1285"/>
      <c r="L14727" s="1285"/>
    </row>
    <row r="14728" spans="1:12" ht="9.75" customHeight="1">
      <c r="A14728" s="129" t="s">
        <v>23574</v>
      </c>
      <c r="B14728" s="59" t="s">
        <v>22137</v>
      </c>
      <c r="C14728" s="147" t="s">
        <v>20221</v>
      </c>
      <c r="D14728" s="284" t="s">
        <v>897</v>
      </c>
      <c r="E14728" s="178">
        <v>2014</v>
      </c>
      <c r="F14728" s="178" t="s">
        <v>4520</v>
      </c>
      <c r="G14728" s="496"/>
      <c r="H14728" s="994" t="s">
        <v>20221</v>
      </c>
      <c r="I14728" s="11" t="s">
        <v>13542</v>
      </c>
      <c r="J14728" s="1285"/>
      <c r="K14728" s="1285"/>
      <c r="L14728" s="1285"/>
    </row>
    <row r="14729" spans="1:12" ht="9" customHeight="1">
      <c r="A14729" s="129" t="s">
        <v>23565</v>
      </c>
      <c r="B14729" s="59" t="s">
        <v>21717</v>
      </c>
      <c r="C14729" s="147" t="s">
        <v>20221</v>
      </c>
      <c r="D14729" s="284" t="s">
        <v>897</v>
      </c>
      <c r="E14729" s="178">
        <v>2020</v>
      </c>
      <c r="F14729" s="178" t="s">
        <v>4520</v>
      </c>
      <c r="G14729" s="496"/>
      <c r="H14729" s="994" t="s">
        <v>20221</v>
      </c>
      <c r="I14729" s="11" t="s">
        <v>10577</v>
      </c>
      <c r="J14729" s="1285"/>
      <c r="K14729" s="1285"/>
      <c r="L14729" s="1285"/>
    </row>
    <row r="14730" spans="1:12" ht="9" customHeight="1">
      <c r="A14730" s="285" t="s">
        <v>23482</v>
      </c>
      <c r="B14730" s="59" t="s">
        <v>22136</v>
      </c>
      <c r="C14730" s="147" t="s">
        <v>20221</v>
      </c>
      <c r="D14730" s="284" t="s">
        <v>897</v>
      </c>
      <c r="E14730" s="178">
        <v>2012</v>
      </c>
      <c r="F14730" s="178" t="s">
        <v>23409</v>
      </c>
      <c r="G14730" s="496"/>
      <c r="H14730" s="994" t="s">
        <v>20221</v>
      </c>
      <c r="I14730" s="11" t="s">
        <v>13534</v>
      </c>
      <c r="J14730" s="1285"/>
      <c r="K14730" s="1285"/>
      <c r="L14730" s="1285"/>
    </row>
    <row r="14731" spans="1:12" ht="24" customHeight="1">
      <c r="A14731" s="904" t="s">
        <v>18868</v>
      </c>
      <c r="B14731" s="916" t="s">
        <v>18890</v>
      </c>
      <c r="C14731" s="147"/>
      <c r="D14731" s="907"/>
      <c r="E14731" s="908"/>
      <c r="F14731" s="909"/>
      <c r="G14731" s="908"/>
      <c r="H14731" s="909"/>
      <c r="I14731" s="11"/>
    </row>
    <row r="14732" spans="1:12" ht="9" customHeight="1">
      <c r="A14732" s="129" t="s">
        <v>23576</v>
      </c>
      <c r="B14732" s="59" t="s">
        <v>22944</v>
      </c>
      <c r="C14732" s="147" t="s">
        <v>20221</v>
      </c>
      <c r="D14732" s="284" t="s">
        <v>897</v>
      </c>
      <c r="E14732" s="178">
        <v>2023</v>
      </c>
      <c r="F14732" s="178" t="s">
        <v>4520</v>
      </c>
      <c r="G14732" s="496"/>
      <c r="H14732" s="994" t="s">
        <v>20221</v>
      </c>
      <c r="I14732" s="11" t="s">
        <v>17622</v>
      </c>
      <c r="J14732" s="1285"/>
      <c r="K14732" s="1285"/>
      <c r="L14732" s="1285"/>
    </row>
    <row r="14733" spans="1:12" ht="9" customHeight="1">
      <c r="A14733" s="129" t="s">
        <v>23557</v>
      </c>
      <c r="B14733" s="59" t="s">
        <v>22315</v>
      </c>
      <c r="C14733" s="147" t="s">
        <v>20221</v>
      </c>
      <c r="D14733" s="284" t="s">
        <v>897</v>
      </c>
      <c r="E14733" s="178">
        <v>2020</v>
      </c>
      <c r="F14733" s="178" t="s">
        <v>4520</v>
      </c>
      <c r="G14733" s="496"/>
      <c r="H14733" s="994" t="s">
        <v>20221</v>
      </c>
      <c r="I14733" s="11" t="s">
        <v>14538</v>
      </c>
      <c r="J14733" s="1285"/>
      <c r="K14733" s="1285"/>
      <c r="L14733" s="1285"/>
    </row>
    <row r="14734" spans="1:12" ht="9" customHeight="1">
      <c r="A14734" s="129" t="s">
        <v>23507</v>
      </c>
      <c r="B14734" s="59" t="s">
        <v>22008</v>
      </c>
      <c r="C14734" s="147" t="s">
        <v>20221</v>
      </c>
      <c r="D14734" s="284" t="s">
        <v>897</v>
      </c>
      <c r="E14734" s="178">
        <v>2023</v>
      </c>
      <c r="F14734" s="178" t="s">
        <v>4520</v>
      </c>
      <c r="G14734" s="496"/>
      <c r="H14734" s="994" t="s">
        <v>20221</v>
      </c>
      <c r="I14734" s="11" t="s">
        <v>12461</v>
      </c>
      <c r="J14734" s="1285"/>
      <c r="K14734" s="1285"/>
      <c r="L14734" s="1285"/>
    </row>
    <row r="14735" spans="1:12" ht="9" customHeight="1">
      <c r="A14735" s="129" t="s">
        <v>23496</v>
      </c>
      <c r="B14735" s="59" t="s">
        <v>21617</v>
      </c>
      <c r="C14735" s="147" t="s">
        <v>20221</v>
      </c>
      <c r="D14735" s="284" t="s">
        <v>897</v>
      </c>
      <c r="E14735" s="178">
        <v>2020</v>
      </c>
      <c r="F14735" s="178" t="s">
        <v>23395</v>
      </c>
      <c r="G14735" s="496"/>
      <c r="H14735" s="994" t="s">
        <v>20221</v>
      </c>
      <c r="I14735" s="11" t="s">
        <v>10074</v>
      </c>
      <c r="J14735" s="1285"/>
      <c r="K14735" s="1285"/>
      <c r="L14735" s="1285"/>
    </row>
    <row r="14736" spans="1:12" ht="11.15" customHeight="1">
      <c r="A14736" s="129" t="s">
        <v>23571</v>
      </c>
      <c r="B14736" s="59" t="s">
        <v>22265</v>
      </c>
      <c r="C14736" s="147" t="s">
        <v>20221</v>
      </c>
      <c r="D14736" s="284" t="s">
        <v>897</v>
      </c>
      <c r="E14736" s="178">
        <v>2015</v>
      </c>
      <c r="F14736" s="178" t="s">
        <v>4520</v>
      </c>
      <c r="G14736" s="496"/>
      <c r="H14736" s="994" t="s">
        <v>20221</v>
      </c>
      <c r="I14736" s="11" t="s">
        <v>14269</v>
      </c>
      <c r="J14736" s="1285"/>
      <c r="K14736" s="1285"/>
      <c r="L14736" s="1285"/>
    </row>
    <row r="14737" spans="1:12" ht="9" customHeight="1">
      <c r="A14737" s="129" t="s">
        <v>23548</v>
      </c>
      <c r="B14737" s="59" t="s">
        <v>21371</v>
      </c>
      <c r="C14737" s="147" t="s">
        <v>20221</v>
      </c>
      <c r="D14737" s="284" t="s">
        <v>897</v>
      </c>
      <c r="E14737" s="178">
        <v>2017</v>
      </c>
      <c r="F14737" s="178" t="s">
        <v>4520</v>
      </c>
      <c r="G14737" s="496"/>
      <c r="H14737" s="994" t="s">
        <v>20221</v>
      </c>
      <c r="I14737" s="11" t="s">
        <v>8731</v>
      </c>
      <c r="J14737" s="1285"/>
      <c r="K14737" s="1285"/>
      <c r="L14737" s="1285"/>
    </row>
    <row r="14738" spans="1:12" ht="9" customHeight="1">
      <c r="A14738" s="129" t="s">
        <v>23551</v>
      </c>
      <c r="B14738" s="59" t="s">
        <v>21653</v>
      </c>
      <c r="C14738" s="147" t="s">
        <v>20221</v>
      </c>
      <c r="D14738" s="284" t="s">
        <v>897</v>
      </c>
      <c r="E14738" s="178">
        <v>2015</v>
      </c>
      <c r="F14738" s="178" t="s">
        <v>4520</v>
      </c>
      <c r="G14738" s="496"/>
      <c r="H14738" s="994" t="s">
        <v>20221</v>
      </c>
      <c r="I14738" s="11" t="s">
        <v>10258</v>
      </c>
      <c r="J14738" s="1285"/>
      <c r="K14738" s="1285"/>
      <c r="L14738" s="1285"/>
    </row>
    <row r="14739" spans="1:12" ht="9" customHeight="1">
      <c r="A14739" s="129" t="s">
        <v>23523</v>
      </c>
      <c r="B14739" s="59" t="s">
        <v>22492</v>
      </c>
      <c r="C14739" s="147" t="s">
        <v>20221</v>
      </c>
      <c r="D14739" s="284" t="s">
        <v>897</v>
      </c>
      <c r="E14739" s="178">
        <v>2015</v>
      </c>
      <c r="F14739" s="178" t="s">
        <v>23395</v>
      </c>
      <c r="G14739" s="496"/>
      <c r="H14739" s="994" t="s">
        <v>20221</v>
      </c>
      <c r="I14739" s="11" t="s">
        <v>15428</v>
      </c>
      <c r="J14739" s="1285"/>
      <c r="K14739" s="1285"/>
      <c r="L14739" s="1285"/>
    </row>
    <row r="14740" spans="1:12" ht="9" customHeight="1">
      <c r="A14740" s="129" t="s">
        <v>23578</v>
      </c>
      <c r="B14740" s="59" t="s">
        <v>21587</v>
      </c>
      <c r="C14740" s="147" t="s">
        <v>23393</v>
      </c>
      <c r="D14740" s="284" t="s">
        <v>897</v>
      </c>
      <c r="E14740" s="178">
        <v>2015</v>
      </c>
      <c r="F14740" s="178" t="s">
        <v>4520</v>
      </c>
      <c r="G14740" s="496"/>
      <c r="H14740" s="994" t="s">
        <v>20221</v>
      </c>
      <c r="I14740" s="11" t="s">
        <v>9941</v>
      </c>
      <c r="J14740" s="1285"/>
      <c r="K14740" s="1285"/>
      <c r="L14740" s="1285"/>
    </row>
    <row r="14741" spans="1:12" ht="9" customHeight="1">
      <c r="A14741" s="129" t="s">
        <v>23540</v>
      </c>
      <c r="B14741" s="59" t="s">
        <v>21711</v>
      </c>
      <c r="C14741" s="147" t="s">
        <v>20221</v>
      </c>
      <c r="D14741" s="284" t="s">
        <v>897</v>
      </c>
      <c r="E14741" s="178">
        <v>2016</v>
      </c>
      <c r="F14741" s="178" t="s">
        <v>4520</v>
      </c>
      <c r="G14741" s="496"/>
      <c r="H14741" s="994" t="s">
        <v>20221</v>
      </c>
      <c r="I14741" s="11" t="s">
        <v>10553</v>
      </c>
      <c r="J14741" s="1285"/>
      <c r="K14741" s="1285"/>
      <c r="L14741" s="1285"/>
    </row>
    <row r="14742" spans="1:12" ht="9" customHeight="1">
      <c r="A14742" s="129" t="s">
        <v>23579</v>
      </c>
      <c r="B14742" s="59" t="s">
        <v>21174</v>
      </c>
      <c r="C14742" s="147" t="s">
        <v>23393</v>
      </c>
      <c r="D14742" s="284" t="s">
        <v>897</v>
      </c>
      <c r="E14742" s="178">
        <v>2018</v>
      </c>
      <c r="F14742" s="178" t="s">
        <v>4520</v>
      </c>
      <c r="G14742" s="496"/>
      <c r="H14742" s="994" t="s">
        <v>20221</v>
      </c>
      <c r="I14742" s="11" t="s">
        <v>7498</v>
      </c>
      <c r="J14742" s="1285"/>
      <c r="K14742" s="1285"/>
      <c r="L14742" s="1285"/>
    </row>
    <row r="14743" spans="1:12" ht="9" customHeight="1">
      <c r="A14743" s="129" t="s">
        <v>23580</v>
      </c>
      <c r="B14743" s="59" t="s">
        <v>20674</v>
      </c>
      <c r="C14743" s="147" t="s">
        <v>20221</v>
      </c>
      <c r="D14743" s="284" t="s">
        <v>897</v>
      </c>
      <c r="E14743" s="178">
        <v>2016</v>
      </c>
      <c r="F14743" s="178" t="s">
        <v>4520</v>
      </c>
      <c r="G14743" s="496"/>
      <c r="H14743" s="994" t="s">
        <v>20277</v>
      </c>
      <c r="I14743" s="11" t="s">
        <v>4169</v>
      </c>
      <c r="J14743" s="1285"/>
      <c r="K14743" s="1285"/>
      <c r="L14743" s="1285"/>
    </row>
    <row r="14744" spans="1:12" ht="9" customHeight="1">
      <c r="A14744" s="129" t="s">
        <v>23581</v>
      </c>
      <c r="B14744" s="59" t="s">
        <v>22396</v>
      </c>
      <c r="C14744" s="147" t="s">
        <v>20221</v>
      </c>
      <c r="D14744" s="284" t="s">
        <v>897</v>
      </c>
      <c r="E14744" s="178">
        <v>2018</v>
      </c>
      <c r="F14744" s="178" t="s">
        <v>4520</v>
      </c>
      <c r="G14744" s="496"/>
      <c r="H14744" s="994" t="s">
        <v>20221</v>
      </c>
      <c r="I14744" s="11" t="s">
        <v>14872</v>
      </c>
      <c r="J14744" s="1285"/>
      <c r="K14744" s="1285"/>
      <c r="L14744" s="1285"/>
    </row>
    <row r="14745" spans="1:12" ht="9" customHeight="1">
      <c r="A14745" s="129" t="s">
        <v>23582</v>
      </c>
      <c r="B14745" s="59" t="s">
        <v>21253</v>
      </c>
      <c r="C14745" s="147" t="s">
        <v>20221</v>
      </c>
      <c r="D14745" s="284" t="s">
        <v>897</v>
      </c>
      <c r="E14745" s="178">
        <v>2015</v>
      </c>
      <c r="F14745" s="178" t="s">
        <v>4520</v>
      </c>
      <c r="G14745" s="496"/>
      <c r="H14745" s="994" t="s">
        <v>20221</v>
      </c>
      <c r="I14745" s="11" t="s">
        <v>8005</v>
      </c>
      <c r="J14745" s="1285"/>
      <c r="K14745" s="1285"/>
      <c r="L14745" s="1285"/>
    </row>
    <row r="14746" spans="1:12" ht="9" customHeight="1">
      <c r="A14746" s="129" t="s">
        <v>23549</v>
      </c>
      <c r="B14746" s="59" t="s">
        <v>21470</v>
      </c>
      <c r="C14746" s="147" t="s">
        <v>20221</v>
      </c>
      <c r="D14746" s="284" t="s">
        <v>897</v>
      </c>
      <c r="E14746" s="178">
        <v>2019</v>
      </c>
      <c r="F14746" s="178" t="s">
        <v>23395</v>
      </c>
      <c r="G14746" s="496"/>
      <c r="H14746" s="994" t="s">
        <v>20221</v>
      </c>
      <c r="I14746" s="11" t="s">
        <v>9260</v>
      </c>
      <c r="J14746" s="1285"/>
      <c r="K14746" s="1285"/>
      <c r="L14746" s="1285"/>
    </row>
    <row r="14747" spans="1:12" ht="9" customHeight="1">
      <c r="A14747" s="129" t="s">
        <v>23531</v>
      </c>
      <c r="B14747" s="59" t="s">
        <v>22771</v>
      </c>
      <c r="C14747" s="147" t="s">
        <v>20221</v>
      </c>
      <c r="D14747" s="284" t="s">
        <v>897</v>
      </c>
      <c r="E14747" s="178">
        <v>2016</v>
      </c>
      <c r="F14747" s="178" t="s">
        <v>4520</v>
      </c>
      <c r="G14747" s="496"/>
      <c r="H14747" s="994" t="s">
        <v>20221</v>
      </c>
      <c r="I14747" s="11" t="s">
        <v>16334</v>
      </c>
      <c r="J14747" s="1285"/>
      <c r="K14747" s="1285"/>
      <c r="L14747" s="1285"/>
    </row>
    <row r="14748" spans="1:12" ht="9" customHeight="1">
      <c r="A14748" s="129" t="s">
        <v>23251</v>
      </c>
      <c r="B14748" s="59" t="s">
        <v>20937</v>
      </c>
      <c r="C14748" s="147" t="s">
        <v>20221</v>
      </c>
      <c r="D14748" s="284" t="s">
        <v>897</v>
      </c>
      <c r="E14748" s="178">
        <v>2017</v>
      </c>
      <c r="F14748" s="178" t="s">
        <v>23395</v>
      </c>
      <c r="G14748" s="496"/>
      <c r="H14748" s="994" t="s">
        <v>20221</v>
      </c>
      <c r="I14748" s="11" t="s">
        <v>6340</v>
      </c>
      <c r="J14748" s="1285"/>
      <c r="K14748" s="1285"/>
      <c r="L14748" s="1285"/>
    </row>
    <row r="14749" spans="1:12" ht="9" customHeight="1">
      <c r="A14749" s="129" t="s">
        <v>23583</v>
      </c>
      <c r="B14749" s="59" t="s">
        <v>21389</v>
      </c>
      <c r="C14749" s="147" t="s">
        <v>20221</v>
      </c>
      <c r="D14749" s="284" t="s">
        <v>897</v>
      </c>
      <c r="E14749" s="178">
        <v>2015</v>
      </c>
      <c r="F14749" s="178" t="s">
        <v>4520</v>
      </c>
      <c r="G14749" s="496"/>
      <c r="H14749" s="994" t="s">
        <v>20221</v>
      </c>
      <c r="I14749" s="11" t="s">
        <v>12345</v>
      </c>
      <c r="J14749" s="1285"/>
      <c r="K14749" s="1285"/>
      <c r="L14749" s="1285"/>
    </row>
    <row r="14750" spans="1:12" ht="9" customHeight="1">
      <c r="A14750" s="129" t="s">
        <v>23584</v>
      </c>
      <c r="B14750" s="59" t="s">
        <v>22032</v>
      </c>
      <c r="C14750" s="147" t="s">
        <v>20221</v>
      </c>
      <c r="D14750" s="284" t="s">
        <v>897</v>
      </c>
      <c r="E14750" s="178">
        <v>2021</v>
      </c>
      <c r="F14750" s="178" t="s">
        <v>4520</v>
      </c>
      <c r="G14750" s="496"/>
      <c r="H14750" s="994" t="s">
        <v>20221</v>
      </c>
      <c r="I14750" s="11" t="s">
        <v>12694</v>
      </c>
      <c r="J14750" s="1285"/>
      <c r="K14750" s="1285"/>
      <c r="L14750" s="1285"/>
    </row>
    <row r="14751" spans="1:12" ht="9" customHeight="1">
      <c r="A14751" s="129" t="s">
        <v>23490</v>
      </c>
      <c r="B14751" s="59" t="s">
        <v>20227</v>
      </c>
      <c r="C14751" s="147" t="s">
        <v>20221</v>
      </c>
      <c r="D14751" s="284" t="s">
        <v>897</v>
      </c>
      <c r="E14751" s="178">
        <v>2020</v>
      </c>
      <c r="F14751" s="178" t="s">
        <v>4520</v>
      </c>
      <c r="G14751" s="496"/>
      <c r="H14751" s="994" t="s">
        <v>20221</v>
      </c>
      <c r="I14751" s="11" t="s">
        <v>898</v>
      </c>
      <c r="J14751" s="1285"/>
      <c r="K14751" s="1285"/>
      <c r="L14751" s="1285"/>
    </row>
    <row r="14752" spans="1:12" ht="24" customHeight="1">
      <c r="A14752" s="910" t="s">
        <v>18868</v>
      </c>
      <c r="B14752" s="893" t="s">
        <v>18891</v>
      </c>
      <c r="C14752" s="321"/>
      <c r="D14752" s="911"/>
      <c r="E14752" s="339"/>
      <c r="F14752" s="1096"/>
      <c r="G14752" s="1054"/>
      <c r="H14752" s="895"/>
      <c r="I14752" s="11"/>
    </row>
    <row r="14753" spans="1:12" ht="11.15" customHeight="1">
      <c r="A14753" s="871"/>
      <c r="B14753" s="896" t="s">
        <v>18846</v>
      </c>
      <c r="C14753" s="897"/>
      <c r="D14753" s="898"/>
      <c r="E14753" s="899"/>
      <c r="F14753" s="899"/>
      <c r="G14753" s="900"/>
      <c r="H14753" s="899"/>
      <c r="I14753" s="11"/>
    </row>
    <row r="14754" spans="1:12" ht="9" customHeight="1">
      <c r="A14754" s="330" t="s">
        <v>23494</v>
      </c>
      <c r="B14754" s="324" t="s">
        <v>21648</v>
      </c>
      <c r="C14754" s="321" t="s">
        <v>23393</v>
      </c>
      <c r="D14754" s="1295" t="s">
        <v>897</v>
      </c>
      <c r="E14754" s="578">
        <v>2022</v>
      </c>
      <c r="F14754" s="578" t="s">
        <v>23395</v>
      </c>
      <c r="G14754" s="1204"/>
      <c r="H14754" s="1296" t="s">
        <v>20465</v>
      </c>
      <c r="I14754" s="11" t="s">
        <v>10236</v>
      </c>
      <c r="J14754" s="1285"/>
      <c r="K14754" s="1285"/>
      <c r="L14754" s="1285"/>
    </row>
    <row r="14755" spans="1:12" ht="9" customHeight="1">
      <c r="A14755" s="330" t="s">
        <v>23585</v>
      </c>
      <c r="B14755" s="324" t="s">
        <v>18769</v>
      </c>
      <c r="C14755" s="321" t="s">
        <v>20221</v>
      </c>
      <c r="D14755" s="1295" t="s">
        <v>897</v>
      </c>
      <c r="E14755" s="578">
        <v>2019</v>
      </c>
      <c r="F14755" s="578" t="s">
        <v>4520</v>
      </c>
      <c r="G14755" s="1204"/>
      <c r="H14755" s="1296" t="s">
        <v>20277</v>
      </c>
      <c r="I14755" s="11" t="s">
        <v>16460</v>
      </c>
      <c r="J14755" s="1285"/>
      <c r="K14755" s="1285"/>
      <c r="L14755" s="1285"/>
    </row>
    <row r="14756" spans="1:12" ht="9" customHeight="1">
      <c r="A14756" s="330" t="s">
        <v>23508</v>
      </c>
      <c r="B14756" s="324" t="s">
        <v>21982</v>
      </c>
      <c r="C14756" s="321" t="s">
        <v>20221</v>
      </c>
      <c r="D14756" s="1295" t="s">
        <v>897</v>
      </c>
      <c r="E14756" s="578">
        <v>2021</v>
      </c>
      <c r="F14756" s="578" t="s">
        <v>4520</v>
      </c>
      <c r="G14756" s="1204"/>
      <c r="H14756" s="1296" t="s">
        <v>20277</v>
      </c>
      <c r="I14756" s="11" t="s">
        <v>12337</v>
      </c>
      <c r="J14756" s="1285"/>
      <c r="K14756" s="1285"/>
      <c r="L14756" s="1285"/>
    </row>
    <row r="14757" spans="1:12" ht="9" customHeight="1" thickBot="1">
      <c r="A14757" s="902" t="s">
        <v>23550</v>
      </c>
      <c r="B14757" s="324" t="s">
        <v>21421</v>
      </c>
      <c r="C14757" s="321" t="s">
        <v>20221</v>
      </c>
      <c r="D14757" s="1295" t="s">
        <v>897</v>
      </c>
      <c r="E14757" s="578">
        <v>2014</v>
      </c>
      <c r="F14757" s="578" t="s">
        <v>4520</v>
      </c>
      <c r="G14757" s="1204"/>
      <c r="H14757" s="1296" t="s">
        <v>20465</v>
      </c>
      <c r="I14757" s="11" t="s">
        <v>8936</v>
      </c>
      <c r="J14757" s="1285"/>
      <c r="K14757" s="1285"/>
      <c r="L14757" s="1285"/>
    </row>
    <row r="14758" spans="1:12" ht="24" customHeight="1" thickBot="1">
      <c r="A14758" s="234"/>
      <c r="B14758" s="64" t="s">
        <v>23735</v>
      </c>
      <c r="C14758" s="170"/>
      <c r="D14758" s="139"/>
      <c r="E14758" s="874"/>
      <c r="F14758" s="1094"/>
      <c r="G14758" s="1094"/>
      <c r="H14758" s="875"/>
      <c r="I14758" s="11"/>
    </row>
    <row r="14759" spans="1:12" ht="24" customHeight="1">
      <c r="A14759" s="904" t="s">
        <v>18868</v>
      </c>
      <c r="B14759" s="891" t="s">
        <v>18871</v>
      </c>
      <c r="C14759" s="147"/>
      <c r="D14759" s="889"/>
      <c r="E14759" s="177"/>
      <c r="F14759" s="1095"/>
      <c r="G14759" s="908"/>
      <c r="H14759" s="890"/>
      <c r="I14759" s="11"/>
    </row>
    <row r="14760" spans="1:12" ht="9" customHeight="1">
      <c r="A14760" s="129" t="s">
        <v>23492</v>
      </c>
      <c r="B14760" s="59" t="s">
        <v>21896</v>
      </c>
      <c r="C14760" s="147" t="s">
        <v>20221</v>
      </c>
      <c r="D14760" s="739" t="s">
        <v>11144</v>
      </c>
      <c r="E14760" s="178">
        <v>2023</v>
      </c>
      <c r="F14760" s="178" t="s">
        <v>7168</v>
      </c>
      <c r="G14760" s="496"/>
      <c r="H14760" s="994" t="s">
        <v>20221</v>
      </c>
      <c r="I14760" s="11" t="s">
        <v>11822</v>
      </c>
      <c r="J14760" s="1285"/>
      <c r="K14760" s="1285"/>
      <c r="L14760" s="1285"/>
    </row>
    <row r="14761" spans="1:12" ht="9" customHeight="1">
      <c r="A14761" s="129" t="s">
        <v>23493</v>
      </c>
      <c r="B14761" s="59" t="s">
        <v>21786</v>
      </c>
      <c r="C14761" s="147" t="s">
        <v>20221</v>
      </c>
      <c r="D14761" s="739" t="s">
        <v>11144</v>
      </c>
      <c r="E14761" s="178">
        <v>2022</v>
      </c>
      <c r="F14761" s="178" t="s">
        <v>4520</v>
      </c>
      <c r="G14761" s="496"/>
      <c r="H14761" s="994" t="s">
        <v>20221</v>
      </c>
      <c r="I14761" s="11" t="s">
        <v>11145</v>
      </c>
      <c r="J14761" s="1285"/>
      <c r="K14761" s="1285"/>
      <c r="L14761" s="1285"/>
    </row>
    <row r="14762" spans="1:12" ht="9" customHeight="1">
      <c r="A14762" s="129" t="s">
        <v>23492</v>
      </c>
      <c r="B14762" s="59" t="s">
        <v>21897</v>
      </c>
      <c r="C14762" s="147" t="s">
        <v>20221</v>
      </c>
      <c r="D14762" s="739" t="s">
        <v>11144</v>
      </c>
      <c r="E14762" s="178">
        <v>2023</v>
      </c>
      <c r="F14762" s="178" t="s">
        <v>4520</v>
      </c>
      <c r="G14762" s="496"/>
      <c r="H14762" s="994" t="s">
        <v>20221</v>
      </c>
      <c r="I14762" s="11" t="s">
        <v>11824</v>
      </c>
      <c r="J14762" s="1285"/>
      <c r="K14762" s="1285"/>
      <c r="L14762" s="1285"/>
    </row>
    <row r="14763" spans="1:12" ht="9" customHeight="1">
      <c r="A14763" s="285" t="s">
        <v>23486</v>
      </c>
      <c r="B14763" s="59" t="s">
        <v>21922</v>
      </c>
      <c r="C14763" s="147" t="s">
        <v>20221</v>
      </c>
      <c r="D14763" s="1034" t="s">
        <v>8904</v>
      </c>
      <c r="E14763" s="178" t="s">
        <v>19060</v>
      </c>
      <c r="F14763" s="178" t="s">
        <v>4520</v>
      </c>
      <c r="G14763" s="496"/>
      <c r="H14763" s="994" t="s">
        <v>20224</v>
      </c>
      <c r="I14763" s="11" t="s">
        <v>12012</v>
      </c>
      <c r="J14763" s="1285"/>
      <c r="K14763" s="1285"/>
      <c r="L14763" s="1285"/>
    </row>
    <row r="14764" spans="1:12" ht="9" customHeight="1">
      <c r="A14764" s="285" t="s">
        <v>23481</v>
      </c>
      <c r="B14764" s="59" t="s">
        <v>21414</v>
      </c>
      <c r="C14764" s="147" t="s">
        <v>23393</v>
      </c>
      <c r="D14764" s="1034" t="s">
        <v>8904</v>
      </c>
      <c r="E14764" s="178">
        <v>2024</v>
      </c>
      <c r="F14764" s="178" t="s">
        <v>23395</v>
      </c>
      <c r="G14764" s="496"/>
      <c r="H14764" s="994" t="s">
        <v>20221</v>
      </c>
      <c r="I14764" s="11" t="s">
        <v>8905</v>
      </c>
      <c r="J14764" s="1285"/>
      <c r="K14764" s="1285"/>
      <c r="L14764" s="1285"/>
    </row>
    <row r="14765" spans="1:12" ht="24" customHeight="1">
      <c r="A14765" s="904" t="s">
        <v>18868</v>
      </c>
      <c r="B14765" s="888" t="s">
        <v>18892</v>
      </c>
      <c r="C14765" s="147"/>
      <c r="D14765" s="161"/>
      <c r="E14765" s="177"/>
      <c r="F14765" s="1095"/>
      <c r="G14765" s="908"/>
      <c r="H14765" s="890"/>
      <c r="I14765" s="11"/>
    </row>
    <row r="14766" spans="1:12" ht="11.15" customHeight="1">
      <c r="A14766" s="185"/>
      <c r="B14766" s="122" t="s">
        <v>18893</v>
      </c>
      <c r="C14766" s="147"/>
      <c r="D14766" s="182"/>
      <c r="E14766" s="36"/>
      <c r="F14766" s="183"/>
      <c r="G14766" s="496"/>
      <c r="H14766" s="183"/>
      <c r="I14766" s="11"/>
    </row>
    <row r="14767" spans="1:12" ht="9" customHeight="1">
      <c r="A14767" s="285" t="s">
        <v>23586</v>
      </c>
      <c r="B14767" s="59" t="s">
        <v>20631</v>
      </c>
      <c r="C14767" s="147" t="s">
        <v>23393</v>
      </c>
      <c r="D14767" s="739" t="s">
        <v>1410</v>
      </c>
      <c r="E14767" s="178">
        <v>2021</v>
      </c>
      <c r="F14767" s="178" t="s">
        <v>23404</v>
      </c>
      <c r="G14767" s="496"/>
      <c r="H14767" s="994" t="s">
        <v>20221</v>
      </c>
      <c r="I14767" s="11" t="s">
        <v>3818</v>
      </c>
      <c r="J14767" s="1285"/>
      <c r="K14767" s="1285"/>
      <c r="L14767" s="1285"/>
    </row>
    <row r="14768" spans="1:12" ht="9" customHeight="1">
      <c r="A14768" s="285" t="s">
        <v>23463</v>
      </c>
      <c r="B14768" s="59" t="s">
        <v>20472</v>
      </c>
      <c r="C14768" s="147" t="s">
        <v>20221</v>
      </c>
      <c r="D14768" s="739" t="s">
        <v>1410</v>
      </c>
      <c r="E14768" s="178">
        <v>2017</v>
      </c>
      <c r="F14768" s="178" t="s">
        <v>4520</v>
      </c>
      <c r="G14768" s="496"/>
      <c r="H14768" s="994" t="s">
        <v>20465</v>
      </c>
      <c r="I14768" s="11" t="s">
        <v>2587</v>
      </c>
      <c r="J14768" s="1285"/>
      <c r="K14768" s="1285"/>
      <c r="L14768" s="1285"/>
    </row>
    <row r="14769" spans="1:12" ht="9" customHeight="1">
      <c r="A14769" s="129" t="s">
        <v>23523</v>
      </c>
      <c r="B14769" s="59" t="s">
        <v>22493</v>
      </c>
      <c r="C14769" s="147" t="s">
        <v>20221</v>
      </c>
      <c r="D14769" s="739" t="s">
        <v>1410</v>
      </c>
      <c r="E14769" s="178" t="s">
        <v>20221</v>
      </c>
      <c r="F14769" s="178" t="s">
        <v>23400</v>
      </c>
      <c r="G14769" s="496" t="s">
        <v>20221</v>
      </c>
      <c r="H14769" s="994" t="s">
        <v>3907</v>
      </c>
      <c r="I14769" s="11" t="s">
        <v>15430</v>
      </c>
      <c r="J14769" s="1285"/>
      <c r="K14769" s="1285"/>
      <c r="L14769" s="1285"/>
    </row>
    <row r="14770" spans="1:12" ht="9" customHeight="1">
      <c r="A14770" s="129" t="s">
        <v>23533</v>
      </c>
      <c r="B14770" s="59" t="s">
        <v>22486</v>
      </c>
      <c r="C14770" s="147" t="s">
        <v>20221</v>
      </c>
      <c r="D14770" s="739" t="s">
        <v>1410</v>
      </c>
      <c r="E14770" s="178">
        <v>2018</v>
      </c>
      <c r="F14770" s="178" t="s">
        <v>23400</v>
      </c>
      <c r="G14770" s="496"/>
      <c r="H14770" s="994" t="s">
        <v>20221</v>
      </c>
      <c r="I14770" s="11" t="s">
        <v>15409</v>
      </c>
      <c r="J14770" s="1285"/>
      <c r="K14770" s="1285"/>
      <c r="L14770" s="1285"/>
    </row>
    <row r="14771" spans="1:12" ht="9" customHeight="1">
      <c r="A14771" s="129" t="s">
        <v>23520</v>
      </c>
      <c r="B14771" s="59" t="s">
        <v>22588</v>
      </c>
      <c r="C14771" s="147" t="s">
        <v>20221</v>
      </c>
      <c r="D14771" s="739" t="s">
        <v>1410</v>
      </c>
      <c r="E14771" s="178">
        <v>2023</v>
      </c>
      <c r="F14771" s="178" t="s">
        <v>4520</v>
      </c>
      <c r="G14771" s="496"/>
      <c r="H14771" s="994" t="s">
        <v>20221</v>
      </c>
      <c r="I14771" s="11" t="s">
        <v>15881</v>
      </c>
      <c r="J14771" s="1285"/>
      <c r="K14771" s="1285"/>
      <c r="L14771" s="1285"/>
    </row>
    <row r="14772" spans="1:12" ht="9" customHeight="1">
      <c r="A14772" s="285" t="s">
        <v>23543</v>
      </c>
      <c r="B14772" s="59" t="s">
        <v>22356</v>
      </c>
      <c r="C14772" s="147" t="s">
        <v>20221</v>
      </c>
      <c r="D14772" s="1035" t="s">
        <v>14689</v>
      </c>
      <c r="E14772" s="178" t="s">
        <v>22357</v>
      </c>
      <c r="F14772" s="178" t="s">
        <v>4520</v>
      </c>
      <c r="G14772" s="496"/>
      <c r="H14772" s="994" t="s">
        <v>20221</v>
      </c>
      <c r="I14772" s="11" t="s">
        <v>14690</v>
      </c>
      <c r="J14772" s="1285"/>
      <c r="K14772" s="1285"/>
      <c r="L14772" s="1285"/>
    </row>
    <row r="14773" spans="1:12" ht="9" customHeight="1">
      <c r="A14773" s="285" t="s">
        <v>23587</v>
      </c>
      <c r="B14773" s="59" t="s">
        <v>20622</v>
      </c>
      <c r="C14773" s="147" t="s">
        <v>20221</v>
      </c>
      <c r="D14773" s="1035" t="s">
        <v>14689</v>
      </c>
      <c r="E14773" s="178">
        <v>2022</v>
      </c>
      <c r="F14773" s="178" t="s">
        <v>4520</v>
      </c>
      <c r="G14773" s="496"/>
      <c r="H14773" s="994" t="s">
        <v>20221</v>
      </c>
      <c r="I14773" s="11" t="s">
        <v>3743</v>
      </c>
      <c r="J14773" s="1285"/>
      <c r="K14773" s="1285"/>
      <c r="L14773" s="1285"/>
    </row>
    <row r="14774" spans="1:12" ht="9" customHeight="1">
      <c r="A14774" s="129" t="s">
        <v>23532</v>
      </c>
      <c r="B14774" s="59" t="s">
        <v>22156</v>
      </c>
      <c r="C14774" s="147" t="s">
        <v>20221</v>
      </c>
      <c r="D14774" s="739" t="s">
        <v>1410</v>
      </c>
      <c r="E14774" s="178">
        <v>2022</v>
      </c>
      <c r="F14774" s="178" t="s">
        <v>23398</v>
      </c>
      <c r="G14774" s="496"/>
      <c r="H14774" s="994" t="s">
        <v>20221</v>
      </c>
      <c r="I14774" s="11" t="s">
        <v>13654</v>
      </c>
      <c r="J14774" s="1285"/>
      <c r="K14774" s="1285"/>
      <c r="L14774" s="1285"/>
    </row>
    <row r="14775" spans="1:12" ht="9" customHeight="1">
      <c r="A14775" s="285" t="s">
        <v>23586</v>
      </c>
      <c r="B14775" s="59" t="s">
        <v>20632</v>
      </c>
      <c r="C14775" s="147" t="s">
        <v>23393</v>
      </c>
      <c r="D14775" s="739" t="s">
        <v>1410</v>
      </c>
      <c r="E14775" s="178">
        <v>2021</v>
      </c>
      <c r="F14775" s="178" t="s">
        <v>23404</v>
      </c>
      <c r="G14775" s="496"/>
      <c r="H14775" s="994" t="s">
        <v>20221</v>
      </c>
      <c r="I14775" s="11" t="s">
        <v>3820</v>
      </c>
      <c r="J14775" s="1285"/>
      <c r="K14775" s="1285"/>
      <c r="L14775" s="1285"/>
    </row>
    <row r="14776" spans="1:12" ht="9" customHeight="1">
      <c r="A14776" s="285" t="s">
        <v>23588</v>
      </c>
      <c r="B14776" s="59" t="s">
        <v>20623</v>
      </c>
      <c r="C14776" s="147" t="s">
        <v>20221</v>
      </c>
      <c r="D14776" s="739" t="s">
        <v>1410</v>
      </c>
      <c r="E14776" s="178">
        <v>2020</v>
      </c>
      <c r="F14776" s="178" t="s">
        <v>4520</v>
      </c>
      <c r="G14776" s="496"/>
      <c r="H14776" s="994" t="s">
        <v>20221</v>
      </c>
      <c r="I14776" s="11" t="s">
        <v>3752</v>
      </c>
      <c r="J14776" s="1285"/>
      <c r="K14776" s="1285"/>
      <c r="L14776" s="1285"/>
    </row>
    <row r="14777" spans="1:12" ht="9" customHeight="1">
      <c r="A14777" s="455" t="s">
        <v>23589</v>
      </c>
      <c r="B14777" s="59" t="s">
        <v>23100</v>
      </c>
      <c r="C14777" s="147" t="s">
        <v>20221</v>
      </c>
      <c r="D14777" s="1035" t="s">
        <v>1280</v>
      </c>
      <c r="E14777" s="178" t="s">
        <v>23101</v>
      </c>
      <c r="F14777" s="178" t="s">
        <v>4520</v>
      </c>
      <c r="G14777" s="496"/>
      <c r="H14777" s="994" t="s">
        <v>20221</v>
      </c>
      <c r="I14777" s="11" t="s">
        <v>18510</v>
      </c>
      <c r="J14777" s="1285"/>
      <c r="K14777" s="1285"/>
      <c r="L14777" s="1285"/>
    </row>
    <row r="14778" spans="1:12" ht="9" customHeight="1">
      <c r="A14778" s="455" t="s">
        <v>23589</v>
      </c>
      <c r="B14778" s="59" t="s">
        <v>23102</v>
      </c>
      <c r="C14778" s="147" t="s">
        <v>20221</v>
      </c>
      <c r="D14778" s="1035" t="s">
        <v>1280</v>
      </c>
      <c r="E14778" s="178" t="s">
        <v>23103</v>
      </c>
      <c r="F14778" s="178" t="s">
        <v>23398</v>
      </c>
      <c r="G14778" s="496"/>
      <c r="H14778" s="994" t="s">
        <v>20221</v>
      </c>
      <c r="I14778" s="11" t="s">
        <v>18512</v>
      </c>
      <c r="J14778" s="1285"/>
      <c r="K14778" s="1285"/>
      <c r="L14778" s="1285"/>
    </row>
    <row r="14779" spans="1:12" ht="9" customHeight="1">
      <c r="A14779" s="129" t="s">
        <v>23590</v>
      </c>
      <c r="B14779" s="59" t="s">
        <v>21390</v>
      </c>
      <c r="C14779" s="147" t="s">
        <v>23393</v>
      </c>
      <c r="D14779" s="739" t="s">
        <v>1410</v>
      </c>
      <c r="E14779" s="178">
        <v>2018</v>
      </c>
      <c r="F14779" s="178" t="s">
        <v>7168</v>
      </c>
      <c r="G14779" s="496"/>
      <c r="H14779" s="994" t="s">
        <v>20277</v>
      </c>
      <c r="I14779" s="11" t="s">
        <v>8797</v>
      </c>
      <c r="J14779" s="1285"/>
      <c r="K14779" s="1285"/>
      <c r="L14779" s="1285"/>
    </row>
    <row r="14780" spans="1:12" ht="9" customHeight="1">
      <c r="A14780" s="285" t="s">
        <v>23543</v>
      </c>
      <c r="B14780" s="59" t="s">
        <v>22358</v>
      </c>
      <c r="C14780" s="147" t="s">
        <v>20221</v>
      </c>
      <c r="D14780" s="1035" t="s">
        <v>14689</v>
      </c>
      <c r="E14780" s="178" t="s">
        <v>22359</v>
      </c>
      <c r="F14780" s="178" t="s">
        <v>7168</v>
      </c>
      <c r="G14780" s="496"/>
      <c r="H14780" s="994" t="s">
        <v>20221</v>
      </c>
      <c r="I14780" s="11" t="s">
        <v>14692</v>
      </c>
      <c r="J14780" s="1285"/>
      <c r="K14780" s="1285"/>
      <c r="L14780" s="1285"/>
    </row>
    <row r="14781" spans="1:12" ht="24" customHeight="1">
      <c r="A14781" s="904" t="s">
        <v>18868</v>
      </c>
      <c r="B14781" s="888" t="s">
        <v>18894</v>
      </c>
      <c r="C14781" s="147"/>
      <c r="D14781" s="161"/>
      <c r="E14781" s="177"/>
      <c r="F14781" s="1095"/>
      <c r="G14781" s="908"/>
      <c r="H14781" s="890"/>
      <c r="I14781" s="11"/>
    </row>
    <row r="14782" spans="1:12" ht="9" customHeight="1">
      <c r="A14782" s="129" t="s">
        <v>23591</v>
      </c>
      <c r="B14782" s="59" t="s">
        <v>23049</v>
      </c>
      <c r="C14782" s="147" t="s">
        <v>20221</v>
      </c>
      <c r="D14782" s="284" t="s">
        <v>10155</v>
      </c>
      <c r="E14782" s="178">
        <v>2017</v>
      </c>
      <c r="F14782" s="178" t="s">
        <v>7168</v>
      </c>
      <c r="G14782" s="496"/>
      <c r="H14782" s="994" t="s">
        <v>20221</v>
      </c>
      <c r="I14782" s="11" t="s">
        <v>18363</v>
      </c>
      <c r="J14782" s="1285"/>
      <c r="K14782" s="1285"/>
      <c r="L14782" s="1285"/>
    </row>
    <row r="14783" spans="1:12" ht="9" customHeight="1">
      <c r="A14783" s="129" t="s">
        <v>23591</v>
      </c>
      <c r="B14783" s="59" t="s">
        <v>23061</v>
      </c>
      <c r="C14783" s="147" t="s">
        <v>20221</v>
      </c>
      <c r="D14783" s="284" t="s">
        <v>10155</v>
      </c>
      <c r="E14783" s="178" t="s">
        <v>19060</v>
      </c>
      <c r="F14783" s="178" t="s">
        <v>4520</v>
      </c>
      <c r="G14783" s="496"/>
      <c r="H14783" s="994" t="s">
        <v>20221</v>
      </c>
      <c r="I14783" s="11" t="s">
        <v>23361</v>
      </c>
      <c r="J14783" s="1285"/>
      <c r="K14783" s="1285"/>
      <c r="L14783" s="1285"/>
    </row>
    <row r="14784" spans="1:12" ht="9" customHeight="1">
      <c r="A14784" s="129" t="s">
        <v>23591</v>
      </c>
      <c r="B14784" s="59" t="s">
        <v>23061</v>
      </c>
      <c r="C14784" s="147" t="s">
        <v>20221</v>
      </c>
      <c r="D14784" s="284" t="s">
        <v>10182</v>
      </c>
      <c r="E14784" s="178" t="s">
        <v>19060</v>
      </c>
      <c r="F14784" s="178" t="s">
        <v>4520</v>
      </c>
      <c r="G14784" s="496"/>
      <c r="H14784" s="994" t="s">
        <v>20221</v>
      </c>
      <c r="I14784" s="11" t="s">
        <v>23361</v>
      </c>
      <c r="J14784" s="1285"/>
      <c r="K14784" s="1285"/>
      <c r="L14784" s="1285"/>
    </row>
    <row r="14785" spans="1:12" ht="9" customHeight="1">
      <c r="A14785" s="129" t="s">
        <v>23591</v>
      </c>
      <c r="B14785" s="59" t="s">
        <v>23048</v>
      </c>
      <c r="C14785" s="147" t="s">
        <v>20221</v>
      </c>
      <c r="D14785" s="284" t="s">
        <v>10155</v>
      </c>
      <c r="E14785" s="178">
        <v>2009</v>
      </c>
      <c r="F14785" s="178" t="s">
        <v>7168</v>
      </c>
      <c r="G14785" s="496"/>
      <c r="H14785" s="994" t="s">
        <v>20221</v>
      </c>
      <c r="I14785" s="11" t="s">
        <v>18361</v>
      </c>
      <c r="J14785" s="1285"/>
      <c r="K14785" s="1285"/>
      <c r="L14785" s="1285"/>
    </row>
    <row r="14786" spans="1:12" ht="9" customHeight="1">
      <c r="A14786" s="129" t="s">
        <v>23591</v>
      </c>
      <c r="B14786" s="59" t="s">
        <v>23051</v>
      </c>
      <c r="C14786" s="147" t="s">
        <v>20221</v>
      </c>
      <c r="D14786" s="284" t="s">
        <v>10155</v>
      </c>
      <c r="E14786" s="178" t="s">
        <v>20221</v>
      </c>
      <c r="F14786" s="178" t="s">
        <v>4520</v>
      </c>
      <c r="G14786" s="496" t="s">
        <v>20221</v>
      </c>
      <c r="H14786" s="994" t="s">
        <v>3907</v>
      </c>
      <c r="I14786" s="11" t="s">
        <v>18368</v>
      </c>
      <c r="J14786" s="1285"/>
      <c r="K14786" s="1285"/>
      <c r="L14786" s="1285"/>
    </row>
    <row r="14787" spans="1:12" ht="9" customHeight="1">
      <c r="A14787" s="129" t="s">
        <v>23591</v>
      </c>
      <c r="B14787" s="59" t="s">
        <v>23062</v>
      </c>
      <c r="C14787" s="147" t="s">
        <v>20221</v>
      </c>
      <c r="D14787" s="284" t="s">
        <v>10155</v>
      </c>
      <c r="E14787" s="178">
        <v>2019</v>
      </c>
      <c r="F14787" s="178" t="s">
        <v>4520</v>
      </c>
      <c r="G14787" s="496"/>
      <c r="H14787" s="994" t="s">
        <v>20221</v>
      </c>
      <c r="I14787" s="11" t="s">
        <v>23362</v>
      </c>
      <c r="J14787" s="1285"/>
      <c r="K14787" s="1285"/>
      <c r="L14787" s="1285"/>
    </row>
    <row r="14788" spans="1:12" ht="9" customHeight="1">
      <c r="A14788" s="129" t="s">
        <v>23516</v>
      </c>
      <c r="B14788" s="59" t="s">
        <v>22212</v>
      </c>
      <c r="C14788" s="147" t="s">
        <v>20221</v>
      </c>
      <c r="D14788" s="284" t="s">
        <v>10182</v>
      </c>
      <c r="E14788" s="178">
        <v>2021</v>
      </c>
      <c r="F14788" s="178" t="s">
        <v>23400</v>
      </c>
      <c r="G14788" s="496"/>
      <c r="H14788" s="994" t="s">
        <v>20277</v>
      </c>
      <c r="I14788" s="11" t="s">
        <v>13923</v>
      </c>
      <c r="J14788" s="1285"/>
      <c r="K14788" s="1285"/>
      <c r="L14788" s="1285"/>
    </row>
    <row r="14789" spans="1:12" ht="9" customHeight="1">
      <c r="A14789" s="129" t="s">
        <v>23569</v>
      </c>
      <c r="B14789" s="59" t="s">
        <v>21987</v>
      </c>
      <c r="C14789" s="147" t="s">
        <v>20221</v>
      </c>
      <c r="D14789" s="284" t="s">
        <v>10182</v>
      </c>
      <c r="E14789" s="178">
        <v>2022</v>
      </c>
      <c r="F14789" s="178" t="s">
        <v>23398</v>
      </c>
      <c r="G14789" s="496"/>
      <c r="H14789" s="994" t="s">
        <v>20221</v>
      </c>
      <c r="I14789" s="11" t="s">
        <v>12368</v>
      </c>
      <c r="J14789" s="1285"/>
      <c r="K14789" s="1285"/>
      <c r="L14789" s="1285"/>
    </row>
    <row r="14790" spans="1:12" ht="9" customHeight="1">
      <c r="A14790" s="129" t="s">
        <v>23529</v>
      </c>
      <c r="B14790" s="59" t="s">
        <v>22976</v>
      </c>
      <c r="C14790" s="147" t="s">
        <v>20221</v>
      </c>
      <c r="D14790" s="284" t="s">
        <v>10182</v>
      </c>
      <c r="E14790" s="178">
        <v>2019</v>
      </c>
      <c r="F14790" s="178" t="s">
        <v>23400</v>
      </c>
      <c r="G14790" s="496"/>
      <c r="H14790" s="994" t="s">
        <v>20221</v>
      </c>
      <c r="I14790" s="11" t="s">
        <v>17942</v>
      </c>
      <c r="J14790" s="1285"/>
      <c r="K14790" s="1285"/>
      <c r="L14790" s="1285"/>
    </row>
    <row r="14791" spans="1:12" ht="9" customHeight="1">
      <c r="A14791" s="129" t="s">
        <v>23592</v>
      </c>
      <c r="B14791" s="59" t="s">
        <v>22204</v>
      </c>
      <c r="C14791" s="147" t="s">
        <v>20221</v>
      </c>
      <c r="D14791" s="284" t="s">
        <v>10182</v>
      </c>
      <c r="E14791" s="178">
        <v>2017</v>
      </c>
      <c r="F14791" s="178" t="s">
        <v>23398</v>
      </c>
      <c r="G14791" s="496"/>
      <c r="H14791" s="994" t="s">
        <v>20221</v>
      </c>
      <c r="I14791" s="11" t="s">
        <v>13902</v>
      </c>
      <c r="J14791" s="1285"/>
      <c r="K14791" s="1285"/>
      <c r="L14791" s="1285"/>
    </row>
    <row r="14792" spans="1:12" ht="24" customHeight="1">
      <c r="A14792" s="904" t="s">
        <v>18868</v>
      </c>
      <c r="B14792" s="891" t="s">
        <v>18895</v>
      </c>
      <c r="C14792" s="147"/>
      <c r="D14792" s="231"/>
      <c r="E14792" s="177"/>
      <c r="F14792" s="1095"/>
      <c r="G14792" s="908"/>
      <c r="H14792" s="890"/>
      <c r="I14792" s="11"/>
    </row>
    <row r="14793" spans="1:12" ht="9" customHeight="1">
      <c r="A14793" s="129" t="s">
        <v>23589</v>
      </c>
      <c r="B14793" s="59" t="s">
        <v>23085</v>
      </c>
      <c r="C14793" s="147" t="s">
        <v>20221</v>
      </c>
      <c r="D14793" s="701" t="s">
        <v>18488</v>
      </c>
      <c r="E14793" s="178" t="s">
        <v>23086</v>
      </c>
      <c r="F14793" s="178" t="s">
        <v>4520</v>
      </c>
      <c r="G14793" s="496"/>
      <c r="H14793" s="994" t="s">
        <v>20221</v>
      </c>
      <c r="I14793" s="11" t="s">
        <v>18489</v>
      </c>
      <c r="J14793" s="1285"/>
      <c r="K14793" s="1285"/>
      <c r="L14793" s="1285"/>
    </row>
    <row r="14794" spans="1:12" ht="9" customHeight="1">
      <c r="A14794" s="129" t="s">
        <v>23589</v>
      </c>
      <c r="B14794" s="59" t="s">
        <v>23087</v>
      </c>
      <c r="C14794" s="147" t="s">
        <v>20221</v>
      </c>
      <c r="D14794" s="701" t="s">
        <v>18488</v>
      </c>
      <c r="E14794" s="178" t="s">
        <v>23088</v>
      </c>
      <c r="F14794" s="178" t="s">
        <v>4520</v>
      </c>
      <c r="G14794" s="496"/>
      <c r="H14794" s="994" t="s">
        <v>20221</v>
      </c>
      <c r="I14794" s="11" t="s">
        <v>18491</v>
      </c>
      <c r="J14794" s="1285"/>
      <c r="K14794" s="1285"/>
      <c r="L14794" s="1285"/>
    </row>
    <row r="14795" spans="1:12" ht="9" customHeight="1">
      <c r="A14795" s="129" t="s">
        <v>23591</v>
      </c>
      <c r="B14795" s="59" t="s">
        <v>23045</v>
      </c>
      <c r="C14795" s="147" t="s">
        <v>20221</v>
      </c>
      <c r="D14795" s="1035" t="s">
        <v>18354</v>
      </c>
      <c r="E14795" s="178" t="s">
        <v>23046</v>
      </c>
      <c r="F14795" s="178" t="s">
        <v>4520</v>
      </c>
      <c r="G14795" s="496"/>
      <c r="H14795" s="994" t="s">
        <v>20221</v>
      </c>
      <c r="I14795" s="11" t="s">
        <v>18356</v>
      </c>
      <c r="J14795" s="1285"/>
      <c r="K14795" s="1285"/>
      <c r="L14795" s="1285"/>
    </row>
    <row r="14796" spans="1:12" ht="9" customHeight="1">
      <c r="A14796" s="285" t="s">
        <v>23589</v>
      </c>
      <c r="B14796" s="59" t="s">
        <v>23092</v>
      </c>
      <c r="C14796" s="147" t="s">
        <v>20221</v>
      </c>
      <c r="D14796" s="701" t="s">
        <v>18488</v>
      </c>
      <c r="E14796" s="178" t="s">
        <v>23090</v>
      </c>
      <c r="F14796" s="178" t="s">
        <v>4520</v>
      </c>
      <c r="G14796" s="496"/>
      <c r="H14796" s="994" t="s">
        <v>20277</v>
      </c>
      <c r="I14796" s="11" t="s">
        <v>18498</v>
      </c>
      <c r="J14796" s="1285"/>
      <c r="K14796" s="1285"/>
      <c r="L14796" s="1285"/>
    </row>
    <row r="14797" spans="1:12" ht="9" customHeight="1">
      <c r="A14797" s="129" t="s">
        <v>23589</v>
      </c>
      <c r="B14797" s="59" t="s">
        <v>23093</v>
      </c>
      <c r="C14797" s="147" t="s">
        <v>20221</v>
      </c>
      <c r="D14797" s="701" t="s">
        <v>18488</v>
      </c>
      <c r="E14797" s="178" t="s">
        <v>23094</v>
      </c>
      <c r="F14797" s="178" t="s">
        <v>4520</v>
      </c>
      <c r="G14797" s="496"/>
      <c r="H14797" s="994" t="s">
        <v>20224</v>
      </c>
      <c r="I14797" s="11" t="s">
        <v>18500</v>
      </c>
      <c r="J14797" s="1285"/>
      <c r="K14797" s="1285"/>
      <c r="L14797" s="1285"/>
    </row>
    <row r="14798" spans="1:12" ht="9" customHeight="1">
      <c r="A14798" s="285" t="s">
        <v>23589</v>
      </c>
      <c r="B14798" s="59" t="s">
        <v>23089</v>
      </c>
      <c r="C14798" s="147" t="s">
        <v>20221</v>
      </c>
      <c r="D14798" s="701" t="s">
        <v>18488</v>
      </c>
      <c r="E14798" s="178" t="s">
        <v>23090</v>
      </c>
      <c r="F14798" s="178" t="s">
        <v>23398</v>
      </c>
      <c r="G14798" s="496"/>
      <c r="H14798" s="994" t="s">
        <v>20221</v>
      </c>
      <c r="I14798" s="11" t="s">
        <v>18492</v>
      </c>
      <c r="J14798" s="1285"/>
      <c r="K14798" s="1285"/>
      <c r="L14798" s="1285"/>
    </row>
    <row r="14799" spans="1:12" ht="9" customHeight="1">
      <c r="A14799" s="129" t="s">
        <v>23589</v>
      </c>
      <c r="B14799" s="59" t="s">
        <v>23091</v>
      </c>
      <c r="C14799" s="147" t="s">
        <v>20221</v>
      </c>
      <c r="D14799" s="701" t="s">
        <v>18488</v>
      </c>
      <c r="E14799" s="178" t="s">
        <v>23090</v>
      </c>
      <c r="F14799" s="178" t="s">
        <v>23398</v>
      </c>
      <c r="G14799" s="496"/>
      <c r="H14799" s="994" t="s">
        <v>20221</v>
      </c>
      <c r="I14799" s="11" t="s">
        <v>18494</v>
      </c>
      <c r="J14799" s="1285"/>
      <c r="K14799" s="1285"/>
      <c r="L14799" s="1285"/>
    </row>
    <row r="14800" spans="1:12" ht="9" customHeight="1" thickBot="1">
      <c r="A14800" s="129" t="s">
        <v>23591</v>
      </c>
      <c r="B14800" s="59" t="s">
        <v>23045</v>
      </c>
      <c r="C14800" s="147" t="s">
        <v>20221</v>
      </c>
      <c r="D14800" s="1035" t="s">
        <v>18354</v>
      </c>
      <c r="E14800" s="178" t="s">
        <v>23046</v>
      </c>
      <c r="F14800" s="178" t="s">
        <v>4520</v>
      </c>
      <c r="G14800" s="496"/>
      <c r="H14800" s="994" t="s">
        <v>20221</v>
      </c>
      <c r="I14800" s="11" t="s">
        <v>18356</v>
      </c>
      <c r="J14800" s="1285"/>
      <c r="K14800" s="1285"/>
      <c r="L14800" s="1285"/>
    </row>
    <row r="14801" spans="1:9" ht="24" customHeight="1">
      <c r="A14801" s="917"/>
      <c r="B14801" s="298" t="s">
        <v>18896</v>
      </c>
      <c r="C14801" s="191"/>
      <c r="D14801" s="299"/>
      <c r="E14801" s="918"/>
      <c r="F14801" s="1097"/>
      <c r="G14801" s="1097"/>
      <c r="H14801" s="919"/>
      <c r="I14801" s="11"/>
    </row>
    <row r="14802" spans="1:9" ht="24" customHeight="1" thickBot="1">
      <c r="A14802" s="920"/>
      <c r="B14802" s="302" t="s">
        <v>18897</v>
      </c>
      <c r="C14802" s="203"/>
      <c r="D14802" s="303"/>
      <c r="E14802" s="921"/>
      <c r="F14802" s="1098"/>
      <c r="G14802" s="1098"/>
      <c r="H14802" s="922"/>
      <c r="I14802" s="11"/>
    </row>
    <row r="14803" spans="1:9" ht="11.15" customHeight="1">
      <c r="A14803" s="923"/>
      <c r="B14803" s="924"/>
      <c r="C14803" s="147"/>
      <c r="D14803" s="149"/>
      <c r="E14803" s="925"/>
      <c r="F14803" s="1099"/>
      <c r="G14803" s="1268"/>
      <c r="H14803" s="925"/>
      <c r="I14803" s="11"/>
    </row>
    <row r="14804" spans="1:9" ht="11.15" customHeight="1">
      <c r="A14804" s="923"/>
      <c r="B14804" s="924"/>
      <c r="C14804" s="147"/>
      <c r="D14804" s="149"/>
      <c r="E14804" s="925"/>
      <c r="F14804" s="1099"/>
      <c r="G14804" s="1268"/>
      <c r="H14804" s="925"/>
      <c r="I14804" s="11"/>
    </row>
    <row r="14805" spans="1:9" ht="11.15" customHeight="1">
      <c r="A14805" s="923"/>
      <c r="B14805" s="924"/>
      <c r="C14805" s="147"/>
      <c r="D14805" s="149"/>
      <c r="E14805" s="925"/>
      <c r="F14805" s="1099"/>
      <c r="G14805" s="1268"/>
      <c r="H14805" s="925"/>
      <c r="I14805" s="11"/>
    </row>
    <row r="14806" spans="1:9" ht="11.15" customHeight="1">
      <c r="A14806" s="923"/>
      <c r="B14806" s="924"/>
      <c r="C14806" s="147"/>
      <c r="D14806" s="149"/>
      <c r="E14806" s="925"/>
      <c r="F14806" s="1099"/>
      <c r="G14806" s="1268"/>
      <c r="H14806" s="925"/>
      <c r="I14806" s="11"/>
    </row>
    <row r="14807" spans="1:9" ht="11.15" customHeight="1">
      <c r="A14807" s="923"/>
      <c r="B14807" s="924"/>
      <c r="C14807" s="147"/>
      <c r="D14807" s="149"/>
      <c r="E14807" s="925"/>
      <c r="F14807" s="1099"/>
      <c r="G14807" s="1268"/>
      <c r="H14807" s="925"/>
      <c r="I14807" s="11"/>
    </row>
    <row r="14808" spans="1:9" ht="11.15" customHeight="1">
      <c r="A14808" s="923"/>
      <c r="B14808" s="924"/>
      <c r="C14808" s="147"/>
      <c r="D14808" s="149"/>
      <c r="E14808" s="925"/>
      <c r="F14808" s="1099"/>
      <c r="G14808" s="1268"/>
      <c r="H14808" s="925"/>
      <c r="I14808" s="11"/>
    </row>
    <row r="14809" spans="1:9" ht="11.15" customHeight="1">
      <c r="A14809" s="923"/>
      <c r="B14809" s="924"/>
      <c r="C14809" s="147"/>
      <c r="D14809" s="149"/>
      <c r="E14809" s="925"/>
      <c r="F14809" s="1099"/>
      <c r="G14809" s="1268"/>
      <c r="H14809" s="925"/>
      <c r="I14809" s="11"/>
    </row>
    <row r="14810" spans="1:9" ht="11.15" customHeight="1">
      <c r="A14810" s="923"/>
      <c r="B14810" s="924"/>
      <c r="C14810" s="147"/>
      <c r="D14810" s="149"/>
      <c r="E14810" s="925"/>
      <c r="F14810" s="1099"/>
      <c r="G14810" s="1268"/>
      <c r="H14810" s="925"/>
      <c r="I14810" s="11"/>
    </row>
    <row r="14811" spans="1:9" ht="11.15" customHeight="1">
      <c r="A14811" s="923"/>
      <c r="B14811" s="924"/>
      <c r="C14811" s="147"/>
      <c r="D14811" s="149"/>
      <c r="E14811" s="925"/>
      <c r="F14811" s="1099"/>
      <c r="G14811" s="1268"/>
      <c r="H14811" s="925"/>
      <c r="I14811" s="11"/>
    </row>
    <row r="14812" spans="1:9" ht="11.15" customHeight="1">
      <c r="A14812" s="923"/>
      <c r="B14812" s="924"/>
      <c r="C14812" s="147"/>
      <c r="D14812" s="149"/>
      <c r="E14812" s="925"/>
      <c r="F14812" s="1099"/>
      <c r="G14812" s="1268"/>
      <c r="H14812" s="925"/>
      <c r="I14812" s="11"/>
    </row>
    <row r="14813" spans="1:9" ht="11.15" customHeight="1">
      <c r="A14813" s="923"/>
      <c r="B14813" s="924"/>
      <c r="C14813" s="147"/>
      <c r="D14813" s="149"/>
      <c r="E14813" s="925"/>
      <c r="F14813" s="1099"/>
      <c r="G14813" s="1268"/>
      <c r="H14813" s="925"/>
      <c r="I14813" s="11"/>
    </row>
    <row r="14814" spans="1:9" ht="11.15" customHeight="1">
      <c r="A14814" s="923"/>
      <c r="B14814" s="924"/>
      <c r="C14814" s="147"/>
      <c r="D14814" s="149"/>
      <c r="E14814" s="925"/>
      <c r="F14814" s="1099"/>
      <c r="G14814" s="1268"/>
      <c r="H14814" s="925"/>
      <c r="I14814" s="11"/>
    </row>
    <row r="14815" spans="1:9" ht="11.15" customHeight="1">
      <c r="A14815" s="923"/>
      <c r="B14815" s="924"/>
      <c r="C14815" s="147"/>
      <c r="D14815" s="149"/>
      <c r="E14815" s="925"/>
      <c r="F14815" s="1099"/>
      <c r="G14815" s="1268"/>
      <c r="H14815" s="925"/>
      <c r="I14815" s="11"/>
    </row>
    <row r="14816" spans="1:9" ht="11.15" customHeight="1">
      <c r="A14816" s="923"/>
      <c r="B14816" s="924"/>
      <c r="C14816" s="147"/>
      <c r="D14816" s="149"/>
      <c r="E14816" s="925"/>
      <c r="F14816" s="1099"/>
      <c r="G14816" s="1268"/>
      <c r="H14816" s="925"/>
      <c r="I14816" s="11"/>
    </row>
    <row r="14817" spans="1:12" ht="11.15" customHeight="1">
      <c r="A14817" s="923"/>
      <c r="B14817" s="924"/>
      <c r="C14817" s="147"/>
      <c r="D14817" s="149"/>
      <c r="E14817" s="925"/>
      <c r="F14817" s="1099"/>
      <c r="G14817" s="1268"/>
      <c r="H14817" s="925"/>
      <c r="I14817" s="11"/>
    </row>
    <row r="14818" spans="1:12" ht="11.15" customHeight="1">
      <c r="A14818" s="923"/>
      <c r="B14818" s="924"/>
      <c r="C14818" s="147"/>
      <c r="D14818" s="149"/>
      <c r="E14818" s="925"/>
      <c r="F14818" s="1099"/>
      <c r="G14818" s="1268"/>
      <c r="H14818" s="925"/>
      <c r="I14818" s="11"/>
    </row>
    <row r="14819" spans="1:12" ht="11.15" customHeight="1">
      <c r="A14819" s="923"/>
      <c r="B14819" s="924"/>
      <c r="C14819" s="147"/>
      <c r="D14819" s="149"/>
      <c r="E14819" s="925"/>
      <c r="F14819" s="1099"/>
      <c r="G14819" s="1268"/>
      <c r="H14819" s="925"/>
      <c r="I14819" s="11"/>
    </row>
    <row r="14820" spans="1:12" ht="11.15" customHeight="1">
      <c r="A14820" s="923"/>
      <c r="B14820" s="924"/>
      <c r="C14820" s="147"/>
      <c r="D14820" s="149"/>
      <c r="E14820" s="925"/>
      <c r="F14820" s="1099"/>
      <c r="G14820" s="1268"/>
      <c r="H14820" s="925"/>
      <c r="I14820" s="11"/>
    </row>
    <row r="14821" spans="1:12" ht="39" customHeight="1" thickBot="1">
      <c r="A14821" s="923"/>
      <c r="B14821" s="924"/>
      <c r="C14821" s="147"/>
      <c r="D14821" s="149"/>
      <c r="E14821" s="925"/>
      <c r="F14821" s="1099"/>
      <c r="G14821" s="1268"/>
      <c r="H14821" s="925"/>
      <c r="I14821" s="11"/>
    </row>
    <row r="14822" spans="1:12" ht="24" customHeight="1" thickBot="1">
      <c r="A14822" s="234"/>
      <c r="B14822" s="64" t="s">
        <v>18898</v>
      </c>
      <c r="C14822" s="170"/>
      <c r="D14822" s="139"/>
      <c r="E14822" s="874"/>
      <c r="F14822" s="1094"/>
      <c r="G14822" s="1094"/>
      <c r="H14822" s="875"/>
      <c r="I14822" s="11"/>
    </row>
    <row r="14823" spans="1:12" ht="24" customHeight="1">
      <c r="A14823" s="926" t="s">
        <v>18899</v>
      </c>
      <c r="B14823" s="1355" t="s">
        <v>18900</v>
      </c>
      <c r="C14823" s="147"/>
      <c r="D14823" s="107"/>
      <c r="E14823" s="927"/>
      <c r="F14823" s="928"/>
      <c r="G14823" s="908"/>
      <c r="H14823" s="928"/>
      <c r="I14823" s="11"/>
    </row>
    <row r="14824" spans="1:12" ht="9" customHeight="1">
      <c r="A14824" s="929"/>
      <c r="B14824" s="833" t="s">
        <v>18901</v>
      </c>
      <c r="C14824" s="147"/>
      <c r="D14824" s="107"/>
      <c r="E14824" s="240"/>
      <c r="F14824" s="931"/>
      <c r="G14824" s="86"/>
      <c r="H14824" s="931"/>
      <c r="I14824" s="11"/>
    </row>
    <row r="14825" spans="1:12" ht="9" customHeight="1">
      <c r="A14825" s="129" t="s">
        <v>23442</v>
      </c>
      <c r="B14825" s="90" t="s">
        <v>18902</v>
      </c>
      <c r="C14825" s="147" t="s">
        <v>20221</v>
      </c>
      <c r="D14825" s="701" t="s">
        <v>1129</v>
      </c>
      <c r="E14825" s="178">
        <v>2015</v>
      </c>
      <c r="F14825" s="178" t="s">
        <v>4520</v>
      </c>
      <c r="G14825" s="496"/>
      <c r="H14825" s="994" t="s">
        <v>20277</v>
      </c>
      <c r="I14825" s="11" t="s">
        <v>13700</v>
      </c>
      <c r="J14825" s="1285"/>
      <c r="K14825" s="1285"/>
      <c r="L14825" s="1285"/>
    </row>
    <row r="14826" spans="1:12" ht="9" customHeight="1">
      <c r="A14826" s="129" t="s">
        <v>23593</v>
      </c>
      <c r="B14826" s="90" t="s">
        <v>18903</v>
      </c>
      <c r="C14826" s="147" t="s">
        <v>20221</v>
      </c>
      <c r="D14826" s="701" t="s">
        <v>1129</v>
      </c>
      <c r="E14826" s="178">
        <v>2014</v>
      </c>
      <c r="F14826" s="178" t="s">
        <v>4520</v>
      </c>
      <c r="G14826" s="496"/>
      <c r="H14826" s="994" t="s">
        <v>20221</v>
      </c>
      <c r="I14826" s="11" t="s">
        <v>13857</v>
      </c>
      <c r="J14826" s="1285"/>
      <c r="K14826" s="1285"/>
      <c r="L14826" s="1285"/>
    </row>
    <row r="14827" spans="1:12" ht="9" customHeight="1">
      <c r="A14827" s="129" t="s">
        <v>23539</v>
      </c>
      <c r="B14827" s="59" t="s">
        <v>21966</v>
      </c>
      <c r="C14827" s="147" t="s">
        <v>20221</v>
      </c>
      <c r="D14827" s="701" t="s">
        <v>1129</v>
      </c>
      <c r="E14827" s="178" t="s">
        <v>21967</v>
      </c>
      <c r="F14827" s="178" t="s">
        <v>4520</v>
      </c>
      <c r="G14827" s="496"/>
      <c r="H14827" s="994" t="s">
        <v>20221</v>
      </c>
      <c r="I14827" s="11" t="s">
        <v>12277</v>
      </c>
      <c r="J14827" s="1285"/>
      <c r="K14827" s="1285"/>
      <c r="L14827" s="1285"/>
    </row>
    <row r="14828" spans="1:12" ht="9" customHeight="1">
      <c r="A14828" s="129" t="s">
        <v>23593</v>
      </c>
      <c r="B14828" s="90" t="s">
        <v>18904</v>
      </c>
      <c r="C14828" s="147" t="s">
        <v>20221</v>
      </c>
      <c r="D14828" s="701" t="s">
        <v>1129</v>
      </c>
      <c r="E14828" s="178">
        <v>2014</v>
      </c>
      <c r="F14828" s="178" t="s">
        <v>4520</v>
      </c>
      <c r="G14828" s="496"/>
      <c r="H14828" s="994" t="s">
        <v>20221</v>
      </c>
      <c r="I14828" s="11" t="s">
        <v>13858</v>
      </c>
      <c r="J14828" s="1285"/>
      <c r="K14828" s="1285"/>
      <c r="L14828" s="1285"/>
    </row>
    <row r="14829" spans="1:12" ht="9" customHeight="1">
      <c r="A14829" s="129" t="s">
        <v>23530</v>
      </c>
      <c r="B14829" s="59" t="s">
        <v>22914</v>
      </c>
      <c r="C14829" s="147" t="s">
        <v>20221</v>
      </c>
      <c r="D14829" s="701" t="s">
        <v>1129</v>
      </c>
      <c r="E14829" s="178">
        <v>2017</v>
      </c>
      <c r="F14829" s="178" t="s">
        <v>4520</v>
      </c>
      <c r="G14829" s="496"/>
      <c r="H14829" s="994" t="s">
        <v>20221</v>
      </c>
      <c r="I14829" s="11" t="s">
        <v>17527</v>
      </c>
      <c r="J14829" s="1285"/>
      <c r="K14829" s="1285"/>
      <c r="L14829" s="1285"/>
    </row>
    <row r="14830" spans="1:12" ht="9" customHeight="1">
      <c r="A14830" s="129" t="s">
        <v>23594</v>
      </c>
      <c r="B14830" s="90" t="s">
        <v>18905</v>
      </c>
      <c r="C14830" s="147" t="s">
        <v>20221</v>
      </c>
      <c r="D14830" s="701" t="s">
        <v>1129</v>
      </c>
      <c r="E14830" s="178">
        <v>2022</v>
      </c>
      <c r="F14830" s="178" t="s">
        <v>4520</v>
      </c>
      <c r="G14830" s="496"/>
      <c r="H14830" s="994" t="s">
        <v>20221</v>
      </c>
      <c r="I14830" s="11" t="s">
        <v>15698</v>
      </c>
      <c r="J14830" s="1285"/>
      <c r="K14830" s="1285"/>
      <c r="L14830" s="1285"/>
    </row>
    <row r="14831" spans="1:12" ht="9" customHeight="1">
      <c r="A14831" s="129" t="s">
        <v>23595</v>
      </c>
      <c r="B14831" s="59" t="s">
        <v>21708</v>
      </c>
      <c r="C14831" s="147" t="s">
        <v>20221</v>
      </c>
      <c r="D14831" s="701" t="s">
        <v>1129</v>
      </c>
      <c r="E14831" s="178">
        <v>2018</v>
      </c>
      <c r="F14831" s="178" t="s">
        <v>23395</v>
      </c>
      <c r="G14831" s="496"/>
      <c r="H14831" s="994" t="s">
        <v>20465</v>
      </c>
      <c r="I14831" s="11" t="s">
        <v>10531</v>
      </c>
      <c r="J14831" s="1285"/>
      <c r="K14831" s="1285"/>
      <c r="L14831" s="1285"/>
    </row>
    <row r="14832" spans="1:12" ht="9" customHeight="1">
      <c r="A14832" s="129" t="s">
        <v>23526</v>
      </c>
      <c r="B14832" s="59" t="s">
        <v>22893</v>
      </c>
      <c r="C14832" s="147" t="s">
        <v>20221</v>
      </c>
      <c r="D14832" s="1035" t="s">
        <v>1370</v>
      </c>
      <c r="E14832" s="178">
        <v>2021</v>
      </c>
      <c r="F14832" s="178" t="s">
        <v>4520</v>
      </c>
      <c r="G14832" s="496"/>
      <c r="H14832" s="994" t="s">
        <v>20221</v>
      </c>
      <c r="I14832" s="11" t="s">
        <v>17313</v>
      </c>
      <c r="J14832" s="1285"/>
      <c r="K14832" s="1285"/>
      <c r="L14832" s="1285"/>
    </row>
    <row r="14833" spans="1:12" ht="9" customHeight="1">
      <c r="A14833" s="129" t="s">
        <v>23524</v>
      </c>
      <c r="B14833" s="59" t="s">
        <v>22518</v>
      </c>
      <c r="C14833" s="147" t="s">
        <v>20221</v>
      </c>
      <c r="D14833" s="701" t="s">
        <v>1129</v>
      </c>
      <c r="E14833" s="178">
        <v>2018</v>
      </c>
      <c r="F14833" s="178" t="s">
        <v>4520</v>
      </c>
      <c r="G14833" s="496"/>
      <c r="H14833" s="994" t="s">
        <v>20221</v>
      </c>
      <c r="I14833" s="11" t="s">
        <v>15617</v>
      </c>
      <c r="J14833" s="1285"/>
      <c r="K14833" s="1285"/>
      <c r="L14833" s="1285"/>
    </row>
    <row r="14834" spans="1:12" ht="9" customHeight="1">
      <c r="A14834" s="129" t="s">
        <v>23596</v>
      </c>
      <c r="B14834" s="90" t="s">
        <v>18906</v>
      </c>
      <c r="C14834" s="147" t="s">
        <v>20221</v>
      </c>
      <c r="D14834" s="701" t="s">
        <v>1129</v>
      </c>
      <c r="E14834" s="178">
        <v>2015</v>
      </c>
      <c r="F14834" s="178" t="s">
        <v>4520</v>
      </c>
      <c r="G14834" s="496"/>
      <c r="H14834" s="994" t="s">
        <v>20221</v>
      </c>
      <c r="I14834" s="11" t="s">
        <v>12493</v>
      </c>
      <c r="J14834" s="1285"/>
      <c r="K14834" s="1285"/>
      <c r="L14834" s="1285"/>
    </row>
    <row r="14835" spans="1:12" ht="9" customHeight="1">
      <c r="A14835" s="129" t="s">
        <v>23597</v>
      </c>
      <c r="B14835" s="59" t="s">
        <v>22855</v>
      </c>
      <c r="C14835" s="147" t="s">
        <v>20221</v>
      </c>
      <c r="D14835" s="701" t="s">
        <v>1129</v>
      </c>
      <c r="E14835" s="178">
        <v>2018</v>
      </c>
      <c r="F14835" s="178" t="s">
        <v>23395</v>
      </c>
      <c r="G14835" s="496"/>
      <c r="H14835" s="994" t="s">
        <v>20277</v>
      </c>
      <c r="I14835" s="11" t="s">
        <v>16991</v>
      </c>
      <c r="J14835" s="1285"/>
      <c r="K14835" s="1285"/>
      <c r="L14835" s="1285"/>
    </row>
    <row r="14836" spans="1:12" ht="9" customHeight="1">
      <c r="A14836" s="129" t="s">
        <v>23530</v>
      </c>
      <c r="B14836" s="59" t="s">
        <v>22915</v>
      </c>
      <c r="C14836" s="147" t="s">
        <v>20221</v>
      </c>
      <c r="D14836" s="701" t="s">
        <v>1129</v>
      </c>
      <c r="E14836" s="178">
        <v>2017</v>
      </c>
      <c r="F14836" s="178" t="s">
        <v>4520</v>
      </c>
      <c r="G14836" s="496"/>
      <c r="H14836" s="994" t="s">
        <v>20277</v>
      </c>
      <c r="I14836" s="11" t="s">
        <v>17529</v>
      </c>
      <c r="J14836" s="1285"/>
      <c r="K14836" s="1285"/>
      <c r="L14836" s="1285"/>
    </row>
    <row r="14837" spans="1:12" ht="9" customHeight="1">
      <c r="A14837" s="129" t="s">
        <v>23597</v>
      </c>
      <c r="B14837" s="59" t="s">
        <v>22854</v>
      </c>
      <c r="C14837" s="147" t="s">
        <v>20221</v>
      </c>
      <c r="D14837" s="701" t="s">
        <v>1129</v>
      </c>
      <c r="E14837" s="178">
        <v>2016</v>
      </c>
      <c r="F14837" s="178" t="s">
        <v>23395</v>
      </c>
      <c r="G14837" s="496"/>
      <c r="H14837" s="994" t="s">
        <v>20277</v>
      </c>
      <c r="I14837" s="11" t="s">
        <v>16983</v>
      </c>
      <c r="J14837" s="1285"/>
      <c r="K14837" s="1285"/>
      <c r="L14837" s="1285"/>
    </row>
    <row r="14838" spans="1:12" ht="9" customHeight="1">
      <c r="A14838" s="129" t="s">
        <v>23536</v>
      </c>
      <c r="B14838" s="59" t="s">
        <v>18907</v>
      </c>
      <c r="C14838" s="147" t="s">
        <v>20221</v>
      </c>
      <c r="D14838" s="701" t="s">
        <v>1129</v>
      </c>
      <c r="E14838" s="178">
        <v>2018</v>
      </c>
      <c r="F14838" s="178" t="s">
        <v>4520</v>
      </c>
      <c r="G14838" s="496"/>
      <c r="H14838" s="994" t="s">
        <v>20221</v>
      </c>
      <c r="I14838" s="11" t="s">
        <v>16422</v>
      </c>
      <c r="J14838" s="1285"/>
      <c r="K14838" s="1285"/>
      <c r="L14838" s="1285"/>
    </row>
    <row r="14839" spans="1:12" ht="9" customHeight="1">
      <c r="A14839" s="129" t="s">
        <v>23524</v>
      </c>
      <c r="B14839" s="59" t="s">
        <v>22521</v>
      </c>
      <c r="C14839" s="147" t="s">
        <v>20221</v>
      </c>
      <c r="D14839" s="701" t="s">
        <v>1129</v>
      </c>
      <c r="E14839" s="178">
        <v>2016</v>
      </c>
      <c r="F14839" s="178" t="s">
        <v>4520</v>
      </c>
      <c r="G14839" s="496"/>
      <c r="H14839" s="994" t="s">
        <v>20221</v>
      </c>
      <c r="I14839" s="11" t="s">
        <v>15633</v>
      </c>
      <c r="J14839" s="1285"/>
      <c r="K14839" s="1285"/>
      <c r="L14839" s="1285"/>
    </row>
    <row r="14840" spans="1:12" ht="9" customHeight="1">
      <c r="A14840" s="129" t="s">
        <v>23435</v>
      </c>
      <c r="B14840" s="59" t="s">
        <v>20479</v>
      </c>
      <c r="C14840" s="147" t="s">
        <v>20221</v>
      </c>
      <c r="D14840" s="701" t="s">
        <v>18762</v>
      </c>
      <c r="E14840" s="178">
        <v>2015</v>
      </c>
      <c r="F14840" s="178" t="s">
        <v>23399</v>
      </c>
      <c r="G14840" s="496"/>
      <c r="H14840" s="994" t="s">
        <v>20221</v>
      </c>
      <c r="I14840" s="11" t="s">
        <v>1439</v>
      </c>
      <c r="J14840" s="1285"/>
      <c r="K14840" s="1285"/>
      <c r="L14840" s="1285"/>
    </row>
    <row r="14841" spans="1:12" ht="9" customHeight="1">
      <c r="A14841" s="129" t="s">
        <v>23598</v>
      </c>
      <c r="B14841" s="59" t="s">
        <v>22770</v>
      </c>
      <c r="C14841" s="147" t="s">
        <v>20221</v>
      </c>
      <c r="D14841" s="701" t="s">
        <v>1129</v>
      </c>
      <c r="E14841" s="178">
        <v>2018</v>
      </c>
      <c r="F14841" s="178" t="s">
        <v>4520</v>
      </c>
      <c r="G14841" s="496"/>
      <c r="H14841" s="994" t="s">
        <v>20224</v>
      </c>
      <c r="I14841" s="11" t="s">
        <v>16326</v>
      </c>
      <c r="J14841" s="1285"/>
      <c r="K14841" s="1285"/>
      <c r="L14841" s="1285"/>
    </row>
    <row r="14842" spans="1:12" ht="9" customHeight="1">
      <c r="A14842" s="811"/>
      <c r="B14842" s="90"/>
      <c r="C14842" s="147"/>
      <c r="D14842" s="161"/>
      <c r="E14842" s="36"/>
      <c r="F14842" s="178"/>
      <c r="G14842" s="497"/>
      <c r="H14842" s="36"/>
      <c r="I14842" s="11"/>
    </row>
    <row r="14843" spans="1:12" ht="24" customHeight="1">
      <c r="A14843" s="926" t="s">
        <v>18899</v>
      </c>
      <c r="B14843" s="937" t="s">
        <v>18908</v>
      </c>
      <c r="C14843" s="147"/>
      <c r="D14843" s="107"/>
      <c r="E14843" s="927"/>
      <c r="F14843" s="928"/>
      <c r="G14843" s="908"/>
      <c r="H14843" s="928"/>
      <c r="I14843" s="11"/>
    </row>
    <row r="14844" spans="1:12" ht="9" customHeight="1">
      <c r="A14844" s="129" t="s">
        <v>23599</v>
      </c>
      <c r="B14844" s="59" t="s">
        <v>21211</v>
      </c>
      <c r="C14844" s="147" t="s">
        <v>20221</v>
      </c>
      <c r="D14844" s="701" t="s">
        <v>1129</v>
      </c>
      <c r="E14844" s="178">
        <v>2014</v>
      </c>
      <c r="F14844" s="178" t="s">
        <v>4520</v>
      </c>
      <c r="G14844" s="496"/>
      <c r="H14844" s="994" t="s">
        <v>20277</v>
      </c>
      <c r="I14844" s="11" t="s">
        <v>7754</v>
      </c>
      <c r="J14844" s="1285"/>
      <c r="K14844" s="1285"/>
      <c r="L14844" s="1285"/>
    </row>
    <row r="14845" spans="1:12" ht="9" customHeight="1">
      <c r="A14845" s="129" t="s">
        <v>23442</v>
      </c>
      <c r="B14845" s="59" t="s">
        <v>18909</v>
      </c>
      <c r="C14845" s="147" t="s">
        <v>20221</v>
      </c>
      <c r="D14845" s="701" t="s">
        <v>1129</v>
      </c>
      <c r="E14845" s="178">
        <v>2015</v>
      </c>
      <c r="F14845" s="178" t="s">
        <v>4520</v>
      </c>
      <c r="G14845" s="496"/>
      <c r="H14845" s="994" t="s">
        <v>20277</v>
      </c>
      <c r="I14845" s="11" t="s">
        <v>13700</v>
      </c>
      <c r="J14845" s="1285"/>
      <c r="K14845" s="1285"/>
      <c r="L14845" s="1285"/>
    </row>
    <row r="14846" spans="1:12" ht="9" customHeight="1">
      <c r="A14846" s="129" t="s">
        <v>23540</v>
      </c>
      <c r="B14846" s="59" t="s">
        <v>18910</v>
      </c>
      <c r="C14846" s="147" t="s">
        <v>20221</v>
      </c>
      <c r="D14846" s="701" t="s">
        <v>12276</v>
      </c>
      <c r="E14846" s="178">
        <v>2015</v>
      </c>
      <c r="F14846" s="178" t="s">
        <v>23395</v>
      </c>
      <c r="G14846" s="496"/>
      <c r="H14846" s="994" t="s">
        <v>20221</v>
      </c>
      <c r="I14846" s="11" t="s">
        <v>10548</v>
      </c>
      <c r="J14846" s="1285"/>
      <c r="K14846" s="1285"/>
      <c r="L14846" s="1285"/>
    </row>
    <row r="14847" spans="1:12" ht="9" customHeight="1">
      <c r="A14847" s="129" t="s">
        <v>23584</v>
      </c>
      <c r="B14847" s="59" t="s">
        <v>18911</v>
      </c>
      <c r="C14847" s="147" t="s">
        <v>20221</v>
      </c>
      <c r="D14847" s="701" t="s">
        <v>1129</v>
      </c>
      <c r="E14847" s="178">
        <v>2011</v>
      </c>
      <c r="F14847" s="178" t="s">
        <v>4520</v>
      </c>
      <c r="G14847" s="496"/>
      <c r="H14847" s="994" t="s">
        <v>20224</v>
      </c>
      <c r="I14847" s="11" t="s">
        <v>12620</v>
      </c>
      <c r="J14847" s="1285"/>
      <c r="K14847" s="1285"/>
      <c r="L14847" s="1285"/>
    </row>
    <row r="14848" spans="1:12" ht="9" customHeight="1">
      <c r="A14848" s="129" t="s">
        <v>23562</v>
      </c>
      <c r="B14848" s="59" t="s">
        <v>22361</v>
      </c>
      <c r="C14848" s="147" t="s">
        <v>20221</v>
      </c>
      <c r="D14848" s="701" t="s">
        <v>1129</v>
      </c>
      <c r="E14848" s="178">
        <v>2016</v>
      </c>
      <c r="F14848" s="178" t="s">
        <v>23394</v>
      </c>
      <c r="G14848" s="496"/>
      <c r="H14848" s="994" t="s">
        <v>20277</v>
      </c>
      <c r="I14848" s="11" t="s">
        <v>14725</v>
      </c>
      <c r="J14848" s="1285"/>
      <c r="K14848" s="1285"/>
      <c r="L14848" s="1285"/>
    </row>
    <row r="14849" spans="1:12" ht="9" customHeight="1">
      <c r="A14849" s="129" t="s">
        <v>23437</v>
      </c>
      <c r="B14849" s="59" t="s">
        <v>21478</v>
      </c>
      <c r="C14849" s="147" t="s">
        <v>20221</v>
      </c>
      <c r="D14849" s="701" t="s">
        <v>1129</v>
      </c>
      <c r="E14849" s="178">
        <v>2015</v>
      </c>
      <c r="F14849" s="178" t="s">
        <v>23395</v>
      </c>
      <c r="G14849" s="496"/>
      <c r="H14849" s="994" t="s">
        <v>20221</v>
      </c>
      <c r="I14849" s="11" t="s">
        <v>9394</v>
      </c>
      <c r="J14849" s="1285"/>
      <c r="K14849" s="1285"/>
      <c r="L14849" s="1285"/>
    </row>
    <row r="14850" spans="1:12" ht="9" customHeight="1">
      <c r="A14850" s="129" t="s">
        <v>23524</v>
      </c>
      <c r="B14850" s="59" t="s">
        <v>22518</v>
      </c>
      <c r="C14850" s="147" t="s">
        <v>20221</v>
      </c>
      <c r="D14850" s="701" t="s">
        <v>1129</v>
      </c>
      <c r="E14850" s="178">
        <v>2018</v>
      </c>
      <c r="F14850" s="178" t="s">
        <v>4520</v>
      </c>
      <c r="G14850" s="496"/>
      <c r="H14850" s="994" t="s">
        <v>20221</v>
      </c>
      <c r="I14850" s="11" t="s">
        <v>15617</v>
      </c>
      <c r="J14850" s="1285"/>
      <c r="K14850" s="1285"/>
      <c r="L14850" s="1285"/>
    </row>
    <row r="14851" spans="1:12" ht="9" customHeight="1">
      <c r="A14851" s="129" t="s">
        <v>23600</v>
      </c>
      <c r="B14851" s="59" t="s">
        <v>22759</v>
      </c>
      <c r="C14851" s="147" t="s">
        <v>20221</v>
      </c>
      <c r="D14851" s="701" t="s">
        <v>1129</v>
      </c>
      <c r="E14851" s="178">
        <v>2019</v>
      </c>
      <c r="F14851" s="178" t="s">
        <v>4520</v>
      </c>
      <c r="G14851" s="496"/>
      <c r="H14851" s="994" t="s">
        <v>20221</v>
      </c>
      <c r="I14851" s="11" t="s">
        <v>16278</v>
      </c>
      <c r="J14851" s="1285"/>
      <c r="K14851" s="1285"/>
      <c r="L14851" s="1285"/>
    </row>
    <row r="14852" spans="1:12" ht="9" customHeight="1">
      <c r="A14852" s="129" t="s">
        <v>23524</v>
      </c>
      <c r="B14852" s="59" t="s">
        <v>22521</v>
      </c>
      <c r="C14852" s="147" t="s">
        <v>20221</v>
      </c>
      <c r="D14852" s="701" t="s">
        <v>1129</v>
      </c>
      <c r="E14852" s="178">
        <v>2016</v>
      </c>
      <c r="F14852" s="178" t="s">
        <v>4520</v>
      </c>
      <c r="G14852" s="496"/>
      <c r="H14852" s="994" t="s">
        <v>20221</v>
      </c>
      <c r="I14852" s="11" t="s">
        <v>15633</v>
      </c>
      <c r="J14852" s="1285"/>
      <c r="K14852" s="1285"/>
      <c r="L14852" s="1285"/>
    </row>
    <row r="14853" spans="1:12" ht="9" customHeight="1">
      <c r="A14853" s="129" t="s">
        <v>23484</v>
      </c>
      <c r="B14853" s="59" t="s">
        <v>20289</v>
      </c>
      <c r="C14853" s="147" t="s">
        <v>20221</v>
      </c>
      <c r="D14853" s="701" t="s">
        <v>884</v>
      </c>
      <c r="E14853" s="178">
        <v>2010</v>
      </c>
      <c r="F14853" s="178" t="s">
        <v>4520</v>
      </c>
      <c r="G14853" s="496"/>
      <c r="H14853" s="994" t="s">
        <v>20221</v>
      </c>
      <c r="I14853" s="11" t="s">
        <v>1179</v>
      </c>
      <c r="J14853" s="1285"/>
      <c r="K14853" s="1285"/>
      <c r="L14853" s="1285"/>
    </row>
    <row r="14854" spans="1:12" ht="9" customHeight="1">
      <c r="A14854" s="129" t="s">
        <v>23435</v>
      </c>
      <c r="B14854" s="59" t="s">
        <v>20479</v>
      </c>
      <c r="C14854" s="147" t="s">
        <v>20221</v>
      </c>
      <c r="D14854" s="701" t="s">
        <v>18762</v>
      </c>
      <c r="E14854" s="178">
        <v>2015</v>
      </c>
      <c r="F14854" s="178" t="s">
        <v>23399</v>
      </c>
      <c r="G14854" s="496"/>
      <c r="H14854" s="994" t="s">
        <v>20221</v>
      </c>
      <c r="I14854" s="11" t="s">
        <v>1439</v>
      </c>
      <c r="J14854" s="1285"/>
      <c r="K14854" s="1285"/>
      <c r="L14854" s="1285"/>
    </row>
    <row r="14855" spans="1:12" ht="9" customHeight="1">
      <c r="A14855" s="129" t="s">
        <v>23598</v>
      </c>
      <c r="B14855" s="59" t="s">
        <v>22770</v>
      </c>
      <c r="C14855" s="147" t="s">
        <v>20221</v>
      </c>
      <c r="D14855" s="701" t="s">
        <v>1129</v>
      </c>
      <c r="E14855" s="178">
        <v>2018</v>
      </c>
      <c r="F14855" s="178" t="s">
        <v>4520</v>
      </c>
      <c r="G14855" s="496"/>
      <c r="H14855" s="994" t="s">
        <v>20224</v>
      </c>
      <c r="I14855" s="11" t="s">
        <v>16326</v>
      </c>
      <c r="J14855" s="1285"/>
      <c r="K14855" s="1285"/>
      <c r="L14855" s="1285"/>
    </row>
    <row r="14856" spans="1:12" ht="9" customHeight="1">
      <c r="A14856" s="129" t="s">
        <v>23601</v>
      </c>
      <c r="B14856" s="59" t="s">
        <v>22955</v>
      </c>
      <c r="C14856" s="147" t="s">
        <v>20221</v>
      </c>
      <c r="D14856" s="701" t="s">
        <v>1129</v>
      </c>
      <c r="E14856" s="178" t="s">
        <v>20221</v>
      </c>
      <c r="F14856" s="178" t="s">
        <v>4520</v>
      </c>
      <c r="G14856" s="496"/>
      <c r="H14856" s="994" t="s">
        <v>20224</v>
      </c>
      <c r="I14856" s="11" t="s">
        <v>17691</v>
      </c>
      <c r="J14856" s="1285"/>
      <c r="K14856" s="1285"/>
      <c r="L14856" s="1285"/>
    </row>
    <row r="14857" spans="1:12" ht="9" customHeight="1">
      <c r="A14857" s="811"/>
      <c r="B14857" s="29"/>
      <c r="C14857" s="147"/>
      <c r="D14857" s="129"/>
      <c r="E14857" s="29"/>
      <c r="F14857" s="29"/>
      <c r="G14857" s="29"/>
      <c r="H14857" s="29"/>
      <c r="I14857" s="11"/>
    </row>
    <row r="14858" spans="1:12" ht="24" customHeight="1">
      <c r="A14858" s="926" t="s">
        <v>18899</v>
      </c>
      <c r="B14858" s="932" t="s">
        <v>18912</v>
      </c>
      <c r="C14858" s="147"/>
      <c r="D14858" s="107"/>
      <c r="E14858" s="240" t="s">
        <v>18913</v>
      </c>
      <c r="F14858" s="240" t="s">
        <v>18914</v>
      </c>
      <c r="G14858" s="908"/>
      <c r="H14858" s="933"/>
      <c r="I14858" s="11"/>
    </row>
    <row r="14859" spans="1:12" ht="9" customHeight="1">
      <c r="A14859" s="129" t="s">
        <v>23518</v>
      </c>
      <c r="B14859" s="59" t="s">
        <v>22139</v>
      </c>
      <c r="C14859" s="147" t="s">
        <v>20221</v>
      </c>
      <c r="D14859" s="701" t="s">
        <v>1129</v>
      </c>
      <c r="E14859" s="122" t="s">
        <v>18915</v>
      </c>
      <c r="F14859" s="122" t="s">
        <v>18917</v>
      </c>
      <c r="G14859" s="496"/>
      <c r="H14859" s="994" t="s">
        <v>20221</v>
      </c>
      <c r="I14859" s="11" t="s">
        <v>13557</v>
      </c>
      <c r="J14859" s="1285"/>
      <c r="K14859" s="1285"/>
      <c r="L14859" s="1285"/>
    </row>
    <row r="14860" spans="1:12" ht="9" customHeight="1">
      <c r="A14860" s="129" t="s">
        <v>23442</v>
      </c>
      <c r="B14860" s="59" t="s">
        <v>22164</v>
      </c>
      <c r="C14860" s="147" t="s">
        <v>20221</v>
      </c>
      <c r="D14860" s="701" t="s">
        <v>1129</v>
      </c>
      <c r="E14860" s="122" t="s">
        <v>18918</v>
      </c>
      <c r="F14860" s="122" t="s">
        <v>18919</v>
      </c>
      <c r="G14860" s="496"/>
      <c r="H14860" s="994" t="s">
        <v>20221</v>
      </c>
      <c r="I14860" s="11" t="s">
        <v>13696</v>
      </c>
      <c r="J14860" s="1285"/>
      <c r="K14860" s="1285"/>
      <c r="L14860" s="1285"/>
    </row>
    <row r="14861" spans="1:12" ht="9" customHeight="1">
      <c r="A14861" s="129" t="s">
        <v>23593</v>
      </c>
      <c r="B14861" s="59" t="s">
        <v>22194</v>
      </c>
      <c r="C14861" s="147" t="s">
        <v>20221</v>
      </c>
      <c r="D14861" s="701" t="s">
        <v>1129</v>
      </c>
      <c r="E14861" s="122" t="s">
        <v>18921</v>
      </c>
      <c r="F14861" s="122" t="s">
        <v>18916</v>
      </c>
      <c r="G14861" s="496"/>
      <c r="H14861" s="994" t="s">
        <v>20221</v>
      </c>
      <c r="I14861" s="11" t="s">
        <v>13857</v>
      </c>
      <c r="J14861" s="1285"/>
      <c r="K14861" s="1285"/>
      <c r="L14861" s="1285"/>
    </row>
    <row r="14862" spans="1:12" ht="9" customHeight="1">
      <c r="A14862" s="129" t="s">
        <v>23602</v>
      </c>
      <c r="B14862" s="59" t="s">
        <v>21638</v>
      </c>
      <c r="C14862" s="147" t="s">
        <v>23393</v>
      </c>
      <c r="D14862" s="701" t="s">
        <v>1129</v>
      </c>
      <c r="E14862" s="122" t="s">
        <v>18921</v>
      </c>
      <c r="F14862" s="122" t="s">
        <v>18922</v>
      </c>
      <c r="G14862" s="496"/>
      <c r="H14862" s="994" t="s">
        <v>20221</v>
      </c>
      <c r="I14862" s="11" t="s">
        <v>10194</v>
      </c>
      <c r="J14862" s="1285"/>
      <c r="K14862" s="1285"/>
      <c r="L14862" s="1285"/>
    </row>
    <row r="14863" spans="1:12" ht="9" customHeight="1">
      <c r="A14863" s="129" t="s">
        <v>23603</v>
      </c>
      <c r="B14863" s="59" t="s">
        <v>18923</v>
      </c>
      <c r="C14863" s="147" t="s">
        <v>20221</v>
      </c>
      <c r="D14863" s="701" t="s">
        <v>1129</v>
      </c>
      <c r="E14863" s="122" t="s">
        <v>18924</v>
      </c>
      <c r="F14863" s="122"/>
      <c r="G14863" s="496"/>
      <c r="H14863" s="994" t="s">
        <v>20221</v>
      </c>
      <c r="I14863" s="11" t="s">
        <v>7157</v>
      </c>
      <c r="J14863" s="1285"/>
      <c r="K14863" s="1285"/>
      <c r="L14863" s="1285"/>
    </row>
    <row r="14864" spans="1:12" ht="9" customHeight="1">
      <c r="A14864" s="129" t="s">
        <v>23604</v>
      </c>
      <c r="B14864" s="59" t="s">
        <v>22150</v>
      </c>
      <c r="C14864" s="147" t="s">
        <v>20221</v>
      </c>
      <c r="D14864" s="701" t="s">
        <v>1129</v>
      </c>
      <c r="E14864" s="122" t="s">
        <v>18916</v>
      </c>
      <c r="F14864" s="122"/>
      <c r="G14864" s="496"/>
      <c r="H14864" s="994" t="s">
        <v>20221</v>
      </c>
      <c r="I14864" s="11" t="s">
        <v>13617</v>
      </c>
      <c r="J14864" s="1285"/>
      <c r="K14864" s="1285"/>
      <c r="L14864" s="1285"/>
    </row>
    <row r="14865" spans="1:12" ht="9" customHeight="1">
      <c r="A14865" s="129" t="s">
        <v>23504</v>
      </c>
      <c r="B14865" s="59" t="s">
        <v>22282</v>
      </c>
      <c r="C14865" s="147" t="s">
        <v>20221</v>
      </c>
      <c r="D14865" s="701" t="s">
        <v>1129</v>
      </c>
      <c r="E14865" s="122" t="s">
        <v>18919</v>
      </c>
      <c r="F14865" s="122"/>
      <c r="G14865" s="496" t="s">
        <v>20221</v>
      </c>
      <c r="H14865" s="994" t="s">
        <v>3907</v>
      </c>
      <c r="I14865" s="11" t="s">
        <v>14369</v>
      </c>
      <c r="J14865" s="1285"/>
      <c r="K14865" s="1285"/>
      <c r="L14865" s="1285"/>
    </row>
    <row r="14866" spans="1:12" ht="9" customHeight="1">
      <c r="A14866" s="129" t="s">
        <v>23440</v>
      </c>
      <c r="B14866" s="59" t="s">
        <v>18926</v>
      </c>
      <c r="C14866" s="147" t="s">
        <v>20221</v>
      </c>
      <c r="D14866" s="701" t="s">
        <v>1129</v>
      </c>
      <c r="E14866" s="122" t="s">
        <v>18925</v>
      </c>
      <c r="F14866" s="183"/>
      <c r="G14866" s="496"/>
      <c r="H14866" s="994" t="s">
        <v>20224</v>
      </c>
      <c r="I14866" s="11" t="s">
        <v>11463</v>
      </c>
      <c r="J14866" s="1285"/>
      <c r="K14866" s="1285"/>
      <c r="L14866" s="1285"/>
    </row>
    <row r="14867" spans="1:12" ht="9" customHeight="1">
      <c r="A14867" s="129" t="s">
        <v>23605</v>
      </c>
      <c r="B14867" s="59" t="s">
        <v>22914</v>
      </c>
      <c r="C14867" s="147" t="s">
        <v>20221</v>
      </c>
      <c r="D14867" s="701" t="s">
        <v>1129</v>
      </c>
      <c r="E14867" s="122" t="s">
        <v>18927</v>
      </c>
      <c r="F14867" s="122" t="s">
        <v>18928</v>
      </c>
      <c r="G14867" s="496"/>
      <c r="H14867" s="994" t="s">
        <v>20221</v>
      </c>
      <c r="I14867" s="11" t="s">
        <v>17527</v>
      </c>
      <c r="J14867" s="1285"/>
      <c r="K14867" s="1285"/>
      <c r="L14867" s="1285"/>
    </row>
    <row r="14868" spans="1:12" ht="9" customHeight="1">
      <c r="A14868" s="129" t="s">
        <v>23543</v>
      </c>
      <c r="B14868" s="59" t="s">
        <v>22356</v>
      </c>
      <c r="C14868" s="147" t="s">
        <v>20221</v>
      </c>
      <c r="D14868" s="1035" t="s">
        <v>14689</v>
      </c>
      <c r="E14868" s="122" t="s">
        <v>18916</v>
      </c>
      <c r="F14868" s="122" t="s">
        <v>18917</v>
      </c>
      <c r="G14868" s="496"/>
      <c r="H14868" s="994" t="s">
        <v>20221</v>
      </c>
      <c r="I14868" s="11" t="s">
        <v>14690</v>
      </c>
      <c r="J14868" s="1285"/>
      <c r="K14868" s="1285"/>
      <c r="L14868" s="1285"/>
    </row>
    <row r="14869" spans="1:12" ht="9" customHeight="1">
      <c r="A14869" s="129" t="s">
        <v>23543</v>
      </c>
      <c r="B14869" s="59" t="s">
        <v>22358</v>
      </c>
      <c r="C14869" s="147" t="s">
        <v>20221</v>
      </c>
      <c r="D14869" s="1035" t="s">
        <v>14689</v>
      </c>
      <c r="E14869" s="122" t="s">
        <v>18916</v>
      </c>
      <c r="F14869" s="122" t="s">
        <v>18917</v>
      </c>
      <c r="G14869" s="496"/>
      <c r="H14869" s="994" t="s">
        <v>20221</v>
      </c>
      <c r="I14869" s="11" t="s">
        <v>14692</v>
      </c>
      <c r="J14869" s="1285"/>
      <c r="K14869" s="1285"/>
      <c r="L14869" s="1285"/>
    </row>
    <row r="14870" spans="1:12" ht="9" customHeight="1">
      <c r="A14870" s="129" t="s">
        <v>23517</v>
      </c>
      <c r="B14870" s="59" t="s">
        <v>22143</v>
      </c>
      <c r="C14870" s="147" t="s">
        <v>20221</v>
      </c>
      <c r="D14870" s="701" t="s">
        <v>1129</v>
      </c>
      <c r="E14870" s="122" t="s">
        <v>18917</v>
      </c>
      <c r="F14870" s="122"/>
      <c r="G14870" s="496"/>
      <c r="H14870" s="994" t="s">
        <v>20221</v>
      </c>
      <c r="I14870" s="11" t="s">
        <v>13574</v>
      </c>
      <c r="J14870" s="1285"/>
      <c r="K14870" s="1285"/>
      <c r="L14870" s="1285"/>
    </row>
    <row r="14871" spans="1:12" ht="9" customHeight="1">
      <c r="A14871" s="129" t="s">
        <v>23478</v>
      </c>
      <c r="B14871" s="59" t="s">
        <v>22300</v>
      </c>
      <c r="C14871" s="147" t="s">
        <v>20221</v>
      </c>
      <c r="D14871" s="701" t="s">
        <v>884</v>
      </c>
      <c r="E14871" s="122" t="s">
        <v>18929</v>
      </c>
      <c r="F14871" s="122"/>
      <c r="G14871" s="496"/>
      <c r="H14871" s="994" t="s">
        <v>20221</v>
      </c>
      <c r="I14871" s="11" t="s">
        <v>14450</v>
      </c>
      <c r="J14871" s="1285"/>
      <c r="K14871" s="1285"/>
      <c r="L14871" s="1285"/>
    </row>
    <row r="14872" spans="1:12" ht="9" customHeight="1">
      <c r="A14872" s="129" t="s">
        <v>23606</v>
      </c>
      <c r="B14872" s="59" t="s">
        <v>21978</v>
      </c>
      <c r="C14872" s="147" t="s">
        <v>20221</v>
      </c>
      <c r="D14872" s="701" t="s">
        <v>1129</v>
      </c>
      <c r="E14872" s="122" t="s">
        <v>18929</v>
      </c>
      <c r="F14872" s="122" t="s">
        <v>18930</v>
      </c>
      <c r="G14872" s="496"/>
      <c r="H14872" s="994" t="s">
        <v>20221</v>
      </c>
      <c r="I14872" s="11" t="s">
        <v>12327</v>
      </c>
      <c r="J14872" s="1285"/>
      <c r="K14872" s="1285"/>
      <c r="L14872" s="1285"/>
    </row>
    <row r="14873" spans="1:12" ht="9" customHeight="1">
      <c r="A14873" s="129" t="s">
        <v>23558</v>
      </c>
      <c r="B14873" s="59" t="s">
        <v>22383</v>
      </c>
      <c r="C14873" s="147" t="s">
        <v>23393</v>
      </c>
      <c r="D14873" s="701" t="s">
        <v>1129</v>
      </c>
      <c r="E14873" s="122" t="s">
        <v>18922</v>
      </c>
      <c r="F14873" s="122"/>
      <c r="G14873" s="496"/>
      <c r="H14873" s="994" t="s">
        <v>20221</v>
      </c>
      <c r="I14873" s="11" t="s">
        <v>23358</v>
      </c>
      <c r="J14873" s="1285"/>
      <c r="K14873" s="1285"/>
      <c r="L14873" s="1285"/>
    </row>
    <row r="14874" spans="1:12" ht="9" customHeight="1">
      <c r="A14874" s="129" t="s">
        <v>23543</v>
      </c>
      <c r="B14874" s="59" t="s">
        <v>22330</v>
      </c>
      <c r="C14874" s="147" t="s">
        <v>20221</v>
      </c>
      <c r="D14874" s="701" t="s">
        <v>1129</v>
      </c>
      <c r="E14874" s="122" t="s">
        <v>18922</v>
      </c>
      <c r="F14874" s="122"/>
      <c r="G14874" s="496"/>
      <c r="H14874" s="994" t="s">
        <v>20221</v>
      </c>
      <c r="I14874" s="11" t="s">
        <v>14606</v>
      </c>
      <c r="J14874" s="1285"/>
      <c r="K14874" s="1285"/>
      <c r="L14874" s="1285"/>
    </row>
    <row r="14875" spans="1:12" ht="9" customHeight="1">
      <c r="A14875" s="129" t="s">
        <v>23607</v>
      </c>
      <c r="B14875" s="59" t="s">
        <v>22950</v>
      </c>
      <c r="C14875" s="147" t="s">
        <v>20221</v>
      </c>
      <c r="D14875" s="701" t="s">
        <v>1129</v>
      </c>
      <c r="E14875" s="122" t="s">
        <v>18922</v>
      </c>
      <c r="F14875" s="178"/>
      <c r="G14875" s="496"/>
      <c r="H14875" s="994" t="s">
        <v>20224</v>
      </c>
      <c r="I14875" s="11" t="s">
        <v>17683</v>
      </c>
      <c r="J14875" s="1285"/>
      <c r="K14875" s="1285"/>
      <c r="L14875" s="1285"/>
    </row>
    <row r="14876" spans="1:12" ht="9" customHeight="1">
      <c r="A14876" s="129" t="s">
        <v>23608</v>
      </c>
      <c r="B14876" s="59" t="s">
        <v>22184</v>
      </c>
      <c r="C14876" s="147" t="s">
        <v>20221</v>
      </c>
      <c r="D14876" s="701" t="s">
        <v>1129</v>
      </c>
      <c r="E14876" s="122" t="s">
        <v>18922</v>
      </c>
      <c r="F14876" s="122" t="s">
        <v>18931</v>
      </c>
      <c r="G14876" s="496"/>
      <c r="H14876" s="994" t="s">
        <v>20221</v>
      </c>
      <c r="I14876" s="11" t="s">
        <v>13782</v>
      </c>
      <c r="J14876" s="1285"/>
      <c r="K14876" s="1285"/>
      <c r="L14876" s="1285"/>
    </row>
    <row r="14877" spans="1:12" ht="9" customHeight="1">
      <c r="A14877" s="129" t="s">
        <v>23575</v>
      </c>
      <c r="B14877" s="59" t="s">
        <v>22236</v>
      </c>
      <c r="C14877" s="147" t="s">
        <v>20221</v>
      </c>
      <c r="D14877" s="701" t="s">
        <v>1129</v>
      </c>
      <c r="E14877" s="122" t="s">
        <v>18932</v>
      </c>
      <c r="F14877" s="122" t="s">
        <v>18933</v>
      </c>
      <c r="G14877" s="496" t="s">
        <v>20221</v>
      </c>
      <c r="H14877" s="994" t="s">
        <v>3907</v>
      </c>
      <c r="I14877" s="11" t="s">
        <v>14106</v>
      </c>
      <c r="J14877" s="1285"/>
      <c r="K14877" s="1285"/>
      <c r="L14877" s="1285"/>
    </row>
    <row r="14878" spans="1:12" ht="9" customHeight="1">
      <c r="A14878" s="129" t="s">
        <v>23607</v>
      </c>
      <c r="B14878" s="59" t="s">
        <v>22954</v>
      </c>
      <c r="C14878" s="147" t="s">
        <v>20221</v>
      </c>
      <c r="D14878" s="701" t="s">
        <v>1129</v>
      </c>
      <c r="E14878" s="122" t="s">
        <v>18934</v>
      </c>
      <c r="F14878" s="178"/>
      <c r="G14878" s="496"/>
      <c r="H14878" s="994" t="s">
        <v>20224</v>
      </c>
      <c r="I14878" s="11" t="s">
        <v>17689</v>
      </c>
      <c r="J14878" s="1285"/>
      <c r="K14878" s="1285"/>
      <c r="L14878" s="1285"/>
    </row>
    <row r="14879" spans="1:12" ht="9" customHeight="1">
      <c r="A14879" s="129" t="s">
        <v>23535</v>
      </c>
      <c r="B14879" s="59" t="s">
        <v>22273</v>
      </c>
      <c r="C14879" s="147" t="s">
        <v>20221</v>
      </c>
      <c r="D14879" s="701" t="s">
        <v>1129</v>
      </c>
      <c r="E14879" s="122" t="s">
        <v>18935</v>
      </c>
      <c r="F14879" s="122"/>
      <c r="G14879" s="496"/>
      <c r="H14879" s="994" t="s">
        <v>20465</v>
      </c>
      <c r="I14879" s="11" t="s">
        <v>14313</v>
      </c>
      <c r="J14879" s="1285"/>
      <c r="K14879" s="1285"/>
      <c r="L14879" s="1285"/>
    </row>
    <row r="14880" spans="1:12" ht="9" customHeight="1">
      <c r="A14880" s="129" t="s">
        <v>23568</v>
      </c>
      <c r="B14880" s="59" t="s">
        <v>18936</v>
      </c>
      <c r="C14880" s="147" t="s">
        <v>20221</v>
      </c>
      <c r="D14880" s="701" t="s">
        <v>1129</v>
      </c>
      <c r="E14880" s="122" t="s">
        <v>18931</v>
      </c>
      <c r="F14880" s="178"/>
      <c r="G14880" s="496"/>
      <c r="H14880" s="994" t="s">
        <v>20277</v>
      </c>
      <c r="I14880" s="11" t="s">
        <v>10775</v>
      </c>
      <c r="J14880" s="1285"/>
      <c r="K14880" s="1285"/>
      <c r="L14880" s="1285"/>
    </row>
    <row r="14881" spans="1:12" ht="9" customHeight="1">
      <c r="A14881" s="129" t="s">
        <v>23444</v>
      </c>
      <c r="B14881" s="59" t="s">
        <v>22224</v>
      </c>
      <c r="C14881" s="147" t="s">
        <v>20221</v>
      </c>
      <c r="D14881" s="701" t="s">
        <v>1129</v>
      </c>
      <c r="E14881" s="122" t="s">
        <v>18931</v>
      </c>
      <c r="F14881" s="122"/>
      <c r="G14881" s="496"/>
      <c r="H14881" s="994" t="s">
        <v>20221</v>
      </c>
      <c r="I14881" s="11" t="s">
        <v>14015</v>
      </c>
      <c r="J14881" s="1285"/>
      <c r="K14881" s="1285"/>
      <c r="L14881" s="1285"/>
    </row>
    <row r="14882" spans="1:12" ht="9" customHeight="1">
      <c r="A14882" s="129" t="s">
        <v>23536</v>
      </c>
      <c r="B14882" s="59" t="s">
        <v>22779</v>
      </c>
      <c r="C14882" s="147" t="s">
        <v>20221</v>
      </c>
      <c r="D14882" s="701" t="s">
        <v>1129</v>
      </c>
      <c r="E14882" s="122" t="s">
        <v>18938</v>
      </c>
      <c r="F14882" s="122"/>
      <c r="G14882" s="496"/>
      <c r="H14882" s="994" t="s">
        <v>20465</v>
      </c>
      <c r="I14882" s="11" t="s">
        <v>16409</v>
      </c>
      <c r="J14882" s="1285"/>
      <c r="K14882" s="1285"/>
      <c r="L14882" s="1285"/>
    </row>
    <row r="14883" spans="1:12" ht="9" customHeight="1">
      <c r="A14883" s="129" t="s">
        <v>23595</v>
      </c>
      <c r="B14883" s="59" t="s">
        <v>21708</v>
      </c>
      <c r="C14883" s="147" t="s">
        <v>20221</v>
      </c>
      <c r="D14883" s="701" t="s">
        <v>1129</v>
      </c>
      <c r="E14883" s="122" t="s">
        <v>18939</v>
      </c>
      <c r="F14883" s="122" t="s">
        <v>18940</v>
      </c>
      <c r="G14883" s="496"/>
      <c r="H14883" s="994" t="s">
        <v>20465</v>
      </c>
      <c r="I14883" s="11" t="s">
        <v>10531</v>
      </c>
      <c r="J14883" s="1285"/>
      <c r="K14883" s="1285"/>
      <c r="L14883" s="1285"/>
    </row>
    <row r="14884" spans="1:12" ht="9" customHeight="1">
      <c r="A14884" s="129" t="s">
        <v>23536</v>
      </c>
      <c r="B14884" s="59" t="s">
        <v>22782</v>
      </c>
      <c r="C14884" s="147" t="s">
        <v>20221</v>
      </c>
      <c r="D14884" s="701" t="s">
        <v>1129</v>
      </c>
      <c r="E14884" s="122" t="s">
        <v>18938</v>
      </c>
      <c r="F14884" s="122" t="s">
        <v>18941</v>
      </c>
      <c r="G14884" s="496"/>
      <c r="H14884" s="994" t="s">
        <v>20221</v>
      </c>
      <c r="I14884" s="11" t="s">
        <v>16422</v>
      </c>
      <c r="J14884" s="1285"/>
      <c r="K14884" s="1285"/>
      <c r="L14884" s="1285"/>
    </row>
    <row r="14885" spans="1:12" ht="9" customHeight="1">
      <c r="A14885" s="811"/>
      <c r="B14885" s="90"/>
      <c r="C14885" s="147"/>
      <c r="D14885" s="159"/>
      <c r="E14885" s="122"/>
      <c r="F14885" s="122"/>
      <c r="G14885" s="496"/>
      <c r="H14885" s="122"/>
      <c r="I14885" s="11"/>
    </row>
    <row r="14886" spans="1:12" ht="24" customHeight="1">
      <c r="A14886" s="926" t="s">
        <v>18899</v>
      </c>
      <c r="B14886" s="934" t="s">
        <v>18942</v>
      </c>
      <c r="C14886" s="1357"/>
      <c r="D14886" s="907"/>
      <c r="F14886" s="909"/>
      <c r="G14886" s="908"/>
      <c r="H14886" s="909"/>
      <c r="I14886" s="11"/>
    </row>
    <row r="14887" spans="1:12" ht="9" customHeight="1">
      <c r="A14887" s="129" t="s">
        <v>23483</v>
      </c>
      <c r="B14887" s="59" t="s">
        <v>21401</v>
      </c>
      <c r="C14887" s="183" t="s">
        <v>18943</v>
      </c>
      <c r="D14887" s="701" t="s">
        <v>1129</v>
      </c>
      <c r="E14887" s="178" t="s">
        <v>20221</v>
      </c>
      <c r="F14887" s="178" t="s">
        <v>4520</v>
      </c>
      <c r="G14887" s="496" t="s">
        <v>20221</v>
      </c>
      <c r="H14887" s="994" t="s">
        <v>3907</v>
      </c>
      <c r="I14887" s="11" t="s">
        <v>8840</v>
      </c>
      <c r="J14887" s="1285"/>
      <c r="K14887" s="1285"/>
      <c r="L14887" s="1285"/>
    </row>
    <row r="14888" spans="1:12" ht="9" customHeight="1">
      <c r="A14888" s="129" t="s">
        <v>23609</v>
      </c>
      <c r="B14888" s="59" t="s">
        <v>22082</v>
      </c>
      <c r="C14888" s="479" t="s">
        <v>18943</v>
      </c>
      <c r="D14888" s="739" t="s">
        <v>1410</v>
      </c>
      <c r="E14888" s="178">
        <v>2012</v>
      </c>
      <c r="F14888" s="178" t="s">
        <v>23398</v>
      </c>
      <c r="G14888" s="496"/>
      <c r="H14888" s="994" t="s">
        <v>20221</v>
      </c>
      <c r="I14888" s="11" t="s">
        <v>13058</v>
      </c>
      <c r="J14888" s="1285"/>
      <c r="K14888" s="1285"/>
      <c r="L14888" s="1285"/>
    </row>
    <row r="14889" spans="1:12" ht="9" customHeight="1">
      <c r="A14889" s="129" t="s">
        <v>23483</v>
      </c>
      <c r="B14889" s="59" t="s">
        <v>21402</v>
      </c>
      <c r="C14889" s="183" t="s">
        <v>18944</v>
      </c>
      <c r="D14889" s="701" t="s">
        <v>1129</v>
      </c>
      <c r="E14889" s="178">
        <v>2018</v>
      </c>
      <c r="F14889" s="178" t="s">
        <v>4520</v>
      </c>
      <c r="G14889" s="496"/>
      <c r="H14889" s="994" t="s">
        <v>20221</v>
      </c>
      <c r="I14889" s="11" t="s">
        <v>8842</v>
      </c>
      <c r="J14889" s="1285"/>
      <c r="K14889" s="1285"/>
      <c r="L14889" s="1285"/>
    </row>
    <row r="14890" spans="1:12" ht="9" customHeight="1">
      <c r="A14890" s="129" t="s">
        <v>23609</v>
      </c>
      <c r="B14890" s="59" t="s">
        <v>22083</v>
      </c>
      <c r="C14890" s="479" t="s">
        <v>18944</v>
      </c>
      <c r="D14890" s="739" t="s">
        <v>1410</v>
      </c>
      <c r="E14890" s="178">
        <v>2018</v>
      </c>
      <c r="F14890" s="178" t="s">
        <v>23398</v>
      </c>
      <c r="G14890" s="496"/>
      <c r="H14890" s="994" t="s">
        <v>20221</v>
      </c>
      <c r="I14890" s="11" t="s">
        <v>13063</v>
      </c>
      <c r="J14890" s="1285"/>
      <c r="K14890" s="1285"/>
      <c r="L14890" s="1285"/>
    </row>
    <row r="14891" spans="1:12" ht="9" customHeight="1">
      <c r="A14891" s="129" t="s">
        <v>23543</v>
      </c>
      <c r="B14891" s="59" t="s">
        <v>22356</v>
      </c>
      <c r="C14891" s="479" t="s">
        <v>18945</v>
      </c>
      <c r="D14891" s="701" t="s">
        <v>1129</v>
      </c>
      <c r="E14891" s="178" t="s">
        <v>22357</v>
      </c>
      <c r="F14891" s="178" t="s">
        <v>4520</v>
      </c>
      <c r="G14891" s="496"/>
      <c r="H14891" s="994" t="s">
        <v>20221</v>
      </c>
      <c r="I14891" s="11" t="s">
        <v>14690</v>
      </c>
      <c r="J14891" s="1285"/>
      <c r="K14891" s="1285"/>
      <c r="L14891" s="1285"/>
    </row>
    <row r="14892" spans="1:12" ht="9" customHeight="1">
      <c r="A14892" s="129" t="s">
        <v>23483</v>
      </c>
      <c r="B14892" s="59" t="s">
        <v>21403</v>
      </c>
      <c r="C14892" s="183" t="s">
        <v>18946</v>
      </c>
      <c r="D14892" s="701" t="s">
        <v>1129</v>
      </c>
      <c r="E14892" s="178">
        <v>2016</v>
      </c>
      <c r="F14892" s="178" t="s">
        <v>23407</v>
      </c>
      <c r="G14892" s="496"/>
      <c r="H14892" s="994" t="s">
        <v>20224</v>
      </c>
      <c r="I14892" s="11" t="s">
        <v>8843</v>
      </c>
      <c r="J14892" s="1285"/>
      <c r="K14892" s="1285"/>
      <c r="L14892" s="1285"/>
    </row>
    <row r="14893" spans="1:12" ht="9" customHeight="1">
      <c r="A14893" s="129" t="s">
        <v>23610</v>
      </c>
      <c r="B14893" s="59" t="s">
        <v>22036</v>
      </c>
      <c r="C14893" s="183" t="s">
        <v>18947</v>
      </c>
      <c r="D14893" s="1035" t="s">
        <v>1370</v>
      </c>
      <c r="E14893" s="178">
        <v>2016</v>
      </c>
      <c r="F14893" s="178" t="s">
        <v>23408</v>
      </c>
      <c r="G14893" s="496"/>
      <c r="H14893" s="994" t="s">
        <v>20221</v>
      </c>
      <c r="I14893" s="11" t="s">
        <v>12775</v>
      </c>
      <c r="J14893" s="1285"/>
      <c r="K14893" s="1285"/>
      <c r="L14893" s="1285"/>
    </row>
    <row r="14894" spans="1:12" ht="9" customHeight="1">
      <c r="A14894" s="129" t="s">
        <v>23610</v>
      </c>
      <c r="B14894" s="59" t="s">
        <v>22037</v>
      </c>
      <c r="C14894" s="183" t="s">
        <v>18947</v>
      </c>
      <c r="D14894" s="1035" t="s">
        <v>1370</v>
      </c>
      <c r="E14894" s="178">
        <v>2015</v>
      </c>
      <c r="F14894" s="178" t="s">
        <v>5257</v>
      </c>
      <c r="G14894" s="496"/>
      <c r="H14894" s="994" t="s">
        <v>20221</v>
      </c>
      <c r="I14894" s="11" t="s">
        <v>12777</v>
      </c>
      <c r="J14894" s="1285"/>
      <c r="K14894" s="1285"/>
      <c r="L14894" s="1285"/>
    </row>
    <row r="14895" spans="1:12" ht="9" customHeight="1">
      <c r="A14895" s="129" t="s">
        <v>23609</v>
      </c>
      <c r="B14895" s="59" t="s">
        <v>22084</v>
      </c>
      <c r="C14895" s="479" t="s">
        <v>18948</v>
      </c>
      <c r="D14895" s="739" t="s">
        <v>1410</v>
      </c>
      <c r="E14895" s="178">
        <v>2011</v>
      </c>
      <c r="F14895" s="178" t="s">
        <v>23398</v>
      </c>
      <c r="G14895" s="496"/>
      <c r="H14895" s="994" t="s">
        <v>20224</v>
      </c>
      <c r="I14895" s="11" t="s">
        <v>13067</v>
      </c>
      <c r="J14895" s="1285"/>
      <c r="K14895" s="1285"/>
      <c r="L14895" s="1285"/>
    </row>
    <row r="14896" spans="1:12" ht="9" customHeight="1">
      <c r="A14896" s="129" t="s">
        <v>23543</v>
      </c>
      <c r="B14896" s="59" t="s">
        <v>22358</v>
      </c>
      <c r="C14896" s="479" t="s">
        <v>18949</v>
      </c>
      <c r="D14896" s="701" t="s">
        <v>1129</v>
      </c>
      <c r="E14896" s="178" t="s">
        <v>22359</v>
      </c>
      <c r="F14896" s="178" t="s">
        <v>7168</v>
      </c>
      <c r="G14896" s="496"/>
      <c r="H14896" s="994" t="s">
        <v>20221</v>
      </c>
      <c r="I14896" s="11" t="s">
        <v>14692</v>
      </c>
      <c r="J14896" s="1285"/>
      <c r="K14896" s="1285"/>
      <c r="L14896" s="1285"/>
    </row>
    <row r="14897" spans="1:12" ht="9" customHeight="1">
      <c r="A14897" s="129" t="s">
        <v>23485</v>
      </c>
      <c r="B14897" s="59" t="s">
        <v>18950</v>
      </c>
      <c r="C14897" s="183" t="s">
        <v>18951</v>
      </c>
      <c r="D14897" s="701" t="s">
        <v>884</v>
      </c>
      <c r="E14897" s="178" t="s">
        <v>20253</v>
      </c>
      <c r="F14897" s="178" t="s">
        <v>4520</v>
      </c>
      <c r="G14897" s="496"/>
      <c r="H14897" s="994" t="s">
        <v>20221</v>
      </c>
      <c r="I14897" s="11" t="s">
        <v>1068</v>
      </c>
      <c r="J14897" s="1285"/>
      <c r="K14897" s="1285"/>
      <c r="L14897" s="1285"/>
    </row>
    <row r="14898" spans="1:12" ht="9" customHeight="1">
      <c r="A14898" s="129" t="s">
        <v>23591</v>
      </c>
      <c r="B14898" s="59" t="s">
        <v>23047</v>
      </c>
      <c r="C14898" s="183" t="s">
        <v>18952</v>
      </c>
      <c r="D14898" s="1035" t="s">
        <v>14689</v>
      </c>
      <c r="E14898" s="178">
        <v>1968</v>
      </c>
      <c r="F14898" s="178" t="s">
        <v>9658</v>
      </c>
      <c r="G14898" s="496"/>
      <c r="H14898" s="994" t="s">
        <v>20221</v>
      </c>
      <c r="I14898" s="11" t="s">
        <v>18358</v>
      </c>
      <c r="J14898" s="1285"/>
      <c r="K14898" s="1285"/>
      <c r="L14898" s="1285"/>
    </row>
    <row r="14899" spans="1:12" ht="9" customHeight="1">
      <c r="A14899" s="811"/>
      <c r="B14899" s="935"/>
      <c r="C14899" s="147"/>
      <c r="D14899" s="936"/>
      <c r="E14899" s="178"/>
      <c r="F14899" s="178"/>
      <c r="G14899" s="60"/>
      <c r="H14899" s="178"/>
      <c r="I14899" s="11"/>
    </row>
    <row r="14900" spans="1:12" ht="24" customHeight="1">
      <c r="A14900" s="926" t="s">
        <v>18899</v>
      </c>
      <c r="B14900" s="937" t="s">
        <v>18953</v>
      </c>
      <c r="C14900" s="147"/>
      <c r="D14900" s="907"/>
      <c r="E14900" s="933"/>
      <c r="F14900" s="178"/>
      <c r="G14900" s="908"/>
      <c r="H14900" s="909"/>
      <c r="I14900" s="11"/>
    </row>
    <row r="14901" spans="1:12" ht="9" customHeight="1">
      <c r="A14901" s="129"/>
      <c r="B14901" s="177" t="s">
        <v>18954</v>
      </c>
      <c r="C14901" s="147"/>
      <c r="D14901" s="159"/>
      <c r="E14901" s="36"/>
      <c r="F14901" s="178"/>
      <c r="G14901" s="496"/>
      <c r="H14901" s="34"/>
      <c r="I14901" s="11"/>
    </row>
    <row r="14902" spans="1:12" ht="9" customHeight="1">
      <c r="A14902" s="129" t="s">
        <v>23456</v>
      </c>
      <c r="B14902" s="59" t="s">
        <v>23234</v>
      </c>
      <c r="C14902" s="147" t="s">
        <v>20221</v>
      </c>
      <c r="D14902" s="701" t="s">
        <v>1129</v>
      </c>
      <c r="E14902" s="178">
        <v>1999</v>
      </c>
      <c r="F14902" s="178" t="s">
        <v>20220</v>
      </c>
      <c r="G14902" s="496"/>
      <c r="H14902" s="994" t="s">
        <v>20465</v>
      </c>
      <c r="I14902" s="11" t="s">
        <v>18844</v>
      </c>
      <c r="J14902" s="1285"/>
      <c r="K14902" s="1285"/>
      <c r="L14902" s="1285"/>
    </row>
    <row r="14903" spans="1:12" ht="9" customHeight="1">
      <c r="A14903" s="129" t="s">
        <v>23611</v>
      </c>
      <c r="B14903" s="59" t="s">
        <v>21204</v>
      </c>
      <c r="C14903" s="147" t="s">
        <v>20221</v>
      </c>
      <c r="D14903" s="701" t="s">
        <v>1129</v>
      </c>
      <c r="E14903" s="178">
        <v>2001</v>
      </c>
      <c r="F14903" s="178" t="s">
        <v>23395</v>
      </c>
      <c r="G14903" s="496"/>
      <c r="H14903" s="994" t="s">
        <v>20277</v>
      </c>
      <c r="I14903" s="11" t="s">
        <v>7713</v>
      </c>
      <c r="J14903" s="1285"/>
      <c r="K14903" s="1285"/>
      <c r="L14903" s="1285"/>
    </row>
    <row r="14904" spans="1:12" ht="9" customHeight="1">
      <c r="A14904" s="129" t="s">
        <v>23612</v>
      </c>
      <c r="B14904" s="59" t="s">
        <v>22374</v>
      </c>
      <c r="C14904" s="147" t="s">
        <v>20221</v>
      </c>
      <c r="D14904" s="701" t="s">
        <v>1129</v>
      </c>
      <c r="E14904" s="178">
        <v>2003</v>
      </c>
      <c r="F14904" s="178" t="s">
        <v>4520</v>
      </c>
      <c r="G14904" s="496"/>
      <c r="H14904" s="994" t="s">
        <v>20224</v>
      </c>
      <c r="I14904" s="11" t="s">
        <v>14790</v>
      </c>
      <c r="J14904" s="1285"/>
      <c r="K14904" s="1285"/>
      <c r="L14904" s="1285"/>
    </row>
    <row r="14905" spans="1:12" ht="9" customHeight="1">
      <c r="A14905" s="129" t="s">
        <v>23450</v>
      </c>
      <c r="B14905" s="59" t="s">
        <v>23229</v>
      </c>
      <c r="C14905" s="147" t="s">
        <v>20221</v>
      </c>
      <c r="D14905" s="701" t="s">
        <v>1129</v>
      </c>
      <c r="E14905" s="178">
        <v>1999</v>
      </c>
      <c r="F14905" s="178" t="s">
        <v>4520</v>
      </c>
      <c r="G14905" s="496"/>
      <c r="H14905" s="994" t="s">
        <v>20224</v>
      </c>
      <c r="I14905" s="11" t="s">
        <v>18840</v>
      </c>
      <c r="J14905" s="1285"/>
      <c r="K14905" s="1285"/>
      <c r="L14905" s="1285"/>
    </row>
    <row r="14906" spans="1:12" ht="9" customHeight="1">
      <c r="A14906" s="424"/>
      <c r="B14906" s="177" t="s">
        <v>18955</v>
      </c>
      <c r="C14906" s="147"/>
      <c r="D14906" s="159"/>
      <c r="E14906" s="178" t="s">
        <v>20221</v>
      </c>
      <c r="F14906" s="178"/>
      <c r="G14906" s="496"/>
      <c r="H14906" s="36"/>
      <c r="I14906" s="11"/>
    </row>
    <row r="14907" spans="1:12" ht="9" customHeight="1">
      <c r="A14907" s="129" t="s">
        <v>23522</v>
      </c>
      <c r="B14907" s="59" t="s">
        <v>22554</v>
      </c>
      <c r="C14907" s="147" t="s">
        <v>20221</v>
      </c>
      <c r="D14907" s="701" t="s">
        <v>1129</v>
      </c>
      <c r="E14907" s="178">
        <v>2004</v>
      </c>
      <c r="F14907" s="178" t="s">
        <v>23400</v>
      </c>
      <c r="G14907" s="496"/>
      <c r="H14907" s="994" t="s">
        <v>20221</v>
      </c>
      <c r="I14907" s="11" t="s">
        <v>15784</v>
      </c>
      <c r="J14907" s="1285"/>
      <c r="K14907" s="1285"/>
      <c r="L14907" s="1285"/>
    </row>
    <row r="14908" spans="1:12" ht="9" customHeight="1">
      <c r="A14908" s="129" t="s">
        <v>23522</v>
      </c>
      <c r="B14908" s="59" t="s">
        <v>22564</v>
      </c>
      <c r="C14908" s="147" t="s">
        <v>20221</v>
      </c>
      <c r="D14908" s="739" t="s">
        <v>1410</v>
      </c>
      <c r="E14908" s="178">
        <v>2002</v>
      </c>
      <c r="F14908" s="178" t="s">
        <v>7168</v>
      </c>
      <c r="G14908" s="496"/>
      <c r="H14908" s="994" t="s">
        <v>20221</v>
      </c>
      <c r="I14908" s="11" t="s">
        <v>15819</v>
      </c>
      <c r="J14908" s="1285"/>
      <c r="K14908" s="1285"/>
      <c r="L14908" s="1285"/>
    </row>
    <row r="14909" spans="1:12" ht="9" customHeight="1">
      <c r="A14909" s="129" t="s">
        <v>23522</v>
      </c>
      <c r="B14909" s="59" t="s">
        <v>22570</v>
      </c>
      <c r="C14909" s="147" t="s">
        <v>20221</v>
      </c>
      <c r="D14909" s="739" t="s">
        <v>1410</v>
      </c>
      <c r="E14909" s="178">
        <v>2003</v>
      </c>
      <c r="F14909" s="178" t="s">
        <v>23395</v>
      </c>
      <c r="G14909" s="496"/>
      <c r="H14909" s="994" t="s">
        <v>20465</v>
      </c>
      <c r="I14909" s="11" t="s">
        <v>15833</v>
      </c>
      <c r="J14909" s="1285"/>
      <c r="K14909" s="1285"/>
      <c r="L14909" s="1285"/>
    </row>
    <row r="14910" spans="1:12" ht="9" customHeight="1">
      <c r="A14910" s="129" t="s">
        <v>23436</v>
      </c>
      <c r="B14910" s="59" t="s">
        <v>22711</v>
      </c>
      <c r="C14910" s="147" t="s">
        <v>20221</v>
      </c>
      <c r="D14910" s="739" t="s">
        <v>1410</v>
      </c>
      <c r="E14910" s="178">
        <v>2005</v>
      </c>
      <c r="F14910" s="178" t="s">
        <v>23395</v>
      </c>
      <c r="G14910" s="496"/>
      <c r="H14910" s="994" t="s">
        <v>20277</v>
      </c>
      <c r="I14910" s="11" t="s">
        <v>16181</v>
      </c>
      <c r="J14910" s="1285"/>
      <c r="K14910" s="1285"/>
      <c r="L14910" s="1285"/>
    </row>
    <row r="14911" spans="1:12" ht="9" customHeight="1">
      <c r="A14911" s="129" t="s">
        <v>23520</v>
      </c>
      <c r="B14911" s="59" t="s">
        <v>22585</v>
      </c>
      <c r="C14911" s="147" t="s">
        <v>20221</v>
      </c>
      <c r="D14911" s="701" t="s">
        <v>1129</v>
      </c>
      <c r="E14911" s="178">
        <v>2002</v>
      </c>
      <c r="F14911" s="178" t="s">
        <v>4520</v>
      </c>
      <c r="G14911" s="496"/>
      <c r="H14911" s="994" t="s">
        <v>20221</v>
      </c>
      <c r="I14911" s="11" t="s">
        <v>15874</v>
      </c>
      <c r="J14911" s="1285"/>
      <c r="K14911" s="1285"/>
      <c r="L14911" s="1285"/>
    </row>
    <row r="14912" spans="1:12" ht="9" customHeight="1">
      <c r="A14912" s="129" t="s">
        <v>23520</v>
      </c>
      <c r="B14912" s="59" t="s">
        <v>22582</v>
      </c>
      <c r="C14912" s="147" t="s">
        <v>20221</v>
      </c>
      <c r="D14912" s="701" t="s">
        <v>1129</v>
      </c>
      <c r="E14912" s="178">
        <v>2003</v>
      </c>
      <c r="F14912" s="178" t="s">
        <v>4520</v>
      </c>
      <c r="G14912" s="496"/>
      <c r="H14912" s="994" t="s">
        <v>20221</v>
      </c>
      <c r="I14912" s="11" t="s">
        <v>15870</v>
      </c>
      <c r="J14912" s="1285"/>
      <c r="K14912" s="1285"/>
      <c r="L14912" s="1285"/>
    </row>
    <row r="14913" spans="1:12" ht="9" customHeight="1">
      <c r="A14913" s="129" t="s">
        <v>23520</v>
      </c>
      <c r="B14913" s="59" t="s">
        <v>22589</v>
      </c>
      <c r="C14913" s="147" t="s">
        <v>20221</v>
      </c>
      <c r="D14913" s="739" t="s">
        <v>1410</v>
      </c>
      <c r="E14913" s="178">
        <v>2002</v>
      </c>
      <c r="F14913" s="178" t="s">
        <v>4520</v>
      </c>
      <c r="G14913" s="496"/>
      <c r="H14913" s="994" t="s">
        <v>20277</v>
      </c>
      <c r="I14913" s="11" t="s">
        <v>15883</v>
      </c>
      <c r="J14913" s="1285"/>
      <c r="K14913" s="1285"/>
      <c r="L14913" s="1285"/>
    </row>
    <row r="14914" spans="1:12" ht="9" customHeight="1">
      <c r="A14914" s="129" t="s">
        <v>23462</v>
      </c>
      <c r="B14914" s="59" t="s">
        <v>23190</v>
      </c>
      <c r="C14914" s="147" t="s">
        <v>20221</v>
      </c>
      <c r="D14914" s="739" t="s">
        <v>1410</v>
      </c>
      <c r="E14914" s="178">
        <v>1997</v>
      </c>
      <c r="F14914" s="178" t="s">
        <v>20220</v>
      </c>
      <c r="G14914" s="496"/>
      <c r="H14914" s="994" t="s">
        <v>20465</v>
      </c>
      <c r="I14914" s="11" t="s">
        <v>18851</v>
      </c>
      <c r="J14914" s="1285"/>
      <c r="K14914" s="1285"/>
      <c r="L14914" s="1285"/>
    </row>
    <row r="14915" spans="1:12" ht="9" customHeight="1">
      <c r="A14915" s="129" t="s">
        <v>23600</v>
      </c>
      <c r="B14915" s="59" t="s">
        <v>22762</v>
      </c>
      <c r="C14915" s="147" t="s">
        <v>20221</v>
      </c>
      <c r="D14915" s="739" t="s">
        <v>1410</v>
      </c>
      <c r="E14915" s="178">
        <v>1995</v>
      </c>
      <c r="F14915" s="178" t="s">
        <v>4520</v>
      </c>
      <c r="G14915" s="496"/>
      <c r="H14915" s="994" t="s">
        <v>20224</v>
      </c>
      <c r="I14915" s="11" t="s">
        <v>16285</v>
      </c>
      <c r="J14915" s="1285"/>
      <c r="K14915" s="1285"/>
      <c r="L14915" s="1285"/>
    </row>
    <row r="14916" spans="1:12" ht="9" customHeight="1">
      <c r="A14916" s="129" t="s">
        <v>23613</v>
      </c>
      <c r="B14916" s="59" t="s">
        <v>22736</v>
      </c>
      <c r="C14916" s="147" t="s">
        <v>20221</v>
      </c>
      <c r="D14916" s="739" t="s">
        <v>1410</v>
      </c>
      <c r="E14916" s="178">
        <v>2005</v>
      </c>
      <c r="F14916" s="178" t="s">
        <v>7168</v>
      </c>
      <c r="G14916" s="496"/>
      <c r="H14916" s="994" t="s">
        <v>20221</v>
      </c>
      <c r="I14916" s="11" t="s">
        <v>16239</v>
      </c>
      <c r="J14916" s="1285"/>
      <c r="K14916" s="1285"/>
      <c r="L14916" s="1285"/>
    </row>
    <row r="14917" spans="1:12" ht="9" customHeight="1">
      <c r="A14917" s="129" t="s">
        <v>23449</v>
      </c>
      <c r="B14917" s="59" t="s">
        <v>23192</v>
      </c>
      <c r="C14917" s="147" t="s">
        <v>20221</v>
      </c>
      <c r="D14917" s="739" t="s">
        <v>1410</v>
      </c>
      <c r="E14917" s="178">
        <v>2003</v>
      </c>
      <c r="F14917" s="178" t="s">
        <v>4520</v>
      </c>
      <c r="G14917" s="496"/>
      <c r="H14917" s="994" t="s">
        <v>20224</v>
      </c>
      <c r="I14917" s="11" t="s">
        <v>18839</v>
      </c>
      <c r="J14917" s="1285"/>
      <c r="K14917" s="1285"/>
      <c r="L14917" s="1285"/>
    </row>
    <row r="14918" spans="1:12" ht="9" customHeight="1">
      <c r="A14918" s="129" t="s">
        <v>23449</v>
      </c>
      <c r="B14918" s="59" t="s">
        <v>23194</v>
      </c>
      <c r="C14918" s="147" t="s">
        <v>20221</v>
      </c>
      <c r="D14918" s="739" t="s">
        <v>1410</v>
      </c>
      <c r="E14918" s="178">
        <v>2002</v>
      </c>
      <c r="F14918" s="178" t="s">
        <v>7168</v>
      </c>
      <c r="G14918" s="496"/>
      <c r="H14918" s="994" t="s">
        <v>20221</v>
      </c>
      <c r="I14918" s="11" t="s">
        <v>18838</v>
      </c>
      <c r="J14918" s="1285"/>
      <c r="K14918" s="1285"/>
      <c r="L14918" s="1285"/>
    </row>
    <row r="14919" spans="1:12" ht="9" customHeight="1">
      <c r="A14919" s="129" t="s">
        <v>23460</v>
      </c>
      <c r="B14919" s="59" t="s">
        <v>22777</v>
      </c>
      <c r="C14919" s="147" t="s">
        <v>20221</v>
      </c>
      <c r="D14919" s="701" t="s">
        <v>1129</v>
      </c>
      <c r="E14919" s="178">
        <v>2003</v>
      </c>
      <c r="F14919" s="178" t="s">
        <v>4520</v>
      </c>
      <c r="G14919" s="496"/>
      <c r="H14919" s="994" t="s">
        <v>20277</v>
      </c>
      <c r="I14919" s="11" t="s">
        <v>16395</v>
      </c>
      <c r="J14919" s="1285"/>
      <c r="K14919" s="1285"/>
      <c r="L14919" s="1285"/>
    </row>
    <row r="14920" spans="1:12" ht="9" customHeight="1">
      <c r="A14920" s="129" t="s">
        <v>23460</v>
      </c>
      <c r="B14920" s="59" t="s">
        <v>22778</v>
      </c>
      <c r="C14920" s="147" t="s">
        <v>20221</v>
      </c>
      <c r="D14920" s="701" t="s">
        <v>1129</v>
      </c>
      <c r="E14920" s="178">
        <v>2003</v>
      </c>
      <c r="F14920" s="178" t="s">
        <v>4520</v>
      </c>
      <c r="G14920" s="496"/>
      <c r="H14920" s="994" t="s">
        <v>20465</v>
      </c>
      <c r="I14920" s="11" t="s">
        <v>16397</v>
      </c>
      <c r="J14920" s="1285"/>
      <c r="K14920" s="1285"/>
      <c r="L14920" s="1285"/>
    </row>
    <row r="14921" spans="1:12" ht="9" customHeight="1">
      <c r="A14921" s="129" t="s">
        <v>23460</v>
      </c>
      <c r="B14921" s="59" t="s">
        <v>22778</v>
      </c>
      <c r="C14921" s="147" t="s">
        <v>20221</v>
      </c>
      <c r="D14921" s="701" t="s">
        <v>1129</v>
      </c>
      <c r="E14921" s="178">
        <v>2002</v>
      </c>
      <c r="F14921" s="178" t="s">
        <v>4520</v>
      </c>
      <c r="G14921" s="496"/>
      <c r="H14921" s="994" t="s">
        <v>20224</v>
      </c>
      <c r="I14921" s="11" t="s">
        <v>16399</v>
      </c>
      <c r="J14921" s="1285"/>
      <c r="K14921" s="1285"/>
      <c r="L14921" s="1285"/>
    </row>
    <row r="14922" spans="1:12" ht="9" customHeight="1">
      <c r="A14922" s="129" t="s">
        <v>23614</v>
      </c>
      <c r="B14922" s="59" t="s">
        <v>22439</v>
      </c>
      <c r="C14922" s="147" t="s">
        <v>20221</v>
      </c>
      <c r="D14922" s="701" t="s">
        <v>1129</v>
      </c>
      <c r="E14922" s="178">
        <v>2000</v>
      </c>
      <c r="F14922" s="178" t="s">
        <v>4520</v>
      </c>
      <c r="G14922" s="496"/>
      <c r="H14922" s="994" t="s">
        <v>20224</v>
      </c>
      <c r="I14922" s="11" t="s">
        <v>15104</v>
      </c>
      <c r="J14922" s="1285"/>
      <c r="K14922" s="1285"/>
      <c r="L14922" s="1285"/>
    </row>
    <row r="14923" spans="1:12" ht="9" customHeight="1">
      <c r="A14923" s="424"/>
      <c r="B14923" s="177" t="s">
        <v>1408</v>
      </c>
      <c r="C14923" s="147"/>
      <c r="D14923" s="159"/>
      <c r="E14923" s="34"/>
      <c r="F14923" s="178"/>
      <c r="G14923" s="496"/>
      <c r="H14923" s="36"/>
      <c r="I14923" s="11"/>
    </row>
    <row r="14924" spans="1:12" ht="9" customHeight="1">
      <c r="A14924" s="129" t="s">
        <v>23553</v>
      </c>
      <c r="B14924" s="59" t="s">
        <v>20478</v>
      </c>
      <c r="C14924" s="147" t="s">
        <v>20221</v>
      </c>
      <c r="D14924" s="739" t="s">
        <v>1410</v>
      </c>
      <c r="E14924" s="178">
        <v>2005</v>
      </c>
      <c r="F14924" s="178" t="s">
        <v>23398</v>
      </c>
      <c r="G14924" s="496"/>
      <c r="H14924" s="994" t="s">
        <v>20224</v>
      </c>
      <c r="I14924" s="11" t="s">
        <v>2611</v>
      </c>
      <c r="J14924" s="1285"/>
      <c r="K14924" s="1285"/>
      <c r="L14924" s="1285"/>
    </row>
    <row r="14925" spans="1:12" ht="9" customHeight="1">
      <c r="A14925" s="129" t="s">
        <v>23615</v>
      </c>
      <c r="B14925" s="59" t="s">
        <v>20619</v>
      </c>
      <c r="C14925" s="147" t="s">
        <v>20221</v>
      </c>
      <c r="D14925" s="739" t="s">
        <v>1410</v>
      </c>
      <c r="E14925" s="178">
        <v>2003</v>
      </c>
      <c r="F14925" s="178" t="s">
        <v>23395</v>
      </c>
      <c r="G14925" s="496"/>
      <c r="H14925" s="994" t="s">
        <v>20221</v>
      </c>
      <c r="I14925" s="11" t="s">
        <v>3713</v>
      </c>
      <c r="J14925" s="1285"/>
      <c r="K14925" s="1285"/>
      <c r="L14925" s="1285"/>
    </row>
    <row r="14926" spans="1:12" ht="9" customHeight="1">
      <c r="A14926" s="129" t="s">
        <v>23586</v>
      </c>
      <c r="B14926" s="59" t="s">
        <v>20633</v>
      </c>
      <c r="C14926" s="147" t="s">
        <v>20221</v>
      </c>
      <c r="D14926" s="739" t="s">
        <v>1410</v>
      </c>
      <c r="E14926" s="178">
        <v>2003</v>
      </c>
      <c r="F14926" s="178" t="s">
        <v>23404</v>
      </c>
      <c r="G14926" s="496"/>
      <c r="H14926" s="994" t="s">
        <v>20221</v>
      </c>
      <c r="I14926" s="11" t="s">
        <v>3823</v>
      </c>
      <c r="J14926" s="1285"/>
      <c r="K14926" s="1285"/>
      <c r="L14926" s="1285"/>
    </row>
    <row r="14927" spans="1:12" ht="9" customHeight="1">
      <c r="A14927" s="129" t="s">
        <v>23586</v>
      </c>
      <c r="B14927" s="59" t="s">
        <v>20633</v>
      </c>
      <c r="C14927" s="147" t="s">
        <v>20221</v>
      </c>
      <c r="D14927" s="739" t="s">
        <v>1410</v>
      </c>
      <c r="E14927" s="178">
        <v>2001</v>
      </c>
      <c r="F14927" s="178" t="s">
        <v>23404</v>
      </c>
      <c r="G14927" s="496"/>
      <c r="H14927" s="994" t="s">
        <v>20221</v>
      </c>
      <c r="I14927" s="11" t="s">
        <v>3825</v>
      </c>
      <c r="J14927" s="1285"/>
      <c r="K14927" s="1285"/>
      <c r="L14927" s="1285"/>
    </row>
    <row r="14928" spans="1:12" ht="9" customHeight="1">
      <c r="A14928" s="129" t="s">
        <v>23616</v>
      </c>
      <c r="B14928" s="59" t="s">
        <v>21452</v>
      </c>
      <c r="C14928" s="147" t="s">
        <v>20221</v>
      </c>
      <c r="D14928" s="739" t="s">
        <v>1410</v>
      </c>
      <c r="E14928" s="178">
        <v>1995</v>
      </c>
      <c r="F14928" s="178" t="s">
        <v>4520</v>
      </c>
      <c r="G14928" s="496"/>
      <c r="H14928" s="994" t="s">
        <v>20277</v>
      </c>
      <c r="I14928" s="11" t="s">
        <v>9115</v>
      </c>
      <c r="J14928" s="1285"/>
      <c r="K14928" s="1285"/>
      <c r="L14928" s="1285"/>
    </row>
    <row r="14929" spans="1:12" ht="9" customHeight="1">
      <c r="A14929" s="811"/>
      <c r="B14929" s="935"/>
      <c r="C14929" s="147"/>
      <c r="D14929" s="161"/>
      <c r="E14929" s="34"/>
      <c r="F14929" s="178"/>
      <c r="G14929" s="60"/>
      <c r="H14929" s="178"/>
      <c r="I14929" s="11"/>
    </row>
    <row r="14930" spans="1:12" ht="24" customHeight="1">
      <c r="A14930" s="926" t="s">
        <v>18899</v>
      </c>
      <c r="B14930" s="934" t="s">
        <v>18956</v>
      </c>
      <c r="C14930" s="147"/>
      <c r="D14930" s="107"/>
      <c r="E14930" s="34"/>
      <c r="F14930" s="178"/>
      <c r="G14930" s="908"/>
      <c r="H14930" s="928"/>
      <c r="I14930" s="11"/>
    </row>
    <row r="14931" spans="1:12" ht="9" customHeight="1">
      <c r="A14931" s="129" t="s">
        <v>23539</v>
      </c>
      <c r="B14931" s="59" t="s">
        <v>18957</v>
      </c>
      <c r="C14931" s="147" t="s">
        <v>20221</v>
      </c>
      <c r="D14931" s="701" t="s">
        <v>7355</v>
      </c>
      <c r="E14931" s="178" t="s">
        <v>21967</v>
      </c>
      <c r="F14931" s="178" t="s">
        <v>4520</v>
      </c>
      <c r="G14931" s="496"/>
      <c r="H14931" s="994" t="s">
        <v>20221</v>
      </c>
      <c r="I14931" s="11" t="s">
        <v>12277</v>
      </c>
      <c r="J14931" s="1285"/>
      <c r="K14931" s="1285"/>
      <c r="L14931" s="1285"/>
    </row>
    <row r="14932" spans="1:12" ht="9" customHeight="1">
      <c r="A14932" s="129" t="s">
        <v>23539</v>
      </c>
      <c r="B14932" s="59" t="s">
        <v>18958</v>
      </c>
      <c r="C14932" s="147" t="s">
        <v>20221</v>
      </c>
      <c r="D14932" s="701" t="s">
        <v>7355</v>
      </c>
      <c r="E14932" s="178">
        <v>2016</v>
      </c>
      <c r="F14932" s="178" t="s">
        <v>4520</v>
      </c>
      <c r="G14932" s="496"/>
      <c r="H14932" s="994" t="s">
        <v>20277</v>
      </c>
      <c r="I14932" s="11" t="s">
        <v>12279</v>
      </c>
      <c r="J14932" s="1285"/>
      <c r="K14932" s="1285"/>
      <c r="L14932" s="1285"/>
    </row>
    <row r="14933" spans="1:12" ht="9" customHeight="1">
      <c r="A14933" s="129" t="s">
        <v>23543</v>
      </c>
      <c r="B14933" s="59" t="s">
        <v>18959</v>
      </c>
      <c r="C14933" s="147" t="s">
        <v>20221</v>
      </c>
      <c r="D14933" s="701" t="s">
        <v>1129</v>
      </c>
      <c r="E14933" s="178">
        <v>2021</v>
      </c>
      <c r="F14933" s="178" t="s">
        <v>4520</v>
      </c>
      <c r="G14933" s="496"/>
      <c r="H14933" s="994" t="s">
        <v>20221</v>
      </c>
      <c r="I14933" s="11" t="s">
        <v>14606</v>
      </c>
      <c r="J14933" s="1285"/>
      <c r="K14933" s="1285"/>
      <c r="L14933" s="1285"/>
    </row>
    <row r="14934" spans="1:12" ht="9" customHeight="1">
      <c r="A14934" s="129" t="s">
        <v>23543</v>
      </c>
      <c r="B14934" s="59" t="s">
        <v>18960</v>
      </c>
      <c r="C14934" s="147" t="s">
        <v>20221</v>
      </c>
      <c r="D14934" s="701" t="s">
        <v>1129</v>
      </c>
      <c r="E14934" s="178">
        <v>2019</v>
      </c>
      <c r="F14934" s="178" t="s">
        <v>23398</v>
      </c>
      <c r="G14934" s="496"/>
      <c r="H14934" s="994" t="s">
        <v>20221</v>
      </c>
      <c r="I14934" s="11" t="s">
        <v>14617</v>
      </c>
      <c r="J14934" s="1285"/>
      <c r="K14934" s="1285"/>
      <c r="L14934" s="1285"/>
    </row>
    <row r="14935" spans="1:12" ht="9" customHeight="1">
      <c r="A14935" s="129" t="s">
        <v>23536</v>
      </c>
      <c r="B14935" s="59" t="s">
        <v>18961</v>
      </c>
      <c r="C14935" s="147" t="s">
        <v>20221</v>
      </c>
      <c r="D14935" s="701" t="s">
        <v>1129</v>
      </c>
      <c r="E14935" s="178">
        <v>2018</v>
      </c>
      <c r="F14935" s="178" t="s">
        <v>4520</v>
      </c>
      <c r="G14935" s="496"/>
      <c r="H14935" s="994" t="s">
        <v>20221</v>
      </c>
      <c r="I14935" s="11" t="s">
        <v>16422</v>
      </c>
      <c r="J14935" s="1285"/>
      <c r="K14935" s="1285"/>
      <c r="L14935" s="1285"/>
    </row>
    <row r="14936" spans="1:12" ht="9" customHeight="1">
      <c r="A14936" s="129" t="s">
        <v>23617</v>
      </c>
      <c r="B14936" s="58" t="s">
        <v>18962</v>
      </c>
      <c r="C14936" s="147" t="s">
        <v>20221</v>
      </c>
      <c r="D14936" s="701" t="s">
        <v>1129</v>
      </c>
      <c r="E14936" s="178">
        <v>2016</v>
      </c>
      <c r="F14936" s="178" t="s">
        <v>4520</v>
      </c>
      <c r="G14936" s="496"/>
      <c r="H14936" s="994" t="s">
        <v>20221</v>
      </c>
      <c r="I14936" s="11" t="s">
        <v>5115</v>
      </c>
      <c r="J14936" s="1285"/>
      <c r="K14936" s="1285"/>
      <c r="L14936" s="1285"/>
    </row>
    <row r="14937" spans="1:12" ht="9" customHeight="1">
      <c r="A14937" s="129" t="s">
        <v>23618</v>
      </c>
      <c r="B14937" s="58" t="s">
        <v>18963</v>
      </c>
      <c r="C14937" s="147" t="s">
        <v>20221</v>
      </c>
      <c r="D14937" s="701" t="s">
        <v>1129</v>
      </c>
      <c r="E14937" s="178">
        <v>2011</v>
      </c>
      <c r="F14937" s="178" t="s">
        <v>23395</v>
      </c>
      <c r="G14937" s="496"/>
      <c r="H14937" s="994" t="s">
        <v>20465</v>
      </c>
      <c r="I14937" s="11" t="s">
        <v>4915</v>
      </c>
      <c r="J14937" s="1285"/>
      <c r="K14937" s="1285"/>
      <c r="L14937" s="1285"/>
    </row>
    <row r="14938" spans="1:12" ht="9" customHeight="1">
      <c r="A14938" s="129" t="s">
        <v>23595</v>
      </c>
      <c r="B14938" s="59" t="s">
        <v>18964</v>
      </c>
      <c r="C14938" s="147" t="s">
        <v>20221</v>
      </c>
      <c r="D14938" s="701" t="s">
        <v>1129</v>
      </c>
      <c r="E14938" s="178">
        <v>2018</v>
      </c>
      <c r="F14938" s="178" t="s">
        <v>23395</v>
      </c>
      <c r="G14938" s="496"/>
      <c r="H14938" s="994" t="s">
        <v>20465</v>
      </c>
      <c r="I14938" s="11" t="s">
        <v>10531</v>
      </c>
      <c r="J14938" s="1285"/>
      <c r="K14938" s="1285"/>
      <c r="L14938" s="1285"/>
    </row>
    <row r="14939" spans="1:12" ht="9" customHeight="1">
      <c r="A14939" s="129" t="s">
        <v>23540</v>
      </c>
      <c r="B14939" s="59" t="s">
        <v>18965</v>
      </c>
      <c r="C14939" s="147" t="s">
        <v>20221</v>
      </c>
      <c r="D14939" s="701" t="s">
        <v>1129</v>
      </c>
      <c r="E14939" s="178">
        <v>2015</v>
      </c>
      <c r="F14939" s="178" t="s">
        <v>23395</v>
      </c>
      <c r="G14939" s="496"/>
      <c r="H14939" s="994" t="s">
        <v>20221</v>
      </c>
      <c r="I14939" s="11" t="s">
        <v>10548</v>
      </c>
      <c r="J14939" s="1285"/>
      <c r="K14939" s="1285"/>
      <c r="L14939" s="1285"/>
    </row>
    <row r="14940" spans="1:12" ht="9" customHeight="1">
      <c r="A14940" s="129" t="s">
        <v>23593</v>
      </c>
      <c r="B14940" s="90" t="s">
        <v>18966</v>
      </c>
      <c r="C14940" s="147" t="s">
        <v>20221</v>
      </c>
      <c r="D14940" s="701" t="s">
        <v>1129</v>
      </c>
      <c r="E14940" s="178">
        <v>2014</v>
      </c>
      <c r="F14940" s="178" t="s">
        <v>4520</v>
      </c>
      <c r="G14940" s="496"/>
      <c r="H14940" s="994" t="s">
        <v>20221</v>
      </c>
      <c r="I14940" s="11" t="s">
        <v>13857</v>
      </c>
      <c r="J14940" s="1285"/>
      <c r="K14940" s="1285"/>
      <c r="L14940" s="1285"/>
    </row>
    <row r="14941" spans="1:12" ht="9" customHeight="1">
      <c r="A14941" s="129" t="s">
        <v>23593</v>
      </c>
      <c r="B14941" s="90" t="s">
        <v>18967</v>
      </c>
      <c r="C14941" s="147" t="s">
        <v>20221</v>
      </c>
      <c r="D14941" s="701" t="s">
        <v>1129</v>
      </c>
      <c r="E14941" s="178">
        <v>2014</v>
      </c>
      <c r="F14941" s="178" t="s">
        <v>4520</v>
      </c>
      <c r="G14941" s="496"/>
      <c r="H14941" s="994" t="s">
        <v>20221</v>
      </c>
      <c r="I14941" s="11" t="s">
        <v>13858</v>
      </c>
      <c r="J14941" s="1285"/>
      <c r="K14941" s="1285"/>
      <c r="L14941" s="1285"/>
    </row>
    <row r="14942" spans="1:12" ht="9" customHeight="1">
      <c r="A14942" s="129" t="s">
        <v>23526</v>
      </c>
      <c r="B14942" s="59" t="s">
        <v>18968</v>
      </c>
      <c r="C14942" s="147" t="s">
        <v>20221</v>
      </c>
      <c r="D14942" s="1034" t="s">
        <v>2573</v>
      </c>
      <c r="E14942" s="178">
        <v>2021</v>
      </c>
      <c r="F14942" s="178" t="s">
        <v>4520</v>
      </c>
      <c r="G14942" s="496"/>
      <c r="H14942" s="994" t="s">
        <v>20221</v>
      </c>
      <c r="I14942" s="11" t="s">
        <v>17282</v>
      </c>
      <c r="J14942" s="1285"/>
      <c r="K14942" s="1285"/>
      <c r="L14942" s="1285"/>
    </row>
    <row r="14943" spans="1:12" ht="9" customHeight="1">
      <c r="A14943" s="129" t="s">
        <v>23584</v>
      </c>
      <c r="B14943" s="90" t="s">
        <v>18969</v>
      </c>
      <c r="C14943" s="147" t="s">
        <v>20221</v>
      </c>
      <c r="D14943" s="701" t="s">
        <v>1129</v>
      </c>
      <c r="E14943" s="178">
        <v>2011</v>
      </c>
      <c r="F14943" s="178" t="s">
        <v>11931</v>
      </c>
      <c r="G14943" s="496"/>
      <c r="H14943" s="994" t="s">
        <v>20224</v>
      </c>
      <c r="I14943" s="11" t="s">
        <v>12690</v>
      </c>
      <c r="J14943" s="1285"/>
      <c r="K14943" s="1285"/>
      <c r="L14943" s="1285"/>
    </row>
    <row r="14944" spans="1:12" ht="9" customHeight="1">
      <c r="A14944" s="129" t="s">
        <v>23499</v>
      </c>
      <c r="B14944" s="90" t="s">
        <v>18970</v>
      </c>
      <c r="C14944" s="147" t="s">
        <v>23393</v>
      </c>
      <c r="D14944" s="701" t="s">
        <v>1129</v>
      </c>
      <c r="E14944" s="178">
        <v>2022</v>
      </c>
      <c r="F14944" s="178" t="s">
        <v>4520</v>
      </c>
      <c r="G14944" s="496"/>
      <c r="H14944" s="994" t="s">
        <v>20221</v>
      </c>
      <c r="I14944" s="11" t="s">
        <v>10373</v>
      </c>
      <c r="J14944" s="1285"/>
      <c r="K14944" s="1285"/>
      <c r="L14944" s="1285"/>
    </row>
    <row r="14945" spans="1:12" ht="9" customHeight="1">
      <c r="A14945" s="129" t="s">
        <v>23512</v>
      </c>
      <c r="B14945" s="1216" t="s">
        <v>18971</v>
      </c>
      <c r="C14945" s="147" t="s">
        <v>20221</v>
      </c>
      <c r="D14945" s="701" t="s">
        <v>1129</v>
      </c>
      <c r="E14945" s="178">
        <v>2015</v>
      </c>
      <c r="F14945" s="178" t="s">
        <v>23395</v>
      </c>
      <c r="G14945" s="496"/>
      <c r="H14945" s="994" t="s">
        <v>20221</v>
      </c>
      <c r="I14945" s="11" t="s">
        <v>12891</v>
      </c>
      <c r="J14945" s="1285"/>
      <c r="K14945" s="1285"/>
      <c r="L14945" s="1285"/>
    </row>
    <row r="14946" spans="1:12" ht="9" customHeight="1">
      <c r="A14946" s="129" t="s">
        <v>23619</v>
      </c>
      <c r="B14946" s="1216" t="s">
        <v>18972</v>
      </c>
      <c r="C14946" s="147" t="s">
        <v>20221</v>
      </c>
      <c r="D14946" s="701" t="s">
        <v>1129</v>
      </c>
      <c r="E14946" s="178">
        <v>2021</v>
      </c>
      <c r="F14946" s="178" t="s">
        <v>4520</v>
      </c>
      <c r="G14946" s="496"/>
      <c r="H14946" s="994" t="s">
        <v>20221</v>
      </c>
      <c r="I14946" s="11" t="s">
        <v>12844</v>
      </c>
      <c r="J14946" s="1285"/>
      <c r="K14946" s="1285"/>
      <c r="L14946" s="1285"/>
    </row>
    <row r="14947" spans="1:12" ht="9" customHeight="1">
      <c r="A14947" s="811"/>
      <c r="B14947" s="90"/>
      <c r="C14947" s="147"/>
      <c r="D14947" s="159"/>
      <c r="E14947" s="34"/>
      <c r="F14947" s="178"/>
      <c r="G14947" s="496"/>
      <c r="H14947" s="36"/>
      <c r="I14947" s="11"/>
    </row>
    <row r="14948" spans="1:12" ht="24" customHeight="1">
      <c r="A14948" s="938"/>
      <c r="B14948" s="934" t="s">
        <v>18973</v>
      </c>
      <c r="C14948" s="147"/>
      <c r="D14948" s="907"/>
      <c r="E14948" s="34"/>
      <c r="F14948" s="178"/>
      <c r="G14948" s="1266"/>
      <c r="H14948" s="909"/>
      <c r="I14948" s="11"/>
    </row>
    <row r="14949" spans="1:12" ht="24" customHeight="1">
      <c r="A14949" s="926" t="s">
        <v>18899</v>
      </c>
      <c r="B14949" s="937" t="s">
        <v>18974</v>
      </c>
      <c r="C14949" s="147"/>
      <c r="D14949" s="907"/>
      <c r="E14949" s="34"/>
      <c r="F14949" s="178"/>
      <c r="G14949" s="908"/>
      <c r="H14949" s="909"/>
      <c r="I14949" s="11"/>
    </row>
    <row r="14950" spans="1:12" ht="9" customHeight="1">
      <c r="A14950" s="129" t="s">
        <v>23620</v>
      </c>
      <c r="B14950" s="59" t="s">
        <v>21953</v>
      </c>
      <c r="C14950" s="147" t="s">
        <v>20221</v>
      </c>
      <c r="D14950" s="1035" t="s">
        <v>1370</v>
      </c>
      <c r="E14950" s="178">
        <v>2020</v>
      </c>
      <c r="F14950" s="178" t="s">
        <v>4520</v>
      </c>
      <c r="G14950" s="496"/>
      <c r="H14950" s="994" t="s">
        <v>20221</v>
      </c>
      <c r="I14950" s="11" t="s">
        <v>12197</v>
      </c>
      <c r="J14950" s="1285"/>
      <c r="K14950" s="1285"/>
      <c r="L14950" s="1285"/>
    </row>
    <row r="14951" spans="1:12" ht="9" customHeight="1">
      <c r="A14951" s="129" t="s">
        <v>23620</v>
      </c>
      <c r="B14951" s="59" t="s">
        <v>21955</v>
      </c>
      <c r="C14951" s="147" t="s">
        <v>20221</v>
      </c>
      <c r="D14951" s="1035" t="s">
        <v>1370</v>
      </c>
      <c r="E14951" s="178">
        <v>2020</v>
      </c>
      <c r="F14951" s="178" t="s">
        <v>4520</v>
      </c>
      <c r="G14951" s="496"/>
      <c r="H14951" s="994" t="s">
        <v>20221</v>
      </c>
      <c r="I14951" s="11" t="s">
        <v>12199</v>
      </c>
      <c r="J14951" s="1285"/>
      <c r="K14951" s="1285"/>
      <c r="L14951" s="1285"/>
    </row>
    <row r="14952" spans="1:12" ht="9" customHeight="1">
      <c r="A14952" s="129" t="s">
        <v>23621</v>
      </c>
      <c r="B14952" s="59" t="s">
        <v>20242</v>
      </c>
      <c r="C14952" s="147" t="s">
        <v>23393</v>
      </c>
      <c r="D14952" s="701" t="s">
        <v>884</v>
      </c>
      <c r="E14952" s="178" t="s">
        <v>20243</v>
      </c>
      <c r="F14952" s="178" t="s">
        <v>4520</v>
      </c>
      <c r="G14952" s="496"/>
      <c r="H14952" s="994" t="s">
        <v>20221</v>
      </c>
      <c r="I14952" s="11" t="s">
        <v>996</v>
      </c>
      <c r="J14952" s="1285"/>
      <c r="K14952" s="1285"/>
      <c r="L14952" s="1285"/>
    </row>
    <row r="14953" spans="1:12" ht="9" customHeight="1">
      <c r="A14953" s="129" t="s">
        <v>23621</v>
      </c>
      <c r="B14953" s="59" t="s">
        <v>20245</v>
      </c>
      <c r="C14953" s="147" t="s">
        <v>23393</v>
      </c>
      <c r="D14953" s="701" t="s">
        <v>884</v>
      </c>
      <c r="E14953" s="178" t="s">
        <v>19060</v>
      </c>
      <c r="F14953" s="178" t="s">
        <v>4520</v>
      </c>
      <c r="G14953" s="496"/>
      <c r="H14953" s="994" t="s">
        <v>20221</v>
      </c>
      <c r="I14953" s="11" t="s">
        <v>998</v>
      </c>
      <c r="J14953" s="1285"/>
      <c r="K14953" s="1285"/>
      <c r="L14953" s="1285"/>
    </row>
    <row r="14954" spans="1:12" ht="9" customHeight="1">
      <c r="A14954" s="129" t="s">
        <v>23621</v>
      </c>
      <c r="B14954" s="59" t="s">
        <v>20246</v>
      </c>
      <c r="C14954" s="147" t="s">
        <v>20221</v>
      </c>
      <c r="D14954" s="701" t="s">
        <v>884</v>
      </c>
      <c r="E14954" s="178" t="s">
        <v>20247</v>
      </c>
      <c r="F14954" s="178" t="s">
        <v>4520</v>
      </c>
      <c r="G14954" s="496"/>
      <c r="H14954" s="994" t="s">
        <v>20221</v>
      </c>
      <c r="I14954" s="11" t="s">
        <v>1000</v>
      </c>
      <c r="J14954" s="1285"/>
      <c r="K14954" s="1285"/>
      <c r="L14954" s="1285"/>
    </row>
    <row r="14955" spans="1:12" ht="9" customHeight="1">
      <c r="A14955" s="129" t="s">
        <v>23621</v>
      </c>
      <c r="B14955" s="59" t="s">
        <v>20248</v>
      </c>
      <c r="C14955" s="147" t="s">
        <v>23393</v>
      </c>
      <c r="D14955" s="1034" t="s">
        <v>879</v>
      </c>
      <c r="E14955" s="178" t="s">
        <v>19060</v>
      </c>
      <c r="F14955" s="178" t="s">
        <v>4520</v>
      </c>
      <c r="G14955" s="496"/>
      <c r="H14955" s="994" t="s">
        <v>20221</v>
      </c>
      <c r="I14955" s="11" t="s">
        <v>1004</v>
      </c>
      <c r="J14955" s="1285"/>
      <c r="K14955" s="1285"/>
      <c r="L14955" s="1285"/>
    </row>
    <row r="14956" spans="1:12" ht="9" customHeight="1">
      <c r="A14956" s="129" t="s">
        <v>23621</v>
      </c>
      <c r="B14956" s="59" t="s">
        <v>20249</v>
      </c>
      <c r="C14956" s="147" t="s">
        <v>23393</v>
      </c>
      <c r="D14956" s="1034" t="s">
        <v>879</v>
      </c>
      <c r="E14956" s="178" t="s">
        <v>19060</v>
      </c>
      <c r="F14956" s="178" t="s">
        <v>23394</v>
      </c>
      <c r="G14956" s="496"/>
      <c r="H14956" s="994" t="s">
        <v>20224</v>
      </c>
      <c r="I14956" s="11" t="s">
        <v>1006</v>
      </c>
      <c r="J14956" s="1285"/>
      <c r="K14956" s="1285"/>
      <c r="L14956" s="1285"/>
    </row>
    <row r="14957" spans="1:12" ht="9" customHeight="1">
      <c r="A14957" s="129" t="s">
        <v>23622</v>
      </c>
      <c r="B14957" s="59" t="s">
        <v>21046</v>
      </c>
      <c r="C14957" s="147" t="s">
        <v>23393</v>
      </c>
      <c r="D14957" s="701" t="s">
        <v>12276</v>
      </c>
      <c r="E14957" s="178">
        <v>2020</v>
      </c>
      <c r="F14957" s="178" t="s">
        <v>4520</v>
      </c>
      <c r="G14957" s="496"/>
      <c r="H14957" s="994" t="s">
        <v>20224</v>
      </c>
      <c r="I14957" s="11" t="s">
        <v>6597</v>
      </c>
      <c r="J14957" s="1285"/>
      <c r="K14957" s="1285"/>
      <c r="L14957" s="1285"/>
    </row>
    <row r="14958" spans="1:12" ht="9" customHeight="1">
      <c r="A14958" s="129" t="s">
        <v>23483</v>
      </c>
      <c r="B14958" s="59" t="s">
        <v>21396</v>
      </c>
      <c r="C14958" s="147" t="s">
        <v>23393</v>
      </c>
      <c r="D14958" s="1035" t="s">
        <v>1370</v>
      </c>
      <c r="E14958" s="178">
        <v>2022</v>
      </c>
      <c r="F14958" s="178" t="s">
        <v>4520</v>
      </c>
      <c r="G14958" s="496"/>
      <c r="H14958" s="994" t="s">
        <v>20221</v>
      </c>
      <c r="I14958" s="11" t="s">
        <v>8821</v>
      </c>
      <c r="J14958" s="1285"/>
      <c r="K14958" s="1285"/>
      <c r="L14958" s="1285"/>
    </row>
    <row r="14959" spans="1:12" ht="9" customHeight="1">
      <c r="A14959" s="129" t="s">
        <v>23623</v>
      </c>
      <c r="B14959" s="59" t="s">
        <v>20518</v>
      </c>
      <c r="C14959" s="147" t="s">
        <v>23393</v>
      </c>
      <c r="D14959" s="1035" t="s">
        <v>1370</v>
      </c>
      <c r="E14959" s="178">
        <v>2022</v>
      </c>
      <c r="F14959" s="178" t="s">
        <v>4520</v>
      </c>
      <c r="G14959" s="496"/>
      <c r="H14959" s="994" t="s">
        <v>20221</v>
      </c>
      <c r="I14959" s="11" t="s">
        <v>2928</v>
      </c>
      <c r="J14959" s="1285"/>
      <c r="K14959" s="1285"/>
      <c r="L14959" s="1285"/>
    </row>
    <row r="14960" spans="1:12" ht="9" customHeight="1">
      <c r="A14960" s="129" t="s">
        <v>23619</v>
      </c>
      <c r="B14960" s="59" t="s">
        <v>22044</v>
      </c>
      <c r="C14960" s="147" t="s">
        <v>20221</v>
      </c>
      <c r="D14960" s="701" t="s">
        <v>1129</v>
      </c>
      <c r="E14960" s="178">
        <v>2017</v>
      </c>
      <c r="F14960" s="178" t="s">
        <v>4520</v>
      </c>
      <c r="G14960" s="496"/>
      <c r="H14960" s="994" t="s">
        <v>20224</v>
      </c>
      <c r="I14960" s="11" t="s">
        <v>12838</v>
      </c>
      <c r="J14960" s="1285"/>
      <c r="K14960" s="1285"/>
      <c r="L14960" s="1285"/>
    </row>
    <row r="14961" spans="1:12" ht="9" customHeight="1">
      <c r="A14961" s="129" t="s">
        <v>23619</v>
      </c>
      <c r="B14961" s="59" t="s">
        <v>22045</v>
      </c>
      <c r="C14961" s="147" t="s">
        <v>20221</v>
      </c>
      <c r="D14961" s="701" t="s">
        <v>1129</v>
      </c>
      <c r="E14961" s="178">
        <v>2018</v>
      </c>
      <c r="F14961" s="178" t="s">
        <v>4520</v>
      </c>
      <c r="G14961" s="496"/>
      <c r="H14961" s="994" t="s">
        <v>20277</v>
      </c>
      <c r="I14961" s="11" t="s">
        <v>12840</v>
      </c>
      <c r="J14961" s="1285"/>
      <c r="K14961" s="1285"/>
      <c r="L14961" s="1285"/>
    </row>
    <row r="14962" spans="1:12" ht="9" customHeight="1">
      <c r="A14962" s="129" t="s">
        <v>23624</v>
      </c>
      <c r="B14962" s="59" t="s">
        <v>20327</v>
      </c>
      <c r="C14962" s="147" t="s">
        <v>23393</v>
      </c>
      <c r="D14962" s="1035" t="s">
        <v>1370</v>
      </c>
      <c r="E14962" s="178">
        <v>2019</v>
      </c>
      <c r="F14962" s="178" t="s">
        <v>4520</v>
      </c>
      <c r="G14962" s="496"/>
      <c r="H14962" s="994" t="s">
        <v>20221</v>
      </c>
      <c r="I14962" s="11" t="s">
        <v>1371</v>
      </c>
      <c r="J14962" s="1285"/>
      <c r="K14962" s="1285"/>
      <c r="L14962" s="1285"/>
    </row>
    <row r="14963" spans="1:12" ht="9" customHeight="1">
      <c r="A14963" s="129" t="s">
        <v>23625</v>
      </c>
      <c r="B14963" s="59" t="s">
        <v>21054</v>
      </c>
      <c r="C14963" s="147" t="s">
        <v>23393</v>
      </c>
      <c r="D14963" s="701" t="s">
        <v>12276</v>
      </c>
      <c r="E14963" s="178">
        <v>2020</v>
      </c>
      <c r="F14963" s="178" t="s">
        <v>4520</v>
      </c>
      <c r="G14963" s="496"/>
      <c r="H14963" s="994" t="s">
        <v>20221</v>
      </c>
      <c r="I14963" s="11" t="s">
        <v>6649</v>
      </c>
      <c r="J14963" s="1285"/>
      <c r="K14963" s="1285"/>
      <c r="L14963" s="1285"/>
    </row>
    <row r="14964" spans="1:12" ht="9" customHeight="1">
      <c r="A14964" s="129" t="s">
        <v>23625</v>
      </c>
      <c r="B14964" s="59" t="s">
        <v>21056</v>
      </c>
      <c r="C14964" s="147" t="s">
        <v>23393</v>
      </c>
      <c r="D14964" s="701" t="s">
        <v>12276</v>
      </c>
      <c r="E14964" s="178">
        <v>2020</v>
      </c>
      <c r="F14964" s="178" t="s">
        <v>4520</v>
      </c>
      <c r="G14964" s="496"/>
      <c r="H14964" s="994" t="s">
        <v>20224</v>
      </c>
      <c r="I14964" s="11" t="s">
        <v>6652</v>
      </c>
      <c r="J14964" s="1285"/>
      <c r="K14964" s="1285"/>
      <c r="L14964" s="1285"/>
    </row>
    <row r="14965" spans="1:12" ht="9" customHeight="1">
      <c r="A14965" s="129" t="s">
        <v>23626</v>
      </c>
      <c r="B14965" s="59" t="s">
        <v>21142</v>
      </c>
      <c r="C14965" s="147" t="s">
        <v>20221</v>
      </c>
      <c r="D14965" s="701" t="s">
        <v>12276</v>
      </c>
      <c r="E14965" s="178">
        <v>2017</v>
      </c>
      <c r="F14965" s="178" t="s">
        <v>4520</v>
      </c>
      <c r="G14965" s="496"/>
      <c r="H14965" s="994" t="s">
        <v>20221</v>
      </c>
      <c r="I14965" s="11" t="s">
        <v>5765</v>
      </c>
      <c r="J14965" s="1285"/>
      <c r="K14965" s="1285"/>
      <c r="L14965" s="1285"/>
    </row>
    <row r="14966" spans="1:12" ht="9" customHeight="1">
      <c r="A14966" s="811"/>
      <c r="B14966" s="935"/>
      <c r="C14966" s="147"/>
      <c r="D14966" s="161"/>
      <c r="E14966" s="34"/>
      <c r="F14966" s="178"/>
      <c r="G14966" s="60"/>
      <c r="H14966" s="178"/>
      <c r="I14966" s="11"/>
    </row>
    <row r="14967" spans="1:12" ht="24" customHeight="1">
      <c r="A14967" s="926" t="s">
        <v>18975</v>
      </c>
      <c r="B14967" s="932" t="s">
        <v>18976</v>
      </c>
      <c r="C14967" s="147"/>
      <c r="D14967" s="907"/>
      <c r="E14967" s="34"/>
      <c r="F14967" s="178"/>
      <c r="G14967" s="908"/>
      <c r="H14967" s="909"/>
      <c r="I14967" s="11"/>
    </row>
    <row r="14968" spans="1:12" ht="9" customHeight="1">
      <c r="A14968" s="129" t="s">
        <v>23554</v>
      </c>
      <c r="B14968" s="59" t="s">
        <v>22319</v>
      </c>
      <c r="C14968" s="147" t="s">
        <v>20221</v>
      </c>
      <c r="D14968" s="1035" t="s">
        <v>1370</v>
      </c>
      <c r="E14968" s="178">
        <v>2013</v>
      </c>
      <c r="F14968" s="178" t="s">
        <v>4520</v>
      </c>
      <c r="G14968" s="496"/>
      <c r="H14968" s="994" t="s">
        <v>20277</v>
      </c>
      <c r="I14968" s="11" t="s">
        <v>14555</v>
      </c>
      <c r="J14968" s="1285"/>
      <c r="K14968" s="1285"/>
      <c r="L14968" s="1285"/>
    </row>
    <row r="14969" spans="1:12" ht="9" customHeight="1">
      <c r="A14969" s="129" t="s">
        <v>23496</v>
      </c>
      <c r="B14969" s="59" t="s">
        <v>21615</v>
      </c>
      <c r="C14969" s="147" t="s">
        <v>20221</v>
      </c>
      <c r="D14969" s="1035" t="s">
        <v>1370</v>
      </c>
      <c r="E14969" s="178">
        <v>2022</v>
      </c>
      <c r="F14969" s="178" t="s">
        <v>23395</v>
      </c>
      <c r="G14969" s="496"/>
      <c r="H14969" s="994" t="s">
        <v>20221</v>
      </c>
      <c r="I14969" s="11" t="s">
        <v>10070</v>
      </c>
      <c r="J14969" s="1285"/>
      <c r="K14969" s="1285"/>
      <c r="L14969" s="1285"/>
    </row>
    <row r="14970" spans="1:12" ht="9" customHeight="1">
      <c r="A14970" s="129" t="s">
        <v>23538</v>
      </c>
      <c r="B14970" s="59" t="s">
        <v>22011</v>
      </c>
      <c r="C14970" s="147" t="s">
        <v>20221</v>
      </c>
      <c r="D14970" s="701" t="s">
        <v>12276</v>
      </c>
      <c r="E14970" s="178">
        <v>2017</v>
      </c>
      <c r="F14970" s="178" t="s">
        <v>23395</v>
      </c>
      <c r="G14970" s="496"/>
      <c r="H14970" s="994" t="s">
        <v>20221</v>
      </c>
      <c r="I14970" s="11" t="s">
        <v>12465</v>
      </c>
      <c r="J14970" s="1285"/>
      <c r="K14970" s="1285"/>
      <c r="L14970" s="1285"/>
    </row>
    <row r="14971" spans="1:12" ht="9" customHeight="1">
      <c r="A14971" s="129" t="s">
        <v>23537</v>
      </c>
      <c r="B14971" s="59" t="s">
        <v>22187</v>
      </c>
      <c r="C14971" s="147" t="s">
        <v>20221</v>
      </c>
      <c r="D14971" s="701" t="s">
        <v>12276</v>
      </c>
      <c r="E14971" s="178">
        <v>2013</v>
      </c>
      <c r="F14971" s="178" t="s">
        <v>4520</v>
      </c>
      <c r="G14971" s="496"/>
      <c r="H14971" s="994" t="s">
        <v>20221</v>
      </c>
      <c r="I14971" s="11" t="s">
        <v>13809</v>
      </c>
      <c r="J14971" s="1285"/>
      <c r="K14971" s="1285"/>
      <c r="L14971" s="1285"/>
    </row>
    <row r="14972" spans="1:12" ht="9" customHeight="1">
      <c r="A14972" s="129" t="s">
        <v>23538</v>
      </c>
      <c r="B14972" s="59" t="s">
        <v>22010</v>
      </c>
      <c r="C14972" s="147" t="s">
        <v>20221</v>
      </c>
      <c r="D14972" s="1035" t="s">
        <v>1370</v>
      </c>
      <c r="E14972" s="178">
        <v>2018</v>
      </c>
      <c r="F14972" s="178" t="s">
        <v>23395</v>
      </c>
      <c r="G14972" s="496"/>
      <c r="H14972" s="994" t="s">
        <v>20221</v>
      </c>
      <c r="I14972" s="11" t="s">
        <v>12463</v>
      </c>
      <c r="J14972" s="1285"/>
      <c r="K14972" s="1285"/>
      <c r="L14972" s="1285"/>
    </row>
    <row r="14973" spans="1:12" ht="9" customHeight="1">
      <c r="A14973" s="129" t="s">
        <v>23539</v>
      </c>
      <c r="B14973" s="59" t="s">
        <v>21966</v>
      </c>
      <c r="C14973" s="147" t="s">
        <v>20221</v>
      </c>
      <c r="D14973" s="701" t="s">
        <v>12276</v>
      </c>
      <c r="E14973" s="178" t="s">
        <v>21967</v>
      </c>
      <c r="F14973" s="178" t="s">
        <v>4520</v>
      </c>
      <c r="G14973" s="496"/>
      <c r="H14973" s="994" t="s">
        <v>20221</v>
      </c>
      <c r="I14973" s="11" t="s">
        <v>12277</v>
      </c>
      <c r="J14973" s="1285"/>
      <c r="K14973" s="1285"/>
      <c r="L14973" s="1285"/>
    </row>
    <row r="14974" spans="1:12" ht="9" customHeight="1">
      <c r="A14974" s="129" t="s">
        <v>23539</v>
      </c>
      <c r="B14974" s="59" t="s">
        <v>21968</v>
      </c>
      <c r="C14974" s="147" t="s">
        <v>20221</v>
      </c>
      <c r="D14974" s="701" t="s">
        <v>12276</v>
      </c>
      <c r="E14974" s="178">
        <v>2016</v>
      </c>
      <c r="F14974" s="178" t="s">
        <v>4520</v>
      </c>
      <c r="G14974" s="496"/>
      <c r="H14974" s="994" t="s">
        <v>20277</v>
      </c>
      <c r="I14974" s="11" t="s">
        <v>12279</v>
      </c>
      <c r="J14974" s="1285"/>
      <c r="K14974" s="1285"/>
      <c r="L14974" s="1285"/>
    </row>
    <row r="14975" spans="1:12" ht="9" customHeight="1">
      <c r="A14975" s="129" t="s">
        <v>23540</v>
      </c>
      <c r="B14975" s="59" t="s">
        <v>21709</v>
      </c>
      <c r="C14975" s="147" t="s">
        <v>20221</v>
      </c>
      <c r="D14975" s="701" t="s">
        <v>12276</v>
      </c>
      <c r="E14975" s="178">
        <v>2015</v>
      </c>
      <c r="F14975" s="178" t="s">
        <v>23395</v>
      </c>
      <c r="G14975" s="496"/>
      <c r="H14975" s="994" t="s">
        <v>20221</v>
      </c>
      <c r="I14975" s="11" t="s">
        <v>10548</v>
      </c>
      <c r="J14975" s="1285"/>
      <c r="K14975" s="1285"/>
      <c r="L14975" s="1285"/>
    </row>
    <row r="14976" spans="1:12" ht="9" customHeight="1">
      <c r="A14976" s="129" t="s">
        <v>23526</v>
      </c>
      <c r="B14976" s="59" t="s">
        <v>22893</v>
      </c>
      <c r="C14976" s="147" t="s">
        <v>20221</v>
      </c>
      <c r="D14976" s="1035" t="s">
        <v>1370</v>
      </c>
      <c r="E14976" s="178">
        <v>2021</v>
      </c>
      <c r="F14976" s="178" t="s">
        <v>4520</v>
      </c>
      <c r="G14976" s="496"/>
      <c r="H14976" s="994" t="s">
        <v>20221</v>
      </c>
      <c r="I14976" s="11" t="s">
        <v>17313</v>
      </c>
      <c r="J14976" s="1285"/>
      <c r="K14976" s="1285"/>
      <c r="L14976" s="1285"/>
    </row>
    <row r="14977" spans="1:12" ht="9" customHeight="1">
      <c r="A14977" s="129" t="s">
        <v>23541</v>
      </c>
      <c r="B14977" s="59" t="s">
        <v>22305</v>
      </c>
      <c r="C14977" s="147" t="s">
        <v>23393</v>
      </c>
      <c r="D14977" s="1035" t="s">
        <v>1370</v>
      </c>
      <c r="E14977" s="178">
        <v>2019</v>
      </c>
      <c r="F14977" s="178" t="s">
        <v>4520</v>
      </c>
      <c r="G14977" s="496"/>
      <c r="H14977" s="994" t="s">
        <v>20221</v>
      </c>
      <c r="I14977" s="11" t="s">
        <v>14486</v>
      </c>
      <c r="J14977" s="1285"/>
      <c r="K14977" s="1285"/>
      <c r="L14977" s="1285"/>
    </row>
    <row r="14978" spans="1:12" ht="9" customHeight="1">
      <c r="A14978" s="129" t="s">
        <v>23624</v>
      </c>
      <c r="B14978" s="59" t="s">
        <v>20327</v>
      </c>
      <c r="C14978" s="147" t="s">
        <v>23393</v>
      </c>
      <c r="D14978" s="1035" t="s">
        <v>1370</v>
      </c>
      <c r="E14978" s="178">
        <v>2019</v>
      </c>
      <c r="F14978" s="178" t="s">
        <v>4520</v>
      </c>
      <c r="G14978" s="496"/>
      <c r="H14978" s="994" t="s">
        <v>20221</v>
      </c>
      <c r="I14978" s="11" t="s">
        <v>1371</v>
      </c>
      <c r="J14978" s="1285"/>
      <c r="K14978" s="1285"/>
      <c r="L14978" s="1285"/>
    </row>
    <row r="14979" spans="1:12" ht="9" customHeight="1">
      <c r="A14979" s="129" t="s">
        <v>23528</v>
      </c>
      <c r="B14979" s="59" t="s">
        <v>22819</v>
      </c>
      <c r="C14979" s="147" t="s">
        <v>20221</v>
      </c>
      <c r="D14979" s="1035" t="s">
        <v>1370</v>
      </c>
      <c r="E14979" s="178" t="s">
        <v>20221</v>
      </c>
      <c r="F14979" s="178" t="s">
        <v>23395</v>
      </c>
      <c r="G14979" s="496" t="s">
        <v>20221</v>
      </c>
      <c r="H14979" s="994" t="s">
        <v>20277</v>
      </c>
      <c r="I14979" s="11" t="s">
        <v>16759</v>
      </c>
      <c r="J14979" s="1285"/>
      <c r="K14979" s="1285"/>
      <c r="L14979" s="1285"/>
    </row>
    <row r="14980" spans="1:12" ht="9" customHeight="1">
      <c r="A14980" s="129" t="s">
        <v>23562</v>
      </c>
      <c r="B14980" s="59" t="s">
        <v>22363</v>
      </c>
      <c r="C14980" s="147" t="s">
        <v>20221</v>
      </c>
      <c r="D14980" s="1035" t="s">
        <v>1370</v>
      </c>
      <c r="E14980" s="178" t="s">
        <v>20221</v>
      </c>
      <c r="F14980" s="178" t="s">
        <v>9658</v>
      </c>
      <c r="G14980" s="496" t="s">
        <v>20221</v>
      </c>
      <c r="H14980" s="994" t="s">
        <v>3907</v>
      </c>
      <c r="I14980" s="11" t="s">
        <v>14729</v>
      </c>
      <c r="J14980" s="1285"/>
      <c r="K14980" s="1285"/>
      <c r="L14980" s="1285"/>
    </row>
    <row r="14981" spans="1:12" ht="9" customHeight="1">
      <c r="A14981" s="129" t="s">
        <v>23627</v>
      </c>
      <c r="B14981" s="59" t="s">
        <v>21640</v>
      </c>
      <c r="C14981" s="147" t="s">
        <v>23393</v>
      </c>
      <c r="D14981" s="1035" t="s">
        <v>1370</v>
      </c>
      <c r="E14981" s="178" t="s">
        <v>21637</v>
      </c>
      <c r="F14981" s="178" t="s">
        <v>4520</v>
      </c>
      <c r="G14981" s="496"/>
      <c r="H14981" s="994" t="s">
        <v>20221</v>
      </c>
      <c r="I14981" s="11" t="s">
        <v>10198</v>
      </c>
      <c r="J14981" s="1285"/>
      <c r="K14981" s="1285"/>
      <c r="L14981" s="1285"/>
    </row>
    <row r="14982" spans="1:12" ht="9" customHeight="1">
      <c r="A14982" s="129" t="s">
        <v>23620</v>
      </c>
      <c r="B14982" s="59" t="s">
        <v>21951</v>
      </c>
      <c r="C14982" s="147" t="s">
        <v>20221</v>
      </c>
      <c r="D14982" s="1035" t="s">
        <v>1370</v>
      </c>
      <c r="E14982" s="178">
        <v>2019</v>
      </c>
      <c r="F14982" s="178" t="s">
        <v>4520</v>
      </c>
      <c r="G14982" s="496"/>
      <c r="H14982" s="994" t="s">
        <v>20221</v>
      </c>
      <c r="I14982" s="11" t="s">
        <v>12193</v>
      </c>
      <c r="J14982" s="1285"/>
      <c r="K14982" s="1285"/>
      <c r="L14982" s="1285"/>
    </row>
    <row r="14983" spans="1:12" ht="9" customHeight="1">
      <c r="A14983" s="129" t="s">
        <v>23620</v>
      </c>
      <c r="B14983" s="59" t="s">
        <v>21952</v>
      </c>
      <c r="C14983" s="147" t="s">
        <v>20221</v>
      </c>
      <c r="D14983" s="1035" t="s">
        <v>1370</v>
      </c>
      <c r="E14983" s="178">
        <v>2020</v>
      </c>
      <c r="F14983" s="178" t="s">
        <v>4520</v>
      </c>
      <c r="G14983" s="496"/>
      <c r="H14983" s="994" t="s">
        <v>20221</v>
      </c>
      <c r="I14983" s="11" t="s">
        <v>12195</v>
      </c>
      <c r="J14983" s="1285"/>
      <c r="K14983" s="1285"/>
      <c r="L14983" s="1285"/>
    </row>
    <row r="14984" spans="1:12" ht="9" customHeight="1">
      <c r="A14984" s="129" t="s">
        <v>23628</v>
      </c>
      <c r="B14984" s="59" t="s">
        <v>22497</v>
      </c>
      <c r="C14984" s="147" t="s">
        <v>20221</v>
      </c>
      <c r="D14984" s="1035" t="s">
        <v>1370</v>
      </c>
      <c r="E14984" s="178">
        <v>2015</v>
      </c>
      <c r="F14984" s="178" t="s">
        <v>4520</v>
      </c>
      <c r="G14984" s="496"/>
      <c r="H14984" s="994" t="s">
        <v>20221</v>
      </c>
      <c r="I14984" s="11" t="s">
        <v>15451</v>
      </c>
      <c r="J14984" s="1285"/>
      <c r="K14984" s="1285"/>
      <c r="L14984" s="1285"/>
    </row>
    <row r="14985" spans="1:12" ht="9" customHeight="1">
      <c r="A14985" s="129" t="s">
        <v>23626</v>
      </c>
      <c r="B14985" s="59" t="s">
        <v>21142</v>
      </c>
      <c r="C14985" s="147" t="s">
        <v>20221</v>
      </c>
      <c r="D14985" s="701" t="s">
        <v>12276</v>
      </c>
      <c r="E14985" s="178">
        <v>2017</v>
      </c>
      <c r="F14985" s="178" t="s">
        <v>4520</v>
      </c>
      <c r="G14985" s="496"/>
      <c r="H14985" s="994" t="s">
        <v>20221</v>
      </c>
      <c r="I14985" s="11" t="s">
        <v>5765</v>
      </c>
      <c r="J14985" s="1285"/>
      <c r="K14985" s="1285"/>
      <c r="L14985" s="1285"/>
    </row>
    <row r="14986" spans="1:12" ht="9" customHeight="1">
      <c r="A14986" s="129" t="s">
        <v>23628</v>
      </c>
      <c r="B14986" s="59" t="s">
        <v>22496</v>
      </c>
      <c r="C14986" s="147" t="s">
        <v>20221</v>
      </c>
      <c r="D14986" s="1035" t="s">
        <v>1370</v>
      </c>
      <c r="E14986" s="178">
        <v>2015</v>
      </c>
      <c r="F14986" s="178" t="s">
        <v>23395</v>
      </c>
      <c r="G14986" s="496"/>
      <c r="H14986" s="994" t="s">
        <v>20221</v>
      </c>
      <c r="I14986" s="11" t="s">
        <v>15449</v>
      </c>
      <c r="J14986" s="1285"/>
      <c r="K14986" s="1285"/>
      <c r="L14986" s="1285"/>
    </row>
    <row r="14987" spans="1:12" ht="9" customHeight="1">
      <c r="A14987" s="129" t="s">
        <v>23620</v>
      </c>
      <c r="B14987" s="59" t="s">
        <v>21953</v>
      </c>
      <c r="C14987" s="147" t="s">
        <v>20221</v>
      </c>
      <c r="D14987" s="1035" t="s">
        <v>1370</v>
      </c>
      <c r="E14987" s="178">
        <v>2020</v>
      </c>
      <c r="F14987" s="178" t="s">
        <v>4520</v>
      </c>
      <c r="G14987" s="496"/>
      <c r="H14987" s="994" t="s">
        <v>20221</v>
      </c>
      <c r="I14987" s="11" t="s">
        <v>12197</v>
      </c>
      <c r="J14987" s="1285"/>
      <c r="K14987" s="1285"/>
      <c r="L14987" s="1285"/>
    </row>
    <row r="14988" spans="1:12" ht="9" customHeight="1">
      <c r="A14988" s="129" t="s">
        <v>23620</v>
      </c>
      <c r="B14988" s="59" t="s">
        <v>21954</v>
      </c>
      <c r="C14988" s="147" t="s">
        <v>20221</v>
      </c>
      <c r="D14988" s="1035" t="s">
        <v>1370</v>
      </c>
      <c r="E14988" s="178">
        <v>2020</v>
      </c>
      <c r="F14988" s="178" t="s">
        <v>4520</v>
      </c>
      <c r="G14988" s="496"/>
      <c r="H14988" s="994" t="s">
        <v>20221</v>
      </c>
      <c r="I14988" s="11" t="s">
        <v>12198</v>
      </c>
      <c r="J14988" s="1285"/>
      <c r="K14988" s="1285"/>
      <c r="L14988" s="1285"/>
    </row>
    <row r="14989" spans="1:12" ht="9" customHeight="1">
      <c r="A14989" s="129" t="s">
        <v>23620</v>
      </c>
      <c r="B14989" s="59" t="s">
        <v>21955</v>
      </c>
      <c r="C14989" s="147" t="s">
        <v>20221</v>
      </c>
      <c r="D14989" s="1035" t="s">
        <v>1370</v>
      </c>
      <c r="E14989" s="178">
        <v>2020</v>
      </c>
      <c r="F14989" s="178" t="s">
        <v>4520</v>
      </c>
      <c r="G14989" s="496"/>
      <c r="H14989" s="994" t="s">
        <v>20221</v>
      </c>
      <c r="I14989" s="11" t="s">
        <v>12199</v>
      </c>
      <c r="J14989" s="1285"/>
      <c r="K14989" s="1285"/>
      <c r="L14989" s="1285"/>
    </row>
    <row r="14990" spans="1:12" ht="9" customHeight="1">
      <c r="A14990" s="129" t="s">
        <v>23628</v>
      </c>
      <c r="B14990" s="59" t="s">
        <v>22498</v>
      </c>
      <c r="C14990" s="147" t="s">
        <v>20221</v>
      </c>
      <c r="D14990" s="1035" t="s">
        <v>1370</v>
      </c>
      <c r="E14990" s="178">
        <v>2015</v>
      </c>
      <c r="F14990" s="178" t="s">
        <v>5257</v>
      </c>
      <c r="G14990" s="496"/>
      <c r="H14990" s="994" t="s">
        <v>20224</v>
      </c>
      <c r="I14990" s="11" t="s">
        <v>15453</v>
      </c>
      <c r="J14990" s="1285"/>
      <c r="K14990" s="1285"/>
      <c r="L14990" s="1285"/>
    </row>
    <row r="14991" spans="1:12" ht="9" customHeight="1">
      <c r="A14991" s="129" t="s">
        <v>23519</v>
      </c>
      <c r="B14991" s="59" t="s">
        <v>22262</v>
      </c>
      <c r="C14991" s="147" t="s">
        <v>20221</v>
      </c>
      <c r="D14991" s="701" t="s">
        <v>12276</v>
      </c>
      <c r="E14991" s="178">
        <v>2020</v>
      </c>
      <c r="F14991" s="178" t="s">
        <v>23410</v>
      </c>
      <c r="G14991" s="496"/>
      <c r="H14991" s="994" t="s">
        <v>20221</v>
      </c>
      <c r="I14991" s="11" t="s">
        <v>14247</v>
      </c>
      <c r="J14991" s="1285"/>
      <c r="K14991" s="1285"/>
      <c r="L14991" s="1285"/>
    </row>
    <row r="14992" spans="1:12" ht="9" customHeight="1">
      <c r="A14992" s="129" t="s">
        <v>23627</v>
      </c>
      <c r="B14992" s="59" t="s">
        <v>21641</v>
      </c>
      <c r="C14992" s="147" t="s">
        <v>23393</v>
      </c>
      <c r="D14992" s="1035" t="s">
        <v>1370</v>
      </c>
      <c r="E14992" s="178" t="s">
        <v>21637</v>
      </c>
      <c r="F14992" s="178" t="s">
        <v>5257</v>
      </c>
      <c r="G14992" s="496"/>
      <c r="H14992" s="994" t="s">
        <v>20221</v>
      </c>
      <c r="I14992" s="11" t="s">
        <v>10199</v>
      </c>
      <c r="J14992" s="1285"/>
      <c r="K14992" s="1285"/>
      <c r="L14992" s="1285"/>
    </row>
    <row r="14993" spans="1:12" ht="9" customHeight="1">
      <c r="A14993" s="129" t="s">
        <v>23629</v>
      </c>
      <c r="B14993" s="59" t="s">
        <v>22408</v>
      </c>
      <c r="C14993" s="147" t="s">
        <v>20221</v>
      </c>
      <c r="D14993" s="701" t="s">
        <v>12276</v>
      </c>
      <c r="E14993" s="178">
        <v>2021</v>
      </c>
      <c r="F14993" s="178" t="s">
        <v>4520</v>
      </c>
      <c r="G14993" s="496"/>
      <c r="H14993" s="994" t="s">
        <v>20221</v>
      </c>
      <c r="I14993" s="11" t="s">
        <v>14941</v>
      </c>
      <c r="J14993" s="1285"/>
      <c r="K14993" s="1285"/>
      <c r="L14993" s="1285"/>
    </row>
    <row r="14994" spans="1:12" ht="9" customHeight="1">
      <c r="A14994" s="129" t="s">
        <v>23610</v>
      </c>
      <c r="B14994" s="59" t="s">
        <v>22036</v>
      </c>
      <c r="C14994" s="147" t="s">
        <v>20221</v>
      </c>
      <c r="D14994" s="1035" t="s">
        <v>1370</v>
      </c>
      <c r="E14994" s="178">
        <v>2016</v>
      </c>
      <c r="F14994" s="178" t="s">
        <v>23408</v>
      </c>
      <c r="G14994" s="496"/>
      <c r="H14994" s="994" t="s">
        <v>20221</v>
      </c>
      <c r="I14994" s="11" t="s">
        <v>12775</v>
      </c>
      <c r="J14994" s="1285"/>
      <c r="K14994" s="1285"/>
      <c r="L14994" s="1285"/>
    </row>
    <row r="14995" spans="1:12" ht="9" customHeight="1">
      <c r="A14995" s="129" t="s">
        <v>23610</v>
      </c>
      <c r="B14995" s="59" t="s">
        <v>22037</v>
      </c>
      <c r="C14995" s="147" t="s">
        <v>20221</v>
      </c>
      <c r="D14995" s="1035" t="s">
        <v>1370</v>
      </c>
      <c r="E14995" s="178">
        <v>2015</v>
      </c>
      <c r="F14995" s="178" t="s">
        <v>5257</v>
      </c>
      <c r="G14995" s="496"/>
      <c r="H14995" s="994" t="s">
        <v>20221</v>
      </c>
      <c r="I14995" s="11" t="s">
        <v>12777</v>
      </c>
      <c r="J14995" s="1285"/>
      <c r="K14995" s="1285"/>
      <c r="L14995" s="1285"/>
    </row>
    <row r="14996" spans="1:12" ht="9" customHeight="1" thickBot="1">
      <c r="A14996" s="415"/>
      <c r="B14996" s="90"/>
      <c r="C14996" s="147"/>
      <c r="D14996" s="231"/>
      <c r="E14996" s="34"/>
      <c r="F14996" s="178"/>
      <c r="G14996" s="496"/>
      <c r="H14996" s="36"/>
      <c r="I14996" s="11"/>
    </row>
    <row r="14997" spans="1:12" ht="24" customHeight="1" thickBot="1">
      <c r="A14997" s="1336"/>
      <c r="B14997" s="1337" t="s">
        <v>18977</v>
      </c>
      <c r="C14997" s="1338"/>
      <c r="D14997" s="1339"/>
      <c r="E14997" s="1340"/>
      <c r="F14997" s="1341"/>
      <c r="G14997" s="1342"/>
      <c r="H14997" s="1343"/>
      <c r="I14997" s="11"/>
    </row>
    <row r="14998" spans="1:12" ht="24" customHeight="1">
      <c r="A14998" s="926" t="s">
        <v>18978</v>
      </c>
      <c r="B14998" s="934" t="s">
        <v>18979</v>
      </c>
      <c r="C14998" s="147"/>
      <c r="D14998" s="107"/>
      <c r="E14998" s="34"/>
      <c r="F14998" s="178"/>
      <c r="G14998" s="908"/>
      <c r="H14998" s="928"/>
      <c r="I14998" s="11"/>
    </row>
    <row r="14999" spans="1:12" ht="9" customHeight="1">
      <c r="A14999" s="929"/>
      <c r="B14999" s="833" t="s">
        <v>18980</v>
      </c>
      <c r="C14999" s="147"/>
      <c r="D14999" s="107"/>
      <c r="E14999" s="34"/>
      <c r="F14999" s="178"/>
      <c r="G14999" s="86"/>
      <c r="H14999" s="931"/>
      <c r="I14999" s="11"/>
    </row>
    <row r="15000" spans="1:12" ht="9" customHeight="1">
      <c r="A15000" s="129" t="s">
        <v>23507</v>
      </c>
      <c r="B15000" s="59" t="s">
        <v>22008</v>
      </c>
      <c r="C15000" s="147" t="s">
        <v>20221</v>
      </c>
      <c r="D15000" s="284" t="s">
        <v>897</v>
      </c>
      <c r="E15000" s="178">
        <v>2023</v>
      </c>
      <c r="F15000" s="178" t="s">
        <v>4520</v>
      </c>
      <c r="G15000" s="496"/>
      <c r="H15000" s="994" t="s">
        <v>20221</v>
      </c>
      <c r="I15000" s="11" t="s">
        <v>12461</v>
      </c>
      <c r="J15000" s="1285"/>
      <c r="K15000" s="1285"/>
      <c r="L15000" s="1285"/>
    </row>
    <row r="15001" spans="1:12" ht="9" customHeight="1">
      <c r="A15001" s="129" t="s">
        <v>23630</v>
      </c>
      <c r="B15001" s="59" t="s">
        <v>21371</v>
      </c>
      <c r="C15001" s="147" t="s">
        <v>20221</v>
      </c>
      <c r="D15001" s="284" t="s">
        <v>897</v>
      </c>
      <c r="E15001" s="178">
        <v>2017</v>
      </c>
      <c r="F15001" s="178" t="s">
        <v>4520</v>
      </c>
      <c r="G15001" s="496"/>
      <c r="H15001" s="994" t="s">
        <v>20221</v>
      </c>
      <c r="I15001" s="11" t="s">
        <v>8731</v>
      </c>
      <c r="J15001" s="1285"/>
      <c r="K15001" s="1285"/>
      <c r="L15001" s="1285"/>
    </row>
    <row r="15002" spans="1:12" ht="9" customHeight="1">
      <c r="A15002" s="129" t="s">
        <v>23630</v>
      </c>
      <c r="B15002" s="59" t="s">
        <v>21372</v>
      </c>
      <c r="C15002" s="147" t="s">
        <v>20221</v>
      </c>
      <c r="D15002" s="284" t="s">
        <v>897</v>
      </c>
      <c r="E15002" s="178">
        <v>2018</v>
      </c>
      <c r="F15002" s="178" t="s">
        <v>4520</v>
      </c>
      <c r="G15002" s="496"/>
      <c r="H15002" s="994" t="s">
        <v>20221</v>
      </c>
      <c r="I15002" s="11" t="s">
        <v>8735</v>
      </c>
      <c r="J15002" s="1285"/>
      <c r="K15002" s="1285"/>
      <c r="L15002" s="1285"/>
    </row>
    <row r="15003" spans="1:12" ht="9" customHeight="1">
      <c r="A15003" s="129" t="s">
        <v>23630</v>
      </c>
      <c r="B15003" s="59" t="s">
        <v>21374</v>
      </c>
      <c r="C15003" s="147" t="s">
        <v>20221</v>
      </c>
      <c r="D15003" s="284" t="s">
        <v>897</v>
      </c>
      <c r="E15003" s="178">
        <v>2017</v>
      </c>
      <c r="F15003" s="178" t="s">
        <v>4520</v>
      </c>
      <c r="G15003" s="496"/>
      <c r="H15003" s="994" t="s">
        <v>20221</v>
      </c>
      <c r="I15003" s="11" t="s">
        <v>8739</v>
      </c>
      <c r="J15003" s="1285"/>
      <c r="K15003" s="1285"/>
      <c r="L15003" s="1285"/>
    </row>
    <row r="15004" spans="1:12" ht="9" customHeight="1">
      <c r="A15004" s="129" t="s">
        <v>23630</v>
      </c>
      <c r="B15004" s="59" t="s">
        <v>21377</v>
      </c>
      <c r="C15004" s="147" t="s">
        <v>20221</v>
      </c>
      <c r="D15004" s="284" t="s">
        <v>897</v>
      </c>
      <c r="E15004" s="178">
        <v>2015</v>
      </c>
      <c r="F15004" s="178" t="s">
        <v>23395</v>
      </c>
      <c r="G15004" s="496"/>
      <c r="H15004" s="994" t="s">
        <v>20465</v>
      </c>
      <c r="I15004" s="11" t="s">
        <v>8745</v>
      </c>
      <c r="J15004" s="1285"/>
      <c r="K15004" s="1285"/>
      <c r="L15004" s="1285"/>
    </row>
    <row r="15005" spans="1:12" ht="9" customHeight="1">
      <c r="A15005" s="129" t="s">
        <v>23630</v>
      </c>
      <c r="B15005" s="59" t="s">
        <v>21373</v>
      </c>
      <c r="C15005" s="147" t="s">
        <v>20221</v>
      </c>
      <c r="D15005" s="284" t="s">
        <v>897</v>
      </c>
      <c r="E15005" s="178">
        <v>2016</v>
      </c>
      <c r="F15005" s="178" t="s">
        <v>23395</v>
      </c>
      <c r="G15005" s="496"/>
      <c r="H15005" s="994" t="s">
        <v>20224</v>
      </c>
      <c r="I15005" s="11" t="s">
        <v>8737</v>
      </c>
      <c r="J15005" s="1285"/>
      <c r="K15005" s="1285"/>
      <c r="L15005" s="1285"/>
    </row>
    <row r="15006" spans="1:12" ht="9" customHeight="1">
      <c r="A15006" s="129" t="s">
        <v>23630</v>
      </c>
      <c r="B15006" s="59" t="s">
        <v>21375</v>
      </c>
      <c r="C15006" s="147" t="s">
        <v>20221</v>
      </c>
      <c r="D15006" s="284" t="s">
        <v>897</v>
      </c>
      <c r="E15006" s="178">
        <v>2018</v>
      </c>
      <c r="F15006" s="178" t="s">
        <v>4520</v>
      </c>
      <c r="G15006" s="496"/>
      <c r="H15006" s="994" t="s">
        <v>20221</v>
      </c>
      <c r="I15006" s="11" t="s">
        <v>8741</v>
      </c>
      <c r="J15006" s="1285"/>
      <c r="K15006" s="1285"/>
      <c r="L15006" s="1285"/>
    </row>
    <row r="15007" spans="1:12" ht="9" customHeight="1">
      <c r="A15007" s="129" t="s">
        <v>23630</v>
      </c>
      <c r="B15007" s="59" t="s">
        <v>21376</v>
      </c>
      <c r="C15007" s="147" t="s">
        <v>20221</v>
      </c>
      <c r="D15007" s="284" t="s">
        <v>897</v>
      </c>
      <c r="E15007" s="178">
        <v>2018</v>
      </c>
      <c r="F15007" s="178" t="s">
        <v>4520</v>
      </c>
      <c r="G15007" s="496"/>
      <c r="H15007" s="994" t="s">
        <v>20221</v>
      </c>
      <c r="I15007" s="11" t="s">
        <v>8743</v>
      </c>
      <c r="J15007" s="1285"/>
      <c r="K15007" s="1285"/>
      <c r="L15007" s="1285"/>
    </row>
    <row r="15008" spans="1:12" ht="9" customHeight="1">
      <c r="A15008" s="129" t="s">
        <v>23523</v>
      </c>
      <c r="B15008" s="59" t="s">
        <v>22492</v>
      </c>
      <c r="C15008" s="147" t="s">
        <v>20221</v>
      </c>
      <c r="D15008" s="284" t="s">
        <v>897</v>
      </c>
      <c r="E15008" s="178">
        <v>2015</v>
      </c>
      <c r="F15008" s="178" t="s">
        <v>23395</v>
      </c>
      <c r="G15008" s="496"/>
      <c r="H15008" s="994" t="s">
        <v>20221</v>
      </c>
      <c r="I15008" s="11" t="s">
        <v>15428</v>
      </c>
      <c r="J15008" s="1285"/>
      <c r="K15008" s="1285"/>
      <c r="L15008" s="1285"/>
    </row>
    <row r="15009" spans="1:12" ht="9" customHeight="1">
      <c r="A15009" s="129" t="s">
        <v>23581</v>
      </c>
      <c r="B15009" s="59" t="s">
        <v>22396</v>
      </c>
      <c r="C15009" s="147" t="s">
        <v>20221</v>
      </c>
      <c r="D15009" s="284" t="s">
        <v>897</v>
      </c>
      <c r="E15009" s="178">
        <v>2018</v>
      </c>
      <c r="F15009" s="178" t="s">
        <v>4520</v>
      </c>
      <c r="G15009" s="496"/>
      <c r="H15009" s="994" t="s">
        <v>20221</v>
      </c>
      <c r="I15009" s="11" t="s">
        <v>14872</v>
      </c>
      <c r="J15009" s="1285"/>
      <c r="K15009" s="1285"/>
      <c r="L15009" s="1285"/>
    </row>
    <row r="15010" spans="1:12" ht="9" customHeight="1">
      <c r="A15010" s="129" t="s">
        <v>23598</v>
      </c>
      <c r="B15010" s="59" t="s">
        <v>22771</v>
      </c>
      <c r="C15010" s="147" t="s">
        <v>20221</v>
      </c>
      <c r="D15010" s="284" t="s">
        <v>897</v>
      </c>
      <c r="E15010" s="178">
        <v>2016</v>
      </c>
      <c r="F15010" s="178" t="s">
        <v>4520</v>
      </c>
      <c r="G15010" s="496"/>
      <c r="H15010" s="994" t="s">
        <v>20221</v>
      </c>
      <c r="I15010" s="11" t="s">
        <v>16334</v>
      </c>
      <c r="J15010" s="1285"/>
      <c r="K15010" s="1285"/>
      <c r="L15010" s="1285"/>
    </row>
    <row r="15011" spans="1:12" ht="9" customHeight="1">
      <c r="A15011" s="129" t="s">
        <v>23631</v>
      </c>
      <c r="B15011" s="59" t="s">
        <v>21327</v>
      </c>
      <c r="C15011" s="147" t="s">
        <v>20221</v>
      </c>
      <c r="D15011" s="284" t="s">
        <v>897</v>
      </c>
      <c r="E15011" s="178">
        <v>2018</v>
      </c>
      <c r="F15011" s="178" t="s">
        <v>23395</v>
      </c>
      <c r="G15011" s="496"/>
      <c r="H15011" s="994" t="s">
        <v>20221</v>
      </c>
      <c r="I15011" s="11" t="s">
        <v>8413</v>
      </c>
      <c r="J15011" s="1285"/>
      <c r="K15011" s="1285"/>
      <c r="L15011" s="1285"/>
    </row>
    <row r="15012" spans="1:12" ht="9" customHeight="1">
      <c r="A15012" s="129" t="s">
        <v>23631</v>
      </c>
      <c r="B15012" s="59" t="s">
        <v>21334</v>
      </c>
      <c r="C15012" s="147" t="s">
        <v>23393</v>
      </c>
      <c r="D15012" s="284" t="s">
        <v>897</v>
      </c>
      <c r="E15012" s="178">
        <v>2018</v>
      </c>
      <c r="F15012" s="178" t="s">
        <v>23395</v>
      </c>
      <c r="G15012" s="496"/>
      <c r="H15012" s="994" t="s">
        <v>20221</v>
      </c>
      <c r="I15012" s="11" t="s">
        <v>8437</v>
      </c>
      <c r="J15012" s="1285"/>
      <c r="K15012" s="1285"/>
      <c r="L15012" s="1285"/>
    </row>
    <row r="15013" spans="1:12" ht="9" customHeight="1">
      <c r="A15013" s="129" t="s">
        <v>23631</v>
      </c>
      <c r="B15013" s="59" t="s">
        <v>21326</v>
      </c>
      <c r="C15013" s="147" t="s">
        <v>20221</v>
      </c>
      <c r="D15013" s="284" t="s">
        <v>897</v>
      </c>
      <c r="E15013" s="178">
        <v>2019</v>
      </c>
      <c r="F15013" s="178" t="s">
        <v>23395</v>
      </c>
      <c r="G15013" s="496"/>
      <c r="H15013" s="994" t="s">
        <v>20221</v>
      </c>
      <c r="I15013" s="11" t="s">
        <v>8411</v>
      </c>
      <c r="J15013" s="1285"/>
      <c r="K15013" s="1285"/>
      <c r="L15013" s="1285"/>
    </row>
    <row r="15014" spans="1:12" ht="9" customHeight="1">
      <c r="A15014" s="129" t="s">
        <v>23631</v>
      </c>
      <c r="B15014" s="59" t="s">
        <v>21335</v>
      </c>
      <c r="C15014" s="147" t="s">
        <v>23393</v>
      </c>
      <c r="D15014" s="284" t="s">
        <v>897</v>
      </c>
      <c r="E15014" s="178">
        <v>2018</v>
      </c>
      <c r="F15014" s="178" t="s">
        <v>23395</v>
      </c>
      <c r="G15014" s="496"/>
      <c r="H15014" s="994" t="s">
        <v>20221</v>
      </c>
      <c r="I15014" s="11" t="s">
        <v>8439</v>
      </c>
      <c r="J15014" s="1285"/>
      <c r="K15014" s="1285"/>
      <c r="L15014" s="1285"/>
    </row>
    <row r="15015" spans="1:12" ht="9" customHeight="1">
      <c r="A15015" s="129" t="s">
        <v>23631</v>
      </c>
      <c r="B15015" s="59" t="s">
        <v>21328</v>
      </c>
      <c r="C15015" s="147" t="s">
        <v>20221</v>
      </c>
      <c r="D15015" s="284" t="s">
        <v>897</v>
      </c>
      <c r="E15015" s="178">
        <v>2018</v>
      </c>
      <c r="F15015" s="178" t="s">
        <v>23395</v>
      </c>
      <c r="G15015" s="496"/>
      <c r="H15015" s="994" t="s">
        <v>20221</v>
      </c>
      <c r="I15015" s="11" t="s">
        <v>8415</v>
      </c>
      <c r="J15015" s="1285"/>
      <c r="K15015" s="1285"/>
      <c r="L15015" s="1285"/>
    </row>
    <row r="15016" spans="1:12" ht="9" customHeight="1">
      <c r="A15016" s="129" t="s">
        <v>23590</v>
      </c>
      <c r="B15016" s="59" t="s">
        <v>21388</v>
      </c>
      <c r="C15016" s="147" t="s">
        <v>23393</v>
      </c>
      <c r="D15016" s="284" t="s">
        <v>897</v>
      </c>
      <c r="E15016" s="178">
        <v>2022</v>
      </c>
      <c r="F15016" s="178" t="s">
        <v>4520</v>
      </c>
      <c r="G15016" s="496"/>
      <c r="H15016" s="994" t="s">
        <v>20221</v>
      </c>
      <c r="I15016" s="11" t="s">
        <v>8789</v>
      </c>
      <c r="J15016" s="1285"/>
      <c r="K15016" s="1285"/>
      <c r="L15016" s="1285"/>
    </row>
    <row r="15017" spans="1:12" ht="9" customHeight="1">
      <c r="A15017" s="129" t="s">
        <v>23590</v>
      </c>
      <c r="B15017" s="59" t="s">
        <v>21389</v>
      </c>
      <c r="C15017" s="147" t="s">
        <v>23393</v>
      </c>
      <c r="D15017" s="284" t="s">
        <v>897</v>
      </c>
      <c r="E15017" s="178">
        <v>2022</v>
      </c>
      <c r="F15017" s="178" t="s">
        <v>4520</v>
      </c>
      <c r="G15017" s="496"/>
      <c r="H15017" s="994" t="s">
        <v>20221</v>
      </c>
      <c r="I15017" s="11" t="s">
        <v>8793</v>
      </c>
      <c r="J15017" s="1285"/>
      <c r="K15017" s="1285"/>
      <c r="L15017" s="1285"/>
    </row>
    <row r="15018" spans="1:12" ht="9" customHeight="1">
      <c r="A15018" s="129" t="s">
        <v>23631</v>
      </c>
      <c r="B15018" s="59" t="s">
        <v>21329</v>
      </c>
      <c r="C15018" s="147" t="s">
        <v>23393</v>
      </c>
      <c r="D15018" s="284" t="s">
        <v>897</v>
      </c>
      <c r="E15018" s="178">
        <v>2020</v>
      </c>
      <c r="F15018" s="178" t="s">
        <v>23395</v>
      </c>
      <c r="G15018" s="496"/>
      <c r="H15018" s="994" t="s">
        <v>20221</v>
      </c>
      <c r="I15018" s="11" t="s">
        <v>8419</v>
      </c>
      <c r="J15018" s="1285"/>
      <c r="K15018" s="1285"/>
      <c r="L15018" s="1285"/>
    </row>
    <row r="15019" spans="1:12" ht="11.15" customHeight="1">
      <c r="A15019" s="129" t="s">
        <v>23631</v>
      </c>
      <c r="B15019" s="59" t="s">
        <v>21336</v>
      </c>
      <c r="C15019" s="147" t="s">
        <v>23393</v>
      </c>
      <c r="D15019" s="284" t="s">
        <v>897</v>
      </c>
      <c r="E15019" s="178">
        <v>2022</v>
      </c>
      <c r="F15019" s="178" t="s">
        <v>23395</v>
      </c>
      <c r="G15019" s="496"/>
      <c r="H15019" s="994" t="s">
        <v>20221</v>
      </c>
      <c r="I15019" s="11" t="s">
        <v>8441</v>
      </c>
      <c r="J15019" s="1285"/>
      <c r="K15019" s="1285"/>
      <c r="L15019" s="1285"/>
    </row>
    <row r="15020" spans="1:12" ht="9" customHeight="1">
      <c r="A15020" s="129" t="s">
        <v>23631</v>
      </c>
      <c r="B15020" s="59" t="s">
        <v>21337</v>
      </c>
      <c r="C15020" s="147" t="s">
        <v>23393</v>
      </c>
      <c r="D15020" s="284" t="s">
        <v>897</v>
      </c>
      <c r="E15020" s="178">
        <v>2022</v>
      </c>
      <c r="F15020" s="178" t="s">
        <v>23395</v>
      </c>
      <c r="G15020" s="496"/>
      <c r="H15020" s="994" t="s">
        <v>20224</v>
      </c>
      <c r="I15020" s="11" t="s">
        <v>8445</v>
      </c>
      <c r="J15020" s="1285"/>
      <c r="K15020" s="1285"/>
      <c r="L15020" s="1285"/>
    </row>
    <row r="15021" spans="1:12" ht="9" customHeight="1">
      <c r="A15021" s="129" t="s">
        <v>23603</v>
      </c>
      <c r="B15021" s="59" t="s">
        <v>18992</v>
      </c>
      <c r="C15021" s="147" t="s">
        <v>20221</v>
      </c>
      <c r="D15021" s="284" t="s">
        <v>897</v>
      </c>
      <c r="E15021" s="178">
        <v>2012</v>
      </c>
      <c r="F15021" s="178" t="s">
        <v>23395</v>
      </c>
      <c r="G15021" s="496"/>
      <c r="H15021" s="994" t="s">
        <v>20221</v>
      </c>
      <c r="I15021" s="11" t="s">
        <v>7184</v>
      </c>
      <c r="J15021" s="1285"/>
      <c r="K15021" s="1285"/>
      <c r="L15021" s="1285"/>
    </row>
    <row r="15022" spans="1:12" ht="9" customHeight="1">
      <c r="A15022" s="129" t="s">
        <v>23598</v>
      </c>
      <c r="B15022" s="59" t="s">
        <v>22772</v>
      </c>
      <c r="C15022" s="147" t="s">
        <v>20221</v>
      </c>
      <c r="D15022" s="284" t="s">
        <v>897</v>
      </c>
      <c r="E15022" s="178">
        <v>2016</v>
      </c>
      <c r="F15022" s="178" t="s">
        <v>4520</v>
      </c>
      <c r="G15022" s="496"/>
      <c r="H15022" s="994" t="s">
        <v>20221</v>
      </c>
      <c r="I15022" s="11" t="s">
        <v>16340</v>
      </c>
      <c r="J15022" s="1285"/>
      <c r="K15022" s="1285"/>
      <c r="L15022" s="1285"/>
    </row>
    <row r="15023" spans="1:12" ht="9" customHeight="1">
      <c r="A15023" s="129" t="s">
        <v>23631</v>
      </c>
      <c r="B15023" s="59" t="s">
        <v>21325</v>
      </c>
      <c r="C15023" s="147" t="s">
        <v>20221</v>
      </c>
      <c r="D15023" s="284" t="s">
        <v>897</v>
      </c>
      <c r="E15023" s="178">
        <v>2017</v>
      </c>
      <c r="F15023" s="178" t="s">
        <v>11931</v>
      </c>
      <c r="G15023" s="496"/>
      <c r="H15023" s="994" t="s">
        <v>20224</v>
      </c>
      <c r="I15023" s="11" t="s">
        <v>8407</v>
      </c>
      <c r="J15023" s="1285"/>
      <c r="K15023" s="1285"/>
      <c r="L15023" s="1285"/>
    </row>
    <row r="15024" spans="1:12" ht="9" customHeight="1">
      <c r="A15024" s="129" t="s">
        <v>23631</v>
      </c>
      <c r="B15024" s="59" t="s">
        <v>21330</v>
      </c>
      <c r="C15024" s="147" t="s">
        <v>20221</v>
      </c>
      <c r="D15024" s="284" t="s">
        <v>897</v>
      </c>
      <c r="E15024" s="178">
        <v>2017</v>
      </c>
      <c r="F15024" s="178" t="s">
        <v>11931</v>
      </c>
      <c r="G15024" s="496"/>
      <c r="H15024" s="994" t="s">
        <v>20224</v>
      </c>
      <c r="I15024" s="11" t="s">
        <v>8425</v>
      </c>
      <c r="J15024" s="1285"/>
      <c r="K15024" s="1285"/>
      <c r="L15024" s="1285"/>
    </row>
    <row r="15025" spans="1:12" ht="9" customHeight="1">
      <c r="A15025" s="129" t="s">
        <v>23632</v>
      </c>
      <c r="B15025" s="59" t="s">
        <v>20275</v>
      </c>
      <c r="C15025" s="147" t="s">
        <v>20221</v>
      </c>
      <c r="D15025" s="284" t="s">
        <v>897</v>
      </c>
      <c r="E15025" s="178" t="s">
        <v>20273</v>
      </c>
      <c r="F15025" s="178" t="s">
        <v>4520</v>
      </c>
      <c r="G15025" s="496"/>
      <c r="H15025" s="994" t="s">
        <v>20221</v>
      </c>
      <c r="I15025" s="11" t="s">
        <v>1138</v>
      </c>
      <c r="J15025" s="1285"/>
      <c r="K15025" s="1285"/>
      <c r="L15025" s="1285"/>
    </row>
    <row r="15026" spans="1:12" ht="9" customHeight="1">
      <c r="A15026" s="129" t="s">
        <v>23631</v>
      </c>
      <c r="B15026" s="59" t="s">
        <v>21338</v>
      </c>
      <c r="C15026" s="147" t="s">
        <v>20221</v>
      </c>
      <c r="D15026" s="284" t="s">
        <v>897</v>
      </c>
      <c r="E15026" s="178">
        <v>2018</v>
      </c>
      <c r="F15026" s="178" t="s">
        <v>23395</v>
      </c>
      <c r="G15026" s="496"/>
      <c r="H15026" s="994" t="s">
        <v>20277</v>
      </c>
      <c r="I15026" s="11" t="s">
        <v>8448</v>
      </c>
      <c r="J15026" s="1285"/>
      <c r="K15026" s="1285"/>
      <c r="L15026" s="1285"/>
    </row>
    <row r="15027" spans="1:12" ht="9" customHeight="1">
      <c r="A15027" s="811"/>
      <c r="B15027" s="90"/>
      <c r="C15027" s="147"/>
      <c r="D15027" s="161"/>
      <c r="E15027" s="34"/>
      <c r="F15027" s="178"/>
      <c r="G15027" s="671"/>
      <c r="H15027" s="36"/>
      <c r="I15027" s="11"/>
    </row>
    <row r="15028" spans="1:12" ht="24" customHeight="1">
      <c r="A15028" s="926" t="s">
        <v>18978</v>
      </c>
      <c r="B15028" s="937" t="s">
        <v>18981</v>
      </c>
      <c r="C15028" s="147"/>
      <c r="D15028" s="107"/>
      <c r="E15028" s="34"/>
      <c r="F15028" s="178"/>
      <c r="G15028" s="908"/>
      <c r="H15028" s="928"/>
      <c r="I15028" s="11"/>
    </row>
    <row r="15029" spans="1:12" ht="9" customHeight="1">
      <c r="A15029" s="129" t="s">
        <v>23633</v>
      </c>
      <c r="B15029" s="59" t="s">
        <v>22905</v>
      </c>
      <c r="C15029" s="147" t="s">
        <v>20221</v>
      </c>
      <c r="D15029" s="284" t="s">
        <v>897</v>
      </c>
      <c r="E15029" s="178">
        <v>2019</v>
      </c>
      <c r="F15029" s="178" t="s">
        <v>4520</v>
      </c>
      <c r="G15029" s="496"/>
      <c r="H15029" s="994" t="s">
        <v>20221</v>
      </c>
      <c r="I15029" s="11" t="s">
        <v>17346</v>
      </c>
      <c r="J15029" s="1285"/>
      <c r="K15029" s="1285"/>
      <c r="L15029" s="1285"/>
    </row>
    <row r="15030" spans="1:12" ht="9" customHeight="1">
      <c r="A15030" s="129" t="s">
        <v>23633</v>
      </c>
      <c r="B15030" s="59" t="s">
        <v>22907</v>
      </c>
      <c r="C15030" s="147" t="s">
        <v>20221</v>
      </c>
      <c r="D15030" s="284" t="s">
        <v>897</v>
      </c>
      <c r="E15030" s="178">
        <v>2019</v>
      </c>
      <c r="F15030" s="178" t="s">
        <v>23394</v>
      </c>
      <c r="G15030" s="496"/>
      <c r="H15030" s="994" t="s">
        <v>20221</v>
      </c>
      <c r="I15030" s="11" t="s">
        <v>17354</v>
      </c>
      <c r="J15030" s="1285"/>
      <c r="K15030" s="1285"/>
      <c r="L15030" s="1285"/>
    </row>
    <row r="15031" spans="1:12" ht="9" customHeight="1">
      <c r="A15031" s="129" t="s">
        <v>23633</v>
      </c>
      <c r="B15031" s="59" t="s">
        <v>22908</v>
      </c>
      <c r="C15031" s="147" t="s">
        <v>20221</v>
      </c>
      <c r="D15031" s="284" t="s">
        <v>897</v>
      </c>
      <c r="E15031" s="178">
        <v>2018</v>
      </c>
      <c r="F15031" s="178" t="s">
        <v>23394</v>
      </c>
      <c r="G15031" s="496"/>
      <c r="H15031" s="994" t="s">
        <v>20221</v>
      </c>
      <c r="I15031" s="11" t="s">
        <v>17360</v>
      </c>
      <c r="J15031" s="1285"/>
      <c r="K15031" s="1285"/>
      <c r="L15031" s="1285"/>
    </row>
    <row r="15032" spans="1:12" ht="9" customHeight="1">
      <c r="A15032" s="129" t="s">
        <v>23633</v>
      </c>
      <c r="B15032" s="59" t="s">
        <v>22909</v>
      </c>
      <c r="C15032" s="147" t="s">
        <v>20221</v>
      </c>
      <c r="D15032" s="284" t="s">
        <v>897</v>
      </c>
      <c r="E15032" s="178">
        <v>2018</v>
      </c>
      <c r="F15032" s="178" t="s">
        <v>23394</v>
      </c>
      <c r="G15032" s="496"/>
      <c r="H15032" s="994" t="s">
        <v>20221</v>
      </c>
      <c r="I15032" s="11" t="s">
        <v>17366</v>
      </c>
      <c r="J15032" s="1285"/>
      <c r="K15032" s="1285"/>
      <c r="L15032" s="1285"/>
    </row>
    <row r="15033" spans="1:12" ht="9" customHeight="1">
      <c r="A15033" s="129" t="s">
        <v>23444</v>
      </c>
      <c r="B15033" s="59" t="s">
        <v>22228</v>
      </c>
      <c r="C15033" s="147" t="s">
        <v>20221</v>
      </c>
      <c r="D15033" s="284" t="s">
        <v>897</v>
      </c>
      <c r="E15033" s="178">
        <v>2017</v>
      </c>
      <c r="F15033" s="178" t="s">
        <v>4520</v>
      </c>
      <c r="G15033" s="496"/>
      <c r="H15033" s="994" t="s">
        <v>20221</v>
      </c>
      <c r="I15033" s="11" t="s">
        <v>14048</v>
      </c>
      <c r="J15033" s="1285"/>
      <c r="K15033" s="1285"/>
      <c r="L15033" s="1285"/>
    </row>
    <row r="15034" spans="1:12" ht="9" customHeight="1">
      <c r="A15034" s="129" t="s">
        <v>23444</v>
      </c>
      <c r="B15034" s="59" t="s">
        <v>22230</v>
      </c>
      <c r="C15034" s="147" t="s">
        <v>20221</v>
      </c>
      <c r="D15034" s="284" t="s">
        <v>897</v>
      </c>
      <c r="E15034" s="178">
        <v>2019</v>
      </c>
      <c r="F15034" s="178" t="s">
        <v>4520</v>
      </c>
      <c r="G15034" s="496"/>
      <c r="H15034" s="994" t="s">
        <v>20221</v>
      </c>
      <c r="I15034" s="11" t="s">
        <v>14056</v>
      </c>
      <c r="J15034" s="1285"/>
      <c r="K15034" s="1285"/>
      <c r="L15034" s="1285"/>
    </row>
    <row r="15035" spans="1:12" ht="9" customHeight="1">
      <c r="A15035" s="129" t="s">
        <v>23444</v>
      </c>
      <c r="B15035" s="59" t="s">
        <v>22229</v>
      </c>
      <c r="C15035" s="147" t="s">
        <v>20221</v>
      </c>
      <c r="D15035" s="284" t="s">
        <v>897</v>
      </c>
      <c r="E15035" s="178">
        <v>2019</v>
      </c>
      <c r="F15035" s="178" t="s">
        <v>4520</v>
      </c>
      <c r="G15035" s="496"/>
      <c r="H15035" s="994" t="s">
        <v>20221</v>
      </c>
      <c r="I15035" s="11" t="s">
        <v>14052</v>
      </c>
      <c r="J15035" s="1285"/>
      <c r="K15035" s="1285"/>
      <c r="L15035" s="1285"/>
    </row>
    <row r="15036" spans="1:12" ht="9" customHeight="1">
      <c r="A15036" s="129" t="s">
        <v>23634</v>
      </c>
      <c r="B15036" s="59" t="s">
        <v>18982</v>
      </c>
      <c r="C15036" s="147" t="s">
        <v>20221</v>
      </c>
      <c r="D15036" s="284" t="s">
        <v>897</v>
      </c>
      <c r="E15036" s="178">
        <v>2013</v>
      </c>
      <c r="F15036" s="178" t="s">
        <v>4520</v>
      </c>
      <c r="G15036" s="496"/>
      <c r="H15036" s="994" t="s">
        <v>20221</v>
      </c>
      <c r="I15036" s="11" t="s">
        <v>2431</v>
      </c>
      <c r="J15036" s="1285"/>
      <c r="K15036" s="1285"/>
      <c r="L15036" s="1285"/>
    </row>
    <row r="15037" spans="1:12" ht="9" customHeight="1">
      <c r="A15037" s="129" t="s">
        <v>23635</v>
      </c>
      <c r="B15037" s="59" t="s">
        <v>20607</v>
      </c>
      <c r="C15037" s="147" t="s">
        <v>20221</v>
      </c>
      <c r="D15037" s="284" t="s">
        <v>897</v>
      </c>
      <c r="E15037" s="178">
        <v>2020</v>
      </c>
      <c r="F15037" s="178" t="s">
        <v>23403</v>
      </c>
      <c r="G15037" s="496"/>
      <c r="H15037" s="994" t="s">
        <v>20221</v>
      </c>
      <c r="I15037" s="11" t="s">
        <v>3600</v>
      </c>
      <c r="J15037" s="1285"/>
      <c r="K15037" s="1285"/>
      <c r="L15037" s="1285"/>
    </row>
    <row r="15038" spans="1:12" ht="9" customHeight="1">
      <c r="A15038" s="129" t="s">
        <v>23573</v>
      </c>
      <c r="B15038" s="59" t="s">
        <v>22222</v>
      </c>
      <c r="C15038" s="147" t="s">
        <v>20221</v>
      </c>
      <c r="D15038" s="284" t="s">
        <v>897</v>
      </c>
      <c r="E15038" s="178">
        <v>2015</v>
      </c>
      <c r="F15038" s="178" t="s">
        <v>4520</v>
      </c>
      <c r="G15038" s="496"/>
      <c r="H15038" s="994" t="s">
        <v>20221</v>
      </c>
      <c r="I15038" s="11" t="s">
        <v>14001</v>
      </c>
      <c r="J15038" s="1285"/>
      <c r="K15038" s="1285"/>
      <c r="L15038" s="1285"/>
    </row>
    <row r="15039" spans="1:12" ht="9" customHeight="1">
      <c r="A15039" s="129" t="s">
        <v>23575</v>
      </c>
      <c r="B15039" s="59" t="s">
        <v>22256</v>
      </c>
      <c r="C15039" s="147" t="s">
        <v>20221</v>
      </c>
      <c r="D15039" s="284" t="s">
        <v>897</v>
      </c>
      <c r="E15039" s="178">
        <v>2018</v>
      </c>
      <c r="F15039" s="178" t="s">
        <v>4520</v>
      </c>
      <c r="G15039" s="496"/>
      <c r="H15039" s="994" t="s">
        <v>20224</v>
      </c>
      <c r="I15039" s="11" t="s">
        <v>14188</v>
      </c>
      <c r="J15039" s="1285"/>
      <c r="K15039" s="1285"/>
      <c r="L15039" s="1285"/>
    </row>
    <row r="15040" spans="1:12" ht="9" customHeight="1">
      <c r="A15040" s="129" t="s">
        <v>23575</v>
      </c>
      <c r="B15040" s="59" t="s">
        <v>22257</v>
      </c>
      <c r="C15040" s="147" t="s">
        <v>20221</v>
      </c>
      <c r="D15040" s="284" t="s">
        <v>897</v>
      </c>
      <c r="E15040" s="178">
        <v>2019</v>
      </c>
      <c r="F15040" s="178" t="s">
        <v>4520</v>
      </c>
      <c r="G15040" s="496"/>
      <c r="H15040" s="994" t="s">
        <v>20221</v>
      </c>
      <c r="I15040" s="11" t="s">
        <v>14192</v>
      </c>
      <c r="J15040" s="1285"/>
      <c r="K15040" s="1285"/>
      <c r="L15040" s="1285"/>
    </row>
    <row r="15041" spans="1:12" ht="9" customHeight="1">
      <c r="A15041" s="129" t="s">
        <v>23575</v>
      </c>
      <c r="B15041" s="59" t="s">
        <v>22258</v>
      </c>
      <c r="C15041" s="147" t="s">
        <v>20221</v>
      </c>
      <c r="D15041" s="284" t="s">
        <v>897</v>
      </c>
      <c r="E15041" s="178">
        <v>2020</v>
      </c>
      <c r="F15041" s="178" t="s">
        <v>4520</v>
      </c>
      <c r="G15041" s="496"/>
      <c r="H15041" s="994" t="s">
        <v>20221</v>
      </c>
      <c r="I15041" s="11" t="s">
        <v>14194</v>
      </c>
      <c r="J15041" s="1285"/>
      <c r="K15041" s="1285"/>
      <c r="L15041" s="1285"/>
    </row>
    <row r="15042" spans="1:12" ht="9" customHeight="1">
      <c r="A15042" s="129" t="s">
        <v>23636</v>
      </c>
      <c r="B15042" s="59" t="s">
        <v>21575</v>
      </c>
      <c r="C15042" s="147" t="s">
        <v>20221</v>
      </c>
      <c r="D15042" s="284" t="s">
        <v>897</v>
      </c>
      <c r="E15042" s="178">
        <v>2018</v>
      </c>
      <c r="F15042" s="178" t="s">
        <v>4520</v>
      </c>
      <c r="G15042" s="496"/>
      <c r="H15042" s="994" t="s">
        <v>20221</v>
      </c>
      <c r="I15042" s="11" t="s">
        <v>9840</v>
      </c>
      <c r="J15042" s="1285"/>
      <c r="K15042" s="1285"/>
      <c r="L15042" s="1285"/>
    </row>
    <row r="15043" spans="1:12" ht="9" customHeight="1">
      <c r="A15043" s="129" t="s">
        <v>23493</v>
      </c>
      <c r="B15043" s="59" t="s">
        <v>21787</v>
      </c>
      <c r="C15043" s="147" t="s">
        <v>20221</v>
      </c>
      <c r="D15043" s="284" t="s">
        <v>897</v>
      </c>
      <c r="E15043" s="178">
        <v>2015</v>
      </c>
      <c r="F15043" s="178" t="s">
        <v>4520</v>
      </c>
      <c r="G15043" s="496"/>
      <c r="H15043" s="994" t="s">
        <v>20277</v>
      </c>
      <c r="I15043" s="11" t="s">
        <v>11150</v>
      </c>
      <c r="J15043" s="1285"/>
      <c r="K15043" s="1285"/>
      <c r="L15043" s="1285"/>
    </row>
    <row r="15044" spans="1:12" ht="9" customHeight="1">
      <c r="A15044" s="129" t="s">
        <v>23605</v>
      </c>
      <c r="B15044" s="59" t="s">
        <v>22916</v>
      </c>
      <c r="C15044" s="147" t="s">
        <v>20221</v>
      </c>
      <c r="D15044" s="284" t="s">
        <v>897</v>
      </c>
      <c r="E15044" s="178">
        <v>2019</v>
      </c>
      <c r="F15044" s="178" t="s">
        <v>23395</v>
      </c>
      <c r="G15044" s="496"/>
      <c r="H15044" s="994" t="s">
        <v>20221</v>
      </c>
      <c r="I15044" s="11" t="s">
        <v>17533</v>
      </c>
      <c r="J15044" s="1285"/>
      <c r="K15044" s="1285"/>
      <c r="L15044" s="1285"/>
    </row>
    <row r="15045" spans="1:12" ht="9" customHeight="1">
      <c r="A15045" s="129" t="s">
        <v>23605</v>
      </c>
      <c r="B15045" s="59" t="s">
        <v>22917</v>
      </c>
      <c r="C15045" s="147" t="s">
        <v>20221</v>
      </c>
      <c r="D15045" s="284" t="s">
        <v>897</v>
      </c>
      <c r="E15045" s="178">
        <v>2017</v>
      </c>
      <c r="F15045" s="178" t="s">
        <v>4520</v>
      </c>
      <c r="G15045" s="496"/>
      <c r="H15045" s="994" t="s">
        <v>20221</v>
      </c>
      <c r="I15045" s="11" t="s">
        <v>17535</v>
      </c>
      <c r="J15045" s="1285"/>
      <c r="K15045" s="1285"/>
      <c r="L15045" s="1285"/>
    </row>
    <row r="15046" spans="1:12" ht="9" customHeight="1">
      <c r="A15046" s="129" t="s">
        <v>23605</v>
      </c>
      <c r="B15046" s="59" t="s">
        <v>22919</v>
      </c>
      <c r="C15046" s="147" t="s">
        <v>20221</v>
      </c>
      <c r="D15046" s="284" t="s">
        <v>897</v>
      </c>
      <c r="E15046" s="178">
        <v>2016</v>
      </c>
      <c r="F15046" s="178" t="s">
        <v>4520</v>
      </c>
      <c r="G15046" s="496"/>
      <c r="H15046" s="994" t="s">
        <v>20221</v>
      </c>
      <c r="I15046" s="11" t="s">
        <v>17541</v>
      </c>
      <c r="J15046" s="1285"/>
      <c r="K15046" s="1285"/>
      <c r="L15046" s="1285"/>
    </row>
    <row r="15047" spans="1:12" ht="9" customHeight="1">
      <c r="A15047" s="129" t="s">
        <v>23605</v>
      </c>
      <c r="B15047" s="59" t="s">
        <v>22920</v>
      </c>
      <c r="C15047" s="147" t="s">
        <v>20221</v>
      </c>
      <c r="D15047" s="284" t="s">
        <v>897</v>
      </c>
      <c r="E15047" s="178">
        <v>2016</v>
      </c>
      <c r="F15047" s="178" t="s">
        <v>4520</v>
      </c>
      <c r="G15047" s="496"/>
      <c r="H15047" s="994" t="s">
        <v>20221</v>
      </c>
      <c r="I15047" s="11" t="s">
        <v>17544</v>
      </c>
      <c r="J15047" s="1285"/>
      <c r="K15047" s="1285"/>
      <c r="L15047" s="1285"/>
    </row>
    <row r="15048" spans="1:12" ht="9" customHeight="1">
      <c r="A15048" s="129" t="s">
        <v>23605</v>
      </c>
      <c r="B15048" s="59" t="s">
        <v>22921</v>
      </c>
      <c r="C15048" s="147" t="s">
        <v>20221</v>
      </c>
      <c r="D15048" s="284" t="s">
        <v>897</v>
      </c>
      <c r="E15048" s="178">
        <v>2016</v>
      </c>
      <c r="F15048" s="178" t="s">
        <v>4520</v>
      </c>
      <c r="G15048" s="496"/>
      <c r="H15048" s="994" t="s">
        <v>20221</v>
      </c>
      <c r="I15048" s="11" t="s">
        <v>17547</v>
      </c>
      <c r="J15048" s="1285"/>
      <c r="K15048" s="1285"/>
      <c r="L15048" s="1285"/>
    </row>
    <row r="15049" spans="1:12" ht="9" customHeight="1">
      <c r="A15049" s="129" t="s">
        <v>23605</v>
      </c>
      <c r="B15049" s="59" t="s">
        <v>22922</v>
      </c>
      <c r="C15049" s="147" t="s">
        <v>20221</v>
      </c>
      <c r="D15049" s="284" t="s">
        <v>897</v>
      </c>
      <c r="E15049" s="178">
        <v>2019</v>
      </c>
      <c r="F15049" s="178" t="s">
        <v>4520</v>
      </c>
      <c r="G15049" s="496"/>
      <c r="H15049" s="994" t="s">
        <v>20221</v>
      </c>
      <c r="I15049" s="11" t="s">
        <v>17549</v>
      </c>
      <c r="J15049" s="1285"/>
      <c r="K15049" s="1285"/>
      <c r="L15049" s="1285"/>
    </row>
    <row r="15050" spans="1:12" ht="9" customHeight="1">
      <c r="A15050" s="129" t="s">
        <v>23605</v>
      </c>
      <c r="B15050" s="59" t="s">
        <v>22923</v>
      </c>
      <c r="C15050" s="147" t="s">
        <v>20221</v>
      </c>
      <c r="D15050" s="284" t="s">
        <v>897</v>
      </c>
      <c r="E15050" s="178">
        <v>2019</v>
      </c>
      <c r="F15050" s="178" t="s">
        <v>4520</v>
      </c>
      <c r="G15050" s="496"/>
      <c r="H15050" s="994" t="s">
        <v>20221</v>
      </c>
      <c r="I15050" s="11" t="s">
        <v>17553</v>
      </c>
      <c r="J15050" s="1285"/>
      <c r="K15050" s="1285"/>
      <c r="L15050" s="1285"/>
    </row>
    <row r="15051" spans="1:12" ht="9" customHeight="1">
      <c r="A15051" s="129" t="s">
        <v>23605</v>
      </c>
      <c r="B15051" s="59" t="s">
        <v>22924</v>
      </c>
      <c r="C15051" s="147" t="s">
        <v>20221</v>
      </c>
      <c r="D15051" s="284" t="s">
        <v>897</v>
      </c>
      <c r="E15051" s="178">
        <v>2017</v>
      </c>
      <c r="F15051" s="178" t="s">
        <v>4520</v>
      </c>
      <c r="G15051" s="496"/>
      <c r="H15051" s="994" t="s">
        <v>20221</v>
      </c>
      <c r="I15051" s="11" t="s">
        <v>17555</v>
      </c>
      <c r="J15051" s="1285"/>
      <c r="K15051" s="1285"/>
      <c r="L15051" s="1285"/>
    </row>
    <row r="15052" spans="1:12" ht="9" customHeight="1">
      <c r="A15052" s="129" t="s">
        <v>23605</v>
      </c>
      <c r="B15052" s="59" t="s">
        <v>22925</v>
      </c>
      <c r="C15052" s="147" t="s">
        <v>20221</v>
      </c>
      <c r="D15052" s="284" t="s">
        <v>897</v>
      </c>
      <c r="E15052" s="178">
        <v>2016</v>
      </c>
      <c r="F15052" s="178" t="s">
        <v>4520</v>
      </c>
      <c r="G15052" s="496"/>
      <c r="H15052" s="994" t="s">
        <v>20221</v>
      </c>
      <c r="I15052" s="11" t="s">
        <v>17557</v>
      </c>
      <c r="J15052" s="1285"/>
      <c r="K15052" s="1285"/>
      <c r="L15052" s="1285"/>
    </row>
    <row r="15053" spans="1:12" ht="9" customHeight="1">
      <c r="A15053" s="129" t="s">
        <v>23605</v>
      </c>
      <c r="B15053" s="59" t="s">
        <v>22926</v>
      </c>
      <c r="C15053" s="147" t="s">
        <v>20221</v>
      </c>
      <c r="D15053" s="284" t="s">
        <v>897</v>
      </c>
      <c r="E15053" s="178">
        <v>2017</v>
      </c>
      <c r="F15053" s="178" t="s">
        <v>4520</v>
      </c>
      <c r="G15053" s="496"/>
      <c r="H15053" s="994" t="s">
        <v>20221</v>
      </c>
      <c r="I15053" s="11" t="s">
        <v>17559</v>
      </c>
      <c r="J15053" s="1285"/>
      <c r="K15053" s="1285"/>
      <c r="L15053" s="1285"/>
    </row>
    <row r="15054" spans="1:12" ht="9" customHeight="1">
      <c r="A15054" s="129" t="s">
        <v>23605</v>
      </c>
      <c r="B15054" s="59" t="s">
        <v>22927</v>
      </c>
      <c r="C15054" s="147" t="s">
        <v>20221</v>
      </c>
      <c r="D15054" s="284" t="s">
        <v>897</v>
      </c>
      <c r="E15054" s="178">
        <v>2016</v>
      </c>
      <c r="F15054" s="178" t="s">
        <v>4520</v>
      </c>
      <c r="G15054" s="496"/>
      <c r="H15054" s="994" t="s">
        <v>20221</v>
      </c>
      <c r="I15054" s="11" t="s">
        <v>17562</v>
      </c>
      <c r="J15054" s="1285"/>
      <c r="K15054" s="1285"/>
      <c r="L15054" s="1285"/>
    </row>
    <row r="15055" spans="1:12" ht="9" customHeight="1">
      <c r="A15055" s="129" t="s">
        <v>23605</v>
      </c>
      <c r="B15055" s="59" t="s">
        <v>22928</v>
      </c>
      <c r="C15055" s="147" t="s">
        <v>20221</v>
      </c>
      <c r="D15055" s="284" t="s">
        <v>897</v>
      </c>
      <c r="E15055" s="178">
        <v>2015</v>
      </c>
      <c r="F15055" s="178" t="s">
        <v>4520</v>
      </c>
      <c r="G15055" s="496"/>
      <c r="H15055" s="994" t="s">
        <v>20224</v>
      </c>
      <c r="I15055" s="11" t="s">
        <v>17570</v>
      </c>
      <c r="J15055" s="1285"/>
      <c r="K15055" s="1285"/>
      <c r="L15055" s="1285"/>
    </row>
    <row r="15056" spans="1:12" ht="11.15" customHeight="1">
      <c r="A15056" s="129" t="s">
        <v>23637</v>
      </c>
      <c r="B15056" s="59" t="s">
        <v>23074</v>
      </c>
      <c r="C15056" s="147" t="s">
        <v>20221</v>
      </c>
      <c r="D15056" s="284" t="s">
        <v>897</v>
      </c>
      <c r="E15056" s="178">
        <v>2001</v>
      </c>
      <c r="F15056" s="178" t="s">
        <v>4520</v>
      </c>
      <c r="G15056" s="496"/>
      <c r="H15056" s="994" t="s">
        <v>20224</v>
      </c>
      <c r="I15056" s="11" t="s">
        <v>18418</v>
      </c>
      <c r="J15056" s="1285"/>
      <c r="K15056" s="1285"/>
      <c r="L15056" s="1285"/>
    </row>
    <row r="15057" spans="1:12" ht="9" customHeight="1">
      <c r="A15057" s="129" t="s">
        <v>23607</v>
      </c>
      <c r="B15057" s="59" t="s">
        <v>22958</v>
      </c>
      <c r="C15057" s="147" t="s">
        <v>20221</v>
      </c>
      <c r="D15057" s="284" t="s">
        <v>897</v>
      </c>
      <c r="E15057" s="178" t="s">
        <v>20221</v>
      </c>
      <c r="F15057" s="178" t="s">
        <v>4520</v>
      </c>
      <c r="G15057" s="496"/>
      <c r="H15057" s="994" t="s">
        <v>3907</v>
      </c>
      <c r="I15057" s="11" t="s">
        <v>17704</v>
      </c>
      <c r="J15057" s="1285"/>
      <c r="K15057" s="1285"/>
      <c r="L15057" s="1285"/>
    </row>
    <row r="15058" spans="1:12" ht="9" customHeight="1">
      <c r="A15058" s="129" t="s">
        <v>23638</v>
      </c>
      <c r="B15058" s="59" t="s">
        <v>22398</v>
      </c>
      <c r="C15058" s="147" t="s">
        <v>20221</v>
      </c>
      <c r="D15058" s="284" t="s">
        <v>897</v>
      </c>
      <c r="E15058" s="178" t="s">
        <v>20221</v>
      </c>
      <c r="F15058" s="178" t="s">
        <v>23422</v>
      </c>
      <c r="G15058" s="496" t="s">
        <v>20221</v>
      </c>
      <c r="H15058" s="994" t="s">
        <v>3907</v>
      </c>
      <c r="I15058" s="11" t="s">
        <v>14879</v>
      </c>
      <c r="J15058" s="1285"/>
      <c r="K15058" s="1285"/>
      <c r="L15058" s="1285"/>
    </row>
    <row r="15059" spans="1:12" ht="9" customHeight="1">
      <c r="A15059" s="811"/>
      <c r="B15059" s="90"/>
      <c r="C15059" s="147"/>
      <c r="D15059" s="159"/>
      <c r="E15059" s="34"/>
      <c r="F15059" s="178"/>
      <c r="G15059" s="496"/>
      <c r="H15059" s="36"/>
      <c r="I15059" s="11"/>
    </row>
    <row r="15060" spans="1:12" ht="24" customHeight="1">
      <c r="A15060" s="926" t="s">
        <v>18978</v>
      </c>
      <c r="B15060" s="932" t="s">
        <v>18908</v>
      </c>
      <c r="C15060" s="147"/>
      <c r="D15060" s="107"/>
      <c r="E15060" s="34"/>
      <c r="F15060" s="178"/>
      <c r="G15060" s="1266"/>
      <c r="H15060" s="928"/>
      <c r="I15060" s="11"/>
    </row>
    <row r="15061" spans="1:12" ht="9" customHeight="1">
      <c r="A15061" s="129" t="s">
        <v>23493</v>
      </c>
      <c r="B15061" s="59" t="s">
        <v>21787</v>
      </c>
      <c r="C15061" s="147" t="s">
        <v>20221</v>
      </c>
      <c r="D15061" s="284" t="s">
        <v>897</v>
      </c>
      <c r="E15061" s="178">
        <v>2015</v>
      </c>
      <c r="F15061" s="178" t="s">
        <v>4520</v>
      </c>
      <c r="G15061" s="496"/>
      <c r="H15061" s="994" t="s">
        <v>20277</v>
      </c>
      <c r="I15061" s="11" t="s">
        <v>11150</v>
      </c>
      <c r="J15061" s="1285"/>
      <c r="K15061" s="1285"/>
      <c r="L15061" s="1285"/>
    </row>
    <row r="15062" spans="1:12" ht="9" customHeight="1">
      <c r="A15062" s="129" t="s">
        <v>23567</v>
      </c>
      <c r="B15062" s="59" t="s">
        <v>18983</v>
      </c>
      <c r="C15062" s="147" t="s">
        <v>20221</v>
      </c>
      <c r="D15062" s="284" t="s">
        <v>897</v>
      </c>
      <c r="E15062" s="178">
        <v>2018</v>
      </c>
      <c r="F15062" s="178" t="s">
        <v>4520</v>
      </c>
      <c r="G15062" s="496"/>
      <c r="H15062" s="994" t="s">
        <v>20277</v>
      </c>
      <c r="I15062" s="11" t="s">
        <v>11710</v>
      </c>
      <c r="J15062" s="1285"/>
      <c r="K15062" s="1285"/>
      <c r="L15062" s="1285"/>
    </row>
    <row r="15063" spans="1:12" ht="9" customHeight="1">
      <c r="A15063" s="129" t="s">
        <v>23558</v>
      </c>
      <c r="B15063" s="59" t="s">
        <v>18984</v>
      </c>
      <c r="C15063" s="147" t="s">
        <v>23393</v>
      </c>
      <c r="D15063" s="284" t="s">
        <v>897</v>
      </c>
      <c r="E15063" s="178">
        <v>2017</v>
      </c>
      <c r="F15063" s="178" t="s">
        <v>23394</v>
      </c>
      <c r="G15063" s="496"/>
      <c r="H15063" s="994" t="s">
        <v>20221</v>
      </c>
      <c r="I15063" s="11" t="s">
        <v>14821</v>
      </c>
      <c r="J15063" s="1285"/>
      <c r="K15063" s="1285"/>
      <c r="L15063" s="1285"/>
    </row>
    <row r="15064" spans="1:12" ht="9" customHeight="1">
      <c r="A15064" s="129" t="s">
        <v>23444</v>
      </c>
      <c r="B15064" s="59" t="s">
        <v>22231</v>
      </c>
      <c r="C15064" s="147" t="s">
        <v>20221</v>
      </c>
      <c r="D15064" s="284" t="s">
        <v>897</v>
      </c>
      <c r="E15064" s="178">
        <v>2014</v>
      </c>
      <c r="F15064" s="178" t="s">
        <v>4520</v>
      </c>
      <c r="G15064" s="496"/>
      <c r="H15064" s="994" t="s">
        <v>20221</v>
      </c>
      <c r="I15064" s="11" t="s">
        <v>14060</v>
      </c>
      <c r="J15064" s="1285"/>
      <c r="K15064" s="1285"/>
      <c r="L15064" s="1285"/>
    </row>
    <row r="15065" spans="1:12" ht="9" customHeight="1">
      <c r="A15065" s="129" t="s">
        <v>23639</v>
      </c>
      <c r="B15065" s="59" t="s">
        <v>22293</v>
      </c>
      <c r="C15065" s="147" t="s">
        <v>20221</v>
      </c>
      <c r="D15065" s="284" t="s">
        <v>897</v>
      </c>
      <c r="E15065" s="178">
        <v>2015</v>
      </c>
      <c r="F15065" s="178" t="s">
        <v>4520</v>
      </c>
      <c r="G15065" s="496"/>
      <c r="H15065" s="994" t="s">
        <v>20221</v>
      </c>
      <c r="I15065" s="11" t="s">
        <v>14422</v>
      </c>
      <c r="J15065" s="1285"/>
      <c r="K15065" s="1285"/>
      <c r="L15065" s="1285"/>
    </row>
    <row r="15066" spans="1:12" ht="9" customHeight="1">
      <c r="A15066" s="129" t="s">
        <v>23552</v>
      </c>
      <c r="B15066" s="59" t="s">
        <v>21369</v>
      </c>
      <c r="C15066" s="147" t="s">
        <v>20221</v>
      </c>
      <c r="D15066" s="284" t="s">
        <v>897</v>
      </c>
      <c r="E15066" s="178">
        <v>2009</v>
      </c>
      <c r="F15066" s="178" t="s">
        <v>23395</v>
      </c>
      <c r="G15066" s="496"/>
      <c r="H15066" s="994" t="s">
        <v>20224</v>
      </c>
      <c r="I15066" s="11" t="s">
        <v>8707</v>
      </c>
      <c r="J15066" s="1285"/>
      <c r="K15066" s="1285"/>
      <c r="L15066" s="1285"/>
    </row>
    <row r="15067" spans="1:12" ht="9" customHeight="1">
      <c r="A15067" s="129" t="s">
        <v>23640</v>
      </c>
      <c r="B15067" s="59" t="s">
        <v>20665</v>
      </c>
      <c r="C15067" s="147" t="s">
        <v>20221</v>
      </c>
      <c r="D15067" s="284" t="s">
        <v>897</v>
      </c>
      <c r="E15067" s="178">
        <v>2011</v>
      </c>
      <c r="F15067" s="178" t="s">
        <v>23395</v>
      </c>
      <c r="G15067" s="496"/>
      <c r="H15067" s="994" t="s">
        <v>20221</v>
      </c>
      <c r="I15067" s="11" t="s">
        <v>4043</v>
      </c>
      <c r="J15067" s="1285"/>
      <c r="K15067" s="1285"/>
      <c r="L15067" s="1285"/>
    </row>
    <row r="15068" spans="1:12" ht="9" customHeight="1">
      <c r="A15068" s="129" t="s">
        <v>23540</v>
      </c>
      <c r="B15068" s="59" t="s">
        <v>21714</v>
      </c>
      <c r="C15068" s="147" t="s">
        <v>20221</v>
      </c>
      <c r="D15068" s="284" t="s">
        <v>897</v>
      </c>
      <c r="E15068" s="178">
        <v>2015</v>
      </c>
      <c r="F15068" s="178" t="s">
        <v>4520</v>
      </c>
      <c r="G15068" s="496"/>
      <c r="H15068" s="994" t="s">
        <v>20221</v>
      </c>
      <c r="I15068" s="11" t="s">
        <v>10561</v>
      </c>
      <c r="J15068" s="1285"/>
      <c r="K15068" s="1285"/>
      <c r="L15068" s="1285"/>
    </row>
    <row r="15069" spans="1:12" ht="9" customHeight="1">
      <c r="A15069" s="129" t="s">
        <v>23641</v>
      </c>
      <c r="B15069" s="59" t="s">
        <v>18985</v>
      </c>
      <c r="C15069" s="147" t="s">
        <v>20221</v>
      </c>
      <c r="D15069" s="284" t="s">
        <v>897</v>
      </c>
      <c r="E15069" s="178">
        <v>1991</v>
      </c>
      <c r="F15069" s="178" t="s">
        <v>23395</v>
      </c>
      <c r="G15069" s="496"/>
      <c r="H15069" s="994" t="s">
        <v>20221</v>
      </c>
      <c r="I15069" s="11" t="s">
        <v>2303</v>
      </c>
      <c r="J15069" s="1285"/>
      <c r="K15069" s="1285"/>
      <c r="L15069" s="1285"/>
    </row>
    <row r="15070" spans="1:12" ht="9" customHeight="1">
      <c r="A15070" s="129" t="s">
        <v>23499</v>
      </c>
      <c r="B15070" s="59" t="s">
        <v>18986</v>
      </c>
      <c r="C15070" s="147" t="s">
        <v>23393</v>
      </c>
      <c r="D15070" s="284" t="s">
        <v>897</v>
      </c>
      <c r="E15070" s="178">
        <v>2013</v>
      </c>
      <c r="F15070" s="178" t="s">
        <v>4520</v>
      </c>
      <c r="G15070" s="496"/>
      <c r="H15070" s="994" t="s">
        <v>20221</v>
      </c>
      <c r="I15070" s="11" t="s">
        <v>10391</v>
      </c>
      <c r="J15070" s="1285"/>
      <c r="K15070" s="1285"/>
      <c r="L15070" s="1285"/>
    </row>
    <row r="15071" spans="1:12" ht="9" customHeight="1">
      <c r="A15071" s="129" t="s">
        <v>23562</v>
      </c>
      <c r="B15071" s="59" t="s">
        <v>22366</v>
      </c>
      <c r="C15071" s="147" t="s">
        <v>20221</v>
      </c>
      <c r="D15071" s="284" t="s">
        <v>897</v>
      </c>
      <c r="E15071" s="178">
        <v>2015</v>
      </c>
      <c r="F15071" s="178" t="s">
        <v>23394</v>
      </c>
      <c r="G15071" s="496"/>
      <c r="H15071" s="994" t="s">
        <v>20221</v>
      </c>
      <c r="I15071" s="11" t="s">
        <v>14738</v>
      </c>
      <c r="J15071" s="1285"/>
      <c r="K15071" s="1285"/>
      <c r="L15071" s="1285"/>
    </row>
    <row r="15072" spans="1:12" ht="9" customHeight="1">
      <c r="A15072" s="129" t="s">
        <v>23642</v>
      </c>
      <c r="B15072" s="59" t="s">
        <v>21069</v>
      </c>
      <c r="C15072" s="147" t="s">
        <v>20221</v>
      </c>
      <c r="D15072" s="284" t="s">
        <v>897</v>
      </c>
      <c r="E15072" s="178">
        <v>2014</v>
      </c>
      <c r="F15072" s="178" t="s">
        <v>4520</v>
      </c>
      <c r="G15072" s="496"/>
      <c r="H15072" s="994" t="s">
        <v>20224</v>
      </c>
      <c r="I15072" s="11" t="s">
        <v>6745</v>
      </c>
      <c r="J15072" s="1285"/>
      <c r="K15072" s="1285"/>
      <c r="L15072" s="1285"/>
    </row>
    <row r="15073" spans="1:12" ht="9" customHeight="1">
      <c r="A15073" s="129" t="s">
        <v>23643</v>
      </c>
      <c r="B15073" s="59" t="s">
        <v>21041</v>
      </c>
      <c r="C15073" s="147" t="s">
        <v>20221</v>
      </c>
      <c r="D15073" s="284" t="s">
        <v>897</v>
      </c>
      <c r="E15073" s="178">
        <v>2010</v>
      </c>
      <c r="F15073" s="178" t="s">
        <v>23395</v>
      </c>
      <c r="G15073" s="496"/>
      <c r="H15073" s="994" t="s">
        <v>20221</v>
      </c>
      <c r="I15073" s="11" t="s">
        <v>6547</v>
      </c>
      <c r="J15073" s="1285"/>
      <c r="K15073" s="1285"/>
      <c r="L15073" s="1285"/>
    </row>
    <row r="15074" spans="1:12" ht="9" customHeight="1">
      <c r="A15074" s="129" t="s">
        <v>23547</v>
      </c>
      <c r="B15074" s="59" t="s">
        <v>20637</v>
      </c>
      <c r="C15074" s="147" t="s">
        <v>20221</v>
      </c>
      <c r="D15074" s="284" t="s">
        <v>897</v>
      </c>
      <c r="E15074" s="178">
        <v>2018</v>
      </c>
      <c r="F15074" s="178" t="s">
        <v>4520</v>
      </c>
      <c r="G15074" s="496"/>
      <c r="H15074" s="994" t="s">
        <v>20221</v>
      </c>
      <c r="I15074" s="11" t="s">
        <v>3862</v>
      </c>
      <c r="J15074" s="1285"/>
      <c r="K15074" s="1285"/>
      <c r="L15074" s="1285"/>
    </row>
    <row r="15075" spans="1:12" ht="9" customHeight="1">
      <c r="A15075" s="129" t="s">
        <v>23644</v>
      </c>
      <c r="B15075" s="59" t="s">
        <v>22281</v>
      </c>
      <c r="C15075" s="147" t="s">
        <v>20221</v>
      </c>
      <c r="D15075" s="284" t="s">
        <v>897</v>
      </c>
      <c r="E15075" s="178">
        <v>2009</v>
      </c>
      <c r="F15075" s="178" t="s">
        <v>4520</v>
      </c>
      <c r="G15075" s="496"/>
      <c r="H15075" s="994" t="s">
        <v>20221</v>
      </c>
      <c r="I15075" s="11" t="s">
        <v>14359</v>
      </c>
      <c r="J15075" s="1285"/>
      <c r="K15075" s="1285"/>
      <c r="L15075" s="1285"/>
    </row>
    <row r="15076" spans="1:12" ht="9" customHeight="1">
      <c r="A15076" s="129" t="s">
        <v>23591</v>
      </c>
      <c r="B15076" s="59" t="s">
        <v>23066</v>
      </c>
      <c r="C15076" s="147" t="s">
        <v>20221</v>
      </c>
      <c r="D15076" s="284" t="s">
        <v>897</v>
      </c>
      <c r="E15076" s="178" t="s">
        <v>23067</v>
      </c>
      <c r="F15076" s="178" t="s">
        <v>4520</v>
      </c>
      <c r="G15076" s="496"/>
      <c r="H15076" s="994" t="s">
        <v>20221</v>
      </c>
      <c r="I15076" s="11" t="s">
        <v>18388</v>
      </c>
      <c r="J15076" s="1285"/>
      <c r="K15076" s="1285"/>
      <c r="L15076" s="1285"/>
    </row>
    <row r="15077" spans="1:12" ht="9" customHeight="1">
      <c r="A15077" s="129" t="s">
        <v>23603</v>
      </c>
      <c r="B15077" s="59" t="s">
        <v>21125</v>
      </c>
      <c r="C15077" s="147" t="s">
        <v>20221</v>
      </c>
      <c r="D15077" s="284" t="s">
        <v>897</v>
      </c>
      <c r="E15077" s="178">
        <v>2014</v>
      </c>
      <c r="F15077" s="178" t="s">
        <v>23395</v>
      </c>
      <c r="G15077" s="496"/>
      <c r="H15077" s="994" t="s">
        <v>20221</v>
      </c>
      <c r="I15077" s="11" t="s">
        <v>6288</v>
      </c>
      <c r="J15077" s="1285"/>
      <c r="K15077" s="1285"/>
      <c r="L15077" s="1285"/>
    </row>
    <row r="15078" spans="1:12" ht="9" customHeight="1">
      <c r="A15078" s="129" t="s">
        <v>23645</v>
      </c>
      <c r="B15078" s="59" t="s">
        <v>20768</v>
      </c>
      <c r="C15078" s="147" t="s">
        <v>20221</v>
      </c>
      <c r="D15078" s="284" t="s">
        <v>897</v>
      </c>
      <c r="E15078" s="178">
        <v>2019</v>
      </c>
      <c r="F15078" s="178" t="s">
        <v>4520</v>
      </c>
      <c r="G15078" s="496"/>
      <c r="H15078" s="994" t="s">
        <v>20277</v>
      </c>
      <c r="I15078" s="11" t="s">
        <v>4594</v>
      </c>
      <c r="J15078" s="1285"/>
      <c r="K15078" s="1285"/>
      <c r="L15078" s="1285"/>
    </row>
    <row r="15079" spans="1:12" ht="9" customHeight="1">
      <c r="A15079" s="129" t="s">
        <v>23499</v>
      </c>
      <c r="B15079" s="59" t="s">
        <v>18987</v>
      </c>
      <c r="C15079" s="147" t="s">
        <v>23393</v>
      </c>
      <c r="D15079" s="284" t="s">
        <v>897</v>
      </c>
      <c r="E15079" s="178">
        <v>2013</v>
      </c>
      <c r="F15079" s="178" t="s">
        <v>4520</v>
      </c>
      <c r="G15079" s="496"/>
      <c r="H15079" s="994" t="s">
        <v>20277</v>
      </c>
      <c r="I15079" s="11" t="s">
        <v>10395</v>
      </c>
      <c r="J15079" s="1285"/>
      <c r="K15079" s="1285"/>
      <c r="L15079" s="1285"/>
    </row>
    <row r="15080" spans="1:12" ht="9" customHeight="1">
      <c r="A15080" s="129" t="s">
        <v>23578</v>
      </c>
      <c r="B15080" s="59" t="s">
        <v>21601</v>
      </c>
      <c r="C15080" s="147" t="s">
        <v>20221</v>
      </c>
      <c r="D15080" s="284" t="s">
        <v>897</v>
      </c>
      <c r="E15080" s="178">
        <v>2012</v>
      </c>
      <c r="F15080" s="178" t="s">
        <v>23395</v>
      </c>
      <c r="G15080" s="496"/>
      <c r="H15080" s="994" t="s">
        <v>20221</v>
      </c>
      <c r="I15080" s="11" t="s">
        <v>9935</v>
      </c>
      <c r="J15080" s="1285"/>
      <c r="K15080" s="1285"/>
      <c r="L15080" s="1285"/>
    </row>
    <row r="15081" spans="1:12" ht="9" customHeight="1">
      <c r="A15081" s="129" t="s">
        <v>23634</v>
      </c>
      <c r="B15081" s="59" t="s">
        <v>18982</v>
      </c>
      <c r="C15081" s="147" t="s">
        <v>20221</v>
      </c>
      <c r="D15081" s="284" t="s">
        <v>897</v>
      </c>
      <c r="E15081" s="178">
        <v>2013</v>
      </c>
      <c r="F15081" s="178" t="s">
        <v>4520</v>
      </c>
      <c r="G15081" s="496"/>
      <c r="H15081" s="994" t="s">
        <v>20221</v>
      </c>
      <c r="I15081" s="11" t="s">
        <v>2431</v>
      </c>
      <c r="J15081" s="1285"/>
      <c r="K15081" s="1285"/>
      <c r="L15081" s="1285"/>
    </row>
    <row r="15082" spans="1:12" ht="9" customHeight="1">
      <c r="A15082" s="129" t="s">
        <v>23444</v>
      </c>
      <c r="B15082" s="59" t="s">
        <v>18988</v>
      </c>
      <c r="C15082" s="147" t="s">
        <v>20221</v>
      </c>
      <c r="D15082" s="284" t="s">
        <v>897</v>
      </c>
      <c r="E15082" s="178">
        <v>2019</v>
      </c>
      <c r="F15082" s="178" t="s">
        <v>4520</v>
      </c>
      <c r="G15082" s="496"/>
      <c r="H15082" s="994" t="s">
        <v>20221</v>
      </c>
      <c r="I15082" s="11" t="s">
        <v>14052</v>
      </c>
      <c r="J15082" s="1285"/>
      <c r="K15082" s="1285"/>
      <c r="L15082" s="1285"/>
    </row>
    <row r="15083" spans="1:12" ht="9" customHeight="1">
      <c r="A15083" s="129" t="s">
        <v>23444</v>
      </c>
      <c r="B15083" s="59" t="s">
        <v>18989</v>
      </c>
      <c r="C15083" s="147" t="s">
        <v>20221</v>
      </c>
      <c r="D15083" s="284" t="s">
        <v>897</v>
      </c>
      <c r="E15083" s="178">
        <v>2019</v>
      </c>
      <c r="F15083" s="178" t="s">
        <v>4520</v>
      </c>
      <c r="G15083" s="496"/>
      <c r="H15083" s="994" t="s">
        <v>20221</v>
      </c>
      <c r="I15083" s="11" t="s">
        <v>14056</v>
      </c>
      <c r="J15083" s="1285"/>
      <c r="K15083" s="1285"/>
      <c r="L15083" s="1285"/>
    </row>
    <row r="15084" spans="1:12" ht="9" customHeight="1">
      <c r="A15084" s="129" t="s">
        <v>23543</v>
      </c>
      <c r="B15084" s="59" t="s">
        <v>22348</v>
      </c>
      <c r="C15084" s="147" t="s">
        <v>20221</v>
      </c>
      <c r="D15084" s="284" t="s">
        <v>897</v>
      </c>
      <c r="E15084" s="178">
        <v>2022</v>
      </c>
      <c r="F15084" s="178" t="s">
        <v>4520</v>
      </c>
      <c r="G15084" s="496"/>
      <c r="H15084" s="994" t="s">
        <v>20221</v>
      </c>
      <c r="I15084" s="11" t="s">
        <v>14662</v>
      </c>
      <c r="J15084" s="1285"/>
      <c r="K15084" s="1285"/>
      <c r="L15084" s="1285"/>
    </row>
    <row r="15085" spans="1:12" ht="9" customHeight="1">
      <c r="A15085" s="129" t="s">
        <v>23646</v>
      </c>
      <c r="B15085" s="59" t="s">
        <v>20835</v>
      </c>
      <c r="C15085" s="147" t="s">
        <v>20221</v>
      </c>
      <c r="D15085" s="284" t="s">
        <v>897</v>
      </c>
      <c r="E15085" s="178">
        <v>2017</v>
      </c>
      <c r="F15085" s="178" t="s">
        <v>4520</v>
      </c>
      <c r="G15085" s="496"/>
      <c r="H15085" s="994" t="s">
        <v>20221</v>
      </c>
      <c r="I15085" s="11" t="s">
        <v>5067</v>
      </c>
      <c r="J15085" s="1285"/>
      <c r="K15085" s="1285"/>
      <c r="L15085" s="1285"/>
    </row>
    <row r="15086" spans="1:12" ht="9" customHeight="1">
      <c r="A15086" s="129" t="s">
        <v>23636</v>
      </c>
      <c r="B15086" s="59" t="s">
        <v>21575</v>
      </c>
      <c r="C15086" s="147" t="s">
        <v>20221</v>
      </c>
      <c r="D15086" s="284" t="s">
        <v>897</v>
      </c>
      <c r="E15086" s="178">
        <v>2018</v>
      </c>
      <c r="F15086" s="178" t="s">
        <v>4520</v>
      </c>
      <c r="G15086" s="496"/>
      <c r="H15086" s="994" t="s">
        <v>20221</v>
      </c>
      <c r="I15086" s="11" t="s">
        <v>9840</v>
      </c>
      <c r="J15086" s="1285"/>
      <c r="K15086" s="1285"/>
      <c r="L15086" s="1285"/>
    </row>
    <row r="15087" spans="1:12" ht="9" customHeight="1">
      <c r="A15087" s="129" t="s">
        <v>23579</v>
      </c>
      <c r="B15087" s="59" t="s">
        <v>21185</v>
      </c>
      <c r="C15087" s="147" t="s">
        <v>23393</v>
      </c>
      <c r="D15087" s="284" t="s">
        <v>897</v>
      </c>
      <c r="E15087" s="178">
        <v>2014</v>
      </c>
      <c r="F15087" s="178" t="s">
        <v>4520</v>
      </c>
      <c r="G15087" s="496"/>
      <c r="H15087" s="994" t="s">
        <v>20221</v>
      </c>
      <c r="I15087" s="11" t="s">
        <v>7571</v>
      </c>
      <c r="J15087" s="1285"/>
      <c r="K15087" s="1285"/>
      <c r="L15087" s="1285"/>
    </row>
    <row r="15088" spans="1:12" ht="9" customHeight="1">
      <c r="A15088" s="129" t="s">
        <v>23647</v>
      </c>
      <c r="B15088" s="59" t="s">
        <v>20744</v>
      </c>
      <c r="C15088" s="147" t="s">
        <v>20221</v>
      </c>
      <c r="D15088" s="284" t="s">
        <v>897</v>
      </c>
      <c r="E15088" s="178">
        <v>2013</v>
      </c>
      <c r="F15088" s="178" t="s">
        <v>4520</v>
      </c>
      <c r="G15088" s="496"/>
      <c r="H15088" s="994" t="s">
        <v>20221</v>
      </c>
      <c r="I15088" s="11" t="s">
        <v>4494</v>
      </c>
      <c r="J15088" s="1285"/>
      <c r="K15088" s="1285"/>
      <c r="L15088" s="1285"/>
    </row>
    <row r="15089" spans="1:12" ht="9" customHeight="1">
      <c r="A15089" s="129" t="s">
        <v>23591</v>
      </c>
      <c r="B15089" s="59" t="s">
        <v>23070</v>
      </c>
      <c r="C15089" s="147" t="s">
        <v>20221</v>
      </c>
      <c r="D15089" s="284" t="s">
        <v>897</v>
      </c>
      <c r="E15089" s="178">
        <v>2008</v>
      </c>
      <c r="F15089" s="178" t="s">
        <v>23394</v>
      </c>
      <c r="G15089" s="496"/>
      <c r="H15089" s="994" t="s">
        <v>20224</v>
      </c>
      <c r="I15089" s="11" t="s">
        <v>18403</v>
      </c>
      <c r="J15089" s="1285"/>
      <c r="K15089" s="1285"/>
      <c r="L15089" s="1285"/>
    </row>
    <row r="15090" spans="1:12" ht="9" customHeight="1">
      <c r="A15090" s="129" t="s">
        <v>23591</v>
      </c>
      <c r="B15090" s="59" t="s">
        <v>23071</v>
      </c>
      <c r="C15090" s="147" t="s">
        <v>20221</v>
      </c>
      <c r="D15090" s="284" t="s">
        <v>897</v>
      </c>
      <c r="E15090" s="178">
        <v>2007</v>
      </c>
      <c r="F15090" s="178" t="s">
        <v>23394</v>
      </c>
      <c r="G15090" s="496"/>
      <c r="H15090" s="994" t="s">
        <v>20224</v>
      </c>
      <c r="I15090" s="11" t="s">
        <v>18404</v>
      </c>
      <c r="J15090" s="1285"/>
      <c r="K15090" s="1285"/>
      <c r="L15090" s="1285"/>
    </row>
    <row r="15091" spans="1:12" ht="9" customHeight="1">
      <c r="A15091" s="129" t="s">
        <v>23543</v>
      </c>
      <c r="B15091" s="59" t="s">
        <v>22350</v>
      </c>
      <c r="C15091" s="147" t="s">
        <v>23393</v>
      </c>
      <c r="D15091" s="284" t="s">
        <v>897</v>
      </c>
      <c r="E15091" s="178">
        <v>2021</v>
      </c>
      <c r="F15091" s="178" t="s">
        <v>23394</v>
      </c>
      <c r="G15091" s="496"/>
      <c r="H15091" s="994" t="s">
        <v>20224</v>
      </c>
      <c r="I15091" s="11" t="s">
        <v>14666</v>
      </c>
      <c r="J15091" s="1285"/>
      <c r="K15091" s="1285"/>
      <c r="L15091" s="1285"/>
    </row>
    <row r="15092" spans="1:12" ht="9" customHeight="1">
      <c r="A15092" s="129" t="s">
        <v>23591</v>
      </c>
      <c r="B15092" s="59" t="s">
        <v>23068</v>
      </c>
      <c r="C15092" s="147" t="s">
        <v>20221</v>
      </c>
      <c r="D15092" s="284" t="s">
        <v>897</v>
      </c>
      <c r="E15092" s="178">
        <v>2000</v>
      </c>
      <c r="F15092" s="178" t="s">
        <v>4520</v>
      </c>
      <c r="G15092" s="496"/>
      <c r="H15092" s="994" t="s">
        <v>20224</v>
      </c>
      <c r="I15092" s="11" t="s">
        <v>18395</v>
      </c>
      <c r="J15092" s="1285"/>
      <c r="K15092" s="1285"/>
      <c r="L15092" s="1285"/>
    </row>
    <row r="15093" spans="1:12" ht="9" customHeight="1">
      <c r="A15093" s="129" t="s">
        <v>23647</v>
      </c>
      <c r="B15093" s="59" t="s">
        <v>20743</v>
      </c>
      <c r="C15093" s="147" t="s">
        <v>20221</v>
      </c>
      <c r="D15093" s="284" t="s">
        <v>897</v>
      </c>
      <c r="E15093" s="178">
        <v>2013</v>
      </c>
      <c r="F15093" s="178" t="s">
        <v>4520</v>
      </c>
      <c r="G15093" s="496"/>
      <c r="H15093" s="994" t="s">
        <v>20224</v>
      </c>
      <c r="I15093" s="11" t="s">
        <v>4489</v>
      </c>
      <c r="J15093" s="1285"/>
      <c r="K15093" s="1285"/>
      <c r="L15093" s="1285"/>
    </row>
    <row r="15094" spans="1:12" ht="9" customHeight="1">
      <c r="A15094" s="129" t="s">
        <v>23499</v>
      </c>
      <c r="B15094" s="59" t="s">
        <v>18987</v>
      </c>
      <c r="C15094" s="147" t="s">
        <v>20221</v>
      </c>
      <c r="D15094" s="284" t="s">
        <v>897</v>
      </c>
      <c r="E15094" s="178">
        <v>2001</v>
      </c>
      <c r="F15094" s="178" t="s">
        <v>11931</v>
      </c>
      <c r="G15094" s="496"/>
      <c r="H15094" s="994" t="s">
        <v>20224</v>
      </c>
      <c r="I15094" s="11" t="s">
        <v>10397</v>
      </c>
      <c r="J15094" s="1285"/>
      <c r="K15094" s="1285"/>
      <c r="L15094" s="1285"/>
    </row>
    <row r="15095" spans="1:12" ht="9" customHeight="1">
      <c r="A15095" s="129" t="s">
        <v>23648</v>
      </c>
      <c r="B15095" s="59" t="s">
        <v>21099</v>
      </c>
      <c r="C15095" s="147" t="s">
        <v>20221</v>
      </c>
      <c r="D15095" s="284" t="s">
        <v>897</v>
      </c>
      <c r="E15095" s="178">
        <v>2019</v>
      </c>
      <c r="F15095" s="178" t="s">
        <v>23395</v>
      </c>
      <c r="G15095" s="496"/>
      <c r="H15095" s="994" t="s">
        <v>20221</v>
      </c>
      <c r="I15095" s="11" t="s">
        <v>6900</v>
      </c>
      <c r="J15095" s="1285"/>
      <c r="K15095" s="1285"/>
      <c r="L15095" s="1285"/>
    </row>
    <row r="15096" spans="1:12" ht="9" customHeight="1">
      <c r="A15096" s="129" t="s">
        <v>23605</v>
      </c>
      <c r="B15096" s="59" t="s">
        <v>18990</v>
      </c>
      <c r="C15096" s="147" t="s">
        <v>20221</v>
      </c>
      <c r="D15096" s="284" t="s">
        <v>897</v>
      </c>
      <c r="E15096" s="178">
        <v>2016</v>
      </c>
      <c r="F15096" s="178" t="s">
        <v>4520</v>
      </c>
      <c r="G15096" s="496"/>
      <c r="H15096" s="994" t="s">
        <v>20221</v>
      </c>
      <c r="I15096" s="11" t="s">
        <v>17541</v>
      </c>
      <c r="J15096" s="1285"/>
      <c r="K15096" s="1285"/>
      <c r="L15096" s="1285"/>
    </row>
    <row r="15097" spans="1:12" ht="9" customHeight="1">
      <c r="A15097" s="129" t="s">
        <v>23575</v>
      </c>
      <c r="B15097" s="59" t="s">
        <v>22258</v>
      </c>
      <c r="C15097" s="147" t="s">
        <v>20221</v>
      </c>
      <c r="D15097" s="284" t="s">
        <v>897</v>
      </c>
      <c r="E15097" s="178">
        <v>2020</v>
      </c>
      <c r="F15097" s="178" t="s">
        <v>4520</v>
      </c>
      <c r="G15097" s="496"/>
      <c r="H15097" s="994" t="s">
        <v>20221</v>
      </c>
      <c r="I15097" s="11" t="s">
        <v>14194</v>
      </c>
      <c r="J15097" s="1285"/>
      <c r="K15097" s="1285"/>
      <c r="L15097" s="1285"/>
    </row>
    <row r="15098" spans="1:12" ht="9" customHeight="1">
      <c r="A15098" s="129" t="s">
        <v>23605</v>
      </c>
      <c r="B15098" s="59" t="s">
        <v>22927</v>
      </c>
      <c r="C15098" s="147" t="s">
        <v>20221</v>
      </c>
      <c r="D15098" s="284" t="s">
        <v>897</v>
      </c>
      <c r="E15098" s="178">
        <v>2016</v>
      </c>
      <c r="F15098" s="178" t="s">
        <v>4520</v>
      </c>
      <c r="G15098" s="496"/>
      <c r="H15098" s="994" t="s">
        <v>20221</v>
      </c>
      <c r="I15098" s="11" t="s">
        <v>17562</v>
      </c>
      <c r="J15098" s="1285"/>
      <c r="K15098" s="1285"/>
      <c r="L15098" s="1285"/>
    </row>
    <row r="15099" spans="1:12" ht="9" customHeight="1">
      <c r="A15099" s="129" t="s">
        <v>23605</v>
      </c>
      <c r="B15099" s="59" t="s">
        <v>22928</v>
      </c>
      <c r="C15099" s="147" t="s">
        <v>20221</v>
      </c>
      <c r="D15099" s="284" t="s">
        <v>897</v>
      </c>
      <c r="E15099" s="178">
        <v>2016</v>
      </c>
      <c r="F15099" s="178" t="s">
        <v>4520</v>
      </c>
      <c r="G15099" s="496"/>
      <c r="H15099" s="994" t="s">
        <v>20221</v>
      </c>
      <c r="I15099" s="11" t="s">
        <v>17568</v>
      </c>
      <c r="J15099" s="1285"/>
      <c r="K15099" s="1285"/>
      <c r="L15099" s="1285"/>
    </row>
    <row r="15100" spans="1:12" ht="9" customHeight="1">
      <c r="A15100" s="129" t="s">
        <v>23635</v>
      </c>
      <c r="B15100" s="59" t="s">
        <v>20607</v>
      </c>
      <c r="C15100" s="147" t="s">
        <v>20221</v>
      </c>
      <c r="D15100" s="284" t="s">
        <v>897</v>
      </c>
      <c r="E15100" s="178">
        <v>2020</v>
      </c>
      <c r="F15100" s="178" t="s">
        <v>23403</v>
      </c>
      <c r="G15100" s="496"/>
      <c r="H15100" s="994" t="s">
        <v>20221</v>
      </c>
      <c r="I15100" s="11" t="s">
        <v>3600</v>
      </c>
      <c r="J15100" s="1285"/>
      <c r="K15100" s="1285"/>
      <c r="L15100" s="1285"/>
    </row>
    <row r="15101" spans="1:12" ht="9" customHeight="1">
      <c r="A15101" s="129" t="s">
        <v>23649</v>
      </c>
      <c r="B15101" s="59" t="s">
        <v>18991</v>
      </c>
      <c r="C15101" s="147" t="s">
        <v>20221</v>
      </c>
      <c r="D15101" s="284" t="s">
        <v>897</v>
      </c>
      <c r="E15101" s="178">
        <v>2014</v>
      </c>
      <c r="F15101" s="178" t="s">
        <v>23394</v>
      </c>
      <c r="G15101" s="496"/>
      <c r="H15101" s="994" t="s">
        <v>20224</v>
      </c>
      <c r="I15101" s="11" t="s">
        <v>9881</v>
      </c>
      <c r="J15101" s="1285"/>
      <c r="K15101" s="1285"/>
      <c r="L15101" s="1285"/>
    </row>
    <row r="15102" spans="1:12" ht="9" customHeight="1">
      <c r="A15102" s="137"/>
      <c r="B15102" s="90"/>
      <c r="C15102" s="147"/>
      <c r="D15102" s="161"/>
      <c r="E15102" s="34"/>
      <c r="F15102" s="178"/>
      <c r="G15102" s="497"/>
      <c r="H15102" s="36"/>
      <c r="I15102" s="11"/>
    </row>
    <row r="15103" spans="1:12" ht="24" customHeight="1">
      <c r="A15103" s="926" t="s">
        <v>18978</v>
      </c>
      <c r="B15103" s="932" t="s">
        <v>18912</v>
      </c>
      <c r="C15103" s="147"/>
      <c r="D15103" s="107"/>
      <c r="E15103" s="240" t="s">
        <v>18913</v>
      </c>
      <c r="F15103" s="240" t="s">
        <v>18914</v>
      </c>
      <c r="G15103" s="1266"/>
      <c r="H15103" s="933"/>
      <c r="I15103" s="11"/>
    </row>
    <row r="15104" spans="1:12" ht="9" customHeight="1">
      <c r="A15104" s="129" t="s">
        <v>23518</v>
      </c>
      <c r="B15104" s="59" t="s">
        <v>22140</v>
      </c>
      <c r="C15104" s="147" t="s">
        <v>20221</v>
      </c>
      <c r="D15104" s="284" t="s">
        <v>897</v>
      </c>
      <c r="E15104" s="183" t="s">
        <v>18915</v>
      </c>
      <c r="F15104" s="183" t="s">
        <v>18917</v>
      </c>
      <c r="G15104" s="496"/>
      <c r="H15104" s="994" t="s">
        <v>20221</v>
      </c>
      <c r="I15104" s="11" t="s">
        <v>13559</v>
      </c>
      <c r="J15104" s="1285"/>
      <c r="K15104" s="1285"/>
      <c r="L15104" s="1285"/>
    </row>
    <row r="15105" spans="1:12" ht="9" customHeight="1">
      <c r="A15105" s="129" t="s">
        <v>23442</v>
      </c>
      <c r="B15105" s="59" t="s">
        <v>22172</v>
      </c>
      <c r="C15105" s="147" t="s">
        <v>20221</v>
      </c>
      <c r="D15105" s="284" t="s">
        <v>897</v>
      </c>
      <c r="E15105" s="183" t="s">
        <v>18918</v>
      </c>
      <c r="F15105" s="183" t="s">
        <v>18919</v>
      </c>
      <c r="G15105" s="496"/>
      <c r="H15105" s="994" t="s">
        <v>20221</v>
      </c>
      <c r="I15105" s="11" t="s">
        <v>13728</v>
      </c>
      <c r="J15105" s="1285"/>
      <c r="K15105" s="1285"/>
      <c r="L15105" s="1285"/>
    </row>
    <row r="15106" spans="1:12" ht="9" customHeight="1">
      <c r="A15106" s="129" t="s">
        <v>23593</v>
      </c>
      <c r="B15106" s="59" t="s">
        <v>22195</v>
      </c>
      <c r="C15106" s="147" t="s">
        <v>20221</v>
      </c>
      <c r="D15106" s="284" t="s">
        <v>897</v>
      </c>
      <c r="E15106" s="183" t="s">
        <v>18921</v>
      </c>
      <c r="F15106" s="183" t="s">
        <v>18916</v>
      </c>
      <c r="G15106" s="496"/>
      <c r="H15106" s="994" t="s">
        <v>20221</v>
      </c>
      <c r="I15106" s="11" t="s">
        <v>13868</v>
      </c>
      <c r="J15106" s="1285"/>
      <c r="K15106" s="1285"/>
      <c r="L15106" s="1285"/>
    </row>
    <row r="15107" spans="1:12" ht="9" customHeight="1">
      <c r="A15107" s="129" t="s">
        <v>23650</v>
      </c>
      <c r="B15107" s="59" t="s">
        <v>21650</v>
      </c>
      <c r="C15107" s="147" t="s">
        <v>20221</v>
      </c>
      <c r="D15107" s="284" t="s">
        <v>897</v>
      </c>
      <c r="E15107" s="183" t="s">
        <v>18921</v>
      </c>
      <c r="F15107" s="183" t="s">
        <v>18925</v>
      </c>
      <c r="G15107" s="496"/>
      <c r="H15107" s="994" t="s">
        <v>20221</v>
      </c>
      <c r="I15107" s="11" t="s">
        <v>10242</v>
      </c>
      <c r="J15107" s="1285"/>
      <c r="K15107" s="1285"/>
      <c r="L15107" s="1285"/>
    </row>
    <row r="15108" spans="1:12" ht="9" customHeight="1">
      <c r="A15108" s="129" t="s">
        <v>23627</v>
      </c>
      <c r="B15108" s="59" t="s">
        <v>21642</v>
      </c>
      <c r="C15108" s="147" t="s">
        <v>23393</v>
      </c>
      <c r="D15108" s="284" t="s">
        <v>897</v>
      </c>
      <c r="E15108" s="183" t="s">
        <v>18921</v>
      </c>
      <c r="F15108" s="183" t="s">
        <v>18922</v>
      </c>
      <c r="G15108" s="496"/>
      <c r="H15108" s="994" t="s">
        <v>20221</v>
      </c>
      <c r="I15108" s="11" t="s">
        <v>10201</v>
      </c>
      <c r="J15108" s="1285"/>
      <c r="K15108" s="1285"/>
      <c r="L15108" s="1285"/>
    </row>
    <row r="15109" spans="1:12" ht="9" customHeight="1">
      <c r="A15109" s="129" t="s">
        <v>23543</v>
      </c>
      <c r="B15109" s="59" t="s">
        <v>22350</v>
      </c>
      <c r="C15109" s="147" t="s">
        <v>23393</v>
      </c>
      <c r="D15109" s="284" t="s">
        <v>897</v>
      </c>
      <c r="E15109" s="183" t="s">
        <v>18921</v>
      </c>
      <c r="F15109" s="183" t="s">
        <v>18931</v>
      </c>
      <c r="G15109" s="496"/>
      <c r="H15109" s="994" t="s">
        <v>20224</v>
      </c>
      <c r="I15109" s="11" t="s">
        <v>14666</v>
      </c>
      <c r="J15109" s="1285"/>
      <c r="K15109" s="1285"/>
      <c r="L15109" s="1285"/>
    </row>
    <row r="15110" spans="1:12" ht="9" customHeight="1">
      <c r="A15110" s="129" t="s">
        <v>23603</v>
      </c>
      <c r="B15110" s="59" t="s">
        <v>18992</v>
      </c>
      <c r="C15110" s="147" t="s">
        <v>20221</v>
      </c>
      <c r="D15110" s="284" t="s">
        <v>897</v>
      </c>
      <c r="E15110" s="183" t="s">
        <v>18924</v>
      </c>
      <c r="F15110" s="183"/>
      <c r="G15110" s="496"/>
      <c r="H15110" s="994" t="s">
        <v>20221</v>
      </c>
      <c r="I15110" s="11" t="s">
        <v>7184</v>
      </c>
      <c r="J15110" s="1285"/>
      <c r="K15110" s="1285"/>
      <c r="L15110" s="1285"/>
    </row>
    <row r="15111" spans="1:12" ht="9" customHeight="1">
      <c r="A15111" s="129" t="s">
        <v>23493</v>
      </c>
      <c r="B15111" s="59" t="s">
        <v>21787</v>
      </c>
      <c r="C15111" s="147" t="s">
        <v>20221</v>
      </c>
      <c r="D15111" s="284" t="s">
        <v>897</v>
      </c>
      <c r="E15111" s="183" t="s">
        <v>18916</v>
      </c>
      <c r="F15111" s="183"/>
      <c r="G15111" s="496"/>
      <c r="H15111" s="994" t="s">
        <v>20221</v>
      </c>
      <c r="I15111" s="11" t="s">
        <v>11148</v>
      </c>
      <c r="J15111" s="1285"/>
      <c r="K15111" s="1285"/>
      <c r="L15111" s="1285"/>
    </row>
    <row r="15112" spans="1:12" ht="9" customHeight="1">
      <c r="A15112" s="129" t="s">
        <v>23604</v>
      </c>
      <c r="B15112" s="59" t="s">
        <v>22151</v>
      </c>
      <c r="C15112" s="147" t="s">
        <v>20221</v>
      </c>
      <c r="D15112" s="284" t="s">
        <v>897</v>
      </c>
      <c r="E15112" s="183" t="s">
        <v>18916</v>
      </c>
      <c r="F15112" s="183"/>
      <c r="G15112" s="496"/>
      <c r="H15112" s="994" t="s">
        <v>20221</v>
      </c>
      <c r="I15112" s="11" t="s">
        <v>13625</v>
      </c>
      <c r="J15112" s="1285"/>
      <c r="K15112" s="1285"/>
      <c r="L15112" s="1285"/>
    </row>
    <row r="15113" spans="1:12" ht="9" customHeight="1">
      <c r="A15113" s="129" t="s">
        <v>23583</v>
      </c>
      <c r="B15113" s="59" t="s">
        <v>21389</v>
      </c>
      <c r="C15113" s="147" t="s">
        <v>20221</v>
      </c>
      <c r="D15113" s="284" t="s">
        <v>897</v>
      </c>
      <c r="E15113" s="183" t="s">
        <v>18916</v>
      </c>
      <c r="F15113" s="183"/>
      <c r="G15113" s="496"/>
      <c r="H15113" s="994" t="s">
        <v>20221</v>
      </c>
      <c r="I15113" s="11" t="s">
        <v>12345</v>
      </c>
      <c r="J15113" s="1285"/>
      <c r="K15113" s="1285"/>
      <c r="L15113" s="1285"/>
    </row>
    <row r="15114" spans="1:12" ht="9" customHeight="1">
      <c r="A15114" s="129" t="s">
        <v>23504</v>
      </c>
      <c r="B15114" s="59" t="s">
        <v>22283</v>
      </c>
      <c r="C15114" s="147" t="s">
        <v>20221</v>
      </c>
      <c r="D15114" s="284" t="s">
        <v>897</v>
      </c>
      <c r="E15114" s="183" t="s">
        <v>18994</v>
      </c>
      <c r="F15114" s="183"/>
      <c r="G15114" s="496"/>
      <c r="H15114" s="994" t="s">
        <v>20221</v>
      </c>
      <c r="I15114" s="11" t="s">
        <v>14373</v>
      </c>
      <c r="J15114" s="1285"/>
      <c r="K15114" s="1285"/>
      <c r="L15114" s="1285"/>
    </row>
    <row r="15115" spans="1:12" ht="9" customHeight="1">
      <c r="A15115" s="129" t="s">
        <v>23651</v>
      </c>
      <c r="B15115" s="59" t="s">
        <v>22134</v>
      </c>
      <c r="C15115" s="147" t="s">
        <v>20221</v>
      </c>
      <c r="D15115" s="284" t="s">
        <v>897</v>
      </c>
      <c r="E15115" s="183" t="s">
        <v>18916</v>
      </c>
      <c r="F15115" s="183" t="s">
        <v>18917</v>
      </c>
      <c r="G15115" s="496"/>
      <c r="H15115" s="994" t="s">
        <v>20221</v>
      </c>
      <c r="I15115" s="11" t="s">
        <v>13522</v>
      </c>
      <c r="J15115" s="1285"/>
      <c r="K15115" s="1285"/>
      <c r="L15115" s="1285"/>
    </row>
    <row r="15116" spans="1:12" ht="9" customHeight="1">
      <c r="A15116" s="129" t="s">
        <v>23652</v>
      </c>
      <c r="B15116" s="59" t="s">
        <v>21941</v>
      </c>
      <c r="C15116" s="147" t="s">
        <v>20221</v>
      </c>
      <c r="D15116" s="284" t="s">
        <v>897</v>
      </c>
      <c r="E15116" s="183" t="s">
        <v>18916</v>
      </c>
      <c r="F15116" s="183" t="s">
        <v>18933</v>
      </c>
      <c r="G15116" s="496"/>
      <c r="H15116" s="994" t="s">
        <v>20221</v>
      </c>
      <c r="I15116" s="11" t="s">
        <v>12143</v>
      </c>
      <c r="J15116" s="1285"/>
      <c r="K15116" s="1285"/>
      <c r="L15116" s="1285"/>
    </row>
    <row r="15117" spans="1:12" ht="11.15" customHeight="1">
      <c r="A15117" s="129" t="s">
        <v>23653</v>
      </c>
      <c r="B15117" s="59" t="s">
        <v>18747</v>
      </c>
      <c r="C15117" s="147" t="s">
        <v>20221</v>
      </c>
      <c r="D15117" s="284" t="s">
        <v>897</v>
      </c>
      <c r="E15117" s="183" t="s">
        <v>18925</v>
      </c>
      <c r="F15117" s="183"/>
      <c r="G15117" s="496"/>
      <c r="H15117" s="994" t="s">
        <v>20221</v>
      </c>
      <c r="I15117" s="11" t="s">
        <v>11045</v>
      </c>
      <c r="J15117" s="1285"/>
      <c r="K15117" s="1285"/>
      <c r="L15117" s="1285"/>
    </row>
    <row r="15118" spans="1:12" ht="9" customHeight="1">
      <c r="A15118" s="129" t="s">
        <v>23654</v>
      </c>
      <c r="B15118" s="59" t="s">
        <v>21804</v>
      </c>
      <c r="C15118" s="147" t="s">
        <v>20221</v>
      </c>
      <c r="D15118" s="284" t="s">
        <v>897</v>
      </c>
      <c r="E15118" s="183" t="s">
        <v>18925</v>
      </c>
      <c r="F15118" s="183"/>
      <c r="G15118" s="496"/>
      <c r="H15118" s="994" t="s">
        <v>20221</v>
      </c>
      <c r="I15118" s="11" t="s">
        <v>11307</v>
      </c>
      <c r="J15118" s="1285"/>
      <c r="K15118" s="1285"/>
      <c r="L15118" s="1285"/>
    </row>
    <row r="15119" spans="1:12" ht="9" customHeight="1">
      <c r="A15119" s="129" t="s">
        <v>23568</v>
      </c>
      <c r="B15119" s="59" t="s">
        <v>21759</v>
      </c>
      <c r="C15119" s="147" t="s">
        <v>20221</v>
      </c>
      <c r="D15119" s="284" t="s">
        <v>897</v>
      </c>
      <c r="E15119" s="183" t="s">
        <v>18925</v>
      </c>
      <c r="F15119" s="183"/>
      <c r="G15119" s="496"/>
      <c r="H15119" s="994" t="s">
        <v>20221</v>
      </c>
      <c r="I15119" s="11" t="s">
        <v>10791</v>
      </c>
      <c r="J15119" s="1285"/>
      <c r="K15119" s="1285"/>
      <c r="L15119" s="1285"/>
    </row>
    <row r="15120" spans="1:12" ht="9" customHeight="1">
      <c r="A15120" s="129" t="s">
        <v>23639</v>
      </c>
      <c r="B15120" s="59" t="s">
        <v>22293</v>
      </c>
      <c r="C15120" s="147" t="s">
        <v>20221</v>
      </c>
      <c r="D15120" s="284" t="s">
        <v>897</v>
      </c>
      <c r="E15120" s="183" t="s">
        <v>18925</v>
      </c>
      <c r="F15120" s="183"/>
      <c r="G15120" s="496"/>
      <c r="H15120" s="994" t="s">
        <v>20221</v>
      </c>
      <c r="I15120" s="11" t="s">
        <v>14422</v>
      </c>
      <c r="J15120" s="1285"/>
      <c r="K15120" s="1285"/>
      <c r="L15120" s="1285"/>
    </row>
    <row r="15121" spans="1:12" ht="9" customHeight="1">
      <c r="A15121" s="129" t="s">
        <v>23605</v>
      </c>
      <c r="B15121" s="59" t="s">
        <v>22927</v>
      </c>
      <c r="C15121" s="147" t="s">
        <v>20221</v>
      </c>
      <c r="D15121" s="284" t="s">
        <v>897</v>
      </c>
      <c r="E15121" s="183" t="s">
        <v>18927</v>
      </c>
      <c r="F15121" s="183" t="s">
        <v>18928</v>
      </c>
      <c r="G15121" s="496"/>
      <c r="H15121" s="994" t="s">
        <v>20221</v>
      </c>
      <c r="I15121" s="11" t="s">
        <v>17560</v>
      </c>
      <c r="J15121" s="1285"/>
      <c r="K15121" s="1285"/>
      <c r="L15121" s="1285"/>
    </row>
    <row r="15122" spans="1:12" ht="9" customHeight="1">
      <c r="A15122" s="129" t="s">
        <v>23541</v>
      </c>
      <c r="B15122" s="59" t="s">
        <v>22306</v>
      </c>
      <c r="C15122" s="147" t="s">
        <v>23393</v>
      </c>
      <c r="D15122" s="284" t="s">
        <v>897</v>
      </c>
      <c r="E15122" s="183" t="s">
        <v>18995</v>
      </c>
      <c r="F15122" s="183"/>
      <c r="G15122" s="496"/>
      <c r="H15122" s="994" t="s">
        <v>20221</v>
      </c>
      <c r="I15122" s="11" t="s">
        <v>14489</v>
      </c>
      <c r="J15122" s="1285"/>
      <c r="K15122" s="1285"/>
      <c r="L15122" s="1285"/>
    </row>
    <row r="15123" spans="1:12" ht="9" customHeight="1">
      <c r="A15123" s="129" t="s">
        <v>23517</v>
      </c>
      <c r="B15123" s="59" t="s">
        <v>22145</v>
      </c>
      <c r="C15123" s="147" t="s">
        <v>20221</v>
      </c>
      <c r="D15123" s="284" t="s">
        <v>897</v>
      </c>
      <c r="E15123" s="183" t="s">
        <v>18917</v>
      </c>
      <c r="F15123" s="183"/>
      <c r="G15123" s="496"/>
      <c r="H15123" s="994" t="s">
        <v>20221</v>
      </c>
      <c r="I15123" s="11" t="s">
        <v>13580</v>
      </c>
      <c r="J15123" s="1285"/>
      <c r="K15123" s="1285"/>
      <c r="L15123" s="1285"/>
    </row>
    <row r="15124" spans="1:12" ht="9" customHeight="1">
      <c r="A15124" s="129" t="s">
        <v>23612</v>
      </c>
      <c r="B15124" s="59" t="s">
        <v>22379</v>
      </c>
      <c r="C15124" s="147" t="s">
        <v>20221</v>
      </c>
      <c r="D15124" s="284" t="s">
        <v>897</v>
      </c>
      <c r="E15124" s="183" t="s">
        <v>18917</v>
      </c>
      <c r="F15124" s="183"/>
      <c r="G15124" s="496"/>
      <c r="H15124" s="994" t="s">
        <v>20221</v>
      </c>
      <c r="I15124" s="11" t="s">
        <v>14802</v>
      </c>
      <c r="J15124" s="1285"/>
      <c r="K15124" s="1285"/>
      <c r="L15124" s="1285"/>
    </row>
    <row r="15125" spans="1:12" ht="9" customHeight="1">
      <c r="A15125" s="129" t="s">
        <v>23655</v>
      </c>
      <c r="B15125" s="59" t="s">
        <v>22811</v>
      </c>
      <c r="C15125" s="147" t="s">
        <v>20221</v>
      </c>
      <c r="D15125" s="284" t="s">
        <v>897</v>
      </c>
      <c r="E15125" s="183" t="s">
        <v>18996</v>
      </c>
      <c r="F15125" s="183"/>
      <c r="G15125" s="496"/>
      <c r="H15125" s="994" t="s">
        <v>20221</v>
      </c>
      <c r="I15125" s="11" t="s">
        <v>16713</v>
      </c>
      <c r="J15125" s="1285"/>
      <c r="K15125" s="1285"/>
      <c r="L15125" s="1285"/>
    </row>
    <row r="15126" spans="1:12" ht="11.15" customHeight="1">
      <c r="A15126" s="129" t="s">
        <v>23656</v>
      </c>
      <c r="B15126" s="59" t="s">
        <v>22114</v>
      </c>
      <c r="C15126" s="147" t="s">
        <v>20221</v>
      </c>
      <c r="D15126" s="284" t="s">
        <v>897</v>
      </c>
      <c r="E15126" s="183" t="s">
        <v>18996</v>
      </c>
      <c r="F15126" s="183" t="s">
        <v>18929</v>
      </c>
      <c r="G15126" s="496" t="s">
        <v>20221</v>
      </c>
      <c r="H15126" s="994" t="s">
        <v>3907</v>
      </c>
      <c r="I15126" s="11" t="s">
        <v>13292</v>
      </c>
      <c r="J15126" s="1285"/>
      <c r="K15126" s="1285"/>
      <c r="L15126" s="1285"/>
    </row>
    <row r="15127" spans="1:12" ht="11.15" customHeight="1">
      <c r="A15127" s="129" t="s">
        <v>23657</v>
      </c>
      <c r="B15127" s="59" t="s">
        <v>22937</v>
      </c>
      <c r="C15127" s="147" t="s">
        <v>20221</v>
      </c>
      <c r="D15127" s="284" t="s">
        <v>897</v>
      </c>
      <c r="E15127" s="183" t="s">
        <v>18998</v>
      </c>
      <c r="F15127" s="183"/>
      <c r="G15127" s="496"/>
      <c r="H15127" s="994" t="s">
        <v>20221</v>
      </c>
      <c r="I15127" s="11" t="s">
        <v>17596</v>
      </c>
      <c r="J15127" s="1285"/>
      <c r="K15127" s="1285"/>
      <c r="L15127" s="1285"/>
    </row>
    <row r="15128" spans="1:12" ht="9" customHeight="1">
      <c r="A15128" s="129" t="s">
        <v>23575</v>
      </c>
      <c r="B15128" s="59" t="s">
        <v>22247</v>
      </c>
      <c r="C15128" s="147" t="s">
        <v>20221</v>
      </c>
      <c r="D15128" s="284" t="s">
        <v>897</v>
      </c>
      <c r="E15128" s="183" t="s">
        <v>18999</v>
      </c>
      <c r="F15128" s="183" t="s">
        <v>18938</v>
      </c>
      <c r="G15128" s="496"/>
      <c r="H15128" s="994" t="s">
        <v>20221</v>
      </c>
      <c r="I15128" s="11" t="s">
        <v>14139</v>
      </c>
      <c r="J15128" s="1285"/>
      <c r="K15128" s="1285"/>
      <c r="L15128" s="1285"/>
    </row>
    <row r="15129" spans="1:12" ht="9" customHeight="1">
      <c r="A15129" s="129" t="s">
        <v>23658</v>
      </c>
      <c r="B15129" s="59" t="s">
        <v>19000</v>
      </c>
      <c r="C15129" s="147" t="s">
        <v>20221</v>
      </c>
      <c r="D15129" s="284" t="s">
        <v>897</v>
      </c>
      <c r="E15129" s="183" t="s">
        <v>19001</v>
      </c>
      <c r="F15129" s="183"/>
      <c r="G15129" s="496"/>
      <c r="H15129" s="994" t="s">
        <v>20221</v>
      </c>
      <c r="I15129" s="11" t="s">
        <v>13118</v>
      </c>
      <c r="J15129" s="1285"/>
      <c r="K15129" s="1285"/>
      <c r="L15129" s="1285"/>
    </row>
    <row r="15130" spans="1:12" ht="9" customHeight="1">
      <c r="A15130" s="129" t="s">
        <v>23644</v>
      </c>
      <c r="B15130" s="59" t="s">
        <v>22281</v>
      </c>
      <c r="C15130" s="147" t="s">
        <v>20221</v>
      </c>
      <c r="D15130" s="284" t="s">
        <v>897</v>
      </c>
      <c r="E15130" s="183" t="s">
        <v>18999</v>
      </c>
      <c r="F15130" s="183"/>
      <c r="G15130" s="496"/>
      <c r="H15130" s="994" t="s">
        <v>20221</v>
      </c>
      <c r="I15130" s="11" t="s">
        <v>14359</v>
      </c>
      <c r="J15130" s="1285"/>
      <c r="K15130" s="1285"/>
      <c r="L15130" s="1285"/>
    </row>
    <row r="15131" spans="1:12" ht="9" customHeight="1">
      <c r="A15131" s="129" t="s">
        <v>23466</v>
      </c>
      <c r="B15131" s="59" t="s">
        <v>23201</v>
      </c>
      <c r="C15131" s="147" t="s">
        <v>20221</v>
      </c>
      <c r="D15131" s="284" t="s">
        <v>897</v>
      </c>
      <c r="E15131" s="183" t="s">
        <v>18922</v>
      </c>
      <c r="F15131" s="183"/>
      <c r="G15131" s="496"/>
      <c r="H15131" s="994" t="s">
        <v>20221</v>
      </c>
      <c r="I15131" s="11" t="s">
        <v>18855</v>
      </c>
      <c r="J15131" s="1285"/>
      <c r="K15131" s="1285"/>
      <c r="L15131" s="1285"/>
    </row>
    <row r="15132" spans="1:12" ht="9" customHeight="1">
      <c r="A15132" s="129" t="s">
        <v>23558</v>
      </c>
      <c r="B15132" s="59" t="s">
        <v>22385</v>
      </c>
      <c r="C15132" s="147" t="s">
        <v>23393</v>
      </c>
      <c r="D15132" s="284" t="s">
        <v>897</v>
      </c>
      <c r="E15132" s="183" t="s">
        <v>18922</v>
      </c>
      <c r="F15132" s="183"/>
      <c r="G15132" s="496"/>
      <c r="H15132" s="994" t="s">
        <v>20221</v>
      </c>
      <c r="I15132" s="11" t="s">
        <v>14821</v>
      </c>
      <c r="J15132" s="1285"/>
      <c r="K15132" s="1285"/>
      <c r="L15132" s="1285"/>
    </row>
    <row r="15133" spans="1:12" ht="9" customHeight="1">
      <c r="A15133" s="129" t="s">
        <v>23571</v>
      </c>
      <c r="B15133" s="59" t="s">
        <v>22266</v>
      </c>
      <c r="C15133" s="147" t="s">
        <v>20221</v>
      </c>
      <c r="D15133" s="284" t="s">
        <v>897</v>
      </c>
      <c r="E15133" s="183" t="s">
        <v>18922</v>
      </c>
      <c r="F15133" s="183"/>
      <c r="G15133" s="496"/>
      <c r="H15133" s="994" t="s">
        <v>20221</v>
      </c>
      <c r="I15133" s="11" t="s">
        <v>14271</v>
      </c>
      <c r="J15133" s="1285"/>
      <c r="K15133" s="1285"/>
      <c r="L15133" s="1285"/>
    </row>
    <row r="15134" spans="1:12" ht="9" customHeight="1">
      <c r="A15134" s="129" t="s">
        <v>23555</v>
      </c>
      <c r="B15134" s="59" t="s">
        <v>22291</v>
      </c>
      <c r="C15134" s="147" t="s">
        <v>20221</v>
      </c>
      <c r="D15134" s="284" t="s">
        <v>897</v>
      </c>
      <c r="E15134" s="183" t="s">
        <v>19002</v>
      </c>
      <c r="F15134" s="183"/>
      <c r="G15134" s="496"/>
      <c r="H15134" s="994" t="s">
        <v>20221</v>
      </c>
      <c r="I15134" s="11" t="s">
        <v>14411</v>
      </c>
      <c r="J15134" s="1285"/>
      <c r="K15134" s="1285"/>
      <c r="L15134" s="1285"/>
    </row>
    <row r="15135" spans="1:12" ht="11.15" customHeight="1">
      <c r="A15135" s="129" t="s">
        <v>23559</v>
      </c>
      <c r="B15135" s="59" t="s">
        <v>22402</v>
      </c>
      <c r="C15135" s="147" t="s">
        <v>20221</v>
      </c>
      <c r="D15135" s="284" t="s">
        <v>897</v>
      </c>
      <c r="E15135" s="183" t="s">
        <v>18922</v>
      </c>
      <c r="F15135" s="183" t="s">
        <v>18931</v>
      </c>
      <c r="G15135" s="496"/>
      <c r="H15135" s="994" t="s">
        <v>20221</v>
      </c>
      <c r="I15135" s="11" t="s">
        <v>14901</v>
      </c>
      <c r="J15135" s="1285"/>
      <c r="K15135" s="1285"/>
      <c r="L15135" s="1285"/>
    </row>
    <row r="15136" spans="1:12" ht="9" customHeight="1">
      <c r="A15136" s="129" t="s">
        <v>23545</v>
      </c>
      <c r="B15136" s="59" t="s">
        <v>22217</v>
      </c>
      <c r="C15136" s="147" t="s">
        <v>20221</v>
      </c>
      <c r="D15136" s="284" t="s">
        <v>897</v>
      </c>
      <c r="E15136" s="183" t="s">
        <v>18922</v>
      </c>
      <c r="F15136" s="183" t="s">
        <v>19003</v>
      </c>
      <c r="G15136" s="496"/>
      <c r="H15136" s="994" t="s">
        <v>20221</v>
      </c>
      <c r="I15136" s="11" t="s">
        <v>13951</v>
      </c>
      <c r="J15136" s="1285"/>
      <c r="K15136" s="1285"/>
      <c r="L15136" s="1285"/>
    </row>
    <row r="15137" spans="1:12" ht="9" customHeight="1">
      <c r="A15137" s="129" t="s">
        <v>23659</v>
      </c>
      <c r="B15137" s="59" t="s">
        <v>22270</v>
      </c>
      <c r="C15137" s="147" t="s">
        <v>20221</v>
      </c>
      <c r="D15137" s="284" t="s">
        <v>897</v>
      </c>
      <c r="E15137" s="183" t="s">
        <v>18930</v>
      </c>
      <c r="F15137" s="183" t="s">
        <v>18931</v>
      </c>
      <c r="G15137" s="496" t="s">
        <v>20221</v>
      </c>
      <c r="H15137" s="994" t="s">
        <v>3907</v>
      </c>
      <c r="I15137" s="11" t="s">
        <v>14292</v>
      </c>
      <c r="J15137" s="1285"/>
      <c r="K15137" s="1285"/>
      <c r="L15137" s="1285"/>
    </row>
    <row r="15138" spans="1:12" ht="9" customHeight="1">
      <c r="A15138" s="129" t="s">
        <v>23444</v>
      </c>
      <c r="B15138" s="59" t="s">
        <v>22229</v>
      </c>
      <c r="C15138" s="147" t="s">
        <v>20221</v>
      </c>
      <c r="D15138" s="284" t="s">
        <v>897</v>
      </c>
      <c r="E15138" s="183" t="s">
        <v>19004</v>
      </c>
      <c r="F15138" s="183" t="s">
        <v>18938</v>
      </c>
      <c r="G15138" s="496"/>
      <c r="H15138" s="994" t="s">
        <v>20221</v>
      </c>
      <c r="I15138" s="11" t="s">
        <v>14052</v>
      </c>
      <c r="J15138" s="1285"/>
      <c r="K15138" s="1285"/>
      <c r="L15138" s="1285"/>
    </row>
    <row r="15139" spans="1:12" ht="9" customHeight="1">
      <c r="A15139" s="129" t="s">
        <v>23607</v>
      </c>
      <c r="B15139" s="59" t="s">
        <v>22958</v>
      </c>
      <c r="C15139" s="147" t="s">
        <v>20221</v>
      </c>
      <c r="D15139" s="284" t="s">
        <v>897</v>
      </c>
      <c r="E15139" s="183" t="s">
        <v>19005</v>
      </c>
      <c r="F15139" s="183"/>
      <c r="G15139" s="496"/>
      <c r="H15139" s="994" t="s">
        <v>3907</v>
      </c>
      <c r="I15139" s="11" t="s">
        <v>17704</v>
      </c>
      <c r="J15139" s="1285"/>
      <c r="K15139" s="1285"/>
      <c r="L15139" s="1285"/>
    </row>
    <row r="15140" spans="1:12" ht="9" customHeight="1">
      <c r="A15140" s="129" t="s">
        <v>23560</v>
      </c>
      <c r="B15140" s="59" t="s">
        <v>22276</v>
      </c>
      <c r="C15140" s="147" t="s">
        <v>20221</v>
      </c>
      <c r="D15140" s="284" t="s">
        <v>897</v>
      </c>
      <c r="E15140" s="183" t="s">
        <v>19006</v>
      </c>
      <c r="F15140" s="183" t="s">
        <v>19007</v>
      </c>
      <c r="G15140" s="496"/>
      <c r="H15140" s="994" t="s">
        <v>20221</v>
      </c>
      <c r="I15140" s="11" t="s">
        <v>14330</v>
      </c>
      <c r="J15140" s="1285"/>
      <c r="K15140" s="1285"/>
      <c r="L15140" s="1285"/>
    </row>
    <row r="15141" spans="1:12" ht="9" customHeight="1">
      <c r="A15141" s="129" t="s">
        <v>23660</v>
      </c>
      <c r="B15141" s="59" t="s">
        <v>21937</v>
      </c>
      <c r="C15141" s="147" t="s">
        <v>20221</v>
      </c>
      <c r="D15141" s="284" t="s">
        <v>897</v>
      </c>
      <c r="E15141" s="183" t="s">
        <v>19008</v>
      </c>
      <c r="F15141" s="183"/>
      <c r="G15141" s="496"/>
      <c r="H15141" s="994" t="s">
        <v>20221</v>
      </c>
      <c r="I15141" s="11" t="s">
        <v>12101</v>
      </c>
      <c r="J15141" s="1285"/>
      <c r="K15141" s="1285"/>
      <c r="L15141" s="1285"/>
    </row>
    <row r="15142" spans="1:12" ht="9" customHeight="1">
      <c r="A15142" s="129" t="s">
        <v>23575</v>
      </c>
      <c r="B15142" s="59" t="s">
        <v>22258</v>
      </c>
      <c r="C15142" s="147" t="s">
        <v>20221</v>
      </c>
      <c r="D15142" s="284" t="s">
        <v>897</v>
      </c>
      <c r="E15142" s="183" t="s">
        <v>19009</v>
      </c>
      <c r="F15142" s="183" t="s">
        <v>19010</v>
      </c>
      <c r="G15142" s="496"/>
      <c r="H15142" s="994" t="s">
        <v>20221</v>
      </c>
      <c r="I15142" s="11" t="s">
        <v>14194</v>
      </c>
      <c r="J15142" s="1285"/>
      <c r="K15142" s="1285"/>
      <c r="L15142" s="1285"/>
    </row>
    <row r="15143" spans="1:12" ht="9" customHeight="1">
      <c r="A15143" s="129" t="s">
        <v>23444</v>
      </c>
      <c r="B15143" s="59" t="s">
        <v>21389</v>
      </c>
      <c r="C15143" s="147" t="s">
        <v>20221</v>
      </c>
      <c r="D15143" s="284" t="s">
        <v>897</v>
      </c>
      <c r="E15143" s="183" t="s">
        <v>18938</v>
      </c>
      <c r="F15143" s="183"/>
      <c r="G15143" s="496"/>
      <c r="H15143" s="994" t="s">
        <v>20221</v>
      </c>
      <c r="I15143" s="11" t="s">
        <v>14022</v>
      </c>
      <c r="J15143" s="1285"/>
      <c r="K15143" s="1285"/>
      <c r="L15143" s="1285"/>
    </row>
    <row r="15144" spans="1:12" ht="9" customHeight="1">
      <c r="A15144" s="129" t="s">
        <v>23536</v>
      </c>
      <c r="B15144" s="59" t="s">
        <v>22781</v>
      </c>
      <c r="C15144" s="147" t="s">
        <v>20221</v>
      </c>
      <c r="D15144" s="284" t="s">
        <v>897</v>
      </c>
      <c r="E15144" s="183" t="s">
        <v>19011</v>
      </c>
      <c r="F15144" s="183"/>
      <c r="G15144" s="496"/>
      <c r="H15144" s="994" t="s">
        <v>20221</v>
      </c>
      <c r="I15144" s="11" t="s">
        <v>16413</v>
      </c>
      <c r="J15144" s="1285"/>
      <c r="K15144" s="1285"/>
      <c r="L15144" s="1285"/>
    </row>
    <row r="15145" spans="1:12" ht="9" customHeight="1">
      <c r="A15145" s="129" t="s">
        <v>23536</v>
      </c>
      <c r="B15145" s="59" t="s">
        <v>22786</v>
      </c>
      <c r="C15145" s="147" t="s">
        <v>20221</v>
      </c>
      <c r="D15145" s="284" t="s">
        <v>897</v>
      </c>
      <c r="E15145" s="183" t="s">
        <v>18938</v>
      </c>
      <c r="F15145" s="183"/>
      <c r="G15145" s="496"/>
      <c r="H15145" s="994" t="s">
        <v>20221</v>
      </c>
      <c r="I15145" s="11" t="s">
        <v>16443</v>
      </c>
      <c r="J15145" s="1285"/>
      <c r="K15145" s="1285"/>
      <c r="L15145" s="1285"/>
    </row>
    <row r="15146" spans="1:12" ht="9" customHeight="1">
      <c r="A15146" s="137"/>
      <c r="B15146" s="90"/>
      <c r="C15146" s="147"/>
      <c r="D15146" s="159"/>
      <c r="E15146" s="34"/>
      <c r="F15146" s="178"/>
      <c r="G15146" s="496"/>
      <c r="H15146" s="36"/>
      <c r="I15146" s="11"/>
    </row>
    <row r="15147" spans="1:12" ht="24" customHeight="1">
      <c r="A15147" s="926" t="s">
        <v>18978</v>
      </c>
      <c r="B15147" s="934" t="s">
        <v>18942</v>
      </c>
      <c r="C15147" s="1357"/>
      <c r="D15147" s="907"/>
      <c r="E15147" s="183"/>
      <c r="F15147" s="909"/>
      <c r="G15147" s="1266"/>
      <c r="H15147" s="909"/>
      <c r="I15147" s="11"/>
    </row>
    <row r="15148" spans="1:12" ht="9" customHeight="1">
      <c r="A15148" s="129" t="s">
        <v>23539</v>
      </c>
      <c r="B15148" s="59" t="s">
        <v>21971</v>
      </c>
      <c r="C15148" s="820" t="s">
        <v>19012</v>
      </c>
      <c r="D15148" s="284" t="s">
        <v>897</v>
      </c>
      <c r="E15148" s="178">
        <v>2014</v>
      </c>
      <c r="F15148" s="178" t="s">
        <v>4520</v>
      </c>
      <c r="G15148" s="496"/>
      <c r="H15148" s="994" t="s">
        <v>20277</v>
      </c>
      <c r="I15148" s="11" t="s">
        <v>12292</v>
      </c>
      <c r="J15148" s="1285"/>
      <c r="K15148" s="1285"/>
      <c r="L15148" s="1285"/>
    </row>
    <row r="15149" spans="1:12" ht="9" customHeight="1">
      <c r="A15149" s="129" t="s">
        <v>23539</v>
      </c>
      <c r="B15149" s="59" t="s">
        <v>21973</v>
      </c>
      <c r="C15149" s="820" t="s">
        <v>19012</v>
      </c>
      <c r="D15149" s="284" t="s">
        <v>897</v>
      </c>
      <c r="E15149" s="178">
        <v>2013</v>
      </c>
      <c r="F15149" s="178" t="s">
        <v>4520</v>
      </c>
      <c r="G15149" s="496"/>
      <c r="H15149" s="994" t="s">
        <v>20221</v>
      </c>
      <c r="I15149" s="11" t="s">
        <v>12296</v>
      </c>
      <c r="J15149" s="1285"/>
      <c r="K15149" s="1285"/>
      <c r="L15149" s="1285"/>
    </row>
    <row r="15150" spans="1:12" ht="9" customHeight="1">
      <c r="A15150" s="129" t="s">
        <v>23539</v>
      </c>
      <c r="B15150" s="59" t="s">
        <v>21974</v>
      </c>
      <c r="C15150" s="820" t="s">
        <v>19012</v>
      </c>
      <c r="D15150" s="284" t="s">
        <v>897</v>
      </c>
      <c r="E15150" s="178">
        <v>2020</v>
      </c>
      <c r="F15150" s="178" t="s">
        <v>4520</v>
      </c>
      <c r="G15150" s="496"/>
      <c r="H15150" s="994" t="s">
        <v>20221</v>
      </c>
      <c r="I15150" s="11" t="s">
        <v>12298</v>
      </c>
      <c r="J15150" s="1285"/>
      <c r="K15150" s="1285"/>
      <c r="L15150" s="1285"/>
    </row>
    <row r="15151" spans="1:12" ht="9" customHeight="1">
      <c r="A15151" s="129" t="s">
        <v>23539</v>
      </c>
      <c r="B15151" s="59" t="s">
        <v>21975</v>
      </c>
      <c r="C15151" s="820" t="s">
        <v>19012</v>
      </c>
      <c r="D15151" s="284" t="s">
        <v>897</v>
      </c>
      <c r="E15151" s="178">
        <v>2011</v>
      </c>
      <c r="F15151" s="178" t="s">
        <v>4520</v>
      </c>
      <c r="G15151" s="496"/>
      <c r="H15151" s="994" t="s">
        <v>20221</v>
      </c>
      <c r="I15151" s="11" t="s">
        <v>12302</v>
      </c>
      <c r="J15151" s="1285"/>
      <c r="K15151" s="1285"/>
      <c r="L15151" s="1285"/>
    </row>
    <row r="15152" spans="1:12" ht="9" customHeight="1">
      <c r="A15152" s="129" t="s">
        <v>23661</v>
      </c>
      <c r="B15152" s="59" t="s">
        <v>21676</v>
      </c>
      <c r="C15152" s="820" t="s">
        <v>19013</v>
      </c>
      <c r="D15152" s="284" t="s">
        <v>897</v>
      </c>
      <c r="E15152" s="178" t="s">
        <v>21665</v>
      </c>
      <c r="F15152" s="178" t="s">
        <v>4520</v>
      </c>
      <c r="G15152" s="496"/>
      <c r="H15152" s="994" t="s">
        <v>20221</v>
      </c>
      <c r="I15152" s="11" t="s">
        <v>10359</v>
      </c>
      <c r="J15152" s="1285"/>
      <c r="K15152" s="1285"/>
      <c r="L15152" s="1285"/>
    </row>
    <row r="15153" spans="1:12" ht="9" customHeight="1">
      <c r="A15153" s="129" t="s">
        <v>23575</v>
      </c>
      <c r="B15153" s="59" t="s">
        <v>22243</v>
      </c>
      <c r="C15153" s="820" t="s">
        <v>18951</v>
      </c>
      <c r="D15153" s="284" t="s">
        <v>897</v>
      </c>
      <c r="E15153" s="178" t="s">
        <v>18951</v>
      </c>
      <c r="F15153" s="178" t="s">
        <v>4520</v>
      </c>
      <c r="G15153" s="496"/>
      <c r="H15153" s="994" t="s">
        <v>20221</v>
      </c>
      <c r="I15153" s="11" t="s">
        <v>14128</v>
      </c>
      <c r="J15153" s="1285"/>
      <c r="K15153" s="1285"/>
      <c r="L15153" s="1285"/>
    </row>
    <row r="15154" spans="1:12" ht="9" customHeight="1">
      <c r="A15154" s="129" t="s">
        <v>23662</v>
      </c>
      <c r="B15154" s="59" t="s">
        <v>21901</v>
      </c>
      <c r="C15154" s="820" t="s">
        <v>19014</v>
      </c>
      <c r="D15154" s="284" t="s">
        <v>897</v>
      </c>
      <c r="E15154" s="178">
        <v>2019</v>
      </c>
      <c r="F15154" s="178" t="s">
        <v>4520</v>
      </c>
      <c r="G15154" s="496"/>
      <c r="H15154" s="994" t="s">
        <v>20224</v>
      </c>
      <c r="I15154" s="11" t="s">
        <v>11859</v>
      </c>
      <c r="J15154" s="1285"/>
      <c r="K15154" s="1285"/>
      <c r="L15154" s="1285"/>
    </row>
    <row r="15155" spans="1:12" ht="9" customHeight="1">
      <c r="A15155" s="129" t="s">
        <v>23482</v>
      </c>
      <c r="B15155" s="59" t="s">
        <v>22136</v>
      </c>
      <c r="C15155" s="820" t="s">
        <v>19015</v>
      </c>
      <c r="D15155" s="284" t="s">
        <v>897</v>
      </c>
      <c r="E15155" s="178">
        <v>2012</v>
      </c>
      <c r="F15155" s="178" t="s">
        <v>23409</v>
      </c>
      <c r="G15155" s="496"/>
      <c r="H15155" s="994" t="s">
        <v>20221</v>
      </c>
      <c r="I15155" s="11" t="s">
        <v>13534</v>
      </c>
      <c r="J15155" s="1285"/>
      <c r="K15155" s="1285"/>
      <c r="L15155" s="1285"/>
    </row>
    <row r="15156" spans="1:12" ht="9" customHeight="1">
      <c r="A15156" s="129" t="s">
        <v>23559</v>
      </c>
      <c r="B15156" s="59" t="s">
        <v>22402</v>
      </c>
      <c r="C15156" s="820" t="s">
        <v>19015</v>
      </c>
      <c r="D15156" s="284" t="s">
        <v>897</v>
      </c>
      <c r="E15156" s="178">
        <v>2017</v>
      </c>
      <c r="F15156" s="178" t="s">
        <v>4520</v>
      </c>
      <c r="G15156" s="496"/>
      <c r="H15156" s="994" t="s">
        <v>20221</v>
      </c>
      <c r="I15156" s="11" t="s">
        <v>14901</v>
      </c>
      <c r="J15156" s="1285"/>
      <c r="K15156" s="1285"/>
      <c r="L15156" s="1285"/>
    </row>
    <row r="15157" spans="1:12" ht="9" customHeight="1">
      <c r="A15157" s="129" t="s">
        <v>23569</v>
      </c>
      <c r="B15157" s="59" t="s">
        <v>21986</v>
      </c>
      <c r="C15157" s="820" t="s">
        <v>19015</v>
      </c>
      <c r="D15157" s="284" t="s">
        <v>897</v>
      </c>
      <c r="E15157" s="178">
        <v>2020</v>
      </c>
      <c r="F15157" s="178" t="s">
        <v>4520</v>
      </c>
      <c r="G15157" s="496"/>
      <c r="H15157" s="994" t="s">
        <v>20221</v>
      </c>
      <c r="I15157" s="11" t="s">
        <v>12362</v>
      </c>
      <c r="J15157" s="1285"/>
      <c r="K15157" s="1285"/>
      <c r="L15157" s="1285"/>
    </row>
    <row r="15158" spans="1:12" ht="9" customHeight="1">
      <c r="A15158" s="129" t="s">
        <v>23441</v>
      </c>
      <c r="B15158" s="59" t="s">
        <v>22000</v>
      </c>
      <c r="C15158" s="820" t="s">
        <v>19015</v>
      </c>
      <c r="D15158" s="284" t="s">
        <v>897</v>
      </c>
      <c r="E15158" s="178">
        <v>2007</v>
      </c>
      <c r="F15158" s="178" t="s">
        <v>11938</v>
      </c>
      <c r="G15158" s="496"/>
      <c r="H15158" s="994" t="s">
        <v>20224</v>
      </c>
      <c r="I15158" s="11" t="s">
        <v>12415</v>
      </c>
      <c r="J15158" s="1285"/>
      <c r="K15158" s="1285"/>
      <c r="L15158" s="1285"/>
    </row>
    <row r="15159" spans="1:12" ht="9" customHeight="1">
      <c r="A15159" s="129" t="s">
        <v>23441</v>
      </c>
      <c r="B15159" s="59" t="s">
        <v>23304</v>
      </c>
      <c r="C15159" s="820" t="s">
        <v>19015</v>
      </c>
      <c r="D15159" s="284" t="s">
        <v>897</v>
      </c>
      <c r="E15159" s="178" t="s">
        <v>22001</v>
      </c>
      <c r="F15159" s="178" t="s">
        <v>23394</v>
      </c>
      <c r="G15159" s="496"/>
      <c r="H15159" s="994" t="s">
        <v>20221</v>
      </c>
      <c r="I15159" s="11" t="s">
        <v>12417</v>
      </c>
      <c r="J15159" s="1285"/>
      <c r="K15159" s="1285"/>
      <c r="L15159" s="1285"/>
    </row>
    <row r="15160" spans="1:12" ht="9" customHeight="1">
      <c r="A15160" s="129" t="s">
        <v>23441</v>
      </c>
      <c r="B15160" s="59" t="s">
        <v>22002</v>
      </c>
      <c r="C15160" s="820" t="s">
        <v>19015</v>
      </c>
      <c r="D15160" s="284" t="s">
        <v>10182</v>
      </c>
      <c r="E15160" s="178">
        <v>2004</v>
      </c>
      <c r="F15160" s="178" t="s">
        <v>23400</v>
      </c>
      <c r="G15160" s="496"/>
      <c r="H15160" s="994" t="s">
        <v>20224</v>
      </c>
      <c r="I15160" s="11" t="s">
        <v>12419</v>
      </c>
      <c r="J15160" s="1285"/>
      <c r="K15160" s="1285"/>
      <c r="L15160" s="1285"/>
    </row>
    <row r="15161" spans="1:12" ht="9" customHeight="1">
      <c r="A15161" s="129" t="s">
        <v>23663</v>
      </c>
      <c r="B15161" s="59" t="s">
        <v>22132</v>
      </c>
      <c r="C15161" s="820" t="s">
        <v>19015</v>
      </c>
      <c r="D15161" s="284" t="s">
        <v>897</v>
      </c>
      <c r="E15161" s="178">
        <v>2019</v>
      </c>
      <c r="F15161" s="178" t="s">
        <v>23395</v>
      </c>
      <c r="G15161" s="496"/>
      <c r="H15161" s="994" t="s">
        <v>20224</v>
      </c>
      <c r="I15161" s="11" t="s">
        <v>13507</v>
      </c>
      <c r="J15161" s="1285"/>
      <c r="K15161" s="1285"/>
      <c r="L15161" s="1285"/>
    </row>
    <row r="15162" spans="1:12" ht="9" customHeight="1">
      <c r="A15162" s="129" t="s">
        <v>23442</v>
      </c>
      <c r="B15162" s="59" t="s">
        <v>22172</v>
      </c>
      <c r="C15162" s="820" t="s">
        <v>19015</v>
      </c>
      <c r="D15162" s="284" t="s">
        <v>897</v>
      </c>
      <c r="E15162" s="178">
        <v>2011</v>
      </c>
      <c r="F15162" s="178" t="s">
        <v>4520</v>
      </c>
      <c r="G15162" s="496"/>
      <c r="H15162" s="994" t="s">
        <v>20221</v>
      </c>
      <c r="I15162" s="11" t="s">
        <v>13728</v>
      </c>
      <c r="J15162" s="1285"/>
      <c r="K15162" s="1285"/>
      <c r="L15162" s="1285"/>
    </row>
    <row r="15163" spans="1:12" ht="9" customHeight="1">
      <c r="A15163" s="129" t="s">
        <v>23442</v>
      </c>
      <c r="B15163" s="59" t="s">
        <v>22173</v>
      </c>
      <c r="C15163" s="820" t="s">
        <v>19015</v>
      </c>
      <c r="D15163" s="284" t="s">
        <v>897</v>
      </c>
      <c r="E15163" s="178">
        <v>2010</v>
      </c>
      <c r="F15163" s="178" t="s">
        <v>4520</v>
      </c>
      <c r="G15163" s="496"/>
      <c r="H15163" s="994" t="s">
        <v>20221</v>
      </c>
      <c r="I15163" s="11" t="s">
        <v>13740</v>
      </c>
      <c r="J15163" s="1285"/>
      <c r="K15163" s="1285"/>
      <c r="L15163" s="1285"/>
    </row>
    <row r="15164" spans="1:12" ht="9" customHeight="1">
      <c r="A15164" s="129" t="s">
        <v>23442</v>
      </c>
      <c r="B15164" s="59" t="s">
        <v>22174</v>
      </c>
      <c r="C15164" s="820" t="s">
        <v>19015</v>
      </c>
      <c r="D15164" s="284" t="s">
        <v>897</v>
      </c>
      <c r="E15164" s="178">
        <v>2009</v>
      </c>
      <c r="F15164" s="178" t="s">
        <v>4520</v>
      </c>
      <c r="G15164" s="496"/>
      <c r="H15164" s="994" t="s">
        <v>20221</v>
      </c>
      <c r="I15164" s="11" t="s">
        <v>13754</v>
      </c>
      <c r="J15164" s="1285"/>
      <c r="K15164" s="1285"/>
      <c r="L15164" s="1285"/>
    </row>
    <row r="15165" spans="1:12" ht="9" customHeight="1">
      <c r="A15165" s="129" t="s">
        <v>23664</v>
      </c>
      <c r="B15165" s="59" t="s">
        <v>22104</v>
      </c>
      <c r="C15165" s="820" t="s">
        <v>19015</v>
      </c>
      <c r="D15165" s="284" t="s">
        <v>897</v>
      </c>
      <c r="E15165" s="178">
        <v>2018</v>
      </c>
      <c r="F15165" s="178" t="s">
        <v>4520</v>
      </c>
      <c r="G15165" s="496"/>
      <c r="H15165" s="994" t="s">
        <v>20221</v>
      </c>
      <c r="I15165" s="11" t="s">
        <v>13210</v>
      </c>
      <c r="J15165" s="1285"/>
      <c r="K15165" s="1285"/>
      <c r="L15165" s="1285"/>
    </row>
    <row r="15166" spans="1:12" ht="9" customHeight="1">
      <c r="A15166" s="129" t="s">
        <v>23665</v>
      </c>
      <c r="B15166" s="59" t="s">
        <v>22104</v>
      </c>
      <c r="C15166" s="820" t="s">
        <v>19015</v>
      </c>
      <c r="D15166" s="284" t="s">
        <v>897</v>
      </c>
      <c r="E15166" s="178">
        <v>2019</v>
      </c>
      <c r="F15166" s="178" t="s">
        <v>4520</v>
      </c>
      <c r="G15166" s="496"/>
      <c r="H15166" s="994" t="s">
        <v>20277</v>
      </c>
      <c r="I15166" s="11" t="s">
        <v>13325</v>
      </c>
      <c r="J15166" s="1285"/>
      <c r="K15166" s="1285"/>
      <c r="L15166" s="1285"/>
    </row>
    <row r="15167" spans="1:12" ht="9" customHeight="1">
      <c r="A15167" s="129" t="s">
        <v>23536</v>
      </c>
      <c r="B15167" s="59" t="s">
        <v>22786</v>
      </c>
      <c r="C15167" s="820" t="s">
        <v>19015</v>
      </c>
      <c r="D15167" s="284" t="s">
        <v>897</v>
      </c>
      <c r="E15167" s="178">
        <v>2018</v>
      </c>
      <c r="F15167" s="178" t="s">
        <v>4520</v>
      </c>
      <c r="G15167" s="496"/>
      <c r="H15167" s="994" t="s">
        <v>20221</v>
      </c>
      <c r="I15167" s="11" t="s">
        <v>16443</v>
      </c>
      <c r="J15167" s="1285"/>
      <c r="K15167" s="1285"/>
      <c r="L15167" s="1285"/>
    </row>
    <row r="15168" spans="1:12" ht="9" customHeight="1">
      <c r="A15168" s="129" t="s">
        <v>23666</v>
      </c>
      <c r="B15168" s="59" t="s">
        <v>376</v>
      </c>
      <c r="C15168" s="820" t="s">
        <v>19016</v>
      </c>
      <c r="D15168" s="284" t="s">
        <v>897</v>
      </c>
      <c r="E15168" s="178">
        <v>2014</v>
      </c>
      <c r="F15168" s="178" t="s">
        <v>4520</v>
      </c>
      <c r="G15168" s="496"/>
      <c r="H15168" s="994" t="s">
        <v>20277</v>
      </c>
      <c r="I15168" s="11" t="s">
        <v>11979</v>
      </c>
      <c r="J15168" s="1285"/>
      <c r="K15168" s="1285"/>
      <c r="L15168" s="1285"/>
    </row>
    <row r="15169" spans="1:12" ht="9" customHeight="1">
      <c r="A15169" s="129" t="s">
        <v>23537</v>
      </c>
      <c r="B15169" s="59" t="s">
        <v>22192</v>
      </c>
      <c r="C15169" s="820" t="s">
        <v>19016</v>
      </c>
      <c r="D15169" s="284" t="s">
        <v>897</v>
      </c>
      <c r="E15169" s="178">
        <v>2005</v>
      </c>
      <c r="F15169" s="178" t="s">
        <v>4520</v>
      </c>
      <c r="G15169" s="496"/>
      <c r="H15169" s="994" t="s">
        <v>20221</v>
      </c>
      <c r="I15169" s="11" t="s">
        <v>13821</v>
      </c>
      <c r="J15169" s="1285"/>
      <c r="K15169" s="1285"/>
      <c r="L15169" s="1285"/>
    </row>
    <row r="15170" spans="1:12" ht="9" customHeight="1">
      <c r="A15170" s="129" t="s">
        <v>23566</v>
      </c>
      <c r="B15170" s="59" t="s">
        <v>21778</v>
      </c>
      <c r="C15170" s="820" t="s">
        <v>19015</v>
      </c>
      <c r="D15170" s="284" t="s">
        <v>897</v>
      </c>
      <c r="E15170" s="178">
        <v>2018</v>
      </c>
      <c r="F15170" s="178" t="s">
        <v>4520</v>
      </c>
      <c r="G15170" s="496"/>
      <c r="H15170" s="994" t="s">
        <v>20221</v>
      </c>
      <c r="I15170" s="11" t="s">
        <v>10994</v>
      </c>
      <c r="J15170" s="1285"/>
      <c r="K15170" s="1285"/>
      <c r="L15170" s="1285"/>
    </row>
    <row r="15171" spans="1:12" ht="9" customHeight="1">
      <c r="A15171" s="129" t="s">
        <v>23566</v>
      </c>
      <c r="B15171" s="59" t="s">
        <v>21779</v>
      </c>
      <c r="C15171" s="820" t="s">
        <v>19015</v>
      </c>
      <c r="D15171" s="284" t="s">
        <v>897</v>
      </c>
      <c r="E15171" s="178">
        <v>2015</v>
      </c>
      <c r="F15171" s="178" t="s">
        <v>4520</v>
      </c>
      <c r="G15171" s="496"/>
      <c r="H15171" s="994" t="s">
        <v>20221</v>
      </c>
      <c r="I15171" s="11" t="s">
        <v>11002</v>
      </c>
      <c r="J15171" s="1285"/>
      <c r="K15171" s="1285"/>
      <c r="L15171" s="1285"/>
    </row>
    <row r="15172" spans="1:12" ht="9" customHeight="1">
      <c r="A15172" s="129" t="s">
        <v>23566</v>
      </c>
      <c r="B15172" s="59" t="s">
        <v>21726</v>
      </c>
      <c r="C15172" s="820" t="s">
        <v>19015</v>
      </c>
      <c r="D15172" s="284" t="s">
        <v>897</v>
      </c>
      <c r="E15172" s="178">
        <v>2015</v>
      </c>
      <c r="F15172" s="178" t="s">
        <v>4520</v>
      </c>
      <c r="G15172" s="496"/>
      <c r="H15172" s="994" t="s">
        <v>20221</v>
      </c>
      <c r="I15172" s="11" t="s">
        <v>11009</v>
      </c>
      <c r="J15172" s="1285"/>
      <c r="K15172" s="1285"/>
      <c r="L15172" s="1285"/>
    </row>
    <row r="15173" spans="1:12" ht="9" customHeight="1">
      <c r="A15173" s="129" t="s">
        <v>23667</v>
      </c>
      <c r="B15173" s="59" t="s">
        <v>22125</v>
      </c>
      <c r="C15173" s="820" t="s">
        <v>19017</v>
      </c>
      <c r="D15173" s="284" t="s">
        <v>897</v>
      </c>
      <c r="E15173" s="178">
        <v>2019</v>
      </c>
      <c r="F15173" s="178" t="s">
        <v>4520</v>
      </c>
      <c r="G15173" s="496"/>
      <c r="H15173" s="994" t="s">
        <v>20221</v>
      </c>
      <c r="I15173" s="11" t="s">
        <v>13418</v>
      </c>
      <c r="J15173" s="1285"/>
      <c r="K15173" s="1285"/>
      <c r="L15173" s="1285"/>
    </row>
    <row r="15174" spans="1:12" ht="9" customHeight="1">
      <c r="A15174" s="129" t="s">
        <v>23668</v>
      </c>
      <c r="B15174" s="59" t="s">
        <v>21783</v>
      </c>
      <c r="C15174" s="820" t="s">
        <v>19017</v>
      </c>
      <c r="D15174" s="284" t="s">
        <v>897</v>
      </c>
      <c r="E15174" s="178">
        <v>2017</v>
      </c>
      <c r="F15174" s="178" t="s">
        <v>4520</v>
      </c>
      <c r="G15174" s="496"/>
      <c r="H15174" s="994" t="s">
        <v>20221</v>
      </c>
      <c r="I15174" s="11" t="s">
        <v>11110</v>
      </c>
      <c r="J15174" s="1285"/>
      <c r="K15174" s="1285"/>
      <c r="L15174" s="1285"/>
    </row>
    <row r="15175" spans="1:12" ht="9" customHeight="1">
      <c r="A15175" s="129" t="s">
        <v>23669</v>
      </c>
      <c r="B15175" s="59" t="s">
        <v>21561</v>
      </c>
      <c r="C15175" s="820" t="s">
        <v>19018</v>
      </c>
      <c r="D15175" s="284" t="s">
        <v>897</v>
      </c>
      <c r="E15175" s="178" t="s">
        <v>20221</v>
      </c>
      <c r="F15175" s="178" t="s">
        <v>23395</v>
      </c>
      <c r="G15175" s="496"/>
      <c r="H15175" s="994" t="s">
        <v>20224</v>
      </c>
      <c r="I15175" s="11" t="s">
        <v>9720</v>
      </c>
      <c r="J15175" s="1285"/>
      <c r="K15175" s="1285"/>
      <c r="L15175" s="1285"/>
    </row>
    <row r="15176" spans="1:12" ht="9" customHeight="1">
      <c r="A15176" s="129" t="s">
        <v>23604</v>
      </c>
      <c r="B15176" s="59" t="s">
        <v>22151</v>
      </c>
      <c r="C15176" s="820" t="s">
        <v>19019</v>
      </c>
      <c r="D15176" s="284" t="s">
        <v>897</v>
      </c>
      <c r="E15176" s="178">
        <v>2019</v>
      </c>
      <c r="F15176" s="178" t="s">
        <v>4520</v>
      </c>
      <c r="G15176" s="496"/>
      <c r="H15176" s="994" t="s">
        <v>20221</v>
      </c>
      <c r="I15176" s="11" t="s">
        <v>13625</v>
      </c>
      <c r="J15176" s="1285"/>
      <c r="K15176" s="1285"/>
      <c r="L15176" s="1285"/>
    </row>
    <row r="15177" spans="1:12" ht="9" customHeight="1">
      <c r="A15177" s="129" t="s">
        <v>23543</v>
      </c>
      <c r="B15177" s="59" t="s">
        <v>22349</v>
      </c>
      <c r="C15177" s="820" t="s">
        <v>19019</v>
      </c>
      <c r="D15177" s="284" t="s">
        <v>897</v>
      </c>
      <c r="E15177" s="178">
        <v>2019</v>
      </c>
      <c r="F15177" s="178" t="s">
        <v>23394</v>
      </c>
      <c r="G15177" s="496"/>
      <c r="H15177" s="994" t="s">
        <v>20221</v>
      </c>
      <c r="I15177" s="11" t="s">
        <v>14664</v>
      </c>
      <c r="J15177" s="1285"/>
      <c r="K15177" s="1285"/>
      <c r="L15177" s="1285"/>
    </row>
    <row r="15178" spans="1:12" ht="9" customHeight="1">
      <c r="A15178" s="129" t="s">
        <v>23670</v>
      </c>
      <c r="B15178" s="59" t="s">
        <v>21768</v>
      </c>
      <c r="C15178" s="820" t="s">
        <v>19020</v>
      </c>
      <c r="D15178" s="284" t="s">
        <v>897</v>
      </c>
      <c r="E15178" s="178" t="s">
        <v>20221</v>
      </c>
      <c r="F15178" s="178" t="s">
        <v>4520</v>
      </c>
      <c r="G15178" s="496"/>
      <c r="H15178" s="994" t="s">
        <v>20224</v>
      </c>
      <c r="I15178" s="11" t="s">
        <v>10895</v>
      </c>
      <c r="J15178" s="1285"/>
      <c r="K15178" s="1285"/>
      <c r="L15178" s="1285"/>
    </row>
    <row r="15179" spans="1:12" ht="9" customHeight="1">
      <c r="A15179" s="129" t="s">
        <v>23670</v>
      </c>
      <c r="B15179" s="59" t="s">
        <v>21769</v>
      </c>
      <c r="C15179" s="820" t="s">
        <v>19020</v>
      </c>
      <c r="D15179" s="284" t="s">
        <v>897</v>
      </c>
      <c r="E15179" s="178" t="s">
        <v>20221</v>
      </c>
      <c r="F15179" s="178" t="s">
        <v>4520</v>
      </c>
      <c r="G15179" s="496"/>
      <c r="H15179" s="994" t="s">
        <v>20221</v>
      </c>
      <c r="I15179" s="11" t="s">
        <v>10897</v>
      </c>
      <c r="J15179" s="1285"/>
      <c r="K15179" s="1285"/>
      <c r="L15179" s="1285"/>
    </row>
    <row r="15180" spans="1:12" ht="9" customHeight="1">
      <c r="A15180" s="129" t="s">
        <v>23670</v>
      </c>
      <c r="B15180" s="59" t="s">
        <v>21768</v>
      </c>
      <c r="C15180" s="820" t="s">
        <v>19020</v>
      </c>
      <c r="D15180" s="284" t="s">
        <v>897</v>
      </c>
      <c r="E15180" s="178" t="s">
        <v>20221</v>
      </c>
      <c r="F15180" s="178" t="s">
        <v>4520</v>
      </c>
      <c r="G15180" s="496"/>
      <c r="H15180" s="994" t="s">
        <v>20224</v>
      </c>
      <c r="I15180" s="11" t="s">
        <v>10895</v>
      </c>
      <c r="J15180" s="1285"/>
      <c r="K15180" s="1285"/>
      <c r="L15180" s="1285"/>
    </row>
    <row r="15181" spans="1:12" ht="9" customHeight="1">
      <c r="A15181" s="129" t="s">
        <v>23671</v>
      </c>
      <c r="B15181" s="59" t="s">
        <v>20511</v>
      </c>
      <c r="C15181" s="820" t="s">
        <v>19021</v>
      </c>
      <c r="D15181" s="284" t="s">
        <v>897</v>
      </c>
      <c r="E15181" s="178">
        <v>2009</v>
      </c>
      <c r="F15181" s="178" t="s">
        <v>23395</v>
      </c>
      <c r="G15181" s="496"/>
      <c r="H15181" s="994" t="s">
        <v>20224</v>
      </c>
      <c r="I15181" s="11" t="s">
        <v>2856</v>
      </c>
      <c r="J15181" s="1285"/>
      <c r="K15181" s="1285"/>
      <c r="L15181" s="1285"/>
    </row>
    <row r="15182" spans="1:12" ht="9" customHeight="1">
      <c r="A15182" s="129" t="s">
        <v>23440</v>
      </c>
      <c r="B15182" s="59" t="s">
        <v>21835</v>
      </c>
      <c r="C15182" s="820" t="s">
        <v>18945</v>
      </c>
      <c r="D15182" s="284" t="s">
        <v>897</v>
      </c>
      <c r="E15182" s="178">
        <v>2017</v>
      </c>
      <c r="F15182" s="178" t="s">
        <v>4520</v>
      </c>
      <c r="G15182" s="496"/>
      <c r="H15182" s="994" t="s">
        <v>20221</v>
      </c>
      <c r="I15182" s="11" t="s">
        <v>11479</v>
      </c>
      <c r="J15182" s="1285"/>
      <c r="K15182" s="1285"/>
      <c r="L15182" s="1285"/>
    </row>
    <row r="15183" spans="1:12" ht="9" customHeight="1">
      <c r="A15183" s="129" t="s">
        <v>23440</v>
      </c>
      <c r="B15183" s="59" t="s">
        <v>21858</v>
      </c>
      <c r="C15183" s="820" t="s">
        <v>19022</v>
      </c>
      <c r="D15183" s="284" t="s">
        <v>897</v>
      </c>
      <c r="E15183" s="178">
        <v>2018</v>
      </c>
      <c r="F15183" s="178" t="s">
        <v>4520</v>
      </c>
      <c r="G15183" s="496"/>
      <c r="H15183" s="994" t="s">
        <v>20221</v>
      </c>
      <c r="I15183" s="11" t="s">
        <v>11555</v>
      </c>
      <c r="J15183" s="1285"/>
      <c r="K15183" s="1285"/>
      <c r="L15183" s="1285"/>
    </row>
    <row r="15184" spans="1:12" ht="9" customHeight="1">
      <c r="A15184" s="129" t="s">
        <v>23440</v>
      </c>
      <c r="B15184" s="59" t="s">
        <v>21837</v>
      </c>
      <c r="C15184" s="820" t="s">
        <v>19022</v>
      </c>
      <c r="D15184" s="284" t="s">
        <v>897</v>
      </c>
      <c r="E15184" s="178">
        <v>2016</v>
      </c>
      <c r="F15184" s="178" t="s">
        <v>4520</v>
      </c>
      <c r="G15184" s="496"/>
      <c r="H15184" s="994" t="s">
        <v>20224</v>
      </c>
      <c r="I15184" s="11" t="s">
        <v>11486</v>
      </c>
      <c r="J15184" s="1285"/>
      <c r="K15184" s="1285"/>
      <c r="L15184" s="1285"/>
    </row>
    <row r="15185" spans="1:12" ht="9" customHeight="1">
      <c r="A15185" s="129" t="s">
        <v>23440</v>
      </c>
      <c r="B15185" s="59" t="s">
        <v>21859</v>
      </c>
      <c r="C15185" s="820" t="s">
        <v>19022</v>
      </c>
      <c r="D15185" s="284" t="s">
        <v>897</v>
      </c>
      <c r="E15185" s="178">
        <v>2018</v>
      </c>
      <c r="F15185" s="178" t="s">
        <v>4520</v>
      </c>
      <c r="G15185" s="496"/>
      <c r="H15185" s="994" t="s">
        <v>20221</v>
      </c>
      <c r="I15185" s="11" t="s">
        <v>11559</v>
      </c>
      <c r="J15185" s="1285"/>
      <c r="K15185" s="1285"/>
      <c r="L15185" s="1285"/>
    </row>
    <row r="15186" spans="1:12" ht="9" customHeight="1">
      <c r="A15186" s="129" t="s">
        <v>23440</v>
      </c>
      <c r="B15186" s="59" t="s">
        <v>21841</v>
      </c>
      <c r="C15186" s="820" t="s">
        <v>19022</v>
      </c>
      <c r="D15186" s="284" t="s">
        <v>897</v>
      </c>
      <c r="E15186" s="178">
        <v>2017</v>
      </c>
      <c r="F15186" s="178" t="s">
        <v>4520</v>
      </c>
      <c r="G15186" s="496"/>
      <c r="H15186" s="994" t="s">
        <v>20224</v>
      </c>
      <c r="I15186" s="11" t="s">
        <v>11504</v>
      </c>
      <c r="J15186" s="1285"/>
      <c r="K15186" s="1285"/>
      <c r="L15186" s="1285"/>
    </row>
    <row r="15187" spans="1:12" ht="9" customHeight="1">
      <c r="A15187" s="129" t="s">
        <v>23672</v>
      </c>
      <c r="B15187" s="59" t="s">
        <v>13240</v>
      </c>
      <c r="C15187" s="820"/>
      <c r="D15187" s="284" t="s">
        <v>897</v>
      </c>
      <c r="E15187" s="178" t="s">
        <v>20221</v>
      </c>
      <c r="F15187" s="178" t="s">
        <v>4520</v>
      </c>
      <c r="G15187" s="496"/>
      <c r="H15187" s="994" t="s">
        <v>20221</v>
      </c>
      <c r="I15187" s="11"/>
      <c r="J15187" s="1285"/>
      <c r="K15187" s="1285"/>
      <c r="L15187" s="1285"/>
    </row>
    <row r="15188" spans="1:12" ht="9" customHeight="1">
      <c r="A15188" s="129" t="s">
        <v>23604</v>
      </c>
      <c r="B15188" s="59" t="s">
        <v>22152</v>
      </c>
      <c r="C15188" s="820" t="s">
        <v>19023</v>
      </c>
      <c r="D15188" s="284" t="s">
        <v>897</v>
      </c>
      <c r="E15188" s="178">
        <v>2012</v>
      </c>
      <c r="F15188" s="178" t="s">
        <v>4520</v>
      </c>
      <c r="G15188" s="496"/>
      <c r="H15188" s="994" t="s">
        <v>20221</v>
      </c>
      <c r="I15188" s="11" t="s">
        <v>13629</v>
      </c>
      <c r="J15188" s="1285"/>
      <c r="K15188" s="1285"/>
      <c r="L15188" s="1285"/>
    </row>
    <row r="15189" spans="1:12" ht="9" customHeight="1">
      <c r="A15189" s="129" t="s">
        <v>23670</v>
      </c>
      <c r="B15189" s="59" t="s">
        <v>21771</v>
      </c>
      <c r="C15189" s="820" t="s">
        <v>19024</v>
      </c>
      <c r="D15189" s="284" t="s">
        <v>897</v>
      </c>
      <c r="E15189" s="178" t="s">
        <v>20221</v>
      </c>
      <c r="F15189" s="178" t="s">
        <v>23394</v>
      </c>
      <c r="G15189" s="496"/>
      <c r="H15189" s="994" t="s">
        <v>20224</v>
      </c>
      <c r="I15189" s="11" t="s">
        <v>10901</v>
      </c>
      <c r="J15189" s="1285"/>
      <c r="K15189" s="1285"/>
      <c r="L15189" s="1285"/>
    </row>
    <row r="15190" spans="1:12" ht="9" customHeight="1">
      <c r="A15190" s="129" t="s">
        <v>23673</v>
      </c>
      <c r="B15190" s="59" t="s">
        <v>21963</v>
      </c>
      <c r="C15190" s="820" t="s">
        <v>19025</v>
      </c>
      <c r="D15190" s="284" t="s">
        <v>897</v>
      </c>
      <c r="E15190" s="178">
        <v>2008</v>
      </c>
      <c r="F15190" s="178" t="s">
        <v>23395</v>
      </c>
      <c r="G15190" s="496"/>
      <c r="H15190" s="994" t="s">
        <v>20221</v>
      </c>
      <c r="I15190" s="11" t="s">
        <v>12241</v>
      </c>
      <c r="J15190" s="1285"/>
      <c r="K15190" s="1285"/>
      <c r="L15190" s="1285"/>
    </row>
    <row r="15191" spans="1:12" ht="9" customHeight="1">
      <c r="A15191" s="129" t="s">
        <v>23591</v>
      </c>
      <c r="B15191" s="59" t="s">
        <v>23051</v>
      </c>
      <c r="C15191" s="820" t="s">
        <v>19025</v>
      </c>
      <c r="D15191" s="284" t="s">
        <v>10155</v>
      </c>
      <c r="E15191" s="178" t="s">
        <v>20221</v>
      </c>
      <c r="F15191" s="178" t="s">
        <v>4520</v>
      </c>
      <c r="G15191" s="496" t="s">
        <v>20221</v>
      </c>
      <c r="H15191" s="994" t="s">
        <v>3907</v>
      </c>
      <c r="I15191" s="11" t="s">
        <v>18368</v>
      </c>
      <c r="J15191" s="1285"/>
      <c r="K15191" s="1285"/>
      <c r="L15191" s="1285"/>
    </row>
    <row r="15192" spans="1:12" ht="9" customHeight="1">
      <c r="A15192" s="129" t="s">
        <v>23444</v>
      </c>
      <c r="B15192" s="59" t="s">
        <v>22231</v>
      </c>
      <c r="C15192" s="820" t="s">
        <v>19026</v>
      </c>
      <c r="D15192" s="284" t="s">
        <v>897</v>
      </c>
      <c r="E15192" s="178">
        <v>2014</v>
      </c>
      <c r="F15192" s="178" t="s">
        <v>4520</v>
      </c>
      <c r="G15192" s="496"/>
      <c r="H15192" s="994" t="s">
        <v>20221</v>
      </c>
      <c r="I15192" s="11" t="s">
        <v>14060</v>
      </c>
      <c r="J15192" s="1285"/>
      <c r="K15192" s="1285"/>
      <c r="L15192" s="1285"/>
    </row>
    <row r="15193" spans="1:12" ht="9" customHeight="1">
      <c r="A15193" s="129" t="s">
        <v>23591</v>
      </c>
      <c r="B15193" s="59" t="s">
        <v>23052</v>
      </c>
      <c r="C15193" s="820" t="s">
        <v>19027</v>
      </c>
      <c r="D15193" s="284" t="s">
        <v>10155</v>
      </c>
      <c r="E15193" s="178" t="s">
        <v>23046</v>
      </c>
      <c r="F15193" s="178" t="s">
        <v>4520</v>
      </c>
      <c r="G15193" s="496"/>
      <c r="H15193" s="994" t="s">
        <v>20221</v>
      </c>
      <c r="I15193" s="11" t="s">
        <v>23291</v>
      </c>
      <c r="J15193" s="1285"/>
      <c r="K15193" s="1285"/>
      <c r="L15193" s="1285"/>
    </row>
    <row r="15194" spans="1:12" ht="9" customHeight="1">
      <c r="A15194" s="129" t="s">
        <v>23440</v>
      </c>
      <c r="B15194" s="59" t="s">
        <v>21849</v>
      </c>
      <c r="C15194" s="820" t="s">
        <v>19028</v>
      </c>
      <c r="D15194" s="284" t="s">
        <v>897</v>
      </c>
      <c r="E15194" s="178">
        <v>2015</v>
      </c>
      <c r="F15194" s="178" t="s">
        <v>9658</v>
      </c>
      <c r="G15194" s="496"/>
      <c r="H15194" s="994" t="s">
        <v>20224</v>
      </c>
      <c r="I15194" s="11" t="s">
        <v>11532</v>
      </c>
      <c r="J15194" s="1285"/>
      <c r="K15194" s="1285"/>
      <c r="L15194" s="1285"/>
    </row>
    <row r="15195" spans="1:12" ht="9" customHeight="1">
      <c r="A15195" s="129" t="s">
        <v>23666</v>
      </c>
      <c r="B15195" s="59" t="s">
        <v>21916</v>
      </c>
      <c r="C15195" s="820" t="s">
        <v>19028</v>
      </c>
      <c r="D15195" s="284" t="s">
        <v>897</v>
      </c>
      <c r="E15195" s="178">
        <v>2015</v>
      </c>
      <c r="F15195" s="178" t="s">
        <v>4520</v>
      </c>
      <c r="G15195" s="496"/>
      <c r="H15195" s="994" t="s">
        <v>20221</v>
      </c>
      <c r="I15195" s="11" t="s">
        <v>11977</v>
      </c>
      <c r="J15195" s="1285"/>
      <c r="K15195" s="1285"/>
      <c r="L15195" s="1285"/>
    </row>
    <row r="15196" spans="1:12" ht="9" customHeight="1">
      <c r="A15196" s="129" t="s">
        <v>23673</v>
      </c>
      <c r="B15196" s="59" t="s">
        <v>21965</v>
      </c>
      <c r="C15196" s="820" t="s">
        <v>19029</v>
      </c>
      <c r="D15196" s="284" t="s">
        <v>897</v>
      </c>
      <c r="E15196" s="178">
        <v>2005</v>
      </c>
      <c r="F15196" s="178" t="s">
        <v>23395</v>
      </c>
      <c r="G15196" s="496"/>
      <c r="H15196" s="994" t="s">
        <v>20221</v>
      </c>
      <c r="I15196" s="11" t="s">
        <v>12244</v>
      </c>
      <c r="J15196" s="1285"/>
      <c r="K15196" s="1285"/>
      <c r="L15196" s="1285"/>
    </row>
    <row r="15197" spans="1:12" ht="9" customHeight="1">
      <c r="A15197" s="129" t="s">
        <v>23591</v>
      </c>
      <c r="B15197" s="59" t="s">
        <v>23053</v>
      </c>
      <c r="C15197" s="820" t="s">
        <v>18949</v>
      </c>
      <c r="D15197" s="284" t="s">
        <v>10155</v>
      </c>
      <c r="E15197" s="178" t="s">
        <v>22359</v>
      </c>
      <c r="F15197" s="178" t="s">
        <v>4520</v>
      </c>
      <c r="G15197" s="496"/>
      <c r="H15197" s="994" t="s">
        <v>20221</v>
      </c>
      <c r="I15197" s="11" t="s">
        <v>18371</v>
      </c>
      <c r="J15197" s="1285"/>
      <c r="K15197" s="1285"/>
      <c r="L15197" s="1285"/>
    </row>
    <row r="15198" spans="1:12" ht="9" customHeight="1">
      <c r="A15198" s="129" t="s">
        <v>23591</v>
      </c>
      <c r="B15198" s="59" t="s">
        <v>23058</v>
      </c>
      <c r="C15198" s="820" t="s">
        <v>19030</v>
      </c>
      <c r="D15198" s="284" t="s">
        <v>10155</v>
      </c>
      <c r="E15198" s="178">
        <v>1968</v>
      </c>
      <c r="F15198" s="178" t="s">
        <v>9658</v>
      </c>
      <c r="G15198" s="496"/>
      <c r="H15198" s="994" t="s">
        <v>20224</v>
      </c>
      <c r="I15198" s="11" t="s">
        <v>18380</v>
      </c>
      <c r="J15198" s="1285"/>
      <c r="K15198" s="1285"/>
      <c r="L15198" s="1285"/>
    </row>
    <row r="15199" spans="1:12" ht="9" customHeight="1">
      <c r="A15199" s="129" t="s">
        <v>23591</v>
      </c>
      <c r="B15199" s="59" t="s">
        <v>23054</v>
      </c>
      <c r="C15199" s="820" t="s">
        <v>19031</v>
      </c>
      <c r="D15199" s="284" t="s">
        <v>10155</v>
      </c>
      <c r="E15199" s="178" t="s">
        <v>23055</v>
      </c>
      <c r="F15199" s="178" t="s">
        <v>4520</v>
      </c>
      <c r="G15199" s="496"/>
      <c r="H15199" s="994" t="s">
        <v>20277</v>
      </c>
      <c r="I15199" s="11" t="s">
        <v>18373</v>
      </c>
      <c r="J15199" s="1285"/>
      <c r="K15199" s="1285"/>
      <c r="L15199" s="1285"/>
    </row>
    <row r="15200" spans="1:12" ht="9" customHeight="1">
      <c r="A15200" s="811"/>
      <c r="B15200" s="935"/>
      <c r="C15200" s="147"/>
      <c r="D15200" s="161"/>
      <c r="E15200" s="183"/>
      <c r="F15200" s="178"/>
      <c r="G15200" s="60"/>
      <c r="H15200" s="178"/>
      <c r="I15200" s="11"/>
    </row>
    <row r="15201" spans="1:12" ht="24" customHeight="1">
      <c r="A15201" s="926" t="s">
        <v>18978</v>
      </c>
      <c r="B15201" s="937" t="s">
        <v>18953</v>
      </c>
      <c r="C15201" s="147"/>
      <c r="D15201" s="907"/>
      <c r="E15201" s="183"/>
      <c r="F15201" s="178"/>
      <c r="G15201" s="1266"/>
      <c r="H15201" s="909"/>
      <c r="I15201" s="11"/>
    </row>
    <row r="15202" spans="1:12" ht="9" customHeight="1">
      <c r="A15202" s="424"/>
      <c r="B15202" s="154" t="s">
        <v>19032</v>
      </c>
      <c r="C15202" s="147"/>
      <c r="D15202" s="159"/>
      <c r="E15202" s="34"/>
      <c r="F15202" s="178"/>
      <c r="G15202" s="496"/>
      <c r="H15202" s="36"/>
      <c r="I15202" s="11"/>
    </row>
    <row r="15203" spans="1:12" ht="9" customHeight="1">
      <c r="A15203" s="129" t="s">
        <v>23674</v>
      </c>
      <c r="B15203" s="59" t="s">
        <v>20349</v>
      </c>
      <c r="C15203" s="147" t="s">
        <v>20221</v>
      </c>
      <c r="D15203" s="284" t="s">
        <v>897</v>
      </c>
      <c r="E15203" s="178">
        <v>2002</v>
      </c>
      <c r="F15203" s="178" t="s">
        <v>23395</v>
      </c>
      <c r="G15203" s="496"/>
      <c r="H15203" s="994" t="s">
        <v>20224</v>
      </c>
      <c r="I15203" s="11" t="s">
        <v>1526</v>
      </c>
      <c r="J15203" s="1285"/>
      <c r="K15203" s="1285"/>
      <c r="L15203" s="1285"/>
    </row>
    <row r="15204" spans="1:12" ht="9" customHeight="1">
      <c r="A15204" s="129" t="s">
        <v>23675</v>
      </c>
      <c r="B15204" s="59" t="s">
        <v>20356</v>
      </c>
      <c r="C15204" s="147" t="s">
        <v>20221</v>
      </c>
      <c r="D15204" s="284" t="s">
        <v>897</v>
      </c>
      <c r="E15204" s="178">
        <v>1997</v>
      </c>
      <c r="F15204" s="178" t="s">
        <v>4520</v>
      </c>
      <c r="G15204" s="496"/>
      <c r="H15204" s="994" t="s">
        <v>20221</v>
      </c>
      <c r="I15204" s="11" t="s">
        <v>1576</v>
      </c>
      <c r="J15204" s="1285"/>
      <c r="K15204" s="1285"/>
      <c r="L15204" s="1285"/>
    </row>
    <row r="15205" spans="1:12" ht="9" customHeight="1">
      <c r="A15205" s="129" t="s">
        <v>23676</v>
      </c>
      <c r="B15205" s="59" t="s">
        <v>20382</v>
      </c>
      <c r="C15205" s="147" t="s">
        <v>20221</v>
      </c>
      <c r="D15205" s="284" t="s">
        <v>897</v>
      </c>
      <c r="E15205" s="178">
        <v>2000</v>
      </c>
      <c r="F15205" s="178" t="s">
        <v>23395</v>
      </c>
      <c r="G15205" s="496"/>
      <c r="H15205" s="994" t="s">
        <v>20277</v>
      </c>
      <c r="I15205" s="11" t="s">
        <v>1859</v>
      </c>
      <c r="J15205" s="1285"/>
      <c r="K15205" s="1285"/>
      <c r="L15205" s="1285"/>
    </row>
    <row r="15206" spans="1:12" ht="9" customHeight="1">
      <c r="A15206" s="129" t="s">
        <v>23677</v>
      </c>
      <c r="B15206" s="59" t="s">
        <v>20390</v>
      </c>
      <c r="C15206" s="147" t="s">
        <v>20221</v>
      </c>
      <c r="D15206" s="284" t="s">
        <v>897</v>
      </c>
      <c r="E15206" s="178">
        <v>2005</v>
      </c>
      <c r="F15206" s="178" t="s">
        <v>23395</v>
      </c>
      <c r="G15206" s="496"/>
      <c r="H15206" s="994" t="s">
        <v>20224</v>
      </c>
      <c r="I15206" s="11" t="s">
        <v>1947</v>
      </c>
      <c r="J15206" s="1285"/>
      <c r="K15206" s="1285"/>
      <c r="L15206" s="1285"/>
    </row>
    <row r="15207" spans="1:12" ht="9" customHeight="1">
      <c r="A15207" s="129" t="s">
        <v>23678</v>
      </c>
      <c r="B15207" s="59" t="s">
        <v>20400</v>
      </c>
      <c r="C15207" s="147" t="s">
        <v>20221</v>
      </c>
      <c r="D15207" s="284" t="s">
        <v>897</v>
      </c>
      <c r="E15207" s="178">
        <v>2002</v>
      </c>
      <c r="F15207" s="178" t="s">
        <v>4520</v>
      </c>
      <c r="G15207" s="496"/>
      <c r="H15207" s="994" t="s">
        <v>20277</v>
      </c>
      <c r="I15207" s="11" t="s">
        <v>2056</v>
      </c>
      <c r="J15207" s="1285"/>
      <c r="K15207" s="1285"/>
      <c r="L15207" s="1285"/>
    </row>
    <row r="15208" spans="1:12" ht="9" customHeight="1">
      <c r="A15208" s="129" t="s">
        <v>23678</v>
      </c>
      <c r="B15208" s="59" t="s">
        <v>20400</v>
      </c>
      <c r="C15208" s="147" t="s">
        <v>20221</v>
      </c>
      <c r="D15208" s="284" t="s">
        <v>897</v>
      </c>
      <c r="E15208" s="178">
        <v>2001</v>
      </c>
      <c r="F15208" s="178" t="s">
        <v>23395</v>
      </c>
      <c r="G15208" s="496"/>
      <c r="H15208" s="994" t="s">
        <v>20221</v>
      </c>
      <c r="I15208" s="11" t="s">
        <v>2058</v>
      </c>
      <c r="J15208" s="1285"/>
      <c r="K15208" s="1285"/>
      <c r="L15208" s="1285"/>
    </row>
    <row r="15209" spans="1:12" ht="9" customHeight="1">
      <c r="A15209" s="129" t="s">
        <v>23641</v>
      </c>
      <c r="B15209" s="59" t="s">
        <v>20429</v>
      </c>
      <c r="C15209" s="147" t="s">
        <v>20221</v>
      </c>
      <c r="D15209" s="284" t="s">
        <v>897</v>
      </c>
      <c r="E15209" s="178">
        <v>2005</v>
      </c>
      <c r="F15209" s="178" t="s">
        <v>4520</v>
      </c>
      <c r="G15209" s="496"/>
      <c r="H15209" s="994" t="s">
        <v>20221</v>
      </c>
      <c r="I15209" s="11" t="s">
        <v>2299</v>
      </c>
      <c r="J15209" s="1285"/>
      <c r="K15209" s="1285"/>
      <c r="L15209" s="1285"/>
    </row>
    <row r="15210" spans="1:12" ht="9" customHeight="1">
      <c r="A15210" s="129" t="s">
        <v>23641</v>
      </c>
      <c r="B15210" s="59" t="s">
        <v>20429</v>
      </c>
      <c r="C15210" s="147" t="s">
        <v>20221</v>
      </c>
      <c r="D15210" s="284" t="s">
        <v>897</v>
      </c>
      <c r="E15210" s="178">
        <v>2002</v>
      </c>
      <c r="F15210" s="178" t="s">
        <v>23395</v>
      </c>
      <c r="G15210" s="496"/>
      <c r="H15210" s="994" t="s">
        <v>20224</v>
      </c>
      <c r="I15210" s="11" t="s">
        <v>2301</v>
      </c>
      <c r="J15210" s="1285"/>
      <c r="K15210" s="1285"/>
      <c r="L15210" s="1285"/>
    </row>
    <row r="15211" spans="1:12" ht="9" customHeight="1">
      <c r="A15211" s="129" t="s">
        <v>23641</v>
      </c>
      <c r="B15211" s="59" t="s">
        <v>20430</v>
      </c>
      <c r="C15211" s="147" t="s">
        <v>20221</v>
      </c>
      <c r="D15211" s="284" t="s">
        <v>897</v>
      </c>
      <c r="E15211" s="178">
        <v>1991</v>
      </c>
      <c r="F15211" s="178" t="s">
        <v>23395</v>
      </c>
      <c r="G15211" s="496"/>
      <c r="H15211" s="994" t="s">
        <v>20221</v>
      </c>
      <c r="I15211" s="11" t="s">
        <v>2303</v>
      </c>
      <c r="J15211" s="1285"/>
      <c r="K15211" s="1285"/>
      <c r="L15211" s="1285"/>
    </row>
    <row r="15212" spans="1:12" ht="9" customHeight="1">
      <c r="A15212" s="129" t="s">
        <v>23679</v>
      </c>
      <c r="B15212" s="59" t="s">
        <v>20577</v>
      </c>
      <c r="C15212" s="147" t="s">
        <v>20221</v>
      </c>
      <c r="D15212" s="284" t="s">
        <v>897</v>
      </c>
      <c r="E15212" s="178">
        <v>1995</v>
      </c>
      <c r="F15212" s="178" t="s">
        <v>23395</v>
      </c>
      <c r="G15212" s="496"/>
      <c r="H15212" s="994" t="s">
        <v>20221</v>
      </c>
      <c r="I15212" s="11" t="s">
        <v>3372</v>
      </c>
      <c r="J15212" s="1285"/>
      <c r="K15212" s="1285"/>
      <c r="L15212" s="1285"/>
    </row>
    <row r="15213" spans="1:12" ht="9" customHeight="1">
      <c r="A15213" s="129" t="s">
        <v>23680</v>
      </c>
      <c r="B15213" s="59" t="s">
        <v>20609</v>
      </c>
      <c r="C15213" s="147" t="s">
        <v>20221</v>
      </c>
      <c r="D15213" s="284" t="s">
        <v>897</v>
      </c>
      <c r="E15213" s="178">
        <v>1996</v>
      </c>
      <c r="F15213" s="178" t="s">
        <v>23395</v>
      </c>
      <c r="G15213" s="496"/>
      <c r="H15213" s="994" t="s">
        <v>20221</v>
      </c>
      <c r="I15213" s="11" t="s">
        <v>3666</v>
      </c>
      <c r="J15213" s="1285"/>
      <c r="K15213" s="1285"/>
      <c r="L15213" s="1285"/>
    </row>
    <row r="15214" spans="1:12" ht="9" customHeight="1">
      <c r="A15214" s="129" t="s">
        <v>23681</v>
      </c>
      <c r="B15214" s="59" t="s">
        <v>20610</v>
      </c>
      <c r="C15214" s="147" t="s">
        <v>20221</v>
      </c>
      <c r="D15214" s="284" t="s">
        <v>897</v>
      </c>
      <c r="E15214" s="178">
        <v>2004</v>
      </c>
      <c r="F15214" s="178" t="s">
        <v>4520</v>
      </c>
      <c r="G15214" s="496"/>
      <c r="H15214" s="994" t="s">
        <v>20277</v>
      </c>
      <c r="I15214" s="11" t="s">
        <v>3640</v>
      </c>
      <c r="J15214" s="1285"/>
      <c r="K15214" s="1285"/>
      <c r="L15214" s="1285"/>
    </row>
    <row r="15215" spans="1:12" ht="9" customHeight="1">
      <c r="A15215" s="129" t="s">
        <v>23681</v>
      </c>
      <c r="B15215" s="59" t="s">
        <v>20610</v>
      </c>
      <c r="C15215" s="147" t="s">
        <v>20221</v>
      </c>
      <c r="D15215" s="284" t="s">
        <v>897</v>
      </c>
      <c r="E15215" s="178">
        <v>2002</v>
      </c>
      <c r="F15215" s="178" t="s">
        <v>4520</v>
      </c>
      <c r="G15215" s="496"/>
      <c r="H15215" s="994" t="s">
        <v>20224</v>
      </c>
      <c r="I15215" s="11" t="s">
        <v>3642</v>
      </c>
      <c r="J15215" s="1285"/>
      <c r="K15215" s="1285"/>
      <c r="L15215" s="1285"/>
    </row>
    <row r="15216" spans="1:12" ht="9" customHeight="1">
      <c r="A15216" s="129" t="s">
        <v>23547</v>
      </c>
      <c r="B15216" s="59" t="s">
        <v>20638</v>
      </c>
      <c r="C15216" s="147" t="s">
        <v>20221</v>
      </c>
      <c r="D15216" s="284" t="s">
        <v>897</v>
      </c>
      <c r="E15216" s="178">
        <v>2001</v>
      </c>
      <c r="F15216" s="178" t="s">
        <v>4520</v>
      </c>
      <c r="G15216" s="496"/>
      <c r="H15216" s="994" t="s">
        <v>20221</v>
      </c>
      <c r="I15216" s="11" t="s">
        <v>3863</v>
      </c>
      <c r="J15216" s="1285"/>
      <c r="K15216" s="1285"/>
      <c r="L15216" s="1285"/>
    </row>
    <row r="15217" spans="1:12" ht="9" customHeight="1">
      <c r="A15217" s="129" t="s">
        <v>23547</v>
      </c>
      <c r="B15217" s="59" t="s">
        <v>20638</v>
      </c>
      <c r="C15217" s="147" t="s">
        <v>20221</v>
      </c>
      <c r="D15217" s="284" t="s">
        <v>897</v>
      </c>
      <c r="E15217" s="178">
        <v>2000</v>
      </c>
      <c r="F15217" s="178" t="s">
        <v>4520</v>
      </c>
      <c r="G15217" s="496"/>
      <c r="H15217" s="994" t="s">
        <v>20221</v>
      </c>
      <c r="I15217" s="11" t="s">
        <v>3864</v>
      </c>
      <c r="J15217" s="1285"/>
      <c r="K15217" s="1285"/>
      <c r="L15217" s="1285"/>
    </row>
    <row r="15218" spans="1:12" ht="9" customHeight="1">
      <c r="A15218" s="129" t="s">
        <v>23682</v>
      </c>
      <c r="B15218" s="59" t="s">
        <v>21082</v>
      </c>
      <c r="C15218" s="147" t="s">
        <v>20221</v>
      </c>
      <c r="D15218" s="284" t="s">
        <v>897</v>
      </c>
      <c r="E15218" s="178">
        <v>2003</v>
      </c>
      <c r="F15218" s="178" t="s">
        <v>23395</v>
      </c>
      <c r="G15218" s="496"/>
      <c r="H15218" s="994" t="s">
        <v>20221</v>
      </c>
      <c r="I15218" s="11" t="s">
        <v>6821</v>
      </c>
      <c r="J15218" s="1285"/>
      <c r="K15218" s="1285"/>
      <c r="L15218" s="1285"/>
    </row>
    <row r="15219" spans="1:12" ht="9" customHeight="1">
      <c r="A15219" s="129" t="s">
        <v>23682</v>
      </c>
      <c r="B15219" s="59" t="s">
        <v>21083</v>
      </c>
      <c r="C15219" s="147" t="s">
        <v>20221</v>
      </c>
      <c r="D15219" s="284" t="s">
        <v>897</v>
      </c>
      <c r="E15219" s="178">
        <v>2004</v>
      </c>
      <c r="F15219" s="178" t="s">
        <v>23395</v>
      </c>
      <c r="G15219" s="496"/>
      <c r="H15219" s="994" t="s">
        <v>20221</v>
      </c>
      <c r="I15219" s="11" t="s">
        <v>6823</v>
      </c>
      <c r="J15219" s="1285"/>
      <c r="K15219" s="1285"/>
      <c r="L15219" s="1285"/>
    </row>
    <row r="15220" spans="1:12" ht="9" customHeight="1">
      <c r="A15220" s="129" t="s">
        <v>23682</v>
      </c>
      <c r="B15220" s="59" t="s">
        <v>21084</v>
      </c>
      <c r="C15220" s="147" t="s">
        <v>20221</v>
      </c>
      <c r="D15220" s="284" t="s">
        <v>897</v>
      </c>
      <c r="E15220" s="178">
        <v>2004</v>
      </c>
      <c r="F15220" s="178" t="s">
        <v>23395</v>
      </c>
      <c r="G15220" s="496"/>
      <c r="H15220" s="994" t="s">
        <v>20221</v>
      </c>
      <c r="I15220" s="11" t="s">
        <v>6838</v>
      </c>
      <c r="J15220" s="1285"/>
      <c r="K15220" s="1285"/>
      <c r="L15220" s="1285"/>
    </row>
    <row r="15221" spans="1:12" ht="9" customHeight="1">
      <c r="A15221" s="129" t="s">
        <v>23648</v>
      </c>
      <c r="B15221" s="59" t="s">
        <v>21097</v>
      </c>
      <c r="C15221" s="147" t="s">
        <v>20221</v>
      </c>
      <c r="D15221" s="284" t="s">
        <v>897</v>
      </c>
      <c r="E15221" s="178">
        <v>1999</v>
      </c>
      <c r="F15221" s="178" t="s">
        <v>23395</v>
      </c>
      <c r="G15221" s="496"/>
      <c r="H15221" s="994" t="s">
        <v>20221</v>
      </c>
      <c r="I15221" s="11" t="s">
        <v>6890</v>
      </c>
      <c r="J15221" s="1285"/>
      <c r="K15221" s="1285"/>
      <c r="L15221" s="1285"/>
    </row>
    <row r="15222" spans="1:12" ht="9" customHeight="1">
      <c r="A15222" s="129" t="s">
        <v>23683</v>
      </c>
      <c r="B15222" s="59" t="s">
        <v>21101</v>
      </c>
      <c r="C15222" s="147" t="s">
        <v>20221</v>
      </c>
      <c r="D15222" s="284" t="s">
        <v>897</v>
      </c>
      <c r="E15222" s="178">
        <v>1995</v>
      </c>
      <c r="F15222" s="178" t="s">
        <v>4520</v>
      </c>
      <c r="G15222" s="496"/>
      <c r="H15222" s="994" t="s">
        <v>20221</v>
      </c>
      <c r="I15222" s="11" t="s">
        <v>6967</v>
      </c>
      <c r="J15222" s="1285"/>
      <c r="K15222" s="1285"/>
      <c r="L15222" s="1285"/>
    </row>
    <row r="15223" spans="1:12" ht="9" customHeight="1">
      <c r="A15223" s="129" t="s">
        <v>23683</v>
      </c>
      <c r="B15223" s="59" t="s">
        <v>21103</v>
      </c>
      <c r="C15223" s="147" t="s">
        <v>20221</v>
      </c>
      <c r="D15223" s="284" t="s">
        <v>897</v>
      </c>
      <c r="E15223" s="178">
        <v>1999</v>
      </c>
      <c r="F15223" s="178" t="s">
        <v>4520</v>
      </c>
      <c r="G15223" s="496"/>
      <c r="H15223" s="994" t="s">
        <v>20224</v>
      </c>
      <c r="I15223" s="11" t="s">
        <v>6976</v>
      </c>
      <c r="J15223" s="1285"/>
      <c r="K15223" s="1285"/>
      <c r="L15223" s="1285"/>
    </row>
    <row r="15224" spans="1:12" ht="9" customHeight="1">
      <c r="A15224" s="129" t="s">
        <v>23683</v>
      </c>
      <c r="B15224" s="59" t="s">
        <v>21103</v>
      </c>
      <c r="C15224" s="147" t="s">
        <v>20221</v>
      </c>
      <c r="D15224" s="284" t="s">
        <v>897</v>
      </c>
      <c r="E15224" s="178">
        <v>1997</v>
      </c>
      <c r="F15224" s="178" t="s">
        <v>4520</v>
      </c>
      <c r="G15224" s="496"/>
      <c r="H15224" s="994" t="s">
        <v>20221</v>
      </c>
      <c r="I15224" s="11" t="s">
        <v>6978</v>
      </c>
      <c r="J15224" s="1285"/>
      <c r="K15224" s="1285"/>
      <c r="L15224" s="1285"/>
    </row>
    <row r="15225" spans="1:12" ht="9" customHeight="1">
      <c r="A15225" s="129" t="s">
        <v>23683</v>
      </c>
      <c r="B15225" s="59" t="s">
        <v>21104</v>
      </c>
      <c r="C15225" s="147" t="s">
        <v>20221</v>
      </c>
      <c r="D15225" s="284" t="s">
        <v>897</v>
      </c>
      <c r="E15225" s="178">
        <v>2005</v>
      </c>
      <c r="F15225" s="178" t="s">
        <v>4520</v>
      </c>
      <c r="G15225" s="496"/>
      <c r="H15225" s="994" t="s">
        <v>20221</v>
      </c>
      <c r="I15225" s="11" t="s">
        <v>6987</v>
      </c>
      <c r="J15225" s="1285"/>
      <c r="K15225" s="1285"/>
      <c r="L15225" s="1285"/>
    </row>
    <row r="15226" spans="1:12" ht="9" customHeight="1">
      <c r="A15226" s="129" t="s">
        <v>23683</v>
      </c>
      <c r="B15226" s="59" t="s">
        <v>21066</v>
      </c>
      <c r="C15226" s="147" t="s">
        <v>20221</v>
      </c>
      <c r="D15226" s="284" t="s">
        <v>897</v>
      </c>
      <c r="E15226" s="178">
        <v>2005</v>
      </c>
      <c r="F15226" s="178" t="s">
        <v>4520</v>
      </c>
      <c r="G15226" s="496"/>
      <c r="H15226" s="994" t="s">
        <v>20221</v>
      </c>
      <c r="I15226" s="11" t="s">
        <v>6995</v>
      </c>
      <c r="J15226" s="1285"/>
      <c r="K15226" s="1285"/>
      <c r="L15226" s="1285"/>
    </row>
    <row r="15227" spans="1:12" ht="9" customHeight="1">
      <c r="A15227" s="129" t="s">
        <v>23683</v>
      </c>
      <c r="B15227" s="59" t="s">
        <v>21105</v>
      </c>
      <c r="C15227" s="147" t="s">
        <v>20221</v>
      </c>
      <c r="D15227" s="284" t="s">
        <v>897</v>
      </c>
      <c r="E15227" s="178">
        <v>2005</v>
      </c>
      <c r="F15227" s="178" t="s">
        <v>4520</v>
      </c>
      <c r="G15227" s="496"/>
      <c r="H15227" s="994" t="s">
        <v>20221</v>
      </c>
      <c r="I15227" s="11" t="s">
        <v>7003</v>
      </c>
      <c r="J15227" s="1285"/>
      <c r="K15227" s="1285"/>
      <c r="L15227" s="1285"/>
    </row>
    <row r="15228" spans="1:12" ht="9" customHeight="1">
      <c r="A15228" s="129" t="s">
        <v>23684</v>
      </c>
      <c r="B15228" s="59" t="s">
        <v>21136</v>
      </c>
      <c r="C15228" s="147" t="s">
        <v>20221</v>
      </c>
      <c r="D15228" s="284" t="s">
        <v>897</v>
      </c>
      <c r="E15228" s="178">
        <v>2004</v>
      </c>
      <c r="F15228" s="178" t="s">
        <v>23395</v>
      </c>
      <c r="G15228" s="496"/>
      <c r="H15228" s="994" t="s">
        <v>20277</v>
      </c>
      <c r="I15228" s="11" t="s">
        <v>7308</v>
      </c>
      <c r="J15228" s="1285"/>
      <c r="K15228" s="1285"/>
      <c r="L15228" s="1285"/>
    </row>
    <row r="15229" spans="1:12" ht="9" customHeight="1">
      <c r="A15229" s="129" t="s">
        <v>23684</v>
      </c>
      <c r="B15229" s="59" t="s">
        <v>21137</v>
      </c>
      <c r="C15229" s="147" t="s">
        <v>23393</v>
      </c>
      <c r="D15229" s="284" t="s">
        <v>897</v>
      </c>
      <c r="E15229" s="178">
        <v>2004</v>
      </c>
      <c r="F15229" s="178" t="s">
        <v>23395</v>
      </c>
      <c r="G15229" s="496"/>
      <c r="H15229" s="994" t="s">
        <v>20277</v>
      </c>
      <c r="I15229" s="11" t="s">
        <v>7310</v>
      </c>
      <c r="J15229" s="1285"/>
      <c r="K15229" s="1285"/>
      <c r="L15229" s="1285"/>
    </row>
    <row r="15230" spans="1:12" ht="9" customHeight="1">
      <c r="A15230" s="129" t="s">
        <v>23685</v>
      </c>
      <c r="B15230" s="59" t="s">
        <v>21195</v>
      </c>
      <c r="C15230" s="147" t="s">
        <v>20221</v>
      </c>
      <c r="D15230" s="284" t="s">
        <v>897</v>
      </c>
      <c r="E15230" s="178">
        <v>2000</v>
      </c>
      <c r="F15230" s="178" t="s">
        <v>4520</v>
      </c>
      <c r="G15230" s="496"/>
      <c r="H15230" s="994" t="s">
        <v>20221</v>
      </c>
      <c r="I15230" s="11" t="s">
        <v>6296</v>
      </c>
      <c r="J15230" s="1285"/>
      <c r="K15230" s="1285"/>
      <c r="L15230" s="1285"/>
    </row>
    <row r="15231" spans="1:12" ht="9" customHeight="1">
      <c r="A15231" s="129" t="s">
        <v>23685</v>
      </c>
      <c r="B15231" s="59" t="s">
        <v>21195</v>
      </c>
      <c r="C15231" s="147" t="s">
        <v>20221</v>
      </c>
      <c r="D15231" s="284" t="s">
        <v>897</v>
      </c>
      <c r="E15231" s="178">
        <v>1998</v>
      </c>
      <c r="F15231" s="178" t="s">
        <v>4520</v>
      </c>
      <c r="G15231" s="496"/>
      <c r="H15231" s="994" t="s">
        <v>20221</v>
      </c>
      <c r="I15231" s="11" t="s">
        <v>7624</v>
      </c>
      <c r="J15231" s="1285"/>
      <c r="K15231" s="1285"/>
      <c r="L15231" s="1285"/>
    </row>
    <row r="15232" spans="1:12" ht="9" customHeight="1">
      <c r="A15232" s="129" t="s">
        <v>23685</v>
      </c>
      <c r="B15232" s="59" t="s">
        <v>21114</v>
      </c>
      <c r="C15232" s="147" t="s">
        <v>20221</v>
      </c>
      <c r="D15232" s="284" t="s">
        <v>897</v>
      </c>
      <c r="E15232" s="178">
        <v>2004</v>
      </c>
      <c r="F15232" s="178" t="s">
        <v>4520</v>
      </c>
      <c r="G15232" s="496"/>
      <c r="H15232" s="994" t="s">
        <v>20221</v>
      </c>
      <c r="I15232" s="11" t="s">
        <v>7636</v>
      </c>
      <c r="J15232" s="1285"/>
      <c r="K15232" s="1285"/>
      <c r="L15232" s="1285"/>
    </row>
    <row r="15233" spans="1:12" ht="9" customHeight="1">
      <c r="A15233" s="129" t="s">
        <v>23685</v>
      </c>
      <c r="B15233" s="59" t="s">
        <v>21114</v>
      </c>
      <c r="C15233" s="147" t="s">
        <v>20221</v>
      </c>
      <c r="D15233" s="284" t="s">
        <v>897</v>
      </c>
      <c r="E15233" s="178">
        <v>2003</v>
      </c>
      <c r="F15233" s="178" t="s">
        <v>4520</v>
      </c>
      <c r="G15233" s="496"/>
      <c r="H15233" s="994" t="s">
        <v>20221</v>
      </c>
      <c r="I15233" s="11" t="s">
        <v>7638</v>
      </c>
      <c r="J15233" s="1285"/>
      <c r="K15233" s="1285"/>
      <c r="L15233" s="1285"/>
    </row>
    <row r="15234" spans="1:12" ht="9" customHeight="1">
      <c r="A15234" s="129" t="s">
        <v>23685</v>
      </c>
      <c r="B15234" s="59" t="s">
        <v>21063</v>
      </c>
      <c r="C15234" s="147" t="s">
        <v>20221</v>
      </c>
      <c r="D15234" s="284" t="s">
        <v>897</v>
      </c>
      <c r="E15234" s="178">
        <v>1978</v>
      </c>
      <c r="F15234" s="178" t="s">
        <v>4520</v>
      </c>
      <c r="G15234" s="496"/>
      <c r="H15234" s="994" t="s">
        <v>20224</v>
      </c>
      <c r="I15234" s="11" t="s">
        <v>7640</v>
      </c>
      <c r="J15234" s="1285"/>
      <c r="K15234" s="1285"/>
      <c r="L15234" s="1285"/>
    </row>
    <row r="15235" spans="1:12" ht="9" customHeight="1">
      <c r="A15235" s="129" t="s">
        <v>23685</v>
      </c>
      <c r="B15235" s="59" t="s">
        <v>21063</v>
      </c>
      <c r="C15235" s="147" t="s">
        <v>20221</v>
      </c>
      <c r="D15235" s="284" t="s">
        <v>897</v>
      </c>
      <c r="E15235" s="178">
        <v>1976</v>
      </c>
      <c r="F15235" s="178" t="s">
        <v>4520</v>
      </c>
      <c r="G15235" s="496"/>
      <c r="H15235" s="994" t="s">
        <v>20224</v>
      </c>
      <c r="I15235" s="11" t="s">
        <v>7642</v>
      </c>
      <c r="J15235" s="1285"/>
      <c r="K15235" s="1285"/>
      <c r="L15235" s="1285"/>
    </row>
    <row r="15236" spans="1:12" ht="9" customHeight="1">
      <c r="A15236" s="129" t="s">
        <v>23686</v>
      </c>
      <c r="B15236" s="59" t="s">
        <v>21200</v>
      </c>
      <c r="C15236" s="147" t="s">
        <v>20221</v>
      </c>
      <c r="D15236" s="284" t="s">
        <v>897</v>
      </c>
      <c r="E15236" s="178">
        <v>1990</v>
      </c>
      <c r="F15236" s="178" t="s">
        <v>23395</v>
      </c>
      <c r="G15236" s="496"/>
      <c r="H15236" s="994" t="s">
        <v>20224</v>
      </c>
      <c r="I15236" s="11" t="s">
        <v>7666</v>
      </c>
      <c r="J15236" s="1285"/>
      <c r="K15236" s="1285"/>
      <c r="L15236" s="1285"/>
    </row>
    <row r="15237" spans="1:12" ht="9" customHeight="1">
      <c r="A15237" s="129" t="s">
        <v>23471</v>
      </c>
      <c r="B15237" s="59" t="s">
        <v>21294</v>
      </c>
      <c r="C15237" s="147" t="s">
        <v>20221</v>
      </c>
      <c r="D15237" s="284" t="s">
        <v>897</v>
      </c>
      <c r="E15237" s="178">
        <v>2003</v>
      </c>
      <c r="F15237" s="178" t="s">
        <v>23395</v>
      </c>
      <c r="G15237" s="496"/>
      <c r="H15237" s="994" t="s">
        <v>20277</v>
      </c>
      <c r="I15237" s="11" t="s">
        <v>8231</v>
      </c>
      <c r="J15237" s="1285"/>
      <c r="K15237" s="1285"/>
      <c r="L15237" s="1285"/>
    </row>
    <row r="15238" spans="1:12" ht="9" customHeight="1">
      <c r="A15238" s="129" t="s">
        <v>23687</v>
      </c>
      <c r="B15238" s="59" t="s">
        <v>21555</v>
      </c>
      <c r="C15238" s="147" t="s">
        <v>20221</v>
      </c>
      <c r="D15238" s="284" t="s">
        <v>897</v>
      </c>
      <c r="E15238" s="178">
        <v>2005</v>
      </c>
      <c r="F15238" s="178" t="s">
        <v>23395</v>
      </c>
      <c r="G15238" s="496"/>
      <c r="H15238" s="994" t="s">
        <v>20221</v>
      </c>
      <c r="I15238" s="11" t="s">
        <v>9702</v>
      </c>
      <c r="J15238" s="1285"/>
      <c r="K15238" s="1285"/>
      <c r="L15238" s="1285"/>
    </row>
    <row r="15239" spans="1:12" ht="9" customHeight="1">
      <c r="A15239" s="129" t="s">
        <v>23687</v>
      </c>
      <c r="B15239" s="59" t="s">
        <v>21556</v>
      </c>
      <c r="C15239" s="147" t="s">
        <v>20221</v>
      </c>
      <c r="D15239" s="284" t="s">
        <v>897</v>
      </c>
      <c r="E15239" s="178">
        <v>2005</v>
      </c>
      <c r="F15239" s="178" t="s">
        <v>23395</v>
      </c>
      <c r="G15239" s="496"/>
      <c r="H15239" s="994" t="s">
        <v>20221</v>
      </c>
      <c r="I15239" s="11" t="s">
        <v>9703</v>
      </c>
      <c r="J15239" s="1285"/>
      <c r="K15239" s="1285"/>
      <c r="L15239" s="1285"/>
    </row>
    <row r="15240" spans="1:12" ht="9" customHeight="1">
      <c r="A15240" s="129" t="s">
        <v>23687</v>
      </c>
      <c r="B15240" s="59" t="s">
        <v>21556</v>
      </c>
      <c r="C15240" s="147" t="s">
        <v>20221</v>
      </c>
      <c r="D15240" s="284" t="s">
        <v>897</v>
      </c>
      <c r="E15240" s="178">
        <v>2002</v>
      </c>
      <c r="F15240" s="178" t="s">
        <v>20220</v>
      </c>
      <c r="G15240" s="496"/>
      <c r="H15240" s="994" t="s">
        <v>20465</v>
      </c>
      <c r="I15240" s="11" t="s">
        <v>9704</v>
      </c>
      <c r="J15240" s="1285"/>
      <c r="K15240" s="1285"/>
      <c r="L15240" s="1285"/>
    </row>
    <row r="15241" spans="1:12" ht="9" customHeight="1">
      <c r="A15241" s="129" t="s">
        <v>23687</v>
      </c>
      <c r="B15241" s="59" t="s">
        <v>21556</v>
      </c>
      <c r="C15241" s="147" t="s">
        <v>20221</v>
      </c>
      <c r="D15241" s="284" t="s">
        <v>897</v>
      </c>
      <c r="E15241" s="178">
        <v>2001</v>
      </c>
      <c r="F15241" s="178" t="s">
        <v>23395</v>
      </c>
      <c r="G15241" s="496"/>
      <c r="H15241" s="994" t="s">
        <v>20221</v>
      </c>
      <c r="I15241" s="11" t="s">
        <v>9705</v>
      </c>
      <c r="J15241" s="1285"/>
      <c r="K15241" s="1285"/>
      <c r="L15241" s="1285"/>
    </row>
    <row r="15242" spans="1:12" ht="9" customHeight="1">
      <c r="A15242" s="129" t="s">
        <v>23688</v>
      </c>
      <c r="B15242" s="59" t="s">
        <v>21613</v>
      </c>
      <c r="C15242" s="147" t="s">
        <v>20221</v>
      </c>
      <c r="D15242" s="284" t="s">
        <v>897</v>
      </c>
      <c r="E15242" s="178">
        <v>2002</v>
      </c>
      <c r="F15242" s="178" t="s">
        <v>23395</v>
      </c>
      <c r="G15242" s="496"/>
      <c r="H15242" s="994" t="s">
        <v>20277</v>
      </c>
      <c r="I15242" s="11" t="s">
        <v>10057</v>
      </c>
      <c r="J15242" s="1285"/>
      <c r="K15242" s="1285"/>
      <c r="L15242" s="1285"/>
    </row>
    <row r="15243" spans="1:12" ht="9" customHeight="1">
      <c r="A15243" s="129" t="s">
        <v>23567</v>
      </c>
      <c r="B15243" s="59" t="s">
        <v>21887</v>
      </c>
      <c r="C15243" s="147" t="s">
        <v>20221</v>
      </c>
      <c r="D15243" s="284" t="s">
        <v>897</v>
      </c>
      <c r="E15243" s="178">
        <v>2001</v>
      </c>
      <c r="F15243" s="178" t="s">
        <v>4520</v>
      </c>
      <c r="G15243" s="496"/>
      <c r="H15243" s="994" t="s">
        <v>20224</v>
      </c>
      <c r="I15243" s="11" t="s">
        <v>11761</v>
      </c>
      <c r="J15243" s="1285"/>
      <c r="K15243" s="1285"/>
      <c r="L15243" s="1285"/>
    </row>
    <row r="15244" spans="1:12" ht="9" customHeight="1">
      <c r="A15244" s="129" t="s">
        <v>23673</v>
      </c>
      <c r="B15244" s="59" t="s">
        <v>21965</v>
      </c>
      <c r="C15244" s="147" t="s">
        <v>20221</v>
      </c>
      <c r="D15244" s="284" t="s">
        <v>897</v>
      </c>
      <c r="E15244" s="178">
        <v>2005</v>
      </c>
      <c r="F15244" s="178" t="s">
        <v>23395</v>
      </c>
      <c r="G15244" s="496"/>
      <c r="H15244" s="994" t="s">
        <v>20221</v>
      </c>
      <c r="I15244" s="11" t="s">
        <v>12244</v>
      </c>
      <c r="J15244" s="1285"/>
      <c r="K15244" s="1285"/>
      <c r="L15244" s="1285"/>
    </row>
    <row r="15245" spans="1:12" ht="9" customHeight="1">
      <c r="A15245" s="129" t="s">
        <v>23689</v>
      </c>
      <c r="B15245" s="59" t="s">
        <v>21983</v>
      </c>
      <c r="C15245" s="147" t="s">
        <v>20221</v>
      </c>
      <c r="D15245" s="284" t="s">
        <v>897</v>
      </c>
      <c r="E15245" s="178">
        <v>1997</v>
      </c>
      <c r="F15245" s="178" t="s">
        <v>4520</v>
      </c>
      <c r="G15245" s="496"/>
      <c r="H15245" s="994" t="s">
        <v>20277</v>
      </c>
      <c r="I15245" s="11" t="s">
        <v>12338</v>
      </c>
      <c r="J15245" s="1285"/>
      <c r="K15245" s="1285"/>
      <c r="L15245" s="1285"/>
    </row>
    <row r="15246" spans="1:12" ht="9" customHeight="1">
      <c r="A15246" s="129" t="s">
        <v>23515</v>
      </c>
      <c r="B15246" s="59" t="s">
        <v>22076</v>
      </c>
      <c r="C15246" s="147" t="s">
        <v>20221</v>
      </c>
      <c r="D15246" s="284" t="s">
        <v>897</v>
      </c>
      <c r="E15246" s="178">
        <v>1999</v>
      </c>
      <c r="F15246" s="178" t="s">
        <v>4520</v>
      </c>
      <c r="G15246" s="496"/>
      <c r="H15246" s="994" t="s">
        <v>20221</v>
      </c>
      <c r="I15246" s="11" t="s">
        <v>13036</v>
      </c>
      <c r="J15246" s="1285"/>
      <c r="K15246" s="1285"/>
      <c r="L15246" s="1285"/>
    </row>
    <row r="15247" spans="1:12" ht="9" customHeight="1">
      <c r="A15247" s="129" t="s">
        <v>23515</v>
      </c>
      <c r="B15247" s="59" t="s">
        <v>22076</v>
      </c>
      <c r="C15247" s="147" t="s">
        <v>20221</v>
      </c>
      <c r="D15247" s="284" t="s">
        <v>897</v>
      </c>
      <c r="E15247" s="178">
        <v>1998</v>
      </c>
      <c r="F15247" s="178" t="s">
        <v>4520</v>
      </c>
      <c r="G15247" s="496"/>
      <c r="H15247" s="994" t="s">
        <v>20224</v>
      </c>
      <c r="I15247" s="11" t="s">
        <v>13038</v>
      </c>
      <c r="J15247" s="1285"/>
      <c r="K15247" s="1285"/>
      <c r="L15247" s="1285"/>
    </row>
    <row r="15248" spans="1:12" ht="9" customHeight="1">
      <c r="A15248" s="129" t="s">
        <v>23515</v>
      </c>
      <c r="B15248" s="59" t="s">
        <v>22076</v>
      </c>
      <c r="C15248" s="147" t="s">
        <v>20221</v>
      </c>
      <c r="D15248" s="284" t="s">
        <v>897</v>
      </c>
      <c r="E15248" s="178">
        <v>1996</v>
      </c>
      <c r="F15248" s="178" t="s">
        <v>4520</v>
      </c>
      <c r="G15248" s="496"/>
      <c r="H15248" s="994" t="s">
        <v>20221</v>
      </c>
      <c r="I15248" s="11" t="s">
        <v>13040</v>
      </c>
      <c r="J15248" s="1285"/>
      <c r="K15248" s="1285"/>
      <c r="L15248" s="1285"/>
    </row>
    <row r="15249" spans="1:12" ht="9" customHeight="1">
      <c r="A15249" s="129" t="s">
        <v>23537</v>
      </c>
      <c r="B15249" s="59" t="s">
        <v>22192</v>
      </c>
      <c r="C15249" s="147" t="s">
        <v>20221</v>
      </c>
      <c r="D15249" s="284" t="s">
        <v>897</v>
      </c>
      <c r="E15249" s="178">
        <v>2005</v>
      </c>
      <c r="F15249" s="178" t="s">
        <v>4520</v>
      </c>
      <c r="G15249" s="496"/>
      <c r="H15249" s="994" t="s">
        <v>20221</v>
      </c>
      <c r="I15249" s="11" t="s">
        <v>13821</v>
      </c>
      <c r="J15249" s="1285"/>
      <c r="K15249" s="1285"/>
      <c r="L15249" s="1285"/>
    </row>
    <row r="15250" spans="1:12" ht="9" customHeight="1">
      <c r="A15250" s="129" t="s">
        <v>23612</v>
      </c>
      <c r="B15250" s="59" t="s">
        <v>22377</v>
      </c>
      <c r="C15250" s="147" t="s">
        <v>20221</v>
      </c>
      <c r="D15250" s="284" t="s">
        <v>897</v>
      </c>
      <c r="E15250" s="178">
        <v>2002</v>
      </c>
      <c r="F15250" s="178" t="s">
        <v>4520</v>
      </c>
      <c r="G15250" s="496"/>
      <c r="H15250" s="994" t="s">
        <v>20224</v>
      </c>
      <c r="I15250" s="11" t="s">
        <v>14804</v>
      </c>
      <c r="J15250" s="1285"/>
      <c r="K15250" s="1285"/>
      <c r="L15250" s="1285"/>
    </row>
    <row r="15251" spans="1:12" ht="9" customHeight="1">
      <c r="A15251" s="129" t="s">
        <v>23612</v>
      </c>
      <c r="B15251" s="59" t="s">
        <v>22377</v>
      </c>
      <c r="C15251" s="147" t="s">
        <v>20221</v>
      </c>
      <c r="D15251" s="284" t="s">
        <v>897</v>
      </c>
      <c r="E15251" s="178">
        <v>2001</v>
      </c>
      <c r="F15251" s="178" t="s">
        <v>4520</v>
      </c>
      <c r="G15251" s="496"/>
      <c r="H15251" s="994" t="s">
        <v>20224</v>
      </c>
      <c r="I15251" s="11" t="s">
        <v>14806</v>
      </c>
      <c r="J15251" s="1285"/>
      <c r="K15251" s="1285"/>
      <c r="L15251" s="1285"/>
    </row>
    <row r="15252" spans="1:12" ht="9" customHeight="1">
      <c r="A15252" s="129" t="s">
        <v>23638</v>
      </c>
      <c r="B15252" s="59" t="s">
        <v>22398</v>
      </c>
      <c r="C15252" s="147" t="s">
        <v>20221</v>
      </c>
      <c r="D15252" s="284" t="s">
        <v>897</v>
      </c>
      <c r="E15252" s="178" t="s">
        <v>20221</v>
      </c>
      <c r="F15252" s="178" t="s">
        <v>23422</v>
      </c>
      <c r="G15252" s="496" t="s">
        <v>20221</v>
      </c>
      <c r="H15252" s="994" t="s">
        <v>3907</v>
      </c>
      <c r="I15252" s="11" t="s">
        <v>14879</v>
      </c>
      <c r="J15252" s="1285"/>
      <c r="K15252" s="1285"/>
      <c r="L15252" s="1285"/>
    </row>
    <row r="15253" spans="1:12" ht="9" customHeight="1">
      <c r="A15253" s="129" t="s">
        <v>23536</v>
      </c>
      <c r="B15253" s="59" t="s">
        <v>22785</v>
      </c>
      <c r="C15253" s="147" t="s">
        <v>20221</v>
      </c>
      <c r="D15253" s="284" t="s">
        <v>897</v>
      </c>
      <c r="E15253" s="178">
        <v>1998</v>
      </c>
      <c r="F15253" s="178" t="s">
        <v>7168</v>
      </c>
      <c r="G15253" s="496"/>
      <c r="H15253" s="994" t="s">
        <v>20277</v>
      </c>
      <c r="I15253" s="11" t="s">
        <v>16440</v>
      </c>
      <c r="J15253" s="1285"/>
      <c r="K15253" s="1285"/>
      <c r="L15253" s="1285"/>
    </row>
    <row r="15254" spans="1:12" ht="9" customHeight="1">
      <c r="A15254" s="129" t="s">
        <v>23466</v>
      </c>
      <c r="B15254" s="59" t="s">
        <v>23201</v>
      </c>
      <c r="C15254" s="147" t="s">
        <v>20221</v>
      </c>
      <c r="D15254" s="284" t="s">
        <v>897</v>
      </c>
      <c r="E15254" s="178">
        <v>2004</v>
      </c>
      <c r="F15254" s="178" t="s">
        <v>4520</v>
      </c>
      <c r="G15254" s="496"/>
      <c r="H15254" s="994" t="s">
        <v>20221</v>
      </c>
      <c r="I15254" s="11" t="s">
        <v>18855</v>
      </c>
      <c r="J15254" s="1285"/>
      <c r="K15254" s="1285"/>
      <c r="L15254" s="1285"/>
    </row>
    <row r="15255" spans="1:12" ht="9" customHeight="1">
      <c r="A15255" s="129" t="s">
        <v>23470</v>
      </c>
      <c r="B15255" s="59" t="s">
        <v>23209</v>
      </c>
      <c r="C15255" s="147" t="s">
        <v>20221</v>
      </c>
      <c r="D15255" s="284" t="s">
        <v>897</v>
      </c>
      <c r="E15255" s="178">
        <v>2004</v>
      </c>
      <c r="F15255" s="178" t="s">
        <v>4520</v>
      </c>
      <c r="G15255" s="496"/>
      <c r="H15255" s="994" t="s">
        <v>20277</v>
      </c>
      <c r="I15255" s="11" t="s">
        <v>18859</v>
      </c>
      <c r="J15255" s="1285"/>
      <c r="K15255" s="1285"/>
      <c r="L15255" s="1285"/>
    </row>
    <row r="15256" spans="1:12" ht="9" customHeight="1">
      <c r="A15256" s="129" t="s">
        <v>23461</v>
      </c>
      <c r="B15256" s="59" t="s">
        <v>23210</v>
      </c>
      <c r="C15256" s="147" t="s">
        <v>20221</v>
      </c>
      <c r="D15256" s="284" t="s">
        <v>897</v>
      </c>
      <c r="E15256" s="178">
        <v>2005</v>
      </c>
      <c r="F15256" s="178" t="s">
        <v>4520</v>
      </c>
      <c r="G15256" s="496"/>
      <c r="H15256" s="994" t="s">
        <v>20465</v>
      </c>
      <c r="I15256" s="11" t="s">
        <v>18863</v>
      </c>
      <c r="J15256" s="1285"/>
      <c r="K15256" s="1285"/>
      <c r="L15256" s="1285"/>
    </row>
    <row r="15257" spans="1:12" ht="9" customHeight="1">
      <c r="A15257" s="129" t="s">
        <v>23474</v>
      </c>
      <c r="B15257" s="59" t="s">
        <v>23212</v>
      </c>
      <c r="C15257" s="147" t="s">
        <v>20221</v>
      </c>
      <c r="D15257" s="284" t="s">
        <v>897</v>
      </c>
      <c r="E15257" s="178">
        <v>2004</v>
      </c>
      <c r="F15257" s="178" t="s">
        <v>23395</v>
      </c>
      <c r="G15257" s="496"/>
      <c r="H15257" s="994" t="s">
        <v>20277</v>
      </c>
      <c r="I15257" s="11" t="s">
        <v>18865</v>
      </c>
      <c r="J15257" s="1285"/>
      <c r="K15257" s="1285"/>
      <c r="L15257" s="1285"/>
    </row>
    <row r="15258" spans="1:12" ht="9" customHeight="1">
      <c r="A15258" s="129" t="s">
        <v>23476</v>
      </c>
      <c r="B15258" s="59" t="s">
        <v>23214</v>
      </c>
      <c r="C15258" s="147" t="s">
        <v>20221</v>
      </c>
      <c r="D15258" s="284" t="s">
        <v>897</v>
      </c>
      <c r="E15258" s="178">
        <v>1998</v>
      </c>
      <c r="F15258" s="178" t="s">
        <v>23395</v>
      </c>
      <c r="G15258" s="496"/>
      <c r="H15258" s="994" t="s">
        <v>20465</v>
      </c>
      <c r="I15258" s="11" t="s">
        <v>18867</v>
      </c>
      <c r="J15258" s="1285"/>
      <c r="K15258" s="1285"/>
      <c r="L15258" s="1285"/>
    </row>
    <row r="15259" spans="1:12" ht="9" customHeight="1">
      <c r="A15259" s="129" t="s">
        <v>23475</v>
      </c>
      <c r="B15259" s="59" t="s">
        <v>23217</v>
      </c>
      <c r="C15259" s="147" t="s">
        <v>20221</v>
      </c>
      <c r="D15259" s="284" t="s">
        <v>897</v>
      </c>
      <c r="E15259" s="178">
        <v>2001</v>
      </c>
      <c r="F15259" s="178" t="s">
        <v>20220</v>
      </c>
      <c r="G15259" s="496"/>
      <c r="H15259" s="994" t="s">
        <v>20277</v>
      </c>
      <c r="I15259" s="11" t="s">
        <v>18866</v>
      </c>
      <c r="J15259" s="1285"/>
      <c r="K15259" s="1285"/>
      <c r="L15259" s="1285"/>
    </row>
    <row r="15260" spans="1:12" ht="9" customHeight="1">
      <c r="A15260" s="129" t="s">
        <v>23469</v>
      </c>
      <c r="B15260" s="59" t="s">
        <v>23220</v>
      </c>
      <c r="C15260" s="147" t="s">
        <v>20221</v>
      </c>
      <c r="D15260" s="284" t="s">
        <v>897</v>
      </c>
      <c r="E15260" s="178">
        <v>2001</v>
      </c>
      <c r="F15260" s="178" t="s">
        <v>23395</v>
      </c>
      <c r="G15260" s="496"/>
      <c r="H15260" s="994" t="s">
        <v>20221</v>
      </c>
      <c r="I15260" s="11" t="s">
        <v>18858</v>
      </c>
      <c r="J15260" s="1285"/>
      <c r="K15260" s="1285"/>
      <c r="L15260" s="1285"/>
    </row>
    <row r="15261" spans="1:12" ht="9" customHeight="1">
      <c r="A15261" s="129" t="s">
        <v>23467</v>
      </c>
      <c r="B15261" s="59" t="s">
        <v>23223</v>
      </c>
      <c r="C15261" s="147" t="s">
        <v>20221</v>
      </c>
      <c r="D15261" s="284" t="s">
        <v>897</v>
      </c>
      <c r="E15261" s="178">
        <v>2000</v>
      </c>
      <c r="F15261" s="178" t="s">
        <v>23395</v>
      </c>
      <c r="G15261" s="496"/>
      <c r="H15261" s="994" t="s">
        <v>20224</v>
      </c>
      <c r="I15261" s="11" t="s">
        <v>18856</v>
      </c>
      <c r="J15261" s="1285"/>
      <c r="K15261" s="1285"/>
      <c r="L15261" s="1285"/>
    </row>
    <row r="15262" spans="1:12" ht="9" customHeight="1">
      <c r="A15262" s="129" t="s">
        <v>23473</v>
      </c>
      <c r="B15262" s="59" t="s">
        <v>23225</v>
      </c>
      <c r="C15262" s="147" t="s">
        <v>20221</v>
      </c>
      <c r="D15262" s="284" t="s">
        <v>897</v>
      </c>
      <c r="E15262" s="178">
        <v>2005</v>
      </c>
      <c r="F15262" s="178" t="s">
        <v>23395</v>
      </c>
      <c r="G15262" s="496"/>
      <c r="H15262" s="994" t="s">
        <v>20277</v>
      </c>
      <c r="I15262" s="11" t="s">
        <v>18864</v>
      </c>
      <c r="J15262" s="1285"/>
      <c r="K15262" s="1285"/>
      <c r="L15262" s="1285"/>
    </row>
    <row r="15263" spans="1:12" ht="9" customHeight="1">
      <c r="A15263" s="424"/>
      <c r="B15263" s="154" t="s">
        <v>19033</v>
      </c>
      <c r="C15263" s="147"/>
      <c r="D15263" s="159"/>
      <c r="E15263" s="34"/>
      <c r="F15263" s="178"/>
      <c r="G15263" s="496"/>
      <c r="H15263" s="36"/>
      <c r="I15263" s="11"/>
    </row>
    <row r="15264" spans="1:12" ht="9" customHeight="1">
      <c r="A15264" s="129" t="s">
        <v>23690</v>
      </c>
      <c r="B15264" s="59" t="s">
        <v>20355</v>
      </c>
      <c r="C15264" s="147" t="s">
        <v>20221</v>
      </c>
      <c r="D15264" s="284" t="s">
        <v>897</v>
      </c>
      <c r="E15264" s="178">
        <v>1994</v>
      </c>
      <c r="F15264" s="178" t="s">
        <v>11931</v>
      </c>
      <c r="G15264" s="496"/>
      <c r="H15264" s="994" t="s">
        <v>20224</v>
      </c>
      <c r="I15264" s="11" t="s">
        <v>1572</v>
      </c>
      <c r="J15264" s="1285"/>
      <c r="K15264" s="1285"/>
      <c r="L15264" s="1285"/>
    </row>
    <row r="15265" spans="1:12" ht="9" customHeight="1">
      <c r="A15265" s="129" t="s">
        <v>23641</v>
      </c>
      <c r="B15265" s="59" t="s">
        <v>20431</v>
      </c>
      <c r="C15265" s="147" t="s">
        <v>20221</v>
      </c>
      <c r="D15265" s="284" t="s">
        <v>897</v>
      </c>
      <c r="E15265" s="178">
        <v>1991</v>
      </c>
      <c r="F15265" s="178" t="s">
        <v>11931</v>
      </c>
      <c r="G15265" s="496"/>
      <c r="H15265" s="994" t="s">
        <v>20224</v>
      </c>
      <c r="I15265" s="11" t="s">
        <v>2309</v>
      </c>
      <c r="J15265" s="1285"/>
      <c r="K15265" s="1285"/>
      <c r="L15265" s="1285"/>
    </row>
    <row r="15266" spans="1:12" ht="9" customHeight="1">
      <c r="A15266" s="129" t="s">
        <v>23691</v>
      </c>
      <c r="B15266" s="59" t="s">
        <v>20546</v>
      </c>
      <c r="C15266" s="147" t="s">
        <v>20221</v>
      </c>
      <c r="D15266" s="284" t="s">
        <v>897</v>
      </c>
      <c r="E15266" s="178">
        <v>2003</v>
      </c>
      <c r="F15266" s="178" t="s">
        <v>11931</v>
      </c>
      <c r="G15266" s="496"/>
      <c r="H15266" s="994" t="s">
        <v>20224</v>
      </c>
      <c r="I15266" s="11" t="s">
        <v>3130</v>
      </c>
      <c r="J15266" s="1285"/>
      <c r="K15266" s="1285"/>
      <c r="L15266" s="1285"/>
    </row>
    <row r="15267" spans="1:12" ht="9" customHeight="1">
      <c r="A15267" s="129" t="s">
        <v>23679</v>
      </c>
      <c r="B15267" s="59" t="s">
        <v>20578</v>
      </c>
      <c r="C15267" s="147" t="s">
        <v>20221</v>
      </c>
      <c r="D15267" s="284" t="s">
        <v>897</v>
      </c>
      <c r="E15267" s="178">
        <v>1995</v>
      </c>
      <c r="F15267" s="178" t="s">
        <v>11931</v>
      </c>
      <c r="G15267" s="496"/>
      <c r="H15267" s="994" t="s">
        <v>20224</v>
      </c>
      <c r="I15267" s="11" t="s">
        <v>3376</v>
      </c>
      <c r="J15267" s="1285"/>
      <c r="K15267" s="1285"/>
      <c r="L15267" s="1285"/>
    </row>
    <row r="15268" spans="1:12" ht="9" customHeight="1">
      <c r="A15268" s="129" t="s">
        <v>23692</v>
      </c>
      <c r="B15268" s="59" t="s">
        <v>21411</v>
      </c>
      <c r="C15268" s="147" t="s">
        <v>20221</v>
      </c>
      <c r="D15268" s="284" t="s">
        <v>897</v>
      </c>
      <c r="E15268" s="178">
        <v>1987</v>
      </c>
      <c r="F15268" s="178" t="s">
        <v>5257</v>
      </c>
      <c r="G15268" s="496"/>
      <c r="H15268" s="994" t="s">
        <v>20224</v>
      </c>
      <c r="I15268" s="11" t="s">
        <v>8891</v>
      </c>
      <c r="J15268" s="1285"/>
      <c r="K15268" s="1285"/>
      <c r="L15268" s="1285"/>
    </row>
    <row r="15269" spans="1:12" ht="9" customHeight="1">
      <c r="A15269" s="129" t="s">
        <v>23692</v>
      </c>
      <c r="B15269" s="59" t="s">
        <v>21411</v>
      </c>
      <c r="C15269" s="147" t="s">
        <v>20221</v>
      </c>
      <c r="D15269" s="284" t="s">
        <v>897</v>
      </c>
      <c r="E15269" s="178">
        <v>1982</v>
      </c>
      <c r="F15269" s="178" t="s">
        <v>5257</v>
      </c>
      <c r="G15269" s="496"/>
      <c r="H15269" s="994" t="s">
        <v>20221</v>
      </c>
      <c r="I15269" s="11" t="s">
        <v>8893</v>
      </c>
      <c r="J15269" s="1285"/>
      <c r="K15269" s="1285"/>
      <c r="L15269" s="1285"/>
    </row>
    <row r="15270" spans="1:12" ht="9" customHeight="1">
      <c r="A15270" s="129" t="s">
        <v>23693</v>
      </c>
      <c r="B15270" s="59" t="s">
        <v>21457</v>
      </c>
      <c r="C15270" s="147" t="s">
        <v>20221</v>
      </c>
      <c r="D15270" s="284" t="s">
        <v>897</v>
      </c>
      <c r="E15270" s="178">
        <v>2005</v>
      </c>
      <c r="F15270" s="178" t="s">
        <v>11931</v>
      </c>
      <c r="G15270" s="496"/>
      <c r="H15270" s="994" t="s">
        <v>20224</v>
      </c>
      <c r="I15270" s="11" t="s">
        <v>9155</v>
      </c>
      <c r="J15270" s="1285"/>
      <c r="K15270" s="1285"/>
      <c r="L15270" s="1285"/>
    </row>
    <row r="15271" spans="1:12" ht="9" customHeight="1">
      <c r="A15271" s="129" t="s">
        <v>23693</v>
      </c>
      <c r="B15271" s="59" t="s">
        <v>21458</v>
      </c>
      <c r="C15271" s="147" t="s">
        <v>20221</v>
      </c>
      <c r="D15271" s="284" t="s">
        <v>897</v>
      </c>
      <c r="E15271" s="178">
        <v>2005</v>
      </c>
      <c r="F15271" s="178" t="s">
        <v>11931</v>
      </c>
      <c r="G15271" s="496"/>
      <c r="H15271" s="994" t="s">
        <v>20221</v>
      </c>
      <c r="I15271" s="11" t="s">
        <v>9161</v>
      </c>
      <c r="J15271" s="1285"/>
      <c r="K15271" s="1285"/>
      <c r="L15271" s="1285"/>
    </row>
    <row r="15272" spans="1:12" ht="9" customHeight="1">
      <c r="A15272" s="129" t="s">
        <v>23499</v>
      </c>
      <c r="B15272" s="59" t="s">
        <v>21693</v>
      </c>
      <c r="C15272" s="147" t="s">
        <v>20221</v>
      </c>
      <c r="D15272" s="284" t="s">
        <v>897</v>
      </c>
      <c r="E15272" s="178">
        <v>2001</v>
      </c>
      <c r="F15272" s="178" t="s">
        <v>11931</v>
      </c>
      <c r="G15272" s="496"/>
      <c r="H15272" s="994" t="s">
        <v>20224</v>
      </c>
      <c r="I15272" s="11" t="s">
        <v>10397</v>
      </c>
      <c r="J15272" s="1285"/>
      <c r="K15272" s="1285"/>
      <c r="L15272" s="1285"/>
    </row>
    <row r="15273" spans="1:12" ht="9" customHeight="1">
      <c r="A15273" s="129" t="s">
        <v>23515</v>
      </c>
      <c r="B15273" s="59" t="s">
        <v>22078</v>
      </c>
      <c r="C15273" s="147" t="s">
        <v>20221</v>
      </c>
      <c r="D15273" s="284" t="s">
        <v>897</v>
      </c>
      <c r="E15273" s="178">
        <v>1996</v>
      </c>
      <c r="F15273" s="178" t="s">
        <v>11931</v>
      </c>
      <c r="G15273" s="496"/>
      <c r="H15273" s="994" t="s">
        <v>20224</v>
      </c>
      <c r="I15273" s="11" t="s">
        <v>13045</v>
      </c>
      <c r="J15273" s="1285"/>
      <c r="K15273" s="1285"/>
      <c r="L15273" s="1285"/>
    </row>
    <row r="15274" spans="1:12" ht="9" customHeight="1">
      <c r="A15274" s="129" t="s">
        <v>23543</v>
      </c>
      <c r="B15274" s="59" t="s">
        <v>22354</v>
      </c>
      <c r="C15274" s="147" t="s">
        <v>20221</v>
      </c>
      <c r="D15274" s="284" t="s">
        <v>897</v>
      </c>
      <c r="E15274" s="178">
        <v>2005</v>
      </c>
      <c r="F15274" s="178" t="s">
        <v>9678</v>
      </c>
      <c r="G15274" s="496"/>
      <c r="H15274" s="994" t="s">
        <v>20277</v>
      </c>
      <c r="I15274" s="11" t="s">
        <v>14682</v>
      </c>
      <c r="J15274" s="1285"/>
      <c r="K15274" s="1285"/>
      <c r="L15274" s="1285"/>
    </row>
    <row r="15275" spans="1:12" ht="9" customHeight="1">
      <c r="A15275" s="811"/>
      <c r="B15275" s="89"/>
      <c r="C15275" s="147"/>
      <c r="D15275" s="106"/>
      <c r="E15275" s="89"/>
      <c r="F15275" s="178"/>
      <c r="G15275" s="106"/>
      <c r="H15275" s="726"/>
      <c r="I15275" s="11"/>
    </row>
    <row r="15276" spans="1:12" ht="24" customHeight="1">
      <c r="A15276" s="938" t="s">
        <v>18978</v>
      </c>
      <c r="B15276" s="934" t="s">
        <v>18956</v>
      </c>
      <c r="C15276" s="147"/>
      <c r="D15276" s="107"/>
      <c r="E15276" s="927"/>
      <c r="F15276" s="178"/>
      <c r="G15276" s="1269"/>
      <c r="H15276" s="928"/>
      <c r="I15276" s="11"/>
    </row>
    <row r="15277" spans="1:12" ht="9" customHeight="1">
      <c r="A15277" s="129" t="s">
        <v>23660</v>
      </c>
      <c r="B15277" s="90" t="s">
        <v>19034</v>
      </c>
      <c r="C15277" s="147" t="s">
        <v>20221</v>
      </c>
      <c r="D15277" s="284" t="s">
        <v>897</v>
      </c>
      <c r="E15277" s="178">
        <v>2017</v>
      </c>
      <c r="F15277" s="178" t="s">
        <v>4520</v>
      </c>
      <c r="G15277" s="496"/>
      <c r="H15277" s="994" t="s">
        <v>20221</v>
      </c>
      <c r="I15277" s="11" t="s">
        <v>12101</v>
      </c>
      <c r="J15277" s="1285"/>
      <c r="K15277" s="1285"/>
      <c r="L15277" s="1285"/>
    </row>
    <row r="15278" spans="1:12" ht="9" customHeight="1">
      <c r="A15278" s="129" t="s">
        <v>23483</v>
      </c>
      <c r="B15278" s="90" t="s">
        <v>19035</v>
      </c>
      <c r="C15278" s="147" t="s">
        <v>23393</v>
      </c>
      <c r="D15278" s="284" t="s">
        <v>897</v>
      </c>
      <c r="E15278" s="178">
        <v>2016</v>
      </c>
      <c r="F15278" s="178" t="s">
        <v>4520</v>
      </c>
      <c r="G15278" s="496"/>
      <c r="H15278" s="994" t="s">
        <v>20221</v>
      </c>
      <c r="I15278" s="11" t="s">
        <v>8849</v>
      </c>
      <c r="J15278" s="1285"/>
      <c r="K15278" s="1285"/>
      <c r="L15278" s="1285"/>
    </row>
    <row r="15279" spans="1:12" ht="9" customHeight="1">
      <c r="A15279" s="129" t="s">
        <v>23598</v>
      </c>
      <c r="B15279" s="90" t="s">
        <v>19036</v>
      </c>
      <c r="C15279" s="147" t="s">
        <v>20221</v>
      </c>
      <c r="D15279" s="284" t="s">
        <v>897</v>
      </c>
      <c r="E15279" s="178">
        <v>2016</v>
      </c>
      <c r="F15279" s="178" t="s">
        <v>4520</v>
      </c>
      <c r="G15279" s="496"/>
      <c r="H15279" s="994" t="s">
        <v>20221</v>
      </c>
      <c r="I15279" s="11" t="s">
        <v>16334</v>
      </c>
      <c r="J15279" s="1285"/>
      <c r="K15279" s="1285"/>
      <c r="L15279" s="1285"/>
    </row>
    <row r="15280" spans="1:12" ht="9" customHeight="1">
      <c r="A15280" s="129" t="s">
        <v>23598</v>
      </c>
      <c r="B15280" s="90" t="s">
        <v>19037</v>
      </c>
      <c r="C15280" s="147" t="s">
        <v>20221</v>
      </c>
      <c r="D15280" s="284" t="s">
        <v>897</v>
      </c>
      <c r="E15280" s="178">
        <v>2016</v>
      </c>
      <c r="F15280" s="178" t="s">
        <v>4520</v>
      </c>
      <c r="G15280" s="496"/>
      <c r="H15280" s="994" t="s">
        <v>20221</v>
      </c>
      <c r="I15280" s="11" t="s">
        <v>16340</v>
      </c>
      <c r="J15280" s="1285"/>
      <c r="K15280" s="1285"/>
      <c r="L15280" s="1285"/>
    </row>
    <row r="15281" spans="1:12" ht="9" customHeight="1">
      <c r="A15281" s="129" t="s">
        <v>23442</v>
      </c>
      <c r="B15281" s="90" t="s">
        <v>19038</v>
      </c>
      <c r="C15281" s="147" t="s">
        <v>20221</v>
      </c>
      <c r="D15281" s="284" t="s">
        <v>897</v>
      </c>
      <c r="E15281" s="178">
        <v>2015</v>
      </c>
      <c r="F15281" s="178" t="s">
        <v>4520</v>
      </c>
      <c r="G15281" s="496"/>
      <c r="H15281" s="994" t="s">
        <v>20221</v>
      </c>
      <c r="I15281" s="11" t="s">
        <v>13712</v>
      </c>
      <c r="J15281" s="1285"/>
      <c r="K15281" s="1285"/>
      <c r="L15281" s="1285"/>
    </row>
    <row r="15282" spans="1:12" ht="9" customHeight="1">
      <c r="A15282" s="129" t="s">
        <v>23509</v>
      </c>
      <c r="B15282" s="414" t="s">
        <v>19039</v>
      </c>
      <c r="C15282" s="147" t="s">
        <v>20221</v>
      </c>
      <c r="D15282" s="284" t="s">
        <v>897</v>
      </c>
      <c r="E15282" s="178">
        <v>2019</v>
      </c>
      <c r="F15282" s="178" t="s">
        <v>4520</v>
      </c>
      <c r="G15282" s="496"/>
      <c r="H15282" s="994" t="s">
        <v>20221</v>
      </c>
      <c r="I15282" s="11" t="s">
        <v>10595</v>
      </c>
      <c r="J15282" s="1285"/>
      <c r="K15282" s="1285"/>
      <c r="L15282" s="1285"/>
    </row>
    <row r="15283" spans="1:12" ht="9" customHeight="1">
      <c r="A15283" s="129" t="s">
        <v>23566</v>
      </c>
      <c r="B15283" s="90" t="s">
        <v>19040</v>
      </c>
      <c r="C15283" s="147" t="s">
        <v>20221</v>
      </c>
      <c r="D15283" s="284" t="s">
        <v>897</v>
      </c>
      <c r="E15283" s="178">
        <v>2017</v>
      </c>
      <c r="F15283" s="178" t="s">
        <v>23395</v>
      </c>
      <c r="G15283" s="496"/>
      <c r="H15283" s="994" t="s">
        <v>20221</v>
      </c>
      <c r="I15283" s="11" t="s">
        <v>10981</v>
      </c>
      <c r="J15283" s="1285"/>
      <c r="K15283" s="1285"/>
      <c r="L15283" s="1285"/>
    </row>
    <row r="15284" spans="1:12" ht="9" customHeight="1">
      <c r="A15284" s="129" t="s">
        <v>23638</v>
      </c>
      <c r="B15284" s="414" t="s">
        <v>19041</v>
      </c>
      <c r="C15284" s="147" t="s">
        <v>20221</v>
      </c>
      <c r="D15284" s="284" t="s">
        <v>897</v>
      </c>
      <c r="E15284" s="178" t="s">
        <v>20221</v>
      </c>
      <c r="F15284" s="178" t="s">
        <v>23422</v>
      </c>
      <c r="G15284" s="496" t="s">
        <v>20221</v>
      </c>
      <c r="H15284" s="994" t="s">
        <v>3907</v>
      </c>
      <c r="I15284" s="11" t="s">
        <v>14879</v>
      </c>
      <c r="J15284" s="1285"/>
      <c r="K15284" s="1285"/>
      <c r="L15284" s="1285"/>
    </row>
    <row r="15285" spans="1:12" ht="9" customHeight="1">
      <c r="A15285" s="129" t="s">
        <v>23652</v>
      </c>
      <c r="B15285" s="90" t="s">
        <v>19042</v>
      </c>
      <c r="C15285" s="147" t="s">
        <v>20221</v>
      </c>
      <c r="D15285" s="284" t="s">
        <v>897</v>
      </c>
      <c r="E15285" s="178">
        <v>2022</v>
      </c>
      <c r="F15285" s="178" t="s">
        <v>4520</v>
      </c>
      <c r="G15285" s="496"/>
      <c r="H15285" s="994" t="s">
        <v>20221</v>
      </c>
      <c r="I15285" s="11" t="s">
        <v>12137</v>
      </c>
      <c r="J15285" s="1285"/>
      <c r="K15285" s="1285"/>
      <c r="L15285" s="1285"/>
    </row>
    <row r="15286" spans="1:12" ht="9" customHeight="1">
      <c r="A15286" s="129" t="s">
        <v>23541</v>
      </c>
      <c r="B15286" s="90" t="s">
        <v>19043</v>
      </c>
      <c r="C15286" s="147" t="s">
        <v>23393</v>
      </c>
      <c r="D15286" s="284" t="s">
        <v>897</v>
      </c>
      <c r="E15286" s="178">
        <v>2016</v>
      </c>
      <c r="F15286" s="178" t="s">
        <v>23395</v>
      </c>
      <c r="G15286" s="496"/>
      <c r="H15286" s="994" t="s">
        <v>20221</v>
      </c>
      <c r="I15286" s="11" t="s">
        <v>14489</v>
      </c>
      <c r="J15286" s="1285"/>
      <c r="K15286" s="1285"/>
      <c r="L15286" s="1285"/>
    </row>
    <row r="15287" spans="1:12" ht="9" customHeight="1">
      <c r="A15287" s="129" t="s">
        <v>23673</v>
      </c>
      <c r="B15287" s="90" t="s">
        <v>19044</v>
      </c>
      <c r="C15287" s="147" t="s">
        <v>20221</v>
      </c>
      <c r="D15287" s="284" t="s">
        <v>897</v>
      </c>
      <c r="E15287" s="178">
        <v>2008</v>
      </c>
      <c r="F15287" s="178" t="s">
        <v>23395</v>
      </c>
      <c r="G15287" s="496"/>
      <c r="H15287" s="994" t="s">
        <v>20221</v>
      </c>
      <c r="I15287" s="11" t="s">
        <v>12241</v>
      </c>
      <c r="J15287" s="1285"/>
      <c r="K15287" s="1285"/>
      <c r="L15287" s="1285"/>
    </row>
    <row r="15288" spans="1:12" ht="9" customHeight="1">
      <c r="A15288" s="129"/>
      <c r="B15288" s="90"/>
      <c r="C15288" s="147"/>
      <c r="D15288" s="284"/>
      <c r="E15288" s="178"/>
      <c r="F15288" s="178"/>
      <c r="G15288" s="496"/>
      <c r="H15288" s="994"/>
      <c r="I15288" s="11"/>
      <c r="J15288" s="1285"/>
      <c r="K15288" s="1285"/>
      <c r="L15288" s="1285"/>
    </row>
    <row r="15289" spans="1:12" ht="24" customHeight="1">
      <c r="A15289" s="938"/>
      <c r="B15289" s="934" t="s">
        <v>18973</v>
      </c>
      <c r="C15289" s="147"/>
      <c r="D15289" s="907"/>
      <c r="E15289" s="240"/>
      <c r="F15289" s="178"/>
      <c r="G15289" s="1266"/>
      <c r="H15289" s="909"/>
      <c r="I15289" s="11"/>
    </row>
    <row r="15290" spans="1:12" ht="24" customHeight="1">
      <c r="A15290" s="938" t="s">
        <v>19045</v>
      </c>
      <c r="B15290" s="937" t="s">
        <v>18974</v>
      </c>
      <c r="C15290" s="147"/>
      <c r="D15290" s="907"/>
      <c r="E15290" s="240"/>
      <c r="F15290" s="178"/>
      <c r="G15290" s="1266"/>
      <c r="H15290" s="909"/>
      <c r="I15290" s="11"/>
    </row>
    <row r="15291" spans="1:12" ht="9" customHeight="1">
      <c r="A15291" s="129" t="s">
        <v>23620</v>
      </c>
      <c r="B15291" s="59" t="s">
        <v>21959</v>
      </c>
      <c r="C15291" s="147" t="s">
        <v>20221</v>
      </c>
      <c r="D15291" s="284" t="s">
        <v>897</v>
      </c>
      <c r="E15291" s="178">
        <v>2021</v>
      </c>
      <c r="F15291" s="178" t="s">
        <v>4520</v>
      </c>
      <c r="G15291" s="496"/>
      <c r="H15291" s="994" t="s">
        <v>20221</v>
      </c>
      <c r="I15291" s="11" t="s">
        <v>12210</v>
      </c>
      <c r="J15291" s="1285"/>
      <c r="K15291" s="1285"/>
      <c r="L15291" s="1285"/>
    </row>
    <row r="15292" spans="1:12" ht="9" customHeight="1">
      <c r="A15292" s="129" t="s">
        <v>23622</v>
      </c>
      <c r="B15292" s="59" t="s">
        <v>21046</v>
      </c>
      <c r="C15292" s="147" t="s">
        <v>23393</v>
      </c>
      <c r="D15292" s="284" t="s">
        <v>897</v>
      </c>
      <c r="E15292" s="178">
        <v>2021</v>
      </c>
      <c r="F15292" s="178" t="s">
        <v>4520</v>
      </c>
      <c r="G15292" s="496"/>
      <c r="H15292" s="994" t="s">
        <v>20224</v>
      </c>
      <c r="I15292" s="11" t="s">
        <v>6614</v>
      </c>
      <c r="J15292" s="1285"/>
      <c r="K15292" s="1285"/>
      <c r="L15292" s="1285"/>
    </row>
    <row r="15293" spans="1:12" ht="9" customHeight="1">
      <c r="A15293" s="129" t="s">
        <v>23622</v>
      </c>
      <c r="B15293" s="59" t="s">
        <v>21047</v>
      </c>
      <c r="C15293" s="147" t="s">
        <v>23393</v>
      </c>
      <c r="D15293" s="284" t="s">
        <v>897</v>
      </c>
      <c r="E15293" s="178">
        <v>2020</v>
      </c>
      <c r="F15293" s="178" t="s">
        <v>4520</v>
      </c>
      <c r="G15293" s="496"/>
      <c r="H15293" s="994" t="s">
        <v>20221</v>
      </c>
      <c r="I15293" s="11" t="s">
        <v>6603</v>
      </c>
      <c r="J15293" s="1285"/>
      <c r="K15293" s="1285"/>
      <c r="L15293" s="1285"/>
    </row>
    <row r="15294" spans="1:12" ht="9" customHeight="1">
      <c r="A15294" s="129" t="s">
        <v>23579</v>
      </c>
      <c r="B15294" s="59" t="s">
        <v>21174</v>
      </c>
      <c r="C15294" s="147" t="s">
        <v>23393</v>
      </c>
      <c r="D15294" s="284" t="s">
        <v>897</v>
      </c>
      <c r="E15294" s="178">
        <v>2018</v>
      </c>
      <c r="F15294" s="178" t="s">
        <v>4520</v>
      </c>
      <c r="G15294" s="496"/>
      <c r="H15294" s="994" t="s">
        <v>20221</v>
      </c>
      <c r="I15294" s="11" t="s">
        <v>7498</v>
      </c>
      <c r="J15294" s="1285"/>
      <c r="K15294" s="1285"/>
      <c r="L15294" s="1285"/>
    </row>
    <row r="15295" spans="1:12" ht="9" customHeight="1">
      <c r="A15295" s="129" t="s">
        <v>23660</v>
      </c>
      <c r="B15295" s="59" t="s">
        <v>21937</v>
      </c>
      <c r="C15295" s="147" t="s">
        <v>20221</v>
      </c>
      <c r="D15295" s="284" t="s">
        <v>897</v>
      </c>
      <c r="E15295" s="178">
        <v>2017</v>
      </c>
      <c r="F15295" s="178" t="s">
        <v>4520</v>
      </c>
      <c r="G15295" s="496"/>
      <c r="H15295" s="994" t="s">
        <v>20221</v>
      </c>
      <c r="I15295" s="11" t="s">
        <v>12101</v>
      </c>
      <c r="J15295" s="1285"/>
      <c r="K15295" s="1285"/>
      <c r="L15295" s="1285"/>
    </row>
    <row r="15296" spans="1:12" ht="9" customHeight="1">
      <c r="A15296" s="129" t="s">
        <v>23483</v>
      </c>
      <c r="B15296" s="59" t="s">
        <v>21409</v>
      </c>
      <c r="C15296" s="147" t="s">
        <v>23393</v>
      </c>
      <c r="D15296" s="284" t="s">
        <v>897</v>
      </c>
      <c r="E15296" s="178">
        <v>2018</v>
      </c>
      <c r="F15296" s="178" t="s">
        <v>4520</v>
      </c>
      <c r="G15296" s="496"/>
      <c r="H15296" s="994" t="s">
        <v>20224</v>
      </c>
      <c r="I15296" s="11" t="s">
        <v>8873</v>
      </c>
      <c r="J15296" s="1285"/>
      <c r="K15296" s="1285"/>
      <c r="L15296" s="1285"/>
    </row>
    <row r="15297" spans="1:12" ht="9" customHeight="1">
      <c r="A15297" s="129" t="s">
        <v>23483</v>
      </c>
      <c r="B15297" s="59" t="s">
        <v>21405</v>
      </c>
      <c r="C15297" s="147" t="s">
        <v>23393</v>
      </c>
      <c r="D15297" s="284" t="s">
        <v>897</v>
      </c>
      <c r="E15297" s="178">
        <v>2016</v>
      </c>
      <c r="F15297" s="178" t="s">
        <v>4520</v>
      </c>
      <c r="G15297" s="496"/>
      <c r="H15297" s="994" t="s">
        <v>20221</v>
      </c>
      <c r="I15297" s="11" t="s">
        <v>8849</v>
      </c>
      <c r="J15297" s="1285"/>
      <c r="K15297" s="1285"/>
      <c r="L15297" s="1285"/>
    </row>
    <row r="15298" spans="1:12" ht="9" customHeight="1">
      <c r="A15298" s="129" t="s">
        <v>23623</v>
      </c>
      <c r="B15298" s="59" t="s">
        <v>20519</v>
      </c>
      <c r="C15298" s="147" t="s">
        <v>23393</v>
      </c>
      <c r="D15298" s="284" t="s">
        <v>897</v>
      </c>
      <c r="E15298" s="178">
        <v>2019</v>
      </c>
      <c r="F15298" s="178" t="s">
        <v>4520</v>
      </c>
      <c r="G15298" s="496"/>
      <c r="H15298" s="994" t="s">
        <v>20221</v>
      </c>
      <c r="I15298" s="11" t="s">
        <v>2934</v>
      </c>
      <c r="J15298" s="1285"/>
      <c r="K15298" s="1285"/>
      <c r="L15298" s="1285"/>
    </row>
    <row r="15299" spans="1:12" ht="9" customHeight="1">
      <c r="A15299" s="129" t="s">
        <v>23679</v>
      </c>
      <c r="B15299" s="59" t="s">
        <v>20575</v>
      </c>
      <c r="C15299" s="147" t="s">
        <v>23393</v>
      </c>
      <c r="D15299" s="284" t="s">
        <v>897</v>
      </c>
      <c r="E15299" s="178">
        <v>2020</v>
      </c>
      <c r="F15299" s="178" t="s">
        <v>4520</v>
      </c>
      <c r="G15299" s="496"/>
      <c r="H15299" s="994" t="s">
        <v>20221</v>
      </c>
      <c r="I15299" s="11" t="s">
        <v>3358</v>
      </c>
      <c r="J15299" s="1285"/>
      <c r="K15299" s="1285"/>
      <c r="L15299" s="1285"/>
    </row>
    <row r="15300" spans="1:12" ht="9" customHeight="1">
      <c r="A15300" s="129" t="s">
        <v>23694</v>
      </c>
      <c r="B15300" s="59" t="s">
        <v>22014</v>
      </c>
      <c r="C15300" s="147" t="s">
        <v>20221</v>
      </c>
      <c r="D15300" s="284" t="s">
        <v>897</v>
      </c>
      <c r="E15300" s="178">
        <v>2012</v>
      </c>
      <c r="F15300" s="178" t="s">
        <v>4520</v>
      </c>
      <c r="G15300" s="496"/>
      <c r="H15300" s="994" t="s">
        <v>20221</v>
      </c>
      <c r="I15300" s="11" t="s">
        <v>12482</v>
      </c>
      <c r="J15300" s="1285"/>
      <c r="K15300" s="1285"/>
      <c r="L15300" s="1285"/>
    </row>
    <row r="15301" spans="1:12" ht="9" customHeight="1">
      <c r="A15301" s="129" t="s">
        <v>23626</v>
      </c>
      <c r="B15301" s="59" t="s">
        <v>21145</v>
      </c>
      <c r="C15301" s="147" t="s">
        <v>20221</v>
      </c>
      <c r="D15301" s="284" t="s">
        <v>897</v>
      </c>
      <c r="E15301" s="178">
        <v>2016</v>
      </c>
      <c r="F15301" s="178" t="s">
        <v>4520</v>
      </c>
      <c r="G15301" s="496"/>
      <c r="H15301" s="994" t="s">
        <v>20221</v>
      </c>
      <c r="I15301" s="11" t="s">
        <v>5777</v>
      </c>
      <c r="J15301" s="1285"/>
      <c r="K15301" s="1285"/>
      <c r="L15301" s="1285"/>
    </row>
    <row r="15302" spans="1:12" ht="9" customHeight="1">
      <c r="A15302" s="129" t="s">
        <v>23553</v>
      </c>
      <c r="B15302" s="59" t="s">
        <v>20474</v>
      </c>
      <c r="C15302" s="147" t="s">
        <v>20221</v>
      </c>
      <c r="D15302" s="284" t="s">
        <v>897</v>
      </c>
      <c r="E15302" s="178">
        <v>2015</v>
      </c>
      <c r="F15302" s="178" t="s">
        <v>23395</v>
      </c>
      <c r="G15302" s="496"/>
      <c r="H15302" s="994" t="s">
        <v>20277</v>
      </c>
      <c r="I15302" s="11" t="s">
        <v>2598</v>
      </c>
      <c r="J15302" s="1285"/>
      <c r="K15302" s="1285"/>
      <c r="L15302" s="1285"/>
    </row>
    <row r="15303" spans="1:12" ht="9" customHeight="1">
      <c r="A15303" s="129" t="s">
        <v>23514</v>
      </c>
      <c r="B15303" s="59" t="s">
        <v>22160</v>
      </c>
      <c r="C15303" s="147" t="s">
        <v>20221</v>
      </c>
      <c r="D15303" s="284" t="s">
        <v>897</v>
      </c>
      <c r="E15303" s="178">
        <v>2015</v>
      </c>
      <c r="F15303" s="178" t="s">
        <v>4520</v>
      </c>
      <c r="G15303" s="496"/>
      <c r="H15303" s="994" t="s">
        <v>20221</v>
      </c>
      <c r="I15303" s="11" t="s">
        <v>13673</v>
      </c>
      <c r="J15303" s="1285"/>
      <c r="K15303" s="1285"/>
      <c r="L15303" s="1285"/>
    </row>
    <row r="15304" spans="1:12" ht="9" customHeight="1">
      <c r="A15304" s="129" t="s">
        <v>23695</v>
      </c>
      <c r="B15304" s="59" t="s">
        <v>21439</v>
      </c>
      <c r="C15304" s="147" t="s">
        <v>20221</v>
      </c>
      <c r="D15304" s="284" t="s">
        <v>897</v>
      </c>
      <c r="E15304" s="178">
        <v>2013</v>
      </c>
      <c r="F15304" s="178" t="s">
        <v>23395</v>
      </c>
      <c r="G15304" s="496"/>
      <c r="H15304" s="994" t="s">
        <v>20221</v>
      </c>
      <c r="I15304" s="11" t="s">
        <v>8999</v>
      </c>
      <c r="J15304" s="1285"/>
      <c r="K15304" s="1285"/>
      <c r="L15304" s="1285"/>
    </row>
    <row r="15305" spans="1:12" ht="11.15" customHeight="1">
      <c r="A15305" s="811"/>
      <c r="B15305" s="90"/>
      <c r="C15305" s="147"/>
      <c r="D15305" s="122"/>
      <c r="E15305" s="36"/>
      <c r="F15305" s="178"/>
      <c r="G15305" s="671"/>
      <c r="H15305" s="36"/>
      <c r="I15305" s="11"/>
    </row>
    <row r="15306" spans="1:12" ht="24" customHeight="1">
      <c r="A15306" s="938" t="s">
        <v>19046</v>
      </c>
      <c r="B15306" s="916" t="s">
        <v>19047</v>
      </c>
      <c r="C15306" s="147"/>
      <c r="D15306" s="907"/>
      <c r="E15306" s="878"/>
      <c r="F15306" s="178"/>
      <c r="G15306" s="1266"/>
      <c r="H15306" s="909"/>
      <c r="I15306" s="11"/>
    </row>
    <row r="15307" spans="1:12" ht="9" customHeight="1">
      <c r="A15307" s="129" t="s">
        <v>23696</v>
      </c>
      <c r="B15307" s="59" t="s">
        <v>22076</v>
      </c>
      <c r="C15307" s="147" t="s">
        <v>20221</v>
      </c>
      <c r="D15307" s="284" t="s">
        <v>897</v>
      </c>
      <c r="E15307" s="178">
        <v>1996</v>
      </c>
      <c r="F15307" s="178" t="s">
        <v>4520</v>
      </c>
      <c r="G15307" s="496"/>
      <c r="H15307" s="994" t="s">
        <v>20221</v>
      </c>
      <c r="I15307" s="11" t="s">
        <v>13040</v>
      </c>
      <c r="J15307" s="1285"/>
      <c r="K15307" s="1285"/>
      <c r="L15307" s="1285"/>
    </row>
    <row r="15308" spans="1:12" ht="9" customHeight="1">
      <c r="A15308" s="129" t="s">
        <v>13115</v>
      </c>
      <c r="B15308" s="59" t="s">
        <v>19048</v>
      </c>
      <c r="C15308" s="147" t="s">
        <v>20221</v>
      </c>
      <c r="D15308" s="284" t="s">
        <v>897</v>
      </c>
      <c r="E15308" s="178">
        <v>2012</v>
      </c>
      <c r="F15308" s="178" t="s">
        <v>4520</v>
      </c>
      <c r="G15308" s="496"/>
      <c r="H15308" s="994" t="s">
        <v>20221</v>
      </c>
      <c r="I15308" s="11" t="s">
        <v>13131</v>
      </c>
      <c r="J15308" s="1285"/>
      <c r="K15308" s="1285"/>
      <c r="L15308" s="1285"/>
    </row>
    <row r="15309" spans="1:12" ht="9" customHeight="1">
      <c r="A15309" s="129" t="s">
        <v>23697</v>
      </c>
      <c r="B15309" s="59" t="s">
        <v>19049</v>
      </c>
      <c r="C15309" s="147" t="s">
        <v>20221</v>
      </c>
      <c r="D15309" s="284" t="s">
        <v>897</v>
      </c>
      <c r="E15309" s="178">
        <v>2012</v>
      </c>
      <c r="F15309" s="178" t="s">
        <v>4520</v>
      </c>
      <c r="G15309" s="496"/>
      <c r="H15309" s="994" t="s">
        <v>20221</v>
      </c>
      <c r="I15309" s="11" t="s">
        <v>12965</v>
      </c>
      <c r="J15309" s="1285"/>
      <c r="K15309" s="1285"/>
      <c r="L15309" s="1285"/>
    </row>
    <row r="15310" spans="1:12" ht="9" customHeight="1">
      <c r="A15310" s="129" t="s">
        <v>23205</v>
      </c>
      <c r="B15310" s="59" t="s">
        <v>19050</v>
      </c>
      <c r="C15310" s="147" t="s">
        <v>20221</v>
      </c>
      <c r="D15310" s="284" t="s">
        <v>897</v>
      </c>
      <c r="E15310" s="178">
        <v>2009</v>
      </c>
      <c r="F15310" s="178" t="s">
        <v>4520</v>
      </c>
      <c r="G15310" s="496"/>
      <c r="H15310" s="994" t="s">
        <v>20221</v>
      </c>
      <c r="I15310" s="11" t="s">
        <v>18857</v>
      </c>
      <c r="J15310" s="1285"/>
      <c r="K15310" s="1285"/>
      <c r="L15310" s="1285"/>
    </row>
    <row r="15311" spans="1:12" ht="9" customHeight="1">
      <c r="A15311" s="129" t="s">
        <v>23696</v>
      </c>
      <c r="B15311" s="59" t="s">
        <v>19051</v>
      </c>
      <c r="C15311" s="147" t="s">
        <v>20221</v>
      </c>
      <c r="D15311" s="284" t="s">
        <v>897</v>
      </c>
      <c r="E15311" s="178">
        <v>2007</v>
      </c>
      <c r="F15311" s="178" t="s">
        <v>4520</v>
      </c>
      <c r="G15311" s="496"/>
      <c r="H15311" s="994" t="s">
        <v>20221</v>
      </c>
      <c r="I15311" s="11" t="s">
        <v>13032</v>
      </c>
      <c r="J15311" s="1285"/>
      <c r="K15311" s="1285"/>
      <c r="L15311" s="1285"/>
    </row>
    <row r="15312" spans="1:12" ht="9" customHeight="1">
      <c r="A15312" s="129" t="s">
        <v>23696</v>
      </c>
      <c r="B15312" s="59" t="s">
        <v>19052</v>
      </c>
      <c r="C15312" s="147" t="s">
        <v>20221</v>
      </c>
      <c r="D15312" s="284" t="s">
        <v>897</v>
      </c>
      <c r="E15312" s="178">
        <v>2013</v>
      </c>
      <c r="F15312" s="178" t="s">
        <v>9678</v>
      </c>
      <c r="G15312" s="496"/>
      <c r="H15312" s="994" t="s">
        <v>20221</v>
      </c>
      <c r="I15312" s="11" t="s">
        <v>13044</v>
      </c>
      <c r="J15312" s="1285"/>
      <c r="K15312" s="1285"/>
      <c r="L15312" s="1285"/>
    </row>
    <row r="15313" spans="1:12" ht="9" customHeight="1">
      <c r="A15313" s="129" t="s">
        <v>13115</v>
      </c>
      <c r="B15313" s="59" t="s">
        <v>19053</v>
      </c>
      <c r="C15313" s="147" t="s">
        <v>20221</v>
      </c>
      <c r="D15313" s="284" t="s">
        <v>897</v>
      </c>
      <c r="E15313" s="178">
        <v>2010</v>
      </c>
      <c r="F15313" s="178" t="s">
        <v>9678</v>
      </c>
      <c r="G15313" s="496"/>
      <c r="H15313" s="994" t="s">
        <v>20221</v>
      </c>
      <c r="I15313" s="11" t="s">
        <v>13135</v>
      </c>
      <c r="J15313" s="1285"/>
      <c r="K15313" s="1285"/>
      <c r="L15313" s="1285"/>
    </row>
    <row r="15314" spans="1:12" ht="9" customHeight="1">
      <c r="A15314" s="129" t="s">
        <v>23697</v>
      </c>
      <c r="B15314" s="59" t="s">
        <v>19054</v>
      </c>
      <c r="C15314" s="147" t="s">
        <v>20221</v>
      </c>
      <c r="D15314" s="284" t="s">
        <v>897</v>
      </c>
      <c r="E15314" s="178">
        <v>2009</v>
      </c>
      <c r="F15314" s="178" t="s">
        <v>5257</v>
      </c>
      <c r="G15314" s="496"/>
      <c r="H15314" s="994" t="s">
        <v>20224</v>
      </c>
      <c r="I15314" s="11" t="s">
        <v>13002</v>
      </c>
      <c r="J15314" s="1285"/>
      <c r="K15314" s="1285"/>
      <c r="L15314" s="1285"/>
    </row>
    <row r="15315" spans="1:12" ht="9" customHeight="1">
      <c r="A15315" s="129" t="s">
        <v>13115</v>
      </c>
      <c r="B15315" s="59" t="s">
        <v>19055</v>
      </c>
      <c r="C15315" s="147" t="s">
        <v>20221</v>
      </c>
      <c r="D15315" s="284" t="s">
        <v>897</v>
      </c>
      <c r="E15315" s="178">
        <v>2010</v>
      </c>
      <c r="F15315" s="178" t="s">
        <v>11938</v>
      </c>
      <c r="G15315" s="496"/>
      <c r="H15315" s="994" t="s">
        <v>20224</v>
      </c>
      <c r="I15315" s="11" t="s">
        <v>13138</v>
      </c>
      <c r="J15315" s="1285"/>
      <c r="K15315" s="1285"/>
      <c r="L15315" s="1285"/>
    </row>
    <row r="15316" spans="1:12" ht="9" customHeight="1">
      <c r="A15316" s="129" t="s">
        <v>23697</v>
      </c>
      <c r="B15316" s="59" t="s">
        <v>19056</v>
      </c>
      <c r="C15316" s="147" t="s">
        <v>20221</v>
      </c>
      <c r="D15316" s="284" t="s">
        <v>897</v>
      </c>
      <c r="E15316" s="178">
        <v>2011</v>
      </c>
      <c r="F15316" s="178" t="s">
        <v>11938</v>
      </c>
      <c r="G15316" s="496"/>
      <c r="H15316" s="994" t="s">
        <v>20224</v>
      </c>
      <c r="I15316" s="11" t="s">
        <v>13016</v>
      </c>
      <c r="J15316" s="1285"/>
      <c r="K15316" s="1285"/>
      <c r="L15316" s="1285"/>
    </row>
    <row r="15317" spans="1:12" ht="11.15" customHeight="1" thickBot="1">
      <c r="A15317" s="811"/>
      <c r="B15317" s="90"/>
      <c r="C15317" s="147"/>
      <c r="D15317" s="122"/>
      <c r="E15317" s="36"/>
      <c r="F15317" s="178"/>
      <c r="G15317" s="671"/>
      <c r="H15317" s="36"/>
      <c r="I15317" s="11"/>
    </row>
    <row r="15318" spans="1:12" ht="24" customHeight="1" thickBot="1">
      <c r="A15318" s="234"/>
      <c r="B15318" s="64" t="s">
        <v>19057</v>
      </c>
      <c r="C15318" s="170"/>
      <c r="D15318" s="139"/>
      <c r="E15318" s="874"/>
      <c r="F15318" s="1094"/>
      <c r="G15318" s="1094"/>
      <c r="H15318" s="875"/>
      <c r="I15318" s="11"/>
    </row>
    <row r="15319" spans="1:12" ht="9" customHeight="1">
      <c r="A15319" s="129" t="s">
        <v>23444</v>
      </c>
      <c r="B15319" s="36" t="s">
        <v>19058</v>
      </c>
      <c r="C15319" s="147" t="s">
        <v>20221</v>
      </c>
      <c r="D15319" s="284" t="s">
        <v>897</v>
      </c>
      <c r="E15319" s="178">
        <v>2012</v>
      </c>
      <c r="F15319" s="178" t="s">
        <v>4520</v>
      </c>
      <c r="G15319" s="496"/>
      <c r="H15319" s="994" t="s">
        <v>20221</v>
      </c>
      <c r="I15319" s="11" t="s">
        <v>14040</v>
      </c>
      <c r="J15319" s="1285"/>
      <c r="K15319" s="1285"/>
      <c r="L15319" s="1285"/>
    </row>
    <row r="15320" spans="1:12" ht="9" customHeight="1">
      <c r="A15320" s="129" t="s">
        <v>23489</v>
      </c>
      <c r="B15320" s="90" t="s">
        <v>19059</v>
      </c>
      <c r="C15320" s="147" t="s">
        <v>20221</v>
      </c>
      <c r="D15320" s="1034" t="s">
        <v>879</v>
      </c>
      <c r="E15320" s="178" t="s">
        <v>19060</v>
      </c>
      <c r="F15320" s="178" t="s">
        <v>4520</v>
      </c>
      <c r="G15320" s="496"/>
      <c r="H15320" s="994" t="s">
        <v>20221</v>
      </c>
      <c r="I15320" s="11" t="s">
        <v>961</v>
      </c>
      <c r="J15320" s="1285"/>
      <c r="K15320" s="1285"/>
      <c r="L15320" s="1285"/>
    </row>
    <row r="15321" spans="1:12" ht="9" customHeight="1">
      <c r="A15321" s="129" t="s">
        <v>23485</v>
      </c>
      <c r="B15321" s="36" t="s">
        <v>19061</v>
      </c>
      <c r="C15321" s="147" t="s">
        <v>20221</v>
      </c>
      <c r="D15321" s="701" t="s">
        <v>884</v>
      </c>
      <c r="E15321" s="178">
        <v>2014</v>
      </c>
      <c r="F15321" s="178" t="s">
        <v>9658</v>
      </c>
      <c r="G15321" s="496"/>
      <c r="H15321" s="994" t="s">
        <v>20221</v>
      </c>
      <c r="I15321" s="11" t="s">
        <v>1070</v>
      </c>
      <c r="J15321" s="1285"/>
      <c r="K15321" s="1285"/>
      <c r="L15321" s="1285"/>
    </row>
    <row r="15322" spans="1:12" ht="9" customHeight="1">
      <c r="A15322" s="129" t="s">
        <v>23684</v>
      </c>
      <c r="B15322" s="36" t="s">
        <v>19063</v>
      </c>
      <c r="C15322" s="147" t="s">
        <v>23393</v>
      </c>
      <c r="D15322" s="284" t="s">
        <v>897</v>
      </c>
      <c r="E15322" s="178">
        <v>2022</v>
      </c>
      <c r="F15322" s="178" t="s">
        <v>4520</v>
      </c>
      <c r="G15322" s="496"/>
      <c r="H15322" s="994" t="s">
        <v>20221</v>
      </c>
      <c r="I15322" s="11" t="s">
        <v>7284</v>
      </c>
      <c r="J15322" s="1285"/>
      <c r="K15322" s="1285"/>
      <c r="L15322" s="1285"/>
    </row>
    <row r="15323" spans="1:12" ht="9" customHeight="1">
      <c r="A15323" s="129" t="s">
        <v>23698</v>
      </c>
      <c r="B15323" s="36" t="s">
        <v>19064</v>
      </c>
      <c r="C15323" s="147" t="s">
        <v>20221</v>
      </c>
      <c r="D15323" s="284" t="s">
        <v>897</v>
      </c>
      <c r="E15323" s="178">
        <v>2021</v>
      </c>
      <c r="F15323" s="178" t="s">
        <v>4520</v>
      </c>
      <c r="G15323" s="496"/>
      <c r="H15323" s="994" t="s">
        <v>20221</v>
      </c>
      <c r="I15323" s="11" t="s">
        <v>7959</v>
      </c>
      <c r="J15323" s="1285"/>
      <c r="K15323" s="1285"/>
      <c r="L15323" s="1285"/>
    </row>
    <row r="15324" spans="1:12" ht="9" customHeight="1">
      <c r="A15324" s="129" t="s">
        <v>23616</v>
      </c>
      <c r="B15324" s="36" t="s">
        <v>19065</v>
      </c>
      <c r="C15324" s="147" t="s">
        <v>20221</v>
      </c>
      <c r="D15324" s="739" t="s">
        <v>1410</v>
      </c>
      <c r="E15324" s="178">
        <v>2009</v>
      </c>
      <c r="F15324" s="178" t="s">
        <v>4520</v>
      </c>
      <c r="G15324" s="496"/>
      <c r="H15324" s="994" t="s">
        <v>20221</v>
      </c>
      <c r="I15324" s="11" t="s">
        <v>9113</v>
      </c>
      <c r="J15324" s="1285"/>
      <c r="K15324" s="1285"/>
      <c r="L15324" s="1285"/>
    </row>
    <row r="15325" spans="1:12" ht="9" customHeight="1">
      <c r="A15325" s="129" t="s">
        <v>23584</v>
      </c>
      <c r="B15325" s="226" t="s">
        <v>19066</v>
      </c>
      <c r="C15325" s="147" t="s">
        <v>20221</v>
      </c>
      <c r="D15325" s="284" t="s">
        <v>897</v>
      </c>
      <c r="E15325" s="178">
        <v>2020</v>
      </c>
      <c r="F15325" s="178" t="s">
        <v>11931</v>
      </c>
      <c r="G15325" s="496"/>
      <c r="H15325" s="994" t="s">
        <v>20221</v>
      </c>
      <c r="I15325" s="11" t="s">
        <v>12723</v>
      </c>
      <c r="J15325" s="1285"/>
      <c r="K15325" s="1285"/>
      <c r="L15325" s="1285"/>
    </row>
    <row r="15326" spans="1:12" ht="9" customHeight="1">
      <c r="A15326" s="129" t="s">
        <v>23437</v>
      </c>
      <c r="B15326" s="36" t="s">
        <v>19067</v>
      </c>
      <c r="C15326" s="147" t="s">
        <v>20221</v>
      </c>
      <c r="D15326" s="701" t="s">
        <v>1129</v>
      </c>
      <c r="E15326" s="178">
        <v>2020</v>
      </c>
      <c r="F15326" s="178" t="s">
        <v>4520</v>
      </c>
      <c r="G15326" s="496"/>
      <c r="H15326" s="994" t="s">
        <v>20221</v>
      </c>
      <c r="I15326" s="11" t="s">
        <v>9404</v>
      </c>
      <c r="J15326" s="1285"/>
      <c r="K15326" s="1285"/>
      <c r="L15326" s="1285"/>
    </row>
    <row r="15327" spans="1:12" ht="9" customHeight="1">
      <c r="A15327" s="129" t="s">
        <v>23606</v>
      </c>
      <c r="B15327" s="178" t="s">
        <v>19068</v>
      </c>
      <c r="C15327" s="147" t="s">
        <v>20221</v>
      </c>
      <c r="D15327" s="701" t="s">
        <v>1129</v>
      </c>
      <c r="E15327" s="178">
        <v>2016</v>
      </c>
      <c r="F15327" s="178" t="s">
        <v>4520</v>
      </c>
      <c r="G15327" s="496"/>
      <c r="H15327" s="994" t="s">
        <v>20221</v>
      </c>
      <c r="I15327" s="11" t="s">
        <v>12333</v>
      </c>
      <c r="J15327" s="1285"/>
      <c r="K15327" s="1285"/>
      <c r="L15327" s="1285"/>
    </row>
    <row r="15328" spans="1:12" ht="9" customHeight="1">
      <c r="A15328" s="129" t="s">
        <v>23699</v>
      </c>
      <c r="B15328" s="36" t="s">
        <v>19069</v>
      </c>
      <c r="C15328" s="147" t="s">
        <v>20221</v>
      </c>
      <c r="D15328" s="284" t="s">
        <v>897</v>
      </c>
      <c r="E15328" s="178">
        <v>2015</v>
      </c>
      <c r="F15328" s="178" t="s">
        <v>23395</v>
      </c>
      <c r="G15328" s="496"/>
      <c r="H15328" s="994" t="s">
        <v>20221</v>
      </c>
      <c r="I15328" s="11" t="s">
        <v>16839</v>
      </c>
      <c r="J15328" s="1285"/>
      <c r="K15328" s="1285"/>
      <c r="L15328" s="1285"/>
    </row>
    <row r="15329" spans="1:12" ht="11.15" customHeight="1">
      <c r="A15329" s="129" t="s">
        <v>23559</v>
      </c>
      <c r="B15329" s="90" t="s">
        <v>19070</v>
      </c>
      <c r="C15329" s="147" t="s">
        <v>20221</v>
      </c>
      <c r="D15329" s="284" t="s">
        <v>897</v>
      </c>
      <c r="E15329" s="178">
        <v>2017</v>
      </c>
      <c r="F15329" s="178" t="s">
        <v>4520</v>
      </c>
      <c r="G15329" s="496"/>
      <c r="H15329" s="994" t="s">
        <v>20221</v>
      </c>
      <c r="I15329" s="11" t="s">
        <v>14901</v>
      </c>
      <c r="J15329" s="1285"/>
      <c r="K15329" s="1285"/>
      <c r="L15329" s="1285"/>
    </row>
    <row r="15330" spans="1:12" ht="9" customHeight="1">
      <c r="A15330" s="129" t="s">
        <v>23436</v>
      </c>
      <c r="B15330" s="36" t="s">
        <v>19071</v>
      </c>
      <c r="C15330" s="147" t="s">
        <v>20221</v>
      </c>
      <c r="D15330" s="701" t="s">
        <v>1129</v>
      </c>
      <c r="E15330" s="178">
        <v>2015</v>
      </c>
      <c r="F15330" s="178" t="s">
        <v>7168</v>
      </c>
      <c r="G15330" s="496"/>
      <c r="H15330" s="994" t="s">
        <v>20221</v>
      </c>
      <c r="I15330" s="11" t="s">
        <v>16096</v>
      </c>
      <c r="J15330" s="1285"/>
      <c r="K15330" s="1285"/>
      <c r="L15330" s="1285"/>
    </row>
    <row r="15331" spans="1:12" ht="9" customHeight="1">
      <c r="A15331" s="129" t="s">
        <v>23436</v>
      </c>
      <c r="B15331" s="36" t="s">
        <v>19072</v>
      </c>
      <c r="C15331" s="147" t="s">
        <v>20221</v>
      </c>
      <c r="D15331" s="701" t="s">
        <v>1129</v>
      </c>
      <c r="E15331" s="178">
        <v>2015</v>
      </c>
      <c r="F15331" s="178" t="s">
        <v>4520</v>
      </c>
      <c r="G15331" s="496"/>
      <c r="H15331" s="994" t="s">
        <v>20221</v>
      </c>
      <c r="I15331" s="11" t="s">
        <v>16108</v>
      </c>
      <c r="J15331" s="1285"/>
      <c r="K15331" s="1285"/>
      <c r="L15331" s="1285"/>
    </row>
    <row r="15332" spans="1:12" ht="9" customHeight="1">
      <c r="A15332" s="129" t="s">
        <v>23436</v>
      </c>
      <c r="B15332" s="90" t="s">
        <v>19073</v>
      </c>
      <c r="C15332" s="147" t="s">
        <v>20221</v>
      </c>
      <c r="D15332" s="701" t="s">
        <v>1129</v>
      </c>
      <c r="E15332" s="178">
        <v>2013</v>
      </c>
      <c r="F15332" s="178" t="s">
        <v>11931</v>
      </c>
      <c r="G15332" s="496"/>
      <c r="H15332" s="994" t="s">
        <v>20224</v>
      </c>
      <c r="I15332" s="11" t="s">
        <v>16112</v>
      </c>
      <c r="J15332" s="1285"/>
      <c r="K15332" s="1285"/>
      <c r="L15332" s="1285"/>
    </row>
    <row r="15333" spans="1:12" ht="9" customHeight="1">
      <c r="A15333" s="129" t="s">
        <v>23700</v>
      </c>
      <c r="B15333" s="90" t="s">
        <v>19074</v>
      </c>
      <c r="C15333" s="147" t="s">
        <v>20221</v>
      </c>
      <c r="D15333" s="701" t="s">
        <v>1129</v>
      </c>
      <c r="E15333" s="178">
        <v>2021</v>
      </c>
      <c r="F15333" s="178" t="s">
        <v>4520</v>
      </c>
      <c r="G15333" s="496"/>
      <c r="H15333" s="994" t="s">
        <v>20224</v>
      </c>
      <c r="I15333" s="11" t="s">
        <v>15205</v>
      </c>
      <c r="J15333" s="1285"/>
      <c r="K15333" s="1285"/>
      <c r="L15333" s="1285"/>
    </row>
    <row r="15334" spans="1:12" ht="11.15" customHeight="1" thickBot="1">
      <c r="A15334" s="811"/>
      <c r="B15334" s="940"/>
      <c r="C15334" s="147"/>
      <c r="D15334" s="159"/>
      <c r="E15334" s="36"/>
      <c r="F15334" s="178"/>
      <c r="G15334" s="497"/>
      <c r="H15334" s="36"/>
      <c r="I15334" s="11"/>
    </row>
    <row r="15335" spans="1:12" ht="24" customHeight="1" thickBot="1">
      <c r="A15335" s="234"/>
      <c r="B15335" s="64" t="s">
        <v>19076</v>
      </c>
      <c r="C15335" s="170"/>
      <c r="D15335" s="139"/>
      <c r="E15335" s="874"/>
      <c r="F15335" s="1094"/>
      <c r="G15335" s="1094"/>
      <c r="H15335" s="875"/>
      <c r="I15335" s="11"/>
    </row>
    <row r="15336" spans="1:12" ht="108" customHeight="1">
      <c r="A15336" s="86"/>
      <c r="B15336" s="87"/>
      <c r="C15336" s="147"/>
      <c r="D15336" s="87"/>
      <c r="E15336" s="88"/>
      <c r="F15336" s="178"/>
      <c r="G15336" s="1270"/>
      <c r="H15336" s="88"/>
      <c r="I15336" s="11"/>
    </row>
    <row r="15337" spans="1:12" ht="24" customHeight="1">
      <c r="A15337" s="926" t="s">
        <v>19077</v>
      </c>
      <c r="B15337" s="934" t="s">
        <v>19078</v>
      </c>
      <c r="C15337" s="147"/>
      <c r="D15337" s="107"/>
      <c r="E15337" s="240"/>
      <c r="F15337" s="240"/>
      <c r="G15337" s="1266"/>
      <c r="H15337" s="238"/>
      <c r="I15337" s="11"/>
    </row>
    <row r="15338" spans="1:12" ht="9" customHeight="1">
      <c r="A15338" s="279"/>
      <c r="B15338" s="36" t="s">
        <v>19080</v>
      </c>
      <c r="C15338" s="147" t="s">
        <v>20221</v>
      </c>
      <c r="D15338" s="701" t="s">
        <v>1129</v>
      </c>
      <c r="E15338" s="178" t="s">
        <v>20221</v>
      </c>
      <c r="F15338" s="178" t="s">
        <v>23395</v>
      </c>
      <c r="G15338" s="496"/>
      <c r="H15338" s="994" t="s">
        <v>20224</v>
      </c>
      <c r="I15338" s="11" t="s">
        <v>9562</v>
      </c>
      <c r="J15338" s="1285"/>
      <c r="K15338" s="1285"/>
      <c r="L15338" s="1285"/>
    </row>
    <row r="15339" spans="1:12" ht="9" customHeight="1">
      <c r="A15339" s="279"/>
      <c r="B15339" s="36" t="s">
        <v>19081</v>
      </c>
      <c r="C15339" s="147" t="s">
        <v>20221</v>
      </c>
      <c r="D15339" s="701" t="s">
        <v>1129</v>
      </c>
      <c r="E15339" s="178" t="s">
        <v>20221</v>
      </c>
      <c r="F15339" s="178" t="s">
        <v>23395</v>
      </c>
      <c r="G15339" s="496"/>
      <c r="H15339" s="994" t="s">
        <v>20221</v>
      </c>
      <c r="I15339" s="11" t="s">
        <v>9564</v>
      </c>
      <c r="J15339" s="1285"/>
      <c r="K15339" s="1285"/>
      <c r="L15339" s="1285"/>
    </row>
    <row r="15340" spans="1:12" ht="9" customHeight="1">
      <c r="A15340" s="279" t="s">
        <v>19082</v>
      </c>
      <c r="B15340" s="36" t="s">
        <v>19083</v>
      </c>
      <c r="C15340" s="147" t="s">
        <v>20221</v>
      </c>
      <c r="D15340" s="739" t="s">
        <v>11144</v>
      </c>
      <c r="E15340" s="178">
        <v>2023</v>
      </c>
      <c r="F15340" s="178" t="s">
        <v>4520</v>
      </c>
      <c r="G15340" s="496"/>
      <c r="H15340" s="994" t="s">
        <v>20221</v>
      </c>
      <c r="I15340" s="11" t="s">
        <v>11824</v>
      </c>
      <c r="J15340" s="1285"/>
      <c r="K15340" s="1285"/>
      <c r="L15340" s="1285"/>
    </row>
    <row r="15341" spans="1:12" ht="9" customHeight="1">
      <c r="A15341" s="279" t="s">
        <v>19082</v>
      </c>
      <c r="B15341" s="36" t="s">
        <v>19084</v>
      </c>
      <c r="C15341" s="147" t="s">
        <v>20221</v>
      </c>
      <c r="D15341" s="701" t="s">
        <v>1129</v>
      </c>
      <c r="E15341" s="178">
        <v>2016</v>
      </c>
      <c r="F15341" s="178" t="s">
        <v>4520</v>
      </c>
      <c r="G15341" s="496"/>
      <c r="H15341" s="994" t="s">
        <v>20221</v>
      </c>
      <c r="I15341" s="11" t="s">
        <v>11829</v>
      </c>
      <c r="J15341" s="1285"/>
      <c r="K15341" s="1285"/>
      <c r="L15341" s="1285"/>
    </row>
    <row r="15342" spans="1:12" ht="9" customHeight="1">
      <c r="A15342" s="279" t="s">
        <v>19085</v>
      </c>
      <c r="B15342" s="36" t="s">
        <v>19086</v>
      </c>
      <c r="C15342" s="147" t="s">
        <v>20221</v>
      </c>
      <c r="D15342" s="701" t="s">
        <v>1129</v>
      </c>
      <c r="E15342" s="178">
        <v>2015</v>
      </c>
      <c r="F15342" s="178" t="s">
        <v>4520</v>
      </c>
      <c r="G15342" s="496"/>
      <c r="H15342" s="994" t="s">
        <v>20221</v>
      </c>
      <c r="I15342" s="11" t="s">
        <v>12493</v>
      </c>
      <c r="J15342" s="1285"/>
      <c r="K15342" s="1285"/>
      <c r="L15342" s="1285"/>
    </row>
    <row r="15343" spans="1:12" ht="9" customHeight="1">
      <c r="A15343" s="279" t="s">
        <v>19087</v>
      </c>
      <c r="B15343" s="178" t="s">
        <v>19088</v>
      </c>
      <c r="C15343" s="147" t="s">
        <v>20221</v>
      </c>
      <c r="D15343" s="701" t="s">
        <v>1129</v>
      </c>
      <c r="E15343" s="178">
        <v>2015</v>
      </c>
      <c r="F15343" s="178" t="s">
        <v>4520</v>
      </c>
      <c r="G15343" s="496"/>
      <c r="H15343" s="994" t="s">
        <v>20221</v>
      </c>
      <c r="I15343" s="11" t="s">
        <v>12862</v>
      </c>
      <c r="J15343" s="1285"/>
      <c r="K15343" s="1285"/>
      <c r="L15343" s="1285"/>
    </row>
    <row r="15344" spans="1:12" ht="9" customHeight="1">
      <c r="A15344" s="171"/>
      <c r="B15344" s="178" t="s">
        <v>19089</v>
      </c>
      <c r="C15344" s="147" t="s">
        <v>20221</v>
      </c>
      <c r="D15344" s="701" t="s">
        <v>1129</v>
      </c>
      <c r="E15344" s="178">
        <v>2016</v>
      </c>
      <c r="F15344" s="178" t="s">
        <v>4520</v>
      </c>
      <c r="G15344" s="496"/>
      <c r="H15344" s="994" t="s">
        <v>20221</v>
      </c>
      <c r="I15344" s="11" t="s">
        <v>12594</v>
      </c>
      <c r="J15344" s="1285"/>
      <c r="K15344" s="1285"/>
      <c r="L15344" s="1285"/>
    </row>
    <row r="15345" spans="1:12" ht="9" customHeight="1">
      <c r="A15345" s="171"/>
      <c r="B15345" s="178" t="s">
        <v>19090</v>
      </c>
      <c r="C15345" s="147" t="s">
        <v>20221</v>
      </c>
      <c r="D15345" s="701" t="s">
        <v>1129</v>
      </c>
      <c r="E15345" s="178">
        <v>2016</v>
      </c>
      <c r="F15345" s="178" t="s">
        <v>4520</v>
      </c>
      <c r="G15345" s="496"/>
      <c r="H15345" s="994" t="s">
        <v>20224</v>
      </c>
      <c r="I15345" s="11" t="s">
        <v>12667</v>
      </c>
      <c r="J15345" s="1285"/>
      <c r="K15345" s="1285"/>
      <c r="L15345" s="1285"/>
    </row>
    <row r="15346" spans="1:12" ht="9" customHeight="1">
      <c r="A15346" s="279" t="s">
        <v>19091</v>
      </c>
      <c r="B15346" s="178" t="s">
        <v>19092</v>
      </c>
      <c r="C15346" s="147" t="s">
        <v>20221</v>
      </c>
      <c r="D15346" s="701" t="s">
        <v>1129</v>
      </c>
      <c r="E15346" s="178">
        <v>2019</v>
      </c>
      <c r="F15346" s="178" t="s">
        <v>4520</v>
      </c>
      <c r="G15346" s="496"/>
      <c r="H15346" s="994" t="s">
        <v>20221</v>
      </c>
      <c r="I15346" s="11" t="s">
        <v>14071</v>
      </c>
      <c r="J15346" s="1285"/>
      <c r="K15346" s="1285"/>
      <c r="L15346" s="1285"/>
    </row>
    <row r="15347" spans="1:12" ht="9" customHeight="1">
      <c r="A15347" s="279" t="s">
        <v>19093</v>
      </c>
      <c r="B15347" s="36" t="s">
        <v>19094</v>
      </c>
      <c r="C15347" s="147" t="s">
        <v>20221</v>
      </c>
      <c r="D15347" s="701" t="s">
        <v>1129</v>
      </c>
      <c r="E15347" s="178">
        <v>2015</v>
      </c>
      <c r="F15347" s="178" t="s">
        <v>4520</v>
      </c>
      <c r="G15347" s="496"/>
      <c r="H15347" s="994" t="s">
        <v>20465</v>
      </c>
      <c r="I15347" s="11" t="s">
        <v>14605</v>
      </c>
      <c r="J15347" s="1285"/>
      <c r="K15347" s="1285"/>
      <c r="L15347" s="1285"/>
    </row>
    <row r="15348" spans="1:12" ht="9" customHeight="1">
      <c r="A15348" s="942" t="s">
        <v>19095</v>
      </c>
      <c r="B15348" s="36" t="s">
        <v>19096</v>
      </c>
      <c r="C15348" s="147" t="s">
        <v>20221</v>
      </c>
      <c r="D15348" s="701" t="s">
        <v>1129</v>
      </c>
      <c r="E15348" s="178">
        <v>2021</v>
      </c>
      <c r="F15348" s="178" t="s">
        <v>4520</v>
      </c>
      <c r="G15348" s="496"/>
      <c r="H15348" s="994" t="s">
        <v>20224</v>
      </c>
      <c r="I15348" s="11" t="s">
        <v>15172</v>
      </c>
      <c r="J15348" s="1285"/>
      <c r="K15348" s="1285"/>
      <c r="L15348" s="1285"/>
    </row>
    <row r="15349" spans="1:12" ht="9" customHeight="1">
      <c r="A15349" s="171" t="s">
        <v>19097</v>
      </c>
      <c r="B15349" s="178" t="s">
        <v>23241</v>
      </c>
      <c r="C15349" s="147" t="s">
        <v>20221</v>
      </c>
      <c r="D15349" s="701" t="s">
        <v>12276</v>
      </c>
      <c r="E15349" s="178">
        <v>2023</v>
      </c>
      <c r="F15349" s="178" t="s">
        <v>4520</v>
      </c>
      <c r="G15349" s="496"/>
      <c r="H15349" s="994" t="s">
        <v>20221</v>
      </c>
      <c r="I15349" s="11" t="s">
        <v>17274</v>
      </c>
      <c r="J15349" s="1285"/>
      <c r="K15349" s="1285"/>
      <c r="L15349" s="1285"/>
    </row>
    <row r="15350" spans="1:12" ht="9" customHeight="1">
      <c r="A15350" s="171" t="s">
        <v>19099</v>
      </c>
      <c r="B15350" s="178" t="s">
        <v>23242</v>
      </c>
      <c r="C15350" s="147" t="s">
        <v>20221</v>
      </c>
      <c r="D15350" s="701" t="s">
        <v>12276</v>
      </c>
      <c r="E15350" s="178">
        <v>2022</v>
      </c>
      <c r="F15350" s="178" t="s">
        <v>4520</v>
      </c>
      <c r="G15350" s="496"/>
      <c r="H15350" s="994" t="s">
        <v>20221</v>
      </c>
      <c r="I15350" s="11" t="s">
        <v>17311</v>
      </c>
      <c r="J15350" s="1285"/>
      <c r="K15350" s="1285"/>
      <c r="L15350" s="1285"/>
    </row>
    <row r="15351" spans="1:12" ht="9" customHeight="1">
      <c r="A15351" s="29"/>
      <c r="B15351" s="178" t="s">
        <v>19100</v>
      </c>
      <c r="C15351" s="147" t="s">
        <v>20221</v>
      </c>
      <c r="D15351" s="183" t="s">
        <v>18030</v>
      </c>
      <c r="E15351" s="178" t="s">
        <v>20221</v>
      </c>
      <c r="F15351" s="178" t="s">
        <v>23426</v>
      </c>
      <c r="G15351" s="496"/>
      <c r="H15351" s="994" t="s">
        <v>20221</v>
      </c>
      <c r="I15351" s="11" t="s">
        <v>18168</v>
      </c>
      <c r="J15351" s="1285"/>
      <c r="K15351" s="1285"/>
      <c r="L15351" s="1285"/>
    </row>
    <row r="15352" spans="1:12" ht="24" customHeight="1">
      <c r="A15352" s="926" t="s">
        <v>19077</v>
      </c>
      <c r="B15352" s="934" t="s">
        <v>19101</v>
      </c>
      <c r="C15352" s="147"/>
      <c r="D15352" s="107"/>
      <c r="E15352" s="240"/>
      <c r="F15352" s="240"/>
      <c r="G15352" s="1266"/>
      <c r="H15352" s="238"/>
      <c r="I15352" s="11"/>
    </row>
    <row r="15353" spans="1:12" ht="9" customHeight="1">
      <c r="A15353" s="171" t="s">
        <v>19102</v>
      </c>
      <c r="B15353" s="36" t="s">
        <v>19103</v>
      </c>
      <c r="C15353" s="147" t="s">
        <v>23393</v>
      </c>
      <c r="D15353" s="284" t="s">
        <v>897</v>
      </c>
      <c r="E15353" s="178">
        <v>2013</v>
      </c>
      <c r="F15353" s="178" t="s">
        <v>4520</v>
      </c>
      <c r="G15353" s="496"/>
      <c r="H15353" s="994" t="s">
        <v>20221</v>
      </c>
      <c r="I15353" s="11" t="s">
        <v>2290</v>
      </c>
      <c r="J15353" s="1285"/>
      <c r="K15353" s="1285"/>
      <c r="L15353" s="1285"/>
    </row>
    <row r="15354" spans="1:12" ht="9" customHeight="1">
      <c r="A15354" s="279" t="s">
        <v>23243</v>
      </c>
      <c r="B15354" s="36" t="s">
        <v>23245</v>
      </c>
      <c r="C15354" s="147" t="s">
        <v>23393</v>
      </c>
      <c r="D15354" s="284" t="s">
        <v>897</v>
      </c>
      <c r="E15354" s="178">
        <v>2016</v>
      </c>
      <c r="F15354" s="178" t="s">
        <v>4520</v>
      </c>
      <c r="G15354" s="496"/>
      <c r="H15354" s="994" t="s">
        <v>20221</v>
      </c>
      <c r="I15354" s="11" t="s">
        <v>2509</v>
      </c>
      <c r="J15354" s="1285"/>
      <c r="K15354" s="1285"/>
      <c r="L15354" s="1285"/>
    </row>
    <row r="15355" spans="1:12" ht="9" customHeight="1">
      <c r="A15355" s="279" t="s">
        <v>23244</v>
      </c>
      <c r="B15355" s="36" t="s">
        <v>19104</v>
      </c>
      <c r="C15355" s="147" t="s">
        <v>20221</v>
      </c>
      <c r="D15355" s="284" t="s">
        <v>897</v>
      </c>
      <c r="E15355" s="178">
        <v>2021</v>
      </c>
      <c r="F15355" s="178" t="s">
        <v>4520</v>
      </c>
      <c r="G15355" s="496"/>
      <c r="H15355" s="994" t="s">
        <v>20221</v>
      </c>
      <c r="I15355" s="11" t="s">
        <v>3245</v>
      </c>
      <c r="J15355" s="1285"/>
      <c r="K15355" s="1285"/>
      <c r="L15355" s="1285"/>
    </row>
    <row r="15356" spans="1:12" ht="9" customHeight="1">
      <c r="A15356" s="279" t="s">
        <v>19105</v>
      </c>
      <c r="B15356" s="36" t="s">
        <v>19106</v>
      </c>
      <c r="C15356" s="147" t="s">
        <v>23393</v>
      </c>
      <c r="D15356" s="284" t="s">
        <v>897</v>
      </c>
      <c r="E15356" s="178">
        <v>2020</v>
      </c>
      <c r="F15356" s="178" t="s">
        <v>4520</v>
      </c>
      <c r="G15356" s="496"/>
      <c r="H15356" s="994" t="s">
        <v>20221</v>
      </c>
      <c r="I15356" s="11" t="s">
        <v>3358</v>
      </c>
      <c r="J15356" s="1285"/>
      <c r="K15356" s="1285"/>
      <c r="L15356" s="1285"/>
    </row>
    <row r="15357" spans="1:12" ht="9" customHeight="1">
      <c r="A15357" s="279" t="s">
        <v>19107</v>
      </c>
      <c r="B15357" s="36" t="s">
        <v>19108</v>
      </c>
      <c r="C15357" s="147" t="s">
        <v>20221</v>
      </c>
      <c r="D15357" s="284" t="s">
        <v>897</v>
      </c>
      <c r="E15357" s="178">
        <v>2020</v>
      </c>
      <c r="F15357" s="178" t="s">
        <v>4520</v>
      </c>
      <c r="G15357" s="496"/>
      <c r="H15357" s="994" t="s">
        <v>20221</v>
      </c>
      <c r="I15357" s="11" t="s">
        <v>3431</v>
      </c>
      <c r="J15357" s="1285"/>
      <c r="K15357" s="1285"/>
      <c r="L15357" s="1285"/>
    </row>
    <row r="15358" spans="1:12" ht="9" customHeight="1">
      <c r="A15358" s="495" t="s">
        <v>19109</v>
      </c>
      <c r="B15358" s="36" t="s">
        <v>23246</v>
      </c>
      <c r="C15358" s="147" t="s">
        <v>23393</v>
      </c>
      <c r="D15358" s="284" t="s">
        <v>897</v>
      </c>
      <c r="E15358" s="178">
        <v>2021</v>
      </c>
      <c r="F15358" s="178" t="s">
        <v>9658</v>
      </c>
      <c r="G15358" s="496"/>
      <c r="H15358" s="994" t="s">
        <v>20224</v>
      </c>
      <c r="I15358" s="11" t="s">
        <v>5660</v>
      </c>
      <c r="J15358" s="1285"/>
      <c r="K15358" s="1285"/>
      <c r="L15358" s="1285"/>
    </row>
    <row r="15359" spans="1:12" ht="9" customHeight="1">
      <c r="A15359" s="279" t="s">
        <v>19110</v>
      </c>
      <c r="B15359" s="36" t="s">
        <v>19111</v>
      </c>
      <c r="C15359" s="147" t="s">
        <v>20221</v>
      </c>
      <c r="D15359" s="284" t="s">
        <v>897</v>
      </c>
      <c r="E15359" s="178">
        <v>2016</v>
      </c>
      <c r="F15359" s="178" t="s">
        <v>23395</v>
      </c>
      <c r="G15359" s="496"/>
      <c r="H15359" s="994" t="s">
        <v>20221</v>
      </c>
      <c r="I15359" s="11" t="s">
        <v>8375</v>
      </c>
      <c r="J15359" s="1285"/>
      <c r="K15359" s="1285"/>
      <c r="L15359" s="1285"/>
    </row>
    <row r="15360" spans="1:12" ht="9" customHeight="1">
      <c r="A15360" s="279" t="s">
        <v>19112</v>
      </c>
      <c r="B15360" s="36" t="s">
        <v>19113</v>
      </c>
      <c r="C15360" s="147" t="s">
        <v>20221</v>
      </c>
      <c r="D15360" s="284" t="s">
        <v>897</v>
      </c>
      <c r="E15360" s="178" t="s">
        <v>20221</v>
      </c>
      <c r="F15360" s="178" t="s">
        <v>23395</v>
      </c>
      <c r="G15360" s="496"/>
      <c r="H15360" s="994" t="s">
        <v>20221</v>
      </c>
      <c r="I15360" s="11" t="s">
        <v>9566</v>
      </c>
      <c r="J15360" s="1285"/>
      <c r="K15360" s="1285"/>
      <c r="L15360" s="1285"/>
    </row>
    <row r="15361" spans="1:12" ht="9" customHeight="1">
      <c r="A15361" s="279" t="s">
        <v>19112</v>
      </c>
      <c r="B15361" s="36" t="s">
        <v>19114</v>
      </c>
      <c r="C15361" s="147" t="s">
        <v>20221</v>
      </c>
      <c r="D15361" s="284" t="s">
        <v>897</v>
      </c>
      <c r="E15361" s="178" t="s">
        <v>20221</v>
      </c>
      <c r="F15361" s="178" t="s">
        <v>23395</v>
      </c>
      <c r="G15361" s="496"/>
      <c r="H15361" s="994" t="s">
        <v>20221</v>
      </c>
      <c r="I15361" s="11" t="s">
        <v>9568</v>
      </c>
      <c r="J15361" s="1285"/>
      <c r="K15361" s="1285"/>
      <c r="L15361" s="1285"/>
    </row>
    <row r="15362" spans="1:12" ht="9" customHeight="1">
      <c r="A15362" s="279" t="s">
        <v>19082</v>
      </c>
      <c r="B15362" s="36" t="s">
        <v>19115</v>
      </c>
      <c r="C15362" s="147" t="s">
        <v>20221</v>
      </c>
      <c r="D15362" s="284" t="s">
        <v>897</v>
      </c>
      <c r="E15362" s="178">
        <v>2016</v>
      </c>
      <c r="F15362" s="178" t="s">
        <v>4520</v>
      </c>
      <c r="G15362" s="496"/>
      <c r="H15362" s="994" t="s">
        <v>20221</v>
      </c>
      <c r="I15362" s="11" t="s">
        <v>11840</v>
      </c>
      <c r="J15362" s="1285"/>
      <c r="K15362" s="1285"/>
      <c r="L15362" s="1285"/>
    </row>
    <row r="15363" spans="1:12" ht="9" customHeight="1">
      <c r="A15363" s="29"/>
      <c r="B15363" s="178" t="s">
        <v>23247</v>
      </c>
      <c r="C15363" s="147" t="s">
        <v>20221</v>
      </c>
      <c r="D15363" s="284" t="s">
        <v>897</v>
      </c>
      <c r="E15363" s="178">
        <v>2021</v>
      </c>
      <c r="F15363" s="178" t="s">
        <v>23395</v>
      </c>
      <c r="G15363" s="496"/>
      <c r="H15363" s="994" t="s">
        <v>20221</v>
      </c>
      <c r="I15363" s="11" t="s">
        <v>10979</v>
      </c>
      <c r="J15363" s="1285"/>
      <c r="K15363" s="1285"/>
      <c r="L15363" s="1285"/>
    </row>
    <row r="15364" spans="1:12" ht="9" customHeight="1">
      <c r="A15364" s="279" t="s">
        <v>19082</v>
      </c>
      <c r="B15364" s="36" t="s">
        <v>19116</v>
      </c>
      <c r="C15364" s="147" t="s">
        <v>20221</v>
      </c>
      <c r="D15364" s="284" t="s">
        <v>897</v>
      </c>
      <c r="E15364" s="178">
        <v>2012</v>
      </c>
      <c r="F15364" s="178" t="s">
        <v>4520</v>
      </c>
      <c r="G15364" s="496"/>
      <c r="H15364" s="994" t="s">
        <v>20221</v>
      </c>
      <c r="I15364" s="11" t="s">
        <v>11849</v>
      </c>
      <c r="J15364" s="1285"/>
      <c r="K15364" s="1285"/>
      <c r="L15364" s="1285"/>
    </row>
    <row r="15365" spans="1:12" ht="9" customHeight="1">
      <c r="A15365" s="495" t="s">
        <v>19117</v>
      </c>
      <c r="B15365" s="178" t="s">
        <v>19118</v>
      </c>
      <c r="C15365" s="147" t="s">
        <v>20221</v>
      </c>
      <c r="D15365" s="284" t="s">
        <v>897</v>
      </c>
      <c r="E15365" s="178">
        <v>2021</v>
      </c>
      <c r="F15365" s="178" t="s">
        <v>4520</v>
      </c>
      <c r="G15365" s="496"/>
      <c r="H15365" s="994" t="s">
        <v>20221</v>
      </c>
      <c r="I15365" s="11" t="s">
        <v>12143</v>
      </c>
      <c r="J15365" s="1285"/>
      <c r="K15365" s="1285"/>
      <c r="L15365" s="1285"/>
    </row>
    <row r="15366" spans="1:12" ht="9" customHeight="1">
      <c r="A15366" s="129"/>
      <c r="B15366" s="178" t="s">
        <v>19119</v>
      </c>
      <c r="C15366" s="147" t="s">
        <v>20221</v>
      </c>
      <c r="D15366" s="284" t="s">
        <v>897</v>
      </c>
      <c r="E15366" s="178">
        <v>2010</v>
      </c>
      <c r="F15366" s="178" t="s">
        <v>4520</v>
      </c>
      <c r="G15366" s="496"/>
      <c r="H15366" s="994" t="s">
        <v>20221</v>
      </c>
      <c r="I15366" s="11" t="s">
        <v>13120</v>
      </c>
      <c r="J15366" s="1285"/>
      <c r="K15366" s="1285"/>
      <c r="L15366" s="1285"/>
    </row>
    <row r="15367" spans="1:12" ht="9" customHeight="1">
      <c r="A15367" s="129"/>
      <c r="B15367" s="36" t="s">
        <v>19120</v>
      </c>
      <c r="C15367" s="147" t="s">
        <v>20221</v>
      </c>
      <c r="D15367" s="284" t="s">
        <v>897</v>
      </c>
      <c r="E15367" s="178">
        <v>2012</v>
      </c>
      <c r="F15367" s="178" t="s">
        <v>5257</v>
      </c>
      <c r="G15367" s="496"/>
      <c r="H15367" s="994" t="s">
        <v>20221</v>
      </c>
      <c r="I15367" s="11" t="s">
        <v>12996</v>
      </c>
      <c r="J15367" s="1285"/>
      <c r="K15367" s="1285"/>
      <c r="L15367" s="1285"/>
    </row>
    <row r="15368" spans="1:12" ht="9" customHeight="1">
      <c r="A15368" s="279" t="s">
        <v>19121</v>
      </c>
      <c r="B15368" s="178" t="s">
        <v>19122</v>
      </c>
      <c r="C15368" s="147" t="s">
        <v>20221</v>
      </c>
      <c r="D15368" s="284" t="s">
        <v>897</v>
      </c>
      <c r="E15368" s="178">
        <v>2005</v>
      </c>
      <c r="F15368" s="178" t="s">
        <v>4520</v>
      </c>
      <c r="G15368" s="496"/>
      <c r="H15368" s="994" t="s">
        <v>20221</v>
      </c>
      <c r="I15368" s="11" t="s">
        <v>13821</v>
      </c>
      <c r="J15368" s="1285"/>
      <c r="K15368" s="1285"/>
      <c r="L15368" s="1285"/>
    </row>
    <row r="15369" spans="1:12" ht="9" customHeight="1">
      <c r="A15369" s="279" t="s">
        <v>19093</v>
      </c>
      <c r="B15369" s="36" t="s">
        <v>19123</v>
      </c>
      <c r="C15369" s="147" t="s">
        <v>23393</v>
      </c>
      <c r="D15369" s="284" t="s">
        <v>897</v>
      </c>
      <c r="E15369" s="178">
        <v>2022</v>
      </c>
      <c r="F15369" s="178" t="s">
        <v>4520</v>
      </c>
      <c r="G15369" s="496"/>
      <c r="H15369" s="994" t="s">
        <v>20221</v>
      </c>
      <c r="I15369" s="11" t="s">
        <v>14632</v>
      </c>
      <c r="J15369" s="1285"/>
      <c r="K15369" s="1285"/>
      <c r="L15369" s="1285"/>
    </row>
    <row r="15370" spans="1:12" ht="9" customHeight="1">
      <c r="A15370" s="943" t="s">
        <v>19124</v>
      </c>
      <c r="B15370" s="36" t="s">
        <v>19125</v>
      </c>
      <c r="C15370" s="147" t="s">
        <v>20221</v>
      </c>
      <c r="D15370" s="284" t="s">
        <v>897</v>
      </c>
      <c r="E15370" s="178">
        <v>2014</v>
      </c>
      <c r="F15370" s="178" t="s">
        <v>23394</v>
      </c>
      <c r="G15370" s="496"/>
      <c r="H15370" s="994" t="s">
        <v>20221</v>
      </c>
      <c r="I15370" s="11" t="s">
        <v>14740</v>
      </c>
      <c r="J15370" s="1285"/>
      <c r="K15370" s="1285"/>
      <c r="L15370" s="1285"/>
    </row>
    <row r="15371" spans="1:12" ht="9" customHeight="1">
      <c r="A15371" s="943" t="s">
        <v>19124</v>
      </c>
      <c r="B15371" s="178" t="s">
        <v>19126</v>
      </c>
      <c r="C15371" s="147" t="s">
        <v>20221</v>
      </c>
      <c r="D15371" s="284" t="s">
        <v>897</v>
      </c>
      <c r="E15371" s="178">
        <v>2019</v>
      </c>
      <c r="F15371" s="178" t="s">
        <v>4520</v>
      </c>
      <c r="G15371" s="496"/>
      <c r="H15371" s="994" t="s">
        <v>20224</v>
      </c>
      <c r="I15371" s="11" t="s">
        <v>14676</v>
      </c>
      <c r="J15371" s="1285"/>
      <c r="K15371" s="1285"/>
      <c r="L15371" s="1285"/>
    </row>
    <row r="15372" spans="1:12" ht="9" customHeight="1">
      <c r="A15372" s="279" t="s">
        <v>19127</v>
      </c>
      <c r="B15372" s="36" t="s">
        <v>19128</v>
      </c>
      <c r="C15372" s="147" t="s">
        <v>20221</v>
      </c>
      <c r="D15372" s="284" t="s">
        <v>897</v>
      </c>
      <c r="E15372" s="178">
        <v>2014</v>
      </c>
      <c r="F15372" s="178" t="s">
        <v>23394</v>
      </c>
      <c r="G15372" s="496"/>
      <c r="H15372" s="994" t="s">
        <v>20221</v>
      </c>
      <c r="I15372" s="11" t="s">
        <v>14740</v>
      </c>
      <c r="J15372" s="1285"/>
      <c r="K15372" s="1285"/>
      <c r="L15372" s="1285"/>
    </row>
    <row r="15373" spans="1:12" ht="9" customHeight="1">
      <c r="A15373" s="129"/>
      <c r="B15373" s="952" t="s">
        <v>23248</v>
      </c>
      <c r="C15373" s="147" t="s">
        <v>20221</v>
      </c>
      <c r="D15373" s="284" t="s">
        <v>897</v>
      </c>
      <c r="E15373" s="178">
        <v>2021</v>
      </c>
      <c r="F15373" s="178" t="s">
        <v>4520</v>
      </c>
      <c r="G15373" s="496"/>
      <c r="H15373" s="994" t="s">
        <v>20221</v>
      </c>
      <c r="I15373" s="11" t="s">
        <v>16873</v>
      </c>
      <c r="J15373" s="1285"/>
      <c r="K15373" s="1285"/>
      <c r="L15373" s="1285"/>
    </row>
    <row r="15374" spans="1:12" ht="9" customHeight="1">
      <c r="A15374" s="171" t="s">
        <v>19097</v>
      </c>
      <c r="B15374" s="178" t="s">
        <v>19098</v>
      </c>
      <c r="C15374" s="147" t="s">
        <v>20221</v>
      </c>
      <c r="D15374" s="284" t="s">
        <v>897</v>
      </c>
      <c r="E15374" s="178">
        <v>2021</v>
      </c>
      <c r="F15374" s="178" t="s">
        <v>4520</v>
      </c>
      <c r="G15374" s="496"/>
      <c r="H15374" s="994" t="s">
        <v>20221</v>
      </c>
      <c r="I15374" s="11" t="s">
        <v>17295</v>
      </c>
      <c r="J15374" s="1285"/>
      <c r="K15374" s="1285"/>
      <c r="L15374" s="1285"/>
    </row>
    <row r="15375" spans="1:12" ht="9" customHeight="1">
      <c r="A15375" s="171" t="s">
        <v>19099</v>
      </c>
      <c r="B15375" s="178" t="s">
        <v>19129</v>
      </c>
      <c r="C15375" s="147" t="s">
        <v>20221</v>
      </c>
      <c r="D15375" s="284" t="s">
        <v>897</v>
      </c>
      <c r="E15375" s="178">
        <v>2020</v>
      </c>
      <c r="F15375" s="178" t="s">
        <v>4520</v>
      </c>
      <c r="G15375" s="496"/>
      <c r="H15375" s="994" t="s">
        <v>20221</v>
      </c>
      <c r="I15375" s="11" t="s">
        <v>17321</v>
      </c>
      <c r="J15375" s="1285"/>
      <c r="K15375" s="1285"/>
      <c r="L15375" s="1285"/>
    </row>
    <row r="15376" spans="1:12" ht="9" customHeight="1" thickBot="1">
      <c r="A15376" s="1366" t="s">
        <v>19130</v>
      </c>
      <c r="B15376" s="414"/>
      <c r="C15376" s="367"/>
      <c r="D15376" s="655"/>
      <c r="E15376" s="656"/>
      <c r="F15376" s="178"/>
      <c r="G15376" s="1217"/>
      <c r="H15376" s="656"/>
      <c r="I15376" s="11"/>
      <c r="J15376" s="1285"/>
      <c r="K15376" s="1285"/>
      <c r="L15376" s="1285"/>
    </row>
    <row r="15377" spans="1:12" ht="24" customHeight="1" thickBot="1">
      <c r="A15377" s="234"/>
      <c r="B15377" s="64" t="s">
        <v>19131</v>
      </c>
      <c r="C15377" s="170"/>
      <c r="D15377" s="139"/>
      <c r="E15377" s="874"/>
      <c r="F15377" s="1094"/>
      <c r="G15377" s="1094"/>
      <c r="H15377" s="875"/>
      <c r="I15377" s="11"/>
    </row>
    <row r="15378" spans="1:12" ht="26">
      <c r="A15378" s="926" t="s">
        <v>19077</v>
      </c>
      <c r="B15378" s="932" t="s">
        <v>19132</v>
      </c>
      <c r="C15378" s="147"/>
      <c r="D15378" s="107"/>
      <c r="E15378" s="240"/>
      <c r="F15378" s="240"/>
      <c r="G15378" s="1266"/>
      <c r="H15378" s="238"/>
      <c r="I15378" s="11"/>
    </row>
    <row r="15379" spans="1:12" ht="9" customHeight="1">
      <c r="A15379" s="129" t="s">
        <v>23251</v>
      </c>
      <c r="B15379" s="944" t="s">
        <v>19133</v>
      </c>
      <c r="C15379" s="147"/>
      <c r="D15379" s="284" t="s">
        <v>18825</v>
      </c>
      <c r="E15379" s="178" t="s">
        <v>19075</v>
      </c>
      <c r="F15379" s="178">
        <v>75</v>
      </c>
      <c r="G15379" s="496"/>
      <c r="H15379" s="36"/>
      <c r="I15379" s="11"/>
    </row>
    <row r="15380" spans="1:12" ht="9" customHeight="1">
      <c r="A15380" s="129" t="s">
        <v>23582</v>
      </c>
      <c r="B15380" s="944" t="s">
        <v>19134</v>
      </c>
      <c r="C15380" s="147" t="s">
        <v>20221</v>
      </c>
      <c r="D15380" s="701" t="s">
        <v>1129</v>
      </c>
      <c r="E15380" s="178" t="s">
        <v>19075</v>
      </c>
      <c r="F15380" s="178" t="s">
        <v>4520</v>
      </c>
      <c r="G15380" s="496"/>
      <c r="H15380" s="994" t="s">
        <v>20221</v>
      </c>
      <c r="I15380" s="11" t="s">
        <v>7993</v>
      </c>
      <c r="J15380" s="1285"/>
      <c r="K15380" s="1285"/>
      <c r="L15380" s="1285"/>
    </row>
    <row r="15381" spans="1:12" ht="11.15" customHeight="1">
      <c r="A15381" s="129" t="s">
        <v>23448</v>
      </c>
      <c r="B15381" s="272" t="s">
        <v>19135</v>
      </c>
      <c r="C15381" s="147" t="s">
        <v>23393</v>
      </c>
      <c r="D15381" s="284" t="s">
        <v>897</v>
      </c>
      <c r="E15381" s="178">
        <v>2020</v>
      </c>
      <c r="F15381" s="178" t="s">
        <v>4520</v>
      </c>
      <c r="G15381" s="496"/>
      <c r="H15381" s="994" t="s">
        <v>20221</v>
      </c>
      <c r="I15381" s="11" t="s">
        <v>10171</v>
      </c>
      <c r="J15381" s="1285"/>
      <c r="K15381" s="1285"/>
      <c r="L15381" s="1285"/>
    </row>
    <row r="15382" spans="1:12" ht="9" customHeight="1">
      <c r="A15382" s="129" t="s">
        <v>23444</v>
      </c>
      <c r="B15382" s="944" t="s">
        <v>19136</v>
      </c>
      <c r="C15382" s="147" t="s">
        <v>20221</v>
      </c>
      <c r="D15382" s="284" t="s">
        <v>897</v>
      </c>
      <c r="E15382" s="178" t="s">
        <v>19075</v>
      </c>
      <c r="F15382" s="178" t="s">
        <v>4520</v>
      </c>
      <c r="G15382" s="496"/>
      <c r="H15382" s="994" t="s">
        <v>20221</v>
      </c>
      <c r="I15382" s="11" t="s">
        <v>14056</v>
      </c>
      <c r="J15382" s="1285"/>
      <c r="K15382" s="1285"/>
      <c r="L15382" s="1285"/>
    </row>
    <row r="15383" spans="1:12" ht="9" customHeight="1">
      <c r="A15383" s="129" t="s">
        <v>23539</v>
      </c>
      <c r="B15383" s="944" t="s">
        <v>19137</v>
      </c>
      <c r="C15383" s="147" t="s">
        <v>20221</v>
      </c>
      <c r="D15383" s="284" t="s">
        <v>897</v>
      </c>
      <c r="E15383" s="178" t="s">
        <v>19075</v>
      </c>
      <c r="F15383" s="178" t="s">
        <v>4520</v>
      </c>
      <c r="G15383" s="496"/>
      <c r="H15383" s="994" t="s">
        <v>20221</v>
      </c>
      <c r="I15383" s="11" t="s">
        <v>12290</v>
      </c>
      <c r="J15383" s="1285"/>
      <c r="K15383" s="1285"/>
      <c r="L15383" s="1285"/>
    </row>
    <row r="15384" spans="1:12" ht="9" customHeight="1">
      <c r="A15384" s="129" t="s">
        <v>23484</v>
      </c>
      <c r="B15384" s="944" t="s">
        <v>19138</v>
      </c>
      <c r="C15384" s="147" t="s">
        <v>20221</v>
      </c>
      <c r="D15384" s="701" t="s">
        <v>884</v>
      </c>
      <c r="E15384" s="178" t="s">
        <v>19075</v>
      </c>
      <c r="F15384" s="178" t="s">
        <v>4520</v>
      </c>
      <c r="G15384" s="496"/>
      <c r="H15384" s="994" t="s">
        <v>20221</v>
      </c>
      <c r="I15384" s="11" t="s">
        <v>1179</v>
      </c>
      <c r="J15384" s="1285"/>
      <c r="K15384" s="1285"/>
      <c r="L15384" s="1285"/>
    </row>
    <row r="15385" spans="1:12" ht="9" customHeight="1">
      <c r="A15385" s="129" t="s">
        <v>23539</v>
      </c>
      <c r="B15385" s="944" t="s">
        <v>19139</v>
      </c>
      <c r="C15385" s="147" t="s">
        <v>20221</v>
      </c>
      <c r="D15385" s="284" t="s">
        <v>897</v>
      </c>
      <c r="E15385" s="178" t="s">
        <v>19075</v>
      </c>
      <c r="F15385" s="178" t="s">
        <v>4520</v>
      </c>
      <c r="G15385" s="496"/>
      <c r="H15385" s="994" t="s">
        <v>20221</v>
      </c>
      <c r="I15385" s="11" t="s">
        <v>12302</v>
      </c>
      <c r="J15385" s="1285"/>
      <c r="K15385" s="1285"/>
      <c r="L15385" s="1285"/>
    </row>
    <row r="15386" spans="1:12" ht="9" customHeight="1">
      <c r="A15386" s="129" t="s">
        <v>23443</v>
      </c>
      <c r="B15386" s="944" t="s">
        <v>19140</v>
      </c>
      <c r="C15386" s="147" t="s">
        <v>20221</v>
      </c>
      <c r="D15386" s="284" t="s">
        <v>897</v>
      </c>
      <c r="E15386" s="178" t="s">
        <v>19075</v>
      </c>
      <c r="F15386" s="178" t="s">
        <v>23394</v>
      </c>
      <c r="G15386" s="496"/>
      <c r="H15386" s="994" t="s">
        <v>20224</v>
      </c>
      <c r="I15386" s="11" t="s">
        <v>23249</v>
      </c>
      <c r="J15386" s="1285"/>
      <c r="K15386" s="1285"/>
      <c r="L15386" s="1285"/>
    </row>
    <row r="15387" spans="1:12" ht="9" customHeight="1">
      <c r="A15387" s="129" t="s">
        <v>23655</v>
      </c>
      <c r="B15387" s="944" t="s">
        <v>19141</v>
      </c>
      <c r="C15387" s="147" t="s">
        <v>20221</v>
      </c>
      <c r="D15387" s="701" t="s">
        <v>1129</v>
      </c>
      <c r="E15387" s="178" t="s">
        <v>19075</v>
      </c>
      <c r="F15387" s="178" t="s">
        <v>4520</v>
      </c>
      <c r="G15387" s="496"/>
      <c r="H15387" s="994" t="s">
        <v>20221</v>
      </c>
      <c r="I15387" s="11" t="s">
        <v>16612</v>
      </c>
      <c r="J15387" s="1285"/>
      <c r="K15387" s="1285"/>
      <c r="L15387" s="1285"/>
    </row>
    <row r="15388" spans="1:12" ht="9" customHeight="1">
      <c r="A15388" s="129" t="s">
        <v>23701</v>
      </c>
      <c r="B15388" s="947" t="s">
        <v>19142</v>
      </c>
      <c r="C15388" s="147" t="s">
        <v>20221</v>
      </c>
      <c r="D15388" s="284" t="s">
        <v>897</v>
      </c>
      <c r="E15388" s="178">
        <v>2021</v>
      </c>
      <c r="F15388" s="178" t="s">
        <v>4520</v>
      </c>
      <c r="G15388" s="496"/>
      <c r="H15388" s="994" t="s">
        <v>20221</v>
      </c>
      <c r="I15388" s="11" t="s">
        <v>16873</v>
      </c>
      <c r="J15388" s="1285"/>
      <c r="K15388" s="1285"/>
      <c r="L15388" s="1285"/>
    </row>
    <row r="15389" spans="1:12" ht="9" customHeight="1">
      <c r="A15389" s="129" t="s">
        <v>23485</v>
      </c>
      <c r="B15389" s="944" t="s">
        <v>23250</v>
      </c>
      <c r="C15389" s="147" t="s">
        <v>20221</v>
      </c>
      <c r="D15389" s="701" t="s">
        <v>884</v>
      </c>
      <c r="E15389" s="178" t="s">
        <v>19060</v>
      </c>
      <c r="F15389" s="178" t="s">
        <v>4520</v>
      </c>
      <c r="G15389" s="496"/>
      <c r="H15389" s="994" t="s">
        <v>20221</v>
      </c>
      <c r="I15389" s="11" t="s">
        <v>1066</v>
      </c>
      <c r="J15389" s="1285"/>
      <c r="K15389" s="1285"/>
      <c r="L15389" s="1285"/>
    </row>
    <row r="15390" spans="1:12" ht="9" customHeight="1">
      <c r="A15390" s="129" t="s">
        <v>23485</v>
      </c>
      <c r="B15390" s="944" t="s">
        <v>19143</v>
      </c>
      <c r="C15390" s="147" t="s">
        <v>20221</v>
      </c>
      <c r="D15390" s="701" t="s">
        <v>884</v>
      </c>
      <c r="E15390" s="178" t="s">
        <v>20253</v>
      </c>
      <c r="F15390" s="178" t="s">
        <v>4520</v>
      </c>
      <c r="G15390" s="496"/>
      <c r="H15390" s="994" t="s">
        <v>20221</v>
      </c>
      <c r="I15390" s="11" t="s">
        <v>1068</v>
      </c>
      <c r="J15390" s="1285"/>
      <c r="K15390" s="1285"/>
      <c r="L15390" s="1285"/>
    </row>
    <row r="15391" spans="1:12" ht="9" customHeight="1">
      <c r="A15391" s="129" t="s">
        <v>23642</v>
      </c>
      <c r="B15391" s="415" t="s">
        <v>19144</v>
      </c>
      <c r="C15391" s="147" t="s">
        <v>20221</v>
      </c>
      <c r="D15391" s="701" t="s">
        <v>1129</v>
      </c>
      <c r="E15391" s="178" t="s">
        <v>20221</v>
      </c>
      <c r="F15391" s="178" t="s">
        <v>4520</v>
      </c>
      <c r="G15391" s="496" t="s">
        <v>20221</v>
      </c>
      <c r="H15391" s="994" t="s">
        <v>3907</v>
      </c>
      <c r="I15391" s="11" t="s">
        <v>6749</v>
      </c>
      <c r="J15391" s="1285"/>
      <c r="K15391" s="1285"/>
      <c r="L15391" s="1285"/>
    </row>
    <row r="15392" spans="1:12" ht="9" customHeight="1">
      <c r="A15392" s="129" t="s">
        <v>23604</v>
      </c>
      <c r="B15392" s="944" t="s">
        <v>19145</v>
      </c>
      <c r="C15392" s="147" t="s">
        <v>20221</v>
      </c>
      <c r="D15392" s="701" t="s">
        <v>1129</v>
      </c>
      <c r="E15392" s="178" t="s">
        <v>19075</v>
      </c>
      <c r="F15392" s="178" t="s">
        <v>4520</v>
      </c>
      <c r="G15392" s="496"/>
      <c r="H15392" s="994" t="s">
        <v>20221</v>
      </c>
      <c r="I15392" s="11" t="s">
        <v>13617</v>
      </c>
      <c r="J15392" s="1285"/>
      <c r="K15392" s="1285"/>
      <c r="L15392" s="1285"/>
    </row>
    <row r="15393" spans="1:12" ht="9" customHeight="1">
      <c r="A15393" s="129" t="s">
        <v>23702</v>
      </c>
      <c r="B15393" s="946" t="s">
        <v>19146</v>
      </c>
      <c r="C15393" s="147" t="s">
        <v>20221</v>
      </c>
      <c r="D15393" s="284" t="s">
        <v>897</v>
      </c>
      <c r="E15393" s="178">
        <v>2017</v>
      </c>
      <c r="F15393" s="178" t="s">
        <v>11931</v>
      </c>
      <c r="G15393" s="496"/>
      <c r="H15393" s="994" t="s">
        <v>20277</v>
      </c>
      <c r="I15393" s="11" t="s">
        <v>10474</v>
      </c>
      <c r="J15393" s="1285"/>
      <c r="K15393" s="1285"/>
      <c r="L15393" s="1285"/>
    </row>
    <row r="15394" spans="1:12" ht="9" customHeight="1">
      <c r="A15394" s="129" t="s">
        <v>23703</v>
      </c>
      <c r="B15394" s="947" t="s">
        <v>19147</v>
      </c>
      <c r="C15394" s="147" t="s">
        <v>20221</v>
      </c>
      <c r="D15394" s="284" t="s">
        <v>897</v>
      </c>
      <c r="E15394" s="178">
        <v>2021</v>
      </c>
      <c r="F15394" s="178" t="s">
        <v>4520</v>
      </c>
      <c r="G15394" s="496"/>
      <c r="H15394" s="994" t="s">
        <v>20221</v>
      </c>
      <c r="I15394" s="11" t="s">
        <v>17062</v>
      </c>
      <c r="J15394" s="1285"/>
      <c r="K15394" s="1285"/>
      <c r="L15394" s="1285"/>
    </row>
    <row r="15395" spans="1:12" ht="9" customHeight="1">
      <c r="A15395" s="129" t="s">
        <v>23642</v>
      </c>
      <c r="B15395" s="415" t="s">
        <v>19148</v>
      </c>
      <c r="C15395" s="147" t="s">
        <v>20221</v>
      </c>
      <c r="D15395" s="701" t="s">
        <v>1129</v>
      </c>
      <c r="E15395" s="178" t="s">
        <v>19075</v>
      </c>
      <c r="F15395" s="178" t="s">
        <v>4520</v>
      </c>
      <c r="G15395" s="496"/>
      <c r="H15395" s="994" t="s">
        <v>20221</v>
      </c>
      <c r="I15395" s="11" t="s">
        <v>6753</v>
      </c>
      <c r="J15395" s="1285"/>
      <c r="K15395" s="1285"/>
      <c r="L15395" s="1285"/>
    </row>
    <row r="15396" spans="1:12" ht="9" customHeight="1">
      <c r="A15396" s="129" t="s">
        <v>23604</v>
      </c>
      <c r="B15396" s="944" t="s">
        <v>19149</v>
      </c>
      <c r="C15396" s="147" t="s">
        <v>20221</v>
      </c>
      <c r="D15396" s="284" t="s">
        <v>897</v>
      </c>
      <c r="E15396" s="178">
        <v>2012</v>
      </c>
      <c r="F15396" s="178" t="s">
        <v>4520</v>
      </c>
      <c r="G15396" s="496"/>
      <c r="H15396" s="994" t="s">
        <v>20221</v>
      </c>
      <c r="I15396" s="11" t="s">
        <v>13629</v>
      </c>
      <c r="J15396" s="1285"/>
      <c r="K15396" s="1285"/>
      <c r="L15396" s="1285"/>
    </row>
    <row r="15397" spans="1:12" ht="9" customHeight="1">
      <c r="A15397" s="129" t="s">
        <v>23669</v>
      </c>
      <c r="B15397" s="944" t="s">
        <v>19150</v>
      </c>
      <c r="C15397" s="147" t="s">
        <v>20221</v>
      </c>
      <c r="D15397" s="284" t="s">
        <v>897</v>
      </c>
      <c r="E15397" s="178" t="s">
        <v>20221</v>
      </c>
      <c r="F15397" s="178" t="s">
        <v>23395</v>
      </c>
      <c r="G15397" s="496"/>
      <c r="H15397" s="994" t="s">
        <v>20224</v>
      </c>
      <c r="I15397" s="11" t="s">
        <v>9720</v>
      </c>
      <c r="J15397" s="1285"/>
      <c r="K15397" s="1285"/>
      <c r="L15397" s="1285"/>
    </row>
    <row r="15398" spans="1:12" ht="9" customHeight="1">
      <c r="A15398" s="129" t="s">
        <v>23564</v>
      </c>
      <c r="B15398" s="944" t="s">
        <v>19151</v>
      </c>
      <c r="C15398" s="147" t="s">
        <v>20221</v>
      </c>
      <c r="D15398" s="284" t="s">
        <v>897</v>
      </c>
      <c r="E15398" s="178" t="s">
        <v>19075</v>
      </c>
      <c r="F15398" s="178" t="s">
        <v>4520</v>
      </c>
      <c r="G15398" s="496"/>
      <c r="H15398" s="994" t="s">
        <v>20221</v>
      </c>
      <c r="I15398" s="11" t="s">
        <v>11797</v>
      </c>
      <c r="J15398" s="1285"/>
      <c r="K15398" s="1285"/>
      <c r="L15398" s="1285"/>
    </row>
    <row r="15399" spans="1:12" ht="9" customHeight="1">
      <c r="A15399" s="129" t="s">
        <v>23537</v>
      </c>
      <c r="B15399" s="944" t="s">
        <v>19152</v>
      </c>
      <c r="C15399" s="147" t="s">
        <v>20221</v>
      </c>
      <c r="D15399" s="284" t="s">
        <v>897</v>
      </c>
      <c r="E15399" s="178" t="s">
        <v>19075</v>
      </c>
      <c r="F15399" s="178" t="s">
        <v>4520</v>
      </c>
      <c r="G15399" s="496"/>
      <c r="H15399" s="994" t="s">
        <v>20224</v>
      </c>
      <c r="I15399" s="11" t="s">
        <v>13820</v>
      </c>
      <c r="J15399" s="1285"/>
      <c r="K15399" s="1285"/>
      <c r="L15399" s="1285"/>
    </row>
    <row r="15400" spans="1:12" ht="9" customHeight="1">
      <c r="A15400" s="129" t="s">
        <v>23444</v>
      </c>
      <c r="B15400" s="58" t="s">
        <v>19153</v>
      </c>
      <c r="C15400" s="147" t="s">
        <v>20221</v>
      </c>
      <c r="D15400" s="284" t="s">
        <v>897</v>
      </c>
      <c r="E15400" s="178">
        <v>2018</v>
      </c>
      <c r="F15400" s="178" t="s">
        <v>4520</v>
      </c>
      <c r="G15400" s="496"/>
      <c r="H15400" s="994" t="s">
        <v>20221</v>
      </c>
      <c r="I15400" s="11" t="s">
        <v>14042</v>
      </c>
      <c r="J15400" s="1285"/>
      <c r="K15400" s="1285"/>
      <c r="L15400" s="1285"/>
    </row>
    <row r="15401" spans="1:12" ht="9" customHeight="1">
      <c r="A15401" s="129" t="s">
        <v>23549</v>
      </c>
      <c r="B15401" s="415" t="s">
        <v>19154</v>
      </c>
      <c r="C15401" s="147" t="s">
        <v>20221</v>
      </c>
      <c r="D15401" s="701" t="s">
        <v>1129</v>
      </c>
      <c r="E15401" s="178" t="s">
        <v>19075</v>
      </c>
      <c r="F15401" s="178" t="s">
        <v>23395</v>
      </c>
      <c r="G15401" s="496"/>
      <c r="H15401" s="994" t="s">
        <v>20221</v>
      </c>
      <c r="I15401" s="21" t="s">
        <v>9219</v>
      </c>
      <c r="J15401" s="1285"/>
      <c r="K15401" s="1285"/>
      <c r="L15401" s="1285"/>
    </row>
    <row r="15402" spans="1:12" ht="9" customHeight="1">
      <c r="A15402" s="129" t="s">
        <v>23703</v>
      </c>
      <c r="B15402" s="947" t="s">
        <v>19155</v>
      </c>
      <c r="C15402" s="147" t="s">
        <v>20221</v>
      </c>
      <c r="D15402" s="284" t="s">
        <v>897</v>
      </c>
      <c r="E15402" s="178">
        <v>2021</v>
      </c>
      <c r="F15402" s="178" t="s">
        <v>4520</v>
      </c>
      <c r="G15402" s="496"/>
      <c r="H15402" s="994" t="s">
        <v>20221</v>
      </c>
      <c r="I15402" s="11" t="s">
        <v>17060</v>
      </c>
      <c r="J15402" s="1285"/>
      <c r="K15402" s="1285"/>
      <c r="L15402" s="1285"/>
    </row>
    <row r="15403" spans="1:12" ht="26">
      <c r="A15403" s="926" t="s">
        <v>19077</v>
      </c>
      <c r="B15403" s="932" t="s">
        <v>19156</v>
      </c>
      <c r="C15403" s="147"/>
      <c r="D15403" s="107"/>
      <c r="E15403" s="240"/>
      <c r="F15403" s="240"/>
      <c r="G15403" s="1266"/>
      <c r="H15403" s="238"/>
      <c r="I15403" s="11"/>
    </row>
    <row r="15404" spans="1:12" ht="9" customHeight="1">
      <c r="A15404" s="129" t="s">
        <v>23442</v>
      </c>
      <c r="B15404" s="811" t="s">
        <v>19157</v>
      </c>
      <c r="C15404" s="147" t="s">
        <v>20221</v>
      </c>
      <c r="D15404" s="701" t="s">
        <v>1129</v>
      </c>
      <c r="E15404" s="178" t="s">
        <v>19075</v>
      </c>
      <c r="F15404" s="178" t="s">
        <v>4520</v>
      </c>
      <c r="G15404" s="496"/>
      <c r="H15404" s="994" t="s">
        <v>20221</v>
      </c>
      <c r="I15404" s="11" t="s">
        <v>13696</v>
      </c>
      <c r="J15404" s="1285"/>
      <c r="K15404" s="1285"/>
      <c r="L15404" s="1285"/>
    </row>
    <row r="15405" spans="1:12" ht="9" customHeight="1">
      <c r="A15405" s="129" t="s">
        <v>23616</v>
      </c>
      <c r="B15405" s="137" t="s">
        <v>19158</v>
      </c>
      <c r="C15405" s="147" t="s">
        <v>20221</v>
      </c>
      <c r="D15405" s="739" t="s">
        <v>1410</v>
      </c>
      <c r="E15405" s="178" t="s">
        <v>19075</v>
      </c>
      <c r="F15405" s="178" t="s">
        <v>4520</v>
      </c>
      <c r="G15405" s="496"/>
      <c r="H15405" s="994" t="s">
        <v>20221</v>
      </c>
      <c r="I15405" s="11" t="s">
        <v>9113</v>
      </c>
      <c r="J15405" s="1285"/>
      <c r="K15405" s="1285"/>
      <c r="L15405" s="1285"/>
    </row>
    <row r="15406" spans="1:12" ht="11.15" customHeight="1">
      <c r="A15406" s="129" t="s">
        <v>23704</v>
      </c>
      <c r="B15406" s="104" t="s">
        <v>19159</v>
      </c>
      <c r="C15406" s="147" t="s">
        <v>20221</v>
      </c>
      <c r="D15406" s="284" t="s">
        <v>897</v>
      </c>
      <c r="E15406" s="178" t="s">
        <v>20221</v>
      </c>
      <c r="F15406" s="178" t="s">
        <v>4520</v>
      </c>
      <c r="G15406" s="496"/>
      <c r="H15406" s="994" t="s">
        <v>20224</v>
      </c>
      <c r="I15406" s="11" t="s">
        <v>17695</v>
      </c>
      <c r="J15406" s="1285"/>
      <c r="K15406" s="1285"/>
      <c r="L15406" s="1285"/>
    </row>
    <row r="15407" spans="1:12" ht="11.15" customHeight="1">
      <c r="A15407" s="129" t="s">
        <v>23590</v>
      </c>
      <c r="B15407" s="272" t="s">
        <v>19160</v>
      </c>
      <c r="C15407" s="147" t="s">
        <v>23393</v>
      </c>
      <c r="D15407" s="739" t="s">
        <v>1410</v>
      </c>
      <c r="E15407" s="178">
        <v>2018</v>
      </c>
      <c r="F15407" s="178" t="s">
        <v>7168</v>
      </c>
      <c r="G15407" s="496"/>
      <c r="H15407" s="994" t="s">
        <v>20277</v>
      </c>
      <c r="I15407" s="11" t="s">
        <v>8797</v>
      </c>
      <c r="J15407" s="1285"/>
      <c r="K15407" s="1285"/>
      <c r="L15407" s="1285"/>
    </row>
    <row r="15408" spans="1:12" ht="9" customHeight="1">
      <c r="A15408" s="129" t="s">
        <v>23705</v>
      </c>
      <c r="B15408" s="29" t="s">
        <v>19162</v>
      </c>
      <c r="C15408" s="147" t="s">
        <v>20221</v>
      </c>
      <c r="D15408" s="284" t="s">
        <v>897</v>
      </c>
      <c r="E15408" s="178" t="s">
        <v>19075</v>
      </c>
      <c r="F15408" s="178" t="s">
        <v>4520</v>
      </c>
      <c r="G15408" s="496"/>
      <c r="H15408" s="994" t="s">
        <v>20221</v>
      </c>
      <c r="I15408" s="11" t="s">
        <v>5890</v>
      </c>
      <c r="J15408" s="1285"/>
      <c r="K15408" s="1285"/>
      <c r="L15408" s="1285"/>
    </row>
    <row r="15409" spans="1:12" ht="9" customHeight="1">
      <c r="A15409" s="129" t="s">
        <v>23655</v>
      </c>
      <c r="B15409" s="811" t="s">
        <v>19163</v>
      </c>
      <c r="C15409" s="147" t="s">
        <v>20221</v>
      </c>
      <c r="D15409" s="284" t="s">
        <v>897</v>
      </c>
      <c r="E15409" s="178" t="s">
        <v>19075</v>
      </c>
      <c r="F15409" s="178" t="s">
        <v>4520</v>
      </c>
      <c r="G15409" s="496"/>
      <c r="H15409" s="994" t="s">
        <v>20221</v>
      </c>
      <c r="I15409" s="11" t="s">
        <v>16677</v>
      </c>
      <c r="J15409" s="1285"/>
      <c r="K15409" s="1285"/>
      <c r="L15409" s="1285"/>
    </row>
    <row r="15410" spans="1:12" ht="9" customHeight="1">
      <c r="A15410" s="129" t="s">
        <v>23649</v>
      </c>
      <c r="B15410" s="811" t="s">
        <v>19164</v>
      </c>
      <c r="C15410" s="147" t="s">
        <v>20221</v>
      </c>
      <c r="D15410" s="284" t="s">
        <v>897</v>
      </c>
      <c r="E15410" s="178" t="s">
        <v>19075</v>
      </c>
      <c r="F15410" s="178" t="s">
        <v>23394</v>
      </c>
      <c r="G15410" s="496"/>
      <c r="H15410" s="994" t="s">
        <v>20224</v>
      </c>
      <c r="I15410" s="11" t="s">
        <v>9879</v>
      </c>
      <c r="J15410" s="1285"/>
      <c r="K15410" s="1285"/>
      <c r="L15410" s="1285"/>
    </row>
    <row r="15411" spans="1:12" ht="9" customHeight="1">
      <c r="A15411" s="129" t="s">
        <v>23681</v>
      </c>
      <c r="B15411" s="811" t="s">
        <v>19165</v>
      </c>
      <c r="C15411" s="147" t="s">
        <v>20221</v>
      </c>
      <c r="D15411" s="284" t="s">
        <v>897</v>
      </c>
      <c r="E15411" s="178" t="s">
        <v>19075</v>
      </c>
      <c r="F15411" s="178" t="s">
        <v>4520</v>
      </c>
      <c r="G15411" s="496"/>
      <c r="H15411" s="994" t="s">
        <v>20221</v>
      </c>
      <c r="I15411" s="11" t="s">
        <v>3634</v>
      </c>
      <c r="J15411" s="1285"/>
      <c r="K15411" s="1285"/>
      <c r="L15411" s="1285"/>
    </row>
    <row r="15412" spans="1:12" ht="9" customHeight="1">
      <c r="A15412" s="129" t="s">
        <v>23706</v>
      </c>
      <c r="B15412" s="948" t="s">
        <v>19166</v>
      </c>
      <c r="C15412" s="147" t="s">
        <v>20221</v>
      </c>
      <c r="D15412" s="284" t="s">
        <v>897</v>
      </c>
      <c r="E15412" s="178" t="s">
        <v>19075</v>
      </c>
      <c r="F15412" s="178" t="s">
        <v>4520</v>
      </c>
      <c r="G15412" s="496"/>
      <c r="H15412" s="994" t="s">
        <v>20221</v>
      </c>
      <c r="I15412" s="11" t="s">
        <v>2334</v>
      </c>
      <c r="J15412" s="1285"/>
      <c r="K15412" s="1285"/>
      <c r="L15412" s="1285"/>
    </row>
    <row r="15413" spans="1:12" ht="9" customHeight="1">
      <c r="A15413" s="129" t="s">
        <v>23483</v>
      </c>
      <c r="B15413" s="811" t="s">
        <v>19167</v>
      </c>
      <c r="C15413" s="147" t="s">
        <v>23393</v>
      </c>
      <c r="D15413" s="284" t="s">
        <v>897</v>
      </c>
      <c r="E15413" s="178" t="s">
        <v>19075</v>
      </c>
      <c r="F15413" s="178" t="s">
        <v>4520</v>
      </c>
      <c r="G15413" s="496"/>
      <c r="H15413" s="994" t="s">
        <v>20221</v>
      </c>
      <c r="I15413" s="11" t="s">
        <v>8849</v>
      </c>
      <c r="J15413" s="1285"/>
      <c r="K15413" s="1285"/>
      <c r="L15413" s="1285"/>
    </row>
    <row r="15414" spans="1:12" ht="9" customHeight="1">
      <c r="A15414" s="129" t="s">
        <v>23634</v>
      </c>
      <c r="B15414" s="811" t="s">
        <v>19168</v>
      </c>
      <c r="C15414" s="147" t="s">
        <v>20221</v>
      </c>
      <c r="D15414" s="284" t="s">
        <v>897</v>
      </c>
      <c r="E15414" s="178" t="s">
        <v>19075</v>
      </c>
      <c r="F15414" s="178" t="s">
        <v>23395</v>
      </c>
      <c r="G15414" s="496"/>
      <c r="H15414" s="994" t="s">
        <v>20221</v>
      </c>
      <c r="I15414" s="11" t="s">
        <v>2427</v>
      </c>
      <c r="J15414" s="1285"/>
      <c r="K15414" s="1285"/>
      <c r="L15414" s="1285"/>
    </row>
    <row r="15415" spans="1:12" ht="9" customHeight="1">
      <c r="A15415" s="129" t="s">
        <v>23664</v>
      </c>
      <c r="B15415" s="137" t="s">
        <v>19169</v>
      </c>
      <c r="C15415" s="147" t="s">
        <v>20221</v>
      </c>
      <c r="D15415" s="284" t="s">
        <v>897</v>
      </c>
      <c r="E15415" s="178" t="s">
        <v>19075</v>
      </c>
      <c r="F15415" s="178" t="s">
        <v>4520</v>
      </c>
      <c r="G15415" s="496"/>
      <c r="H15415" s="994" t="s">
        <v>20224</v>
      </c>
      <c r="I15415" s="11" t="s">
        <v>13218</v>
      </c>
      <c r="J15415" s="1285"/>
      <c r="K15415" s="1285"/>
      <c r="L15415" s="1285"/>
    </row>
    <row r="15416" spans="1:12" ht="9" customHeight="1">
      <c r="A15416" s="129" t="s">
        <v>23564</v>
      </c>
      <c r="B15416" s="811" t="s">
        <v>19170</v>
      </c>
      <c r="C15416" s="147" t="s">
        <v>20221</v>
      </c>
      <c r="D15416" s="284" t="s">
        <v>897</v>
      </c>
      <c r="E15416" s="178" t="s">
        <v>19075</v>
      </c>
      <c r="F15416" s="178" t="s">
        <v>23394</v>
      </c>
      <c r="G15416" s="496"/>
      <c r="H15416" s="994" t="s">
        <v>20221</v>
      </c>
      <c r="I15416" s="11" t="s">
        <v>11808</v>
      </c>
      <c r="J15416" s="1285"/>
      <c r="K15416" s="1285"/>
      <c r="L15416" s="1285"/>
    </row>
    <row r="15417" spans="1:12" ht="11.15" customHeight="1">
      <c r="A15417" s="129" t="s">
        <v>23707</v>
      </c>
      <c r="B15417" s="944" t="s">
        <v>19171</v>
      </c>
      <c r="C15417" s="147" t="s">
        <v>23393</v>
      </c>
      <c r="D15417" s="284" t="s">
        <v>897</v>
      </c>
      <c r="E15417" s="178">
        <v>2019</v>
      </c>
      <c r="F15417" s="178" t="s">
        <v>5257</v>
      </c>
      <c r="G15417" s="496"/>
      <c r="H15417" s="994" t="s">
        <v>20221</v>
      </c>
      <c r="I15417" s="11" t="s">
        <v>10140</v>
      </c>
      <c r="J15417" s="1285"/>
      <c r="K15417" s="1285"/>
      <c r="L15417" s="1285"/>
    </row>
    <row r="15418" spans="1:12" ht="11.15" customHeight="1">
      <c r="A15418" s="129" t="s">
        <v>23704</v>
      </c>
      <c r="B15418" s="104" t="s">
        <v>19172</v>
      </c>
      <c r="C15418" s="147" t="s">
        <v>20221</v>
      </c>
      <c r="D15418" s="701" t="s">
        <v>1129</v>
      </c>
      <c r="E15418" s="178" t="s">
        <v>20221</v>
      </c>
      <c r="F15418" s="178" t="s">
        <v>4520</v>
      </c>
      <c r="G15418" s="496"/>
      <c r="H15418" s="994" t="s">
        <v>20224</v>
      </c>
      <c r="I15418" s="11" t="s">
        <v>17675</v>
      </c>
      <c r="J15418" s="1285"/>
      <c r="K15418" s="1285"/>
      <c r="L15418" s="1285"/>
    </row>
    <row r="15419" spans="1:12" ht="9" customHeight="1">
      <c r="A15419" s="129" t="s">
        <v>23708</v>
      </c>
      <c r="B15419" s="944" t="s">
        <v>19173</v>
      </c>
      <c r="C15419" s="147" t="s">
        <v>20221</v>
      </c>
      <c r="D15419" s="701" t="s">
        <v>1129</v>
      </c>
      <c r="E15419" s="178" t="s">
        <v>19075</v>
      </c>
      <c r="F15419" s="178" t="s">
        <v>4520</v>
      </c>
      <c r="G15419" s="496"/>
      <c r="H15419" s="994" t="s">
        <v>20224</v>
      </c>
      <c r="I15419" s="11" t="s">
        <v>8948</v>
      </c>
      <c r="J15419" s="1285"/>
      <c r="K15419" s="1285"/>
      <c r="L15419" s="1285"/>
    </row>
    <row r="15420" spans="1:12" ht="9" customHeight="1">
      <c r="A15420" s="129" t="s">
        <v>23655</v>
      </c>
      <c r="B15420" s="944" t="s">
        <v>19174</v>
      </c>
      <c r="C15420" s="147" t="s">
        <v>20221</v>
      </c>
      <c r="D15420" s="284" t="s">
        <v>897</v>
      </c>
      <c r="E15420" s="178" t="s">
        <v>19075</v>
      </c>
      <c r="F15420" s="178" t="s">
        <v>4520</v>
      </c>
      <c r="G15420" s="496"/>
      <c r="H15420" s="994" t="s">
        <v>20221</v>
      </c>
      <c r="I15420" s="11" t="s">
        <v>16667</v>
      </c>
      <c r="J15420" s="1285"/>
      <c r="K15420" s="1285"/>
      <c r="L15420" s="1285"/>
    </row>
    <row r="15421" spans="1:12" ht="26">
      <c r="A15421" s="926" t="s">
        <v>19077</v>
      </c>
      <c r="B15421" s="932" t="s">
        <v>19175</v>
      </c>
      <c r="C15421" s="147"/>
      <c r="D15421" s="107"/>
      <c r="E15421" s="240"/>
      <c r="F15421" s="240"/>
      <c r="G15421" s="1266"/>
      <c r="H15421" s="238"/>
      <c r="I15421" s="11"/>
    </row>
    <row r="15422" spans="1:12" ht="9" customHeight="1">
      <c r="A15422" s="424" t="s">
        <v>23251</v>
      </c>
      <c r="B15422" s="944" t="s">
        <v>19176</v>
      </c>
      <c r="C15422" s="147"/>
      <c r="D15422" s="284" t="s">
        <v>18825</v>
      </c>
      <c r="E15422" s="178" t="s">
        <v>19075</v>
      </c>
      <c r="F15422" s="178">
        <v>75</v>
      </c>
      <c r="G15422" s="496"/>
      <c r="H15422" s="36"/>
      <c r="I15422" s="11"/>
    </row>
    <row r="15423" spans="1:12" ht="9" customHeight="1">
      <c r="A15423" s="129" t="s">
        <v>23551</v>
      </c>
      <c r="B15423" s="944" t="s">
        <v>19177</v>
      </c>
      <c r="C15423" s="147" t="s">
        <v>20221</v>
      </c>
      <c r="D15423" s="284" t="s">
        <v>897</v>
      </c>
      <c r="E15423" s="178">
        <v>2015</v>
      </c>
      <c r="F15423" s="178" t="s">
        <v>4520</v>
      </c>
      <c r="G15423" s="496"/>
      <c r="H15423" s="994" t="s">
        <v>20277</v>
      </c>
      <c r="I15423" s="11" t="s">
        <v>10256</v>
      </c>
      <c r="J15423" s="1285"/>
      <c r="K15423" s="1285"/>
      <c r="L15423" s="1285"/>
    </row>
    <row r="15424" spans="1:12" ht="9" customHeight="1">
      <c r="A15424" s="129" t="s">
        <v>23679</v>
      </c>
      <c r="B15424" s="945" t="s">
        <v>19178</v>
      </c>
      <c r="C15424" s="147" t="s">
        <v>23393</v>
      </c>
      <c r="D15424" s="284" t="s">
        <v>897</v>
      </c>
      <c r="E15424" s="178">
        <v>2020</v>
      </c>
      <c r="F15424" s="178" t="s">
        <v>4520</v>
      </c>
      <c r="G15424" s="496"/>
      <c r="H15424" s="994" t="s">
        <v>20221</v>
      </c>
      <c r="I15424" s="11" t="s">
        <v>3358</v>
      </c>
      <c r="J15424" s="1285"/>
      <c r="K15424" s="1285"/>
      <c r="L15424" s="1285"/>
    </row>
    <row r="15425" spans="1:12" ht="9" customHeight="1">
      <c r="A15425" s="129" t="s">
        <v>23530</v>
      </c>
      <c r="B15425" s="944" t="s">
        <v>19179</v>
      </c>
      <c r="C15425" s="147" t="s">
        <v>20221</v>
      </c>
      <c r="D15425" s="284" t="s">
        <v>897</v>
      </c>
      <c r="E15425" s="178">
        <v>2017</v>
      </c>
      <c r="F15425" s="178" t="s">
        <v>4520</v>
      </c>
      <c r="G15425" s="496"/>
      <c r="H15425" s="994" t="s">
        <v>20221</v>
      </c>
      <c r="I15425" s="11" t="s">
        <v>17559</v>
      </c>
      <c r="J15425" s="1285"/>
      <c r="K15425" s="1285"/>
      <c r="L15425" s="1285"/>
    </row>
    <row r="15426" spans="1:12" ht="9" customHeight="1">
      <c r="A15426" s="129" t="s">
        <v>23709</v>
      </c>
      <c r="B15426" s="944" t="s">
        <v>19180</v>
      </c>
      <c r="C15426" s="147" t="s">
        <v>23393</v>
      </c>
      <c r="D15426" s="284" t="s">
        <v>897</v>
      </c>
      <c r="E15426" s="178" t="s">
        <v>19075</v>
      </c>
      <c r="F15426" s="178" t="s">
        <v>4520</v>
      </c>
      <c r="G15426" s="496"/>
      <c r="H15426" s="994" t="s">
        <v>20221</v>
      </c>
      <c r="I15426" s="11" t="s">
        <v>4161</v>
      </c>
      <c r="J15426" s="1285"/>
      <c r="K15426" s="1285"/>
      <c r="L15426" s="1285"/>
    </row>
    <row r="15427" spans="1:12" ht="9" customHeight="1">
      <c r="A15427" s="129" t="s">
        <v>23710</v>
      </c>
      <c r="B15427" s="415" t="s">
        <v>19181</v>
      </c>
      <c r="C15427" s="147" t="s">
        <v>20221</v>
      </c>
      <c r="D15427" s="701" t="s">
        <v>1129</v>
      </c>
      <c r="E15427" s="178">
        <v>2015</v>
      </c>
      <c r="F15427" s="178" t="s">
        <v>4520</v>
      </c>
      <c r="G15427" s="496"/>
      <c r="H15427" s="994" t="s">
        <v>20221</v>
      </c>
      <c r="I15427" s="11" t="s">
        <v>13589</v>
      </c>
      <c r="J15427" s="1285"/>
      <c r="K15427" s="1285"/>
      <c r="L15427" s="1285"/>
    </row>
    <row r="15428" spans="1:12" ht="9" customHeight="1">
      <c r="A15428" s="129" t="s">
        <v>23710</v>
      </c>
      <c r="B15428" s="415" t="s">
        <v>19182</v>
      </c>
      <c r="C15428" s="147" t="s">
        <v>20221</v>
      </c>
      <c r="D15428" s="284" t="s">
        <v>897</v>
      </c>
      <c r="E15428" s="178">
        <v>2015</v>
      </c>
      <c r="F15428" s="178" t="s">
        <v>4520</v>
      </c>
      <c r="G15428" s="496"/>
      <c r="H15428" s="994" t="s">
        <v>20221</v>
      </c>
      <c r="I15428" s="11" t="s">
        <v>13597</v>
      </c>
      <c r="J15428" s="1285"/>
      <c r="K15428" s="1285"/>
      <c r="L15428" s="1285"/>
    </row>
    <row r="15429" spans="1:12" ht="9" customHeight="1">
      <c r="A15429" s="129" t="s">
        <v>23549</v>
      </c>
      <c r="B15429" s="415" t="s">
        <v>19183</v>
      </c>
      <c r="C15429" s="147" t="s">
        <v>20221</v>
      </c>
      <c r="D15429" s="284" t="s">
        <v>897</v>
      </c>
      <c r="E15429" s="178" t="s">
        <v>19075</v>
      </c>
      <c r="F15429" s="178" t="s">
        <v>23395</v>
      </c>
      <c r="G15429" s="496"/>
      <c r="H15429" s="994" t="s">
        <v>20221</v>
      </c>
      <c r="I15429" s="11" t="s">
        <v>9253</v>
      </c>
      <c r="J15429" s="1285"/>
      <c r="K15429" s="1285"/>
      <c r="L15429" s="1285"/>
    </row>
    <row r="15430" spans="1:12" ht="9" customHeight="1" thickBot="1">
      <c r="A15430" s="1366" t="s">
        <v>19184</v>
      </c>
      <c r="B15430" s="414"/>
      <c r="C15430" s="367"/>
      <c r="D15430" s="655"/>
      <c r="E15430" s="656"/>
      <c r="F15430" s="178"/>
      <c r="G15430" s="1217"/>
      <c r="H15430" s="656"/>
      <c r="I15430" s="11"/>
    </row>
    <row r="15431" spans="1:12" ht="24" customHeight="1" thickBot="1">
      <c r="A15431" s="234"/>
      <c r="B15431" s="64" t="s">
        <v>19185</v>
      </c>
      <c r="C15431" s="170"/>
      <c r="D15431" s="139"/>
      <c r="E15431" s="723"/>
      <c r="F15431" s="723"/>
      <c r="G15431" s="1271"/>
      <c r="H15431" s="1120"/>
      <c r="I15431" s="11"/>
    </row>
    <row r="15432" spans="1:12" ht="50.5" customHeight="1">
      <c r="A15432" s="208"/>
      <c r="B15432" s="149"/>
      <c r="C15432" s="147"/>
      <c r="D15432" s="149"/>
      <c r="E15432" s="949"/>
      <c r="F15432" s="178"/>
      <c r="G15432" s="1272"/>
      <c r="H15432" s="950"/>
      <c r="I15432" s="11"/>
    </row>
    <row r="15433" spans="1:12" ht="9" customHeight="1">
      <c r="A15433" s="129" t="s">
        <v>23598</v>
      </c>
      <c r="B15433" s="90" t="s">
        <v>19186</v>
      </c>
      <c r="C15433" s="147" t="s">
        <v>20221</v>
      </c>
      <c r="D15433" s="701" t="s">
        <v>1129</v>
      </c>
      <c r="E15433" s="178">
        <v>2022</v>
      </c>
      <c r="F15433" s="178" t="s">
        <v>4520</v>
      </c>
      <c r="G15433" s="496"/>
      <c r="H15433" s="994" t="s">
        <v>20221</v>
      </c>
      <c r="I15433" s="11" t="s">
        <v>16321</v>
      </c>
      <c r="J15433" s="1285"/>
      <c r="K15433" s="1285"/>
      <c r="L15433" s="1285"/>
    </row>
    <row r="15434" spans="1:12" ht="9" customHeight="1">
      <c r="A15434" s="129" t="s">
        <v>23711</v>
      </c>
      <c r="B15434" s="90" t="s">
        <v>19187</v>
      </c>
      <c r="C15434" s="147" t="s">
        <v>20221</v>
      </c>
      <c r="D15434" s="284" t="s">
        <v>897</v>
      </c>
      <c r="E15434" s="178" t="s">
        <v>19075</v>
      </c>
      <c r="F15434" s="178" t="s">
        <v>4520</v>
      </c>
      <c r="G15434" s="496"/>
      <c r="H15434" s="994" t="s">
        <v>20221</v>
      </c>
      <c r="I15434" s="11" t="s">
        <v>5476</v>
      </c>
      <c r="J15434" s="1285"/>
      <c r="K15434" s="1285"/>
      <c r="L15434" s="1285"/>
    </row>
    <row r="15435" spans="1:12" ht="9" customHeight="1">
      <c r="A15435" s="129" t="s">
        <v>23617</v>
      </c>
      <c r="B15435" s="90" t="s">
        <v>19188</v>
      </c>
      <c r="C15435" s="147" t="s">
        <v>20221</v>
      </c>
      <c r="D15435" s="701" t="s">
        <v>1129</v>
      </c>
      <c r="E15435" s="178" t="s">
        <v>19075</v>
      </c>
      <c r="F15435" s="178" t="s">
        <v>4520</v>
      </c>
      <c r="G15435" s="496"/>
      <c r="H15435" s="994" t="s">
        <v>20221</v>
      </c>
      <c r="I15435" s="11" t="s">
        <v>5115</v>
      </c>
      <c r="J15435" s="1285"/>
      <c r="K15435" s="1285"/>
      <c r="L15435" s="1285"/>
    </row>
    <row r="15436" spans="1:12" ht="9" customHeight="1">
      <c r="A15436" s="129" t="s">
        <v>23645</v>
      </c>
      <c r="B15436" s="90" t="s">
        <v>19189</v>
      </c>
      <c r="C15436" s="147" t="s">
        <v>20221</v>
      </c>
      <c r="D15436" s="284" t="s">
        <v>897</v>
      </c>
      <c r="E15436" s="178">
        <v>2014</v>
      </c>
      <c r="F15436" s="178" t="s">
        <v>4520</v>
      </c>
      <c r="G15436" s="496"/>
      <c r="H15436" s="994" t="s">
        <v>20221</v>
      </c>
      <c r="I15436" s="11" t="s">
        <v>4595</v>
      </c>
      <c r="J15436" s="1285"/>
      <c r="K15436" s="1285"/>
      <c r="L15436" s="1285"/>
    </row>
    <row r="15437" spans="1:12" ht="9" customHeight="1">
      <c r="A15437" s="129" t="s">
        <v>23502</v>
      </c>
      <c r="B15437" s="90" t="s">
        <v>19190</v>
      </c>
      <c r="C15437" s="147" t="s">
        <v>20221</v>
      </c>
      <c r="D15437" s="701" t="s">
        <v>1129</v>
      </c>
      <c r="E15437" s="178">
        <v>2023</v>
      </c>
      <c r="F15437" s="178" t="s">
        <v>4520</v>
      </c>
      <c r="G15437" s="496"/>
      <c r="H15437" s="994" t="s">
        <v>20221</v>
      </c>
      <c r="I15437" s="11" t="s">
        <v>8962</v>
      </c>
      <c r="J15437" s="1285"/>
      <c r="K15437" s="1285"/>
      <c r="L15437" s="1285"/>
    </row>
    <row r="15438" spans="1:12" ht="9" customHeight="1">
      <c r="A15438" s="129" t="s">
        <v>19191</v>
      </c>
      <c r="B15438" s="90" t="s">
        <v>19192</v>
      </c>
      <c r="C15438" s="147"/>
      <c r="D15438" s="284" t="s">
        <v>897</v>
      </c>
      <c r="E15438" s="178" t="s">
        <v>20221</v>
      </c>
      <c r="F15438" s="178" t="s">
        <v>20221</v>
      </c>
      <c r="G15438" s="496"/>
      <c r="H15438" s="994" t="s">
        <v>20221</v>
      </c>
      <c r="I15438" s="11"/>
      <c r="J15438" s="1285"/>
      <c r="K15438" s="1285"/>
      <c r="L15438" s="1285"/>
    </row>
    <row r="15439" spans="1:12" ht="9" customHeight="1">
      <c r="A15439" s="129" t="s">
        <v>23624</v>
      </c>
      <c r="B15439" s="90" t="s">
        <v>19193</v>
      </c>
      <c r="C15439" s="147" t="s">
        <v>20221</v>
      </c>
      <c r="D15439" s="701" t="s">
        <v>1129</v>
      </c>
      <c r="E15439" s="178">
        <v>2017</v>
      </c>
      <c r="F15439" s="178" t="s">
        <v>4520</v>
      </c>
      <c r="G15439" s="496"/>
      <c r="H15439" s="994" t="s">
        <v>20221</v>
      </c>
      <c r="I15439" s="11" t="s">
        <v>1354</v>
      </c>
      <c r="J15439" s="1285"/>
      <c r="K15439" s="1285"/>
      <c r="L15439" s="1285"/>
    </row>
    <row r="15440" spans="1:12" ht="9" customHeight="1">
      <c r="A15440" s="129" t="s">
        <v>23624</v>
      </c>
      <c r="B15440" s="90" t="s">
        <v>19194</v>
      </c>
      <c r="C15440" s="147" t="s">
        <v>23393</v>
      </c>
      <c r="D15440" s="701" t="s">
        <v>1129</v>
      </c>
      <c r="E15440" s="178">
        <v>2018</v>
      </c>
      <c r="F15440" s="178" t="s">
        <v>4520</v>
      </c>
      <c r="G15440" s="496"/>
      <c r="H15440" s="994" t="s">
        <v>20221</v>
      </c>
      <c r="I15440" s="11" t="s">
        <v>1360</v>
      </c>
      <c r="J15440" s="1285"/>
      <c r="K15440" s="1285"/>
      <c r="L15440" s="1285"/>
    </row>
    <row r="15441" spans="1:12" ht="9" customHeight="1">
      <c r="A15441" s="129" t="s">
        <v>23624</v>
      </c>
      <c r="B15441" s="90" t="s">
        <v>19195</v>
      </c>
      <c r="C15441" s="147" t="s">
        <v>23393</v>
      </c>
      <c r="D15441" s="701" t="s">
        <v>1129</v>
      </c>
      <c r="E15441" s="178">
        <v>2019</v>
      </c>
      <c r="F15441" s="178" t="s">
        <v>4520</v>
      </c>
      <c r="G15441" s="496"/>
      <c r="H15441" s="994" t="s">
        <v>20221</v>
      </c>
      <c r="I15441" s="11" t="s">
        <v>1362</v>
      </c>
      <c r="J15441" s="1285"/>
      <c r="K15441" s="1285"/>
      <c r="L15441" s="1285"/>
    </row>
    <row r="15442" spans="1:12" ht="9" customHeight="1">
      <c r="A15442" s="129" t="s">
        <v>23712</v>
      </c>
      <c r="B15442" s="90" t="s">
        <v>19196</v>
      </c>
      <c r="C15442" s="147" t="s">
        <v>23393</v>
      </c>
      <c r="D15442" s="701" t="s">
        <v>1129</v>
      </c>
      <c r="E15442" s="178">
        <v>2022</v>
      </c>
      <c r="F15442" s="178" t="s">
        <v>4520</v>
      </c>
      <c r="G15442" s="496"/>
      <c r="H15442" s="994" t="s">
        <v>20221</v>
      </c>
      <c r="I15442" s="11" t="s">
        <v>8146</v>
      </c>
      <c r="J15442" s="1285"/>
      <c r="K15442" s="1285"/>
      <c r="L15442" s="1285"/>
    </row>
    <row r="15443" spans="1:12" ht="9" customHeight="1">
      <c r="A15443" s="129" t="s">
        <v>23523</v>
      </c>
      <c r="B15443" s="227" t="s">
        <v>19197</v>
      </c>
      <c r="C15443" s="147" t="s">
        <v>20221</v>
      </c>
      <c r="D15443" s="701" t="s">
        <v>1129</v>
      </c>
      <c r="E15443" s="178">
        <v>2021</v>
      </c>
      <c r="F15443" s="178" t="s">
        <v>4520</v>
      </c>
      <c r="G15443" s="496"/>
      <c r="H15443" s="994" t="s">
        <v>20221</v>
      </c>
      <c r="I15443" s="11" t="s">
        <v>15419</v>
      </c>
      <c r="J15443" s="1285"/>
      <c r="K15443" s="1285"/>
      <c r="L15443" s="1285"/>
    </row>
    <row r="15444" spans="1:12" ht="9" customHeight="1">
      <c r="A15444" s="129" t="s">
        <v>23523</v>
      </c>
      <c r="B15444" s="90" t="s">
        <v>19198</v>
      </c>
      <c r="C15444" s="147" t="s">
        <v>20221</v>
      </c>
      <c r="D15444" s="701" t="s">
        <v>1129</v>
      </c>
      <c r="E15444" s="178">
        <v>2018</v>
      </c>
      <c r="F15444" s="178" t="s">
        <v>23395</v>
      </c>
      <c r="G15444" s="496"/>
      <c r="H15444" s="994" t="s">
        <v>20221</v>
      </c>
      <c r="I15444" s="11" t="s">
        <v>15421</v>
      </c>
      <c r="J15444" s="1285"/>
      <c r="K15444" s="1285"/>
      <c r="L15444" s="1285"/>
    </row>
    <row r="15445" spans="1:12" ht="9" customHeight="1">
      <c r="A15445" s="129" t="s">
        <v>23575</v>
      </c>
      <c r="B15445" s="90" t="s">
        <v>19199</v>
      </c>
      <c r="C15445" s="147" t="s">
        <v>20221</v>
      </c>
      <c r="D15445" s="284" t="s">
        <v>897</v>
      </c>
      <c r="E15445" s="178">
        <v>2020</v>
      </c>
      <c r="F15445" s="178" t="s">
        <v>4520</v>
      </c>
      <c r="G15445" s="496"/>
      <c r="H15445" s="994" t="s">
        <v>20221</v>
      </c>
      <c r="I15445" s="11" t="s">
        <v>14194</v>
      </c>
      <c r="J15445" s="1285"/>
      <c r="K15445" s="1285"/>
      <c r="L15445" s="1285"/>
    </row>
    <row r="15446" spans="1:12" ht="9" customHeight="1">
      <c r="A15446" s="129" t="s">
        <v>23552</v>
      </c>
      <c r="B15446" s="90" t="s">
        <v>19200</v>
      </c>
      <c r="C15446" s="147" t="s">
        <v>20221</v>
      </c>
      <c r="D15446" s="284" t="s">
        <v>897</v>
      </c>
      <c r="E15446" s="178">
        <v>2018</v>
      </c>
      <c r="F15446" s="178" t="s">
        <v>4520</v>
      </c>
      <c r="G15446" s="496"/>
      <c r="H15446" s="994" t="s">
        <v>20221</v>
      </c>
      <c r="I15446" s="11" t="s">
        <v>8681</v>
      </c>
      <c r="J15446" s="1285"/>
      <c r="K15446" s="1285"/>
      <c r="L15446" s="1285"/>
    </row>
    <row r="15447" spans="1:12" ht="9" customHeight="1">
      <c r="A15447" s="129" t="s">
        <v>23640</v>
      </c>
      <c r="B15447" s="59" t="s">
        <v>19201</v>
      </c>
      <c r="C15447" s="147" t="s">
        <v>23393</v>
      </c>
      <c r="D15447" s="701" t="s">
        <v>1129</v>
      </c>
      <c r="E15447" s="178">
        <v>2022</v>
      </c>
      <c r="F15447" s="178" t="s">
        <v>23395</v>
      </c>
      <c r="G15447" s="496"/>
      <c r="H15447" s="994" t="s">
        <v>20277</v>
      </c>
      <c r="I15447" s="11" t="s">
        <v>3992</v>
      </c>
      <c r="J15447" s="1285"/>
      <c r="K15447" s="1285"/>
      <c r="L15447" s="1285"/>
    </row>
    <row r="15448" spans="1:12" ht="9" customHeight="1">
      <c r="A15448" s="129" t="s">
        <v>23713</v>
      </c>
      <c r="B15448" s="90" t="s">
        <v>19202</v>
      </c>
      <c r="C15448" s="147" t="s">
        <v>20221</v>
      </c>
      <c r="D15448" s="701" t="s">
        <v>1129</v>
      </c>
      <c r="E15448" s="178" t="s">
        <v>19075</v>
      </c>
      <c r="F15448" s="178" t="s">
        <v>23395</v>
      </c>
      <c r="G15448" s="496"/>
      <c r="H15448" s="994" t="s">
        <v>20221</v>
      </c>
      <c r="I15448" s="11" t="s">
        <v>8269</v>
      </c>
      <c r="J15448" s="1285"/>
      <c r="K15448" s="1285"/>
      <c r="L15448" s="1285"/>
    </row>
    <row r="15449" spans="1:12" ht="9" customHeight="1">
      <c r="A15449" s="129" t="s">
        <v>23499</v>
      </c>
      <c r="B15449" s="90" t="s">
        <v>19203</v>
      </c>
      <c r="C15449" s="147" t="s">
        <v>23393</v>
      </c>
      <c r="D15449" s="284" t="s">
        <v>897</v>
      </c>
      <c r="E15449" s="178" t="s">
        <v>19075</v>
      </c>
      <c r="F15449" s="178" t="s">
        <v>4520</v>
      </c>
      <c r="G15449" s="496"/>
      <c r="H15449" s="994" t="s">
        <v>20221</v>
      </c>
      <c r="I15449" s="11" t="s">
        <v>10393</v>
      </c>
      <c r="J15449" s="1285"/>
      <c r="K15449" s="1285"/>
      <c r="L15449" s="1285"/>
    </row>
    <row r="15450" spans="1:12" ht="9" customHeight="1">
      <c r="A15450" s="129" t="s">
        <v>23714</v>
      </c>
      <c r="B15450" s="36" t="s">
        <v>19204</v>
      </c>
      <c r="C15450" s="147" t="s">
        <v>20221</v>
      </c>
      <c r="D15450" s="739" t="s">
        <v>1410</v>
      </c>
      <c r="E15450" s="178">
        <v>2022</v>
      </c>
      <c r="F15450" s="178" t="s">
        <v>23400</v>
      </c>
      <c r="G15450" s="496"/>
      <c r="H15450" s="994" t="s">
        <v>20221</v>
      </c>
      <c r="I15450" s="11" t="s">
        <v>16013</v>
      </c>
      <c r="J15450" s="1285"/>
      <c r="K15450" s="1285"/>
      <c r="L15450" s="1285"/>
    </row>
    <row r="15451" spans="1:12" ht="9" customHeight="1">
      <c r="A15451" s="129" t="s">
        <v>23520</v>
      </c>
      <c r="B15451" s="90" t="s">
        <v>19205</v>
      </c>
      <c r="C15451" s="147" t="s">
        <v>20221</v>
      </c>
      <c r="D15451" s="701" t="s">
        <v>1129</v>
      </c>
      <c r="E15451" s="178">
        <v>2021</v>
      </c>
      <c r="F15451" s="178" t="s">
        <v>4520</v>
      </c>
      <c r="G15451" s="496"/>
      <c r="H15451" s="994" t="s">
        <v>20221</v>
      </c>
      <c r="I15451" s="11" t="s">
        <v>15861</v>
      </c>
      <c r="J15451" s="1285"/>
      <c r="K15451" s="1285"/>
      <c r="L15451" s="1285"/>
    </row>
    <row r="15452" spans="1:12" ht="9" customHeight="1">
      <c r="A15452" s="129" t="s">
        <v>23524</v>
      </c>
      <c r="B15452" s="59" t="s">
        <v>19206</v>
      </c>
      <c r="C15452" s="147" t="s">
        <v>20221</v>
      </c>
      <c r="D15452" s="701" t="s">
        <v>1129</v>
      </c>
      <c r="E15452" s="178" t="s">
        <v>19075</v>
      </c>
      <c r="F15452" s="178" t="s">
        <v>4520</v>
      </c>
      <c r="G15452" s="496"/>
      <c r="H15452" s="994" t="s">
        <v>20221</v>
      </c>
      <c r="I15452" s="11" t="s">
        <v>15603</v>
      </c>
      <c r="J15452" s="1285"/>
      <c r="K15452" s="1285"/>
      <c r="L15452" s="1285"/>
    </row>
    <row r="15453" spans="1:12" ht="9" customHeight="1">
      <c r="A15453" s="129" t="s">
        <v>23524</v>
      </c>
      <c r="B15453" s="59" t="s">
        <v>19207</v>
      </c>
      <c r="C15453" s="147" t="s">
        <v>20221</v>
      </c>
      <c r="D15453" s="701" t="s">
        <v>1129</v>
      </c>
      <c r="E15453" s="178" t="s">
        <v>19075</v>
      </c>
      <c r="F15453" s="178" t="s">
        <v>4520</v>
      </c>
      <c r="G15453" s="496"/>
      <c r="H15453" s="994" t="s">
        <v>20221</v>
      </c>
      <c r="I15453" s="11" t="s">
        <v>15648</v>
      </c>
      <c r="J15453" s="1285"/>
      <c r="K15453" s="1285"/>
      <c r="L15453" s="1285"/>
    </row>
    <row r="15454" spans="1:12" ht="9" customHeight="1">
      <c r="A15454" s="129" t="s">
        <v>23628</v>
      </c>
      <c r="B15454" s="90" t="s">
        <v>19208</v>
      </c>
      <c r="C15454" s="147" t="s">
        <v>20221</v>
      </c>
      <c r="D15454" s="284" t="s">
        <v>897</v>
      </c>
      <c r="E15454" s="178">
        <v>2017</v>
      </c>
      <c r="F15454" s="178" t="s">
        <v>4520</v>
      </c>
      <c r="G15454" s="496"/>
      <c r="H15454" s="994" t="s">
        <v>20221</v>
      </c>
      <c r="I15454" s="11" t="s">
        <v>15465</v>
      </c>
      <c r="J15454" s="1285"/>
      <c r="K15454" s="1285"/>
      <c r="L15454" s="1285"/>
    </row>
    <row r="15455" spans="1:12" ht="11.15" customHeight="1" thickBot="1">
      <c r="A15455" s="1366" t="s">
        <v>19184</v>
      </c>
      <c r="B15455" s="149"/>
      <c r="C15455" s="147"/>
      <c r="D15455" s="149"/>
      <c r="E15455" s="949"/>
      <c r="F15455" s="178"/>
      <c r="G15455" s="1272"/>
      <c r="H15455" s="950"/>
      <c r="I15455" s="11"/>
    </row>
    <row r="15456" spans="1:12" ht="24" customHeight="1" thickBot="1">
      <c r="A15456" s="234"/>
      <c r="B15456" s="64" t="s">
        <v>19209</v>
      </c>
      <c r="C15456" s="170"/>
      <c r="D15456" s="139"/>
      <c r="E15456" s="723" t="s">
        <v>867</v>
      </c>
      <c r="F15456" s="723" t="s">
        <v>19079</v>
      </c>
      <c r="G15456" s="1273"/>
      <c r="H15456" s="1120"/>
      <c r="I15456" s="11"/>
    </row>
    <row r="15457" spans="1:12" ht="97" customHeight="1">
      <c r="A15457" s="208"/>
      <c r="B15457" s="149"/>
      <c r="C15457" s="147"/>
      <c r="D15457" s="149"/>
      <c r="E15457" s="949"/>
      <c r="F15457" s="178"/>
      <c r="G15457" s="1272"/>
      <c r="H15457" s="950"/>
      <c r="I15457" s="11"/>
    </row>
    <row r="15458" spans="1:12" ht="9" customHeight="1">
      <c r="A15458" s="129" t="s">
        <v>23715</v>
      </c>
      <c r="B15458" s="178" t="s">
        <v>19210</v>
      </c>
      <c r="C15458" s="147" t="s">
        <v>23393</v>
      </c>
      <c r="D15458" s="701" t="s">
        <v>1129</v>
      </c>
      <c r="E15458" s="178">
        <v>2020</v>
      </c>
      <c r="F15458" s="178" t="s">
        <v>4520</v>
      </c>
      <c r="G15458" s="496"/>
      <c r="H15458" s="994" t="s">
        <v>20221</v>
      </c>
      <c r="I15458" s="11" t="s">
        <v>1431</v>
      </c>
      <c r="J15458" s="1285"/>
      <c r="K15458" s="1285"/>
      <c r="L15458" s="1285"/>
    </row>
    <row r="15459" spans="1:12" ht="9" customHeight="1">
      <c r="A15459" s="129" t="s">
        <v>23584</v>
      </c>
      <c r="B15459" s="36" t="s">
        <v>19211</v>
      </c>
      <c r="C15459" s="147" t="s">
        <v>20221</v>
      </c>
      <c r="D15459" s="701" t="s">
        <v>1129</v>
      </c>
      <c r="E15459" s="178" t="s">
        <v>19075</v>
      </c>
      <c r="F15459" s="178" t="s">
        <v>4520</v>
      </c>
      <c r="G15459" s="496"/>
      <c r="H15459" s="994" t="s">
        <v>20224</v>
      </c>
      <c r="I15459" s="11" t="s">
        <v>12667</v>
      </c>
      <c r="J15459" s="1285"/>
      <c r="K15459" s="1285"/>
      <c r="L15459" s="1285"/>
    </row>
    <row r="15460" spans="1:12" ht="9" customHeight="1">
      <c r="A15460" s="129" t="s">
        <v>23716</v>
      </c>
      <c r="B15460" s="36" t="s">
        <v>19212</v>
      </c>
      <c r="C15460" s="147" t="s">
        <v>20221</v>
      </c>
      <c r="D15460" s="284" t="s">
        <v>897</v>
      </c>
      <c r="E15460" s="178">
        <v>2016</v>
      </c>
      <c r="F15460" s="178" t="s">
        <v>4520</v>
      </c>
      <c r="G15460" s="496"/>
      <c r="H15460" s="994" t="s">
        <v>20224</v>
      </c>
      <c r="I15460" s="11" t="s">
        <v>13186</v>
      </c>
      <c r="J15460" s="1285"/>
      <c r="K15460" s="1285"/>
      <c r="L15460" s="1285"/>
    </row>
    <row r="15461" spans="1:12" ht="9" customHeight="1">
      <c r="A15461" s="129" t="s">
        <v>23717</v>
      </c>
      <c r="B15461" s="36" t="s">
        <v>19213</v>
      </c>
      <c r="C15461" s="147" t="s">
        <v>23393</v>
      </c>
      <c r="D15461" s="284" t="s">
        <v>897</v>
      </c>
      <c r="E15461" s="952" t="s">
        <v>19075</v>
      </c>
      <c r="F15461" s="178" t="s">
        <v>23395</v>
      </c>
      <c r="G15461" s="496"/>
      <c r="H15461" s="994" t="s">
        <v>20221</v>
      </c>
      <c r="I15461" s="11" t="s">
        <v>2493</v>
      </c>
      <c r="J15461" s="1285"/>
      <c r="K15461" s="1285"/>
      <c r="L15461" s="1285"/>
    </row>
    <row r="15462" spans="1:12" ht="9" customHeight="1">
      <c r="A15462" s="129" t="s">
        <v>23717</v>
      </c>
      <c r="B15462" s="36" t="s">
        <v>19214</v>
      </c>
      <c r="C15462" s="147" t="s">
        <v>23393</v>
      </c>
      <c r="D15462" s="284" t="s">
        <v>897</v>
      </c>
      <c r="E15462" s="178" t="s">
        <v>19075</v>
      </c>
      <c r="F15462" s="178" t="s">
        <v>4520</v>
      </c>
      <c r="G15462" s="496"/>
      <c r="H15462" s="994" t="s">
        <v>20221</v>
      </c>
      <c r="I15462" s="11" t="s">
        <v>2509</v>
      </c>
      <c r="J15462" s="1285"/>
      <c r="K15462" s="1285"/>
      <c r="L15462" s="1285"/>
    </row>
    <row r="15463" spans="1:12" ht="9" customHeight="1">
      <c r="A15463" s="129" t="s">
        <v>23711</v>
      </c>
      <c r="B15463" s="36" t="s">
        <v>19215</v>
      </c>
      <c r="C15463" s="147" t="s">
        <v>20221</v>
      </c>
      <c r="D15463" s="284" t="s">
        <v>897</v>
      </c>
      <c r="E15463" s="178" t="s">
        <v>19075</v>
      </c>
      <c r="F15463" s="178" t="s">
        <v>4520</v>
      </c>
      <c r="G15463" s="496"/>
      <c r="H15463" s="994" t="s">
        <v>20221</v>
      </c>
      <c r="I15463" s="11" t="s">
        <v>5470</v>
      </c>
      <c r="J15463" s="1285"/>
      <c r="K15463" s="1285"/>
      <c r="L15463" s="1285"/>
    </row>
    <row r="15464" spans="1:12" ht="9" customHeight="1">
      <c r="A15464" s="129" t="s">
        <v>23718</v>
      </c>
      <c r="B15464" s="36" t="s">
        <v>19216</v>
      </c>
      <c r="C15464" s="147" t="s">
        <v>20221</v>
      </c>
      <c r="D15464" s="284" t="s">
        <v>897</v>
      </c>
      <c r="E15464" s="178" t="s">
        <v>19075</v>
      </c>
      <c r="F15464" s="178" t="s">
        <v>4520</v>
      </c>
      <c r="G15464" s="496"/>
      <c r="H15464" s="994" t="s">
        <v>20221</v>
      </c>
      <c r="I15464" s="11" t="s">
        <v>7911</v>
      </c>
      <c r="J15464" s="1285"/>
      <c r="K15464" s="1285"/>
      <c r="L15464" s="1285"/>
    </row>
    <row r="15465" spans="1:12" ht="9" customHeight="1">
      <c r="A15465" s="129" t="s">
        <v>23679</v>
      </c>
      <c r="B15465" s="36" t="s">
        <v>19217</v>
      </c>
      <c r="C15465" s="147" t="s">
        <v>23393</v>
      </c>
      <c r="D15465" s="284" t="s">
        <v>897</v>
      </c>
      <c r="E15465" s="178" t="s">
        <v>19075</v>
      </c>
      <c r="F15465" s="178" t="s">
        <v>4520</v>
      </c>
      <c r="G15465" s="496"/>
      <c r="H15465" s="994" t="s">
        <v>20221</v>
      </c>
      <c r="I15465" s="11" t="s">
        <v>3358</v>
      </c>
      <c r="J15465" s="1285"/>
      <c r="K15465" s="1285"/>
      <c r="L15465" s="1285"/>
    </row>
    <row r="15466" spans="1:12" ht="9" customHeight="1">
      <c r="A15466" s="129" t="s">
        <v>23719</v>
      </c>
      <c r="B15466" s="36" t="s">
        <v>19218</v>
      </c>
      <c r="C15466" s="147" t="s">
        <v>20221</v>
      </c>
      <c r="D15466" s="284" t="s">
        <v>897</v>
      </c>
      <c r="E15466" s="178" t="s">
        <v>19075</v>
      </c>
      <c r="F15466" s="178" t="s">
        <v>4520</v>
      </c>
      <c r="G15466" s="496"/>
      <c r="H15466" s="994" t="s">
        <v>20221</v>
      </c>
      <c r="I15466" s="11" t="s">
        <v>5370</v>
      </c>
      <c r="J15466" s="1285"/>
      <c r="K15466" s="1285"/>
      <c r="L15466" s="1285"/>
    </row>
    <row r="15467" spans="1:12" ht="9" customHeight="1">
      <c r="A15467" s="129" t="s">
        <v>23620</v>
      </c>
      <c r="B15467" s="36" t="s">
        <v>19219</v>
      </c>
      <c r="C15467" s="147" t="s">
        <v>20221</v>
      </c>
      <c r="D15467" s="1035" t="s">
        <v>1370</v>
      </c>
      <c r="E15467" s="178">
        <v>2019</v>
      </c>
      <c r="F15467" s="178" t="s">
        <v>4520</v>
      </c>
      <c r="G15467" s="496"/>
      <c r="H15467" s="994" t="s">
        <v>20221</v>
      </c>
      <c r="I15467" s="11" t="s">
        <v>12193</v>
      </c>
      <c r="J15467" s="1285"/>
      <c r="K15467" s="1285"/>
      <c r="L15467" s="1285"/>
    </row>
    <row r="15468" spans="1:12" ht="9" customHeight="1">
      <c r="A15468" s="129" t="s">
        <v>23632</v>
      </c>
      <c r="B15468" s="952" t="s">
        <v>19220</v>
      </c>
      <c r="C15468" s="147" t="s">
        <v>20221</v>
      </c>
      <c r="D15468" s="701" t="s">
        <v>884</v>
      </c>
      <c r="E15468" s="952" t="s">
        <v>19075</v>
      </c>
      <c r="F15468" s="178" t="s">
        <v>4520</v>
      </c>
      <c r="G15468" s="496"/>
      <c r="H15468" s="994" t="s">
        <v>20221</v>
      </c>
      <c r="I15468" s="11" t="s">
        <v>1119</v>
      </c>
      <c r="J15468" s="1285"/>
      <c r="K15468" s="1285"/>
      <c r="L15468" s="1285"/>
    </row>
    <row r="15469" spans="1:12" ht="9" customHeight="1">
      <c r="A15469" s="129" t="s">
        <v>23626</v>
      </c>
      <c r="B15469" s="36" t="s">
        <v>19221</v>
      </c>
      <c r="C15469" s="147" t="s">
        <v>20221</v>
      </c>
      <c r="D15469" s="284" t="s">
        <v>897</v>
      </c>
      <c r="E15469" s="178" t="s">
        <v>19075</v>
      </c>
      <c r="F15469" s="178" t="s">
        <v>4520</v>
      </c>
      <c r="G15469" s="496"/>
      <c r="H15469" s="994" t="s">
        <v>20221</v>
      </c>
      <c r="I15469" s="11" t="s">
        <v>5847</v>
      </c>
      <c r="J15469" s="1285"/>
      <c r="K15469" s="1285"/>
      <c r="L15469" s="1285"/>
    </row>
    <row r="15470" spans="1:12" ht="9" customHeight="1">
      <c r="A15470" s="129" t="s">
        <v>23720</v>
      </c>
      <c r="B15470" s="36" t="s">
        <v>19221</v>
      </c>
      <c r="C15470" s="147" t="s">
        <v>20221</v>
      </c>
      <c r="D15470" s="284" t="s">
        <v>897</v>
      </c>
      <c r="E15470" s="178">
        <v>2012</v>
      </c>
      <c r="F15470" s="178" t="s">
        <v>4520</v>
      </c>
      <c r="G15470" s="496"/>
      <c r="H15470" s="994" t="s">
        <v>20221</v>
      </c>
      <c r="I15470" s="11" t="s">
        <v>6062</v>
      </c>
      <c r="J15470" s="1285"/>
      <c r="K15470" s="1285"/>
      <c r="L15470" s="1285"/>
    </row>
    <row r="15471" spans="1:12" ht="9" customHeight="1">
      <c r="A15471" s="129" t="s">
        <v>23721</v>
      </c>
      <c r="B15471" s="36" t="s">
        <v>19223</v>
      </c>
      <c r="C15471" s="147" t="s">
        <v>20221</v>
      </c>
      <c r="D15471" s="284" t="s">
        <v>897</v>
      </c>
      <c r="E15471" s="178" t="s">
        <v>19075</v>
      </c>
      <c r="F15471" s="178" t="s">
        <v>23394</v>
      </c>
      <c r="G15471" s="496"/>
      <c r="H15471" s="994" t="s">
        <v>20224</v>
      </c>
      <c r="I15471" s="11" t="s">
        <v>1596</v>
      </c>
      <c r="J15471" s="1285"/>
      <c r="K15471" s="1285"/>
      <c r="L15471" s="1285"/>
    </row>
    <row r="15472" spans="1:12" ht="9" customHeight="1">
      <c r="A15472" s="129" t="s">
        <v>23722</v>
      </c>
      <c r="B15472" s="178" t="s">
        <v>19224</v>
      </c>
      <c r="C15472" s="147" t="s">
        <v>20221</v>
      </c>
      <c r="D15472" s="284" t="s">
        <v>897</v>
      </c>
      <c r="E15472" s="178">
        <v>2020</v>
      </c>
      <c r="F15472" s="178" t="s">
        <v>4520</v>
      </c>
      <c r="G15472" s="496"/>
      <c r="H15472" s="994" t="s">
        <v>20221</v>
      </c>
      <c r="I15472" s="11" t="s">
        <v>2412</v>
      </c>
      <c r="J15472" s="1285"/>
      <c r="K15472" s="1285"/>
      <c r="L15472" s="1285"/>
    </row>
    <row r="15473" spans="1:12" ht="9" customHeight="1">
      <c r="A15473" s="129" t="s">
        <v>23626</v>
      </c>
      <c r="B15473" s="36" t="s">
        <v>23252</v>
      </c>
      <c r="C15473" s="147" t="s">
        <v>20221</v>
      </c>
      <c r="D15473" s="701" t="s">
        <v>1129</v>
      </c>
      <c r="E15473" s="178">
        <v>2020</v>
      </c>
      <c r="F15473" s="178" t="s">
        <v>4520</v>
      </c>
      <c r="G15473" s="496"/>
      <c r="H15473" s="994" t="s">
        <v>20221</v>
      </c>
      <c r="I15473" s="11" t="s">
        <v>7363</v>
      </c>
      <c r="J15473" s="1285"/>
      <c r="K15473" s="1285"/>
      <c r="L15473" s="1285"/>
    </row>
    <row r="15474" spans="1:12" ht="9" customHeight="1">
      <c r="A15474" s="129" t="s">
        <v>23723</v>
      </c>
      <c r="B15474" s="36" t="s">
        <v>19225</v>
      </c>
      <c r="C15474" s="147" t="s">
        <v>20221</v>
      </c>
      <c r="D15474" s="701" t="s">
        <v>1129</v>
      </c>
      <c r="E15474" s="178" t="s">
        <v>19075</v>
      </c>
      <c r="F15474" s="178" t="s">
        <v>4520</v>
      </c>
      <c r="G15474" s="496"/>
      <c r="H15474" s="994" t="s">
        <v>20221</v>
      </c>
      <c r="I15474" s="11" t="s">
        <v>4097</v>
      </c>
      <c r="J15474" s="1285"/>
      <c r="K15474" s="1285"/>
      <c r="L15474" s="1285"/>
    </row>
    <row r="15475" spans="1:12" ht="9" customHeight="1">
      <c r="A15475" s="129" t="s">
        <v>23584</v>
      </c>
      <c r="B15475" s="951" t="s">
        <v>19226</v>
      </c>
      <c r="C15475" s="147" t="s">
        <v>20221</v>
      </c>
      <c r="D15475" s="701" t="s">
        <v>1129</v>
      </c>
      <c r="E15475" s="952" t="s">
        <v>19075</v>
      </c>
      <c r="F15475" s="178" t="s">
        <v>4520</v>
      </c>
      <c r="G15475" s="496"/>
      <c r="H15475" s="994" t="s">
        <v>20221</v>
      </c>
      <c r="I15475" s="11" t="s">
        <v>12651</v>
      </c>
      <c r="J15475" s="1285"/>
      <c r="K15475" s="1285"/>
      <c r="L15475" s="1285"/>
    </row>
    <row r="15476" spans="1:12" ht="9" customHeight="1">
      <c r="A15476" s="129" t="s">
        <v>23584</v>
      </c>
      <c r="B15476" s="951" t="s">
        <v>19227</v>
      </c>
      <c r="C15476" s="147" t="s">
        <v>20221</v>
      </c>
      <c r="D15476" s="284" t="s">
        <v>897</v>
      </c>
      <c r="E15476" s="952" t="s">
        <v>19075</v>
      </c>
      <c r="F15476" s="178" t="s">
        <v>4520</v>
      </c>
      <c r="G15476" s="496"/>
      <c r="H15476" s="994" t="s">
        <v>20221</v>
      </c>
      <c r="I15476" s="11" t="s">
        <v>12708</v>
      </c>
      <c r="J15476" s="1285"/>
      <c r="K15476" s="1285"/>
      <c r="L15476" s="1285"/>
    </row>
    <row r="15477" spans="1:12" ht="9" customHeight="1">
      <c r="A15477" s="129" t="s">
        <v>23479</v>
      </c>
      <c r="B15477" s="36" t="s">
        <v>19228</v>
      </c>
      <c r="C15477" s="147" t="s">
        <v>20221</v>
      </c>
      <c r="D15477" s="701" t="s">
        <v>1129</v>
      </c>
      <c r="E15477" s="178" t="s">
        <v>19075</v>
      </c>
      <c r="F15477" s="178" t="s">
        <v>4520</v>
      </c>
      <c r="G15477" s="496"/>
      <c r="H15477" s="994" t="s">
        <v>20221</v>
      </c>
      <c r="I15477" s="11" t="s">
        <v>12051</v>
      </c>
      <c r="J15477" s="1285"/>
      <c r="K15477" s="1285"/>
      <c r="L15477" s="1285"/>
    </row>
    <row r="15478" spans="1:12" ht="9" customHeight="1">
      <c r="A15478" s="129" t="s">
        <v>23471</v>
      </c>
      <c r="B15478" s="36" t="s">
        <v>19229</v>
      </c>
      <c r="C15478" s="147" t="s">
        <v>20221</v>
      </c>
      <c r="D15478" s="701" t="s">
        <v>1129</v>
      </c>
      <c r="E15478" s="178">
        <v>2014</v>
      </c>
      <c r="F15478" s="178" t="s">
        <v>5257</v>
      </c>
      <c r="G15478" s="496"/>
      <c r="H15478" s="994" t="s">
        <v>20277</v>
      </c>
      <c r="I15478" s="11" t="s">
        <v>8228</v>
      </c>
      <c r="J15478" s="1285"/>
      <c r="K15478" s="1285"/>
      <c r="L15478" s="1285"/>
    </row>
    <row r="15479" spans="1:12" ht="9" customHeight="1">
      <c r="A15479" s="129" t="s">
        <v>23685</v>
      </c>
      <c r="B15479" s="36" t="s">
        <v>19230</v>
      </c>
      <c r="C15479" s="147" t="s">
        <v>20221</v>
      </c>
      <c r="D15479" s="284" t="s">
        <v>897</v>
      </c>
      <c r="E15479" s="178" t="s">
        <v>19075</v>
      </c>
      <c r="F15479" s="178" t="s">
        <v>4520</v>
      </c>
      <c r="G15479" s="496"/>
      <c r="H15479" s="994" t="s">
        <v>20221</v>
      </c>
      <c r="I15479" s="11" t="s">
        <v>7636</v>
      </c>
      <c r="J15479" s="1285"/>
      <c r="K15479" s="1285"/>
      <c r="L15479" s="1285"/>
    </row>
    <row r="15480" spans="1:12" ht="9" customHeight="1">
      <c r="A15480" s="129" t="s">
        <v>23724</v>
      </c>
      <c r="B15480" s="36" t="s">
        <v>19231</v>
      </c>
      <c r="C15480" s="147" t="s">
        <v>20221</v>
      </c>
      <c r="D15480" s="284" t="s">
        <v>897</v>
      </c>
      <c r="E15480" s="178" t="s">
        <v>19075</v>
      </c>
      <c r="F15480" s="178" t="s">
        <v>4520</v>
      </c>
      <c r="G15480" s="496"/>
      <c r="H15480" s="994" t="s">
        <v>20221</v>
      </c>
      <c r="I15480" s="11" t="s">
        <v>7117</v>
      </c>
      <c r="J15480" s="1285"/>
      <c r="K15480" s="1285"/>
      <c r="L15480" s="1285"/>
    </row>
    <row r="15481" spans="1:12" ht="9" customHeight="1">
      <c r="A15481" s="129" t="s">
        <v>23648</v>
      </c>
      <c r="B15481" s="36" t="s">
        <v>19232</v>
      </c>
      <c r="C15481" s="147" t="s">
        <v>20221</v>
      </c>
      <c r="D15481" s="284" t="s">
        <v>897</v>
      </c>
      <c r="E15481" s="178" t="s">
        <v>19075</v>
      </c>
      <c r="F15481" s="178" t="s">
        <v>23395</v>
      </c>
      <c r="G15481" s="496"/>
      <c r="H15481" s="994" t="s">
        <v>20221</v>
      </c>
      <c r="I15481" s="11" t="s">
        <v>6882</v>
      </c>
      <c r="J15481" s="1285"/>
      <c r="K15481" s="1285"/>
      <c r="L15481" s="1285"/>
    </row>
    <row r="15482" spans="1:12" ht="9" customHeight="1">
      <c r="A15482" s="129" t="s">
        <v>23725</v>
      </c>
      <c r="B15482" s="36" t="s">
        <v>19233</v>
      </c>
      <c r="C15482" s="147" t="s">
        <v>20221</v>
      </c>
      <c r="D15482" s="284" t="s">
        <v>897</v>
      </c>
      <c r="E15482" s="178">
        <v>2021</v>
      </c>
      <c r="F15482" s="178" t="s">
        <v>9658</v>
      </c>
      <c r="G15482" s="496"/>
      <c r="H15482" s="994" t="s">
        <v>20224</v>
      </c>
      <c r="I15482" s="11" t="s">
        <v>1620</v>
      </c>
      <c r="J15482" s="1285"/>
      <c r="K15482" s="1285"/>
      <c r="L15482" s="1285"/>
    </row>
    <row r="15483" spans="1:12" ht="9" customHeight="1">
      <c r="A15483" s="129" t="s">
        <v>23540</v>
      </c>
      <c r="B15483" s="36" t="s">
        <v>19234</v>
      </c>
      <c r="C15483" s="147" t="s">
        <v>20221</v>
      </c>
      <c r="D15483" s="284" t="s">
        <v>897</v>
      </c>
      <c r="E15483" s="178" t="s">
        <v>19075</v>
      </c>
      <c r="F15483" s="178" t="s">
        <v>4520</v>
      </c>
      <c r="G15483" s="496"/>
      <c r="H15483" s="994" t="s">
        <v>20221</v>
      </c>
      <c r="I15483" s="11" t="s">
        <v>10561</v>
      </c>
      <c r="J15483" s="1285"/>
      <c r="K15483" s="1285"/>
      <c r="L15483" s="1285"/>
    </row>
    <row r="15484" spans="1:12" ht="9" customHeight="1">
      <c r="A15484" s="129" t="s">
        <v>23586</v>
      </c>
      <c r="B15484" s="36" t="s">
        <v>19235</v>
      </c>
      <c r="C15484" s="147" t="s">
        <v>23393</v>
      </c>
      <c r="D15484" s="739" t="s">
        <v>1410</v>
      </c>
      <c r="E15484" s="178">
        <v>2021</v>
      </c>
      <c r="F15484" s="178" t="s">
        <v>23404</v>
      </c>
      <c r="G15484" s="496"/>
      <c r="H15484" s="994" t="s">
        <v>20221</v>
      </c>
      <c r="I15484" s="11" t="s">
        <v>3818</v>
      </c>
      <c r="J15484" s="1285"/>
      <c r="K15484" s="1285"/>
      <c r="L15484" s="1285"/>
    </row>
    <row r="15485" spans="1:12" ht="9" customHeight="1">
      <c r="A15485" s="129" t="s">
        <v>23647</v>
      </c>
      <c r="B15485" s="36" t="s">
        <v>19236</v>
      </c>
      <c r="C15485" s="147" t="s">
        <v>20221</v>
      </c>
      <c r="D15485" s="284" t="s">
        <v>897</v>
      </c>
      <c r="E15485" s="178" t="s">
        <v>19075</v>
      </c>
      <c r="F15485" s="178" t="s">
        <v>4520</v>
      </c>
      <c r="G15485" s="496"/>
      <c r="H15485" s="994" t="s">
        <v>20221</v>
      </c>
      <c r="I15485" s="11" t="s">
        <v>4494</v>
      </c>
      <c r="J15485" s="1285"/>
      <c r="K15485" s="1285"/>
      <c r="L15485" s="1285"/>
    </row>
    <row r="15486" spans="1:12" ht="9" customHeight="1">
      <c r="A15486" s="129" t="s">
        <v>23618</v>
      </c>
      <c r="B15486" s="36" t="s">
        <v>19238</v>
      </c>
      <c r="C15486" s="147" t="s">
        <v>20221</v>
      </c>
      <c r="D15486" s="284" t="s">
        <v>897</v>
      </c>
      <c r="E15486" s="178" t="s">
        <v>19075</v>
      </c>
      <c r="F15486" s="178" t="s">
        <v>4520</v>
      </c>
      <c r="G15486" s="496"/>
      <c r="H15486" s="994" t="s">
        <v>20221</v>
      </c>
      <c r="I15486" s="11" t="s">
        <v>4949</v>
      </c>
      <c r="J15486" s="1285"/>
      <c r="K15486" s="1285"/>
      <c r="L15486" s="1285"/>
    </row>
    <row r="15487" spans="1:12" ht="9" customHeight="1">
      <c r="A15487" s="129" t="s">
        <v>23726</v>
      </c>
      <c r="B15487" s="953" t="s">
        <v>19239</v>
      </c>
      <c r="C15487" s="147" t="s">
        <v>20221</v>
      </c>
      <c r="D15487" s="284" t="s">
        <v>897</v>
      </c>
      <c r="E15487" s="178" t="s">
        <v>19075</v>
      </c>
      <c r="F15487" s="178" t="s">
        <v>4520</v>
      </c>
      <c r="G15487" s="496"/>
      <c r="H15487" s="994" t="s">
        <v>20221</v>
      </c>
      <c r="I15487" s="11" t="s">
        <v>4739</v>
      </c>
      <c r="J15487" s="1285"/>
      <c r="K15487" s="1285"/>
      <c r="L15487" s="1285"/>
    </row>
    <row r="15488" spans="1:12" ht="9" customHeight="1">
      <c r="A15488" s="129" t="s">
        <v>23727</v>
      </c>
      <c r="B15488" s="953" t="s">
        <v>19239</v>
      </c>
      <c r="C15488" s="147" t="s">
        <v>20221</v>
      </c>
      <c r="D15488" s="284" t="s">
        <v>897</v>
      </c>
      <c r="E15488" s="178">
        <v>2022</v>
      </c>
      <c r="F15488" s="178" t="s">
        <v>4520</v>
      </c>
      <c r="G15488" s="496"/>
      <c r="H15488" s="994" t="s">
        <v>20224</v>
      </c>
      <c r="I15488" s="11" t="s">
        <v>4985</v>
      </c>
      <c r="J15488" s="1285"/>
      <c r="K15488" s="1285"/>
      <c r="L15488" s="1285"/>
    </row>
    <row r="15489" spans="1:12" ht="9" customHeight="1">
      <c r="A15489" s="129" t="s">
        <v>23443</v>
      </c>
      <c r="B15489" s="36" t="s">
        <v>19240</v>
      </c>
      <c r="C15489" s="147" t="s">
        <v>20221</v>
      </c>
      <c r="D15489" s="701" t="s">
        <v>1129</v>
      </c>
      <c r="E15489" s="178" t="s">
        <v>19075</v>
      </c>
      <c r="F15489" s="178" t="s">
        <v>4520</v>
      </c>
      <c r="G15489" s="496"/>
      <c r="H15489" s="994" t="s">
        <v>20221</v>
      </c>
      <c r="I15489" s="11" t="s">
        <v>9618</v>
      </c>
      <c r="J15489" s="1285"/>
      <c r="K15489" s="1285"/>
      <c r="L15489" s="1285"/>
    </row>
    <row r="15490" spans="1:12" ht="9" customHeight="1">
      <c r="A15490" s="129" t="s">
        <v>23443</v>
      </c>
      <c r="B15490" s="36" t="s">
        <v>19241</v>
      </c>
      <c r="C15490" s="147" t="s">
        <v>20221</v>
      </c>
      <c r="D15490" s="284" t="s">
        <v>897</v>
      </c>
      <c r="E15490" s="178" t="s">
        <v>19075</v>
      </c>
      <c r="F15490" s="178" t="s">
        <v>4520</v>
      </c>
      <c r="G15490" s="496"/>
      <c r="H15490" s="994" t="s">
        <v>20221</v>
      </c>
      <c r="I15490" s="11" t="s">
        <v>9636</v>
      </c>
      <c r="J15490" s="1285"/>
      <c r="K15490" s="1285"/>
      <c r="L15490" s="1285"/>
    </row>
    <row r="15491" spans="1:12" ht="9" customHeight="1">
      <c r="A15491" s="129" t="s">
        <v>23545</v>
      </c>
      <c r="B15491" s="36" t="s">
        <v>19242</v>
      </c>
      <c r="C15491" s="147" t="s">
        <v>20221</v>
      </c>
      <c r="D15491" s="1034" t="s">
        <v>2573</v>
      </c>
      <c r="E15491" s="178">
        <v>2024</v>
      </c>
      <c r="F15491" s="178" t="s">
        <v>4520</v>
      </c>
      <c r="G15491" s="496"/>
      <c r="H15491" s="994" t="s">
        <v>20221</v>
      </c>
      <c r="I15491" s="11" t="s">
        <v>13937</v>
      </c>
      <c r="J15491" s="1285"/>
      <c r="K15491" s="1285"/>
      <c r="L15491" s="1285"/>
    </row>
    <row r="15492" spans="1:12" ht="9" customHeight="1">
      <c r="A15492" s="129" t="s">
        <v>23655</v>
      </c>
      <c r="B15492" s="36" t="s">
        <v>19243</v>
      </c>
      <c r="C15492" s="147" t="s">
        <v>20221</v>
      </c>
      <c r="D15492" s="284" t="s">
        <v>897</v>
      </c>
      <c r="E15492" s="178" t="s">
        <v>19075</v>
      </c>
      <c r="F15492" s="178" t="s">
        <v>4520</v>
      </c>
      <c r="G15492" s="496"/>
      <c r="H15492" s="994" t="s">
        <v>20221</v>
      </c>
      <c r="I15492" s="11" t="s">
        <v>16659</v>
      </c>
      <c r="J15492" s="1285"/>
      <c r="K15492" s="1285"/>
      <c r="L15492" s="1285"/>
    </row>
    <row r="15493" spans="1:12" ht="9" customHeight="1">
      <c r="A15493" s="129" t="s">
        <v>23720</v>
      </c>
      <c r="B15493" s="36" t="s">
        <v>19244</v>
      </c>
      <c r="C15493" s="147" t="s">
        <v>20221</v>
      </c>
      <c r="D15493" s="284" t="s">
        <v>897</v>
      </c>
      <c r="E15493" s="178" t="s">
        <v>19075</v>
      </c>
      <c r="F15493" s="178" t="s">
        <v>4520</v>
      </c>
      <c r="G15493" s="496"/>
      <c r="H15493" s="994" t="s">
        <v>20221</v>
      </c>
      <c r="I15493" s="11" t="s">
        <v>6073</v>
      </c>
      <c r="J15493" s="1285"/>
      <c r="K15493" s="1285"/>
      <c r="L15493" s="1285"/>
    </row>
    <row r="15494" spans="1:12" ht="9" customHeight="1">
      <c r="A15494" s="129" t="s">
        <v>23640</v>
      </c>
      <c r="B15494" s="36" t="s">
        <v>19245</v>
      </c>
      <c r="C15494" s="147" t="s">
        <v>20221</v>
      </c>
      <c r="D15494" s="701" t="s">
        <v>1129</v>
      </c>
      <c r="E15494" s="178">
        <v>2015</v>
      </c>
      <c r="F15494" s="178" t="s">
        <v>23395</v>
      </c>
      <c r="G15494" s="496"/>
      <c r="H15494" s="994" t="s">
        <v>20221</v>
      </c>
      <c r="I15494" s="11" t="s">
        <v>4011</v>
      </c>
      <c r="J15494" s="1285"/>
      <c r="K15494" s="1285"/>
      <c r="L15494" s="1285"/>
    </row>
    <row r="15495" spans="1:12" ht="9" customHeight="1">
      <c r="A15495" s="129" t="s">
        <v>23711</v>
      </c>
      <c r="B15495" s="36" t="s">
        <v>19246</v>
      </c>
      <c r="C15495" s="147" t="s">
        <v>20221</v>
      </c>
      <c r="D15495" s="284" t="s">
        <v>897</v>
      </c>
      <c r="E15495" s="178" t="s">
        <v>19075</v>
      </c>
      <c r="F15495" s="178" t="s">
        <v>4520</v>
      </c>
      <c r="G15495" s="496"/>
      <c r="H15495" s="994" t="s">
        <v>20221</v>
      </c>
      <c r="I15495" s="11" t="s">
        <v>5462</v>
      </c>
      <c r="J15495" s="1285"/>
      <c r="K15495" s="1285"/>
      <c r="L15495" s="1285"/>
    </row>
    <row r="15496" spans="1:12" ht="9" customHeight="1">
      <c r="A15496" s="129" t="s">
        <v>23546</v>
      </c>
      <c r="B15496" s="36" t="s">
        <v>19247</v>
      </c>
      <c r="C15496" s="147" t="s">
        <v>23393</v>
      </c>
      <c r="D15496" s="284" t="s">
        <v>897</v>
      </c>
      <c r="E15496" s="178" t="s">
        <v>19075</v>
      </c>
      <c r="F15496" s="178" t="s">
        <v>4520</v>
      </c>
      <c r="G15496" s="496"/>
      <c r="H15496" s="994" t="s">
        <v>20221</v>
      </c>
      <c r="I15496" s="11" t="s">
        <v>4879</v>
      </c>
      <c r="J15496" s="1285"/>
      <c r="K15496" s="1285"/>
      <c r="L15496" s="1285"/>
    </row>
    <row r="15497" spans="1:12" ht="9" customHeight="1">
      <c r="A15497" s="129" t="s">
        <v>23728</v>
      </c>
      <c r="B15497" s="36" t="s">
        <v>19248</v>
      </c>
      <c r="C15497" s="147" t="s">
        <v>20221</v>
      </c>
      <c r="D15497" s="284" t="s">
        <v>897</v>
      </c>
      <c r="E15497" s="178">
        <v>2019</v>
      </c>
      <c r="F15497" s="178" t="s">
        <v>23394</v>
      </c>
      <c r="G15497" s="496"/>
      <c r="H15497" s="994" t="s">
        <v>20224</v>
      </c>
      <c r="I15497" s="11" t="s">
        <v>1657</v>
      </c>
      <c r="J15497" s="1285"/>
      <c r="K15497" s="1285"/>
      <c r="L15497" s="1285"/>
    </row>
    <row r="15498" spans="1:12" ht="11.15" customHeight="1">
      <c r="A15498" s="129" t="s">
        <v>23713</v>
      </c>
      <c r="B15498" s="90" t="s">
        <v>19249</v>
      </c>
      <c r="C15498" s="147" t="s">
        <v>20221</v>
      </c>
      <c r="D15498" s="701" t="s">
        <v>1129</v>
      </c>
      <c r="E15498" s="178" t="s">
        <v>19075</v>
      </c>
      <c r="F15498" s="178" t="s">
        <v>4520</v>
      </c>
      <c r="G15498" s="496"/>
      <c r="H15498" s="994" t="s">
        <v>20221</v>
      </c>
      <c r="I15498" s="11" t="s">
        <v>8285</v>
      </c>
      <c r="J15498" s="1285"/>
      <c r="K15498" s="1285"/>
      <c r="L15498" s="1285"/>
    </row>
    <row r="15499" spans="1:12" ht="9" customHeight="1">
      <c r="A15499" s="129" t="s">
        <v>23632</v>
      </c>
      <c r="B15499" s="952" t="s">
        <v>19250</v>
      </c>
      <c r="C15499" s="147" t="s">
        <v>23393</v>
      </c>
      <c r="D15499" s="1034" t="s">
        <v>879</v>
      </c>
      <c r="E15499" s="952" t="s">
        <v>19075</v>
      </c>
      <c r="F15499" s="178" t="s">
        <v>4520</v>
      </c>
      <c r="G15499" s="496"/>
      <c r="H15499" s="994" t="s">
        <v>20221</v>
      </c>
      <c r="I15499" s="11" t="s">
        <v>1102</v>
      </c>
      <c r="J15499" s="1285"/>
      <c r="K15499" s="1285"/>
      <c r="L15499" s="1285"/>
    </row>
    <row r="15500" spans="1:12" ht="9" customHeight="1">
      <c r="A15500" s="129" t="s">
        <v>23632</v>
      </c>
      <c r="B15500" s="952" t="s">
        <v>19251</v>
      </c>
      <c r="C15500" s="147" t="s">
        <v>23393</v>
      </c>
      <c r="D15500" s="701" t="s">
        <v>884</v>
      </c>
      <c r="E15500" s="952" t="s">
        <v>19075</v>
      </c>
      <c r="F15500" s="178" t="s">
        <v>4520</v>
      </c>
      <c r="G15500" s="496"/>
      <c r="H15500" s="994" t="s">
        <v>20221</v>
      </c>
      <c r="I15500" s="11" t="s">
        <v>1113</v>
      </c>
      <c r="J15500" s="1285"/>
      <c r="K15500" s="1285"/>
      <c r="L15500" s="1285"/>
    </row>
    <row r="15501" spans="1:12" ht="9" customHeight="1">
      <c r="A15501" s="129" t="s">
        <v>23632</v>
      </c>
      <c r="B15501" s="952" t="s">
        <v>19252</v>
      </c>
      <c r="C15501" s="147" t="s">
        <v>20221</v>
      </c>
      <c r="D15501" s="701" t="s">
        <v>1129</v>
      </c>
      <c r="E15501" s="178" t="s">
        <v>20273</v>
      </c>
      <c r="F15501" s="178" t="s">
        <v>4520</v>
      </c>
      <c r="G15501" s="496"/>
      <c r="H15501" s="994" t="s">
        <v>20224</v>
      </c>
      <c r="I15501" s="11" t="s">
        <v>1130</v>
      </c>
      <c r="J15501" s="1285"/>
      <c r="K15501" s="1285"/>
      <c r="L15501" s="1285"/>
    </row>
    <row r="15502" spans="1:12" ht="9" customHeight="1">
      <c r="A15502" s="129" t="s">
        <v>23632</v>
      </c>
      <c r="B15502" s="952" t="s">
        <v>19253</v>
      </c>
      <c r="C15502" s="147" t="s">
        <v>20221</v>
      </c>
      <c r="D15502" s="284" t="s">
        <v>897</v>
      </c>
      <c r="E15502" s="952" t="s">
        <v>19075</v>
      </c>
      <c r="F15502" s="178" t="s">
        <v>4520</v>
      </c>
      <c r="G15502" s="496"/>
      <c r="H15502" s="994" t="s">
        <v>20221</v>
      </c>
      <c r="I15502" s="11" t="s">
        <v>1138</v>
      </c>
      <c r="J15502" s="1285"/>
      <c r="K15502" s="1285"/>
      <c r="L15502" s="1285"/>
    </row>
    <row r="15503" spans="1:12" ht="9" customHeight="1">
      <c r="A15503" s="129" t="s">
        <v>23711</v>
      </c>
      <c r="B15503" s="36" t="s">
        <v>19254</v>
      </c>
      <c r="C15503" s="147" t="s">
        <v>20221</v>
      </c>
      <c r="D15503" s="701" t="s">
        <v>1129</v>
      </c>
      <c r="E15503" s="178" t="s">
        <v>19075</v>
      </c>
      <c r="F15503" s="178" t="s">
        <v>4520</v>
      </c>
      <c r="G15503" s="496"/>
      <c r="H15503" s="994" t="s">
        <v>20221</v>
      </c>
      <c r="I15503" s="11" t="s">
        <v>5400</v>
      </c>
      <c r="J15503" s="1285"/>
      <c r="K15503" s="1285"/>
      <c r="L15503" s="1285"/>
    </row>
    <row r="15504" spans="1:12" ht="9" customHeight="1">
      <c r="A15504" s="129" t="s">
        <v>23729</v>
      </c>
      <c r="B15504" s="36" t="s">
        <v>19255</v>
      </c>
      <c r="C15504" s="147" t="s">
        <v>20221</v>
      </c>
      <c r="D15504" s="284" t="s">
        <v>897</v>
      </c>
      <c r="E15504" s="178" t="s">
        <v>19075</v>
      </c>
      <c r="F15504" s="178" t="s">
        <v>4520</v>
      </c>
      <c r="G15504" s="496"/>
      <c r="H15504" s="994" t="s">
        <v>20221</v>
      </c>
      <c r="I15504" s="11" t="s">
        <v>1971</v>
      </c>
      <c r="J15504" s="1285"/>
      <c r="K15504" s="1285"/>
      <c r="L15504" s="1285"/>
    </row>
    <row r="15505" spans="1:12" ht="9" customHeight="1">
      <c r="A15505" s="129" t="s">
        <v>23729</v>
      </c>
      <c r="B15505" s="36" t="s">
        <v>19256</v>
      </c>
      <c r="C15505" s="147" t="s">
        <v>20221</v>
      </c>
      <c r="D15505" s="284" t="s">
        <v>897</v>
      </c>
      <c r="E15505" s="178" t="s">
        <v>19075</v>
      </c>
      <c r="F15505" s="178" t="s">
        <v>4520</v>
      </c>
      <c r="G15505" s="496"/>
      <c r="H15505" s="994" t="s">
        <v>20224</v>
      </c>
      <c r="I15505" s="11" t="s">
        <v>1983</v>
      </c>
      <c r="J15505" s="1285"/>
      <c r="K15505" s="1285"/>
      <c r="L15505" s="1285"/>
    </row>
    <row r="15506" spans="1:12" ht="9" customHeight="1" thickBot="1">
      <c r="A15506" s="1366" t="s">
        <v>19184</v>
      </c>
      <c r="B15506" s="414"/>
      <c r="C15506" s="367"/>
      <c r="D15506" s="655"/>
      <c r="E15506" s="656"/>
      <c r="F15506" s="178"/>
      <c r="G15506" s="1217"/>
      <c r="H15506" s="656"/>
      <c r="I15506" s="11"/>
    </row>
    <row r="15507" spans="1:12" ht="24" customHeight="1" thickBot="1">
      <c r="A15507" s="234"/>
      <c r="B15507" s="64" t="s">
        <v>19257</v>
      </c>
      <c r="C15507" s="170"/>
      <c r="D15507" s="139"/>
      <c r="E15507" s="874"/>
      <c r="F15507" s="1094"/>
      <c r="G15507" s="1080"/>
      <c r="H15507" s="661"/>
      <c r="I15507" s="11"/>
    </row>
    <row r="15508" spans="1:12" ht="24" customHeight="1">
      <c r="A15508" s="926" t="s">
        <v>19077</v>
      </c>
      <c r="B15508" s="934" t="s">
        <v>19258</v>
      </c>
      <c r="C15508" s="147"/>
      <c r="D15508" s="107"/>
      <c r="E15508" s="954" t="s">
        <v>19259</v>
      </c>
      <c r="F15508" s="1276" t="s">
        <v>19260</v>
      </c>
      <c r="G15508" s="908"/>
      <c r="H15508" s="954"/>
      <c r="I15508" s="11"/>
    </row>
    <row r="15509" spans="1:12" ht="9" customHeight="1">
      <c r="A15509" s="424" t="s">
        <v>19261</v>
      </c>
      <c r="B15509" s="940" t="s">
        <v>19262</v>
      </c>
      <c r="C15509" s="147"/>
      <c r="D15509" s="701" t="s">
        <v>1129</v>
      </c>
      <c r="E15509" s="178" t="s">
        <v>19263</v>
      </c>
      <c r="F15509" s="178">
        <v>1972</v>
      </c>
      <c r="G15509" s="496"/>
      <c r="H15509" s="178"/>
      <c r="I15509" s="11"/>
    </row>
    <row r="15510" spans="1:12" ht="9" customHeight="1">
      <c r="A15510" s="424" t="s">
        <v>19161</v>
      </c>
      <c r="B15510" s="940" t="s">
        <v>19264</v>
      </c>
      <c r="C15510" s="147"/>
      <c r="D15510" s="701" t="s">
        <v>1129</v>
      </c>
      <c r="E15510" s="178" t="s">
        <v>19265</v>
      </c>
      <c r="F15510" s="178" t="s">
        <v>19266</v>
      </c>
      <c r="G15510" s="496"/>
      <c r="H15510" s="178"/>
      <c r="I15510" s="11"/>
    </row>
    <row r="15511" spans="1:12" ht="9" customHeight="1">
      <c r="A15511" s="424" t="s">
        <v>19267</v>
      </c>
      <c r="B15511" s="940" t="s">
        <v>19268</v>
      </c>
      <c r="C15511" s="147"/>
      <c r="D15511" s="701" t="s">
        <v>1129</v>
      </c>
      <c r="E15511" s="178" t="s">
        <v>19269</v>
      </c>
      <c r="F15511" s="178" t="s">
        <v>19270</v>
      </c>
      <c r="G15511" s="496"/>
      <c r="H15511" s="178"/>
      <c r="I15511" s="11"/>
    </row>
    <row r="15512" spans="1:12" ht="9" customHeight="1">
      <c r="A15512" s="424" t="s">
        <v>19267</v>
      </c>
      <c r="B15512" s="940" t="s">
        <v>19271</v>
      </c>
      <c r="C15512" s="147"/>
      <c r="D15512" s="701" t="s">
        <v>1129</v>
      </c>
      <c r="E15512" s="178" t="s">
        <v>19272</v>
      </c>
      <c r="F15512" s="178" t="s">
        <v>19273</v>
      </c>
      <c r="G15512" s="496"/>
      <c r="H15512" s="178"/>
      <c r="I15512" s="11"/>
    </row>
    <row r="15513" spans="1:12" ht="9" customHeight="1">
      <c r="A15513" s="424" t="s">
        <v>6439</v>
      </c>
      <c r="B15513" s="940" t="s">
        <v>19274</v>
      </c>
      <c r="C15513" s="147"/>
      <c r="D15513" s="701" t="s">
        <v>1129</v>
      </c>
      <c r="E15513" s="178" t="s">
        <v>19275</v>
      </c>
      <c r="F15513" s="178" t="s">
        <v>19276</v>
      </c>
      <c r="G15513" s="496"/>
      <c r="H15513" s="178"/>
      <c r="I15513" s="11"/>
    </row>
    <row r="15514" spans="1:12" ht="9" customHeight="1">
      <c r="A15514" s="424" t="s">
        <v>6439</v>
      </c>
      <c r="B15514" s="940" t="s">
        <v>19277</v>
      </c>
      <c r="C15514" s="147"/>
      <c r="D15514" s="701" t="s">
        <v>1129</v>
      </c>
      <c r="E15514" s="178" t="s">
        <v>19278</v>
      </c>
      <c r="F15514" s="178"/>
      <c r="G15514" s="497"/>
      <c r="H15514" s="178"/>
      <c r="I15514" s="11"/>
    </row>
    <row r="15515" spans="1:12" ht="9" customHeight="1">
      <c r="A15515" s="129" t="s">
        <v>4101</v>
      </c>
      <c r="B15515" s="940" t="s">
        <v>19279</v>
      </c>
      <c r="C15515" s="147"/>
      <c r="D15515" s="701" t="s">
        <v>1129</v>
      </c>
      <c r="E15515" s="178" t="s">
        <v>19280</v>
      </c>
      <c r="F15515" s="176" t="s">
        <v>19281</v>
      </c>
      <c r="G15515" s="496"/>
      <c r="H15515" s="157"/>
      <c r="I15515" s="11"/>
    </row>
    <row r="15516" spans="1:12" ht="9" customHeight="1">
      <c r="A15516" s="129" t="s">
        <v>4101</v>
      </c>
      <c r="B15516" s="940" t="s">
        <v>19282</v>
      </c>
      <c r="C15516" s="147"/>
      <c r="D15516" s="284" t="s">
        <v>19283</v>
      </c>
      <c r="E15516" s="178" t="s">
        <v>19284</v>
      </c>
      <c r="F15516" s="176" t="s">
        <v>19285</v>
      </c>
      <c r="G15516" s="496"/>
      <c r="H15516" s="157"/>
      <c r="I15516" s="11"/>
    </row>
    <row r="15517" spans="1:12" ht="9" customHeight="1">
      <c r="A15517" s="424" t="s">
        <v>19286</v>
      </c>
      <c r="B15517" s="940" t="s">
        <v>19287</v>
      </c>
      <c r="C15517" s="147"/>
      <c r="D15517" s="284" t="s">
        <v>19283</v>
      </c>
      <c r="E15517" s="178" t="s">
        <v>19288</v>
      </c>
      <c r="F15517" s="178" t="s">
        <v>19289</v>
      </c>
      <c r="G15517" s="496"/>
      <c r="H15517" s="178"/>
      <c r="I15517" s="11"/>
    </row>
    <row r="15518" spans="1:12" ht="9" customHeight="1">
      <c r="A15518" s="424" t="s">
        <v>19286</v>
      </c>
      <c r="B15518" s="940" t="s">
        <v>19290</v>
      </c>
      <c r="C15518" s="147"/>
      <c r="D15518" s="284" t="s">
        <v>19283</v>
      </c>
      <c r="E15518" s="178" t="s">
        <v>19291</v>
      </c>
      <c r="F15518" s="178" t="s">
        <v>19292</v>
      </c>
      <c r="G15518" s="496"/>
      <c r="H15518" s="178"/>
      <c r="I15518" s="11"/>
    </row>
    <row r="15519" spans="1:12" ht="9" customHeight="1">
      <c r="A15519" s="424" t="s">
        <v>19293</v>
      </c>
      <c r="B15519" s="940" t="s">
        <v>19294</v>
      </c>
      <c r="C15519" s="147"/>
      <c r="D15519" s="284" t="s">
        <v>19283</v>
      </c>
      <c r="E15519" s="178" t="s">
        <v>19295</v>
      </c>
      <c r="F15519" s="178" t="s">
        <v>19296</v>
      </c>
      <c r="G15519" s="497"/>
      <c r="H15519" s="178"/>
      <c r="I15519" s="11"/>
    </row>
    <row r="15520" spans="1:12" ht="9" customHeight="1">
      <c r="A15520" s="424" t="s">
        <v>19297</v>
      </c>
      <c r="B15520" s="940" t="s">
        <v>19298</v>
      </c>
      <c r="C15520" s="147"/>
      <c r="D15520" s="284" t="s">
        <v>897</v>
      </c>
      <c r="E15520" s="178" t="s">
        <v>19299</v>
      </c>
      <c r="F15520" s="178" t="s">
        <v>19300</v>
      </c>
      <c r="G15520" s="496"/>
      <c r="H15520" s="178"/>
      <c r="I15520" s="11"/>
    </row>
    <row r="15521" spans="1:9" ht="9" customHeight="1">
      <c r="A15521" s="424" t="s">
        <v>19286</v>
      </c>
      <c r="B15521" s="940" t="s">
        <v>19301</v>
      </c>
      <c r="C15521" s="147"/>
      <c r="D15521" s="284" t="s">
        <v>897</v>
      </c>
      <c r="E15521" s="178" t="s">
        <v>19291</v>
      </c>
      <c r="F15521" s="178">
        <v>1950</v>
      </c>
      <c r="G15521" s="496"/>
      <c r="H15521" s="178"/>
      <c r="I15521" s="11"/>
    </row>
    <row r="15522" spans="1:9" ht="9" customHeight="1">
      <c r="A15522" s="424" t="s">
        <v>19302</v>
      </c>
      <c r="B15522" s="940" t="s">
        <v>19303</v>
      </c>
      <c r="C15522" s="147"/>
      <c r="D15522" s="284" t="s">
        <v>897</v>
      </c>
      <c r="E15522" s="178" t="s">
        <v>19304</v>
      </c>
      <c r="F15522" s="955" t="s">
        <v>19305</v>
      </c>
      <c r="G15522" s="496"/>
      <c r="H15522" s="955"/>
      <c r="I15522" s="11"/>
    </row>
    <row r="15523" spans="1:9" ht="9" customHeight="1">
      <c r="A15523" s="424" t="s">
        <v>19237</v>
      </c>
      <c r="B15523" s="940" t="s">
        <v>19306</v>
      </c>
      <c r="C15523" s="147"/>
      <c r="D15523" s="284" t="s">
        <v>897</v>
      </c>
      <c r="E15523" s="178" t="s">
        <v>19269</v>
      </c>
      <c r="F15523" s="178" t="s">
        <v>19307</v>
      </c>
      <c r="G15523" s="496"/>
      <c r="H15523" s="178"/>
      <c r="I15523" s="11"/>
    </row>
    <row r="15524" spans="1:9" ht="9" customHeight="1">
      <c r="A15524" s="424" t="s">
        <v>19286</v>
      </c>
      <c r="B15524" s="940" t="s">
        <v>19308</v>
      </c>
      <c r="C15524" s="147"/>
      <c r="D15524" s="284" t="s">
        <v>897</v>
      </c>
      <c r="E15524" s="178" t="s">
        <v>19309</v>
      </c>
      <c r="F15524" s="178" t="s">
        <v>19310</v>
      </c>
      <c r="G15524" s="496"/>
      <c r="H15524" s="178"/>
      <c r="I15524" s="11"/>
    </row>
    <row r="15525" spans="1:9" ht="9" customHeight="1">
      <c r="A15525" s="424" t="s">
        <v>19311</v>
      </c>
      <c r="B15525" s="940" t="s">
        <v>19312</v>
      </c>
      <c r="C15525" s="147"/>
      <c r="D15525" s="284" t="s">
        <v>897</v>
      </c>
      <c r="E15525" s="178"/>
      <c r="F15525" s="178"/>
      <c r="G15525" s="496"/>
      <c r="H15525" s="178"/>
      <c r="I15525" s="11"/>
    </row>
    <row r="15526" spans="1:9" ht="9" customHeight="1">
      <c r="A15526" s="129" t="s">
        <v>18807</v>
      </c>
      <c r="B15526" s="940" t="s">
        <v>19313</v>
      </c>
      <c r="C15526" s="147"/>
      <c r="D15526" s="284" t="s">
        <v>897</v>
      </c>
      <c r="E15526" s="178" t="s">
        <v>19314</v>
      </c>
      <c r="F15526" s="178" t="s">
        <v>19315</v>
      </c>
      <c r="G15526" s="497"/>
      <c r="H15526" s="36"/>
      <c r="I15526" s="11"/>
    </row>
    <row r="15527" spans="1:9" ht="9" customHeight="1">
      <c r="A15527" s="424" t="s">
        <v>19062</v>
      </c>
      <c r="B15527" s="940" t="s">
        <v>19316</v>
      </c>
      <c r="C15527" s="147"/>
      <c r="D15527" s="284" t="s">
        <v>897</v>
      </c>
      <c r="E15527" s="178" t="s">
        <v>19317</v>
      </c>
      <c r="F15527" s="176" t="s">
        <v>19318</v>
      </c>
      <c r="G15527" s="497"/>
      <c r="H15527" s="176"/>
      <c r="I15527" s="11"/>
    </row>
    <row r="15528" spans="1:9" ht="9" customHeight="1">
      <c r="A15528" s="129" t="s">
        <v>4096</v>
      </c>
      <c r="B15528" s="940" t="s">
        <v>19319</v>
      </c>
      <c r="C15528" s="147"/>
      <c r="D15528" s="284" t="s">
        <v>897</v>
      </c>
      <c r="E15528" s="178" t="s">
        <v>19320</v>
      </c>
      <c r="F15528" s="178" t="s">
        <v>19075</v>
      </c>
      <c r="G15528" s="496"/>
      <c r="H15528" s="178"/>
      <c r="I15528" s="11"/>
    </row>
    <row r="15529" spans="1:9" ht="9" customHeight="1">
      <c r="A15529" s="1366" t="s">
        <v>19321</v>
      </c>
      <c r="B15529" s="90"/>
      <c r="C15529" s="147"/>
      <c r="D15529" s="956"/>
      <c r="E15529" s="36"/>
      <c r="F15529" s="178"/>
      <c r="G15529" s="496"/>
      <c r="H15529" s="36"/>
      <c r="I15529" s="11"/>
    </row>
    <row r="15530" spans="1:9" ht="21" customHeight="1">
      <c r="A15530" s="938" t="s">
        <v>19322</v>
      </c>
      <c r="B15530" s="1356" t="s">
        <v>19323</v>
      </c>
      <c r="C15530" s="147"/>
      <c r="D15530" s="957" t="s">
        <v>866</v>
      </c>
      <c r="E15530" s="1275" t="s">
        <v>19324</v>
      </c>
      <c r="F15530" s="954" t="s">
        <v>19325</v>
      </c>
      <c r="G15530" s="908"/>
      <c r="H15530" s="954"/>
      <c r="I15530" s="11"/>
    </row>
    <row r="15531" spans="1:9" ht="9" customHeight="1">
      <c r="A15531" s="129" t="s">
        <v>19326</v>
      </c>
      <c r="B15531" s="90" t="s">
        <v>19327</v>
      </c>
      <c r="C15531" s="147"/>
      <c r="D15531" s="701" t="s">
        <v>884</v>
      </c>
      <c r="E15531" s="183">
        <v>2010</v>
      </c>
      <c r="F15531" s="178" t="s">
        <v>19328</v>
      </c>
      <c r="G15531" s="496"/>
      <c r="H15531" s="178"/>
      <c r="I15531" s="11"/>
    </row>
    <row r="15532" spans="1:9" ht="9" customHeight="1">
      <c r="A15532" s="129" t="s">
        <v>19329</v>
      </c>
      <c r="B15532" s="90" t="s">
        <v>19330</v>
      </c>
      <c r="C15532" s="147"/>
      <c r="D15532" s="284" t="s">
        <v>897</v>
      </c>
      <c r="E15532" s="183">
        <v>1986</v>
      </c>
      <c r="F15532" s="178" t="s">
        <v>19328</v>
      </c>
      <c r="G15532" s="496"/>
      <c r="H15532" s="178"/>
      <c r="I15532" s="11"/>
    </row>
    <row r="15533" spans="1:9" ht="9" customHeight="1">
      <c r="A15533" s="129" t="s">
        <v>19331</v>
      </c>
      <c r="B15533" s="90" t="s">
        <v>19330</v>
      </c>
      <c r="C15533" s="147"/>
      <c r="D15533" s="284" t="s">
        <v>897</v>
      </c>
      <c r="E15533" s="36"/>
      <c r="F15533" s="178" t="s">
        <v>19328</v>
      </c>
      <c r="G15533" s="496"/>
      <c r="H15533" s="178"/>
      <c r="I15533" s="11"/>
    </row>
    <row r="15534" spans="1:9" ht="9" customHeight="1">
      <c r="A15534" s="129" t="s">
        <v>19332</v>
      </c>
      <c r="B15534" s="90" t="s">
        <v>19333</v>
      </c>
      <c r="C15534" s="147"/>
      <c r="D15534" s="284" t="s">
        <v>897</v>
      </c>
      <c r="E15534" s="183">
        <v>1978</v>
      </c>
      <c r="F15534" s="178" t="s">
        <v>19328</v>
      </c>
      <c r="G15534" s="496"/>
      <c r="H15534" s="178"/>
      <c r="I15534" s="11"/>
    </row>
    <row r="15535" spans="1:9" ht="9" customHeight="1">
      <c r="A15535" s="129" t="s">
        <v>19334</v>
      </c>
      <c r="B15535" s="90" t="s">
        <v>19335</v>
      </c>
      <c r="C15535" s="147"/>
      <c r="D15535" s="739" t="s">
        <v>1410</v>
      </c>
      <c r="E15535" s="183">
        <v>1992</v>
      </c>
      <c r="F15535" s="178" t="s">
        <v>19328</v>
      </c>
      <c r="G15535" s="496"/>
      <c r="H15535" s="178"/>
      <c r="I15535" s="11"/>
    </row>
    <row r="15536" spans="1:9" ht="9" customHeight="1">
      <c r="A15536" s="129" t="s">
        <v>19336</v>
      </c>
      <c r="B15536" s="90" t="s">
        <v>19337</v>
      </c>
      <c r="C15536" s="147"/>
      <c r="D15536" s="284" t="s">
        <v>897</v>
      </c>
      <c r="E15536" s="178">
        <v>2017</v>
      </c>
      <c r="F15536" s="178" t="s">
        <v>19328</v>
      </c>
      <c r="G15536" s="496"/>
      <c r="H15536" s="178"/>
      <c r="I15536" s="11"/>
    </row>
    <row r="15537" spans="1:9" ht="9" customHeight="1">
      <c r="A15537" s="129" t="s">
        <v>4081</v>
      </c>
      <c r="B15537" s="90" t="s">
        <v>19338</v>
      </c>
      <c r="C15537" s="147"/>
      <c r="D15537" s="284" t="s">
        <v>897</v>
      </c>
      <c r="E15537" s="183">
        <v>1986</v>
      </c>
      <c r="F15537" s="178" t="s">
        <v>19328</v>
      </c>
      <c r="G15537" s="496"/>
      <c r="H15537" s="178"/>
      <c r="I15537" s="11"/>
    </row>
    <row r="15538" spans="1:9" ht="9" customHeight="1">
      <c r="A15538" s="129" t="s">
        <v>19339</v>
      </c>
      <c r="B15538" s="90" t="s">
        <v>18738</v>
      </c>
      <c r="C15538" s="147"/>
      <c r="D15538" s="284" t="s">
        <v>897</v>
      </c>
      <c r="E15538" s="183">
        <v>2013</v>
      </c>
      <c r="F15538" s="178" t="s">
        <v>19340</v>
      </c>
      <c r="G15538" s="496"/>
      <c r="H15538" s="178"/>
      <c r="I15538" s="11"/>
    </row>
    <row r="15539" spans="1:9" ht="9" customHeight="1">
      <c r="A15539" s="129" t="s">
        <v>4090</v>
      </c>
      <c r="B15539" s="90" t="s">
        <v>19341</v>
      </c>
      <c r="C15539" s="147"/>
      <c r="D15539" s="284" t="s">
        <v>897</v>
      </c>
      <c r="E15539" s="183">
        <v>2002</v>
      </c>
      <c r="F15539" s="178" t="s">
        <v>19328</v>
      </c>
      <c r="G15539" s="497"/>
      <c r="H15539" s="178"/>
      <c r="I15539" s="11"/>
    </row>
    <row r="15540" spans="1:9" ht="9" customHeight="1">
      <c r="A15540" s="129" t="s">
        <v>19222</v>
      </c>
      <c r="B15540" s="90" t="s">
        <v>19341</v>
      </c>
      <c r="C15540" s="147"/>
      <c r="D15540" s="284" t="s">
        <v>897</v>
      </c>
      <c r="E15540" s="183">
        <v>1988</v>
      </c>
      <c r="F15540" s="178" t="s">
        <v>19328</v>
      </c>
      <c r="G15540" s="496"/>
      <c r="H15540" s="178"/>
      <c r="I15540" s="11"/>
    </row>
    <row r="15541" spans="1:9" ht="9" customHeight="1">
      <c r="A15541" s="129" t="s">
        <v>4091</v>
      </c>
      <c r="B15541" s="90" t="s">
        <v>18738</v>
      </c>
      <c r="C15541" s="147"/>
      <c r="D15541" s="284" t="s">
        <v>897</v>
      </c>
      <c r="E15541" s="178"/>
      <c r="F15541" s="178" t="s">
        <v>19328</v>
      </c>
      <c r="G15541" s="496"/>
      <c r="H15541" s="178"/>
      <c r="I15541" s="11"/>
    </row>
    <row r="15542" spans="1:9" ht="9" customHeight="1">
      <c r="A15542" s="129" t="s">
        <v>19342</v>
      </c>
      <c r="B15542" s="90" t="s">
        <v>19343</v>
      </c>
      <c r="C15542" s="147"/>
      <c r="D15542" s="284" t="s">
        <v>19283</v>
      </c>
      <c r="E15542" s="178"/>
      <c r="F15542" s="178" t="s">
        <v>19328</v>
      </c>
      <c r="G15542" s="496"/>
      <c r="H15542" s="178"/>
      <c r="I15542" s="11"/>
    </row>
    <row r="15543" spans="1:9" ht="9" customHeight="1">
      <c r="A15543" s="129" t="s">
        <v>19344</v>
      </c>
      <c r="B15543" s="90" t="s">
        <v>19345</v>
      </c>
      <c r="C15543" s="147"/>
      <c r="D15543" s="284" t="s">
        <v>19283</v>
      </c>
      <c r="E15543" s="178"/>
      <c r="F15543" s="178" t="s">
        <v>19328</v>
      </c>
      <c r="G15543" s="496"/>
      <c r="H15543" s="178"/>
      <c r="I15543" s="11"/>
    </row>
    <row r="15544" spans="1:9" ht="9" customHeight="1">
      <c r="A15544" s="129" t="s">
        <v>18993</v>
      </c>
      <c r="B15544" s="90" t="s">
        <v>19346</v>
      </c>
      <c r="C15544" s="147"/>
      <c r="D15544" s="284" t="s">
        <v>897</v>
      </c>
      <c r="E15544" s="183">
        <v>2013</v>
      </c>
      <c r="F15544" s="178" t="s">
        <v>19328</v>
      </c>
      <c r="G15544" s="496"/>
      <c r="H15544" s="178"/>
      <c r="I15544" s="11"/>
    </row>
    <row r="15545" spans="1:9" ht="9" customHeight="1">
      <c r="A15545" s="129" t="s">
        <v>19347</v>
      </c>
      <c r="B15545" s="90" t="s">
        <v>19348</v>
      </c>
      <c r="C15545" s="147"/>
      <c r="D15545" s="284" t="s">
        <v>897</v>
      </c>
      <c r="E15545" s="178">
        <v>2016</v>
      </c>
      <c r="F15545" s="178" t="s">
        <v>19349</v>
      </c>
      <c r="G15545" s="496"/>
      <c r="H15545" s="178"/>
      <c r="I15545" s="11"/>
    </row>
    <row r="15546" spans="1:9" ht="9" customHeight="1">
      <c r="A15546" s="129" t="s">
        <v>19350</v>
      </c>
      <c r="B15546" s="90" t="s">
        <v>285</v>
      </c>
      <c r="C15546" s="147"/>
      <c r="D15546" s="284" t="s">
        <v>19283</v>
      </c>
      <c r="E15546" s="183">
        <v>2001</v>
      </c>
      <c r="F15546" s="178" t="s">
        <v>19328</v>
      </c>
      <c r="G15546" s="496"/>
      <c r="H15546" s="178"/>
      <c r="I15546" s="11"/>
    </row>
    <row r="15547" spans="1:9" ht="9" customHeight="1">
      <c r="A15547" s="129" t="s">
        <v>19351</v>
      </c>
      <c r="B15547" s="90" t="s">
        <v>19352</v>
      </c>
      <c r="C15547" s="147"/>
      <c r="D15547" s="284" t="s">
        <v>19283</v>
      </c>
      <c r="E15547" s="178">
        <v>2016</v>
      </c>
      <c r="F15547" s="178" t="s">
        <v>19353</v>
      </c>
      <c r="G15547" s="496"/>
      <c r="H15547" s="178"/>
      <c r="I15547" s="11"/>
    </row>
    <row r="15548" spans="1:9" ht="11.15" customHeight="1">
      <c r="A15548" s="129" t="s">
        <v>19354</v>
      </c>
      <c r="B15548" s="90" t="s">
        <v>23253</v>
      </c>
      <c r="C15548" s="147"/>
      <c r="D15548" s="284" t="s">
        <v>19355</v>
      </c>
      <c r="E15548" s="183">
        <v>1997</v>
      </c>
      <c r="F15548" s="178" t="s">
        <v>19328</v>
      </c>
      <c r="G15548" s="496"/>
      <c r="H15548" s="178"/>
      <c r="I15548" s="11"/>
    </row>
    <row r="15549" spans="1:9" ht="9" customHeight="1">
      <c r="A15549" s="129" t="s">
        <v>19356</v>
      </c>
      <c r="B15549" s="90" t="s">
        <v>18666</v>
      </c>
      <c r="C15549" s="147"/>
      <c r="D15549" s="284" t="s">
        <v>897</v>
      </c>
      <c r="E15549" s="178"/>
      <c r="F15549" s="178" t="s">
        <v>19340</v>
      </c>
      <c r="G15549" s="496"/>
      <c r="H15549" s="178"/>
      <c r="I15549" s="11"/>
    </row>
    <row r="15550" spans="1:9" ht="9" customHeight="1">
      <c r="A15550" s="129" t="s">
        <v>19357</v>
      </c>
      <c r="B15550" s="90" t="s">
        <v>18783</v>
      </c>
      <c r="C15550" s="147"/>
      <c r="D15550" s="284" t="s">
        <v>897</v>
      </c>
      <c r="E15550" s="183">
        <v>2000</v>
      </c>
      <c r="F15550" s="178" t="s">
        <v>19328</v>
      </c>
      <c r="G15550" s="496"/>
      <c r="H15550" s="178"/>
      <c r="I15550" s="11"/>
    </row>
    <row r="15551" spans="1:9" ht="9" customHeight="1">
      <c r="A15551" s="129" t="s">
        <v>19358</v>
      </c>
      <c r="B15551" s="90" t="s">
        <v>18666</v>
      </c>
      <c r="C15551" s="147"/>
      <c r="D15551" s="284" t="s">
        <v>19283</v>
      </c>
      <c r="E15551" s="178"/>
      <c r="F15551" s="178" t="s">
        <v>19340</v>
      </c>
      <c r="G15551" s="496"/>
      <c r="H15551" s="178"/>
      <c r="I15551" s="11"/>
    </row>
    <row r="15552" spans="1:9" ht="9" customHeight="1">
      <c r="A15552" s="129" t="s">
        <v>19359</v>
      </c>
      <c r="B15552" s="90" t="s">
        <v>19360</v>
      </c>
      <c r="C15552" s="147"/>
      <c r="D15552" s="701" t="s">
        <v>1129</v>
      </c>
      <c r="E15552" s="183">
        <v>2000</v>
      </c>
      <c r="F15552" s="178" t="s">
        <v>19340</v>
      </c>
      <c r="G15552" s="496"/>
      <c r="H15552" s="178"/>
      <c r="I15552" s="11"/>
    </row>
    <row r="15553" spans="1:9" ht="9" customHeight="1">
      <c r="A15553" s="129" t="s">
        <v>19361</v>
      </c>
      <c r="B15553" s="90" t="s">
        <v>19360</v>
      </c>
      <c r="C15553" s="147"/>
      <c r="D15553" s="701" t="s">
        <v>1129</v>
      </c>
      <c r="E15553" s="178"/>
      <c r="F15553" s="178" t="s">
        <v>19328</v>
      </c>
      <c r="G15553" s="496"/>
      <c r="H15553" s="178"/>
      <c r="I15553" s="11"/>
    </row>
    <row r="15554" spans="1:9" ht="9" customHeight="1">
      <c r="A15554" s="129" t="s">
        <v>19362</v>
      </c>
      <c r="B15554" s="90" t="s">
        <v>19363</v>
      </c>
      <c r="C15554" s="147"/>
      <c r="D15554" s="701" t="s">
        <v>1129</v>
      </c>
      <c r="E15554" s="178"/>
      <c r="F15554" s="178" t="s">
        <v>19328</v>
      </c>
      <c r="G15554" s="496"/>
      <c r="H15554" s="178"/>
      <c r="I15554" s="11"/>
    </row>
    <row r="15555" spans="1:9" ht="9" customHeight="1">
      <c r="A15555" s="129" t="s">
        <v>19364</v>
      </c>
      <c r="B15555" s="90" t="s">
        <v>19365</v>
      </c>
      <c r="C15555" s="147"/>
      <c r="D15555" s="284" t="s">
        <v>897</v>
      </c>
      <c r="E15555" s="183">
        <v>1995</v>
      </c>
      <c r="F15555" s="178" t="s">
        <v>19328</v>
      </c>
      <c r="G15555" s="496"/>
      <c r="H15555" s="178"/>
      <c r="I15555" s="11"/>
    </row>
    <row r="15556" spans="1:9" ht="9" customHeight="1">
      <c r="A15556" s="129" t="s">
        <v>19366</v>
      </c>
      <c r="B15556" s="90" t="s">
        <v>396</v>
      </c>
      <c r="C15556" s="147"/>
      <c r="D15556" s="284" t="s">
        <v>19283</v>
      </c>
      <c r="E15556" s="183">
        <v>2008</v>
      </c>
      <c r="F15556" s="178" t="s">
        <v>19328</v>
      </c>
      <c r="G15556" s="496"/>
      <c r="H15556" s="178"/>
      <c r="I15556" s="11"/>
    </row>
    <row r="15557" spans="1:9" ht="9" customHeight="1">
      <c r="A15557" s="129" t="s">
        <v>13199</v>
      </c>
      <c r="B15557" s="90" t="s">
        <v>19367</v>
      </c>
      <c r="C15557" s="147"/>
      <c r="D15557" s="284" t="s">
        <v>897</v>
      </c>
      <c r="E15557" s="183">
        <v>1996</v>
      </c>
      <c r="F15557" s="178" t="s">
        <v>19328</v>
      </c>
      <c r="G15557" s="496"/>
      <c r="H15557" s="178"/>
      <c r="I15557" s="11"/>
    </row>
    <row r="15558" spans="1:9" ht="9" customHeight="1">
      <c r="A15558" s="129" t="s">
        <v>19368</v>
      </c>
      <c r="B15558" s="90" t="s">
        <v>19369</v>
      </c>
      <c r="C15558" s="147"/>
      <c r="D15558" s="284" t="s">
        <v>897</v>
      </c>
      <c r="E15558" s="183">
        <v>1986</v>
      </c>
      <c r="F15558" s="178" t="s">
        <v>19328</v>
      </c>
      <c r="G15558" s="496"/>
      <c r="H15558" s="178"/>
      <c r="I15558" s="11"/>
    </row>
    <row r="15559" spans="1:9" ht="9" customHeight="1">
      <c r="A15559" s="129" t="s">
        <v>19370</v>
      </c>
      <c r="B15559" s="90" t="s">
        <v>13494</v>
      </c>
      <c r="C15559" s="147"/>
      <c r="D15559" s="284" t="s">
        <v>897</v>
      </c>
      <c r="E15559" s="183">
        <v>1997</v>
      </c>
      <c r="F15559" s="178" t="s">
        <v>19328</v>
      </c>
      <c r="G15559" s="496"/>
      <c r="H15559" s="178"/>
      <c r="I15559" s="11"/>
    </row>
    <row r="15560" spans="1:9" ht="9" customHeight="1">
      <c r="A15560" s="129" t="s">
        <v>19371</v>
      </c>
      <c r="B15560" s="90" t="s">
        <v>18920</v>
      </c>
      <c r="C15560" s="147"/>
      <c r="D15560" s="284" t="s">
        <v>19283</v>
      </c>
      <c r="E15560" s="178"/>
      <c r="F15560" s="178" t="s">
        <v>19328</v>
      </c>
      <c r="G15560" s="496"/>
      <c r="H15560" s="178"/>
      <c r="I15560" s="11"/>
    </row>
    <row r="15561" spans="1:9" ht="9" customHeight="1">
      <c r="A15561" s="129" t="s">
        <v>19372</v>
      </c>
      <c r="B15561" s="90" t="s">
        <v>19373</v>
      </c>
      <c r="C15561" s="147"/>
      <c r="D15561" s="284" t="s">
        <v>19283</v>
      </c>
      <c r="E15561" s="178">
        <v>2016</v>
      </c>
      <c r="F15561" s="178" t="s">
        <v>19328</v>
      </c>
      <c r="G15561" s="496"/>
      <c r="H15561" s="178"/>
      <c r="I15561" s="11"/>
    </row>
    <row r="15562" spans="1:9" ht="9" customHeight="1">
      <c r="A15562" s="129" t="s">
        <v>19374</v>
      </c>
      <c r="B15562" s="90" t="s">
        <v>559</v>
      </c>
      <c r="C15562" s="147"/>
      <c r="D15562" s="701" t="s">
        <v>1129</v>
      </c>
      <c r="E15562" s="36"/>
      <c r="F15562" s="178" t="s">
        <v>19328</v>
      </c>
      <c r="G15562" s="496"/>
      <c r="H15562" s="36"/>
      <c r="I15562" s="11"/>
    </row>
    <row r="15563" spans="1:9" ht="9" customHeight="1">
      <c r="A15563" s="129" t="s">
        <v>19375</v>
      </c>
      <c r="B15563" s="90" t="s">
        <v>559</v>
      </c>
      <c r="C15563" s="147"/>
      <c r="D15563" s="701" t="s">
        <v>1129</v>
      </c>
      <c r="E15563" s="183">
        <v>2007</v>
      </c>
      <c r="F15563" s="178" t="s">
        <v>19328</v>
      </c>
      <c r="G15563" s="496"/>
      <c r="H15563" s="178"/>
      <c r="I15563" s="11"/>
    </row>
    <row r="15564" spans="1:9" ht="9" customHeight="1">
      <c r="A15564" s="129" t="s">
        <v>19376</v>
      </c>
      <c r="B15564" s="90" t="s">
        <v>19377</v>
      </c>
      <c r="C15564" s="147"/>
      <c r="D15564" s="183" t="s">
        <v>18030</v>
      </c>
      <c r="E15564" s="183">
        <v>1998</v>
      </c>
      <c r="F15564" s="178" t="s">
        <v>19378</v>
      </c>
      <c r="G15564" s="496"/>
      <c r="H15564" s="178"/>
      <c r="I15564" s="11"/>
    </row>
    <row r="15565" spans="1:9" ht="9" customHeight="1">
      <c r="A15565" s="1366" t="s">
        <v>19184</v>
      </c>
      <c r="B15565" s="90"/>
      <c r="C15565" s="147"/>
      <c r="D15565" s="958"/>
      <c r="E15565" s="415"/>
      <c r="F15565" s="178"/>
      <c r="G15565" s="496"/>
      <c r="H15565" s="178"/>
      <c r="I15565" s="11"/>
    </row>
    <row r="15566" spans="1:9" ht="21" customHeight="1">
      <c r="A15566" s="938" t="s">
        <v>19322</v>
      </c>
      <c r="B15566" s="1274" t="s">
        <v>19379</v>
      </c>
      <c r="C15566" s="147"/>
      <c r="D15566" s="957" t="s">
        <v>866</v>
      </c>
      <c r="E15566" s="240" t="s">
        <v>19324</v>
      </c>
      <c r="F15566" s="954" t="s">
        <v>19325</v>
      </c>
      <c r="G15566" s="908"/>
      <c r="H15566" s="954"/>
      <c r="I15566" s="11"/>
    </row>
    <row r="15567" spans="1:9" ht="9" customHeight="1">
      <c r="A15567" s="129" t="s">
        <v>19380</v>
      </c>
      <c r="B15567" s="90" t="s">
        <v>7</v>
      </c>
      <c r="C15567" s="147"/>
      <c r="D15567" s="701" t="s">
        <v>884</v>
      </c>
      <c r="E15567" s="178"/>
      <c r="F15567" s="178" t="s">
        <v>19381</v>
      </c>
      <c r="G15567" s="496"/>
      <c r="H15567" s="178"/>
      <c r="I15567" s="11"/>
    </row>
    <row r="15568" spans="1:9" ht="11.15" customHeight="1">
      <c r="A15568" s="285" t="s">
        <v>19382</v>
      </c>
      <c r="B15568" s="90" t="s">
        <v>7</v>
      </c>
      <c r="C15568" s="147"/>
      <c r="D15568" s="701" t="s">
        <v>884</v>
      </c>
      <c r="E15568" s="157"/>
      <c r="F15568" s="178" t="s">
        <v>19349</v>
      </c>
      <c r="G15568" s="496"/>
      <c r="H15568" s="178"/>
      <c r="I15568" s="11"/>
    </row>
    <row r="15569" spans="1:9" ht="11.15" customHeight="1">
      <c r="A15569" s="129" t="s">
        <v>19383</v>
      </c>
      <c r="B15569" s="90" t="s">
        <v>7</v>
      </c>
      <c r="C15569" s="147"/>
      <c r="D15569" s="701" t="s">
        <v>884</v>
      </c>
      <c r="E15569" s="36"/>
      <c r="F15569" s="178" t="s">
        <v>19349</v>
      </c>
      <c r="G15569" s="496"/>
      <c r="H15569" s="178"/>
      <c r="I15569" s="11"/>
    </row>
    <row r="15570" spans="1:9" ht="9" customHeight="1">
      <c r="A15570" s="129" t="s">
        <v>19384</v>
      </c>
      <c r="B15570" s="90" t="s">
        <v>199</v>
      </c>
      <c r="C15570" s="147"/>
      <c r="D15570" s="739" t="s">
        <v>1410</v>
      </c>
      <c r="E15570" s="183">
        <v>1992</v>
      </c>
      <c r="F15570" s="178" t="s">
        <v>19340</v>
      </c>
      <c r="G15570" s="496"/>
      <c r="H15570" s="178"/>
      <c r="I15570" s="11"/>
    </row>
    <row r="15571" spans="1:9" ht="9" customHeight="1">
      <c r="A15571" s="129" t="s">
        <v>19385</v>
      </c>
      <c r="B15571" s="90" t="s">
        <v>19386</v>
      </c>
      <c r="C15571" s="147"/>
      <c r="D15571" s="284" t="s">
        <v>897</v>
      </c>
      <c r="E15571" s="183">
        <v>1988</v>
      </c>
      <c r="F15571" s="178" t="s">
        <v>19349</v>
      </c>
      <c r="G15571" s="496"/>
      <c r="H15571" s="178"/>
      <c r="I15571" s="11"/>
    </row>
    <row r="15572" spans="1:9" ht="9" customHeight="1">
      <c r="A15572" s="129" t="s">
        <v>19387</v>
      </c>
      <c r="B15572" s="90" t="s">
        <v>19388</v>
      </c>
      <c r="C15572" s="147"/>
      <c r="D15572" s="701" t="s">
        <v>1129</v>
      </c>
      <c r="E15572" s="36"/>
      <c r="F15572" s="178" t="s">
        <v>19381</v>
      </c>
      <c r="G15572" s="497"/>
      <c r="H15572" s="178"/>
      <c r="I15572" s="11"/>
    </row>
    <row r="15573" spans="1:9" ht="9" customHeight="1">
      <c r="A15573" s="129" t="s">
        <v>19389</v>
      </c>
      <c r="B15573" s="90" t="s">
        <v>19390</v>
      </c>
      <c r="C15573" s="147"/>
      <c r="D15573" s="284" t="s">
        <v>897</v>
      </c>
      <c r="E15573" s="178"/>
      <c r="F15573" s="178" t="s">
        <v>19349</v>
      </c>
      <c r="G15573" s="496"/>
      <c r="H15573" s="178"/>
      <c r="I15573" s="11"/>
    </row>
    <row r="15574" spans="1:9" ht="9" customHeight="1">
      <c r="A15574" s="129" t="s">
        <v>19391</v>
      </c>
      <c r="B15574" s="90" t="s">
        <v>18789</v>
      </c>
      <c r="C15574" s="147"/>
      <c r="D15574" s="284" t="s">
        <v>19283</v>
      </c>
      <c r="E15574" s="36"/>
      <c r="F15574" s="178" t="s">
        <v>19349</v>
      </c>
      <c r="G15574" s="496"/>
      <c r="H15574" s="178"/>
      <c r="I15574" s="11"/>
    </row>
    <row r="15575" spans="1:9" ht="9" customHeight="1">
      <c r="A15575" s="129" t="s">
        <v>19392</v>
      </c>
      <c r="B15575" s="90" t="s">
        <v>18738</v>
      </c>
      <c r="C15575" s="147"/>
      <c r="D15575" s="284" t="s">
        <v>897</v>
      </c>
      <c r="E15575" s="36"/>
      <c r="F15575" s="178" t="s">
        <v>19381</v>
      </c>
      <c r="G15575" s="496"/>
      <c r="H15575" s="178"/>
      <c r="I15575" s="11"/>
    </row>
    <row r="15576" spans="1:9" ht="9" customHeight="1">
      <c r="A15576" s="129" t="s">
        <v>19393</v>
      </c>
      <c r="B15576" s="90" t="s">
        <v>18738</v>
      </c>
      <c r="C15576" s="147"/>
      <c r="D15576" s="284" t="s">
        <v>19283</v>
      </c>
      <c r="E15576" s="36"/>
      <c r="F15576" s="178" t="s">
        <v>19349</v>
      </c>
      <c r="G15576" s="496"/>
      <c r="H15576" s="178"/>
      <c r="I15576" s="11"/>
    </row>
    <row r="15577" spans="1:9" ht="9" customHeight="1">
      <c r="A15577" s="129" t="s">
        <v>19394</v>
      </c>
      <c r="B15577" s="90" t="s">
        <v>19395</v>
      </c>
      <c r="C15577" s="147"/>
      <c r="D15577" s="284" t="s">
        <v>19283</v>
      </c>
      <c r="E15577" s="36"/>
      <c r="F15577" s="178" t="s">
        <v>19396</v>
      </c>
      <c r="G15577" s="496"/>
      <c r="H15577" s="178"/>
      <c r="I15577" s="11"/>
    </row>
    <row r="15578" spans="1:9" ht="9" customHeight="1">
      <c r="A15578" s="129" t="s">
        <v>19397</v>
      </c>
      <c r="B15578" s="90" t="s">
        <v>18620</v>
      </c>
      <c r="C15578" s="147"/>
      <c r="D15578" s="284" t="s">
        <v>19283</v>
      </c>
      <c r="E15578" s="36"/>
      <c r="F15578" s="178" t="s">
        <v>19328</v>
      </c>
      <c r="G15578" s="496"/>
      <c r="H15578" s="178"/>
      <c r="I15578" s="11"/>
    </row>
    <row r="15579" spans="1:9" ht="9" customHeight="1">
      <c r="A15579" s="129" t="s">
        <v>19398</v>
      </c>
      <c r="B15579" s="90" t="s">
        <v>19399</v>
      </c>
      <c r="C15579" s="147"/>
      <c r="D15579" s="284" t="s">
        <v>19283</v>
      </c>
      <c r="E15579" s="36"/>
      <c r="F15579" s="178" t="s">
        <v>19349</v>
      </c>
      <c r="G15579" s="496"/>
      <c r="H15579" s="178"/>
      <c r="I15579" s="11"/>
    </row>
    <row r="15580" spans="1:9" ht="9" customHeight="1">
      <c r="A15580" s="129" t="s">
        <v>19400</v>
      </c>
      <c r="B15580" s="90" t="s">
        <v>19401</v>
      </c>
      <c r="C15580" s="147"/>
      <c r="D15580" s="284" t="s">
        <v>19283</v>
      </c>
      <c r="E15580" s="36"/>
      <c r="F15580" s="178" t="s">
        <v>19349</v>
      </c>
      <c r="G15580" s="496"/>
      <c r="H15580" s="178"/>
      <c r="I15580" s="11"/>
    </row>
    <row r="15581" spans="1:9" ht="9" customHeight="1">
      <c r="A15581" s="129" t="s">
        <v>19402</v>
      </c>
      <c r="B15581" s="90" t="s">
        <v>19401</v>
      </c>
      <c r="C15581" s="147"/>
      <c r="D15581" s="284" t="s">
        <v>19283</v>
      </c>
      <c r="E15581" s="36"/>
      <c r="F15581" s="178" t="s">
        <v>19349</v>
      </c>
      <c r="G15581" s="496"/>
      <c r="H15581" s="178"/>
      <c r="I15581" s="11"/>
    </row>
    <row r="15582" spans="1:9" ht="9" customHeight="1">
      <c r="A15582" s="129" t="s">
        <v>19403</v>
      </c>
      <c r="B15582" s="90" t="s">
        <v>19404</v>
      </c>
      <c r="C15582" s="147"/>
      <c r="D15582" s="284" t="s">
        <v>19283</v>
      </c>
      <c r="E15582" s="183">
        <v>1981</v>
      </c>
      <c r="F15582" s="178" t="s">
        <v>19349</v>
      </c>
      <c r="G15582" s="496"/>
      <c r="H15582" s="178"/>
      <c r="I15582" s="11"/>
    </row>
    <row r="15583" spans="1:9" ht="9" customHeight="1">
      <c r="A15583" s="129" t="s">
        <v>19405</v>
      </c>
      <c r="B15583" s="90" t="s">
        <v>285</v>
      </c>
      <c r="C15583" s="147"/>
      <c r="D15583" s="284" t="s">
        <v>19283</v>
      </c>
      <c r="E15583" s="36"/>
      <c r="F15583" s="178" t="s">
        <v>19349</v>
      </c>
      <c r="G15583" s="496"/>
      <c r="H15583" s="178"/>
      <c r="I15583" s="11"/>
    </row>
    <row r="15584" spans="1:9" ht="9" customHeight="1">
      <c r="A15584" s="129" t="s">
        <v>19406</v>
      </c>
      <c r="B15584" s="90" t="s">
        <v>19407</v>
      </c>
      <c r="C15584" s="147"/>
      <c r="D15584" s="284" t="s">
        <v>19283</v>
      </c>
      <c r="E15584" s="36"/>
      <c r="F15584" s="178" t="s">
        <v>19328</v>
      </c>
      <c r="G15584" s="496"/>
      <c r="H15584" s="178"/>
      <c r="I15584" s="11"/>
    </row>
    <row r="15585" spans="1:9" ht="9" customHeight="1">
      <c r="A15585" s="129" t="s">
        <v>19408</v>
      </c>
      <c r="B15585" s="90" t="s">
        <v>19409</v>
      </c>
      <c r="C15585" s="147"/>
      <c r="D15585" s="284" t="s">
        <v>19283</v>
      </c>
      <c r="E15585" s="36"/>
      <c r="F15585" s="178" t="s">
        <v>19349</v>
      </c>
      <c r="G15585" s="496"/>
      <c r="H15585" s="178"/>
      <c r="I15585" s="11"/>
    </row>
    <row r="15586" spans="1:9" ht="9" customHeight="1">
      <c r="A15586" s="129" t="s">
        <v>19410</v>
      </c>
      <c r="B15586" s="90" t="s">
        <v>19411</v>
      </c>
      <c r="C15586" s="147"/>
      <c r="D15586" s="284" t="s">
        <v>19283</v>
      </c>
      <c r="E15586" s="36"/>
      <c r="F15586" s="178" t="s">
        <v>19412</v>
      </c>
      <c r="G15586" s="496"/>
      <c r="H15586" s="178"/>
      <c r="I15586" s="11"/>
    </row>
    <row r="15587" spans="1:9" ht="9" customHeight="1">
      <c r="A15587" s="129" t="s">
        <v>19413</v>
      </c>
      <c r="B15587" s="90" t="s">
        <v>19414</v>
      </c>
      <c r="C15587" s="147"/>
      <c r="D15587" s="284" t="s">
        <v>897</v>
      </c>
      <c r="E15587" s="183">
        <v>1989</v>
      </c>
      <c r="F15587" s="178" t="s">
        <v>19381</v>
      </c>
      <c r="G15587" s="496"/>
      <c r="H15587" s="178"/>
      <c r="I15587" s="11"/>
    </row>
    <row r="15588" spans="1:9" ht="9" customHeight="1">
      <c r="A15588" s="129" t="s">
        <v>19415</v>
      </c>
      <c r="B15588" s="90" t="s">
        <v>19416</v>
      </c>
      <c r="C15588" s="147"/>
      <c r="D15588" s="284" t="s">
        <v>19283</v>
      </c>
      <c r="E15588" s="36"/>
      <c r="F15588" s="178" t="s">
        <v>19349</v>
      </c>
      <c r="G15588" s="496"/>
      <c r="H15588" s="178"/>
      <c r="I15588" s="11"/>
    </row>
    <row r="15589" spans="1:9" ht="9" customHeight="1">
      <c r="A15589" s="129" t="s">
        <v>19417</v>
      </c>
      <c r="B15589" s="90" t="s">
        <v>19416</v>
      </c>
      <c r="C15589" s="147"/>
      <c r="D15589" s="284" t="s">
        <v>897</v>
      </c>
      <c r="E15589" s="183">
        <v>1967</v>
      </c>
      <c r="F15589" s="178" t="s">
        <v>19349</v>
      </c>
      <c r="G15589" s="496"/>
      <c r="H15589" s="178"/>
      <c r="I15589" s="11"/>
    </row>
    <row r="15590" spans="1:9" ht="9" customHeight="1">
      <c r="A15590" s="129" t="s">
        <v>19418</v>
      </c>
      <c r="B15590" s="384" t="s">
        <v>19419</v>
      </c>
      <c r="C15590" s="147"/>
      <c r="D15590" s="284" t="s">
        <v>19283</v>
      </c>
      <c r="E15590" s="36"/>
      <c r="F15590" s="178" t="s">
        <v>19349</v>
      </c>
      <c r="G15590" s="496"/>
      <c r="H15590" s="178"/>
      <c r="I15590" s="11"/>
    </row>
    <row r="15591" spans="1:9" ht="9" customHeight="1">
      <c r="A15591" s="129" t="s">
        <v>19420</v>
      </c>
      <c r="B15591" s="90" t="s">
        <v>19421</v>
      </c>
      <c r="C15591" s="147"/>
      <c r="D15591" s="284" t="s">
        <v>19283</v>
      </c>
      <c r="E15591" s="178"/>
      <c r="F15591" s="178" t="s">
        <v>19381</v>
      </c>
      <c r="G15591" s="496"/>
      <c r="H15591" s="178"/>
      <c r="I15591" s="11"/>
    </row>
    <row r="15592" spans="1:9" ht="9" customHeight="1">
      <c r="A15592" s="129" t="s">
        <v>19422</v>
      </c>
      <c r="B15592" s="90" t="s">
        <v>19423</v>
      </c>
      <c r="C15592" s="147"/>
      <c r="D15592" s="701" t="s">
        <v>884</v>
      </c>
      <c r="E15592" s="36"/>
      <c r="F15592" s="178" t="s">
        <v>19424</v>
      </c>
      <c r="G15592" s="496"/>
      <c r="H15592" s="178"/>
      <c r="I15592" s="11"/>
    </row>
    <row r="15593" spans="1:9" ht="9" customHeight="1">
      <c r="A15593" s="129" t="s">
        <v>19425</v>
      </c>
      <c r="B15593" s="90" t="s">
        <v>19426</v>
      </c>
      <c r="C15593" s="147"/>
      <c r="D15593" s="284" t="s">
        <v>19283</v>
      </c>
      <c r="E15593" s="36"/>
      <c r="F15593" s="178" t="s">
        <v>19381</v>
      </c>
      <c r="G15593" s="496"/>
      <c r="H15593" s="178"/>
      <c r="I15593" s="11"/>
    </row>
    <row r="15594" spans="1:9" ht="9" customHeight="1">
      <c r="A15594" s="129" t="s">
        <v>19427</v>
      </c>
      <c r="B15594" s="90" t="s">
        <v>19428</v>
      </c>
      <c r="C15594" s="147"/>
      <c r="D15594" s="284" t="s">
        <v>19283</v>
      </c>
      <c r="E15594" s="36"/>
      <c r="F15594" s="178" t="s">
        <v>19349</v>
      </c>
      <c r="G15594" s="496"/>
      <c r="H15594" s="178"/>
      <c r="I15594" s="11"/>
    </row>
    <row r="15595" spans="1:9" ht="9" customHeight="1">
      <c r="A15595" s="129" t="s">
        <v>19429</v>
      </c>
      <c r="B15595" s="90" t="s">
        <v>418</v>
      </c>
      <c r="C15595" s="147"/>
      <c r="D15595" s="284" t="s">
        <v>19283</v>
      </c>
      <c r="E15595" s="36"/>
      <c r="F15595" s="178" t="s">
        <v>19381</v>
      </c>
      <c r="G15595" s="496"/>
      <c r="H15595" s="178"/>
      <c r="I15595" s="11"/>
    </row>
    <row r="15596" spans="1:9" ht="9" customHeight="1">
      <c r="A15596" s="129" t="s">
        <v>19430</v>
      </c>
      <c r="B15596" s="90" t="s">
        <v>19431</v>
      </c>
      <c r="C15596" s="147"/>
      <c r="D15596" s="284" t="s">
        <v>897</v>
      </c>
      <c r="E15596" s="36"/>
      <c r="F15596" s="178" t="s">
        <v>19381</v>
      </c>
      <c r="G15596" s="496"/>
      <c r="H15596" s="178"/>
      <c r="I15596" s="11"/>
    </row>
    <row r="15597" spans="1:9" ht="9" customHeight="1">
      <c r="A15597" s="129" t="s">
        <v>19432</v>
      </c>
      <c r="B15597" s="90" t="s">
        <v>19431</v>
      </c>
      <c r="C15597" s="147"/>
      <c r="D15597" s="284" t="s">
        <v>897</v>
      </c>
      <c r="E15597" s="36"/>
      <c r="F15597" s="178" t="s">
        <v>19328</v>
      </c>
      <c r="G15597" s="496"/>
      <c r="H15597" s="178"/>
      <c r="I15597" s="11"/>
    </row>
    <row r="15598" spans="1:9" ht="9" customHeight="1">
      <c r="A15598" s="129" t="s">
        <v>19433</v>
      </c>
      <c r="B15598" s="90" t="s">
        <v>18937</v>
      </c>
      <c r="C15598" s="147"/>
      <c r="D15598" s="284" t="s">
        <v>19283</v>
      </c>
      <c r="E15598" s="36"/>
      <c r="F15598" s="178" t="s">
        <v>19349</v>
      </c>
      <c r="G15598" s="496"/>
      <c r="H15598" s="178"/>
      <c r="I15598" s="11"/>
    </row>
    <row r="15599" spans="1:9" ht="9" customHeight="1">
      <c r="A15599" s="129" t="s">
        <v>19434</v>
      </c>
      <c r="B15599" s="90" t="s">
        <v>546</v>
      </c>
      <c r="C15599" s="147"/>
      <c r="D15599" s="701" t="s">
        <v>1129</v>
      </c>
      <c r="E15599" s="36"/>
      <c r="F15599" s="178" t="s">
        <v>19349</v>
      </c>
      <c r="G15599" s="496"/>
      <c r="H15599" s="178"/>
      <c r="I15599" s="11"/>
    </row>
    <row r="15600" spans="1:9" ht="9" customHeight="1">
      <c r="A15600" s="129" t="s">
        <v>19435</v>
      </c>
      <c r="B15600" s="90" t="s">
        <v>546</v>
      </c>
      <c r="C15600" s="147"/>
      <c r="D15600" s="701" t="s">
        <v>1129</v>
      </c>
      <c r="E15600" s="36"/>
      <c r="F15600" s="178" t="s">
        <v>19349</v>
      </c>
      <c r="G15600" s="496"/>
      <c r="H15600" s="178"/>
      <c r="I15600" s="11"/>
    </row>
    <row r="15601" spans="1:9" ht="9" customHeight="1">
      <c r="A15601" s="129" t="s">
        <v>19436</v>
      </c>
      <c r="B15601" s="90" t="s">
        <v>559</v>
      </c>
      <c r="C15601" s="147"/>
      <c r="D15601" s="701" t="s">
        <v>1129</v>
      </c>
      <c r="E15601" s="36"/>
      <c r="F15601" s="178" t="s">
        <v>19349</v>
      </c>
      <c r="G15601" s="496"/>
      <c r="H15601" s="178"/>
      <c r="I15601" s="11"/>
    </row>
    <row r="15602" spans="1:9" ht="9" customHeight="1">
      <c r="A15602" s="129" t="s">
        <v>19437</v>
      </c>
      <c r="B15602" s="90" t="s">
        <v>19438</v>
      </c>
      <c r="C15602" s="147"/>
      <c r="D15602" s="284" t="s">
        <v>19283</v>
      </c>
      <c r="E15602" s="36"/>
      <c r="F15602" s="178" t="s">
        <v>19349</v>
      </c>
      <c r="G15602" s="496"/>
      <c r="H15602" s="178"/>
      <c r="I15602" s="11"/>
    </row>
    <row r="15603" spans="1:9" ht="9" customHeight="1">
      <c r="A15603" s="1366" t="s">
        <v>19184</v>
      </c>
      <c r="B15603" s="90"/>
      <c r="C15603" s="147"/>
      <c r="D15603" s="958"/>
      <c r="E15603" s="36"/>
      <c r="F15603" s="178"/>
      <c r="G15603" s="496"/>
      <c r="H15603" s="178"/>
      <c r="I15603" s="11"/>
    </row>
    <row r="15604" spans="1:9" ht="11.15" customHeight="1" thickBot="1">
      <c r="A15604" s="811"/>
      <c r="B15604" s="90"/>
      <c r="C15604" s="147"/>
      <c r="D15604" s="958"/>
      <c r="E15604" s="36"/>
      <c r="F15604" s="178"/>
      <c r="G15604" s="496"/>
      <c r="H15604" s="178"/>
      <c r="I15604" s="11"/>
    </row>
    <row r="15605" spans="1:9" ht="24" customHeight="1" thickBot="1">
      <c r="A15605" s="959"/>
      <c r="B15605" s="960" t="s">
        <v>19439</v>
      </c>
      <c r="C15605" s="961"/>
      <c r="D15605" s="961"/>
      <c r="E15605" s="962"/>
      <c r="F15605" s="963"/>
      <c r="G15605" s="1080"/>
      <c r="H15605" s="661"/>
      <c r="I15605" s="11"/>
    </row>
    <row r="15606" spans="1:9" ht="21" customHeight="1">
      <c r="A15606" s="964" t="s">
        <v>19440</v>
      </c>
      <c r="B15606" s="965"/>
      <c r="C15606" s="966"/>
      <c r="D15606" s="966" t="s">
        <v>19441</v>
      </c>
      <c r="E15606" s="967"/>
      <c r="F15606" s="1100"/>
      <c r="G15606" s="969"/>
      <c r="H15606" s="968"/>
      <c r="I15606" s="11"/>
    </row>
    <row r="15607" spans="1:9" ht="11.15" customHeight="1">
      <c r="A15607" s="970"/>
      <c r="B15607" s="841" t="s">
        <v>19442</v>
      </c>
      <c r="C15607" s="971"/>
      <c r="D15607" s="971"/>
      <c r="E15607" s="970"/>
      <c r="F15607" s="1101"/>
      <c r="G15607" s="970"/>
      <c r="H15607" s="972"/>
      <c r="I15607" s="11"/>
    </row>
    <row r="15608" spans="1:9" ht="9" customHeight="1">
      <c r="A15608" s="129" t="s">
        <v>19443</v>
      </c>
      <c r="B15608" s="122"/>
      <c r="C15608" s="415"/>
      <c r="D15608" s="415" t="s">
        <v>19444</v>
      </c>
      <c r="E15608" s="185"/>
      <c r="F15608" s="496"/>
      <c r="G15608" s="185"/>
      <c r="H15608" s="158"/>
      <c r="I15608" s="11"/>
    </row>
    <row r="15609" spans="1:9" ht="9" customHeight="1">
      <c r="A15609" s="129" t="s">
        <v>19445</v>
      </c>
      <c r="B15609" s="122"/>
      <c r="C15609" s="415"/>
      <c r="D15609" s="415" t="s">
        <v>19446</v>
      </c>
      <c r="E15609" s="185"/>
      <c r="F15609" s="496"/>
      <c r="G15609" s="185"/>
      <c r="H15609" s="158"/>
      <c r="I15609" s="11"/>
    </row>
    <row r="15610" spans="1:9" ht="9" customHeight="1">
      <c r="A15610" s="129" t="s">
        <v>19447</v>
      </c>
      <c r="B15610" s="59" t="s">
        <v>19448</v>
      </c>
      <c r="C15610" s="415"/>
      <c r="D15610" s="415" t="s">
        <v>19449</v>
      </c>
      <c r="E15610" s="185"/>
      <c r="F15610" s="496"/>
      <c r="G15610" s="185"/>
      <c r="H15610" s="158"/>
      <c r="I15610" s="11"/>
    </row>
    <row r="15611" spans="1:9" ht="9" customHeight="1">
      <c r="A15611" s="129" t="s">
        <v>19450</v>
      </c>
      <c r="B15611" s="59" t="s">
        <v>19451</v>
      </c>
      <c r="C15611" s="415"/>
      <c r="D15611" s="415" t="s">
        <v>19452</v>
      </c>
      <c r="E15611" s="185"/>
      <c r="F15611" s="496"/>
      <c r="G15611" s="185"/>
      <c r="H15611" s="158"/>
      <c r="I15611" s="11"/>
    </row>
    <row r="15612" spans="1:9" ht="9" customHeight="1">
      <c r="A15612" s="129" t="s">
        <v>19453</v>
      </c>
      <c r="B15612" s="59" t="s">
        <v>19454</v>
      </c>
      <c r="C15612" s="415"/>
      <c r="D15612" s="415" t="s">
        <v>19455</v>
      </c>
      <c r="E15612" s="185"/>
      <c r="F15612" s="496"/>
      <c r="G15612" s="185"/>
      <c r="H15612" s="158"/>
      <c r="I15612" s="11"/>
    </row>
    <row r="15613" spans="1:9" ht="9" customHeight="1">
      <c r="A15613" s="129" t="s">
        <v>19456</v>
      </c>
      <c r="B15613" s="126" t="s">
        <v>19457</v>
      </c>
      <c r="C15613" s="415"/>
      <c r="D15613" s="415" t="s">
        <v>19458</v>
      </c>
      <c r="E15613" s="90"/>
      <c r="F15613" s="59"/>
      <c r="G15613" s="973"/>
      <c r="H15613" s="90"/>
      <c r="I15613" s="11"/>
    </row>
    <row r="15614" spans="1:9" ht="9" customHeight="1">
      <c r="A15614" s="129" t="s">
        <v>19459</v>
      </c>
      <c r="B15614" s="59" t="s">
        <v>19460</v>
      </c>
      <c r="C15614" s="415"/>
      <c r="D15614" s="415" t="s">
        <v>19461</v>
      </c>
      <c r="E15614" s="185"/>
      <c r="F15614" s="496"/>
      <c r="G15614" s="276"/>
      <c r="H15614" s="158"/>
      <c r="I15614" s="11"/>
    </row>
    <row r="15615" spans="1:9" ht="9" customHeight="1">
      <c r="A15615" s="129" t="s">
        <v>19462</v>
      </c>
      <c r="B15615" s="126" t="s">
        <v>19463</v>
      </c>
      <c r="C15615" s="415"/>
      <c r="D15615" s="415"/>
      <c r="E15615" s="90"/>
      <c r="F15615" s="59"/>
      <c r="H15615" s="599" t="s">
        <v>19464</v>
      </c>
      <c r="I15615" s="11"/>
    </row>
    <row r="15616" spans="1:9" ht="9" customHeight="1">
      <c r="A15616" s="129"/>
      <c r="B15616" s="126"/>
      <c r="C15616" s="415"/>
      <c r="D15616" s="415"/>
      <c r="E15616" s="90"/>
      <c r="F15616" s="59"/>
      <c r="H15616" s="599" t="s">
        <v>19465</v>
      </c>
      <c r="I15616" s="11"/>
    </row>
    <row r="15617" spans="1:9" ht="11.15" customHeight="1">
      <c r="A15617" s="974"/>
      <c r="B15617" s="841" t="s">
        <v>19466</v>
      </c>
      <c r="C15617" s="975"/>
      <c r="D15617" s="975"/>
      <c r="E15617" s="976"/>
      <c r="F15617" s="1102"/>
      <c r="G15617" s="1119"/>
      <c r="H15617" s="977"/>
      <c r="I15617" s="11"/>
    </row>
    <row r="15618" spans="1:9" ht="9" customHeight="1">
      <c r="A15618" s="129" t="s">
        <v>19467</v>
      </c>
      <c r="B15618" s="122"/>
      <c r="C15618" s="178"/>
      <c r="D15618" s="178" t="s">
        <v>19468</v>
      </c>
      <c r="E15618" s="415"/>
      <c r="F15618" s="496"/>
      <c r="G15618" s="276"/>
      <c r="H15618" s="158"/>
      <c r="I15618" s="11"/>
    </row>
    <row r="15619" spans="1:9" ht="9" customHeight="1">
      <c r="A15619" s="129" t="s">
        <v>19469</v>
      </c>
      <c r="B15619" s="59" t="s">
        <v>19470</v>
      </c>
      <c r="C15619" s="178"/>
      <c r="D15619" s="178" t="s">
        <v>19471</v>
      </c>
      <c r="E15619" s="979"/>
      <c r="F15619" s="496"/>
      <c r="G15619" s="276"/>
      <c r="H15619" s="158"/>
      <c r="I15619" s="11"/>
    </row>
    <row r="15620" spans="1:9" ht="9" customHeight="1">
      <c r="A15620" s="129" t="s">
        <v>19472</v>
      </c>
      <c r="B15620" s="59" t="s">
        <v>19473</v>
      </c>
      <c r="C15620" s="178"/>
      <c r="D15620" s="178" t="s">
        <v>19474</v>
      </c>
      <c r="E15620" s="185"/>
      <c r="F15620" s="496"/>
      <c r="G15620" s="276"/>
      <c r="H15620" s="158"/>
      <c r="I15620" s="11"/>
    </row>
    <row r="15621" spans="1:9" ht="9" customHeight="1">
      <c r="A15621" s="129" t="s">
        <v>19475</v>
      </c>
      <c r="B15621" s="59" t="s">
        <v>19476</v>
      </c>
      <c r="C15621" s="178"/>
      <c r="D15621" s="178" t="s">
        <v>19477</v>
      </c>
      <c r="E15621" s="185"/>
      <c r="F15621" s="496"/>
      <c r="G15621" s="276"/>
      <c r="H15621" s="158"/>
      <c r="I15621" s="11"/>
    </row>
    <row r="15622" spans="1:9" ht="11.15" customHeight="1">
      <c r="A15622" s="974"/>
      <c r="B15622" s="841" t="s">
        <v>19478</v>
      </c>
      <c r="C15622" s="975"/>
      <c r="D15622" s="975"/>
      <c r="E15622" s="976"/>
      <c r="F15622" s="1102"/>
      <c r="G15622" s="1119"/>
      <c r="H15622" s="977"/>
      <c r="I15622" s="11"/>
    </row>
    <row r="15623" spans="1:9" ht="9" customHeight="1">
      <c r="A15623" s="129" t="s">
        <v>19479</v>
      </c>
      <c r="B15623" s="59" t="s">
        <v>19480</v>
      </c>
      <c r="C15623" s="178"/>
      <c r="D15623" s="178" t="s">
        <v>19481</v>
      </c>
      <c r="E15623" s="980"/>
      <c r="F15623" s="496"/>
      <c r="G15623" s="276"/>
      <c r="H15623" s="158"/>
      <c r="I15623" s="11"/>
    </row>
    <row r="15624" spans="1:9" ht="9" customHeight="1">
      <c r="A15624" s="129" t="s">
        <v>19482</v>
      </c>
      <c r="B15624" s="59" t="s">
        <v>19483</v>
      </c>
      <c r="C15624" s="178"/>
      <c r="D15624" s="178" t="s">
        <v>19481</v>
      </c>
      <c r="E15624" s="185"/>
      <c r="F15624" s="496"/>
      <c r="G15624" s="276"/>
      <c r="H15624" s="158"/>
      <c r="I15624" s="11"/>
    </row>
    <row r="15625" spans="1:9" ht="9" customHeight="1">
      <c r="A15625" s="129" t="s">
        <v>19484</v>
      </c>
      <c r="B15625" s="59"/>
      <c r="C15625" s="178"/>
      <c r="D15625" s="178" t="s">
        <v>19485</v>
      </c>
      <c r="E15625" s="185"/>
      <c r="F15625" s="496"/>
      <c r="H15625" s="981" t="s">
        <v>19486</v>
      </c>
      <c r="I15625" s="11"/>
    </row>
    <row r="15626" spans="1:9" ht="9" customHeight="1">
      <c r="A15626" s="129" t="s">
        <v>19487</v>
      </c>
      <c r="B15626" s="59" t="s">
        <v>19488</v>
      </c>
      <c r="C15626" s="178"/>
      <c r="D15626" s="178" t="s">
        <v>19489</v>
      </c>
      <c r="E15626" s="185"/>
      <c r="F15626" s="496"/>
      <c r="G15626" s="276"/>
      <c r="H15626" s="158"/>
      <c r="I15626" s="11"/>
    </row>
    <row r="15627" spans="1:9" ht="9" customHeight="1">
      <c r="A15627" s="129" t="s">
        <v>19490</v>
      </c>
      <c r="B15627" s="59" t="s">
        <v>19491</v>
      </c>
      <c r="C15627" s="178"/>
      <c r="D15627" s="178" t="s">
        <v>19492</v>
      </c>
      <c r="E15627" s="185"/>
      <c r="F15627" s="496"/>
      <c r="G15627" s="276"/>
      <c r="H15627" s="158"/>
      <c r="I15627" s="11"/>
    </row>
    <row r="15628" spans="1:9" ht="9" customHeight="1">
      <c r="A15628" s="129" t="s">
        <v>19493</v>
      </c>
      <c r="B15628" s="59" t="s">
        <v>19494</v>
      </c>
      <c r="C15628" s="178"/>
      <c r="D15628" s="178" t="s">
        <v>19495</v>
      </c>
      <c r="E15628" s="185"/>
      <c r="F15628" s="496"/>
      <c r="G15628" s="276"/>
      <c r="H15628" s="158"/>
      <c r="I15628" s="11"/>
    </row>
    <row r="15629" spans="1:9" ht="9" customHeight="1">
      <c r="A15629" s="129" t="s">
        <v>19496</v>
      </c>
      <c r="B15629" s="59"/>
      <c r="C15629" s="178"/>
      <c r="D15629" s="178" t="s">
        <v>19497</v>
      </c>
      <c r="E15629" s="415"/>
      <c r="F15629" s="496"/>
      <c r="G15629" s="276"/>
      <c r="H15629" s="158"/>
      <c r="I15629" s="11"/>
    </row>
    <row r="15630" spans="1:9" ht="9" customHeight="1">
      <c r="A15630" s="129" t="s">
        <v>19498</v>
      </c>
      <c r="B15630" s="982"/>
      <c r="C15630" s="178"/>
      <c r="D15630" s="178" t="s">
        <v>19499</v>
      </c>
      <c r="E15630" s="817"/>
      <c r="F15630" s="817"/>
      <c r="G15630" s="453"/>
      <c r="H15630" s="817"/>
      <c r="I15630" s="11"/>
    </row>
    <row r="15631" spans="1:9" ht="11.15" customHeight="1">
      <c r="A15631" s="974"/>
      <c r="B15631" s="841" t="s">
        <v>19500</v>
      </c>
      <c r="C15631" s="975"/>
      <c r="D15631" s="975"/>
      <c r="E15631" s="976"/>
      <c r="F15631" s="1102"/>
      <c r="G15631" s="1119"/>
      <c r="H15631" s="977"/>
      <c r="I15631" s="11"/>
    </row>
    <row r="15632" spans="1:9" ht="9" customHeight="1">
      <c r="A15632" s="129" t="s">
        <v>19501</v>
      </c>
      <c r="B15632" s="59" t="s">
        <v>19502</v>
      </c>
      <c r="C15632" s="178"/>
      <c r="D15632" s="178" t="s">
        <v>19503</v>
      </c>
      <c r="E15632" s="185"/>
      <c r="F15632" s="496"/>
      <c r="G15632" s="276"/>
      <c r="H15632" s="158"/>
      <c r="I15632" s="11"/>
    </row>
    <row r="15633" spans="1:9" ht="9" customHeight="1">
      <c r="A15633" s="29" t="s">
        <v>19504</v>
      </c>
      <c r="B15633" s="59" t="s">
        <v>19505</v>
      </c>
      <c r="C15633" s="36"/>
      <c r="D15633" s="178" t="s">
        <v>19506</v>
      </c>
      <c r="E15633" s="983"/>
      <c r="F15633" s="278"/>
      <c r="H15633" s="984" t="s">
        <v>19507</v>
      </c>
      <c r="I15633" s="11"/>
    </row>
    <row r="15634" spans="1:9" ht="9" customHeight="1">
      <c r="A15634" s="129" t="s">
        <v>19508</v>
      </c>
      <c r="B15634" s="377"/>
      <c r="C15634" s="178"/>
      <c r="D15634" s="178" t="s">
        <v>19509</v>
      </c>
      <c r="E15634" s="178"/>
      <c r="F15634" s="178"/>
      <c r="H15634" s="276"/>
      <c r="I15634" s="11"/>
    </row>
    <row r="15635" spans="1:9" ht="9" customHeight="1">
      <c r="A15635" s="129" t="s">
        <v>19510</v>
      </c>
      <c r="B15635" s="59" t="s">
        <v>19511</v>
      </c>
      <c r="C15635" s="178"/>
      <c r="D15635" s="178" t="s">
        <v>19512</v>
      </c>
      <c r="E15635" s="985"/>
      <c r="F15635" s="496"/>
      <c r="H15635" s="276"/>
      <c r="I15635" s="11"/>
    </row>
    <row r="15636" spans="1:9" ht="9" customHeight="1">
      <c r="A15636" s="129" t="s">
        <v>19513</v>
      </c>
      <c r="B15636" s="59"/>
      <c r="C15636" s="178"/>
      <c r="D15636" s="178" t="s">
        <v>19514</v>
      </c>
      <c r="E15636" s="985"/>
      <c r="F15636" s="496"/>
      <c r="H15636" s="599" t="s">
        <v>19515</v>
      </c>
      <c r="I15636" s="11"/>
    </row>
    <row r="15637" spans="1:9" ht="9" customHeight="1">
      <c r="A15637" s="129" t="s">
        <v>19516</v>
      </c>
      <c r="B15637" s="59"/>
      <c r="C15637" s="178"/>
      <c r="D15637" s="178" t="s">
        <v>19517</v>
      </c>
      <c r="E15637" s="985"/>
      <c r="F15637" s="496"/>
      <c r="H15637" s="599" t="s">
        <v>19518</v>
      </c>
      <c r="I15637" s="11"/>
    </row>
    <row r="15638" spans="1:9" ht="9" customHeight="1">
      <c r="A15638" s="129" t="s">
        <v>19519</v>
      </c>
      <c r="B15638" s="59"/>
      <c r="C15638" s="178"/>
      <c r="D15638" s="178" t="s">
        <v>19520</v>
      </c>
      <c r="E15638" s="185"/>
      <c r="F15638" s="496"/>
      <c r="G15638" s="276"/>
      <c r="H15638" s="158"/>
      <c r="I15638" s="11"/>
    </row>
    <row r="15639" spans="1:9" ht="11.15" customHeight="1">
      <c r="A15639" s="974"/>
      <c r="B15639" s="841" t="s">
        <v>19521</v>
      </c>
      <c r="C15639" s="975"/>
      <c r="D15639" s="975"/>
      <c r="E15639" s="976"/>
      <c r="F15639" s="1102"/>
      <c r="G15639" s="1119"/>
      <c r="H15639" s="977"/>
      <c r="I15639" s="11"/>
    </row>
    <row r="15640" spans="1:9" ht="9" customHeight="1">
      <c r="A15640" s="129" t="s">
        <v>19522</v>
      </c>
      <c r="B15640" s="59" t="s">
        <v>19523</v>
      </c>
      <c r="C15640" s="178"/>
      <c r="D15640" s="178" t="s">
        <v>19524</v>
      </c>
      <c r="E15640" s="980"/>
      <c r="F15640" s="497"/>
      <c r="G15640" s="276"/>
      <c r="H15640" s="165"/>
      <c r="I15640" s="11"/>
    </row>
    <row r="15641" spans="1:9" ht="9" customHeight="1">
      <c r="A15641" s="129" t="s">
        <v>19525</v>
      </c>
      <c r="B15641" s="59"/>
      <c r="C15641" s="178"/>
      <c r="D15641" s="178" t="s">
        <v>19526</v>
      </c>
      <c r="E15641" s="980"/>
      <c r="F15641" s="497"/>
      <c r="G15641" s="276"/>
      <c r="H15641" s="165"/>
      <c r="I15641" s="11"/>
    </row>
    <row r="15642" spans="1:9" ht="9" customHeight="1">
      <c r="A15642" s="129" t="s">
        <v>19527</v>
      </c>
      <c r="B15642" s="59" t="s">
        <v>19528</v>
      </c>
      <c r="C15642" s="178"/>
      <c r="D15642" s="178" t="s">
        <v>19529</v>
      </c>
      <c r="E15642" s="185"/>
      <c r="F15642" s="496"/>
      <c r="H15642" s="276"/>
      <c r="I15642" s="11"/>
    </row>
    <row r="15643" spans="1:9" ht="9" customHeight="1">
      <c r="A15643" s="129" t="s">
        <v>19530</v>
      </c>
      <c r="B15643" s="377"/>
      <c r="C15643" s="178"/>
      <c r="D15643" s="178" t="s">
        <v>19531</v>
      </c>
      <c r="E15643" s="178"/>
      <c r="F15643" s="178"/>
      <c r="H15643" s="981" t="s">
        <v>19532</v>
      </c>
      <c r="I15643" s="11"/>
    </row>
    <row r="15644" spans="1:9" ht="9" customHeight="1">
      <c r="A15644" s="29" t="s">
        <v>19533</v>
      </c>
      <c r="B15644" s="59"/>
      <c r="C15644" s="36"/>
      <c r="D15644" s="178" t="s">
        <v>19534</v>
      </c>
      <c r="E15644" s="90"/>
      <c r="F15644" s="59"/>
      <c r="H15644" s="986" t="s">
        <v>19535</v>
      </c>
      <c r="I15644" s="11"/>
    </row>
    <row r="15645" spans="1:9" ht="9" customHeight="1">
      <c r="A15645" s="29" t="s">
        <v>19536</v>
      </c>
      <c r="B15645" s="59"/>
      <c r="C15645" s="36"/>
      <c r="D15645" s="178" t="s">
        <v>19534</v>
      </c>
      <c r="E15645" s="90"/>
      <c r="F15645" s="59"/>
      <c r="G15645" s="986"/>
      <c r="H15645" s="90"/>
      <c r="I15645" s="11"/>
    </row>
    <row r="15646" spans="1:9" ht="9" customHeight="1">
      <c r="A15646" s="129" t="s">
        <v>19537</v>
      </c>
      <c r="B15646" s="903" t="s">
        <v>19538</v>
      </c>
      <c r="C15646" s="178"/>
      <c r="D15646" s="178" t="s">
        <v>19539</v>
      </c>
      <c r="E15646" s="185"/>
      <c r="F15646" s="496"/>
      <c r="G15646" s="276"/>
      <c r="H15646" s="158"/>
      <c r="I15646" s="11"/>
    </row>
    <row r="15647" spans="1:9" ht="11.15" customHeight="1">
      <c r="A15647" s="974"/>
      <c r="B15647" s="841" t="s">
        <v>19540</v>
      </c>
      <c r="C15647" s="975"/>
      <c r="D15647" s="975"/>
      <c r="E15647" s="976"/>
      <c r="F15647" s="1102"/>
      <c r="G15647" s="1119"/>
      <c r="H15647" s="977"/>
      <c r="I15647" s="11"/>
    </row>
    <row r="15648" spans="1:9" ht="9" customHeight="1">
      <c r="A15648" s="129" t="s">
        <v>19541</v>
      </c>
      <c r="B15648" s="59" t="s">
        <v>19542</v>
      </c>
      <c r="C15648" s="178"/>
      <c r="D15648" s="178" t="s">
        <v>19543</v>
      </c>
      <c r="E15648" s="185"/>
      <c r="F15648" s="496"/>
      <c r="H15648" s="276"/>
      <c r="I15648" s="11"/>
    </row>
    <row r="15649" spans="1:9" ht="9" customHeight="1">
      <c r="A15649" s="129" t="s">
        <v>19544</v>
      </c>
      <c r="B15649" s="377"/>
      <c r="C15649" s="178"/>
      <c r="D15649" s="178" t="s">
        <v>19545</v>
      </c>
      <c r="E15649" s="178"/>
      <c r="F15649" s="178"/>
      <c r="H15649" s="599" t="s">
        <v>19546</v>
      </c>
      <c r="I15649" s="11"/>
    </row>
    <row r="15650" spans="1:9" ht="9" customHeight="1">
      <c r="A15650" s="129" t="s">
        <v>19547</v>
      </c>
      <c r="B15650" s="377"/>
      <c r="C15650" s="178"/>
      <c r="D15650" s="178" t="s">
        <v>19548</v>
      </c>
      <c r="E15650" s="178"/>
      <c r="F15650" s="178"/>
      <c r="H15650" s="276"/>
      <c r="I15650" s="11"/>
    </row>
    <row r="15651" spans="1:9" ht="9" customHeight="1">
      <c r="A15651" s="129" t="s">
        <v>19549</v>
      </c>
      <c r="B15651" s="955" t="s">
        <v>19550</v>
      </c>
      <c r="C15651" s="178"/>
      <c r="D15651" s="178" t="s">
        <v>19551</v>
      </c>
      <c r="E15651" s="178"/>
      <c r="F15651" s="178"/>
      <c r="H15651" s="60"/>
      <c r="I15651" s="11"/>
    </row>
    <row r="15652" spans="1:9" ht="9" customHeight="1">
      <c r="A15652" s="129" t="s">
        <v>19552</v>
      </c>
      <c r="B15652" s="377"/>
      <c r="C15652" s="178"/>
      <c r="D15652" s="178" t="s">
        <v>19553</v>
      </c>
      <c r="E15652" s="178"/>
      <c r="F15652" s="178"/>
      <c r="H15652" s="599" t="s">
        <v>19554</v>
      </c>
      <c r="I15652" s="11"/>
    </row>
    <row r="15653" spans="1:9" ht="9" customHeight="1">
      <c r="A15653" s="129" t="s">
        <v>19555</v>
      </c>
      <c r="B15653" s="59" t="s">
        <v>19556</v>
      </c>
      <c r="C15653" s="178"/>
      <c r="D15653" s="178" t="s">
        <v>19557</v>
      </c>
      <c r="E15653" s="185"/>
      <c r="F15653" s="496"/>
      <c r="H15653" s="276"/>
      <c r="I15653" s="11"/>
    </row>
    <row r="15654" spans="1:9" ht="9" customHeight="1">
      <c r="A15654" s="129" t="s">
        <v>19558</v>
      </c>
      <c r="B15654" s="59"/>
      <c r="C15654" s="178"/>
      <c r="D15654" s="178" t="s">
        <v>19559</v>
      </c>
      <c r="E15654" s="185"/>
      <c r="F15654" s="496"/>
      <c r="H15654" s="981" t="s">
        <v>19560</v>
      </c>
      <c r="I15654" s="11"/>
    </row>
    <row r="15655" spans="1:9" ht="9" customHeight="1">
      <c r="A15655" s="129" t="s">
        <v>19561</v>
      </c>
      <c r="B15655" s="59" t="s">
        <v>19562</v>
      </c>
      <c r="C15655" s="178"/>
      <c r="D15655" s="178" t="s">
        <v>19563</v>
      </c>
      <c r="E15655" s="185"/>
      <c r="F15655" s="496"/>
      <c r="H15655" s="599" t="s">
        <v>19564</v>
      </c>
      <c r="I15655" s="11"/>
    </row>
    <row r="15656" spans="1:9" ht="9" customHeight="1">
      <c r="A15656" s="129" t="s">
        <v>19565</v>
      </c>
      <c r="B15656" s="377"/>
      <c r="C15656" s="178"/>
      <c r="D15656" s="178" t="s">
        <v>19566</v>
      </c>
      <c r="E15656" s="178"/>
      <c r="F15656" s="178"/>
      <c r="H15656" s="60"/>
      <c r="I15656" s="11"/>
    </row>
    <row r="15657" spans="1:9" ht="9" customHeight="1">
      <c r="A15657" s="129" t="s">
        <v>19567</v>
      </c>
      <c r="B15657" s="59"/>
      <c r="C15657" s="178"/>
      <c r="D15657" s="178" t="s">
        <v>19566</v>
      </c>
      <c r="E15657" s="178"/>
      <c r="F15657" s="178"/>
      <c r="H15657" s="599" t="s">
        <v>19568</v>
      </c>
      <c r="I15657" s="11"/>
    </row>
    <row r="15658" spans="1:9" ht="9" customHeight="1">
      <c r="A15658" s="129" t="s">
        <v>19569</v>
      </c>
      <c r="B15658" s="59" t="s">
        <v>19570</v>
      </c>
      <c r="C15658" s="178"/>
      <c r="D15658" s="178" t="s">
        <v>19571</v>
      </c>
      <c r="E15658" s="178"/>
      <c r="F15658" s="178"/>
      <c r="H15658" s="599" t="s">
        <v>19568</v>
      </c>
      <c r="I15658" s="11"/>
    </row>
    <row r="15659" spans="1:9" ht="9" customHeight="1">
      <c r="A15659" s="129" t="s">
        <v>19572</v>
      </c>
      <c r="B15659" s="59" t="s">
        <v>19573</v>
      </c>
      <c r="C15659" s="178"/>
      <c r="D15659" s="178" t="s">
        <v>19574</v>
      </c>
      <c r="E15659" s="178"/>
      <c r="F15659" s="178"/>
      <c r="H15659" s="599"/>
      <c r="I15659" s="11"/>
    </row>
    <row r="15660" spans="1:9" ht="9" customHeight="1">
      <c r="A15660" s="129" t="s">
        <v>19575</v>
      </c>
      <c r="B15660" s="59" t="s">
        <v>19576</v>
      </c>
      <c r="C15660" s="178"/>
      <c r="D15660" s="178" t="s">
        <v>19574</v>
      </c>
      <c r="E15660" s="980"/>
      <c r="F15660" s="496"/>
      <c r="G15660" s="185"/>
      <c r="H15660" s="158"/>
      <c r="I15660" s="11"/>
    </row>
    <row r="15661" spans="1:9" ht="9" customHeight="1">
      <c r="A15661" s="129" t="s">
        <v>19577</v>
      </c>
      <c r="B15661" s="59" t="s">
        <v>19578</v>
      </c>
      <c r="C15661" s="178"/>
      <c r="D15661" s="178" t="s">
        <v>19579</v>
      </c>
      <c r="E15661" s="185"/>
      <c r="F15661" s="496"/>
      <c r="G15661" s="185"/>
      <c r="H15661" s="158"/>
      <c r="I15661" s="11"/>
    </row>
    <row r="15662" spans="1:9" ht="9" customHeight="1">
      <c r="A15662" s="129" t="s">
        <v>19580</v>
      </c>
      <c r="B15662" s="59" t="s">
        <v>19581</v>
      </c>
      <c r="C15662" s="178"/>
      <c r="D15662" s="178" t="s">
        <v>19582</v>
      </c>
      <c r="E15662" s="985"/>
      <c r="F15662" s="496"/>
      <c r="G15662" s="185"/>
      <c r="H15662" s="158"/>
      <c r="I15662" s="11"/>
    </row>
    <row r="15663" spans="1:9" ht="11.15" customHeight="1">
      <c r="A15663" s="974"/>
      <c r="B15663" s="841" t="s">
        <v>19583</v>
      </c>
      <c r="C15663" s="975"/>
      <c r="D15663" s="975"/>
      <c r="E15663" s="976"/>
      <c r="F15663" s="1102"/>
      <c r="G15663" s="978"/>
      <c r="H15663" s="977"/>
      <c r="I15663" s="11"/>
    </row>
    <row r="15664" spans="1:9" ht="9" customHeight="1">
      <c r="A15664" s="129" t="s">
        <v>19584</v>
      </c>
      <c r="B15664" s="59"/>
      <c r="C15664" s="178"/>
      <c r="D15664" s="178" t="s">
        <v>19585</v>
      </c>
      <c r="E15664" s="185"/>
      <c r="F15664" s="496"/>
      <c r="G15664" s="185"/>
      <c r="H15664" s="158"/>
      <c r="I15664" s="11"/>
    </row>
    <row r="15665" spans="1:9" ht="9" customHeight="1">
      <c r="A15665" s="129" t="s">
        <v>19586</v>
      </c>
      <c r="B15665" s="59" t="s">
        <v>19587</v>
      </c>
      <c r="C15665" s="178"/>
      <c r="D15665" s="178" t="s">
        <v>19588</v>
      </c>
      <c r="E15665" s="185"/>
      <c r="F15665" s="496"/>
      <c r="H15665" s="185"/>
      <c r="I15665" s="11"/>
    </row>
    <row r="15666" spans="1:9" ht="9" customHeight="1">
      <c r="A15666" s="129" t="s">
        <v>19589</v>
      </c>
      <c r="B15666" s="59" t="s">
        <v>19590</v>
      </c>
      <c r="C15666" s="178"/>
      <c r="D15666" s="178" t="s">
        <v>19591</v>
      </c>
      <c r="E15666" s="185"/>
      <c r="F15666" s="496"/>
      <c r="H15666" s="185"/>
      <c r="I15666" s="11"/>
    </row>
    <row r="15667" spans="1:9" ht="9" customHeight="1">
      <c r="A15667" s="129" t="s">
        <v>19592</v>
      </c>
      <c r="B15667" s="59"/>
      <c r="C15667" s="178"/>
      <c r="D15667" s="178" t="s">
        <v>19593</v>
      </c>
      <c r="E15667" s="185"/>
      <c r="F15667" s="496"/>
      <c r="H15667" s="185"/>
      <c r="I15667" s="11"/>
    </row>
    <row r="15668" spans="1:9" ht="9" customHeight="1">
      <c r="A15668" s="987" t="s">
        <v>19594</v>
      </c>
      <c r="B15668" s="59" t="s">
        <v>19595</v>
      </c>
      <c r="C15668" s="178"/>
      <c r="D15668" s="36" t="s">
        <v>19596</v>
      </c>
      <c r="E15668" s="90"/>
      <c r="F15668" s="59"/>
      <c r="H15668" s="984" t="s">
        <v>19597</v>
      </c>
      <c r="I15668" s="11"/>
    </row>
    <row r="15669" spans="1:9" ht="9" customHeight="1">
      <c r="A15669" s="987" t="s">
        <v>19598</v>
      </c>
      <c r="B15669" s="59" t="s">
        <v>19595</v>
      </c>
      <c r="C15669" s="178"/>
      <c r="D15669" s="178" t="s">
        <v>19599</v>
      </c>
      <c r="E15669" s="90"/>
      <c r="F15669" s="59"/>
      <c r="H15669" s="599" t="s">
        <v>19600</v>
      </c>
      <c r="I15669" s="11"/>
    </row>
    <row r="15670" spans="1:9" ht="9" customHeight="1">
      <c r="A15670" s="987" t="s">
        <v>19601</v>
      </c>
      <c r="B15670" s="59"/>
      <c r="C15670" s="178"/>
      <c r="D15670" s="178" t="s">
        <v>19602</v>
      </c>
      <c r="E15670" s="90"/>
      <c r="F15670" s="59"/>
      <c r="H15670" s="599" t="s">
        <v>19603</v>
      </c>
      <c r="I15670" s="11"/>
    </row>
    <row r="15671" spans="1:9" ht="9" customHeight="1">
      <c r="A15671" s="987" t="s">
        <v>19604</v>
      </c>
      <c r="B15671" s="59" t="s">
        <v>19605</v>
      </c>
      <c r="C15671" s="178"/>
      <c r="D15671" s="178" t="s">
        <v>19606</v>
      </c>
      <c r="E15671" s="90"/>
      <c r="F15671" s="59"/>
      <c r="H15671" s="599"/>
      <c r="I15671" s="11"/>
    </row>
    <row r="15672" spans="1:9" ht="9" customHeight="1">
      <c r="A15672" s="988" t="s">
        <v>19607</v>
      </c>
      <c r="B15672" s="129"/>
      <c r="C15672" s="178"/>
      <c r="D15672" s="178" t="s">
        <v>19608</v>
      </c>
      <c r="E15672" s="90"/>
      <c r="F15672" s="59"/>
      <c r="H15672" s="599" t="s">
        <v>19609</v>
      </c>
      <c r="I15672" s="11"/>
    </row>
    <row r="15673" spans="1:9" ht="9" customHeight="1">
      <c r="A15673" s="987" t="s">
        <v>19610</v>
      </c>
      <c r="B15673" s="59" t="s">
        <v>19611</v>
      </c>
      <c r="C15673" s="178"/>
      <c r="D15673" s="178" t="s">
        <v>19612</v>
      </c>
      <c r="E15673" s="90"/>
      <c r="F15673" s="59"/>
      <c r="H15673" s="599" t="s">
        <v>19515</v>
      </c>
      <c r="I15673" s="11"/>
    </row>
    <row r="15674" spans="1:9" ht="9" customHeight="1">
      <c r="A15674" s="987" t="s">
        <v>19613</v>
      </c>
      <c r="B15674" s="129"/>
      <c r="C15674" s="178"/>
      <c r="D15674" s="178" t="s">
        <v>19612</v>
      </c>
      <c r="E15674" s="90"/>
      <c r="F15674" s="59"/>
      <c r="H15674" s="973"/>
      <c r="I15674" s="11"/>
    </row>
    <row r="15675" spans="1:9" ht="9" customHeight="1">
      <c r="A15675" s="129" t="s">
        <v>19614</v>
      </c>
      <c r="B15675" s="377"/>
      <c r="C15675" s="178"/>
      <c r="D15675" s="178" t="s">
        <v>19615</v>
      </c>
      <c r="E15675" s="178"/>
      <c r="F15675" s="178"/>
      <c r="H15675" s="60"/>
      <c r="I15675" s="11"/>
    </row>
    <row r="15676" spans="1:9" ht="9" customHeight="1">
      <c r="A15676" s="129" t="s">
        <v>19616</v>
      </c>
      <c r="B15676" s="656"/>
      <c r="C15676" s="36"/>
      <c r="D15676" s="178" t="s">
        <v>19617</v>
      </c>
      <c r="E15676" s="836"/>
      <c r="F15676" s="178"/>
      <c r="H15676" s="989" t="s">
        <v>19618</v>
      </c>
      <c r="I15676" s="11"/>
    </row>
    <row r="15677" spans="1:9" ht="9" customHeight="1">
      <c r="A15677" s="129" t="s">
        <v>19619</v>
      </c>
      <c r="B15677" s="59" t="s">
        <v>19620</v>
      </c>
      <c r="C15677" s="178"/>
      <c r="D15677" s="178" t="s">
        <v>19621</v>
      </c>
      <c r="E15677" s="185"/>
      <c r="F15677" s="496"/>
      <c r="H15677" s="185"/>
      <c r="I15677" s="11"/>
    </row>
    <row r="15678" spans="1:9" ht="9" customHeight="1">
      <c r="A15678" s="129" t="s">
        <v>19622</v>
      </c>
      <c r="B15678" s="59" t="s">
        <v>19623</v>
      </c>
      <c r="C15678" s="178"/>
      <c r="D15678" s="178" t="s">
        <v>19624</v>
      </c>
      <c r="E15678" s="185"/>
      <c r="F15678" s="496"/>
      <c r="G15678" s="185"/>
      <c r="H15678" s="158"/>
      <c r="I15678" s="11"/>
    </row>
    <row r="15679" spans="1:9" ht="9" customHeight="1">
      <c r="A15679" s="129" t="s">
        <v>19625</v>
      </c>
      <c r="B15679" s="59" t="s">
        <v>19626</v>
      </c>
      <c r="C15679" s="178"/>
      <c r="D15679" s="178" t="s">
        <v>19627</v>
      </c>
      <c r="E15679" s="985"/>
      <c r="F15679" s="496"/>
      <c r="G15679" s="185"/>
      <c r="H15679" s="158"/>
      <c r="I15679" s="11"/>
    </row>
    <row r="15680" spans="1:9" ht="11.15" customHeight="1">
      <c r="A15680" s="974"/>
      <c r="B15680" s="841" t="s">
        <v>19628</v>
      </c>
      <c r="C15680" s="975"/>
      <c r="D15680" s="975"/>
      <c r="E15680" s="976"/>
      <c r="F15680" s="1102"/>
      <c r="G15680" s="978"/>
      <c r="H15680" s="977"/>
      <c r="I15680" s="11"/>
    </row>
    <row r="15681" spans="1:9" ht="9" customHeight="1">
      <c r="A15681" s="129" t="s">
        <v>19629</v>
      </c>
      <c r="B15681" s="59" t="s">
        <v>19630</v>
      </c>
      <c r="C15681" s="178"/>
      <c r="D15681" s="178" t="s">
        <v>19631</v>
      </c>
      <c r="E15681" s="185"/>
      <c r="F15681" s="496"/>
      <c r="G15681" s="185"/>
      <c r="H15681" s="158"/>
      <c r="I15681" s="11"/>
    </row>
    <row r="15682" spans="1:9" ht="9" customHeight="1">
      <c r="A15682" s="129" t="s">
        <v>19632</v>
      </c>
      <c r="B15682" s="59"/>
      <c r="C15682" s="178"/>
      <c r="D15682" s="178" t="s">
        <v>19633</v>
      </c>
      <c r="E15682" s="185"/>
      <c r="F15682" s="496"/>
      <c r="H15682" s="599" t="s">
        <v>19515</v>
      </c>
      <c r="I15682" s="11"/>
    </row>
    <row r="15683" spans="1:9" ht="9" customHeight="1">
      <c r="A15683" s="129" t="s">
        <v>19634</v>
      </c>
      <c r="B15683" s="59" t="s">
        <v>19635</v>
      </c>
      <c r="C15683" s="178"/>
      <c r="D15683" s="178" t="s">
        <v>19636</v>
      </c>
      <c r="E15683" s="185"/>
      <c r="F15683" s="496"/>
      <c r="G15683" s="185"/>
      <c r="H15683" s="158"/>
      <c r="I15683" s="11"/>
    </row>
    <row r="15684" spans="1:9" ht="9" customHeight="1">
      <c r="A15684" s="129" t="s">
        <v>19637</v>
      </c>
      <c r="B15684" s="59" t="s">
        <v>19638</v>
      </c>
      <c r="C15684" s="178"/>
      <c r="D15684" s="178" t="s">
        <v>19639</v>
      </c>
      <c r="E15684" s="985"/>
      <c r="F15684" s="496"/>
      <c r="G15684" s="185"/>
      <c r="H15684" s="158"/>
      <c r="I15684" s="11"/>
    </row>
    <row r="15685" spans="1:9" ht="9" customHeight="1">
      <c r="A15685" s="129" t="s">
        <v>19640</v>
      </c>
      <c r="B15685" s="59" t="s">
        <v>19641</v>
      </c>
      <c r="C15685" s="178"/>
      <c r="D15685" s="178" t="s">
        <v>19639</v>
      </c>
      <c r="E15685" s="985"/>
      <c r="F15685" s="496"/>
      <c r="G15685" s="185"/>
      <c r="H15685" s="158"/>
      <c r="I15685" s="11"/>
    </row>
    <row r="15686" spans="1:9" ht="9" customHeight="1">
      <c r="A15686" s="129" t="s">
        <v>19642</v>
      </c>
      <c r="B15686" s="59" t="s">
        <v>19643</v>
      </c>
      <c r="C15686" s="178"/>
      <c r="D15686" s="178" t="s">
        <v>19644</v>
      </c>
      <c r="E15686" s="985"/>
      <c r="F15686" s="496"/>
      <c r="G15686" s="185"/>
      <c r="H15686" s="158"/>
      <c r="I15686" s="11"/>
    </row>
    <row r="15687" spans="1:9" ht="9" customHeight="1">
      <c r="A15687" s="129" t="s">
        <v>19645</v>
      </c>
      <c r="B15687" s="59" t="s">
        <v>19646</v>
      </c>
      <c r="C15687" s="178"/>
      <c r="D15687" s="178" t="s">
        <v>19647</v>
      </c>
      <c r="E15687" s="185"/>
      <c r="F15687" s="496"/>
      <c r="G15687" s="185"/>
      <c r="H15687" s="158"/>
      <c r="I15687" s="11"/>
    </row>
    <row r="15688" spans="1:9" ht="9" customHeight="1">
      <c r="A15688" s="129" t="s">
        <v>19648</v>
      </c>
      <c r="B15688" s="59" t="s">
        <v>19649</v>
      </c>
      <c r="C15688" s="178"/>
      <c r="D15688" s="178" t="s">
        <v>19650</v>
      </c>
      <c r="E15688" s="185"/>
      <c r="F15688" s="496"/>
      <c r="G15688" s="185"/>
      <c r="H15688" s="158"/>
      <c r="I15688" s="11"/>
    </row>
    <row r="15689" spans="1:9" ht="11.15" customHeight="1">
      <c r="A15689" s="974"/>
      <c r="B15689" s="841" t="s">
        <v>19651</v>
      </c>
      <c r="C15689" s="975"/>
      <c r="D15689" s="975"/>
      <c r="E15689" s="976"/>
      <c r="F15689" s="1102"/>
      <c r="G15689" s="978"/>
      <c r="H15689" s="977"/>
      <c r="I15689" s="11"/>
    </row>
    <row r="15690" spans="1:9" ht="9" customHeight="1">
      <c r="A15690" s="129" t="s">
        <v>19652</v>
      </c>
      <c r="B15690" s="122"/>
      <c r="C15690" s="178"/>
      <c r="D15690" s="178" t="s">
        <v>19653</v>
      </c>
      <c r="E15690" s="990"/>
      <c r="F15690" s="1103"/>
      <c r="H15690" s="991" t="s">
        <v>19654</v>
      </c>
      <c r="I15690" s="11"/>
    </row>
    <row r="15691" spans="1:9" ht="9" customHeight="1">
      <c r="A15691" s="129" t="s">
        <v>19655</v>
      </c>
      <c r="B15691" s="59" t="s">
        <v>19656</v>
      </c>
      <c r="C15691" s="178"/>
      <c r="D15691" s="178" t="s">
        <v>19657</v>
      </c>
      <c r="E15691" s="185"/>
      <c r="F15691" s="496"/>
      <c r="G15691" s="185"/>
      <c r="H15691" s="158"/>
      <c r="I15691" s="11"/>
    </row>
    <row r="15692" spans="1:9" ht="9" customHeight="1">
      <c r="A15692" s="129" t="s">
        <v>19658</v>
      </c>
      <c r="B15692" s="59" t="s">
        <v>19659</v>
      </c>
      <c r="C15692" s="178"/>
      <c r="D15692" s="178" t="s">
        <v>19660</v>
      </c>
      <c r="E15692" s="415"/>
      <c r="F15692" s="496"/>
      <c r="G15692" s="185"/>
      <c r="H15692" s="158"/>
      <c r="I15692" s="11"/>
    </row>
    <row r="15693" spans="1:9" ht="9" customHeight="1">
      <c r="A15693" s="129" t="s">
        <v>19661</v>
      </c>
      <c r="B15693" s="59" t="s">
        <v>19662</v>
      </c>
      <c r="C15693" s="178"/>
      <c r="D15693" s="178" t="s">
        <v>19660</v>
      </c>
      <c r="E15693" s="415"/>
      <c r="F15693" s="496"/>
      <c r="G15693" s="185"/>
      <c r="H15693" s="158"/>
      <c r="I15693" s="11"/>
    </row>
    <row r="15694" spans="1:9" ht="9" customHeight="1">
      <c r="A15694" s="129" t="s">
        <v>19663</v>
      </c>
      <c r="B15694" s="59" t="s">
        <v>19664</v>
      </c>
      <c r="C15694" s="178"/>
      <c r="D15694" s="178" t="s">
        <v>19665</v>
      </c>
      <c r="E15694" s="415"/>
      <c r="F15694" s="496"/>
      <c r="G15694" s="185"/>
      <c r="H15694" s="158"/>
      <c r="I15694" s="11"/>
    </row>
    <row r="15695" spans="1:9" ht="9" customHeight="1">
      <c r="A15695" s="129" t="s">
        <v>19666</v>
      </c>
      <c r="B15695" s="59" t="s">
        <v>19667</v>
      </c>
      <c r="C15695" s="178"/>
      <c r="D15695" s="178" t="s">
        <v>19668</v>
      </c>
      <c r="E15695" s="415"/>
      <c r="F15695" s="496"/>
      <c r="G15695" s="185"/>
      <c r="H15695" s="158"/>
      <c r="I15695" s="11"/>
    </row>
    <row r="15696" spans="1:9" ht="9" customHeight="1">
      <c r="A15696" s="129" t="s">
        <v>19669</v>
      </c>
      <c r="B15696" s="816"/>
      <c r="C15696" s="36"/>
      <c r="D15696" s="178" t="s">
        <v>19670</v>
      </c>
      <c r="E15696" s="36"/>
      <c r="F15696" s="178"/>
      <c r="G15696" s="60"/>
      <c r="H15696" s="36"/>
      <c r="I15696" s="11"/>
    </row>
    <row r="15697" spans="1:9" ht="9" customHeight="1">
      <c r="A15697" s="129" t="s">
        <v>19671</v>
      </c>
      <c r="B15697" s="59" t="s">
        <v>19672</v>
      </c>
      <c r="C15697" s="178"/>
      <c r="D15697" s="178" t="s">
        <v>19673</v>
      </c>
      <c r="E15697" s="985"/>
      <c r="F15697" s="496"/>
      <c r="G15697" s="185"/>
      <c r="H15697" s="158"/>
      <c r="I15697" s="11"/>
    </row>
    <row r="15698" spans="1:9" ht="9" customHeight="1">
      <c r="A15698" s="129" t="s">
        <v>19674</v>
      </c>
      <c r="B15698" s="59" t="s">
        <v>19675</v>
      </c>
      <c r="C15698" s="178"/>
      <c r="D15698" s="178" t="s">
        <v>19676</v>
      </c>
      <c r="E15698" s="985"/>
      <c r="F15698" s="496"/>
      <c r="G15698" s="185"/>
      <c r="H15698" s="158"/>
      <c r="I15698" s="11"/>
    </row>
    <row r="15699" spans="1:9" ht="11.15" customHeight="1">
      <c r="A15699" s="974"/>
      <c r="B15699" s="841" t="s">
        <v>19677</v>
      </c>
      <c r="C15699" s="975"/>
      <c r="D15699" s="975"/>
      <c r="E15699" s="976"/>
      <c r="F15699" s="1102"/>
      <c r="G15699" s="978"/>
      <c r="H15699" s="977"/>
      <c r="I15699" s="11"/>
    </row>
    <row r="15700" spans="1:9" ht="9" customHeight="1">
      <c r="A15700" s="129" t="s">
        <v>19678</v>
      </c>
      <c r="B15700" s="59"/>
      <c r="C15700" s="178"/>
      <c r="D15700" s="178" t="s">
        <v>19679</v>
      </c>
      <c r="E15700" s="90"/>
      <c r="F15700" s="59"/>
      <c r="G15700" s="973"/>
      <c r="H15700" s="90"/>
      <c r="I15700" s="11"/>
    </row>
    <row r="15701" spans="1:9" ht="9" customHeight="1">
      <c r="A15701" s="424" t="s">
        <v>19680</v>
      </c>
      <c r="B15701" s="90"/>
      <c r="C15701" s="178"/>
      <c r="D15701" s="178" t="s">
        <v>19681</v>
      </c>
      <c r="E15701" s="836"/>
      <c r="F15701" s="178"/>
      <c r="G15701" s="671"/>
      <c r="H15701" s="36"/>
      <c r="I15701" s="11"/>
    </row>
    <row r="15702" spans="1:9" ht="9" customHeight="1">
      <c r="A15702" s="129" t="s">
        <v>19682</v>
      </c>
      <c r="B15702" s="59" t="s">
        <v>19683</v>
      </c>
      <c r="C15702" s="178"/>
      <c r="D15702" s="178" t="s">
        <v>19681</v>
      </c>
      <c r="E15702" s="985"/>
      <c r="F15702" s="496"/>
      <c r="G15702" s="185"/>
      <c r="H15702" s="158"/>
      <c r="I15702" s="11"/>
    </row>
    <row r="15703" spans="1:9" ht="9" customHeight="1">
      <c r="A15703" s="992" t="s">
        <v>19684</v>
      </c>
      <c r="B15703" s="59" t="s">
        <v>19595</v>
      </c>
      <c r="C15703" s="178"/>
      <c r="D15703" s="178" t="s">
        <v>19685</v>
      </c>
      <c r="E15703" s="985"/>
      <c r="F15703" s="496"/>
      <c r="G15703" s="993"/>
      <c r="H15703" s="158"/>
      <c r="I15703" s="11"/>
    </row>
    <row r="15704" spans="1:9" ht="9" customHeight="1">
      <c r="A15704" s="29" t="s">
        <v>19686</v>
      </c>
      <c r="B15704" s="59" t="s">
        <v>19687</v>
      </c>
      <c r="C15704" s="178"/>
      <c r="D15704" s="178" t="s">
        <v>19688</v>
      </c>
      <c r="E15704" s="185"/>
      <c r="F15704" s="496"/>
      <c r="G15704" s="185"/>
      <c r="H15704" s="158"/>
      <c r="I15704" s="11"/>
    </row>
    <row r="15705" spans="1:9" ht="9" customHeight="1">
      <c r="A15705" s="129" t="s">
        <v>19689</v>
      </c>
      <c r="B15705" s="59" t="s">
        <v>19690</v>
      </c>
      <c r="C15705" s="178"/>
      <c r="D15705" s="178" t="s">
        <v>19691</v>
      </c>
      <c r="E15705" s="185"/>
      <c r="F15705" s="496"/>
      <c r="G15705" s="185"/>
      <c r="H15705" s="158"/>
      <c r="I15705" s="11"/>
    </row>
    <row r="15706" spans="1:9" ht="9" customHeight="1">
      <c r="A15706" s="129" t="s">
        <v>19692</v>
      </c>
      <c r="B15706" s="860"/>
      <c r="C15706" s="178"/>
      <c r="D15706" s="178" t="s">
        <v>19693</v>
      </c>
      <c r="E15706" s="36"/>
      <c r="F15706" s="178"/>
      <c r="G15706" s="496"/>
      <c r="H15706" s="36"/>
      <c r="I15706" s="11"/>
    </row>
    <row r="15707" spans="1:9" ht="9" customHeight="1">
      <c r="A15707" s="129" t="s">
        <v>19694</v>
      </c>
      <c r="B15707" s="59"/>
      <c r="C15707" s="178"/>
      <c r="D15707" s="178" t="s">
        <v>19695</v>
      </c>
      <c r="E15707" s="185"/>
      <c r="F15707" s="496"/>
      <c r="G15707" s="185"/>
      <c r="H15707" s="158"/>
      <c r="I15707" s="11"/>
    </row>
    <row r="15708" spans="1:9" ht="9" customHeight="1">
      <c r="A15708" s="129" t="s">
        <v>19696</v>
      </c>
      <c r="B15708" s="59"/>
      <c r="C15708" s="36"/>
      <c r="D15708" s="178" t="s">
        <v>19697</v>
      </c>
      <c r="E15708" s="90"/>
      <c r="F15708" s="59"/>
      <c r="G15708" s="973"/>
      <c r="H15708" s="90"/>
      <c r="I15708" s="11"/>
    </row>
    <row r="15709" spans="1:9" ht="9" customHeight="1">
      <c r="A15709" s="129" t="s">
        <v>19698</v>
      </c>
      <c r="B15709" s="59"/>
      <c r="C15709" s="36"/>
      <c r="D15709" s="178" t="s">
        <v>19697</v>
      </c>
      <c r="E15709" s="90"/>
      <c r="F15709" s="59"/>
      <c r="G15709" s="973"/>
      <c r="H15709" s="90"/>
      <c r="I15709" s="11"/>
    </row>
    <row r="15710" spans="1:9" ht="9" customHeight="1">
      <c r="A15710" s="129" t="s">
        <v>19699</v>
      </c>
      <c r="B15710" s="59" t="s">
        <v>19700</v>
      </c>
      <c r="C15710" s="178"/>
      <c r="D15710" s="178" t="s">
        <v>19701</v>
      </c>
      <c r="E15710" s="415" t="s">
        <v>19702</v>
      </c>
      <c r="F15710" s="496"/>
      <c r="G15710" s="185"/>
      <c r="H15710" s="158"/>
      <c r="I15710" s="11"/>
    </row>
    <row r="15711" spans="1:9" ht="9" customHeight="1">
      <c r="A15711" s="129" t="s">
        <v>19703</v>
      </c>
      <c r="B15711" s="59" t="s">
        <v>19704</v>
      </c>
      <c r="C15711" s="178"/>
      <c r="D15711" s="178" t="s">
        <v>19701</v>
      </c>
      <c r="E15711" s="185"/>
      <c r="F15711" s="496"/>
      <c r="G15711" s="185"/>
      <c r="H15711" s="158"/>
      <c r="I15711" s="11"/>
    </row>
    <row r="15712" spans="1:9" ht="11.15" customHeight="1">
      <c r="A15712" s="974"/>
      <c r="B15712" s="841" t="s">
        <v>19705</v>
      </c>
      <c r="C15712" s="975"/>
      <c r="D15712" s="975"/>
      <c r="E15712" s="976"/>
      <c r="F15712" s="1102"/>
      <c r="G15712" s="978"/>
      <c r="H15712" s="977"/>
      <c r="I15712" s="11"/>
    </row>
    <row r="15713" spans="1:9" ht="9" customHeight="1">
      <c r="A15713" s="129" t="s">
        <v>19706</v>
      </c>
      <c r="B15713" s="352"/>
      <c r="C15713" s="178"/>
      <c r="D15713" s="178" t="s">
        <v>19707</v>
      </c>
      <c r="E15713" s="990"/>
      <c r="F15713" s="1103"/>
      <c r="H15713" s="599" t="s">
        <v>19708</v>
      </c>
      <c r="I15713" s="11"/>
    </row>
    <row r="15714" spans="1:9" ht="9" customHeight="1">
      <c r="A15714" s="129" t="s">
        <v>19709</v>
      </c>
      <c r="B15714" s="860"/>
      <c r="C15714" s="178"/>
      <c r="D15714" s="178" t="s">
        <v>19710</v>
      </c>
      <c r="E15714" s="36"/>
      <c r="F15714" s="178"/>
      <c r="H15714" s="986" t="s">
        <v>19711</v>
      </c>
      <c r="I15714" s="11"/>
    </row>
    <row r="15715" spans="1:9" ht="9" customHeight="1">
      <c r="A15715" s="129" t="s">
        <v>19712</v>
      </c>
      <c r="B15715" s="59" t="s">
        <v>19713</v>
      </c>
      <c r="C15715" s="178"/>
      <c r="D15715" s="178" t="s">
        <v>19714</v>
      </c>
      <c r="E15715" s="415"/>
      <c r="F15715" s="496"/>
      <c r="H15715" s="185"/>
      <c r="I15715" s="11"/>
    </row>
    <row r="15716" spans="1:9" ht="9" customHeight="1">
      <c r="A15716" s="129" t="s">
        <v>19715</v>
      </c>
      <c r="B15716" s="59"/>
      <c r="C15716" s="178"/>
      <c r="D15716" s="178" t="s">
        <v>19716</v>
      </c>
      <c r="E15716" s="415"/>
      <c r="F15716" s="496"/>
      <c r="H15716" s="599" t="s">
        <v>19717</v>
      </c>
      <c r="I15716" s="11"/>
    </row>
    <row r="15717" spans="1:9" ht="9" customHeight="1">
      <c r="A15717" s="129" t="s">
        <v>19718</v>
      </c>
      <c r="B15717" s="59" t="s">
        <v>19719</v>
      </c>
      <c r="C15717" s="178"/>
      <c r="D15717" s="178" t="s">
        <v>19720</v>
      </c>
      <c r="E15717" s="979"/>
      <c r="F15717" s="496"/>
      <c r="H15717" s="185"/>
      <c r="I15717" s="11"/>
    </row>
    <row r="15718" spans="1:9" ht="9" customHeight="1">
      <c r="A15718" s="129" t="s">
        <v>19721</v>
      </c>
      <c r="B15718" s="59" t="s">
        <v>19722</v>
      </c>
      <c r="C15718" s="178"/>
      <c r="D15718" s="178" t="s">
        <v>19723</v>
      </c>
      <c r="E15718" s="980"/>
      <c r="F15718" s="496"/>
      <c r="H15718" s="185"/>
      <c r="I15718" s="11"/>
    </row>
    <row r="15719" spans="1:9" ht="9" customHeight="1">
      <c r="A15719" s="129" t="s">
        <v>19724</v>
      </c>
      <c r="B15719" s="59"/>
      <c r="C15719" s="178"/>
      <c r="D15719" s="178" t="s">
        <v>19723</v>
      </c>
      <c r="E15719" s="980"/>
      <c r="F15719" s="496"/>
      <c r="H15719" s="981" t="s">
        <v>19725</v>
      </c>
      <c r="I15719" s="11"/>
    </row>
    <row r="15720" spans="1:9" ht="9" customHeight="1">
      <c r="A15720" s="129" t="s">
        <v>19726</v>
      </c>
      <c r="B15720" s="59" t="s">
        <v>19727</v>
      </c>
      <c r="C15720" s="178"/>
      <c r="D15720" s="178" t="s">
        <v>19728</v>
      </c>
      <c r="E15720" s="985"/>
      <c r="F15720" s="496"/>
      <c r="H15720" s="185"/>
      <c r="I15720" s="11"/>
    </row>
    <row r="15721" spans="1:9" ht="9" customHeight="1">
      <c r="A15721" s="129" t="s">
        <v>19729</v>
      </c>
      <c r="B15721" s="377"/>
      <c r="C15721" s="178"/>
      <c r="D15721" s="178" t="s">
        <v>19728</v>
      </c>
      <c r="E15721" s="178"/>
      <c r="F15721" s="178"/>
      <c r="H15721" s="60"/>
      <c r="I15721" s="11"/>
    </row>
    <row r="15722" spans="1:9" ht="9" customHeight="1">
      <c r="A15722" s="129" t="s">
        <v>19730</v>
      </c>
      <c r="B15722" s="377"/>
      <c r="C15722" s="178"/>
      <c r="D15722" s="178" t="s">
        <v>19731</v>
      </c>
      <c r="E15722" s="178"/>
      <c r="F15722" s="178"/>
      <c r="H15722" s="60"/>
      <c r="I15722" s="11"/>
    </row>
    <row r="15723" spans="1:9" ht="11.15" customHeight="1">
      <c r="A15723" s="974"/>
      <c r="B15723" s="841" t="s">
        <v>19732</v>
      </c>
      <c r="C15723" s="975"/>
      <c r="D15723" s="975"/>
      <c r="E15723" s="976"/>
      <c r="F15723" s="1102"/>
      <c r="G15723" s="978"/>
      <c r="H15723" s="977"/>
      <c r="I15723" s="11"/>
    </row>
    <row r="15724" spans="1:9" ht="9" customHeight="1">
      <c r="A15724" s="129" t="s">
        <v>19733</v>
      </c>
      <c r="B15724" s="377"/>
      <c r="C15724" s="178"/>
      <c r="D15724" s="178" t="s">
        <v>19734</v>
      </c>
      <c r="E15724" s="178"/>
      <c r="F15724" s="178"/>
      <c r="H15724" s="599" t="s">
        <v>19735</v>
      </c>
      <c r="I15724" s="11"/>
    </row>
    <row r="15725" spans="1:9" ht="9" customHeight="1">
      <c r="A15725" s="129" t="s">
        <v>19736</v>
      </c>
      <c r="B15725" s="122"/>
      <c r="C15725" s="178"/>
      <c r="D15725" s="178" t="s">
        <v>19734</v>
      </c>
      <c r="E15725" s="415"/>
      <c r="F15725" s="496"/>
      <c r="H15725" s="185"/>
      <c r="I15725" s="11"/>
    </row>
    <row r="15726" spans="1:9" ht="9" customHeight="1">
      <c r="A15726" s="129" t="s">
        <v>19737</v>
      </c>
      <c r="B15726" s="59" t="s">
        <v>19738</v>
      </c>
      <c r="C15726" s="178"/>
      <c r="D15726" s="178" t="s">
        <v>19739</v>
      </c>
      <c r="E15726" s="415"/>
      <c r="F15726" s="496"/>
      <c r="G15726" s="185"/>
      <c r="H15726" s="158"/>
      <c r="I15726" s="11"/>
    </row>
    <row r="15727" spans="1:9" ht="9" customHeight="1">
      <c r="A15727" s="129" t="s">
        <v>19740</v>
      </c>
      <c r="B15727" s="59" t="s">
        <v>19741</v>
      </c>
      <c r="C15727" s="178"/>
      <c r="D15727" s="178" t="s">
        <v>19734</v>
      </c>
      <c r="E15727" s="985"/>
      <c r="F15727" s="496"/>
      <c r="G15727" s="185"/>
      <c r="H15727" s="158"/>
      <c r="I15727" s="11"/>
    </row>
    <row r="15728" spans="1:9" ht="9" customHeight="1">
      <c r="A15728" s="129" t="s">
        <v>19742</v>
      </c>
      <c r="B15728" s="377"/>
      <c r="C15728" s="178"/>
      <c r="D15728" s="178" t="s">
        <v>19743</v>
      </c>
      <c r="E15728" s="178"/>
      <c r="F15728" s="178"/>
      <c r="G15728" s="60"/>
      <c r="H15728" s="178"/>
      <c r="I15728" s="11"/>
    </row>
    <row r="15729" spans="1:9" ht="9" customHeight="1">
      <c r="A15729" s="129" t="s">
        <v>19744</v>
      </c>
      <c r="B15729" s="377"/>
      <c r="C15729" s="178"/>
      <c r="D15729" s="178" t="s">
        <v>19745</v>
      </c>
      <c r="E15729" s="178"/>
      <c r="F15729" s="178"/>
      <c r="G15729" s="60"/>
      <c r="H15729" s="178"/>
      <c r="I15729" s="11"/>
    </row>
    <row r="15730" spans="1:9" ht="9" customHeight="1">
      <c r="A15730" s="129" t="s">
        <v>19746</v>
      </c>
      <c r="B15730" s="59" t="s">
        <v>19747</v>
      </c>
      <c r="C15730" s="178"/>
      <c r="D15730" s="178" t="s">
        <v>19748</v>
      </c>
      <c r="E15730" s="185"/>
      <c r="F15730" s="496"/>
      <c r="G15730" s="185"/>
      <c r="H15730" s="158"/>
      <c r="I15730" s="11"/>
    </row>
    <row r="15731" spans="1:9" ht="9" customHeight="1">
      <c r="A15731" s="129" t="s">
        <v>19749</v>
      </c>
      <c r="B15731" s="59" t="s">
        <v>19750</v>
      </c>
      <c r="C15731" s="178"/>
      <c r="D15731" s="178" t="s">
        <v>19751</v>
      </c>
      <c r="E15731" s="415"/>
      <c r="F15731" s="496"/>
      <c r="G15731" s="185"/>
      <c r="H15731" s="158"/>
      <c r="I15731" s="11"/>
    </row>
    <row r="15732" spans="1:9" ht="9" customHeight="1">
      <c r="A15732" s="129" t="s">
        <v>19752</v>
      </c>
      <c r="B15732" s="59" t="s">
        <v>19753</v>
      </c>
      <c r="C15732" s="178"/>
      <c r="D15732" s="178" t="s">
        <v>19754</v>
      </c>
      <c r="E15732" s="185"/>
      <c r="F15732" s="496"/>
      <c r="G15732" s="185"/>
      <c r="H15732" s="158"/>
      <c r="I15732" s="11"/>
    </row>
    <row r="15733" spans="1:9" ht="9" customHeight="1">
      <c r="A15733" s="129" t="s">
        <v>19755</v>
      </c>
      <c r="B15733" s="90" t="s">
        <v>19756</v>
      </c>
      <c r="C15733" s="178"/>
      <c r="D15733" s="178" t="s">
        <v>19754</v>
      </c>
      <c r="E15733" s="415"/>
      <c r="F15733" s="496"/>
      <c r="G15733" s="185"/>
      <c r="H15733" s="158"/>
      <c r="I15733" s="11"/>
    </row>
    <row r="15734" spans="1:9" ht="9" customHeight="1">
      <c r="A15734" s="129" t="s">
        <v>19757</v>
      </c>
      <c r="B15734" s="377"/>
      <c r="C15734" s="178"/>
      <c r="D15734" s="178" t="s">
        <v>19758</v>
      </c>
      <c r="E15734" s="994"/>
      <c r="F15734" s="994"/>
      <c r="H15734" s="995"/>
      <c r="I15734" s="11"/>
    </row>
    <row r="15735" spans="1:9" ht="9" customHeight="1">
      <c r="A15735" s="987" t="s">
        <v>19759</v>
      </c>
      <c r="B15735" s="129"/>
      <c r="C15735" s="178"/>
      <c r="D15735" s="178" t="s">
        <v>19608</v>
      </c>
      <c r="E15735" s="996"/>
      <c r="F15735" s="994"/>
      <c r="H15735" s="984" t="s">
        <v>19760</v>
      </c>
      <c r="I15735" s="11"/>
    </row>
    <row r="15736" spans="1:9" ht="9" customHeight="1">
      <c r="A15736" s="987" t="s">
        <v>19761</v>
      </c>
      <c r="B15736" s="129"/>
      <c r="C15736" s="178"/>
      <c r="D15736" s="178" t="s">
        <v>19762</v>
      </c>
      <c r="E15736" s="90"/>
      <c r="F15736" s="59"/>
      <c r="H15736" s="599" t="s">
        <v>19763</v>
      </c>
      <c r="I15736" s="11"/>
    </row>
    <row r="15737" spans="1:9" ht="11.15" customHeight="1">
      <c r="A15737" s="974"/>
      <c r="B15737" s="841" t="s">
        <v>19764</v>
      </c>
      <c r="C15737" s="975"/>
      <c r="D15737" s="975"/>
      <c r="E15737" s="976"/>
      <c r="F15737" s="1102"/>
      <c r="G15737" s="978"/>
      <c r="H15737" s="977"/>
      <c r="I15737" s="11"/>
    </row>
    <row r="15738" spans="1:9" ht="9" customHeight="1">
      <c r="A15738" s="129" t="s">
        <v>19765</v>
      </c>
      <c r="B15738" s="59" t="s">
        <v>19766</v>
      </c>
      <c r="C15738" s="178"/>
      <c r="D15738" s="178" t="s">
        <v>19767</v>
      </c>
      <c r="E15738" s="185"/>
      <c r="F15738" s="496"/>
      <c r="G15738" s="185"/>
      <c r="H15738" s="158"/>
      <c r="I15738" s="11"/>
    </row>
    <row r="15739" spans="1:9" ht="9" customHeight="1">
      <c r="A15739" s="129" t="s">
        <v>19768</v>
      </c>
      <c r="B15739" s="377"/>
      <c r="C15739" s="178"/>
      <c r="D15739" s="178" t="s">
        <v>19769</v>
      </c>
      <c r="E15739" s="178"/>
      <c r="F15739" s="178"/>
      <c r="H15739" s="60"/>
      <c r="I15739" s="11"/>
    </row>
    <row r="15740" spans="1:9" ht="9" customHeight="1">
      <c r="A15740" s="129" t="s">
        <v>19770</v>
      </c>
      <c r="B15740" s="377"/>
      <c r="C15740" s="178"/>
      <c r="D15740" s="178" t="s">
        <v>19771</v>
      </c>
      <c r="E15740" s="178"/>
      <c r="F15740" s="178"/>
      <c r="H15740" s="599" t="s">
        <v>19515</v>
      </c>
      <c r="I15740" s="11"/>
    </row>
    <row r="15741" spans="1:9" ht="9" customHeight="1">
      <c r="A15741" s="129" t="s">
        <v>19772</v>
      </c>
      <c r="B15741" s="59" t="s">
        <v>19773</v>
      </c>
      <c r="C15741" s="178"/>
      <c r="D15741" s="178" t="s">
        <v>19774</v>
      </c>
      <c r="E15741" s="185"/>
      <c r="F15741" s="496"/>
      <c r="H15741" s="185"/>
      <c r="I15741" s="11"/>
    </row>
    <row r="15742" spans="1:9" ht="9" customHeight="1">
      <c r="A15742" s="129" t="s">
        <v>19775</v>
      </c>
      <c r="B15742" s="59"/>
      <c r="C15742" s="178"/>
      <c r="D15742" s="178" t="s">
        <v>19776</v>
      </c>
      <c r="E15742" s="185"/>
      <c r="F15742" s="496"/>
      <c r="H15742" s="599" t="s">
        <v>19777</v>
      </c>
      <c r="I15742" s="11"/>
    </row>
    <row r="15743" spans="1:9" ht="9" customHeight="1">
      <c r="A15743" s="129" t="s">
        <v>19778</v>
      </c>
      <c r="B15743" s="59" t="s">
        <v>19779</v>
      </c>
      <c r="C15743" s="178"/>
      <c r="D15743" s="178" t="s">
        <v>19780</v>
      </c>
      <c r="E15743" s="185"/>
      <c r="F15743" s="496"/>
      <c r="H15743" s="185"/>
      <c r="I15743" s="11"/>
    </row>
    <row r="15744" spans="1:9" ht="9" customHeight="1">
      <c r="A15744" s="129" t="s">
        <v>19459</v>
      </c>
      <c r="B15744" s="59" t="s">
        <v>19460</v>
      </c>
      <c r="C15744" s="178"/>
      <c r="D15744" s="178" t="s">
        <v>19781</v>
      </c>
      <c r="E15744" s="185"/>
      <c r="F15744" s="496"/>
      <c r="G15744" s="185"/>
      <c r="H15744" s="158"/>
      <c r="I15744" s="11"/>
    </row>
    <row r="15745" spans="1:9" ht="9" customHeight="1">
      <c r="A15745" s="129" t="s">
        <v>19782</v>
      </c>
      <c r="B15745" s="59"/>
      <c r="C15745" s="178"/>
      <c r="D15745" s="178" t="s">
        <v>19781</v>
      </c>
      <c r="E15745" s="185"/>
      <c r="F15745" s="496"/>
      <c r="G15745" s="185"/>
      <c r="H15745" s="158"/>
      <c r="I15745" s="11"/>
    </row>
    <row r="15746" spans="1:9" ht="9" customHeight="1">
      <c r="A15746" s="129" t="s">
        <v>19783</v>
      </c>
      <c r="B15746" s="59" t="s">
        <v>19784</v>
      </c>
      <c r="C15746" s="178"/>
      <c r="D15746" s="178" t="s">
        <v>19785</v>
      </c>
      <c r="E15746" s="985"/>
      <c r="F15746" s="496"/>
      <c r="G15746" s="185"/>
      <c r="H15746" s="158"/>
      <c r="I15746" s="11"/>
    </row>
    <row r="15747" spans="1:9" ht="9" customHeight="1">
      <c r="A15747" s="129" t="s">
        <v>19786</v>
      </c>
      <c r="B15747" s="59" t="s">
        <v>19787</v>
      </c>
      <c r="C15747" s="178"/>
      <c r="D15747" s="178" t="s">
        <v>19788</v>
      </c>
      <c r="E15747" s="985"/>
      <c r="F15747" s="496"/>
      <c r="G15747" s="185"/>
      <c r="H15747" s="158"/>
      <c r="I15747" s="11"/>
    </row>
    <row r="15748" spans="1:9" ht="9" customHeight="1">
      <c r="A15748" s="129" t="s">
        <v>19789</v>
      </c>
      <c r="B15748" s="59"/>
      <c r="C15748" s="178"/>
      <c r="D15748" s="178" t="s">
        <v>19790</v>
      </c>
      <c r="E15748" s="985"/>
      <c r="F15748" s="496"/>
      <c r="G15748" s="185"/>
      <c r="H15748" s="158"/>
      <c r="I15748" s="11"/>
    </row>
    <row r="15749" spans="1:9" ht="9" customHeight="1" thickBot="1">
      <c r="A15749" s="997" t="s">
        <v>19321</v>
      </c>
      <c r="B15749" s="998"/>
      <c r="C15749" s="966"/>
      <c r="D15749" s="966"/>
      <c r="E15749" s="964"/>
      <c r="F15749" s="1104"/>
      <c r="G15749" s="936"/>
      <c r="H15749" s="930"/>
      <c r="I15749" s="11"/>
    </row>
    <row r="15750" spans="1:9" ht="24" customHeight="1" thickBot="1">
      <c r="A15750" s="542"/>
      <c r="B15750" s="64" t="s">
        <v>19791</v>
      </c>
      <c r="C15750" s="999"/>
      <c r="D15750" s="1000"/>
      <c r="E15750" s="510"/>
      <c r="F15750" s="1080"/>
      <c r="G15750" s="1080"/>
      <c r="H15750" s="661"/>
      <c r="I15750" s="11"/>
    </row>
    <row r="15751" spans="1:9" ht="178" customHeight="1">
      <c r="A15751" s="208"/>
      <c r="B15751" s="1001"/>
      <c r="C15751" s="949"/>
      <c r="D15751" s="949"/>
      <c r="E15751" s="1001"/>
      <c r="F15751" s="1105"/>
      <c r="G15751" s="1003"/>
      <c r="H15751" s="1002"/>
      <c r="I15751" s="11"/>
    </row>
    <row r="15752" spans="1:9" ht="11.15" customHeight="1">
      <c r="A15752" s="1004" t="s">
        <v>19792</v>
      </c>
      <c r="B15752" s="1005" t="s">
        <v>19793</v>
      </c>
      <c r="C15752" s="352"/>
      <c r="D15752" s="352"/>
      <c r="E15752" s="1006"/>
      <c r="F15752" s="1106"/>
      <c r="G15752" s="67"/>
      <c r="H15752" s="1007"/>
      <c r="I15752" s="11"/>
    </row>
    <row r="15753" spans="1:9" ht="11.15" customHeight="1">
      <c r="A15753" s="87" t="s">
        <v>19794</v>
      </c>
      <c r="B15753" s="1008" t="s">
        <v>19795</v>
      </c>
      <c r="C15753" s="958"/>
      <c r="D15753" s="958"/>
      <c r="E15753" s="285"/>
      <c r="F15753" s="106"/>
      <c r="G15753" s="96"/>
      <c r="H15753" s="939"/>
      <c r="I15753" s="11"/>
    </row>
    <row r="15754" spans="1:9" ht="11.15" customHeight="1">
      <c r="A15754" s="87" t="s">
        <v>19796</v>
      </c>
      <c r="B15754" s="1008" t="s">
        <v>19797</v>
      </c>
      <c r="C15754" s="958"/>
      <c r="D15754" s="958"/>
      <c r="E15754" s="285"/>
      <c r="F15754" s="106"/>
      <c r="G15754" s="96"/>
      <c r="H15754" s="939"/>
      <c r="I15754" s="11"/>
    </row>
    <row r="15755" spans="1:9" ht="11.15" customHeight="1">
      <c r="A15755" s="87" t="s">
        <v>19798</v>
      </c>
      <c r="B15755" s="1008" t="s">
        <v>19799</v>
      </c>
      <c r="C15755" s="958"/>
      <c r="D15755" s="958"/>
      <c r="E15755" s="285"/>
      <c r="F15755" s="106"/>
      <c r="G15755" s="96"/>
      <c r="H15755" s="939"/>
      <c r="I15755" s="11"/>
    </row>
    <row r="15756" spans="1:9" ht="11.15" customHeight="1">
      <c r="A15756" s="87" t="s">
        <v>19800</v>
      </c>
      <c r="B15756" s="1008" t="s">
        <v>19801</v>
      </c>
      <c r="C15756" s="958"/>
      <c r="D15756" s="958"/>
      <c r="E15756" s="285"/>
      <c r="F15756" s="106"/>
      <c r="G15756" s="96"/>
      <c r="H15756" s="939"/>
      <c r="I15756" s="11"/>
    </row>
    <row r="15757" spans="1:9" ht="11.15" customHeight="1">
      <c r="A15757" s="87" t="s">
        <v>19802</v>
      </c>
      <c r="B15757" s="1008" t="s">
        <v>19803</v>
      </c>
      <c r="C15757" s="958"/>
      <c r="D15757" s="958"/>
      <c r="E15757" s="285"/>
      <c r="F15757" s="106"/>
      <c r="G15757" s="96"/>
      <c r="H15757" s="939"/>
      <c r="I15757" s="11"/>
    </row>
    <row r="15758" spans="1:9" ht="11.15" customHeight="1">
      <c r="A15758" s="87" t="s">
        <v>19804</v>
      </c>
      <c r="B15758" s="1008" t="s">
        <v>19805</v>
      </c>
      <c r="C15758" s="958"/>
      <c r="D15758" s="958"/>
      <c r="E15758" s="285"/>
      <c r="F15758" s="106"/>
      <c r="G15758" s="96"/>
      <c r="H15758" s="939"/>
      <c r="I15758" s="11"/>
    </row>
    <row r="15759" spans="1:9" ht="11.15" customHeight="1">
      <c r="A15759" s="87" t="s">
        <v>19806</v>
      </c>
      <c r="B15759" s="1008" t="s">
        <v>19807</v>
      </c>
      <c r="C15759" s="958"/>
      <c r="D15759" s="958"/>
      <c r="E15759" s="285"/>
      <c r="F15759" s="106"/>
      <c r="G15759" s="96"/>
      <c r="H15759" s="939"/>
      <c r="I15759" s="11"/>
    </row>
    <row r="15760" spans="1:9" ht="11.15" customHeight="1">
      <c r="A15760" s="87" t="s">
        <v>19808</v>
      </c>
      <c r="B15760" s="1008" t="s">
        <v>19809</v>
      </c>
      <c r="C15760" s="958"/>
      <c r="D15760" s="958"/>
      <c r="E15760" s="285"/>
      <c r="F15760" s="106"/>
      <c r="G15760" s="96"/>
      <c r="H15760" s="939"/>
      <c r="I15760" s="11"/>
    </row>
    <row r="15761" spans="1:9" ht="11.15" customHeight="1">
      <c r="A15761" s="87" t="s">
        <v>19810</v>
      </c>
      <c r="B15761" s="1008" t="s">
        <v>19811</v>
      </c>
      <c r="C15761" s="958"/>
      <c r="D15761" s="958"/>
      <c r="E15761" s="285"/>
      <c r="F15761" s="106"/>
      <c r="G15761" s="96"/>
      <c r="H15761" s="939"/>
      <c r="I15761" s="11"/>
    </row>
    <row r="15762" spans="1:9" ht="11.15" customHeight="1">
      <c r="A15762" s="87" t="s">
        <v>19812</v>
      </c>
      <c r="B15762" s="1008" t="s">
        <v>19813</v>
      </c>
      <c r="C15762" s="958"/>
      <c r="D15762" s="958"/>
      <c r="E15762" s="285"/>
      <c r="F15762" s="106"/>
      <c r="G15762" s="96"/>
      <c r="H15762" s="939"/>
      <c r="I15762" s="11"/>
    </row>
    <row r="15763" spans="1:9" ht="11.15" customHeight="1">
      <c r="A15763" s="87" t="s">
        <v>19814</v>
      </c>
      <c r="B15763" s="1008" t="s">
        <v>19815</v>
      </c>
      <c r="C15763" s="958"/>
      <c r="D15763" s="958"/>
      <c r="E15763" s="285"/>
      <c r="F15763" s="106"/>
      <c r="G15763" s="96"/>
      <c r="H15763" s="939"/>
      <c r="I15763" s="11"/>
    </row>
    <row r="15764" spans="1:9" ht="11.15" customHeight="1">
      <c r="A15764" s="87" t="s">
        <v>19816</v>
      </c>
      <c r="B15764" s="1008" t="s">
        <v>19817</v>
      </c>
      <c r="C15764" s="958"/>
      <c r="D15764" s="958"/>
      <c r="E15764" s="285"/>
      <c r="F15764" s="106"/>
      <c r="G15764" s="96"/>
      <c r="H15764" s="939"/>
      <c r="I15764" s="11"/>
    </row>
    <row r="15765" spans="1:9" ht="11.15" customHeight="1" thickBot="1">
      <c r="A15765" s="997"/>
      <c r="B15765" s="998"/>
      <c r="C15765" s="966"/>
      <c r="D15765" s="966"/>
      <c r="E15765" s="964"/>
      <c r="F15765" s="1104"/>
      <c r="G15765" s="936"/>
      <c r="H15765" s="930"/>
      <c r="I15765" s="11"/>
    </row>
    <row r="15766" spans="1:9" ht="24" customHeight="1" thickBot="1">
      <c r="A15766" s="542"/>
      <c r="B15766" s="64" t="s">
        <v>19818</v>
      </c>
      <c r="C15766" s="999"/>
      <c r="D15766" s="1000"/>
      <c r="E15766" s="510"/>
      <c r="F15766" s="1080"/>
      <c r="G15766" s="1080"/>
      <c r="H15766" s="661"/>
      <c r="I15766" s="11"/>
    </row>
    <row r="15767" spans="1:9" ht="11.15" customHeight="1">
      <c r="A15767" s="208" t="s">
        <v>19819</v>
      </c>
      <c r="B15767" s="90"/>
      <c r="C15767" s="228"/>
      <c r="D15767" s="60"/>
      <c r="E15767" s="36"/>
      <c r="F15767" s="178"/>
      <c r="G15767" s="60"/>
      <c r="H15767" s="36"/>
      <c r="I15767" s="11"/>
    </row>
    <row r="15768" spans="1:9" ht="11.15" customHeight="1">
      <c r="A15768" s="208" t="s">
        <v>19820</v>
      </c>
      <c r="B15768" s="90"/>
      <c r="C15768" s="228"/>
      <c r="D15768" s="60"/>
      <c r="E15768" s="36"/>
      <c r="F15768" s="178"/>
      <c r="G15768" s="60"/>
      <c r="H15768" s="36"/>
      <c r="I15768" s="11"/>
    </row>
    <row r="15769" spans="1:9" ht="11.15" customHeight="1">
      <c r="A15769" s="208" t="s">
        <v>19821</v>
      </c>
      <c r="B15769" s="90"/>
      <c r="C15769" s="228"/>
      <c r="D15769" s="60"/>
      <c r="E15769" s="36"/>
      <c r="F15769" s="178"/>
      <c r="G15769" s="60"/>
      <c r="H15769" s="36"/>
      <c r="I15769" s="11"/>
    </row>
    <row r="15770" spans="1:9" ht="11.15" customHeight="1">
      <c r="A15770" s="208" t="s">
        <v>19822</v>
      </c>
      <c r="B15770" s="90"/>
      <c r="C15770" s="228"/>
      <c r="D15770" s="60"/>
      <c r="E15770" s="36"/>
      <c r="F15770" s="178"/>
      <c r="G15770" s="60"/>
      <c r="H15770" s="36"/>
      <c r="I15770" s="11"/>
    </row>
    <row r="15771" spans="1:9" ht="11.15" customHeight="1">
      <c r="A15771" s="208" t="s">
        <v>19823</v>
      </c>
      <c r="B15771" s="90"/>
      <c r="C15771" s="228"/>
      <c r="D15771" s="60"/>
      <c r="E15771" s="36"/>
      <c r="F15771" s="178"/>
      <c r="G15771" s="60"/>
      <c r="H15771" s="36"/>
      <c r="I15771" s="11"/>
    </row>
    <row r="15772" spans="1:9" ht="15.75" customHeight="1">
      <c r="A15772" s="964" t="s">
        <v>19824</v>
      </c>
      <c r="B15772" s="966" t="s">
        <v>19825</v>
      </c>
      <c r="C15772" s="964"/>
      <c r="D15772" s="964"/>
      <c r="E15772" s="1009"/>
      <c r="G15772" s="1009"/>
      <c r="H15772" s="1010" t="s">
        <v>19826</v>
      </c>
      <c r="I15772" s="11"/>
    </row>
    <row r="15773" spans="1:9" ht="11.15" customHeight="1">
      <c r="A15773" s="129" t="s">
        <v>19827</v>
      </c>
      <c r="B15773" s="90" t="s">
        <v>19828</v>
      </c>
      <c r="C15773" s="228"/>
      <c r="D15773" s="60"/>
      <c r="E15773" s="185"/>
      <c r="G15773" s="178"/>
      <c r="H15773" s="599" t="s">
        <v>19829</v>
      </c>
      <c r="I15773" s="11"/>
    </row>
    <row r="15774" spans="1:9" ht="11.15" customHeight="1">
      <c r="A15774" s="129" t="s">
        <v>19830</v>
      </c>
      <c r="B15774" s="90" t="s">
        <v>19831</v>
      </c>
      <c r="C15774" s="228"/>
      <c r="D15774" s="60"/>
      <c r="E15774" s="36"/>
      <c r="G15774" s="178"/>
      <c r="H15774" s="599" t="s">
        <v>19832</v>
      </c>
      <c r="I15774" s="11"/>
    </row>
    <row r="15775" spans="1:9" ht="11.15" customHeight="1">
      <c r="A15775" s="129" t="s">
        <v>19833</v>
      </c>
      <c r="B15775" s="90" t="s">
        <v>19834</v>
      </c>
      <c r="C15775" s="228"/>
      <c r="D15775" s="60"/>
      <c r="E15775" s="185"/>
      <c r="G15775" s="185"/>
      <c r="H15775" s="599" t="s">
        <v>19832</v>
      </c>
      <c r="I15775" s="11"/>
    </row>
    <row r="15776" spans="1:9" ht="11.15" customHeight="1">
      <c r="A15776" s="129" t="s">
        <v>19835</v>
      </c>
      <c r="B15776" s="90" t="s">
        <v>19836</v>
      </c>
      <c r="C15776" s="228"/>
      <c r="D15776" s="60"/>
      <c r="E15776" s="36"/>
      <c r="G15776" s="178"/>
      <c r="H15776" s="599" t="s">
        <v>19837</v>
      </c>
      <c r="I15776" s="11"/>
    </row>
    <row r="15777" spans="1:9" ht="11.15" customHeight="1">
      <c r="A15777" s="129" t="s">
        <v>19838</v>
      </c>
      <c r="B15777" s="90" t="s">
        <v>19836</v>
      </c>
      <c r="C15777" s="228"/>
      <c r="D15777" s="60"/>
      <c r="E15777" s="185"/>
      <c r="G15777" s="178"/>
      <c r="H15777" s="599" t="s">
        <v>19832</v>
      </c>
      <c r="I15777" s="11"/>
    </row>
    <row r="15778" spans="1:9" ht="11.15" customHeight="1">
      <c r="A15778" s="129" t="s">
        <v>19839</v>
      </c>
      <c r="B15778" s="90" t="s">
        <v>19836</v>
      </c>
      <c r="C15778" s="228"/>
      <c r="D15778" s="60"/>
      <c r="E15778" s="185"/>
      <c r="G15778" s="178"/>
      <c r="H15778" s="599" t="s">
        <v>19840</v>
      </c>
      <c r="I15778" s="11"/>
    </row>
    <row r="15779" spans="1:9" ht="11.15" customHeight="1">
      <c r="A15779" s="129" t="s">
        <v>19841</v>
      </c>
      <c r="B15779" s="90" t="s">
        <v>19842</v>
      </c>
      <c r="C15779" s="228"/>
      <c r="D15779" s="60"/>
      <c r="E15779" s="185"/>
      <c r="G15779" s="185"/>
      <c r="H15779" s="599" t="s">
        <v>19843</v>
      </c>
      <c r="I15779" s="11"/>
    </row>
    <row r="15780" spans="1:9" ht="11.15" customHeight="1">
      <c r="A15780" s="129" t="s">
        <v>19844</v>
      </c>
      <c r="B15780" s="90" t="s">
        <v>19845</v>
      </c>
      <c r="C15780" s="228"/>
      <c r="D15780" s="60"/>
      <c r="E15780" s="185"/>
      <c r="G15780" s="178"/>
      <c r="H15780" s="599" t="s">
        <v>19832</v>
      </c>
      <c r="I15780" s="11"/>
    </row>
    <row r="15781" spans="1:9" ht="11.15" customHeight="1">
      <c r="A15781" s="129" t="s">
        <v>19846</v>
      </c>
      <c r="B15781" s="90" t="s">
        <v>19847</v>
      </c>
      <c r="C15781" s="228"/>
      <c r="D15781" s="60"/>
      <c r="E15781" s="185"/>
      <c r="G15781" s="178"/>
      <c r="H15781" s="599" t="s">
        <v>19832</v>
      </c>
      <c r="I15781" s="11"/>
    </row>
    <row r="15782" spans="1:9" ht="11.15" customHeight="1">
      <c r="A15782" s="129" t="s">
        <v>19848</v>
      </c>
      <c r="B15782" s="90" t="s">
        <v>19849</v>
      </c>
      <c r="C15782" s="228"/>
      <c r="D15782" s="60"/>
      <c r="E15782" s="185"/>
      <c r="G15782" s="178"/>
      <c r="H15782" s="599" t="s">
        <v>19850</v>
      </c>
      <c r="I15782" s="11"/>
    </row>
    <row r="15783" spans="1:9" ht="11.15" customHeight="1">
      <c r="A15783" s="129" t="s">
        <v>19851</v>
      </c>
      <c r="B15783" s="90" t="s">
        <v>19849</v>
      </c>
      <c r="C15783" s="228"/>
      <c r="D15783" s="60"/>
      <c r="E15783" s="185"/>
      <c r="G15783" s="178"/>
      <c r="H15783" s="599" t="s">
        <v>19843</v>
      </c>
      <c r="I15783" s="11"/>
    </row>
    <row r="15784" spans="1:9" ht="11.15" customHeight="1" thickBot="1">
      <c r="A15784" s="811" t="s">
        <v>19184</v>
      </c>
      <c r="B15784" s="90"/>
      <c r="C15784" s="228"/>
      <c r="D15784" s="60"/>
      <c r="E15784" s="185"/>
      <c r="F15784" s="178"/>
      <c r="G15784" s="60"/>
      <c r="H15784" s="36"/>
      <c r="I15784" s="11"/>
    </row>
    <row r="15785" spans="1:9" ht="24" customHeight="1" thickBot="1">
      <c r="A15785" s="542" t="s">
        <v>1220</v>
      </c>
      <c r="B15785" s="50" t="s">
        <v>19852</v>
      </c>
      <c r="C15785" s="999"/>
      <c r="D15785" s="1000"/>
      <c r="E15785" s="510"/>
      <c r="F15785" s="1080"/>
      <c r="G15785" s="1080"/>
      <c r="H15785" s="661"/>
      <c r="I15785" s="11"/>
    </row>
    <row r="15786" spans="1:9" ht="11.25" customHeight="1">
      <c r="A15786" s="271" t="s">
        <v>19853</v>
      </c>
      <c r="B15786" s="90" t="s">
        <v>19854</v>
      </c>
      <c r="C15786" s="228"/>
      <c r="D15786" s="60"/>
      <c r="E15786" s="36"/>
      <c r="F15786" s="178"/>
      <c r="G15786" s="60"/>
      <c r="H15786" s="36"/>
      <c r="I15786" s="11"/>
    </row>
    <row r="15787" spans="1:9" ht="11.15" customHeight="1">
      <c r="A15787" s="129"/>
      <c r="B15787" s="90"/>
      <c r="C15787" s="228"/>
      <c r="D15787" s="60"/>
      <c r="E15787" s="36"/>
      <c r="F15787" s="178"/>
      <c r="G15787" s="60"/>
      <c r="H15787" s="36"/>
      <c r="I15787" s="11"/>
    </row>
    <row r="15788" spans="1:9" ht="11.25" customHeight="1">
      <c r="A15788" s="271" t="s">
        <v>19855</v>
      </c>
      <c r="B15788" s="90" t="s">
        <v>19856</v>
      </c>
      <c r="C15788" s="228"/>
      <c r="D15788" s="60"/>
      <c r="E15788" s="36"/>
      <c r="F15788" s="178"/>
      <c r="G15788" s="60"/>
      <c r="H15788" s="36"/>
      <c r="I15788" s="11"/>
    </row>
    <row r="15789" spans="1:9" ht="11.15" customHeight="1">
      <c r="A15789" s="212" t="s">
        <v>19857</v>
      </c>
      <c r="B15789" s="90" t="s">
        <v>19858</v>
      </c>
      <c r="C15789" s="228"/>
      <c r="D15789" s="60"/>
      <c r="E15789" s="36"/>
      <c r="F15789" s="178"/>
      <c r="G15789" s="60"/>
      <c r="H15789" s="36"/>
      <c r="I15789" s="11"/>
    </row>
    <row r="15790" spans="1:9" ht="11.15" customHeight="1">
      <c r="A15790" s="129"/>
      <c r="B15790" s="90"/>
      <c r="C15790" s="228"/>
      <c r="D15790" s="60"/>
      <c r="E15790" s="36"/>
      <c r="F15790" s="178"/>
      <c r="G15790" s="60"/>
      <c r="H15790" s="36"/>
      <c r="I15790" s="11"/>
    </row>
    <row r="15791" spans="1:9" ht="11.15" customHeight="1">
      <c r="A15791" s="1011" t="s">
        <v>19859</v>
      </c>
      <c r="B15791" s="59" t="s">
        <v>19860</v>
      </c>
      <c r="C15791" s="228"/>
      <c r="D15791" s="60"/>
      <c r="E15791" s="36"/>
      <c r="F15791" s="178"/>
      <c r="G15791" s="60"/>
      <c r="H15791" s="36"/>
      <c r="I15791" s="11"/>
    </row>
    <row r="15792" spans="1:9" ht="11.15" customHeight="1">
      <c r="A15792" s="212" t="s">
        <v>19861</v>
      </c>
      <c r="B15792" s="58" t="s">
        <v>19862</v>
      </c>
      <c r="C15792" s="228"/>
      <c r="D15792" s="60"/>
      <c r="E15792" s="36"/>
      <c r="F15792" s="178"/>
      <c r="G15792" s="60"/>
      <c r="H15792" s="36"/>
      <c r="I15792" s="11"/>
    </row>
    <row r="15793" spans="1:9" ht="11.15" customHeight="1">
      <c r="A15793" s="166" t="s">
        <v>19863</v>
      </c>
      <c r="B15793" s="272"/>
      <c r="C15793" s="228"/>
      <c r="D15793" s="60"/>
      <c r="E15793" s="36"/>
      <c r="F15793" s="178"/>
      <c r="G15793" s="60"/>
      <c r="H15793" s="36"/>
      <c r="I15793" s="11"/>
    </row>
    <row r="15794" spans="1:9" ht="11.15" customHeight="1">
      <c r="A15794" s="129"/>
      <c r="B15794" s="90"/>
      <c r="C15794" s="228"/>
      <c r="D15794" s="60"/>
      <c r="E15794" s="36"/>
      <c r="F15794" s="178"/>
      <c r="G15794" s="60"/>
      <c r="H15794" s="36"/>
      <c r="I15794" s="11"/>
    </row>
    <row r="15795" spans="1:9" ht="11.15" customHeight="1">
      <c r="A15795" s="271" t="s">
        <v>19864</v>
      </c>
      <c r="B15795" s="90" t="s">
        <v>19865</v>
      </c>
      <c r="C15795" s="228"/>
      <c r="D15795" s="60"/>
      <c r="E15795" s="36"/>
      <c r="F15795" s="178"/>
      <c r="G15795" s="60"/>
      <c r="H15795" s="36"/>
      <c r="I15795" s="11"/>
    </row>
    <row r="15796" spans="1:9" ht="11.15" customHeight="1">
      <c r="A15796" s="271" t="s">
        <v>19866</v>
      </c>
      <c r="B15796" s="90" t="s">
        <v>19867</v>
      </c>
      <c r="C15796" s="228"/>
      <c r="D15796" s="60"/>
      <c r="E15796" s="36"/>
      <c r="F15796" s="178"/>
      <c r="G15796" s="60"/>
      <c r="H15796" s="36"/>
      <c r="I15796" s="11"/>
    </row>
    <row r="15797" spans="1:9" ht="11.15" customHeight="1">
      <c r="A15797" s="212" t="s">
        <v>19868</v>
      </c>
      <c r="B15797" s="29"/>
      <c r="C15797" s="228"/>
      <c r="D15797" s="60"/>
      <c r="E15797" s="36"/>
      <c r="F15797" s="178"/>
      <c r="G15797" s="60"/>
      <c r="H15797" s="36"/>
      <c r="I15797" s="11"/>
    </row>
    <row r="15798" spans="1:9" ht="11.15" customHeight="1">
      <c r="A15798" s="129"/>
      <c r="B15798" s="90"/>
      <c r="C15798" s="228"/>
      <c r="D15798" s="60"/>
      <c r="E15798" s="36"/>
      <c r="F15798" s="178"/>
      <c r="G15798" s="60"/>
      <c r="H15798" s="36"/>
      <c r="I15798" s="11"/>
    </row>
    <row r="15799" spans="1:9" ht="11.15" customHeight="1">
      <c r="A15799" s="1011" t="s">
        <v>19869</v>
      </c>
      <c r="B15799" s="90" t="s">
        <v>19870</v>
      </c>
      <c r="C15799" s="228"/>
      <c r="D15799" s="60"/>
      <c r="E15799" s="36"/>
      <c r="F15799" s="178"/>
      <c r="G15799" s="60"/>
      <c r="H15799" s="36"/>
      <c r="I15799" s="11"/>
    </row>
    <row r="15800" spans="1:9" ht="11.15" customHeight="1">
      <c r="A15800" s="212" t="s">
        <v>19871</v>
      </c>
      <c r="B15800" s="90"/>
      <c r="C15800" s="228"/>
      <c r="D15800" s="60"/>
      <c r="E15800" s="36"/>
      <c r="F15800" s="178"/>
      <c r="G15800" s="60"/>
      <c r="H15800" s="36"/>
      <c r="I15800" s="11"/>
    </row>
    <row r="15801" spans="1:9" ht="11.15" customHeight="1">
      <c r="A15801" s="129"/>
      <c r="B15801" s="90"/>
      <c r="C15801" s="228"/>
      <c r="D15801" s="60"/>
      <c r="E15801" s="36"/>
      <c r="F15801" s="178"/>
      <c r="G15801" s="60"/>
      <c r="H15801" s="36"/>
      <c r="I15801" s="11"/>
    </row>
    <row r="15802" spans="1:9" ht="11.15" customHeight="1">
      <c r="A15802" s="1011" t="s">
        <v>19872</v>
      </c>
      <c r="B15802" s="90" t="s">
        <v>19873</v>
      </c>
      <c r="C15802" s="228"/>
      <c r="D15802" s="60"/>
      <c r="E15802" s="36"/>
      <c r="F15802" s="178"/>
      <c r="G15802" s="60"/>
      <c r="H15802" s="36"/>
      <c r="I15802" s="11"/>
    </row>
    <row r="15803" spans="1:9" ht="11.15" customHeight="1">
      <c r="A15803" s="212" t="s">
        <v>19874</v>
      </c>
      <c r="B15803" s="90" t="s">
        <v>19875</v>
      </c>
      <c r="C15803" s="228"/>
      <c r="D15803" s="60"/>
      <c r="E15803" s="36"/>
      <c r="F15803" s="178"/>
      <c r="G15803" s="60"/>
      <c r="H15803" s="36"/>
      <c r="I15803" s="11"/>
    </row>
    <row r="15804" spans="1:9" ht="11.15" customHeight="1">
      <c r="A15804" s="29"/>
      <c r="B15804" s="90" t="s">
        <v>19876</v>
      </c>
      <c r="C15804" s="228"/>
      <c r="D15804" s="60"/>
      <c r="E15804" s="36"/>
      <c r="F15804" s="178"/>
      <c r="G15804" s="60"/>
      <c r="H15804" s="36"/>
      <c r="I15804" s="11"/>
    </row>
    <row r="15805" spans="1:9" ht="11.15" customHeight="1">
      <c r="A15805" s="29"/>
      <c r="B15805" s="90"/>
      <c r="C15805" s="228"/>
      <c r="D15805" s="60"/>
      <c r="E15805" s="36"/>
      <c r="F15805" s="178"/>
      <c r="G15805" s="60"/>
      <c r="H15805" s="36"/>
      <c r="I15805" s="11"/>
    </row>
    <row r="15806" spans="1:9" ht="11.15" customHeight="1">
      <c r="A15806" s="1011" t="s">
        <v>19877</v>
      </c>
      <c r="B15806" s="90" t="s">
        <v>19870</v>
      </c>
      <c r="C15806" s="228"/>
      <c r="D15806" s="60"/>
      <c r="E15806" s="36"/>
      <c r="F15806" s="178"/>
      <c r="G15806" s="60"/>
      <c r="H15806" s="36"/>
      <c r="I15806" s="11"/>
    </row>
    <row r="15807" spans="1:9" ht="11.15" customHeight="1">
      <c r="A15807" s="212" t="s">
        <v>19878</v>
      </c>
      <c r="B15807" s="90"/>
      <c r="C15807" s="228"/>
      <c r="D15807" s="60"/>
      <c r="E15807" s="36"/>
      <c r="F15807" s="178"/>
      <c r="G15807" s="60"/>
      <c r="H15807" s="36"/>
      <c r="I15807" s="11"/>
    </row>
    <row r="15808" spans="1:9" ht="11.15" customHeight="1" thickBot="1">
      <c r="A15808" s="129"/>
      <c r="B15808" s="90"/>
      <c r="C15808" s="228"/>
      <c r="D15808" s="60"/>
      <c r="E15808" s="36"/>
      <c r="F15808" s="178"/>
      <c r="G15808" s="60"/>
      <c r="H15808" s="36"/>
      <c r="I15808" s="11"/>
    </row>
    <row r="15809" spans="1:9" ht="24" customHeight="1" thickBot="1">
      <c r="A15809" s="243"/>
      <c r="B15809" s="64" t="s">
        <v>19879</v>
      </c>
      <c r="C15809" s="1012"/>
      <c r="D15809" s="1013"/>
      <c r="E15809" s="235"/>
      <c r="F15809" s="383"/>
      <c r="G15809" s="1080"/>
      <c r="H15809" s="661"/>
      <c r="I15809" s="11"/>
    </row>
    <row r="15810" spans="1:9" ht="12" customHeight="1">
      <c r="A15810" s="271" t="s">
        <v>19880</v>
      </c>
      <c r="B15810" s="90"/>
      <c r="C15810" s="228"/>
      <c r="D15810" s="60"/>
      <c r="E15810" s="811"/>
      <c r="F15810" s="137"/>
      <c r="G15810" s="60"/>
      <c r="H15810" s="811"/>
      <c r="I15810" s="11"/>
    </row>
    <row r="15811" spans="1:9" ht="11.15" customHeight="1">
      <c r="A15811" s="61"/>
      <c r="B15811" s="90"/>
      <c r="C15811" s="228"/>
      <c r="D15811" s="60"/>
      <c r="E15811" s="811"/>
      <c r="F15811" s="137"/>
      <c r="G15811" s="60"/>
      <c r="H15811" s="811"/>
      <c r="I15811" s="11"/>
    </row>
    <row r="15812" spans="1:9" ht="11.15" customHeight="1">
      <c r="A15812" s="129"/>
      <c r="B15812" s="1014" t="s">
        <v>19881</v>
      </c>
      <c r="C15812" s="228"/>
      <c r="D15812" s="60"/>
      <c r="E15812" s="811"/>
      <c r="F15812" s="137"/>
      <c r="G15812" s="60"/>
      <c r="H15812" s="811"/>
      <c r="I15812" s="11"/>
    </row>
    <row r="15813" spans="1:9" ht="11.15" customHeight="1">
      <c r="A15813" s="129"/>
      <c r="B15813" s="229" t="s">
        <v>19882</v>
      </c>
      <c r="C15813" s="228"/>
      <c r="D15813" s="60"/>
      <c r="E15813" s="811"/>
      <c r="F15813" s="137"/>
      <c r="G15813" s="60"/>
      <c r="H15813" s="811"/>
      <c r="I15813" s="11"/>
    </row>
    <row r="15814" spans="1:9" ht="11.15" customHeight="1">
      <c r="A15814" s="129" t="s">
        <v>19883</v>
      </c>
      <c r="B15814" s="940"/>
      <c r="C15814" s="228"/>
      <c r="D15814" s="60"/>
      <c r="E15814" s="811"/>
      <c r="F15814" s="137"/>
      <c r="G15814" s="60"/>
      <c r="H15814" s="811"/>
      <c r="I15814" s="11"/>
    </row>
    <row r="15815" spans="1:9" ht="11.15" customHeight="1">
      <c r="A15815" s="129"/>
      <c r="B15815" s="185"/>
      <c r="C15815" s="228"/>
      <c r="D15815" s="60"/>
      <c r="E15815" s="811"/>
      <c r="F15815" s="137"/>
      <c r="G15815" s="60"/>
      <c r="H15815" s="811"/>
      <c r="I15815" s="11"/>
    </row>
    <row r="15816" spans="1:9" ht="11.15" customHeight="1">
      <c r="A15816" s="129"/>
      <c r="B15816" s="272" t="s">
        <v>19884</v>
      </c>
      <c r="C15816" s="228"/>
      <c r="D15816" s="60"/>
      <c r="E15816" s="811"/>
      <c r="F15816" s="137"/>
      <c r="G15816" s="60"/>
      <c r="H15816" s="811"/>
      <c r="I15816" s="11"/>
    </row>
    <row r="15817" spans="1:9" ht="11.15" customHeight="1">
      <c r="A15817" s="129"/>
      <c r="B15817" s="185"/>
      <c r="C15817" s="228"/>
      <c r="D15817" s="60"/>
      <c r="E15817" s="811"/>
      <c r="F15817" s="137"/>
      <c r="G15817" s="60"/>
      <c r="H15817" s="811"/>
      <c r="I15817" s="11"/>
    </row>
    <row r="15818" spans="1:9" ht="11.15" customHeight="1">
      <c r="A15818" s="129" t="s">
        <v>19885</v>
      </c>
      <c r="B15818" s="90"/>
      <c r="C15818" s="228"/>
      <c r="D15818" s="60"/>
      <c r="E15818" s="811"/>
      <c r="F15818" s="137"/>
      <c r="G15818" s="60"/>
      <c r="H15818" s="811"/>
      <c r="I15818" s="11"/>
    </row>
    <row r="15819" spans="1:9" ht="11.15" customHeight="1">
      <c r="A15819" s="129"/>
      <c r="B15819" s="185"/>
      <c r="C15819" s="228"/>
      <c r="D15819" s="60"/>
      <c r="E15819" s="811"/>
      <c r="F15819" s="137"/>
      <c r="G15819" s="60"/>
      <c r="H15819" s="811"/>
      <c r="I15819" s="11"/>
    </row>
    <row r="15820" spans="1:9" ht="11.15" customHeight="1">
      <c r="A15820" s="271" t="s">
        <v>19886</v>
      </c>
      <c r="B15820" s="185"/>
      <c r="C15820" s="228"/>
      <c r="D15820" s="60"/>
      <c r="E15820" s="811"/>
      <c r="F15820" s="137"/>
      <c r="G15820" s="60"/>
      <c r="H15820" s="811"/>
      <c r="I15820" s="11"/>
    </row>
    <row r="15821" spans="1:9" ht="11.15" customHeight="1">
      <c r="A15821" s="212" t="s">
        <v>19887</v>
      </c>
      <c r="B15821" s="226" t="s">
        <v>19888</v>
      </c>
      <c r="C15821" s="228"/>
      <c r="D15821" s="60"/>
      <c r="E15821" s="811"/>
      <c r="F15821" s="137"/>
      <c r="G15821" s="60"/>
      <c r="H15821" s="811"/>
      <c r="I15821" s="11"/>
    </row>
    <row r="15822" spans="1:9" ht="11.15" customHeight="1">
      <c r="A15822" s="129" t="s">
        <v>19889</v>
      </c>
      <c r="B15822" s="415" t="s">
        <v>19890</v>
      </c>
      <c r="C15822" s="228"/>
      <c r="D15822" s="60"/>
      <c r="E15822" s="36"/>
      <c r="F15822" s="178"/>
      <c r="G15822" s="60"/>
      <c r="H15822" s="36"/>
      <c r="I15822" s="11"/>
    </row>
    <row r="15823" spans="1:9" ht="11.15" customHeight="1">
      <c r="A15823" s="129" t="s">
        <v>19891</v>
      </c>
      <c r="B15823" s="415" t="s">
        <v>19892</v>
      </c>
      <c r="C15823" s="228"/>
      <c r="D15823" s="60"/>
      <c r="E15823" s="36"/>
      <c r="F15823" s="178"/>
      <c r="G15823" s="60"/>
      <c r="H15823" s="36"/>
      <c r="I15823" s="11"/>
    </row>
    <row r="15824" spans="1:9" ht="11.15" customHeight="1">
      <c r="A15824" s="129" t="s">
        <v>19893</v>
      </c>
      <c r="B15824" s="415" t="s">
        <v>19894</v>
      </c>
      <c r="C15824" s="228"/>
      <c r="D15824" s="60"/>
      <c r="E15824" s="36"/>
      <c r="F15824" s="178"/>
      <c r="G15824" s="60"/>
      <c r="H15824" s="36"/>
      <c r="I15824" s="11"/>
    </row>
    <row r="15825" spans="1:9" ht="11.15" customHeight="1">
      <c r="A15825" s="129" t="s">
        <v>19895</v>
      </c>
      <c r="B15825" s="944" t="s">
        <v>19896</v>
      </c>
      <c r="C15825" s="228"/>
      <c r="D15825" s="60"/>
      <c r="E15825" s="36"/>
      <c r="F15825" s="178"/>
      <c r="G15825" s="60"/>
      <c r="H15825" s="36"/>
      <c r="I15825" s="11"/>
    </row>
    <row r="15826" spans="1:9" ht="11.15" customHeight="1">
      <c r="A15826" s="129" t="s">
        <v>19897</v>
      </c>
      <c r="B15826" s="415" t="s">
        <v>19898</v>
      </c>
      <c r="C15826" s="228"/>
      <c r="D15826" s="60"/>
      <c r="E15826" s="36"/>
      <c r="F15826" s="178"/>
      <c r="G15826" s="60"/>
      <c r="H15826" s="36"/>
      <c r="I15826" s="11"/>
    </row>
    <row r="15827" spans="1:9" ht="11.15" customHeight="1">
      <c r="A15827" s="454"/>
      <c r="B15827" s="36"/>
      <c r="C15827" s="228"/>
      <c r="D15827" s="60"/>
      <c r="E15827" s="36"/>
      <c r="F15827" s="178"/>
      <c r="G15827" s="60"/>
      <c r="H15827" s="36"/>
      <c r="I15827" s="11"/>
    </row>
    <row r="15828" spans="1:9" ht="11.15" customHeight="1">
      <c r="A15828" s="271" t="s">
        <v>19899</v>
      </c>
      <c r="B15828" s="137"/>
      <c r="C15828" s="228"/>
      <c r="D15828" s="60"/>
      <c r="E15828" s="36"/>
      <c r="F15828" s="178"/>
      <c r="G15828" s="60"/>
      <c r="H15828" s="36"/>
      <c r="I15828" s="11"/>
    </row>
    <row r="15829" spans="1:9" ht="11.15" customHeight="1">
      <c r="A15829" s="212" t="s">
        <v>19900</v>
      </c>
      <c r="B15829" s="226" t="s">
        <v>19901</v>
      </c>
      <c r="C15829" s="228"/>
      <c r="D15829" s="60"/>
      <c r="E15829" s="36"/>
      <c r="F15829" s="178"/>
      <c r="G15829" s="60"/>
      <c r="H15829" s="36"/>
      <c r="I15829" s="11"/>
    </row>
    <row r="15830" spans="1:9" ht="11.15" customHeight="1">
      <c r="A15830" s="1015" t="s">
        <v>19902</v>
      </c>
      <c r="B15830" s="415" t="s">
        <v>19903</v>
      </c>
      <c r="C15830" s="228"/>
      <c r="D15830" s="60"/>
      <c r="E15830" s="36"/>
      <c r="F15830" s="178"/>
      <c r="G15830" s="60"/>
      <c r="H15830" s="36"/>
      <c r="I15830" s="11"/>
    </row>
    <row r="15831" spans="1:9" ht="11.15" customHeight="1">
      <c r="A15831" s="1015"/>
      <c r="B15831" s="944" t="s">
        <v>19904</v>
      </c>
      <c r="C15831" s="228"/>
      <c r="D15831" s="60"/>
      <c r="E15831" s="36"/>
      <c r="F15831" s="178"/>
      <c r="G15831" s="60"/>
      <c r="H15831" s="36"/>
      <c r="I15831" s="11"/>
    </row>
    <row r="15832" spans="1:9" ht="11.15" customHeight="1">
      <c r="A15832" s="1015"/>
      <c r="B15832" s="178"/>
      <c r="C15832" s="228"/>
      <c r="D15832" s="60"/>
      <c r="E15832" s="36"/>
      <c r="F15832" s="178"/>
      <c r="G15832" s="60"/>
      <c r="H15832" s="36"/>
      <c r="I15832" s="11"/>
    </row>
    <row r="15833" spans="1:9" ht="11.15" customHeight="1">
      <c r="A15833" s="1015" t="s">
        <v>19905</v>
      </c>
      <c r="B15833" s="415" t="s">
        <v>19906</v>
      </c>
      <c r="C15833" s="228"/>
      <c r="D15833" s="60"/>
      <c r="E15833" s="36"/>
      <c r="F15833" s="178"/>
      <c r="G15833" s="60"/>
      <c r="H15833" s="36"/>
      <c r="I15833" s="11"/>
    </row>
    <row r="15834" spans="1:9" ht="11.15" customHeight="1">
      <c r="A15834" s="1015"/>
      <c r="B15834" s="415" t="s">
        <v>19907</v>
      </c>
      <c r="C15834" s="228"/>
      <c r="D15834" s="60"/>
      <c r="E15834" s="36"/>
      <c r="F15834" s="178"/>
      <c r="G15834" s="60"/>
      <c r="H15834" s="36"/>
      <c r="I15834" s="11"/>
    </row>
    <row r="15835" spans="1:9" ht="11.15" customHeight="1">
      <c r="A15835" s="1015"/>
      <c r="B15835" s="178"/>
      <c r="C15835" s="228"/>
      <c r="D15835" s="60"/>
      <c r="E15835" s="36"/>
      <c r="F15835" s="178"/>
      <c r="G15835" s="60"/>
      <c r="H15835" s="36"/>
      <c r="I15835" s="11"/>
    </row>
    <row r="15836" spans="1:9" ht="11.15" customHeight="1">
      <c r="A15836" s="1015" t="s">
        <v>19908</v>
      </c>
      <c r="B15836" s="979" t="s">
        <v>19909</v>
      </c>
      <c r="C15836" s="228"/>
      <c r="D15836" s="60"/>
      <c r="E15836" s="36"/>
      <c r="F15836" s="178"/>
      <c r="G15836" s="60"/>
      <c r="H15836" s="36"/>
      <c r="I15836" s="11"/>
    </row>
    <row r="15837" spans="1:9" ht="11.15" customHeight="1">
      <c r="A15837" s="1015"/>
      <c r="B15837" s="178"/>
      <c r="C15837" s="228"/>
      <c r="D15837" s="60"/>
      <c r="E15837" s="36"/>
      <c r="F15837" s="178"/>
      <c r="G15837" s="60"/>
      <c r="H15837" s="36"/>
      <c r="I15837" s="11"/>
    </row>
    <row r="15838" spans="1:9" ht="11.15" customHeight="1">
      <c r="A15838" s="271" t="s">
        <v>19910</v>
      </c>
      <c r="B15838" s="226" t="s">
        <v>19911</v>
      </c>
      <c r="C15838" s="60"/>
      <c r="D15838" s="60"/>
      <c r="E15838" s="178"/>
      <c r="F15838" s="178"/>
      <c r="G15838" s="60"/>
      <c r="H15838" s="178"/>
      <c r="I15838" s="11"/>
    </row>
    <row r="15839" spans="1:9" ht="11.15" customHeight="1">
      <c r="A15839" s="1016" t="s">
        <v>19912</v>
      </c>
      <c r="B15839" s="415" t="s">
        <v>19913</v>
      </c>
      <c r="C15839" s="228"/>
      <c r="D15839" s="60"/>
      <c r="E15839" s="36"/>
      <c r="F15839" s="178"/>
      <c r="G15839" s="60"/>
      <c r="H15839" s="36"/>
      <c r="I15839" s="11"/>
    </row>
    <row r="15840" spans="1:9" ht="11.15" customHeight="1">
      <c r="A15840" s="29"/>
      <c r="B15840" s="415" t="s">
        <v>19914</v>
      </c>
      <c r="C15840" s="228"/>
      <c r="D15840" s="60"/>
      <c r="E15840" s="36"/>
      <c r="F15840" s="178"/>
      <c r="G15840" s="60"/>
      <c r="H15840" s="36"/>
      <c r="I15840" s="11"/>
    </row>
    <row r="15841" spans="1:9" ht="11.15" customHeight="1">
      <c r="A15841" s="1016"/>
      <c r="B15841" s="178"/>
      <c r="C15841" s="228"/>
      <c r="D15841" s="60"/>
      <c r="E15841" s="36"/>
      <c r="F15841" s="178"/>
      <c r="G15841" s="60"/>
      <c r="H15841" s="36"/>
      <c r="I15841" s="11"/>
    </row>
    <row r="15842" spans="1:9" ht="11.15" customHeight="1">
      <c r="A15842" s="1016" t="s">
        <v>19915</v>
      </c>
      <c r="B15842" s="415" t="s">
        <v>19916</v>
      </c>
      <c r="C15842" s="228"/>
      <c r="D15842" s="60"/>
      <c r="E15842" s="36"/>
      <c r="F15842" s="178"/>
      <c r="G15842" s="60"/>
      <c r="H15842" s="36"/>
      <c r="I15842" s="11"/>
    </row>
    <row r="15843" spans="1:9" ht="11.15" customHeight="1">
      <c r="A15843" s="195"/>
      <c r="B15843" s="178"/>
      <c r="C15843" s="228"/>
      <c r="D15843" s="60"/>
      <c r="E15843" s="36"/>
      <c r="F15843" s="178"/>
      <c r="G15843" s="60"/>
      <c r="H15843" s="36"/>
      <c r="I15843" s="11"/>
    </row>
    <row r="15844" spans="1:9" ht="11.15" customHeight="1">
      <c r="A15844" s="1016" t="s">
        <v>19917</v>
      </c>
      <c r="B15844" s="415" t="s">
        <v>19918</v>
      </c>
      <c r="C15844" s="228"/>
      <c r="D15844" s="60"/>
      <c r="E15844" s="36"/>
      <c r="F15844" s="178"/>
      <c r="G15844" s="60"/>
      <c r="H15844" s="36"/>
      <c r="I15844" s="11"/>
    </row>
    <row r="15845" spans="1:9" ht="15" thickBot="1">
      <c r="B15845" s="286"/>
      <c r="C15845" s="590"/>
      <c r="D15845" s="590"/>
      <c r="E15845" s="178"/>
      <c r="F15845" s="178"/>
      <c r="G15845" s="60"/>
      <c r="H15845" s="178"/>
      <c r="I15845" s="11"/>
    </row>
    <row r="15846" spans="1:9" ht="24" customHeight="1" thickBot="1">
      <c r="A15846" s="392"/>
      <c r="B15846" s="1278" t="s">
        <v>19919</v>
      </c>
      <c r="C15846" s="140"/>
      <c r="D15846" s="139"/>
      <c r="E15846" s="874"/>
      <c r="F15846" s="1094"/>
      <c r="G15846" s="1080"/>
      <c r="H15846" s="661"/>
      <c r="I15846" s="11"/>
    </row>
    <row r="15847" spans="1:9" ht="21" customHeight="1">
      <c r="A15847" s="937" t="s">
        <v>19920</v>
      </c>
      <c r="B15847" s="1017" t="s">
        <v>19921</v>
      </c>
      <c r="C15847" s="1018" t="s">
        <v>19922</v>
      </c>
      <c r="D15847" s="1019"/>
      <c r="E15847" s="1020" t="s">
        <v>19923</v>
      </c>
      <c r="F15847" s="1107"/>
      <c r="G15847" s="1022"/>
      <c r="H15847" s="1021"/>
      <c r="I15847" s="11"/>
    </row>
    <row r="15848" spans="1:9" ht="11.15" customHeight="1">
      <c r="A15848" s="740" t="s">
        <v>19924</v>
      </c>
      <c r="B15848" s="89" t="s">
        <v>351</v>
      </c>
      <c r="C15848" s="1023"/>
      <c r="D15848" s="479"/>
      <c r="E15848" s="883"/>
      <c r="F15848" s="953"/>
      <c r="G15848" s="1024" t="s">
        <v>19925</v>
      </c>
      <c r="H15848" s="883"/>
      <c r="I15848" s="11"/>
    </row>
    <row r="15849" spans="1:9" ht="11.15" customHeight="1">
      <c r="A15849" s="740" t="s">
        <v>19926</v>
      </c>
      <c r="B15849" s="89" t="s">
        <v>351</v>
      </c>
      <c r="C15849" s="1023"/>
      <c r="D15849" s="479"/>
      <c r="E15849" s="883"/>
      <c r="F15849" s="953"/>
      <c r="G15849" s="1024" t="s">
        <v>19927</v>
      </c>
      <c r="H15849" s="883"/>
      <c r="I15849" s="11"/>
    </row>
    <row r="15850" spans="1:9" ht="11.15" customHeight="1">
      <c r="A15850" s="740" t="s">
        <v>19928</v>
      </c>
      <c r="B15850" s="89" t="s">
        <v>19929</v>
      </c>
      <c r="C15850" s="1023"/>
      <c r="D15850" s="479"/>
      <c r="E15850" s="883"/>
      <c r="F15850" s="953"/>
      <c r="G15850" s="1024" t="s">
        <v>19930</v>
      </c>
      <c r="H15850" s="883"/>
      <c r="I15850" s="11"/>
    </row>
    <row r="15851" spans="1:9" ht="11.15" customHeight="1">
      <c r="A15851" s="740" t="s">
        <v>19931</v>
      </c>
      <c r="B15851" s="89" t="s">
        <v>552</v>
      </c>
      <c r="C15851" s="1023"/>
      <c r="D15851" s="479"/>
      <c r="E15851" s="883"/>
      <c r="F15851" s="953"/>
      <c r="G15851" s="1024" t="s">
        <v>19932</v>
      </c>
      <c r="H15851" s="883"/>
      <c r="I15851" s="11"/>
    </row>
    <row r="15852" spans="1:9" ht="11.15" customHeight="1">
      <c r="A15852" s="740" t="s">
        <v>19933</v>
      </c>
      <c r="B15852" s="89" t="s">
        <v>19934</v>
      </c>
      <c r="C15852" s="1023"/>
      <c r="D15852" s="479"/>
      <c r="E15852" s="883"/>
      <c r="F15852" s="953"/>
      <c r="G15852" s="1024" t="s">
        <v>19935</v>
      </c>
      <c r="H15852" s="883"/>
      <c r="I15852" s="11"/>
    </row>
    <row r="15853" spans="1:9" ht="11.15" customHeight="1">
      <c r="A15853" s="740" t="s">
        <v>19936</v>
      </c>
      <c r="B15853" s="89" t="s">
        <v>19937</v>
      </c>
      <c r="C15853" s="1023"/>
      <c r="D15853" s="479"/>
      <c r="E15853" s="883"/>
      <c r="F15853" s="953"/>
      <c r="G15853" s="1024" t="s">
        <v>19938</v>
      </c>
      <c r="H15853" s="883"/>
      <c r="I15853" s="11"/>
    </row>
    <row r="15854" spans="1:9" ht="11.15" customHeight="1">
      <c r="A15854" s="740" t="s">
        <v>19939</v>
      </c>
      <c r="B15854" s="89" t="s">
        <v>19940</v>
      </c>
      <c r="C15854" s="1023"/>
      <c r="D15854" s="479"/>
      <c r="E15854" s="883"/>
      <c r="F15854" s="953"/>
      <c r="G15854" s="1024" t="s">
        <v>19941</v>
      </c>
      <c r="H15854" s="883"/>
      <c r="I15854" s="11"/>
    </row>
    <row r="15855" spans="1:9" ht="11.15" customHeight="1">
      <c r="A15855" s="740" t="s">
        <v>19942</v>
      </c>
      <c r="B15855" s="89" t="s">
        <v>19943</v>
      </c>
      <c r="C15855" s="1023"/>
      <c r="D15855" s="479"/>
      <c r="E15855" s="883"/>
      <c r="F15855" s="953"/>
      <c r="G15855" s="1024" t="s">
        <v>19944</v>
      </c>
      <c r="H15855" s="883"/>
      <c r="I15855" s="11"/>
    </row>
    <row r="15856" spans="1:9" ht="11.15" customHeight="1">
      <c r="A15856" s="740" t="s">
        <v>12772</v>
      </c>
      <c r="B15856" s="89" t="s">
        <v>418</v>
      </c>
      <c r="C15856" s="1023"/>
      <c r="D15856" s="479"/>
      <c r="E15856" s="883"/>
      <c r="F15856" s="953"/>
      <c r="G15856" s="1024" t="s">
        <v>19945</v>
      </c>
      <c r="H15856" s="883"/>
      <c r="I15856" s="11"/>
    </row>
    <row r="15857" spans="1:9" ht="11.15" customHeight="1">
      <c r="A15857" s="740" t="s">
        <v>19946</v>
      </c>
      <c r="B15857" s="89" t="s">
        <v>16406</v>
      </c>
      <c r="C15857" s="1023"/>
      <c r="D15857" s="479"/>
      <c r="E15857" s="883"/>
      <c r="F15857" s="953"/>
      <c r="G15857" s="1024" t="s">
        <v>19947</v>
      </c>
      <c r="H15857" s="883"/>
      <c r="I15857" s="11"/>
    </row>
    <row r="15858" spans="1:9" ht="11.15" customHeight="1">
      <c r="A15858" s="740" t="s">
        <v>19948</v>
      </c>
      <c r="B15858" s="89" t="s">
        <v>19395</v>
      </c>
      <c r="C15858" s="1023"/>
      <c r="D15858" s="479"/>
      <c r="E15858" s="883"/>
      <c r="F15858" s="953"/>
      <c r="G15858" s="1024" t="s">
        <v>19949</v>
      </c>
      <c r="H15858" s="883"/>
      <c r="I15858" s="11"/>
    </row>
    <row r="15859" spans="1:9" ht="11.15" customHeight="1">
      <c r="A15859" s="740" t="s">
        <v>19950</v>
      </c>
      <c r="B15859" s="89" t="s">
        <v>19395</v>
      </c>
      <c r="C15859" s="1023"/>
      <c r="D15859" s="479"/>
      <c r="E15859" s="883"/>
      <c r="F15859" s="953"/>
      <c r="G15859" s="1024" t="s">
        <v>19951</v>
      </c>
      <c r="H15859" s="883"/>
      <c r="I15859" s="11"/>
    </row>
    <row r="15860" spans="1:9" ht="11.15" customHeight="1">
      <c r="A15860" s="740" t="s">
        <v>19952</v>
      </c>
      <c r="B15860" s="89" t="s">
        <v>19953</v>
      </c>
      <c r="C15860" s="1023"/>
      <c r="D15860" s="479"/>
      <c r="E15860" s="883"/>
      <c r="F15860" s="953"/>
      <c r="G15860" s="1024" t="s">
        <v>19954</v>
      </c>
      <c r="H15860" s="883"/>
      <c r="I15860" s="11"/>
    </row>
    <row r="15861" spans="1:9" ht="11.15" customHeight="1">
      <c r="A15861" s="740" t="s">
        <v>19955</v>
      </c>
      <c r="B15861" s="89" t="s">
        <v>572</v>
      </c>
      <c r="C15861" s="883"/>
      <c r="D15861" s="953"/>
      <c r="E15861" s="883"/>
      <c r="F15861" s="953"/>
      <c r="G15861" s="1024" t="s">
        <v>19956</v>
      </c>
      <c r="H15861" s="883"/>
      <c r="I15861" s="11"/>
    </row>
    <row r="15862" spans="1:9" ht="11.15" customHeight="1">
      <c r="A15862" s="740" t="s">
        <v>19957</v>
      </c>
      <c r="B15862" s="89" t="s">
        <v>19958</v>
      </c>
      <c r="C15862" s="1023"/>
      <c r="D15862" s="479"/>
      <c r="E15862" s="883"/>
      <c r="F15862" s="953"/>
      <c r="G15862" s="1024" t="s">
        <v>19959</v>
      </c>
      <c r="H15862" s="883"/>
      <c r="I15862" s="11"/>
    </row>
    <row r="15863" spans="1:9" ht="11.15" customHeight="1">
      <c r="A15863" s="740" t="s">
        <v>19960</v>
      </c>
      <c r="B15863" s="89" t="s">
        <v>19961</v>
      </c>
      <c r="C15863" s="1023"/>
      <c r="D15863" s="479"/>
      <c r="E15863" s="883"/>
      <c r="F15863" s="953"/>
      <c r="G15863" s="1024" t="s">
        <v>19962</v>
      </c>
      <c r="H15863" s="883"/>
      <c r="I15863" s="11"/>
    </row>
    <row r="15864" spans="1:9" ht="11.15" customHeight="1">
      <c r="A15864" s="740" t="s">
        <v>19963</v>
      </c>
      <c r="B15864" s="89" t="s">
        <v>19964</v>
      </c>
      <c r="C15864" s="1023"/>
      <c r="D15864" s="479"/>
      <c r="E15864" s="883"/>
      <c r="F15864" s="953"/>
      <c r="G15864" s="1024" t="s">
        <v>19965</v>
      </c>
      <c r="H15864" s="883"/>
      <c r="I15864" s="11"/>
    </row>
    <row r="15865" spans="1:9" ht="11.15" customHeight="1">
      <c r="A15865" s="740" t="s">
        <v>19966</v>
      </c>
      <c r="B15865" s="89" t="s">
        <v>19967</v>
      </c>
      <c r="C15865" s="1023"/>
      <c r="D15865" s="479"/>
      <c r="E15865" s="883"/>
      <c r="F15865" s="953"/>
      <c r="G15865" s="1024" t="s">
        <v>19968</v>
      </c>
      <c r="H15865" s="883"/>
      <c r="I15865" s="11"/>
    </row>
    <row r="15866" spans="1:9" ht="11.15" customHeight="1">
      <c r="A15866" s="740" t="s">
        <v>19969</v>
      </c>
      <c r="B15866" s="89" t="s">
        <v>19970</v>
      </c>
      <c r="C15866" s="1023"/>
      <c r="D15866" s="479"/>
      <c r="E15866" s="883"/>
      <c r="F15866" s="953"/>
      <c r="G15866" s="1024" t="s">
        <v>19971</v>
      </c>
      <c r="H15866" s="883"/>
      <c r="I15866" s="11"/>
    </row>
    <row r="15867" spans="1:9" ht="11.15" customHeight="1">
      <c r="A15867" s="740" t="s">
        <v>19972</v>
      </c>
      <c r="B15867" s="89" t="s">
        <v>559</v>
      </c>
      <c r="C15867" s="1023"/>
      <c r="D15867" s="479"/>
      <c r="E15867" s="883"/>
      <c r="F15867" s="953"/>
      <c r="G15867" s="1024" t="s">
        <v>19973</v>
      </c>
      <c r="H15867" s="883"/>
      <c r="I15867" s="11"/>
    </row>
    <row r="15868" spans="1:9" ht="11.15" customHeight="1">
      <c r="A15868" s="740" t="s">
        <v>19974</v>
      </c>
      <c r="B15868" s="89" t="s">
        <v>19411</v>
      </c>
      <c r="C15868" s="1023"/>
      <c r="D15868" s="479"/>
      <c r="E15868" s="883"/>
      <c r="F15868" s="953"/>
      <c r="G15868" s="1024" t="s">
        <v>19975</v>
      </c>
      <c r="H15868" s="883"/>
      <c r="I15868" s="11"/>
    </row>
    <row r="15869" spans="1:9" ht="11.15" customHeight="1">
      <c r="A15869" s="740" t="s">
        <v>19976</v>
      </c>
      <c r="B15869" s="89" t="s">
        <v>19345</v>
      </c>
      <c r="C15869" s="1023"/>
      <c r="D15869" s="479"/>
      <c r="E15869" s="883"/>
      <c r="F15869" s="953"/>
      <c r="G15869" s="1024" t="s">
        <v>19977</v>
      </c>
      <c r="H15869" s="883"/>
      <c r="I15869" s="11"/>
    </row>
    <row r="15870" spans="1:9" ht="11.15" customHeight="1">
      <c r="A15870" s="740" t="s">
        <v>19978</v>
      </c>
      <c r="B15870" s="89" t="s">
        <v>351</v>
      </c>
      <c r="C15870" s="1023"/>
      <c r="D15870" s="479"/>
      <c r="E15870" s="883"/>
      <c r="F15870" s="953"/>
      <c r="G15870" s="1024" t="s">
        <v>19979</v>
      </c>
      <c r="H15870" s="883"/>
      <c r="I15870" s="11"/>
    </row>
    <row r="15871" spans="1:9" ht="11.15" customHeight="1">
      <c r="A15871" s="740" t="s">
        <v>19980</v>
      </c>
      <c r="B15871" s="89" t="s">
        <v>623</v>
      </c>
      <c r="C15871" s="1023"/>
      <c r="D15871" s="479"/>
      <c r="E15871" s="883"/>
      <c r="F15871" s="953"/>
      <c r="G15871" s="1024" t="s">
        <v>19981</v>
      </c>
      <c r="H15871" s="883"/>
      <c r="I15871" s="11"/>
    </row>
    <row r="15872" spans="1:9" ht="11.15" customHeight="1">
      <c r="A15872" s="740" t="s">
        <v>19982</v>
      </c>
      <c r="B15872" s="89" t="s">
        <v>351</v>
      </c>
      <c r="C15872" s="1023"/>
      <c r="D15872" s="479"/>
      <c r="E15872" s="883"/>
      <c r="F15872" s="953"/>
      <c r="G15872" s="1024" t="s">
        <v>19983</v>
      </c>
      <c r="H15872" s="883"/>
      <c r="I15872" s="11"/>
    </row>
    <row r="15873" spans="1:9" ht="11.15" customHeight="1">
      <c r="A15873" s="740" t="s">
        <v>19984</v>
      </c>
      <c r="B15873" s="89" t="s">
        <v>559</v>
      </c>
      <c r="C15873" s="1023"/>
      <c r="D15873" s="479"/>
      <c r="E15873" s="883"/>
      <c r="F15873" s="953"/>
      <c r="G15873" s="1024" t="s">
        <v>19985</v>
      </c>
      <c r="H15873" s="883"/>
      <c r="I15873" s="11"/>
    </row>
    <row r="15874" spans="1:9" ht="11.15" customHeight="1">
      <c r="A15874" s="740" t="s">
        <v>19986</v>
      </c>
      <c r="B15874" s="89" t="s">
        <v>19987</v>
      </c>
      <c r="C15874" s="1023"/>
      <c r="D15874" s="479"/>
      <c r="E15874" s="883"/>
      <c r="F15874" s="953"/>
      <c r="G15874" s="1024" t="s">
        <v>19988</v>
      </c>
      <c r="H15874" s="883"/>
      <c r="I15874" s="11"/>
    </row>
    <row r="15875" spans="1:9" ht="11.15" customHeight="1">
      <c r="A15875" s="740" t="s">
        <v>19989</v>
      </c>
      <c r="B15875" s="89" t="s">
        <v>19929</v>
      </c>
      <c r="C15875" s="1023"/>
      <c r="D15875" s="479"/>
      <c r="E15875" s="883"/>
      <c r="F15875" s="953"/>
      <c r="G15875" s="1024" t="s">
        <v>19930</v>
      </c>
      <c r="H15875" s="883"/>
      <c r="I15875" s="11"/>
    </row>
    <row r="15876" spans="1:9" ht="11.15" customHeight="1">
      <c r="A15876" s="740" t="s">
        <v>19990</v>
      </c>
      <c r="B15876" s="89" t="s">
        <v>19967</v>
      </c>
      <c r="C15876" s="1023"/>
      <c r="D15876" s="479"/>
      <c r="E15876" s="883"/>
      <c r="F15876" s="953"/>
      <c r="G15876" s="1024" t="s">
        <v>19991</v>
      </c>
      <c r="H15876" s="883"/>
      <c r="I15876" s="11"/>
    </row>
    <row r="15877" spans="1:9" ht="11.15" customHeight="1">
      <c r="A15877" s="740" t="s">
        <v>19992</v>
      </c>
      <c r="B15877" s="89" t="s">
        <v>20</v>
      </c>
      <c r="C15877" s="1023"/>
      <c r="D15877" s="479"/>
      <c r="E15877" s="883"/>
      <c r="F15877" s="953"/>
      <c r="G15877" s="1024" t="s">
        <v>19993</v>
      </c>
      <c r="H15877" s="883"/>
      <c r="I15877" s="11"/>
    </row>
    <row r="15878" spans="1:9" ht="11.15" customHeight="1">
      <c r="A15878" s="740"/>
      <c r="B15878" s="89"/>
      <c r="C15878" s="1023"/>
      <c r="D15878" s="479"/>
      <c r="E15878" s="883"/>
      <c r="F15878" s="953"/>
      <c r="G15878" s="1024"/>
      <c r="H15878" s="883"/>
      <c r="I15878" s="11"/>
    </row>
    <row r="15879" spans="1:9" ht="21" customHeight="1">
      <c r="A15879" s="937" t="s">
        <v>19994</v>
      </c>
      <c r="B15879" s="240"/>
      <c r="C15879" s="1023"/>
      <c r="D15879" s="479"/>
      <c r="E15879" s="883"/>
      <c r="F15879" s="953"/>
      <c r="G15879" s="1024"/>
      <c r="H15879" s="883"/>
      <c r="I15879" s="11"/>
    </row>
    <row r="15880" spans="1:9" ht="11.15" customHeight="1">
      <c r="A15880" s="740" t="s">
        <v>19995</v>
      </c>
      <c r="B15880" s="89" t="s">
        <v>19996</v>
      </c>
      <c r="C15880" s="1023"/>
      <c r="D15880" s="479"/>
      <c r="E15880" s="883"/>
      <c r="F15880" s="953"/>
      <c r="G15880" s="1024" t="s">
        <v>19997</v>
      </c>
      <c r="H15880" s="883"/>
      <c r="I15880" s="11"/>
    </row>
    <row r="15881" spans="1:9" ht="11.15" customHeight="1">
      <c r="A15881" s="740" t="s">
        <v>19998</v>
      </c>
      <c r="B15881" s="89" t="s">
        <v>19999</v>
      </c>
      <c r="C15881" s="1023"/>
      <c r="D15881" s="479"/>
      <c r="E15881" s="883"/>
      <c r="F15881" s="953"/>
      <c r="G15881" s="1024" t="s">
        <v>20000</v>
      </c>
      <c r="H15881" s="883"/>
      <c r="I15881" s="11"/>
    </row>
    <row r="15882" spans="1:9" ht="11.15" customHeight="1">
      <c r="A15882" s="740" t="s">
        <v>20001</v>
      </c>
      <c r="B15882" s="89" t="s">
        <v>20002</v>
      </c>
      <c r="C15882" s="883"/>
      <c r="D15882" s="953"/>
      <c r="E15882" s="883"/>
      <c r="F15882" s="953"/>
      <c r="G15882" s="1024" t="s">
        <v>20003</v>
      </c>
      <c r="H15882" s="883"/>
      <c r="I15882" s="11"/>
    </row>
    <row r="15883" spans="1:9" ht="11.15" customHeight="1">
      <c r="A15883" s="740" t="s">
        <v>20004</v>
      </c>
      <c r="B15883" s="89" t="s">
        <v>20005</v>
      </c>
      <c r="C15883" s="1023"/>
      <c r="D15883" s="479"/>
      <c r="E15883" s="883"/>
      <c r="F15883" s="953"/>
      <c r="G15883" s="1024" t="s">
        <v>20006</v>
      </c>
      <c r="H15883" s="883"/>
      <c r="I15883" s="11"/>
    </row>
    <row r="15884" spans="1:9" ht="11.15" customHeight="1">
      <c r="A15884" s="239" t="s">
        <v>20007</v>
      </c>
      <c r="B15884" s="89" t="s">
        <v>20008</v>
      </c>
      <c r="C15884" s="1023"/>
      <c r="D15884" s="479"/>
      <c r="E15884" s="883"/>
      <c r="F15884" s="953"/>
      <c r="G15884" s="1024" t="s">
        <v>20009</v>
      </c>
      <c r="H15884" s="883"/>
      <c r="I15884" s="11"/>
    </row>
    <row r="15885" spans="1:9" ht="11.15" customHeight="1">
      <c r="A15885" s="239" t="s">
        <v>20010</v>
      </c>
      <c r="B15885" s="89" t="s">
        <v>20011</v>
      </c>
      <c r="C15885" s="1023"/>
      <c r="D15885" s="479"/>
      <c r="E15885" s="883"/>
      <c r="F15885" s="953"/>
      <c r="G15885" s="1024" t="s">
        <v>20012</v>
      </c>
      <c r="H15885" s="883"/>
      <c r="I15885" s="11"/>
    </row>
    <row r="15886" spans="1:9" ht="11.15" customHeight="1">
      <c r="A15886" s="239" t="s">
        <v>20013</v>
      </c>
      <c r="B15886" s="89" t="s">
        <v>20014</v>
      </c>
      <c r="C15886" s="1023"/>
      <c r="D15886" s="479"/>
      <c r="E15886" s="883"/>
      <c r="F15886" s="953"/>
      <c r="G15886" s="1024" t="s">
        <v>20015</v>
      </c>
      <c r="H15886" s="883"/>
      <c r="I15886" s="11"/>
    </row>
    <row r="15887" spans="1:9" ht="11.15" customHeight="1">
      <c r="A15887" s="239" t="s">
        <v>20016</v>
      </c>
      <c r="B15887" s="89" t="s">
        <v>20014</v>
      </c>
      <c r="C15887" s="1023"/>
      <c r="D15887" s="479"/>
      <c r="E15887" s="883"/>
      <c r="F15887" s="953"/>
      <c r="G15887" s="1024" t="s">
        <v>20017</v>
      </c>
      <c r="H15887" s="883"/>
      <c r="I15887" s="11"/>
    </row>
    <row r="15888" spans="1:9" ht="11.15" customHeight="1">
      <c r="A15888" s="239" t="s">
        <v>20018</v>
      </c>
      <c r="B15888" s="89" t="s">
        <v>20019</v>
      </c>
      <c r="C15888" s="1023"/>
      <c r="D15888" s="479"/>
      <c r="E15888" s="883"/>
      <c r="F15888" s="953"/>
      <c r="G15888" s="1024" t="s">
        <v>20020</v>
      </c>
      <c r="H15888" s="883"/>
      <c r="I15888" s="11"/>
    </row>
    <row r="15889" spans="1:9" ht="11.15" customHeight="1">
      <c r="A15889" s="740" t="s">
        <v>20021</v>
      </c>
      <c r="B15889" s="89"/>
      <c r="C15889" s="1023"/>
      <c r="D15889" s="479"/>
      <c r="E15889" s="883"/>
      <c r="F15889" s="953"/>
      <c r="G15889" s="1024" t="s">
        <v>20022</v>
      </c>
      <c r="H15889" s="883"/>
      <c r="I15889" s="11"/>
    </row>
    <row r="15890" spans="1:9" ht="11.15" customHeight="1">
      <c r="A15890" s="740"/>
      <c r="B15890" s="89"/>
      <c r="C15890" s="1023"/>
      <c r="D15890" s="479"/>
      <c r="E15890" s="883"/>
      <c r="F15890" s="953"/>
      <c r="G15890" s="1024"/>
      <c r="H15890" s="883"/>
      <c r="I15890" s="11"/>
    </row>
    <row r="15891" spans="1:9" ht="21" customHeight="1">
      <c r="A15891" s="937" t="s">
        <v>20023</v>
      </c>
      <c r="B15891" s="240"/>
      <c r="C15891" s="1023"/>
      <c r="D15891" s="479"/>
      <c r="E15891" s="883"/>
      <c r="F15891" s="953"/>
      <c r="G15891" s="1024"/>
      <c r="H15891" s="883"/>
      <c r="I15891" s="11"/>
    </row>
    <row r="15892" spans="1:9" ht="11.15" customHeight="1">
      <c r="A15892" s="740" t="s">
        <v>20024</v>
      </c>
      <c r="B15892" s="89" t="s">
        <v>20025</v>
      </c>
      <c r="C15892" s="1023"/>
      <c r="D15892" s="479"/>
      <c r="E15892" s="883"/>
      <c r="F15892" s="953"/>
      <c r="G15892" s="1024" t="s">
        <v>20026</v>
      </c>
      <c r="H15892" s="883"/>
      <c r="I15892" s="11"/>
    </row>
    <row r="15893" spans="1:9" ht="11.15" customHeight="1">
      <c r="A15893" s="740" t="s">
        <v>20027</v>
      </c>
      <c r="B15893" s="89"/>
      <c r="C15893" s="1023"/>
      <c r="D15893" s="479"/>
      <c r="E15893" s="883"/>
      <c r="F15893" s="953"/>
      <c r="G15893" s="1024" t="s">
        <v>20028</v>
      </c>
      <c r="H15893" s="883"/>
      <c r="I15893" s="11"/>
    </row>
    <row r="15894" spans="1:9" ht="11.15" customHeight="1">
      <c r="A15894" s="740" t="s">
        <v>20029</v>
      </c>
      <c r="B15894" s="89" t="s">
        <v>20030</v>
      </c>
      <c r="C15894" s="1023"/>
      <c r="D15894" s="479"/>
      <c r="E15894" s="883"/>
      <c r="F15894" s="953"/>
      <c r="G15894" s="1024" t="s">
        <v>20031</v>
      </c>
      <c r="H15894" s="883"/>
      <c r="I15894" s="11"/>
    </row>
    <row r="15895" spans="1:9" ht="11.15" customHeight="1">
      <c r="A15895" s="740" t="s">
        <v>20032</v>
      </c>
      <c r="B15895" s="89"/>
      <c r="C15895" s="1023"/>
      <c r="D15895" s="479"/>
      <c r="E15895" s="883"/>
      <c r="F15895" s="953"/>
      <c r="G15895" s="1024" t="s">
        <v>20033</v>
      </c>
      <c r="H15895" s="883"/>
      <c r="I15895" s="11"/>
    </row>
    <row r="15896" spans="1:9" ht="11.15" customHeight="1">
      <c r="A15896" s="740" t="s">
        <v>20034</v>
      </c>
      <c r="B15896" s="89"/>
      <c r="C15896" s="1023"/>
      <c r="D15896" s="479"/>
      <c r="E15896" s="883"/>
      <c r="F15896" s="953"/>
      <c r="G15896" s="1024" t="s">
        <v>20035</v>
      </c>
      <c r="H15896" s="883"/>
      <c r="I15896" s="11"/>
    </row>
    <row r="15897" spans="1:9" ht="11.15" customHeight="1">
      <c r="A15897" s="740" t="s">
        <v>20036</v>
      </c>
      <c r="B15897" s="89"/>
      <c r="C15897" s="1023"/>
      <c r="D15897" s="479"/>
      <c r="E15897" s="883"/>
      <c r="F15897" s="953"/>
      <c r="G15897" s="1024" t="s">
        <v>20037</v>
      </c>
      <c r="H15897" s="883"/>
      <c r="I15897" s="11"/>
    </row>
    <row r="15898" spans="1:9" ht="11.15" customHeight="1">
      <c r="A15898" s="740" t="s">
        <v>20038</v>
      </c>
      <c r="B15898" s="89"/>
      <c r="C15898" s="1023"/>
      <c r="D15898" s="479"/>
      <c r="E15898" s="883"/>
      <c r="F15898" s="953"/>
      <c r="G15898" s="1024" t="s">
        <v>20039</v>
      </c>
      <c r="H15898" s="883"/>
      <c r="I15898" s="11"/>
    </row>
    <row r="15899" spans="1:9" ht="11.15" customHeight="1">
      <c r="A15899" s="740" t="s">
        <v>20040</v>
      </c>
      <c r="B15899" s="89" t="s">
        <v>20041</v>
      </c>
      <c r="C15899" s="1023"/>
      <c r="D15899" s="479"/>
      <c r="E15899" s="883"/>
      <c r="F15899" s="953"/>
      <c r="G15899" s="1024" t="s">
        <v>20042</v>
      </c>
      <c r="H15899" s="883"/>
      <c r="I15899" s="11"/>
    </row>
    <row r="15900" spans="1:9" ht="11.15" customHeight="1">
      <c r="A15900" s="740" t="s">
        <v>20043</v>
      </c>
      <c r="B15900" s="89" t="s">
        <v>20044</v>
      </c>
      <c r="C15900" s="1023"/>
      <c r="D15900" s="479"/>
      <c r="E15900" s="883"/>
      <c r="F15900" s="953"/>
      <c r="G15900" s="1024" t="s">
        <v>20045</v>
      </c>
      <c r="H15900" s="883"/>
      <c r="I15900" s="11"/>
    </row>
    <row r="15901" spans="1:9" ht="11.15" customHeight="1">
      <c r="A15901" s="740"/>
      <c r="B15901" s="89"/>
      <c r="C15901" s="883"/>
      <c r="D15901" s="953"/>
      <c r="E15901" s="883"/>
      <c r="F15901" s="953"/>
      <c r="G15901" s="1024"/>
      <c r="H15901" s="883"/>
      <c r="I15901" s="11"/>
    </row>
    <row r="15902" spans="1:9" ht="21" customHeight="1">
      <c r="A15902" s="937" t="s">
        <v>20046</v>
      </c>
      <c r="B15902" s="240"/>
      <c r="C15902" s="1023"/>
      <c r="D15902" s="479"/>
      <c r="E15902" s="883"/>
      <c r="F15902" s="953"/>
      <c r="G15902" s="1024"/>
      <c r="H15902" s="883"/>
      <c r="I15902" s="11"/>
    </row>
    <row r="15903" spans="1:9" ht="11.15" customHeight="1">
      <c r="A15903" s="285" t="s">
        <v>20047</v>
      </c>
      <c r="B15903" s="89" t="s">
        <v>20048</v>
      </c>
      <c r="C15903" s="1023"/>
      <c r="D15903" s="479"/>
      <c r="E15903" s="883"/>
      <c r="F15903" s="953"/>
      <c r="G15903" s="1024" t="s">
        <v>20049</v>
      </c>
      <c r="H15903" s="883"/>
      <c r="I15903" s="11"/>
    </row>
    <row r="15904" spans="1:9" ht="11.15" customHeight="1">
      <c r="A15904" s="285" t="s">
        <v>20050</v>
      </c>
      <c r="B15904" s="89" t="s">
        <v>20051</v>
      </c>
      <c r="C15904" s="883"/>
      <c r="D15904" s="953"/>
      <c r="E15904" s="883"/>
      <c r="F15904" s="953"/>
      <c r="G15904" s="1024" t="s">
        <v>20052</v>
      </c>
      <c r="H15904" s="883"/>
      <c r="I15904" s="11"/>
    </row>
    <row r="15905" spans="1:9" ht="11.15" customHeight="1">
      <c r="A15905" s="285" t="s">
        <v>20053</v>
      </c>
      <c r="B15905" s="89" t="s">
        <v>20054</v>
      </c>
      <c r="C15905" s="883"/>
      <c r="D15905" s="953"/>
      <c r="E15905" s="883"/>
      <c r="F15905" s="953"/>
      <c r="G15905" s="1024" t="s">
        <v>20055</v>
      </c>
      <c r="H15905" s="883"/>
      <c r="I15905" s="11"/>
    </row>
    <row r="15906" spans="1:9" ht="11.15" customHeight="1">
      <c r="A15906" s="285" t="s">
        <v>20056</v>
      </c>
      <c r="B15906" s="89" t="s">
        <v>20057</v>
      </c>
      <c r="C15906" s="883"/>
      <c r="D15906" s="953"/>
      <c r="E15906" s="883"/>
      <c r="F15906" s="953"/>
      <c r="G15906" s="1024" t="s">
        <v>20058</v>
      </c>
      <c r="H15906" s="883"/>
      <c r="I15906" s="11"/>
    </row>
    <row r="15907" spans="1:9" ht="11.15" customHeight="1">
      <c r="A15907" s="285" t="s">
        <v>20059</v>
      </c>
      <c r="B15907" s="89" t="s">
        <v>20060</v>
      </c>
      <c r="C15907" s="883"/>
      <c r="D15907" s="953"/>
      <c r="E15907" s="883"/>
      <c r="F15907" s="953"/>
      <c r="G15907" s="1024" t="s">
        <v>20061</v>
      </c>
      <c r="H15907" s="883"/>
      <c r="I15907" s="11"/>
    </row>
    <row r="15908" spans="1:9" ht="11.15" customHeight="1">
      <c r="A15908" s="285" t="s">
        <v>20062</v>
      </c>
      <c r="B15908" s="935" t="s">
        <v>20063</v>
      </c>
      <c r="C15908" s="590"/>
      <c r="D15908" s="590"/>
      <c r="E15908" s="178"/>
      <c r="F15908" s="178"/>
      <c r="G15908" s="60" t="s">
        <v>20064</v>
      </c>
      <c r="H15908" s="178"/>
      <c r="I15908" s="11"/>
    </row>
    <row r="15909" spans="1:9" ht="11.15" customHeight="1">
      <c r="A15909" s="285" t="s">
        <v>20065</v>
      </c>
      <c r="B15909" s="62" t="s">
        <v>20066</v>
      </c>
      <c r="C15909" s="590"/>
      <c r="D15909" s="590"/>
      <c r="E15909" s="178"/>
      <c r="F15909" s="178"/>
      <c r="G15909" s="60" t="s">
        <v>20067</v>
      </c>
      <c r="H15909" s="178"/>
      <c r="I15909" s="11"/>
    </row>
    <row r="15910" spans="1:9" ht="11.15" customHeight="1">
      <c r="A15910" s="285" t="s">
        <v>20068</v>
      </c>
      <c r="B15910" s="89" t="s">
        <v>20069</v>
      </c>
      <c r="C15910" s="590"/>
      <c r="D15910" s="590"/>
      <c r="E15910" s="178"/>
      <c r="F15910" s="178"/>
      <c r="G15910" s="60" t="s">
        <v>20070</v>
      </c>
      <c r="H15910" s="178"/>
      <c r="I15910" s="11"/>
    </row>
    <row r="15911" spans="1:9" ht="11.15" customHeight="1">
      <c r="A15911" s="285" t="s">
        <v>20071</v>
      </c>
      <c r="B15911" s="89" t="s">
        <v>20072</v>
      </c>
      <c r="C15911" s="883"/>
      <c r="D15911" s="953"/>
      <c r="E15911" s="883"/>
      <c r="F15911" s="953"/>
      <c r="G15911" s="1024" t="s">
        <v>20073</v>
      </c>
      <c r="H15911" s="883"/>
      <c r="I15911" s="11"/>
    </row>
    <row r="15912" spans="1:9" ht="11.15" customHeight="1">
      <c r="A15912" s="285" t="s">
        <v>20074</v>
      </c>
      <c r="B15912" s="89" t="s">
        <v>20075</v>
      </c>
      <c r="C15912" s="883"/>
      <c r="D15912" s="953"/>
      <c r="E15912" s="883"/>
      <c r="F15912" s="953"/>
      <c r="G15912" s="1024" t="s">
        <v>20076</v>
      </c>
      <c r="H15912" s="883"/>
      <c r="I15912" s="11"/>
    </row>
    <row r="15913" spans="1:9" ht="11.15" customHeight="1">
      <c r="A15913" s="285" t="s">
        <v>20077</v>
      </c>
      <c r="B15913" s="89" t="s">
        <v>20078</v>
      </c>
      <c r="C15913" s="883"/>
      <c r="D15913" s="953"/>
      <c r="E15913" s="883"/>
      <c r="F15913" s="953"/>
      <c r="G15913" s="1024" t="s">
        <v>20079</v>
      </c>
      <c r="H15913" s="883"/>
      <c r="I15913" s="11"/>
    </row>
    <row r="15914" spans="1:9" ht="11.15" customHeight="1">
      <c r="A15914" s="285" t="s">
        <v>20080</v>
      </c>
      <c r="B15914" s="89" t="s">
        <v>20048</v>
      </c>
      <c r="C15914" s="883"/>
      <c r="D15914" s="953"/>
      <c r="E15914" s="883"/>
      <c r="F15914" s="953"/>
      <c r="G15914" s="1024" t="s">
        <v>20081</v>
      </c>
      <c r="H15914" s="883"/>
      <c r="I15914" s="11"/>
    </row>
    <row r="15915" spans="1:9" ht="11.15" customHeight="1">
      <c r="A15915" s="285" t="s">
        <v>20082</v>
      </c>
      <c r="B15915" s="89" t="s">
        <v>20083</v>
      </c>
      <c r="C15915" s="883"/>
      <c r="D15915" s="953"/>
      <c r="E15915" s="883"/>
      <c r="F15915" s="953"/>
      <c r="G15915" s="1024" t="s">
        <v>20084</v>
      </c>
      <c r="H15915" s="883"/>
      <c r="I15915" s="11"/>
    </row>
    <row r="15916" spans="1:9" ht="11.15" customHeight="1">
      <c r="A15916" s="285" t="s">
        <v>20085</v>
      </c>
      <c r="B15916" s="89" t="s">
        <v>20086</v>
      </c>
      <c r="C15916" s="883"/>
      <c r="D15916" s="953"/>
      <c r="E15916" s="883"/>
      <c r="F15916" s="953"/>
      <c r="G15916" s="1024" t="s">
        <v>20087</v>
      </c>
      <c r="H15916" s="883"/>
      <c r="I15916" s="11"/>
    </row>
    <row r="15917" spans="1:9" ht="11.15" customHeight="1">
      <c r="A15917" s="285" t="s">
        <v>20088</v>
      </c>
      <c r="B15917" s="89" t="s">
        <v>20089</v>
      </c>
      <c r="C15917" s="883"/>
      <c r="D15917" s="953"/>
      <c r="E15917" s="883"/>
      <c r="F15917" s="953"/>
      <c r="G15917" s="1024" t="s">
        <v>20090</v>
      </c>
      <c r="H15917" s="883"/>
      <c r="I15917" s="11"/>
    </row>
    <row r="15918" spans="1:9" ht="11.15" customHeight="1">
      <c r="A15918" s="285" t="s">
        <v>20091</v>
      </c>
      <c r="B15918" s="89" t="s">
        <v>20092</v>
      </c>
      <c r="C15918" s="883"/>
      <c r="D15918" s="953"/>
      <c r="E15918" s="883"/>
      <c r="F15918" s="953"/>
      <c r="G15918" s="1024" t="s">
        <v>20093</v>
      </c>
      <c r="H15918" s="883"/>
      <c r="I15918" s="11"/>
    </row>
    <row r="15919" spans="1:9" ht="11.15" customHeight="1">
      <c r="A15919" s="285" t="s">
        <v>20094</v>
      </c>
      <c r="B15919" s="89" t="s">
        <v>20060</v>
      </c>
      <c r="C15919" s="883"/>
      <c r="D15919" s="953"/>
      <c r="E15919" s="883"/>
      <c r="F15919" s="953"/>
      <c r="G15919" s="1024" t="s">
        <v>20095</v>
      </c>
      <c r="H15919" s="883"/>
      <c r="I15919" s="11"/>
    </row>
    <row r="15920" spans="1:9" ht="11.15" customHeight="1">
      <c r="A15920" s="285" t="s">
        <v>20096</v>
      </c>
      <c r="B15920" s="89" t="s">
        <v>20097</v>
      </c>
      <c r="C15920" s="883"/>
      <c r="D15920" s="953"/>
      <c r="E15920" s="883"/>
      <c r="F15920" s="953"/>
      <c r="G15920" s="1024" t="s">
        <v>20098</v>
      </c>
      <c r="H15920" s="883"/>
      <c r="I15920" s="11"/>
    </row>
    <row r="15921" spans="1:9" ht="11.15" customHeight="1">
      <c r="A15921" s="285" t="s">
        <v>20099</v>
      </c>
      <c r="B15921" s="89" t="s">
        <v>20060</v>
      </c>
      <c r="C15921" s="883"/>
      <c r="D15921" s="953"/>
      <c r="E15921" s="883"/>
      <c r="F15921" s="953"/>
      <c r="G15921" s="1024" t="s">
        <v>20100</v>
      </c>
      <c r="H15921" s="883"/>
      <c r="I15921" s="11"/>
    </row>
    <row r="15922" spans="1:9" ht="11.15" customHeight="1">
      <c r="A15922" s="285" t="s">
        <v>20101</v>
      </c>
      <c r="B15922" s="62" t="s">
        <v>20102</v>
      </c>
      <c r="C15922" s="883"/>
      <c r="D15922" s="953"/>
      <c r="E15922" s="883"/>
      <c r="F15922" s="953"/>
      <c r="G15922" s="1024" t="s">
        <v>20103</v>
      </c>
      <c r="H15922" s="883"/>
      <c r="I15922" s="11"/>
    </row>
    <row r="15923" spans="1:9" ht="11.15" customHeight="1">
      <c r="A15923" s="285" t="s">
        <v>20104</v>
      </c>
      <c r="B15923" s="89" t="s">
        <v>20105</v>
      </c>
      <c r="C15923" s="883"/>
      <c r="D15923" s="953"/>
      <c r="E15923" s="883"/>
      <c r="F15923" s="953"/>
      <c r="G15923" s="1024" t="s">
        <v>20106</v>
      </c>
      <c r="H15923" s="883"/>
      <c r="I15923" s="11"/>
    </row>
    <row r="15924" spans="1:9" ht="11.15" customHeight="1">
      <c r="A15924" s="285" t="s">
        <v>20107</v>
      </c>
      <c r="B15924" s="89" t="s">
        <v>20060</v>
      </c>
      <c r="C15924" s="883"/>
      <c r="D15924" s="953"/>
      <c r="E15924" s="883"/>
      <c r="F15924" s="953"/>
      <c r="G15924" s="1024" t="s">
        <v>20108</v>
      </c>
      <c r="H15924" s="883"/>
      <c r="I15924" s="11"/>
    </row>
    <row r="15925" spans="1:9" ht="11.15" customHeight="1">
      <c r="A15925" s="285" t="s">
        <v>20109</v>
      </c>
      <c r="B15925" s="89" t="s">
        <v>20110</v>
      </c>
      <c r="C15925" s="883"/>
      <c r="D15925" s="953"/>
      <c r="E15925" s="883"/>
      <c r="F15925" s="953"/>
      <c r="G15925" s="1024" t="s">
        <v>20111</v>
      </c>
      <c r="H15925" s="883"/>
      <c r="I15925" s="11"/>
    </row>
    <row r="15926" spans="1:9" ht="11.15" customHeight="1">
      <c r="A15926" s="285" t="s">
        <v>20112</v>
      </c>
      <c r="B15926" s="89" t="s">
        <v>20113</v>
      </c>
      <c r="C15926" s="883"/>
      <c r="D15926" s="953"/>
      <c r="E15926" s="883"/>
      <c r="F15926" s="953"/>
      <c r="G15926" s="1024" t="s">
        <v>20114</v>
      </c>
      <c r="H15926" s="883"/>
      <c r="I15926" s="11"/>
    </row>
    <row r="15927" spans="1:9" ht="11.15" customHeight="1">
      <c r="A15927" s="285" t="s">
        <v>20115</v>
      </c>
      <c r="B15927" s="89" t="s">
        <v>20116</v>
      </c>
      <c r="C15927" s="883"/>
      <c r="D15927" s="953"/>
      <c r="E15927" s="883"/>
      <c r="F15927" s="953"/>
      <c r="G15927" s="1024" t="s">
        <v>20117</v>
      </c>
      <c r="H15927" s="883"/>
      <c r="I15927" s="11"/>
    </row>
    <row r="15928" spans="1:9" ht="11.15" customHeight="1">
      <c r="A15928" s="285" t="s">
        <v>20118</v>
      </c>
      <c r="B15928" s="89" t="s">
        <v>20119</v>
      </c>
      <c r="C15928" s="883"/>
      <c r="D15928" s="953"/>
      <c r="E15928" s="883"/>
      <c r="F15928" s="953"/>
      <c r="G15928" s="1024" t="s">
        <v>20120</v>
      </c>
      <c r="H15928" s="883"/>
      <c r="I15928" s="11"/>
    </row>
    <row r="15929" spans="1:9" ht="11.15" customHeight="1">
      <c r="A15929" s="285" t="s">
        <v>20121</v>
      </c>
      <c r="B15929" s="62" t="s">
        <v>20122</v>
      </c>
      <c r="C15929" s="883"/>
      <c r="D15929" s="953"/>
      <c r="E15929" s="883"/>
      <c r="F15929" s="953"/>
      <c r="G15929" s="1024" t="s">
        <v>20123</v>
      </c>
      <c r="H15929" s="883"/>
      <c r="I15929" s="11"/>
    </row>
    <row r="15930" spans="1:9" ht="11.15" customHeight="1">
      <c r="A15930" s="285" t="s">
        <v>20124</v>
      </c>
      <c r="B15930" s="1025" t="s">
        <v>20125</v>
      </c>
      <c r="C15930" s="883"/>
      <c r="D15930" s="953"/>
      <c r="E15930" s="883"/>
      <c r="F15930" s="953"/>
      <c r="G15930" s="1024" t="s">
        <v>20126</v>
      </c>
      <c r="H15930" s="883"/>
      <c r="I15930" s="11"/>
    </row>
    <row r="15931" spans="1:9" ht="11.15" customHeight="1">
      <c r="A15931" s="285" t="s">
        <v>20127</v>
      </c>
      <c r="B15931" s="62" t="s">
        <v>20128</v>
      </c>
      <c r="C15931" s="883"/>
      <c r="D15931" s="953"/>
      <c r="E15931" s="883"/>
      <c r="F15931" s="953"/>
      <c r="G15931" s="1024" t="s">
        <v>20129</v>
      </c>
      <c r="H15931" s="883"/>
      <c r="I15931" s="11"/>
    </row>
    <row r="15932" spans="1:9" ht="11.15" customHeight="1">
      <c r="A15932" s="285" t="s">
        <v>20130</v>
      </c>
      <c r="B15932" s="1025" t="s">
        <v>20125</v>
      </c>
      <c r="C15932" s="883"/>
      <c r="D15932" s="953"/>
      <c r="E15932" s="883"/>
      <c r="F15932" s="953"/>
      <c r="G15932" s="1024" t="s">
        <v>20131</v>
      </c>
      <c r="H15932" s="883"/>
      <c r="I15932" s="11"/>
    </row>
    <row r="15933" spans="1:9" ht="11.15" customHeight="1">
      <c r="A15933" s="285" t="s">
        <v>20132</v>
      </c>
      <c r="B15933" s="89" t="s">
        <v>20133</v>
      </c>
      <c r="C15933" s="883"/>
      <c r="D15933" s="953"/>
      <c r="E15933" s="883"/>
      <c r="F15933" s="953"/>
      <c r="G15933" s="1024" t="s">
        <v>20134</v>
      </c>
      <c r="H15933" s="883"/>
      <c r="I15933" s="11"/>
    </row>
    <row r="15934" spans="1:9" ht="11.15" customHeight="1">
      <c r="A15934" s="285" t="s">
        <v>20135</v>
      </c>
      <c r="B15934" s="62" t="s">
        <v>20136</v>
      </c>
      <c r="C15934" s="883"/>
      <c r="D15934" s="953"/>
      <c r="E15934" s="883"/>
      <c r="F15934" s="953"/>
      <c r="G15934" s="1024" t="s">
        <v>20137</v>
      </c>
      <c r="H15934" s="883"/>
      <c r="I15934" s="11"/>
    </row>
    <row r="15935" spans="1:9" ht="11.15" customHeight="1" thickBot="1">
      <c r="A15935" s="285"/>
      <c r="B15935" s="62"/>
      <c r="C15935" s="883"/>
      <c r="D15935" s="953"/>
      <c r="E15935" s="883"/>
      <c r="F15935" s="953"/>
      <c r="G15935" s="1024"/>
      <c r="H15935" s="883"/>
      <c r="I15935" s="11"/>
    </row>
    <row r="15936" spans="1:9" ht="23.25" customHeight="1" thickBot="1">
      <c r="A15936" s="1026"/>
      <c r="B15936" s="64" t="s">
        <v>20138</v>
      </c>
      <c r="C15936" s="1027"/>
      <c r="D15936" s="1027"/>
      <c r="E15936" s="1028"/>
      <c r="F15936" s="1028"/>
      <c r="G15936" s="1080"/>
      <c r="H15936" s="661"/>
      <c r="I15936" s="11"/>
    </row>
    <row r="15937" spans="1:9" ht="11.15" customHeight="1">
      <c r="A15937" s="1029" t="s">
        <v>20139</v>
      </c>
      <c r="B15937" s="941" t="s">
        <v>20140</v>
      </c>
      <c r="C15937" s="1030"/>
      <c r="D15937" s="1030"/>
      <c r="E15937" s="693"/>
      <c r="F15937" s="693"/>
      <c r="G15937" s="623"/>
      <c r="H15937" s="693"/>
      <c r="I15937" s="11"/>
    </row>
    <row r="15938" spans="1:9" ht="11.15" customHeight="1">
      <c r="A15938" s="1029"/>
      <c r="B15938" s="941"/>
      <c r="C15938" s="1030"/>
      <c r="D15938" s="1030"/>
      <c r="E15938" s="693"/>
      <c r="F15938" s="693"/>
      <c r="G15938" s="623"/>
      <c r="H15938" s="693"/>
      <c r="I15938" s="11"/>
    </row>
    <row r="15939" spans="1:9" ht="11.15" customHeight="1">
      <c r="A15939" s="1029" t="s">
        <v>20141</v>
      </c>
      <c r="B15939" s="923" t="s">
        <v>20142</v>
      </c>
      <c r="C15939" s="1030"/>
      <c r="D15939" s="1030"/>
      <c r="E15939" s="693"/>
      <c r="F15939" s="693"/>
      <c r="G15939" s="623"/>
      <c r="H15939" s="693"/>
      <c r="I15939" s="11"/>
    </row>
    <row r="15940" spans="1:9" ht="11.15" customHeight="1">
      <c r="A15940" s="1029"/>
      <c r="B15940" s="923" t="s">
        <v>20143</v>
      </c>
      <c r="C15940" s="1030"/>
      <c r="D15940" s="1030"/>
      <c r="E15940" s="693"/>
      <c r="F15940" s="693"/>
      <c r="G15940" s="623"/>
      <c r="H15940" s="693"/>
      <c r="I15940" s="11"/>
    </row>
    <row r="15941" spans="1:9" ht="11.15" customHeight="1">
      <c r="A15941" s="1029"/>
      <c r="B15941" s="923"/>
      <c r="C15941" s="1030"/>
      <c r="D15941" s="1030"/>
      <c r="E15941" s="693"/>
      <c r="F15941" s="693"/>
      <c r="G15941" s="623"/>
      <c r="H15941" s="693"/>
      <c r="I15941" s="11"/>
    </row>
    <row r="15942" spans="1:9" ht="11.15" customHeight="1">
      <c r="A15942" s="1029" t="s">
        <v>20144</v>
      </c>
      <c r="B15942" s="941" t="s">
        <v>20145</v>
      </c>
      <c r="C15942" s="1030"/>
      <c r="D15942" s="1030"/>
      <c r="E15942" s="693"/>
      <c r="F15942" s="693"/>
      <c r="G15942" s="623"/>
      <c r="H15942" s="693"/>
      <c r="I15942" s="11"/>
    </row>
    <row r="15943" spans="1:9" ht="11.15" customHeight="1">
      <c r="A15943" s="1029"/>
      <c r="B15943" s="923" t="s">
        <v>20146</v>
      </c>
      <c r="C15943" s="1030"/>
      <c r="D15943" s="1030"/>
      <c r="E15943" s="693"/>
      <c r="F15943" s="693"/>
      <c r="G15943" s="623"/>
      <c r="H15943" s="693"/>
      <c r="I15943" s="11"/>
    </row>
    <row r="15944" spans="1:9" ht="11.15" customHeight="1">
      <c r="A15944" s="1029"/>
      <c r="B15944" s="923" t="s">
        <v>20147</v>
      </c>
      <c r="C15944" s="1030"/>
      <c r="D15944" s="1030"/>
      <c r="E15944" s="693"/>
      <c r="F15944" s="693"/>
      <c r="G15944" s="623"/>
      <c r="H15944" s="693"/>
      <c r="I15944" s="11"/>
    </row>
    <row r="15945" spans="1:9" ht="11.15" customHeight="1">
      <c r="A15945" s="1029"/>
      <c r="B15945" s="923" t="s">
        <v>20148</v>
      </c>
      <c r="C15945" s="1030"/>
      <c r="D15945" s="1030"/>
      <c r="E15945" s="693"/>
      <c r="F15945" s="693"/>
      <c r="G15945" s="623"/>
      <c r="H15945" s="693"/>
      <c r="I15945" s="11"/>
    </row>
    <row r="15946" spans="1:9" ht="11.15" customHeight="1">
      <c r="A15946" s="1029"/>
      <c r="B15946" s="923" t="s">
        <v>20149</v>
      </c>
      <c r="C15946" s="1030"/>
      <c r="D15946" s="1030"/>
      <c r="E15946" s="693"/>
      <c r="F15946" s="693"/>
      <c r="G15946" s="623"/>
      <c r="H15946" s="693"/>
      <c r="I15946" s="11"/>
    </row>
    <row r="15947" spans="1:9" ht="11.15" customHeight="1">
      <c r="A15947" s="1029"/>
      <c r="B15947" s="941" t="s">
        <v>20150</v>
      </c>
      <c r="C15947" s="1030"/>
      <c r="D15947" s="1030"/>
      <c r="E15947" s="693"/>
      <c r="F15947" s="295"/>
      <c r="G15947" s="623"/>
      <c r="H15947" s="295"/>
      <c r="I15947" s="11"/>
    </row>
    <row r="15948" spans="1:9" ht="11.15" customHeight="1">
      <c r="A15948" s="1029"/>
      <c r="B15948" s="941"/>
      <c r="C15948" s="1030"/>
      <c r="D15948" s="1030"/>
      <c r="E15948" s="693"/>
      <c r="F15948" s="295"/>
      <c r="G15948" s="623"/>
      <c r="H15948" s="295"/>
      <c r="I15948" s="11"/>
    </row>
    <row r="15949" spans="1:9" ht="11.15" customHeight="1">
      <c r="A15949" s="1029" t="s">
        <v>20151</v>
      </c>
      <c r="B15949" s="941" t="s">
        <v>20152</v>
      </c>
      <c r="C15949" s="1030"/>
      <c r="D15949" s="1030"/>
      <c r="E15949" s="693"/>
      <c r="F15949" s="295"/>
      <c r="G15949" s="623"/>
      <c r="H15949" s="295"/>
      <c r="I15949" s="11"/>
    </row>
    <row r="15950" spans="1:9" ht="11.15" customHeight="1">
      <c r="A15950" s="1029"/>
      <c r="B15950" s="941" t="s">
        <v>20153</v>
      </c>
      <c r="C15950" s="1030"/>
      <c r="D15950" s="1030"/>
      <c r="E15950" s="693"/>
      <c r="F15950" s="295"/>
      <c r="G15950" s="623"/>
      <c r="H15950" s="295"/>
      <c r="I15950" s="11"/>
    </row>
    <row r="15951" spans="1:9" ht="11.15" customHeight="1">
      <c r="A15951" s="1029"/>
      <c r="B15951" s="941"/>
      <c r="C15951" s="1030"/>
      <c r="D15951" s="1030"/>
      <c r="E15951" s="693"/>
      <c r="F15951" s="295"/>
      <c r="G15951" s="623"/>
      <c r="H15951" s="295"/>
      <c r="I15951" s="11"/>
    </row>
    <row r="15952" spans="1:9" ht="11.15" customHeight="1">
      <c r="A15952" s="1029" t="s">
        <v>20154</v>
      </c>
      <c r="B15952" s="923" t="s">
        <v>20155</v>
      </c>
      <c r="C15952" s="1030"/>
      <c r="D15952" s="1030"/>
      <c r="E15952" s="693"/>
      <c r="F15952" s="693"/>
      <c r="G15952" s="623"/>
      <c r="H15952" s="693"/>
      <c r="I15952" s="11"/>
    </row>
    <row r="15953" spans="1:9" ht="11.15" customHeight="1">
      <c r="A15953" s="1029" t="s">
        <v>20156</v>
      </c>
      <c r="B15953" s="923" t="s">
        <v>20157</v>
      </c>
      <c r="C15953" s="1030"/>
      <c r="D15953" s="1030"/>
      <c r="E15953" s="693"/>
      <c r="F15953" s="693"/>
      <c r="G15953" s="623"/>
      <c r="H15953" s="693"/>
      <c r="I15953" s="11"/>
    </row>
    <row r="15954" spans="1:9" ht="11.15" customHeight="1">
      <c r="A15954" s="1029"/>
      <c r="B15954" s="941" t="s">
        <v>20158</v>
      </c>
      <c r="C15954" s="1030"/>
      <c r="D15954" s="1030"/>
      <c r="E15954" s="693"/>
      <c r="F15954" s="693"/>
      <c r="G15954" s="623"/>
      <c r="H15954" s="693"/>
      <c r="I15954" s="11"/>
    </row>
    <row r="15955" spans="1:9" ht="11.15" customHeight="1">
      <c r="A15955" s="1029"/>
      <c r="B15955" s="941"/>
      <c r="C15955" s="1030"/>
      <c r="D15955" s="1030"/>
      <c r="E15955" s="693"/>
      <c r="F15955" s="693"/>
      <c r="G15955" s="623"/>
      <c r="H15955" s="693"/>
      <c r="I15955" s="11"/>
    </row>
    <row r="15956" spans="1:9" ht="11.15" customHeight="1">
      <c r="A15956" s="1029" t="s">
        <v>20159</v>
      </c>
      <c r="B15956" s="941" t="s">
        <v>20160</v>
      </c>
      <c r="C15956" s="1030"/>
      <c r="D15956" s="1030"/>
      <c r="E15956" s="693"/>
      <c r="F15956" s="693"/>
      <c r="G15956" s="623"/>
      <c r="H15956" s="693"/>
      <c r="I15956" s="11"/>
    </row>
    <row r="15957" spans="1:9" ht="11.15" customHeight="1">
      <c r="A15957" s="990"/>
      <c r="B15957" s="941"/>
      <c r="C15957" s="1030"/>
      <c r="D15957" s="1030"/>
      <c r="E15957" s="693"/>
      <c r="F15957" s="693"/>
      <c r="G15957" s="623"/>
      <c r="H15957" s="693"/>
      <c r="I15957" s="11"/>
    </row>
    <row r="15958" spans="1:9" ht="11.15" customHeight="1">
      <c r="A15958" s="1029" t="s">
        <v>20161</v>
      </c>
      <c r="B15958" s="574" t="s">
        <v>20162</v>
      </c>
      <c r="C15958" s="1030"/>
      <c r="D15958" s="1030"/>
      <c r="E15958" s="693"/>
      <c r="F15958" s="693"/>
      <c r="G15958" s="623"/>
      <c r="H15958" s="693"/>
      <c r="I15958" s="11"/>
    </row>
    <row r="15959" spans="1:9" ht="11.15" customHeight="1">
      <c r="A15959" s="1031">
        <v>1</v>
      </c>
      <c r="B15959" s="923" t="s">
        <v>20163</v>
      </c>
      <c r="C15959" s="1030"/>
      <c r="D15959" s="1030"/>
      <c r="E15959" s="693"/>
      <c r="F15959" s="693"/>
      <c r="G15959" s="623"/>
      <c r="H15959" s="693"/>
      <c r="I15959" s="11"/>
    </row>
    <row r="15960" spans="1:9" ht="11.15" customHeight="1">
      <c r="A15960" s="1031">
        <v>2</v>
      </c>
      <c r="B15960" s="941" t="s">
        <v>20164</v>
      </c>
      <c r="C15960" s="1030"/>
      <c r="D15960" s="1030"/>
      <c r="E15960" s="693"/>
      <c r="F15960" s="693"/>
      <c r="G15960" s="623"/>
      <c r="H15960" s="693"/>
      <c r="I15960" s="11"/>
    </row>
    <row r="15961" spans="1:9" ht="11.15" customHeight="1">
      <c r="A15961" s="1031"/>
      <c r="B15961" s="941" t="s">
        <v>20165</v>
      </c>
      <c r="C15961" s="1030"/>
      <c r="D15961" s="1030"/>
      <c r="E15961" s="693"/>
      <c r="F15961" s="693"/>
      <c r="G15961" s="623"/>
      <c r="H15961" s="693"/>
      <c r="I15961" s="11"/>
    </row>
    <row r="15962" spans="1:9" ht="11.15" customHeight="1">
      <c r="A15962" s="1031">
        <v>3</v>
      </c>
      <c r="B15962" s="941" t="s">
        <v>20166</v>
      </c>
      <c r="C15962" s="1030"/>
      <c r="D15962" s="1030"/>
      <c r="E15962" s="693"/>
      <c r="F15962" s="693"/>
      <c r="G15962" s="623"/>
      <c r="H15962" s="693"/>
      <c r="I15962" s="11"/>
    </row>
    <row r="15963" spans="1:9" ht="11.15" customHeight="1">
      <c r="A15963" s="1031">
        <v>4</v>
      </c>
      <c r="B15963" s="941" t="s">
        <v>20167</v>
      </c>
      <c r="C15963" s="1030"/>
      <c r="D15963" s="1030"/>
      <c r="E15963" s="693"/>
      <c r="F15963" s="693"/>
      <c r="G15963" s="623"/>
      <c r="H15963" s="693"/>
      <c r="I15963" s="11"/>
    </row>
    <row r="15964" spans="1:9" ht="11.15" customHeight="1">
      <c r="A15964" s="72"/>
      <c r="B15964" s="941" t="s">
        <v>20168</v>
      </c>
      <c r="C15964" s="1030"/>
      <c r="D15964" s="1030"/>
      <c r="E15964" s="693"/>
      <c r="F15964" s="693"/>
      <c r="G15964" s="623"/>
      <c r="H15964" s="693"/>
      <c r="I15964" s="11"/>
    </row>
    <row r="15965" spans="1:9" ht="11.15" customHeight="1">
      <c r="A15965" s="623">
        <v>5</v>
      </c>
      <c r="B15965" s="941" t="s">
        <v>20169</v>
      </c>
      <c r="C15965" s="1030"/>
      <c r="D15965" s="1030"/>
      <c r="E15965" s="693"/>
      <c r="F15965" s="693"/>
      <c r="G15965" s="623"/>
      <c r="H15965" s="693"/>
      <c r="I15965" s="11"/>
    </row>
    <row r="15966" spans="1:9" ht="11.15" customHeight="1">
      <c r="A15966" s="1029"/>
      <c r="B15966" s="941"/>
      <c r="C15966" s="1030"/>
      <c r="D15966" s="1030"/>
      <c r="E15966" s="693"/>
      <c r="F15966" s="693"/>
      <c r="G15966" s="623"/>
      <c r="H15966" s="693"/>
      <c r="I15966" s="11"/>
    </row>
    <row r="15967" spans="1:9" ht="11.15" customHeight="1">
      <c r="A15967" s="1029" t="s">
        <v>20170</v>
      </c>
      <c r="B15967" s="941" t="s">
        <v>20171</v>
      </c>
      <c r="C15967" s="1030"/>
      <c r="D15967" s="1030"/>
      <c r="E15967" s="693"/>
      <c r="F15967" s="693"/>
      <c r="G15967" s="623"/>
      <c r="H15967" s="693"/>
      <c r="I15967" s="11"/>
    </row>
    <row r="15968" spans="1:9" ht="11.15" customHeight="1">
      <c r="A15968" s="1029"/>
      <c r="B15968" s="941" t="s">
        <v>20172</v>
      </c>
      <c r="C15968" s="1030"/>
      <c r="D15968" s="1030"/>
      <c r="E15968" s="693"/>
      <c r="F15968" s="693"/>
      <c r="G15968" s="623"/>
      <c r="H15968" s="693"/>
      <c r="I15968" s="11"/>
    </row>
    <row r="15969" spans="1:9" ht="11.15" customHeight="1">
      <c r="A15969" s="1029"/>
      <c r="B15969" s="941" t="s">
        <v>20173</v>
      </c>
      <c r="C15969" s="1030"/>
      <c r="D15969" s="1030"/>
      <c r="E15969" s="693"/>
      <c r="F15969" s="693"/>
      <c r="G15969" s="623"/>
      <c r="H15969" s="693"/>
      <c r="I15969" s="11"/>
    </row>
    <row r="15970" spans="1:9" ht="11.15" customHeight="1">
      <c r="A15970" s="1029"/>
      <c r="B15970" s="1032" t="s">
        <v>20174</v>
      </c>
      <c r="C15970" s="1030"/>
      <c r="D15970" s="1030"/>
      <c r="E15970" s="693"/>
      <c r="F15970" s="693"/>
      <c r="G15970" s="623"/>
      <c r="H15970" s="693"/>
      <c r="I15970" s="11"/>
    </row>
    <row r="15971" spans="1:9" ht="11.15" customHeight="1">
      <c r="A15971" s="1029"/>
      <c r="B15971" s="941"/>
      <c r="C15971" s="1030"/>
      <c r="D15971" s="1030"/>
      <c r="E15971" s="693"/>
      <c r="F15971" s="693"/>
      <c r="G15971" s="623"/>
      <c r="H15971" s="693"/>
      <c r="I15971" s="11"/>
    </row>
    <row r="15972" spans="1:9" ht="11.15" customHeight="1">
      <c r="A15972" s="1029" t="s">
        <v>20175</v>
      </c>
      <c r="B15972" s="941" t="s">
        <v>20176</v>
      </c>
      <c r="C15972" s="1030"/>
      <c r="D15972" s="1030"/>
      <c r="E15972" s="693"/>
      <c r="F15972" s="693"/>
      <c r="G15972" s="623"/>
      <c r="H15972" s="693"/>
      <c r="I15972" s="11"/>
    </row>
    <row r="15973" spans="1:9" ht="11.15" customHeight="1">
      <c r="A15973" s="1029"/>
      <c r="B15973" s="941"/>
      <c r="C15973" s="1030"/>
      <c r="D15973" s="1030"/>
      <c r="E15973" s="693"/>
      <c r="F15973" s="693"/>
      <c r="G15973" s="623"/>
      <c r="H15973" s="693"/>
      <c r="I15973" s="11"/>
    </row>
    <row r="15974" spans="1:9" ht="11.15" customHeight="1">
      <c r="A15974" s="1029" t="s">
        <v>20177</v>
      </c>
      <c r="B15974" s="941" t="s">
        <v>20178</v>
      </c>
      <c r="C15974" s="1030"/>
      <c r="D15974" s="1030"/>
      <c r="E15974" s="693"/>
      <c r="F15974" s="693"/>
      <c r="G15974" s="623"/>
      <c r="H15974" s="693"/>
      <c r="I15974" s="11"/>
    </row>
    <row r="15975" spans="1:9" ht="11.15" customHeight="1">
      <c r="A15975" s="1029"/>
      <c r="B15975" s="923" t="s">
        <v>20179</v>
      </c>
      <c r="C15975" s="1030"/>
      <c r="D15975" s="1030"/>
      <c r="E15975" s="693"/>
      <c r="F15975" s="693"/>
      <c r="G15975" s="623"/>
      <c r="H15975" s="693"/>
      <c r="I15975" s="11"/>
    </row>
    <row r="15976" spans="1:9" ht="11.15" customHeight="1">
      <c r="A15976" s="79"/>
      <c r="B15976" s="941" t="s">
        <v>20180</v>
      </c>
      <c r="C15976" s="1030"/>
      <c r="D15976" s="1030"/>
      <c r="E15976" s="693"/>
      <c r="F15976" s="693"/>
      <c r="G15976" s="623"/>
      <c r="H15976" s="693"/>
      <c r="I15976" s="11"/>
    </row>
    <row r="15977" spans="1:9" ht="11.15" customHeight="1">
      <c r="A15977" s="79"/>
      <c r="B15977" s="941" t="s">
        <v>20181</v>
      </c>
      <c r="C15977" s="1030"/>
      <c r="D15977" s="1030"/>
      <c r="E15977" s="693"/>
      <c r="F15977" s="693"/>
      <c r="G15977" s="623"/>
      <c r="H15977" s="693"/>
      <c r="I15977" s="11"/>
    </row>
    <row r="15978" spans="1:9" ht="11.15" customHeight="1">
      <c r="A15978" s="79"/>
      <c r="B15978" s="941" t="s">
        <v>20182</v>
      </c>
      <c r="C15978" s="1030"/>
      <c r="D15978" s="1030"/>
      <c r="E15978" s="693"/>
      <c r="F15978" s="693"/>
      <c r="G15978" s="623"/>
      <c r="H15978" s="693"/>
      <c r="I15978" s="11"/>
    </row>
    <row r="15979" spans="1:9" ht="11.15" customHeight="1">
      <c r="A15979" s="1031">
        <v>1</v>
      </c>
      <c r="B15979" s="941" t="s">
        <v>20183</v>
      </c>
      <c r="C15979" s="1030"/>
      <c r="D15979" s="1030"/>
      <c r="E15979" s="693"/>
      <c r="F15979" s="693"/>
      <c r="G15979" s="623"/>
      <c r="H15979" s="693"/>
      <c r="I15979" s="11"/>
    </row>
    <row r="15980" spans="1:9" ht="11.15" customHeight="1">
      <c r="A15980" s="1031">
        <v>2</v>
      </c>
      <c r="B15980" s="941" t="s">
        <v>20184</v>
      </c>
      <c r="C15980" s="1030"/>
      <c r="D15980" s="1030"/>
      <c r="E15980" s="693"/>
      <c r="F15980" s="693"/>
      <c r="G15980" s="623"/>
      <c r="H15980" s="693"/>
      <c r="I15980" s="11"/>
    </row>
    <row r="15981" spans="1:9" ht="11.15" customHeight="1">
      <c r="A15981" s="1031">
        <v>3</v>
      </c>
      <c r="B15981" s="941" t="s">
        <v>20185</v>
      </c>
      <c r="C15981" s="1030"/>
      <c r="D15981" s="1030"/>
      <c r="E15981" s="693"/>
      <c r="F15981" s="693"/>
      <c r="G15981" s="623"/>
      <c r="H15981" s="693"/>
      <c r="I15981" s="11"/>
    </row>
    <row r="15982" spans="1:9" ht="11.15" customHeight="1">
      <c r="A15982" s="1031">
        <v>4</v>
      </c>
      <c r="B15982" s="941" t="s">
        <v>20186</v>
      </c>
      <c r="C15982" s="1030"/>
      <c r="D15982" s="1030"/>
      <c r="E15982" s="693"/>
      <c r="F15982" s="693"/>
      <c r="G15982" s="623"/>
      <c r="H15982" s="693"/>
      <c r="I15982" s="11"/>
    </row>
    <row r="15983" spans="1:9" ht="11.15" customHeight="1">
      <c r="A15983" s="1031">
        <v>5</v>
      </c>
      <c r="B15983" s="941" t="s">
        <v>20187</v>
      </c>
      <c r="C15983" s="1030"/>
      <c r="D15983" s="1030"/>
      <c r="E15983" s="693"/>
      <c r="F15983" s="693"/>
      <c r="G15983" s="623"/>
      <c r="H15983" s="693"/>
      <c r="I15983" s="11"/>
    </row>
    <row r="15984" spans="1:9" ht="11.15" customHeight="1">
      <c r="A15984" s="73"/>
      <c r="B15984" s="941"/>
      <c r="C15984" s="1030"/>
      <c r="D15984" s="1030"/>
      <c r="E15984" s="693"/>
      <c r="F15984" s="693"/>
      <c r="G15984" s="623"/>
      <c r="H15984" s="693"/>
      <c r="I15984" s="11"/>
    </row>
    <row r="15985" spans="1:9" ht="11.15" customHeight="1">
      <c r="A15985" s="79" t="s">
        <v>20188</v>
      </c>
      <c r="B15985" s="941" t="s">
        <v>20189</v>
      </c>
      <c r="C15985" s="1030"/>
      <c r="D15985" s="1030"/>
      <c r="E15985" s="693"/>
      <c r="F15985" s="693"/>
      <c r="G15985" s="623"/>
      <c r="H15985" s="693"/>
      <c r="I15985" s="11"/>
    </row>
    <row r="15986" spans="1:9" ht="11.15" customHeight="1">
      <c r="A15986" s="73"/>
      <c r="B15986" s="941" t="s">
        <v>20190</v>
      </c>
      <c r="C15986" s="1030"/>
      <c r="D15986" s="1030"/>
      <c r="E15986" s="693"/>
      <c r="F15986" s="693"/>
      <c r="G15986" s="623"/>
      <c r="H15986" s="693"/>
      <c r="I15986" s="11"/>
    </row>
    <row r="15987" spans="1:9" ht="11.15" customHeight="1">
      <c r="A15987" s="79"/>
      <c r="B15987" s="923" t="s">
        <v>20191</v>
      </c>
      <c r="C15987" s="1030"/>
      <c r="D15987" s="1030"/>
      <c r="E15987" s="693"/>
      <c r="F15987" s="693"/>
      <c r="G15987" s="623"/>
      <c r="H15987" s="693"/>
      <c r="I15987" s="11"/>
    </row>
    <row r="15988" spans="1:9" ht="10.5" customHeight="1">
      <c r="A15988" s="79"/>
      <c r="B15988" s="923" t="s">
        <v>20192</v>
      </c>
      <c r="C15988" s="1030"/>
      <c r="D15988" s="1030"/>
      <c r="E15988" s="693"/>
      <c r="F15988" s="693"/>
      <c r="G15988" s="623"/>
      <c r="H15988" s="693"/>
      <c r="I15988" s="11"/>
    </row>
    <row r="15989" spans="1:9" ht="10.5" customHeight="1">
      <c r="A15989" s="79"/>
      <c r="B15989" s="923" t="s">
        <v>20193</v>
      </c>
      <c r="C15989" s="1030"/>
      <c r="D15989" s="1030"/>
      <c r="E15989" s="693"/>
      <c r="F15989" s="693"/>
      <c r="G15989" s="623"/>
      <c r="H15989" s="693"/>
      <c r="I15989" s="11"/>
    </row>
    <row r="15990" spans="1:9" ht="10.5" customHeight="1">
      <c r="A15990" s="79"/>
      <c r="B15990" s="923"/>
      <c r="C15990" s="1030"/>
      <c r="D15990" s="1030"/>
      <c r="E15990" s="693"/>
      <c r="F15990" s="693"/>
      <c r="G15990" s="623"/>
      <c r="H15990" s="693"/>
      <c r="I15990" s="11"/>
    </row>
    <row r="15991" spans="1:9" ht="10.5" customHeight="1">
      <c r="A15991" s="79" t="s">
        <v>20194</v>
      </c>
      <c r="B15991" s="923" t="s">
        <v>20195</v>
      </c>
      <c r="C15991" s="1030"/>
      <c r="D15991" s="1030"/>
      <c r="E15991" s="693"/>
      <c r="F15991" s="693"/>
      <c r="G15991" s="623"/>
      <c r="H15991" s="693"/>
      <c r="I15991" s="11"/>
    </row>
    <row r="15992" spans="1:9" ht="10.5" customHeight="1">
      <c r="A15992" s="79"/>
      <c r="B15992" s="923"/>
      <c r="C15992" s="1030"/>
      <c r="D15992" s="1030"/>
      <c r="E15992" s="693"/>
      <c r="F15992" s="693"/>
      <c r="G15992" s="623"/>
      <c r="H15992" s="693"/>
      <c r="I15992" s="11"/>
    </row>
    <row r="15993" spans="1:9" ht="10.5" customHeight="1">
      <c r="A15993" s="79" t="s">
        <v>20196</v>
      </c>
      <c r="B15993" s="923" t="s">
        <v>20197</v>
      </c>
      <c r="C15993" s="1030"/>
      <c r="D15993" s="1030"/>
      <c r="E15993" s="693"/>
      <c r="F15993" s="693"/>
      <c r="G15993" s="623"/>
      <c r="H15993" s="693"/>
      <c r="I15993" s="11"/>
    </row>
    <row r="15994" spans="1:9" ht="10.5" customHeight="1">
      <c r="A15994" s="79"/>
      <c r="B15994" s="923"/>
      <c r="C15994" s="1030"/>
      <c r="D15994" s="1030"/>
      <c r="E15994" s="693"/>
      <c r="F15994" s="693"/>
      <c r="G15994" s="623"/>
      <c r="H15994" s="693"/>
      <c r="I15994" s="11"/>
    </row>
    <row r="15995" spans="1:9" ht="11.15" customHeight="1">
      <c r="A15995" s="79" t="s">
        <v>20198</v>
      </c>
      <c r="B15995" s="923" t="s">
        <v>20199</v>
      </c>
      <c r="C15995" s="1030"/>
      <c r="D15995" s="1030"/>
      <c r="E15995" s="693"/>
      <c r="F15995" s="693"/>
      <c r="G15995" s="623"/>
      <c r="H15995" s="693"/>
      <c r="I15995" s="11"/>
    </row>
    <row r="15996" spans="1:9" ht="11.15" customHeight="1">
      <c r="A15996" s="79"/>
      <c r="B15996" s="923"/>
      <c r="C15996" s="1030"/>
      <c r="D15996" s="1030"/>
      <c r="E15996" s="693"/>
      <c r="F15996" s="693"/>
      <c r="G15996" s="623"/>
      <c r="H15996" s="693"/>
      <c r="I15996" s="11"/>
    </row>
    <row r="15997" spans="1:9" ht="11.15" customHeight="1">
      <c r="A15997" s="79" t="s">
        <v>20200</v>
      </c>
      <c r="B15997" s="1033" t="s">
        <v>20201</v>
      </c>
      <c r="C15997" s="1030"/>
      <c r="D15997" s="1030"/>
      <c r="E15997" s="693"/>
      <c r="F15997" s="693"/>
      <c r="G15997" s="623"/>
      <c r="H15997" s="693"/>
      <c r="I15997" s="11"/>
    </row>
    <row r="15998" spans="1:9" ht="11.15" customHeight="1">
      <c r="A15998" s="1031">
        <v>1</v>
      </c>
      <c r="B15998" s="923" t="s">
        <v>20202</v>
      </c>
      <c r="C15998" s="1030"/>
      <c r="D15998" s="1030"/>
      <c r="E15998" s="693"/>
      <c r="F15998" s="693"/>
      <c r="G15998" s="623"/>
      <c r="H15998" s="693"/>
      <c r="I15998" s="11"/>
    </row>
    <row r="15999" spans="1:9" ht="11.15" customHeight="1">
      <c r="A15999" s="1031">
        <v>2</v>
      </c>
      <c r="B15999" s="941" t="s">
        <v>20203</v>
      </c>
      <c r="C15999" s="74"/>
      <c r="D15999" s="74"/>
      <c r="E15999" s="59"/>
      <c r="F15999" s="59"/>
      <c r="G15999" s="60"/>
      <c r="H15999" s="59"/>
      <c r="I15999" s="11"/>
    </row>
    <row r="16000" spans="1:9" ht="11.15" customHeight="1">
      <c r="A16000" s="1031">
        <v>3</v>
      </c>
      <c r="B16000" s="941" t="s">
        <v>20204</v>
      </c>
      <c r="C16000" s="1030"/>
      <c r="D16000" s="1030"/>
      <c r="E16000" s="693"/>
      <c r="F16000" s="693"/>
      <c r="G16000" s="623"/>
      <c r="H16000" s="693"/>
      <c r="I16000" s="11"/>
    </row>
    <row r="16001" spans="1:8" ht="11.15" customHeight="1">
      <c r="A16001" s="1031">
        <v>4</v>
      </c>
      <c r="B16001" s="941" t="s">
        <v>20205</v>
      </c>
      <c r="C16001" s="1030"/>
      <c r="D16001" s="1030"/>
      <c r="E16001" s="693"/>
      <c r="F16001" s="693"/>
      <c r="G16001" s="623"/>
      <c r="H16001" s="693"/>
    </row>
    <row r="16002" spans="1:8" ht="11.15" customHeight="1">
      <c r="A16002" s="1031"/>
      <c r="B16002" s="941" t="s">
        <v>20206</v>
      </c>
      <c r="C16002" s="1030"/>
      <c r="D16002" s="1030"/>
      <c r="E16002" s="693"/>
      <c r="F16002" s="693"/>
      <c r="G16002" s="623"/>
      <c r="H16002" s="693"/>
    </row>
    <row r="16003" spans="1:8" ht="11.15" customHeight="1">
      <c r="A16003" s="1031">
        <v>5</v>
      </c>
      <c r="B16003" s="941" t="s">
        <v>20207</v>
      </c>
      <c r="C16003" s="1030"/>
      <c r="D16003" s="1030"/>
      <c r="E16003" s="693"/>
      <c r="F16003" s="178"/>
      <c r="G16003" s="623" t="s">
        <v>20208</v>
      </c>
      <c r="H16003" s="178"/>
    </row>
  </sheetData>
  <autoFilter ref="A2:M15603" xr:uid="{00000000-0001-0000-0000-000000000000}"/>
  <sortState xmlns:xlrd2="http://schemas.microsoft.com/office/spreadsheetml/2017/richdata2" ref="A15291:L15304">
    <sortCondition ref="A15291:A15304"/>
  </sortState>
  <phoneticPr fontId="4" type="noConversion"/>
  <conditionalFormatting sqref="C14886:C14887 C14889 C14892:C14894 C14897:C14898">
    <cfRule type="expression" dxfId="19" priority="1972">
      <formula>$C14886&lt;2016</formula>
    </cfRule>
  </conditionalFormatting>
  <conditionalFormatting sqref="C15147">
    <cfRule type="expression" dxfId="18" priority="7">
      <formula>$C15147&lt;2016</formula>
    </cfRule>
  </conditionalFormatting>
  <conditionalFormatting sqref="E161:E385 E387:E2840 E2842:E4263 E4266:E7178 E7180:E12885 E12897:E13014 E13016:E13343 E13345:E14823 E14825:E14885 E14887:E19983 F15103:F15145">
    <cfRule type="expression" dxfId="17" priority="396">
      <formula>$E161&lt;2016</formula>
    </cfRule>
  </conditionalFormatting>
  <conditionalFormatting sqref="F161:F385 F387:F2840 F2842:F4263 F4266:F7178 F7180:F12885 F12897:F13014 F13016:F13343 F13345:F14800 F14824 F14826:F14841 F14844:F14856 F14887:F15101 F15148:F15317 F15319:F15334 F15379:F15402 F15422:F15430">
    <cfRule type="expression" dxfId="16" priority="397">
      <formula>OR(IFERROR(SEARCH(100,$F161),0),IFERROR(SEARCH(65,$F161),0),IFERROR(SEARCH(180,$F161),0),IFERROR(SEARCH(1200,$F161),0),IFERROR(SEARCH("9L",$F161),0),IFERROR(SEARCH(62,$F161),0),IFERROR(SEARCH(300,$F161),0),IFERROR(SEARCH(600,$F161),0),IFERROR(SEARCH(37.5,$F161),0),IFERROR(SEARCH(50,$F161),0))</formula>
    </cfRule>
  </conditionalFormatting>
  <conditionalFormatting sqref="F15336 F15353:F15376">
    <cfRule type="expression" dxfId="15" priority="31">
      <formula>OR(IFERROR(SEARCH(100,$F15336),0),IFERROR(SEARCH(65,$F15336),0),IFERROR(SEARCH(180,$F15336),0),IFERROR(SEARCH(1200,$F15336),0),IFERROR(SEARCH("9L",$F15336),0),IFERROR(SEARCH(62,$F15336),0),IFERROR(SEARCH(300,$F15336),0),IFERROR(SEARCH(600,$F15336),0),IFERROR(SEARCH(37.5,$F15336),0),IFERROR(SEARCH(50,$F15336),0))</formula>
    </cfRule>
  </conditionalFormatting>
  <conditionalFormatting sqref="F15337">
    <cfRule type="expression" dxfId="14" priority="26">
      <formula>$E15337&lt;2016</formula>
    </cfRule>
  </conditionalFormatting>
  <conditionalFormatting sqref="F15338:F15351">
    <cfRule type="expression" dxfId="13" priority="6">
      <formula>OR(IFERROR(SEARCH(100,$F15338),0),IFERROR(SEARCH(65,$F15338),0),IFERROR(SEARCH(180,$F15338),0),IFERROR(SEARCH(1200,$F15338),0),IFERROR(SEARCH("9L",$F15338),0),IFERROR(SEARCH(62,$F15338),0),IFERROR(SEARCH(300,$F15338),0),IFERROR(SEARCH(600,$F15338),0),IFERROR(SEARCH(37.5,$F15338),0),IFERROR(SEARCH(50,$F15338),0))</formula>
    </cfRule>
  </conditionalFormatting>
  <conditionalFormatting sqref="F15352">
    <cfRule type="expression" dxfId="12" priority="25">
      <formula>$E15352&lt;2016</formula>
    </cfRule>
  </conditionalFormatting>
  <conditionalFormatting sqref="F15378">
    <cfRule type="expression" dxfId="11" priority="27">
      <formula>$E15378&lt;2016</formula>
    </cfRule>
  </conditionalFormatting>
  <conditionalFormatting sqref="F15403">
    <cfRule type="expression" dxfId="10" priority="23">
      <formula>$E15403&lt;2016</formula>
    </cfRule>
  </conditionalFormatting>
  <conditionalFormatting sqref="F15404:F15420">
    <cfRule type="expression" dxfId="9" priority="4">
      <formula>OR(IFERROR(SEARCH(100,$F15404),0),IFERROR(SEARCH(65,$F15404),0),IFERROR(SEARCH(180,$F15404),0),IFERROR(SEARCH(1200,$F15404),0),IFERROR(SEARCH("9L",$F15404),0),IFERROR(SEARCH(62,$F15404),0),IFERROR(SEARCH(300,$F15404),0),IFERROR(SEARCH(600,$F15404),0),IFERROR(SEARCH(37.5,$F15404),0),IFERROR(SEARCH(50,$F15404),0))</formula>
    </cfRule>
  </conditionalFormatting>
  <conditionalFormatting sqref="F15421">
    <cfRule type="expression" dxfId="8" priority="22">
      <formula>$E15421&lt;2016</formula>
    </cfRule>
  </conditionalFormatting>
  <conditionalFormatting sqref="F15431">
    <cfRule type="expression" dxfId="7" priority="21">
      <formula>$E15431&lt;2016</formula>
    </cfRule>
  </conditionalFormatting>
  <conditionalFormatting sqref="F15432:F15455">
    <cfRule type="expression" dxfId="6" priority="2">
      <formula>OR(IFERROR(SEARCH(100,$F15432),0),IFERROR(SEARCH(65,$F15432),0),IFERROR(SEARCH(180,$F15432),0),IFERROR(SEARCH(1200,$F15432),0),IFERROR(SEARCH("9L",$F15432),0),IFERROR(SEARCH(62,$F15432),0),IFERROR(SEARCH(300,$F15432),0),IFERROR(SEARCH(600,$F15432),0),IFERROR(SEARCH(37.5,$F15432),0),IFERROR(SEARCH(50,$F15432),0))</formula>
    </cfRule>
  </conditionalFormatting>
  <conditionalFormatting sqref="F15456">
    <cfRule type="expression" dxfId="5" priority="20">
      <formula>$E15456&lt;2016</formula>
    </cfRule>
  </conditionalFormatting>
  <conditionalFormatting sqref="F15457:F15506">
    <cfRule type="expression" dxfId="4" priority="1">
      <formula>OR(IFERROR(SEARCH(100,$F15457),0),IFERROR(SEARCH(65,$F15457),0),IFERROR(SEARCH(180,$F15457),0),IFERROR(SEARCH(1200,$F15457),0),IFERROR(SEARCH("9L",$F15457),0),IFERROR(SEARCH(62,$F15457),0),IFERROR(SEARCH(300,$F15457),0),IFERROR(SEARCH(600,$F15457),0),IFERROR(SEARCH(37.5,$F15457),0),IFERROR(SEARCH(50,$F15457),0))</formula>
    </cfRule>
  </conditionalFormatting>
  <conditionalFormatting sqref="G161:G385 G387:G2840 G2842:G4263 G7180:G12885 G12897:G13014 G13345:G15602 F15335">
    <cfRule type="expression" dxfId="3" priority="29">
      <formula>OR($G161="POA",$G161="OUT",$G161="ex - POA")</formula>
    </cfRule>
  </conditionalFormatting>
  <conditionalFormatting sqref="G4266:G7178 F15318">
    <cfRule type="expression" dxfId="2" priority="30">
      <formula>OR($G4266="POA",$G4266="OUT",$G4266="ex - POA")</formula>
    </cfRule>
  </conditionalFormatting>
  <conditionalFormatting sqref="G13016:G13343 F15377">
    <cfRule type="expression" dxfId="1" priority="24">
      <formula>OR($G13016="POA",$G13016="OUT",$G13016="ex - POA")</formula>
    </cfRule>
  </conditionalFormatting>
  <conditionalFormatting sqref="I13016:I13343 I10:I385 I387:I2840 I2842:I4263 I13345:I19983 I12897:I13014 I4266:I7178 I7180:I12885">
    <cfRule type="duplicateValues" dxfId="0" priority="2859"/>
  </conditionalFormatting>
  <hyperlinks>
    <hyperlink ref="A15807" r:id="rId1" display="http://www.vinnatur.org/" xr:uid="{00000000-0004-0000-0000-000029000000}"/>
    <hyperlink ref="A14110" r:id="rId2" display="www.bodegastradicion.com " xr:uid="{00000000-0004-0000-0000-00002B000000}"/>
    <hyperlink ref="A15821" r:id="rId3" display="www.bettanedesseauve.com" xr:uid="{00000000-0004-0000-0000-000036000000}"/>
    <hyperlink ref="A15829" r:id="rId4" display="www.larvf.com " xr:uid="{00000000-0004-0000-0000-000037000000}"/>
    <hyperlink ref="E15847" r:id="rId5" display="www.youtube.com" xr:uid="{00000000-0004-0000-0000-000052000000}"/>
    <hyperlink ref="B15847" r:id="rId6" display="http://illdrinktothatpod.com" xr:uid="{00000000-0004-0000-0000-000053000000}"/>
    <hyperlink ref="B15931" r:id="rId7" display="www.JancisRobinson.com" xr:uid="{00000000-0004-0000-0000-000054000000}"/>
    <hyperlink ref="B15929" r:id="rId8" display="www.JamesSuckling.com" xr:uid="{00000000-0004-0000-0000-000055000000}"/>
    <hyperlink ref="B15934" r:id="rId9" display="www.vinography.com " xr:uid="{00000000-0004-0000-0000-000056000000}"/>
    <hyperlink ref="B15922" r:id="rId10" display="www.ChampagneGuide.net" xr:uid="{00000000-0004-0000-0000-000057000000}"/>
    <hyperlink ref="B15909" r:id="rId11" display="www.acevola.blogspot.com" xr:uid="{00000000-0004-0000-0000-000058000000}"/>
    <hyperlink ref="B15932" r:id="rId12" display="www.Vinous.com" xr:uid="{00000000-0004-0000-0000-000075000000}"/>
    <hyperlink ref="A183" r:id="rId13" display="www.CharlesPalmer-Vineyards.co.uk" xr:uid="{00000000-0004-0000-0000-000080000000}"/>
    <hyperlink ref="A184" r:id="rId14" display="http://WickhamManor.co.uk" xr:uid="{00000000-0004-0000-0000-000081000000}"/>
    <hyperlink ref="B15930" r:id="rId15" display="www.Vinous.com" xr:uid="{00000000-0004-0000-0000-0000A7000000}"/>
    <hyperlink ref="A15353" r:id="rId16" display="www.glougueule.fr" xr:uid="{00000000-0004-0000-0000-0000D0000000}"/>
    <hyperlink ref="A15356" r:id="rId17" display="www.warnockfinearts.com" xr:uid="{00000000-0004-0000-0000-0000D1000000}"/>
    <hyperlink ref="A15348" r:id="rId18" display="https://en.wikipedia.org/wiki/Karl_Friedrich_Schinkel " xr:uid="{00000000-0004-0000-0000-0000D2000000}"/>
    <hyperlink ref="A15342" r:id="rId19" display="http://www.marcsadler.it" xr:uid="{00000000-0004-0000-0000-0000D3000000}"/>
    <hyperlink ref="A15343" r:id="rId20" display="http://www.kante.it" xr:uid="{00000000-0004-0000-0000-0000D4000000}"/>
    <hyperlink ref="A15372" r:id="rId21" display="www.joaonoutel.com" xr:uid="{00000000-0004-0000-0000-0000D5000000}"/>
    <hyperlink ref="A15375" r:id="rId22" display="http://www.gallery45.com.au" xr:uid="{00000000-0004-0000-0000-0000D6000000}"/>
    <hyperlink ref="A15359" r:id="rId23" display="https://www.laurent-reynes.com" xr:uid="{00000000-0004-0000-0000-0000D7000000}"/>
    <hyperlink ref="A15341" r:id="rId24" display="www.tillaillustration.com " xr:uid="{00000000-0004-0000-0000-0000D8000000}"/>
    <hyperlink ref="A15362" r:id="rId25" display="www.tillaillustration.com " xr:uid="{00000000-0004-0000-0000-0000D9000000}"/>
    <hyperlink ref="A15364" r:id="rId26" display="www.tillaillustration.com " xr:uid="{00000000-0004-0000-0000-0000DA000000}"/>
    <hyperlink ref="A15368" r:id="rId27" display="https://www.peterwillburger.com" xr:uid="{00000000-0004-0000-0000-0000DB000000}"/>
    <hyperlink ref="A15340" r:id="rId28" display="www.tillaillustration.com " xr:uid="{00000000-0004-0000-0000-0000DC000000}"/>
    <hyperlink ref="A15365" r:id="rId29" display="http://www.simoneronzio.com/" xr:uid="{00000000-0004-0000-0000-0000DD000000}"/>
    <hyperlink ref="A15371" r:id="rId30" display="www.facebook.com/LuisDeBourbonCaligrafia/" xr:uid="{00000000-0004-0000-0000-0000DE000000}"/>
    <hyperlink ref="A15370" r:id="rId31" display="www.facebook.com/LuisDeBourbonCaligrafia/" xr:uid="{00000000-0004-0000-0000-0000DF000000}"/>
    <hyperlink ref="A185" r:id="rId32" display="www.facebook.com/charlespalmerenglishfinewine/" xr:uid="{00000000-0004-0000-0000-0000E4000000}"/>
    <hyperlink ref="A186" r:id="rId33" display="https://www.instagram.com/charlespalmervineyards" xr:uid="{00000000-0004-0000-0000-0000FB000000}"/>
    <hyperlink ref="A15346" r:id="rId34" display="www.etnagrammi.it" xr:uid="{00000000-0004-0000-0000-00000C010000}"/>
    <hyperlink ref="A15350" r:id="rId35" display="http://www.gallery45.com.au" xr:uid="{00000000-0004-0000-0000-00000E010000}"/>
    <hyperlink ref="A15349" r:id="rId36" display="http://www.cornershopdesign.com.au" xr:uid="{00000000-0004-0000-0000-00000F010000}"/>
    <hyperlink ref="A15374" r:id="rId37" display="http://www.cornershopdesign.com.au" xr:uid="{00000000-0004-0000-0000-000010010000}"/>
    <hyperlink ref="B19" r:id="rId38" xr:uid="{00000000-0004-0000-0000-000081010000}"/>
    <hyperlink ref="B25" r:id="rId39" xr:uid="{00000000-0004-0000-0000-000082010000}"/>
    <hyperlink ref="A15793" r:id="rId40" display="www.RAWWine.com" xr:uid="{00000000-0004-0000-0000-0000B1010000}"/>
    <hyperlink ref="A15800" r:id="rId41" display="www.viniveri.net " xr:uid="{00000000-0004-0000-0000-0000B2010000}"/>
    <hyperlink ref="A15803" r:id="rId42" display="http://www.vins-sains.org/" xr:uid="{00000000-0004-0000-0000-0000B3010000}"/>
    <hyperlink ref="A15797" r:id="rId43" display="http://www.renaissance-des-appellations.com/" xr:uid="{00000000-0004-0000-0000-0000B4010000}"/>
    <hyperlink ref="A15792" r:id="rId44" display="http://www.rawfair.com/" xr:uid="{00000000-0004-0000-0000-0000B5010000}"/>
    <hyperlink ref="A15789" r:id="rId45" display="http://www.vinosnaturales.wordpress.com/" xr:uid="{00000000-0004-0000-0000-0000B6010000}"/>
    <hyperlink ref="H15778" r:id="rId46" xr:uid="{00000000-0004-0000-0000-000012020000}"/>
    <hyperlink ref="H15777" r:id="rId47" xr:uid="{00000000-0004-0000-0000-000013020000}"/>
    <hyperlink ref="H15779" r:id="rId48" xr:uid="{00000000-0004-0000-0000-000014020000}"/>
    <hyperlink ref="H15781" r:id="rId49" xr:uid="{00000000-0004-0000-0000-000015020000}"/>
    <hyperlink ref="H15782" r:id="rId50" xr:uid="{00000000-0004-0000-0000-000016020000}"/>
    <hyperlink ref="H15783" r:id="rId51" xr:uid="{00000000-0004-0000-0000-000017020000}"/>
    <hyperlink ref="H15776" r:id="rId52" xr:uid="{00000000-0004-0000-0000-000018020000}"/>
    <hyperlink ref="H15773" r:id="rId53" xr:uid="{00000000-0004-0000-0000-000019020000}"/>
    <hyperlink ref="H15775" r:id="rId54" xr:uid="{00000000-0004-0000-0000-00001A020000}"/>
    <hyperlink ref="H15774" r:id="rId55" xr:uid="{00000000-0004-0000-0000-00001B020000}"/>
    <hyperlink ref="H15780" r:id="rId56" xr:uid="{00000000-0004-0000-0000-00001C020000}"/>
    <hyperlink ref="H15740" r:id="rId57" display="www.un.org" xr:uid="{00000000-0004-0000-0000-00001D020000}"/>
    <hyperlink ref="H15736" r:id="rId58" display="https://treecouncil.org.uk" xr:uid="{00000000-0004-0000-0000-00001E020000}"/>
    <hyperlink ref="H15735" r:id="rId59" display="https://www.beaujolaisnouveauday.com" xr:uid="{00000000-0004-0000-0000-00001F020000}"/>
    <hyperlink ref="H15724" r:id="rId60" display="https://winesofgreece.org" xr:uid="{00000000-0004-0000-0000-000020020000}"/>
    <hyperlink ref="H15719" r:id="rId61" display="https://www.commonground.org.uk" xr:uid="{00000000-0004-0000-0000-000021020000}"/>
    <hyperlink ref="H15716" r:id="rId62" display="www.FAO.org" xr:uid="{00000000-0004-0000-0000-000022020000}"/>
    <hyperlink ref="H15714" r:id="rId63" display="https://www.pinotage.co.za" xr:uid="{00000000-0004-0000-0000-000023020000}"/>
    <hyperlink ref="H15690" r:id="rId64" display="http://internationalbeerday.com" xr:uid="{00000000-0004-0000-0000-000024020000}"/>
    <hyperlink ref="H15670" r:id="rId65" display="www.BeerDayBritain.co.uk" xr:uid="{00000000-0004-0000-0000-000025020000}"/>
    <hyperlink ref="H15682" r:id="rId66" display="www.un.org" xr:uid="{00000000-0004-0000-0000-000026020000}"/>
    <hyperlink ref="H15676" r:id="rId67" display="https://lambruscofest.com" xr:uid="{00000000-0004-0000-0000-000027020000}"/>
    <hyperlink ref="H15673" r:id="rId68" display="www.un.org" xr:uid="{00000000-0004-0000-0000-000028020000}"/>
    <hyperlink ref="H15672" r:id="rId69" display="www.cleanairday.org.uk" xr:uid="{00000000-0004-0000-0000-000029020000}"/>
    <hyperlink ref="H15669" r:id="rId70" display="https://unworldoceansday.org" xr:uid="{00000000-0004-0000-0000-00002A020000}"/>
    <hyperlink ref="H15668" r:id="rId71" display="http://www.worldenvironmentday.global" xr:uid="{00000000-0004-0000-0000-00002B020000}"/>
    <hyperlink ref="H15713" r:id="rId72" display="www.ukfungusday.co.uk" xr:uid="{00000000-0004-0000-0000-00002C020000}"/>
    <hyperlink ref="H15654" r:id="rId73" display="https://www.worldwhiskyday.com" xr:uid="{00000000-0004-0000-0000-00002D020000}"/>
    <hyperlink ref="H15655" r:id="rId74" display="https://www.worldbeeday.org" xr:uid="{00000000-0004-0000-0000-00002E020000}"/>
    <hyperlink ref="H15652" r:id="rId75" display="https://wfto.com" xr:uid="{00000000-0004-0000-0000-00002F020000}"/>
    <hyperlink ref="H15649" r:id="rId76" display="https://www.sauvblancday.com" xr:uid="{00000000-0004-0000-0000-000030020000}"/>
    <hyperlink ref="H15616" r:id="rId77" xr:uid="{00000000-0004-0000-0000-000031020000}"/>
    <hyperlink ref="H15644" r:id="rId78" display="www.earthday.org" xr:uid="{00000000-0004-0000-0000-000032020000}"/>
    <hyperlink ref="H15643" r:id="rId79" display="www.malbecworldday.com" xr:uid="{00000000-0004-0000-0000-000033020000}"/>
    <hyperlink ref="H15637" r:id="rId80" display="https://www.worldwaterday.org" xr:uid="{00000000-0004-0000-0000-000034020000}"/>
    <hyperlink ref="H15636" r:id="rId81" display="www.UN.org" xr:uid="{00000000-0004-0000-0000-000035020000}"/>
    <hyperlink ref="H15633" r:id="rId82" display="https://www.internationalwomensday.com" xr:uid="{00000000-0004-0000-0000-000036020000}"/>
    <hyperlink ref="H15625" r:id="rId83" display="https://www.worldwetlandsday.org" xr:uid="{00000000-0004-0000-0000-000037020000}"/>
    <hyperlink ref="H15615" r:id="rId84" display="http://WorldBiodynamicDay.org" xr:uid="{00000000-0004-0000-0000-000038020000}"/>
    <hyperlink ref="H15742" r:id="rId85" display="https://www.slowfood.com" xr:uid="{00000000-0004-0000-0000-000039020000}"/>
    <hyperlink ref="H15658" r:id="rId86" display="https://www.CBD.int/" xr:uid="{00000000-0004-0000-0000-000045020000}"/>
    <hyperlink ref="H15657" r:id="rId87" display="https://www.CBD.int/" xr:uid="{00000000-0004-0000-0000-000046020000}"/>
    <hyperlink ref="A15357" r:id="rId88" display="www.instagram.com/peterdoig/" xr:uid="{00000000-0004-0000-0000-00005B020000}"/>
    <hyperlink ref="A15358" r:id="rId89" display="https://www.instagram.com/joycedelimataartist/" xr:uid="{00000000-0004-0000-0000-00005C020000}"/>
    <hyperlink ref="B12607" r:id="rId90" xr:uid="{00000000-0004-0000-0000-00005E020000}"/>
    <hyperlink ref="A233" r:id="rId91" display="www.ChampagneBeerens.com" xr:uid="{00000000-0004-0000-0000-00007D020000}"/>
    <hyperlink ref="A222" r:id="rId92" xr:uid="{DD6E817B-7E39-4E38-B28F-E8AA15954763}"/>
    <hyperlink ref="A236" r:id="rId93" display="www.TerraVitis.com" xr:uid="{F1D2E428-DD03-4DFA-B73E-D25E901B75DD}"/>
    <hyperlink ref="A234" r:id="rId94" display="www.facebook.com/champagnebeerens/" xr:uid="{98561D53-2781-4293-AF49-3214391B2263}"/>
    <hyperlink ref="A235" r:id="rId95" display="www.instagram.com/champagnebeerens/" xr:uid="{B1B04B7E-504B-4DEE-BFB2-E7A825E80982}"/>
    <hyperlink ref="A265" r:id="rId96" xr:uid="{EEC5F571-398E-417E-B96E-8ABBA466026A}"/>
    <hyperlink ref="A266" r:id="rId97" display="https://www.instagram.com/champagne_augustin/" xr:uid="{3D581D24-9BBE-4FAC-95AF-2BCB52DD38A9}"/>
    <hyperlink ref="A322" r:id="rId98" display="http://www.champagnebilliot.fr/" xr:uid="{6B1FE9B8-710C-4036-BE97-AD67EF25FF28}"/>
    <hyperlink ref="A323" r:id="rId99" display="https://www.instagram.com/champagnehbilliot_/" xr:uid="{AAA91268-2F0F-4275-B630-79649C7A7634}"/>
    <hyperlink ref="A365" r:id="rId100" display="http://www.champagne-dehu.com/" xr:uid="{5A282EBF-5A78-474C-B7DE-33698725E620}"/>
    <hyperlink ref="A367" r:id="rId101" display="https://www.instagram.com/dehubenoit/" xr:uid="{A8F8830C-60B2-4273-97B3-AC92C7D2D9DD}"/>
    <hyperlink ref="A366" r:id="rId102" display="https://www.facebook.com/champagne.dehu/" xr:uid="{38CA4E00-B46C-4643-8115-618759856BD3}"/>
    <hyperlink ref="A396" r:id="rId103" xr:uid="{BF65BC8D-CD24-4261-9F6E-0804C89DC21F}"/>
    <hyperlink ref="A397" r:id="rId104" xr:uid="{3C967903-7BAC-4427-A98D-9983E32005BE}"/>
    <hyperlink ref="A398" r:id="rId105" xr:uid="{505D61AD-3B6F-4AE7-9BB4-EF24A92981F7}"/>
    <hyperlink ref="A425" r:id="rId106" display="https://champagne-gyejacquot.com" xr:uid="{CE302ABC-6DCB-4738-9B96-56F1F92C712A}"/>
    <hyperlink ref="A426" r:id="rId107" display="https://www.facebook.com/Champagne-Gy%C3%A9jacquot-Fr%C3%A8res-101308804613257/" xr:uid="{C836366F-3B62-417E-9551-F01A900CE3F2}"/>
    <hyperlink ref="A439" r:id="rId108" xr:uid="{316FFB90-E208-4C0C-9247-AE2DAB17ABB6}"/>
    <hyperlink ref="A438" r:id="rId109" xr:uid="{AFC75440-2A2A-49A7-B507-F6BCD1E6FD2D}"/>
    <hyperlink ref="A448" r:id="rId110" display="http://www.champagne-lilbert.com/" xr:uid="{842A1A0D-505F-427A-9509-6F14FA3F4C54}"/>
    <hyperlink ref="A449" r:id="rId111" display="https://www.facebook.com/Champagne-Lilbert-Fils-794609597280948/" xr:uid="{85CE5754-BE73-4E09-84E1-7E5A25801653}"/>
    <hyperlink ref="A508" r:id="rId112" xr:uid="{D3A3BC41-EF76-4D7B-B4F0-BF23733174C7}"/>
    <hyperlink ref="A528" r:id="rId113" display="www.Lanson.com" xr:uid="{C348D1BA-D236-43EB-8E37-CA04717B18D4}"/>
    <hyperlink ref="A562" r:id="rId114" xr:uid="{376339C8-7393-4BB8-A7EE-DAC87184DED8}"/>
    <hyperlink ref="A563" r:id="rId115" xr:uid="{E9867C82-FE57-4A52-89EC-E91AFC3D0CD7}"/>
    <hyperlink ref="A564" r:id="rId116" xr:uid="{41B8B39A-6DDF-48D0-BEA4-22136F530205}"/>
    <hyperlink ref="A565" r:id="rId117" xr:uid="{85D59ADD-0745-4A13-A531-9C878393B383}"/>
    <hyperlink ref="A566" r:id="rId118" xr:uid="{EF9D0D8A-5670-4970-9483-2230762C70EF}"/>
    <hyperlink ref="A602" r:id="rId119" display="www.ChateauClinet.com" xr:uid="{1377DF38-24FB-4751-BD39-C0F9A7974535}"/>
    <hyperlink ref="A615" r:id="rId120" xr:uid="{6E4D1ED5-BDC1-45B4-A80C-75E439F7A8CD}"/>
    <hyperlink ref="A624" r:id="rId121" display="https://www.la-conseillante.com" xr:uid="{9FA9B341-B813-402F-9B85-90FAAA4C2C01}"/>
    <hyperlink ref="A647" r:id="rId122" xr:uid="{BCD06CC1-A8B8-499C-966F-AE35F35AF5AA}"/>
    <hyperlink ref="A660" r:id="rId123" display="https://www.lafite.com" xr:uid="{38982FB9-1544-4D66-B195-6D80E330FC4C}"/>
    <hyperlink ref="A674" r:id="rId124" display="www.Moueix.com" xr:uid="{0A7D4B0D-51D0-460B-B344-9A64CF872747}"/>
    <hyperlink ref="A710" r:id="rId125" display="www.chateaulafleur.fr" xr:uid="{8DD97090-B676-4BA9-B446-8748A82D0D6E}"/>
    <hyperlink ref="A719" r:id="rId126" display="www.Moueix.com" xr:uid="{E01C3F61-4B51-4B0B-9C1E-113F343D3483}"/>
    <hyperlink ref="A735" r:id="rId127" display="https://www.youtube.com/watch?v=YevhLVnZE0g" xr:uid="{AC3EF8C7-FBE0-4EA1-A780-FD39C520DCE3}"/>
    <hyperlink ref="A744" r:id="rId128" display="www.moueix.com" xr:uid="{4542964E-6D9F-4D93-B3FC-67974F2FB1C9}"/>
    <hyperlink ref="A753" r:id="rId129" display="www.vieuxchateaucertan.com" xr:uid="{36AE3E54-7124-46E9-BB34-B7593A04B98E}"/>
    <hyperlink ref="A764" r:id="rId130" display="https://chateaumontviel.com/" xr:uid="{81B033F1-67FE-4BA2-B1D4-7AB34D3495F4}"/>
    <hyperlink ref="A785" r:id="rId131" display="https://www.angelus.com" xr:uid="{3E58FBC8-A281-467C-94B8-D13503B484F5}"/>
    <hyperlink ref="A834" r:id="rId132" display="https://m.facebook.com/profile.php?id=130454807036400" xr:uid="{F22C1B5C-6BA2-4F6D-A930-67C23A7AB2C0}"/>
    <hyperlink ref="A833" r:id="rId133" display="http://www.beausejour-becot.com" xr:uid="{BE3EC23D-395D-4035-B942-35E602A0E8D8}"/>
    <hyperlink ref="A850" r:id="rId134" display="www.BeausejourHDL.fr" xr:uid="{298F622E-E44A-491A-A02C-694A57EE893E}"/>
    <hyperlink ref="A870" r:id="rId135" display="https://www.belairmonange.com" xr:uid="{4D6E5009-C2F9-4582-8DD5-E181BB69036A}"/>
    <hyperlink ref="A877" r:id="rId136" display="www.Chateau-Berliquet.com" xr:uid="{584F24F0-3E51-4FEF-AFC0-EB5E98E5BAE1}"/>
    <hyperlink ref="A905" r:id="rId137" display="www.chateau-cheval-blanc.com" xr:uid="{F8A98B0D-AE7F-4FFB-92BF-695CDBA14B65}"/>
    <hyperlink ref="A953" r:id="rId138" display="https://www.fonplegade.com" xr:uid="{C03210F6-5891-43C7-9D3F-6C8F5FAECCE9}"/>
    <hyperlink ref="A968" r:id="rId139" xr:uid="{108D35E1-581F-49B9-8E35-3DCB7495494A}"/>
    <hyperlink ref="A969" r:id="rId140" xr:uid="{3132ED3D-C88B-47F0-B85B-7433FED29EAA}"/>
    <hyperlink ref="A1013" r:id="rId141" xr:uid="{BDBD448B-AB92-45E7-A7F5-A68D537B9613}"/>
    <hyperlink ref="A1014" r:id="rId142" xr:uid="{77FE640E-F2C6-4012-BE15-D08E98D4CCD5}"/>
    <hyperlink ref="A1040" r:id="rId143" xr:uid="{DA8836D8-F611-4BA9-B1A2-5C281C571656}"/>
    <hyperlink ref="A1053" r:id="rId144" xr:uid="{F8761668-614B-48EE-B116-68E57B6577E0}"/>
    <hyperlink ref="A1052" r:id="rId145" display="https://www.thienpontwine.com/en/" xr:uid="{790639E4-FB13-4F41-84B9-BA9590B0BCD3}"/>
    <hyperlink ref="A1080" r:id="rId146" display="https://www.jacksonfamilywines.com" xr:uid="{24E863AD-C5D1-4BBA-A04F-B2E2CA97178B}"/>
    <hyperlink ref="A1079" r:id="rId147" display="https://www.chateau-lassegue.com" xr:uid="{BF607223-D800-4C40-85FD-5C0EA9C87C0F}"/>
    <hyperlink ref="A1098" r:id="rId148" display="www.chateaumangot.fr " xr:uid="{C664C30B-BB50-4BB2-96E5-FF9B3CEC501C}"/>
    <hyperlink ref="A1099" r:id="rId149" display="http://www.biodyvin.com" xr:uid="{A3DAD85D-346F-4795-84E6-3BA6DED41712}"/>
    <hyperlink ref="A1110" r:id="rId150" display="www.MoulinDuJura.fr" xr:uid="{4A160DF0-8C9C-4917-AFDD-35405F997271}"/>
    <hyperlink ref="A1122" r:id="rId151" display="http://www.pavie-macquin.com/" xr:uid="{A2B252F9-4AFD-4402-8CDD-549B7051A8B8}"/>
    <hyperlink ref="A1123" r:id="rId152" display="http://www.nicolas-thienpont.com/" xr:uid="{0C1AF14A-789E-480A-9D4A-1B00C1AF9109}"/>
    <hyperlink ref="A1134" r:id="rId153" display="www.Chateau-Peby-Faugeres.com" xr:uid="{627DCE47-78E7-49B9-A640-ACA052DD2914}"/>
    <hyperlink ref="A1163" r:id="rId154" display="www.domaines-maletroquefort.com" xr:uid="{C4C4420B-075E-42EA-B693-1653E40A39BE}"/>
    <hyperlink ref="A1174" r:id="rId155" display="https://www.chateau-quintus.com" xr:uid="{6877AA90-C318-4B3E-ABC0-B978E3C51CCF}"/>
    <hyperlink ref="A1175" r:id="rId156" display="https://www.domaineclarencedillon.com" xr:uid="{1733EE23-AE88-4E14-A66C-FC77A9BE8120}"/>
    <hyperlink ref="A1187" r:id="rId157" display="https://www.chateau-rochebelle.com" xr:uid="{CD27B178-C63C-4285-9AC3-B5A9D4F9EDD4}"/>
    <hyperlink ref="A1194" r:id="rId158" display="http://www.denis-durantou.com/" xr:uid="{72064F15-042C-4DB4-9E84-93D54E101877}"/>
    <hyperlink ref="A1219" r:id="rId159" display="www.tertre-roteboeuf.com" xr:uid="{C5D213AE-DEAE-4F12-BD8C-E0B45B103C14}"/>
    <hyperlink ref="A1234" r:id="rId160" display="https://www.troplong-mondot.com" xr:uid="{7169991B-F0BE-4D0C-8780-E5D5EFF860A2}"/>
    <hyperlink ref="A1235" r:id="rId161" display="www.Act4Nature.com" xr:uid="{2E0158AD-A7C7-437A-836E-B0C9FF3B9FFE}"/>
    <hyperlink ref="A1242" r:id="rId162" display="https://www.trottevieille.com" xr:uid="{6BC6AB3E-8F38-4166-9479-3B7699634B5A}"/>
    <hyperlink ref="A1251" r:id="rId163" display="www.valandraud.fr" xr:uid="{D4E0F4EC-948C-492C-A6DB-69C17518EEA0}"/>
    <hyperlink ref="A1276" r:id="rId164" display="http://www.roc-de-cambes.com/" xr:uid="{7D648259-2434-43CA-8F17-64301F71512B}"/>
    <hyperlink ref="A1316" r:id="rId165" display="www.ChateauLafleur.fr" xr:uid="{F3C8396A-86F5-4E08-9A31-833886547132}"/>
    <hyperlink ref="A1336" r:id="rId166" display="www.chateaulafleur.fr" xr:uid="{4F343F87-7153-4029-B777-11CBC75B0FC7}"/>
    <hyperlink ref="A1354" r:id="rId167" xr:uid="{13ABB1F4-1933-4A17-A84D-C4FBC781388D}"/>
    <hyperlink ref="A1362" r:id="rId168" display="www.Belles-Graves.com" xr:uid="{F57AF9C2-C7C1-4CA8-83B1-796055A86479}"/>
    <hyperlink ref="A1369" r:id="rId169" display="http://www.denis-durantou.com/" xr:uid="{0B1F2EAC-B3C9-4D3D-9BD9-B0067BC35158}"/>
    <hyperlink ref="A1384" r:id="rId170" display="http://www.chateau-belair.com" xr:uid="{6EB3CE22-6DA4-49E7-92BD-B30A20F8B685}"/>
    <hyperlink ref="A1392" r:id="rId171" display="http://www.chateau-guibeau.com" xr:uid="{05E419D8-5977-481F-BF29-E706FBF29D40}"/>
    <hyperlink ref="A1435" r:id="rId172" display="www.Chateau-Clos-Fontaine.com" xr:uid="{EA00B32A-89DB-4473-B033-CD7B3DAF6B5C}"/>
    <hyperlink ref="A1445" r:id="rId173" display="www.Neipperg.com" xr:uid="{D5055932-6C99-4D8D-BE97-56A0B23233BD}"/>
    <hyperlink ref="A1458" r:id="rId174" display="www.nicolas-thienpont.com" xr:uid="{91BC4451-F625-4905-9BD8-51B9CDECB394}"/>
    <hyperlink ref="A1502" r:id="rId175" display="www.facebook.com/closlouie/" xr:uid="{D4F33215-A65B-4D44-A06F-13C5FF186BFD}"/>
    <hyperlink ref="A1503" r:id="rId176" display="http://www.biodyvin.com" xr:uid="{36557E1A-61EF-42B5-B224-D2EA80FC573E}"/>
    <hyperlink ref="A1511" r:id="rId177" display="www.BeauSejour-Becot.com" xr:uid="{ADEB3967-A381-4D59-B410-EB1674940B6B}"/>
    <hyperlink ref="A1538" r:id="rId178" display="www.LHetre.wine" xr:uid="{79D62BB2-EEFA-4215-A816-47DF93B4D987}"/>
    <hyperlink ref="A1539" r:id="rId179" xr:uid="{088C407D-80B0-477B-8113-5BB96CA00C6A}"/>
    <hyperlink ref="A1555" r:id="rId180" display="http://www.denis-durantou.com/" xr:uid="{C1A35DB1-B150-430E-A03E-BCB886B7ADFF}"/>
    <hyperlink ref="A1581" r:id="rId181" display="www.Cru-Robin.com" xr:uid="{07B83A7A-2D28-4E4B-8EE7-E84F95E2C88F}"/>
    <hyperlink ref="A1598" r:id="rId182" display="https://fr-fr.facebook.com/ChateauGrandBireau/" xr:uid="{9C8E1FB7-6B80-4368-90F5-8122F2E01902}"/>
    <hyperlink ref="A1610" r:id="rId183" display="http://www.chateaulagontrie.net/" xr:uid="{43D68111-41C0-40E2-910A-DEAE5B9DCAB8}"/>
    <hyperlink ref="A1652" r:id="rId184" display="www.chateau-bouscaut.com" xr:uid="{66D80AF0-0AF4-4049-9766-4079008E25C9}"/>
    <hyperlink ref="A1673" r:id="rId185" display="https://carbonnieux.com " xr:uid="{DA597054-1716-4828-9342-B4C46AF7603F}"/>
    <hyperlink ref="A1684" r:id="rId186" xr:uid="{D70F3D16-10AA-4B6D-8B62-5FB1E251B8C0}"/>
    <hyperlink ref="A1715" r:id="rId187" display="www.fieuzal.com" xr:uid="{85C4EBD7-7D18-44C0-AB22-0063AC80DFBF}"/>
    <hyperlink ref="A1726" r:id="rId188" display="https://www.youtube.com/watch?v=8owJUUOrG6c" xr:uid="{25C4FA01-FB14-4CBA-95FE-7F5C621E044F}"/>
    <hyperlink ref="A1727" r:id="rId189" display="www.Haut-Bailly.com" xr:uid="{C360DD36-4A32-4992-A595-2EC034C81CFE}"/>
    <hyperlink ref="A1743" r:id="rId190" display="https://www.Haut-Bergey.fr" xr:uid="{7F8CC5C0-5193-4A95-965A-87AA1B2E53A1}"/>
    <hyperlink ref="A1744" r:id="rId191" display="http://www.biodyvin.com" xr:uid="{D01AD1FF-AC83-4C16-900F-996DA1B088C4}"/>
    <hyperlink ref="A1757" r:id="rId192" xr:uid="{D4A9D1AE-E9C3-4725-9BAF-18F8C56ED187}"/>
    <hyperlink ref="A1758" r:id="rId193" display="https://www.domaineclarencedillon.com" xr:uid="{418A7336-5C89-4981-BDCE-7FC026EEBC7A}"/>
    <hyperlink ref="A1769" r:id="rId194" display="www.Mission-Haut-Brion.com" xr:uid="{6BC37684-14EE-41B8-B3E3-A7A5AF4ED4E2}"/>
    <hyperlink ref="A1770" r:id="rId195" display="https://www.domaineclarencedillon.com" xr:uid="{B33D99B4-2B7A-4A57-ACAA-2DC434D0BAD7}"/>
    <hyperlink ref="A1785" r:id="rId196" display="https://www.malartic-lagraviere.com" xr:uid="{9C4D4950-BF13-40E7-BB90-75EE1DB81735}"/>
    <hyperlink ref="A1848" r:id="rId197" display="https://terravitis.com" xr:uid="{067E6750-D32B-4DBC-8657-5296E9669858}"/>
    <hyperlink ref="A1849" r:id="rId198" xr:uid="{FB3103E3-4E6B-45DE-B6DE-EE0C112830EF}"/>
    <hyperlink ref="A1913" r:id="rId199" display="https://www.chateaudauzac.com" xr:uid="{F37561D9-23B3-453E-92D0-AA6872E15104}"/>
    <hyperlink ref="A2019" r:id="rId200" display="https://giscours.com" xr:uid="{72243567-3952-4C1A-9FE1-95F1561C8C6F}"/>
    <hyperlink ref="A2030" r:id="rId201" display="https://www.chateaulecoteau.fr/" xr:uid="{890BB0BF-1FFC-47EC-A4B8-CAEB2C5A5C1C}"/>
    <hyperlink ref="A2040" r:id="rId202" display="www.malescot.com" xr:uid="{7BF2FED1-A1CD-44EF-A927-543B3A367092}"/>
    <hyperlink ref="A2102" r:id="rId203" display="www.Chasse-Spleen.com" xr:uid="{7D8FDC85-F298-451E-AB02-76D11F9B6E88}"/>
    <hyperlink ref="A2114" r:id="rId204" display="www.Mauvesin-Barton.com" xr:uid="{B7421378-AAAD-4500-8AEB-89EF77C05263}"/>
    <hyperlink ref="A2125" r:id="rId205" display="http://www.chateaupoujeaux.com" xr:uid="{EBEB77A3-09C9-41E0-B25A-65AB0CC4A0A7}"/>
    <hyperlink ref="A2139" r:id="rId206" display="https://beychevelle.com" xr:uid="{097BB4B0-5E93-4332-8EEA-85A2104CFDC8}"/>
    <hyperlink ref="A2159" r:id="rId207" xr:uid="{A576C57C-3DD7-4381-858B-9BDFD2634F72}"/>
    <hyperlink ref="A2166" r:id="rId208" display="https://Chateau-Ducru-Beaucaillou.com" xr:uid="{34C8C7DB-675A-4030-AD8A-8AEFCA8A1407}"/>
    <hyperlink ref="A2182" r:id="rId209" display="https://www.Domaines-Henri-Martin.com" xr:uid="{2593FCB2-7470-4255-8988-8C84A9882FEF}"/>
    <hyperlink ref="A2205" r:id="rId210" display="https://chateau-lagrange.com" xr:uid="{F481B12A-9183-4C8D-98B3-55F158F782F7}"/>
    <hyperlink ref="A2247" r:id="rId211" display="https://www.Leoville-Poyferre.fr" xr:uid="{509EFAD1-93E0-47EB-8267-37FCF73E139A}"/>
    <hyperlink ref="A2266" r:id="rId212" display="https://www.Domaines-Henri-Martin.com" xr:uid="{E57E5CFD-12B2-41A0-B00A-B046BBD1CD3E}"/>
    <hyperlink ref="A2279" r:id="rId213" display="www.chateau-talbot.com" xr:uid="{4AE256A6-8DC5-4F5D-95A3-D9FBBAA1BB01}"/>
    <hyperlink ref="A2298" r:id="rId214" display="https://www.chateau-clerc-milon.com" xr:uid="{AB83198B-9FDE-43F1-BAED-2067EA4806E3}"/>
    <hyperlink ref="A2299" r:id="rId215" display="https://www.bpdr.com" xr:uid="{7FCA4918-9B38-418C-836D-E6F102567364}"/>
    <hyperlink ref="A2467" r:id="rId216" display="www.Domeyne.fr" xr:uid="{1C13BBAB-CFB6-4170-86A9-C5C469E80C99}"/>
    <hyperlink ref="A2490" r:id="rId217" display="https://www.chateau-lilian-ladouys.com " xr:uid="{1F800216-FA66-49C3-BC13-D555E5D782AB}"/>
    <hyperlink ref="A2500" r:id="rId218" display="www.meyney.fr" xr:uid="{4650E114-585B-4D67-B09A-E9324CEC5BD3}"/>
    <hyperlink ref="A2504" r:id="rId219" display="www.chateau-montrose.com" xr:uid="{F1F7A327-B5A5-4BF2-93E8-8282AE3F29F9}"/>
    <hyperlink ref="A2518" r:id="rId220" display="https://chateaudepez.com" xr:uid="{9E6B8EBB-804F-40DF-B194-7908FB01AC1D}"/>
    <hyperlink ref="A2522" r:id="rId221" display="www.PhelanSegur.com" xr:uid="{6E1C2191-E6DE-402E-9E8A-682085520DDF}"/>
    <hyperlink ref="A2548" r:id="rId222" display="www.Clos-Manou.com" xr:uid="{636E2733-D34C-4D81-BB96-51C816AFE31B}"/>
    <hyperlink ref="A2559" r:id="rId223" xr:uid="{842CE0AA-7564-46D6-A135-AF7787692D6A}"/>
    <hyperlink ref="A2590" r:id="rId224" xr:uid="{0CE5F1DB-7753-490A-A276-2C7F0DA1F552}"/>
    <hyperlink ref="A2602" r:id="rId225" display="www.TourHautCaussan.com" xr:uid="{13508AC7-DE0B-415D-B32F-8A829753761A}"/>
    <hyperlink ref="A2640" r:id="rId226" display="Chateau-Climens.fr" xr:uid="{4FAA41A9-336D-4E0D-8BAB-CBB34B54EE19}"/>
    <hyperlink ref="A2647" r:id="rId227" display="https://www.chateaucoutet.com" xr:uid="{C8F012E2-6547-4C16-AE35-AFFD3BF723C6}"/>
    <hyperlink ref="A2654" r:id="rId228" display="www.chateaudefargues.com" xr:uid="{6F9E4EA5-6825-447A-86B1-32DDFA6CEC62}"/>
    <hyperlink ref="A2677" r:id="rId229" display="ChateauGuiraud.fr" xr:uid="{CCCC7FFC-8D14-4D25-82D8-A7A40F3288BD}"/>
    <hyperlink ref="A2698" r:id="rId230" display="www.vigneron-independant.com" xr:uid="{FE13E272-4D23-4C9C-A92A-720B49DCAF97}"/>
    <hyperlink ref="A2703" r:id="rId231" display="www.RayneVigneau.fr" xr:uid="{F8AC1E77-B64E-4245-86DA-0F73E79182DA}"/>
    <hyperlink ref="A2714" r:id="rId232" display="https://www.lafite.com" xr:uid="{3E95DB52-3AAB-4B5C-B7BC-AC011CF071FB}"/>
    <hyperlink ref="A2721" r:id="rId233" display="https://www.suduiraut.com" xr:uid="{BC0EDF75-4783-4D59-906C-9811491E9142}"/>
    <hyperlink ref="A2739" r:id="rId234" display="https://Yquem.fr" xr:uid="{ADA3DEC7-8A8F-4EA9-BCE0-8D52A1B10F4F}"/>
    <hyperlink ref="A2793" r:id="rId235" xr:uid="{D9479A8B-1B8F-4E2C-96AC-6488F0B783B3}"/>
    <hyperlink ref="A2794" r:id="rId236" xr:uid="{C7CA2466-E412-4422-800D-1D85EE8E75C0}"/>
    <hyperlink ref="A2814" r:id="rId237" display="www.Famille-Jouffreau.com" xr:uid="{FCFE90EB-4E1E-451E-9C7E-8230A46C3ECC}"/>
    <hyperlink ref="A2831" r:id="rId238" display="https://chablis-boudin-vins.fr" xr:uid="{C35255A7-494C-479E-88DB-E11DBE55142C}"/>
    <hyperlink ref="A2832" r:id="rId239" display="https://www.facebook.com/DomaineChantemerle89/" xr:uid="{13735AAF-7E81-4E71-A308-E5B9ABED53A9}"/>
    <hyperlink ref="A2833" r:id="rId240" display="https://www.instagram.com/domainedechantemerle/" xr:uid="{0E8235AB-0544-4A76-9DC2-1123F84B1B63}"/>
    <hyperlink ref="A2857" r:id="rId241" display="http://www.chaudeecuelle.com/" xr:uid="{4BBF13C1-2BF6-4764-8E05-B7DF35D37896}"/>
    <hyperlink ref="A2858" r:id="rId242" display="https://www.instagram.com/domainedechaudeecuelle/" xr:uid="{D1FCCACF-43CB-475E-A00B-6E2283FBC3DE}"/>
    <hyperlink ref="A2870" r:id="rId243" display="https://www.facebook.com/DomaineThierryLaffay/" xr:uid="{853E2C4C-7D95-4D54-B7D1-C2C539627F85}"/>
    <hyperlink ref="A2974" r:id="rId244" display="Goisot.com" xr:uid="{99437615-6D26-4CC7-8DE2-968CABEE0F10}"/>
    <hyperlink ref="A2975" r:id="rId245" display="https://www.instagram.com/guilhemgoisot/" xr:uid="{89909E2F-EBD2-4571-B9AD-98BBD0DBD59F}"/>
    <hyperlink ref="A2976" r:id="rId246" display="https://aligoteurs.wordpress.com" xr:uid="{03F1F1F4-A149-4600-9B4F-254FACF9DA11}"/>
    <hyperlink ref="A2977" r:id="rId247" display="https://www.facebook.com/lesaligoteurs/" xr:uid="{006B9CC9-A69F-4310-8497-F0E98F5176E1}"/>
    <hyperlink ref="A3088" r:id="rId248" xr:uid="{A98A1C51-4347-4D1E-A0FE-362C4D29C2FA}"/>
    <hyperlink ref="A3089" r:id="rId249" xr:uid="{D9EA5F99-986E-4D8A-886D-091D358655A6}"/>
    <hyperlink ref="A3090" r:id="rId250" xr:uid="{403AF0CB-896A-4C11-B79D-ED4B3320187C}"/>
    <hyperlink ref="A3162" r:id="rId251" display="www.domaineboigey.fr" xr:uid="{79B2B45E-AFAE-4B43-BFE4-7F0C754CE74A}"/>
    <hyperlink ref="A3163" r:id="rId252" display="www.facebook.com/domaineboigey/" xr:uid="{EEE94FD3-AF00-4031-A4DA-97EBB2F1405F}"/>
    <hyperlink ref="A3270" r:id="rId253" xr:uid="{A4CFDD9C-403A-443C-9C39-C70538FF03BA}"/>
    <hyperlink ref="A3433" r:id="rId254" xr:uid="{3B035BE7-F1B4-4FC4-AD4C-2C02CE5E0037}"/>
    <hyperlink ref="A3536" r:id="rId255" xr:uid="{2DC954A3-7FBA-44C0-8120-22E756B09A90}"/>
    <hyperlink ref="A3537" r:id="rId256" xr:uid="{EAEF7908-4E8D-40FC-98C4-ABB4089F7C7F}"/>
    <hyperlink ref="A3538" r:id="rId257" xr:uid="{E75B2314-CA50-4D9F-8E8A-29231946D7C3}"/>
    <hyperlink ref="A3539" r:id="rId258" xr:uid="{57E2F34F-13F5-4CDD-A6CE-222781D8D280}"/>
    <hyperlink ref="A3540" r:id="rId259" xr:uid="{1F1CAD00-0C8A-4F34-BC41-5295628032D2}"/>
    <hyperlink ref="A3604" r:id="rId260" xr:uid="{BBFDB677-062E-42CF-AC25-5304FBFFAF47}"/>
    <hyperlink ref="A3632" r:id="rId261" display="www.domainegrivot.fr" xr:uid="{FD39CCE6-7CF2-4339-B7EC-BC7AD288A591}"/>
    <hyperlink ref="A3729" r:id="rId262" display="DomaineGuyon-Vosne.com" xr:uid="{E4ACDA39-56BF-46A2-848A-F979DBBE8364}"/>
    <hyperlink ref="A3810" r:id="rId263" xr:uid="{3E7D8555-E4FF-4398-BD68-72149EE359FC}"/>
    <hyperlink ref="A3811" r:id="rId264" xr:uid="{EBA661B0-8647-4121-A782-43E4D7B5D15C}"/>
    <hyperlink ref="A3849" r:id="rId265" xr:uid="{67C2E90D-FC3E-4804-A834-8292F02473CC}"/>
    <hyperlink ref="A3850" r:id="rId266" display="https://www.facebook.com/CaveauReneLeclerc/" xr:uid="{7B478C3E-552C-407A-88A9-586E9BB8053D}"/>
    <hyperlink ref="A3923" r:id="rId267" xr:uid="{B08DE4AF-B7A9-431A-A046-5B9BBABE443E}"/>
    <hyperlink ref="A3924" r:id="rId268" xr:uid="{42D4323B-1FCE-4B0D-9B0C-193E97C894C2}"/>
    <hyperlink ref="A4031" r:id="rId269" xr:uid="{46357872-A262-4F70-B7AD-18739AE2E4A7}"/>
    <hyperlink ref="A4032" r:id="rId270" xr:uid="{8BF0B7CC-A003-4613-8939-B7BB8093FD55}"/>
    <hyperlink ref="A4033" r:id="rId271" xr:uid="{A7933913-A55F-44AD-9A29-B9A025FDA6FF}"/>
    <hyperlink ref="A4034" r:id="rId272" xr:uid="{879BCECE-A0AC-4E9C-98DD-8F1DAAEB91D8}"/>
    <hyperlink ref="A4035" r:id="rId273" xr:uid="{E9E41268-152E-441E-9051-DE88A53F0ED5}"/>
    <hyperlink ref="A4106" r:id="rId274" display="www.instagram.com/domaines_siblas_maume/" xr:uid="{B47D97D2-252C-4352-8988-F1FA4F0CBD40}"/>
    <hyperlink ref="A4181" r:id="rId275" xr:uid="{26F173BF-EE8C-4929-80DF-8D55E1F7FC2C}"/>
    <hyperlink ref="A4182" r:id="rId276" xr:uid="{330936C1-370C-4302-A107-B40D2011D461}"/>
    <hyperlink ref="A4271" r:id="rId277" display="https://www.youtube.com/watch?v=whbBHaUWIDI" xr:uid="{62A4312D-3EED-4405-8DC1-01D2F70A81C6}"/>
    <hyperlink ref="A4272" r:id="rId278" xr:uid="{2331418F-2CD7-45B0-9B24-F3105CC3D625}"/>
    <hyperlink ref="A4301" r:id="rId279" xr:uid="{89DB49CF-4E40-4EEA-AFD6-4E2823D67594}"/>
    <hyperlink ref="A4302" r:id="rId280" xr:uid="{59C9DBD2-8C4B-416C-A219-25C80B233321}"/>
    <hyperlink ref="A4365" r:id="rId281" display="www.mugnier.fr" xr:uid="{519F0C5E-7566-4B39-A6F7-426125DCDAE4}"/>
    <hyperlink ref="A4447" r:id="rId282" display="www.domaine-ceciletremblay.fr" xr:uid="{8D36BA2C-1E9E-41E0-8F8D-0D4A98A110F2}"/>
    <hyperlink ref="A4501" r:id="rId283" xr:uid="{3E81AB43-9C97-44D6-9F98-C40ACEC29764}"/>
    <hyperlink ref="A4502" r:id="rId284" xr:uid="{09E2DBAC-45D2-4E6B-A634-87813958B012}"/>
    <hyperlink ref="A4563" r:id="rId285" xr:uid="{FC247916-4854-4DD2-98C0-77CE260949E3}"/>
    <hyperlink ref="A4564" r:id="rId286" xr:uid="{FC7486EA-1F3D-4737-A595-165AEFDF38BF}"/>
    <hyperlink ref="A4621" r:id="rId287" xr:uid="{873A8663-BBA9-41E4-A890-BC30B3D32DCB}"/>
    <hyperlink ref="A4622" r:id="rId288" xr:uid="{3766A3DB-745A-4EE7-B455-B22CE59F85DD}"/>
    <hyperlink ref="A4665" r:id="rId289" location="!en/" xr:uid="{8A75FF24-6461-45A2-8BEB-EF77139F0E54}"/>
    <hyperlink ref="A4764" r:id="rId290" display="http://www.chandondebriailles.com" xr:uid="{B775868C-83BF-4BE2-9D88-67B9EFC38A8F}"/>
    <hyperlink ref="A4788" r:id="rId291" display="https://www.instagram.com/francoisdenicolay/" xr:uid="{B334BD98-755A-4942-B22C-58250DDC5B28}"/>
    <hyperlink ref="A4819" r:id="rId292" xr:uid="{FC6CEBE9-6E23-4186-BF93-C04E04E750BB}"/>
    <hyperlink ref="A4820" r:id="rId293" xr:uid="{C2169838-B5BF-4293-9B22-B846BDB8B5B8}"/>
    <hyperlink ref="A4821" r:id="rId294" xr:uid="{F729D160-73A8-4A25-8EAD-383D4824CCCC}"/>
    <hyperlink ref="A4838" r:id="rId295" display="www.Marc-Colin.com" xr:uid="{D3B13D2B-BF43-44E3-BE6B-EE04E6B19D39}"/>
    <hyperlink ref="A4889" r:id="rId296" display="http://www.domaine-follin-arbelet.com/" xr:uid="{B2EB33A0-E26C-486B-A04E-0E2B1C77E79D}"/>
    <hyperlink ref="A4890" r:id="rId297" display="https://www.instagram.com/domainefollinarbelet/" xr:uid="{69C324C4-298A-4DF5-8483-D91EE6F5F10F}"/>
    <hyperlink ref="A4984" r:id="rId298" xr:uid="{21E7C505-8198-458F-95A0-58F70EAFDF93}"/>
    <hyperlink ref="A4985" r:id="rId299" display="https://www.instagram.com/claudinegaunoux/" xr:uid="{4D8807F0-8290-4CDB-9516-715721B1FCB9}"/>
    <hyperlink ref="A5119" r:id="rId300" xr:uid="{B6B31AE1-FBC6-4EA1-AE24-ADCD5D2E31C3}"/>
    <hyperlink ref="A5165" r:id="rId301" xr:uid="{BCA9F268-1577-4648-B4E2-D1100C8B4D7F}"/>
    <hyperlink ref="A5166" r:id="rId302" xr:uid="{E25BAB75-ABC5-4513-8DC8-6A7DE2968B15}"/>
    <hyperlink ref="A5167" r:id="rId303" xr:uid="{2BB3D815-9029-43AF-B6A2-69BB7C44393B}"/>
    <hyperlink ref="A5307" r:id="rId304" xr:uid="{ECFB8FFD-FEB0-4231-9772-A6F94CE720B2}"/>
    <hyperlink ref="A5308" r:id="rId305" xr:uid="{55752B23-DE51-407B-9B83-4674FD89B4F5}"/>
    <hyperlink ref="A5309" r:id="rId306" xr:uid="{D9888D13-80F8-4839-BAD1-AA7383D1A005}"/>
    <hyperlink ref="A5310" r:id="rId307" xr:uid="{773E991D-0957-4C20-8517-FE683230A242}"/>
    <hyperlink ref="A5385" r:id="rId308" xr:uid="{4CEF0B59-74A9-43D2-BD69-50D037031DDE}"/>
    <hyperlink ref="A5386" r:id="rId309" xr:uid="{979B764B-E358-416D-8CA2-7F474638D53B}"/>
    <hyperlink ref="A5432" r:id="rId310" display="http://www.chassagne-montrachet.com/" xr:uid="{0FA0309B-3DBA-4A36-8B6F-50B33828CBBE}"/>
    <hyperlink ref="A5433" r:id="rId311" display="https://www.instagram.com/domainealexmoreau/" xr:uid="{99557E36-1903-45D5-A1AB-5AE6F8F3C21D}"/>
    <hyperlink ref="A5517" r:id="rId312" xr:uid="{09E206C7-59AE-48A1-86F1-189FE1FC233C}"/>
    <hyperlink ref="A5518" r:id="rId313" xr:uid="{7AEAD293-EC83-4FAB-970B-19061FCD3301}"/>
    <hyperlink ref="A5519" r:id="rId314" xr:uid="{E880EE36-2AF8-49D6-BA2C-49A819D673B5}"/>
    <hyperlink ref="A5562" r:id="rId315" xr:uid="{39E5EAF9-77B4-489C-B9AF-B1D471B4E767}"/>
    <hyperlink ref="A5591" r:id="rId316" display="http://www.henri-prudhon.fr/" xr:uid="{8D44B060-B606-450B-8BF8-8AEDDB1F5677}"/>
    <hyperlink ref="A5626" r:id="rId317" xr:uid="{E66C2B87-091E-45CE-A16D-D811A24825DD}"/>
    <hyperlink ref="A5627" r:id="rId318" xr:uid="{A3A43A14-0FA8-4E4D-A2E6-A5EC062C4F22}"/>
    <hyperlink ref="A5628" r:id="rId319" xr:uid="{AEFB5D6E-3FC2-498C-B1D9-3FE5BD3753D0}"/>
    <hyperlink ref="A5669" r:id="rId320" display="http://www.domaine-serrigny.fr/" xr:uid="{533421DB-3AF4-4723-9F26-FEC01197EF11}"/>
    <hyperlink ref="A5728" r:id="rId321" xr:uid="{A262F742-3B8A-4B7F-BDEF-39BA7469676A}"/>
    <hyperlink ref="A5729" r:id="rId322" xr:uid="{6AA1E937-A594-4C0F-A812-188257200AF4}"/>
    <hyperlink ref="A5730" r:id="rId323" xr:uid="{B4B9DEAD-8FF1-4DF5-AF90-8325C345B859}"/>
    <hyperlink ref="A5797" r:id="rId324" display="https://www.instagram.com/domainejmvincent/" xr:uid="{75DFAC3A-6E55-47E4-A8FF-FFAEC95698A6}"/>
    <hyperlink ref="A5826" r:id="rId325" display="www.DomaineBessonGivry.com" xr:uid="{D70E0790-21CB-44EA-9EF4-021C9A7B5577}"/>
    <hyperlink ref="A5827" r:id="rId326" display="https://www.instagram.com/domaine.g.et.x.besson/" xr:uid="{325BBFE3-92F3-4DE7-824F-1F20CFB4676C}"/>
    <hyperlink ref="A5866" r:id="rId327" xr:uid="{097E825F-D6A9-41AB-9C41-35F08B50BB14}"/>
    <hyperlink ref="A5867" r:id="rId328" display="www.Domaine-Briday.com" xr:uid="{605CA48E-184B-4389-A202-9EB399AECAB6}"/>
    <hyperlink ref="A5869" r:id="rId329" display="https://www.facebook.com/domainemichelbriday/" xr:uid="{88DDFE0E-90CB-4DD9-A985-4223231200F8}"/>
    <hyperlink ref="A5868" r:id="rId330" display="https://www.instagram.com/domainebriday/" xr:uid="{D1D2E907-A487-4B19-B952-7B98B79B54F1}"/>
    <hyperlink ref="A5968" r:id="rId331" xr:uid="{747E5504-B63F-4DC6-86B9-54972F2E6BCF}"/>
    <hyperlink ref="A5969" r:id="rId332" display="www.terravitis.com" xr:uid="{1C589767-5231-4886-8616-590C61B01685}"/>
    <hyperlink ref="A5970" r:id="rId333" display="https://www.facebook.com/GuillaumeChampliaud/" xr:uid="{C8285DC6-3498-41FD-89BF-8B7E77A6A658}"/>
    <hyperlink ref="A5987" r:id="rId334" display="www.renemichel.com" xr:uid="{3FFECDC4-88AF-420D-9779-C340F79AD42C}"/>
    <hyperlink ref="A5996" r:id="rId335" display="http://www.cornin.net/" xr:uid="{FAD79FA7-E7AD-48CF-8727-FD47DB3B8817}"/>
    <hyperlink ref="A6045" r:id="rId336" xr:uid="{5EE29BF8-AF89-4482-8703-029F8729C00D}"/>
    <hyperlink ref="A6105" r:id="rId337" display="www.domainemarcdelienne.fr" xr:uid="{B41512E3-913D-4413-8945-0FB41CC7CED5}"/>
    <hyperlink ref="A6155" r:id="rId338" xr:uid="{2E57F982-E5CA-4ECE-B300-8E49AFD2B3B6}"/>
    <hyperlink ref="A6156" r:id="rId339" display="www.Portuliege.com" xr:uid="{45701830-B07D-4B45-A26B-79BDBAFACA1E}"/>
    <hyperlink ref="A6266" r:id="rId340" display="www.lagrangecochard.com" xr:uid="{33514578-F99E-4712-89B2-9E25B3D0C620}"/>
    <hyperlink ref="A6341" r:id="rId341" xr:uid="{C565B148-66D5-41A2-A23B-407AB43BA2A8}"/>
    <hyperlink ref="A6342" r:id="rId342" display="https://www.instagram.com/domaine.pauljanin.etfils/" xr:uid="{501016FE-2019-453D-B46E-28C2E16D7D9D}"/>
    <hyperlink ref="A6343" r:id="rId343" display="https://www.youtube.com/watch?v=sMrTUk0HsYk" xr:uid="{0AE49A33-64DB-4C40-A7F7-A37FD6C9F31D}"/>
    <hyperlink ref="A6365" r:id="rId344" xr:uid="{3990CE86-CD01-4837-8913-6C5A450FA21E}"/>
    <hyperlink ref="A6436" r:id="rId345" xr:uid="{7D37ED07-836D-48F2-B581-EEA92459AC45}"/>
    <hyperlink ref="A6437" r:id="rId346" xr:uid="{FCA2DBBB-834A-4BA5-A4D8-B63F0F1FD4C2}"/>
    <hyperlink ref="A6438" r:id="rId347" xr:uid="{30F2D2ED-F5BC-45DB-98F1-719E41E40AF7}"/>
    <hyperlink ref="A6474" r:id="rId348" display="https://www.renardat-fache.com/" xr:uid="{51CF6307-51A3-406D-AFBD-56E5DECDDDA8}"/>
    <hyperlink ref="A6482" r:id="rId349" display="http://www.sancerre-bizet.com/" xr:uid="{4F6C9500-6FA0-4CF1-9D21-0FEC26529C63}"/>
    <hyperlink ref="A6519" r:id="rId350" xr:uid="{9CF90E96-42C7-4BC6-9BE2-93DDE9E53686}"/>
    <hyperlink ref="A6541" r:id="rId351" display="www.Sancerre-Noel.com" xr:uid="{5F0B37AB-261F-420E-93CB-1B19230C3C4A}"/>
    <hyperlink ref="A6549" r:id="rId352" display="www.renaissance-des-appellations.com" xr:uid="{DF64DD76-3B1B-43D1-BEF5-341497A3B822}"/>
    <hyperlink ref="A6626" r:id="rId353" display="https://www.arnaud-lambert.com" xr:uid="{E7015FFA-6DC1-472A-A6BE-139557AF52A9}"/>
    <hyperlink ref="A6666" r:id="rId354" display="http://www.domaine-pichot.com/" xr:uid="{8978E139-D913-423F-8932-4717B397F703}"/>
    <hyperlink ref="A6698" r:id="rId355" display="www.DomaineJohannSpelty.com" xr:uid="{5E9D729D-F94F-4C44-AC28-1A296180CF40}"/>
    <hyperlink ref="A6717" r:id="rId356" display="http://www.bonnet-huteau.com/" xr:uid="{5C090909-FD03-48C9-910C-52F21D22D491}"/>
    <hyperlink ref="A6751" r:id="rId357" display="https://www.instagram.com/jeanlouischave/ " xr:uid="{93B8F433-955B-4E43-BD68-524896021074}"/>
    <hyperlink ref="A6819" r:id="rId358" display="https://www.instagram.com/jeanlouischave/ " xr:uid="{406D8F25-0D94-4B17-8152-E359AA4254EF}"/>
    <hyperlink ref="A6919" r:id="rId359" xr:uid="{C5E62ADA-DA71-44A1-A9A4-8EAE08BBC170}"/>
    <hyperlink ref="A6999" r:id="rId360" display="www.DomaineMarsanne.com" xr:uid="{47E69D47-6627-4CCD-9E36-A2C78AA84C9E}"/>
    <hyperlink ref="A7050" r:id="rId361" xr:uid="{0BEE8729-B103-4618-99C0-C51D9517B120}"/>
    <hyperlink ref="A7051" r:id="rId362" xr:uid="{E7A1167D-B0CB-434A-BBCE-C7662C16E85D}"/>
    <hyperlink ref="A7068" r:id="rId363" display="https://www.domaineremizieres.com" xr:uid="{60429B52-9B18-45F4-BAAF-CE2DD3B6387E}"/>
    <hyperlink ref="A7082" r:id="rId364" display="www.valmont-de-peronny.fr" xr:uid="{A6427D7C-3C50-49EF-A70F-6890D00032A5}"/>
    <hyperlink ref="A7143" r:id="rId365" display="https://www.instagram.com/domaine_charvin/" xr:uid="{AD8F7940-DBA3-4BA3-80C1-B360247364F6}"/>
    <hyperlink ref="A7172" r:id="rId366" xr:uid="{05904781-AFEA-4A28-B84C-4DE986726D77}"/>
    <hyperlink ref="A7190" r:id="rId367" display="www.FamillePerrin.com" xr:uid="{272C7336-C18E-4944-8171-5D29FFEFF7F9}"/>
    <hyperlink ref="A7231" r:id="rId368" xr:uid="{7E98C0E1-7C98-4F50-83F0-69F2D4073E11}"/>
    <hyperlink ref="A7232" r:id="rId369" display="www.FamillePerrin.com" xr:uid="{CA5984AD-2E7D-4FC4-8D4C-86539C8DFAE2}"/>
    <hyperlink ref="A7328" r:id="rId370" xr:uid="{B2033DF8-A527-41FA-8D69-5AF2F607B199}"/>
    <hyperlink ref="A7376" r:id="rId371" xr:uid="{3F9BE35F-172B-44F5-9B4C-7679536DF84B}"/>
    <hyperlink ref="A7403" r:id="rId372" display="www.SameRiverTwiceWines.com" xr:uid="{86F5F698-1AD1-45F1-8539-C170E3A23B13}"/>
    <hyperlink ref="A7414" r:id="rId373" display="www.vieux-telegraphe.fr" xr:uid="{A0042F94-B03C-4C1D-8C63-B762B5B48B87}"/>
    <hyperlink ref="A7415" r:id="rId374" display="www.kermitlynch.com/our-wines/les-pallieres" xr:uid="{2D096B13-0680-4B28-9313-3205F28A5675}"/>
    <hyperlink ref="A7424" r:id="rId375" display="www.xaviervignon.com" xr:uid="{BE42A9DD-FEE6-4B64-90ED-BA776AA47502}"/>
    <hyperlink ref="A7434" r:id="rId376" display="www.xaviervignon.com" xr:uid="{19C898C2-CD81-482A-91A8-F445FCF7A888}"/>
    <hyperlink ref="A7460" r:id="rId377" xr:uid="{664F0030-E5AE-4E5A-AE66-011DD6D0BED2}"/>
    <hyperlink ref="A7461" r:id="rId378" display="DomaineDeVilleneuve.com" xr:uid="{A86D49D1-B434-4291-9F0F-C7FCB32EBBD1}"/>
    <hyperlink ref="A7462" r:id="rId379" xr:uid="{91629AE5-0345-4933-AC5E-A2DDDDFF8053}"/>
    <hyperlink ref="A7487" r:id="rId380" display="http://www.clotdelorigine.com/" xr:uid="{BF8B8426-0D25-4B66-BF44-7EF40354B4D3}"/>
    <hyperlink ref="A7508" r:id="rId381" display="http://www.le-soula.com/" xr:uid="{9463EDA7-2B88-41DC-9915-600160F1373F}"/>
    <hyperlink ref="A7551" r:id="rId382" display="www.instagram.com/masalezon/" xr:uid="{32F6A19B-7F9A-490C-BA41-AB910B063A50}"/>
    <hyperlink ref="A7567" r:id="rId383" display="en.gilbertgaillard.com" xr:uid="{B49294CF-CCA2-4C97-AB18-EDBD1CCE776B}"/>
    <hyperlink ref="A7670" r:id="rId384" display="http://ray-jane.fr/" xr:uid="{AE75D2AE-E55F-4998-A5FB-5D657DAC2047}"/>
    <hyperlink ref="A7683" r:id="rId385" xr:uid="{40627266-0F85-42BE-995B-46197D25111A}"/>
    <hyperlink ref="A7746" r:id="rId386" xr:uid="{B6E99516-F6D6-4AC3-AA3D-D501D661EA52}"/>
    <hyperlink ref="A7763" r:id="rId387" display="www.vievini.it" xr:uid="{616B6DC4-B0F3-4B8D-80BB-AFD087762A27}"/>
    <hyperlink ref="A7778" r:id="rId388" display="www.TenutaAnfosso.it" xr:uid="{BE738A87-0C8F-413F-B918-0ED38EC8114E}"/>
    <hyperlink ref="A7799" r:id="rId389" xr:uid="{2B870BE5-22AD-4686-9A27-C6CE442849B2}"/>
    <hyperlink ref="A7829" r:id="rId390" xr:uid="{17C218C3-9D97-46E1-8D8F-FDD508EA3354}"/>
    <hyperlink ref="A7830" r:id="rId391" xr:uid="{CFC227D4-3994-48EC-8141-59CCD28BA7BD}"/>
    <hyperlink ref="A7878" r:id="rId392" xr:uid="{5304736A-45EA-43CB-B233-7AAB43253D1F}"/>
    <hyperlink ref="A7881" r:id="rId393" xr:uid="{5C00FAF7-55FC-43DA-AF56-34438F528C57}"/>
    <hyperlink ref="A7964" r:id="rId394" xr:uid="{CA01A179-8DB1-4A62-95AC-67E52433566F}"/>
    <hyperlink ref="A7974" r:id="rId395" display="http://www.podericolla.it " xr:uid="{394707FB-0C9A-48ED-8FD2-B2B8F39DD94E}"/>
    <hyperlink ref="A8061" r:id="rId396" xr:uid="{DD9026ED-77C5-464A-BD08-ED3D8DF7DBCD}"/>
    <hyperlink ref="A8062" r:id="rId397" xr:uid="{D0EA2034-FB09-4F20-B4A6-E84283F1AB10}"/>
    <hyperlink ref="A8126" r:id="rId398" xr:uid="{721B1065-8D2A-4700-B8E0-4E5C112530EE}"/>
    <hyperlink ref="A8127" r:id="rId399" xr:uid="{D60A9F2B-F9A5-474A-AEC2-CE01B844FCB8}"/>
    <hyperlink ref="A8150" r:id="rId400" xr:uid="{B7CA6635-896E-4AEC-95A7-1BDC7B7B84F0}"/>
    <hyperlink ref="A8151" r:id="rId401" xr:uid="{289C05FC-B817-4039-A969-4D46D01A5D1C}"/>
    <hyperlink ref="A8153" r:id="rId402" display="https://www.youtube.com/watch?v=sH2PVI3HCvA" xr:uid="{7C9E1C59-3CAB-45F5-A739-D07B63419047}"/>
    <hyperlink ref="A8230" r:id="rId403" xr:uid="{196D131B-E971-49ED-B191-C088F3BDAC4A}"/>
    <hyperlink ref="A8330" r:id="rId404" display="http://www.renatomolino.it/" xr:uid="{51195A34-4786-451A-88BA-A463CCC026AA}"/>
    <hyperlink ref="A8345" r:id="rId405" display="OresteStefano.eu" xr:uid="{544B2C90-02FA-4226-9C9D-11354A22155B}"/>
    <hyperlink ref="A8393" r:id="rId406" display="www.youtube.com/watch?v=1qmhBFFNTus" xr:uid="{5289D91E-7D5F-47E2-B779-3B587A02A1C7}"/>
    <hyperlink ref="A8394" r:id="rId407" display="www.viniveri.net" xr:uid="{A145619D-AA4E-4583-A92D-78530D80E93B}"/>
    <hyperlink ref="A8395" r:id="rId408" display="http://www.barolodibarolo.com/" xr:uid="{677F34E2-BD33-4307-A1A8-756550BA6C28}"/>
    <hyperlink ref="A8421" r:id="rId409" display="www.ArnaldoRivera.com" xr:uid="{26DF7B37-FB9F-43D7-9F75-E7770E1D1793}"/>
    <hyperlink ref="A8556" r:id="rId410" xr:uid="{F8CA50EC-3595-433B-8FBF-3B0F303FC58C}"/>
    <hyperlink ref="A8637" r:id="rId411" xr:uid="{270BF5DA-5BB3-4AC0-9895-A26DF9948993}"/>
    <hyperlink ref="A8694" r:id="rId412" display="https://www.cascinaluisin.it" xr:uid="{CD850C16-C5B8-4634-AEB9-A0A203726473}"/>
    <hyperlink ref="A8695" r:id="rId413" display="www.instagram.com/cascinaluisin/" xr:uid="{07D7F1E1-207E-4858-9ED8-B40777963C50}"/>
    <hyperlink ref="A8714" r:id="rId414" display="www.CeciliaMonte.it" xr:uid="{9A678700-1914-4CF9-A3BC-402B49B33627}"/>
    <hyperlink ref="A8739" r:id="rId415" display="http://www.runchet.it/" xr:uid="{EF80F9F3-D84E-4875-B386-A408F1B59453}"/>
    <hyperlink ref="A8740" r:id="rId416" display="https://www.fivi.it" xr:uid="{C71833DE-FE45-47CD-B871-C75B24092AA8}"/>
    <hyperlink ref="A8763" r:id="rId417" display="www.viniveri.net" xr:uid="{F854B579-64FA-49D2-AD21-BA48616A4CC0}"/>
    <hyperlink ref="A8788" r:id="rId418" xr:uid="{85DEDD6E-CD7B-4BC8-8A1E-9BF82F4B5920}"/>
    <hyperlink ref="A8834" r:id="rId419" display="http://www.nervicantine.it/" xr:uid="{85A5C5E1-FB09-42E3-ACE4-B53F255682E1}"/>
    <hyperlink ref="A8836" r:id="rId420" display="https://www.youtube.com/watch?v=hIG-IMyrFAc" xr:uid="{B21C6DF8-0184-4079-9060-FD640F3BEF92}"/>
    <hyperlink ref="A8882" r:id="rId421" display="www.LaColomberaVini.it" xr:uid="{914EF9F6-7A0A-4A4D-9824-02B1986E09F3}"/>
    <hyperlink ref="A8883" r:id="rId422" display="https://www.fivi.it" xr:uid="{F1DFCE32-98DE-4900-B34A-B617A4DA0399}"/>
    <hyperlink ref="A8937" r:id="rId423" xr:uid="{379745C8-0750-47B5-8A99-752AF5EC24D7}"/>
    <hyperlink ref="A8959" r:id="rId424" display="https://www.fivi.it" xr:uid="{704CE645-47F0-4A53-A4D2-726704426F22}"/>
    <hyperlink ref="A8960" r:id="rId425" display="www.youtube.com/watch?v=U8I5A7FmD9E" xr:uid="{C3870514-6BD3-475F-AE83-7765C682CDAB}"/>
    <hyperlink ref="A9014" r:id="rId426" location="0" xr:uid="{1DDDA7C3-8E44-431C-8E4B-1D161F17385F}"/>
    <hyperlink ref="A9015" r:id="rId427" display="www.facebook.com/BARBACAN.sa/" xr:uid="{C8B49F78-B5E5-4E26-AE0E-B0D6898E4B12}"/>
    <hyperlink ref="A9039" r:id="rId428" xr:uid="{6EA60342-1998-465B-97E8-2FF93895D850}"/>
    <hyperlink ref="A9040" r:id="rId429" xr:uid="{9F7CDC4A-C40A-477D-BBBA-EF8725D55C43}"/>
    <hyperlink ref="A9041" r:id="rId430" xr:uid="{F6747B16-11C8-450D-9780-ADFCA77B27F2}"/>
    <hyperlink ref="A9114" r:id="rId431" display="https://www.fivi.it" xr:uid="{BC352B21-7A64-48C3-BB4C-76B8EED7B9BC}"/>
    <hyperlink ref="A9126" r:id="rId432" display="www.KellereiKaltern.com" xr:uid="{BF80BEC9-4CA2-4212-AB2B-27DBDF03B3A8}"/>
    <hyperlink ref="A9137" r:id="rId433" display="http://www.dalzocchio.it/" xr:uid="{0501AA35-7538-45B8-93DF-06152F61D91B}"/>
    <hyperlink ref="A9138" r:id="rId434" display="https://www.fivi.it" xr:uid="{34B3D536-9356-46BB-A495-BA0930CF3984}"/>
    <hyperlink ref="A9152" r:id="rId435" xr:uid="{937869C5-ADD4-4C12-86A3-212B984E6346}"/>
    <hyperlink ref="A9170" r:id="rId436" xr:uid="{E1775853-0175-4B36-929E-7FFA04E72B80}"/>
    <hyperlink ref="A9171" r:id="rId437" display="www.FIVI.it" xr:uid="{D8B51E70-88F6-4D5F-8459-CA600B4E4A73}"/>
    <hyperlink ref="A9189" r:id="rId438" xr:uid="{87504B20-90A8-4AEA-AC97-991535163D99}"/>
    <hyperlink ref="A9190" r:id="rId439" display="www.FIVI.it" xr:uid="{D10CC4A7-7A3C-4559-874A-82B3CB4275F6}"/>
    <hyperlink ref="A9209" r:id="rId440" display="http://www.dalfornoromano.it/" xr:uid="{7C552CE9-E7C1-489B-83B0-4E68EBF22867}"/>
    <hyperlink ref="A9223" r:id="rId441" display="www.FIVI.it" xr:uid="{D886CE83-F177-46D5-9448-347FAEEC1B40}"/>
    <hyperlink ref="A9224" r:id="rId442" display="www.cortesermana.it" xr:uid="{4C4C988C-E9D9-447A-9FEC-BB28B4CEC700}"/>
    <hyperlink ref="A9225" r:id="rId443" display="https://www.facebook.com/cortesermana" xr:uid="{329825DB-F8C0-4798-ABF7-AAE10455E0D1}"/>
    <hyperlink ref="A9232" r:id="rId444" display="http://www.agriturismoraval.it/" xr:uid="{95EC51EC-FCB1-4070-8B3B-D51B8944337F}"/>
    <hyperlink ref="A9233" r:id="rId445" display="https://www.ilbardolino.com" xr:uid="{D0C33B13-8FF2-4728-A998-E59EFA738D13}"/>
    <hyperlink ref="A9243" r:id="rId446" display="www.ViniDiLuce.com" xr:uid="{F63C46D7-F87C-4615-B578-9674152398F2}"/>
    <hyperlink ref="A9256" r:id="rId447" display="http://www.meggiolarovini.it" xr:uid="{379B3BFD-6BC9-4011-99C4-EC6D70DE5C5C}"/>
    <hyperlink ref="A9257" r:id="rId448" display="www.ViniDiLuce.com" xr:uid="{7E27D28F-A940-4326-842A-4615A6AD9026}"/>
    <hyperlink ref="A9258" r:id="rId449" display="www.FIVI.it" xr:uid="{33476AB4-DE9B-4ECE-8344-222A795870D8}"/>
    <hyperlink ref="A9267" r:id="rId450" display="http://www.biancaravini.it/" xr:uid="{8C61774E-43F8-469F-9105-26C4AB4C6C64}"/>
    <hyperlink ref="A9268" r:id="rId451" display="www.vinnatur.it" xr:uid="{E5948B74-40EF-4F7B-83B6-705B8968621A}"/>
    <hyperlink ref="A9269" r:id="rId452" display="www.FIVI.it" xr:uid="{4EB8AEF6-3FF2-4439-B0D7-3B6B3DEDDE75}"/>
    <hyperlink ref="A9278" r:id="rId453" display="http://www.ortodivenezia.com/" xr:uid="{066127D0-7702-4667-BD4C-2286F583977D}"/>
    <hyperlink ref="A9290" r:id="rId454" display="http://www.proseccoilcolle.it/" xr:uid="{176F2261-7610-4157-B17A-A7DA02CCA140}"/>
    <hyperlink ref="A9309" r:id="rId455" xr:uid="{AC341E00-FA87-4AA9-8167-A9727D482E7E}"/>
    <hyperlink ref="A9320" r:id="rId456" display="www.viniveri.net" xr:uid="{8769BCAF-A1DF-4497-A90F-049659C71EE7}"/>
    <hyperlink ref="A9403" r:id="rId457" xr:uid="{24063837-F03B-4DDF-88BC-163B8AE9EA74}"/>
    <hyperlink ref="A9404" r:id="rId458" xr:uid="{14745794-C497-4000-B5BD-BA140E806287}"/>
    <hyperlink ref="A9405" r:id="rId459" xr:uid="{60E36E17-D493-481C-8A1C-4EB34A74F419}"/>
    <hyperlink ref="A9406" r:id="rId460" xr:uid="{672BF1D8-F666-4BC8-8541-3C884A43C4F9}"/>
    <hyperlink ref="A9527" r:id="rId461" xr:uid="{9913D45B-8EF1-4C28-8198-078ABBADD384}"/>
    <hyperlink ref="A9579" r:id="rId462" xr:uid="{3415E55D-12F6-4080-879F-AF8CB2FE5F23}"/>
    <hyperlink ref="A9592" r:id="rId463" display="www.RadoKocjancic.eu" xr:uid="{F0BCA554-5633-40F6-BD27-12B734AD4918}"/>
    <hyperlink ref="A9662" r:id="rId464" xr:uid="{F8BB3D65-BA93-4904-920F-6F834E2E7A6A}"/>
    <hyperlink ref="A9691" r:id="rId465" display="http://www.casale-falchini.it/" xr:uid="{37467D6C-4338-4A42-820C-CCD3E8B403AB}"/>
    <hyperlink ref="A9706" r:id="rId466" display="VinSantoBrogioni.com" xr:uid="{858D442A-E2F9-4A9A-A879-020E45FE5B58}"/>
    <hyperlink ref="A9745" r:id="rId467" display="http://www.fattoriamontellori.it/" xr:uid="{D4967205-D5CB-4985-8E92-275FFF4B85E6}"/>
    <hyperlink ref="A9767" r:id="rId468" xr:uid="{875A89AE-91B6-4C00-A53D-96C2586A9350}"/>
    <hyperlink ref="A9816" r:id="rId469" xr:uid="{37858EE1-355E-431B-B449-20CB48F99732}"/>
    <hyperlink ref="A9817" r:id="rId470" display="www.FIVI.it" xr:uid="{F9FFA433-3176-4198-A88B-C24513AE97E0}"/>
    <hyperlink ref="A9853" r:id="rId471" xr:uid="{96989B1F-2F52-426C-B411-059C68450C45}"/>
    <hyperlink ref="A9901" r:id="rId472" xr:uid="{6E0381CD-9D9E-42E5-85B8-836E92402D2C}"/>
    <hyperlink ref="A9902" r:id="rId473" xr:uid="{63D6648A-B9D6-4307-A86B-165C2E53A088}"/>
    <hyperlink ref="A9926" r:id="rId474" display="www.instagram.com/j.g.benda/" xr:uid="{F445AFDE-3A2E-4E17-8AEF-AD0A6BE119F1}"/>
    <hyperlink ref="A9962" r:id="rId475" display="AziendaAgricolaLeChiuse.it" xr:uid="{045F8ABE-2DA2-452A-A271-5F1E42B3D8D8}"/>
    <hyperlink ref="A9986" r:id="rId476" display="www.instagram.com/ggorelliwine/" xr:uid="{C001EB53-CF1D-4C68-8C55-5930A69B7DCD}"/>
    <hyperlink ref="A9987" r:id="rId477" display="https://www.facebook.com/GGorelliWine" xr:uid="{30013AFE-56D8-489E-ABA4-5282B9C67EE6}"/>
    <hyperlink ref="A10001" r:id="rId478" xr:uid="{CE6EDF55-CB4F-433A-8779-0AB3BB2CFD7D}"/>
    <hyperlink ref="A10066" r:id="rId479" xr:uid="{82F66017-3836-40B0-9365-EB749B7D1C09}"/>
    <hyperlink ref="A10103" r:id="rId480" xr:uid="{F597EA7D-4AFE-4905-BF30-3B230549A69B}"/>
    <hyperlink ref="A10113" r:id="rId481" display="www.AmiataVini.it" xr:uid="{AF025502-78FE-4947-9CEB-457EADB7105B}"/>
    <hyperlink ref="A10122" r:id="rId482" display="http://www.tenutalapiccola.it/" xr:uid="{98B75658-6910-4513-AA4F-E86EEE499965}"/>
    <hyperlink ref="A10134" r:id="rId483" xr:uid="{69CA9FD4-8583-4FE0-80A4-FE6B9C786174}"/>
    <hyperlink ref="A10135" r:id="rId484" display="www.FIVI.it" xr:uid="{B5084BA0-42F2-4A1F-B364-BF3B8EBDA9A9}"/>
    <hyperlink ref="A10166" r:id="rId485" display="http://www.lamarcadisanmichele.com/" xr:uid="{59968CA9-DABB-4792-B7EE-7F4825800589}"/>
    <hyperlink ref="A10167" r:id="rId486" display="www.FIVI.it" xr:uid="{BADAD8A7-2073-4786-8F84-23C5CEFCD0CD}"/>
    <hyperlink ref="A10187" r:id="rId487" display="www.dalesiovini.it" xr:uid="{BE33AC15-CB7D-4694-8017-EBEEFE69BB5D}"/>
    <hyperlink ref="A10217" r:id="rId488" xr:uid="{3CBE7B30-85CA-4FE2-A14D-5ACA0E751702}"/>
    <hyperlink ref="A10218" r:id="rId489" xr:uid="{99C9BF8E-BE1C-49E1-AE29-D4261C4A1075}"/>
    <hyperlink ref="A10234" r:id="rId490" display="https://fivi.it" xr:uid="{3504F01F-8539-4860-827D-66D184351568}"/>
    <hyperlink ref="A10235" r:id="rId491" display="https://www.frascati-wine.it" xr:uid="{BC111FD1-9205-4B1F-9D1F-3C2257CC2BBE}"/>
    <hyperlink ref="A10249" r:id="rId492" display="www.sanlorenzovini.com" xr:uid="{6ED1355D-8A13-4B50-80D9-BE5C3843CD46}"/>
    <hyperlink ref="A10296" r:id="rId493" display="http://www.tabarrini.com/" xr:uid="{C12E3797-4B69-4427-9F91-3685E6C528A6}"/>
    <hyperlink ref="A10297" r:id="rId494" display="http://www.consorziomontefalco.it/" xr:uid="{674DE78A-6BA4-4504-BC3D-D3768F99339C}"/>
    <hyperlink ref="A10298" r:id="rId495" display="www.FIVI.it" xr:uid="{30DC187F-5541-4F2D-B3C1-B632D74EFEC4}"/>
    <hyperlink ref="A10339" r:id="rId496" display="https://www.youtube.com/watch?v=wiksUH7oMI4" xr:uid="{A0E22482-C7F5-4250-9E03-27AA2260BF93}"/>
    <hyperlink ref="A10340" r:id="rId497" display="www.youtube.com/watch?reload=9&amp;v=nBLQRbUDSsg" xr:uid="{7DB32E93-0E6F-46F3-A8AB-A2F6CABA27B7}"/>
    <hyperlink ref="A10341" r:id="rId498" display="https://grapecollective.com/articles/the-soulful-wines-of-bruno-de-conciliis" xr:uid="{9F9617A1-C007-4DE3-9A80-B1CC2F8111C0}"/>
    <hyperlink ref="A10342" r:id="rId499" display="www.FIVI.it" xr:uid="{A382B8D6-28F4-4AB7-B3BF-7A35DA98D9AA}"/>
    <hyperlink ref="A10385" r:id="rId500" xr:uid="{530FA4C3-6748-4C48-B312-761D054503EE}"/>
    <hyperlink ref="A10383" r:id="rId501" display="www.youtube.com/watch?reload=9&amp;v=nBLQRbUDSsg" xr:uid="{33CBF700-98BF-40B0-A5B6-DE250B6BFA4B}"/>
    <hyperlink ref="A10382" r:id="rId502" display="https://grapecollective.com/articles/the-soulful-wines-of-bruno-de-conciliis" xr:uid="{943D734B-8F09-419D-8941-663CC8C19DF3}"/>
    <hyperlink ref="A10384" r:id="rId503" display="www.FIVI.it" xr:uid="{2D3F1423-5300-41AA-AD20-8B1E464237E4}"/>
    <hyperlink ref="A10431" r:id="rId504" display="www.ContradeDiTaurasi.it" xr:uid="{A7E33182-2E5D-4BF8-B71C-BFC81C069A5F}"/>
    <hyperlink ref="A10432" r:id="rId505" display="www.FIVI.it" xr:uid="{77B16EC1-A9C2-4E27-8C6C-59DA5049C8F9}"/>
    <hyperlink ref="A10439" r:id="rId506" xr:uid="{8FF6ED79-3157-4193-9EA1-BAC7AADB1DAE}"/>
    <hyperlink ref="A10444" r:id="rId507" display="www.ilgustodellacosta.it " xr:uid="{456665FD-25E1-487F-A6A9-AC47FA6EB6EA}"/>
    <hyperlink ref="A10454" r:id="rId508" display="www.tenutalachiusa.it" xr:uid="{4D48277E-CF6C-442C-B712-9F4E41F5511A}"/>
    <hyperlink ref="A10506" r:id="rId509" xr:uid="{64009779-257A-4DD9-8C0A-13D94A0B6278}"/>
    <hyperlink ref="A10507" r:id="rId510" xr:uid="{9FB336AE-ABC9-4680-A93A-888D1C2BE311}"/>
    <hyperlink ref="A10521" r:id="rId511" xr:uid="{D5FA9AA1-A2BB-405B-BB6F-D2999CAE4F1F}"/>
    <hyperlink ref="A10562" r:id="rId512" xr:uid="{4FA8163D-34A6-456D-A806-27D39C68CC07}"/>
    <hyperlink ref="A10577" r:id="rId513" display="www.EreDidiMaio.it" xr:uid="{E35411B6-52CF-4A67-9DD2-75BE2F5B9AC3}"/>
    <hyperlink ref="A10683" r:id="rId514" xr:uid="{0B94E611-7742-4F43-99F8-1ED3F838776A}"/>
    <hyperlink ref="A10694" r:id="rId515" display="https://www.vinidiluce.com" xr:uid="{DC92FB0B-1B82-492C-96B2-C24A23F7A838}"/>
    <hyperlink ref="A10705" r:id="rId516" display="www.ivigneri.it" xr:uid="{506B8A9B-46A1-4778-B808-CB60E762F368}"/>
    <hyperlink ref="A10726" r:id="rId517" display="www.BodegasPascual.com" xr:uid="{FFBD8010-A20C-4C17-A829-6C489891E758}"/>
    <hyperlink ref="A10739" r:id="rId518" display="www.niepoort.pt" xr:uid="{21DBC538-0CB1-4C3A-9581-536C391FCA44}"/>
    <hyperlink ref="A10746" r:id="rId519" display="http://www.vinosdearganza.com/" xr:uid="{429FA81E-E395-469B-85AF-FC14B3329CBE}"/>
    <hyperlink ref="A10753" r:id="rId520" display="www.BodegasPascual.com" xr:uid="{789EC9DE-B56E-48C0-BC58-3972AFC54336}"/>
    <hyperlink ref="A10783" r:id="rId521" display="http://www.lopezcristobal.com/" xr:uid="{7F815F89-A4B4-4E75-97BE-78FFEBEFB88A}"/>
    <hyperlink ref="A10792" r:id="rId522" display="http://www.oxerwines.com" xr:uid="{453DDF44-57DF-4A30-A4C1-ED2B42D199D2}"/>
    <hyperlink ref="A10802" r:id="rId523" display="http://www.dominioberzal.com/" xr:uid="{C36E1846-6182-43A2-9685-240EBB1B84DE}"/>
    <hyperlink ref="A10824" r:id="rId524" display="https://www.lopezdeheredia.com" xr:uid="{55A0CD2E-94B9-4562-8587-7C2EBAEA7FBB}"/>
    <hyperlink ref="A10835" r:id="rId525" xr:uid="{CF7468BF-21D0-441E-A53A-1DF2D07688C9}"/>
    <hyperlink ref="A10845" r:id="rId526" display="www.Tritium.es" xr:uid="{27FE91CB-3152-4BE2-A667-7AFEECAFD7E6}"/>
    <hyperlink ref="A10855" r:id="rId527" display="www.niepoort.pt" xr:uid="{8234DD62-72C9-4829-878A-392F3C5711B6}"/>
    <hyperlink ref="A10856" r:id="rId528" display="https://vinazorzalwines.com" xr:uid="{B3A45A26-27E2-4636-B40A-F392EA99DF43}"/>
    <hyperlink ref="A10874" r:id="rId529" display="www.masdelabasserola.cat " xr:uid="{ED9BDFD4-FA18-49B1-B990-DE6B6120D003}"/>
    <hyperlink ref="A10907" r:id="rId530" xr:uid="{1FBD578D-A381-4132-96EB-08A7D9F7DC26}"/>
    <hyperlink ref="A10915" r:id="rId531" display="http://www.closberenguer.com/" xr:uid="{6392B255-4893-4AEE-AD21-A628F51EFF82}"/>
    <hyperlink ref="A10923" r:id="rId532" display="http://www.cellersunio.com/" xr:uid="{F1205325-C426-49FA-AFE9-DB877DC41029}"/>
    <hyperlink ref="A10930" r:id="rId533" display="www.cellerstarrone.com" xr:uid="{1DE39CB7-6393-48A2-8F9B-E2C9AF8AEF11}"/>
    <hyperlink ref="A10935" r:id="rId534" xr:uid="{B1DBF8B8-312E-4701-85BC-FFF29FA1A98F}"/>
    <hyperlink ref="A10943" r:id="rId535" display="http://www.cellersunio.com/" xr:uid="{20B45992-7466-4BCE-80F1-90693AFA1E3A}"/>
    <hyperlink ref="A10949" r:id="rId536" display="http://www.bodegashispanosuizas.com/" xr:uid="{BF3E7A10-93EA-4BD0-8886-829969DBCCA6}"/>
    <hyperlink ref="A10971" r:id="rId537" display="www.niepoort.pt" xr:uid="{4DF90F4D-B857-4385-A5F2-13514B7C47E5}"/>
    <hyperlink ref="A10984" r:id="rId538" display="https://quintadomontinho.pt" xr:uid="{AEC3821D-3FA0-4F7B-A771-A4C5E30B62F9}"/>
    <hyperlink ref="A10993" r:id="rId539" display="www.niepoort.pt" xr:uid="{B1568D64-97EC-4FA9-8099-67A54B403722}"/>
    <hyperlink ref="A11078" r:id="rId540" display="www.niepoort.pt" xr:uid="{98680267-7AF3-492E-9716-45A711182786}"/>
    <hyperlink ref="A11079" r:id="rId541" xr:uid="{062E9516-F559-4214-9349-FE79917B1EBE}"/>
    <hyperlink ref="A11113" r:id="rId542" display="en-gb.facebook.com/Niepoort.Vinhos/" xr:uid="{AE20D511-05BC-4DCE-A65F-A1EB8FAD481D}"/>
    <hyperlink ref="A11114" r:id="rId543" display="en-gb.Facebook.com/BagaFriends" xr:uid="{CFB8FF11-B3BD-4D67-A4E4-13C04D8908F1}"/>
    <hyperlink ref="A11112" r:id="rId544" display="www.niepoort.pt" xr:uid="{7EE18788-AA70-47F2-9DF1-16C68CC3BEBB}"/>
    <hyperlink ref="A11147" r:id="rId545" display="LusoHotelBussacoPalace.com" xr:uid="{51508546-E543-4B03-A873-2744D108EC58}"/>
    <hyperlink ref="A11183" r:id="rId546" display="https://en-gb.facebook.com/Niepoort.Vinhos/" xr:uid="{FE62814A-39A5-4E0E-815F-E2C3A4D4EFC8}"/>
    <hyperlink ref="A11182" r:id="rId547" display="www.niepoort.pt" xr:uid="{5A12ED25-636C-4473-8153-295B9C19FAA0}"/>
    <hyperlink ref="A11200" r:id="rId548" display="https://www.facebook.com/baiaseenseadas/" xr:uid="{5E1525FF-5D3C-4E38-AC56-C5B1FC322B45}"/>
    <hyperlink ref="A11201" r:id="rId549" display="https://www.instagram.com/baiaseenseadas/" xr:uid="{7AD4ACFD-D450-4119-8906-F2E2087168F9}"/>
    <hyperlink ref="A11232" r:id="rId550" display="www.AdegaViuvaGomes.com" xr:uid="{F61E3DFC-84D1-427F-AB71-60BA73E6804C}"/>
    <hyperlink ref="A11310" r:id="rId551" xr:uid="{40F3E13F-9819-473D-816A-400D412B95BF}"/>
    <hyperlink ref="A11378" r:id="rId552" display="www.Knoll.at" xr:uid="{071CFB1F-DA96-4135-B798-0490F361F3D5}"/>
    <hyperlink ref="A11409" r:id="rId553" display="www.renaissance-des-appellations.com" xr:uid="{52F94DAA-95FE-494C-8836-4F2299868296}"/>
    <hyperlink ref="A11410" r:id="rId554" display="http://www.nikolaihof.at/" xr:uid="{61BA9086-672D-45CF-9186-80DA0A0B65AC}"/>
    <hyperlink ref="A11411" r:id="rId555" display="https://www.advineas.at" xr:uid="{0733B35B-9531-4625-83D1-524BC6152A51}"/>
    <hyperlink ref="A11475" r:id="rId556" xr:uid="{8C4D8321-0D4A-42D9-9016-5B96EDA96F6F}"/>
    <hyperlink ref="A11552" r:id="rId557" xr:uid="{1F723F70-FAD0-475B-AB49-68D9B988A150}"/>
    <hyperlink ref="A11599" r:id="rId558" display="http://www.bruendlmayer.at/" xr:uid="{2F714998-0809-4E93-9EBD-D7D41296027F}"/>
    <hyperlink ref="A11600" r:id="rId559" display="www.traditionsweingueter.at" xr:uid="{8C3514D2-8905-4836-9ACF-D0C05806B866}"/>
    <hyperlink ref="A11619" r:id="rId560" xr:uid="{96E89C2A-317B-42D6-BCB9-2C4AE944EDC0}"/>
    <hyperlink ref="A11620" r:id="rId561" display="www.traditionsweingueter.at" xr:uid="{A7E3E945-72B5-466D-BE04-2AD0151B1E5A}"/>
    <hyperlink ref="A11664" r:id="rId562" xr:uid="{EC048FE3-3FD5-4DD6-B93E-3B1E47D18E1F}"/>
    <hyperlink ref="A11665" r:id="rId563" display="en-gb.facebook.com/weinbauschiefer/" xr:uid="{8689F569-D2B2-4975-9225-6230961C9870}"/>
    <hyperlink ref="A11789" r:id="rId564" xr:uid="{32C6D869-7004-491D-87E5-ADFC852ADFFF}"/>
    <hyperlink ref="A11790" r:id="rId565" display="instagram.com/carlloewen/" xr:uid="{9512489A-D617-4019-AE25-8FE1A4987A43}"/>
    <hyperlink ref="A11814" r:id="rId566" display="www.boggionebarolo.it" xr:uid="{52203217-4456-4F4E-8C5B-D01DC56A9FA0}"/>
    <hyperlink ref="A11815" r:id="rId567" display="www.TheGreenExperience.it" xr:uid="{AC632A57-4BC6-4166-8CFE-38052B28993F}"/>
    <hyperlink ref="A11897" r:id="rId568" xr:uid="{60A1A5D9-8719-4C86-AAD1-AB6CC9E477FE}"/>
    <hyperlink ref="A11898" r:id="rId569" xr:uid="{3BBA58F8-D561-42DB-A2A7-893E75A84162}"/>
    <hyperlink ref="A11936" r:id="rId570" xr:uid="{F8F5FC0E-4F15-488A-95F2-D36D730DDB6B}"/>
    <hyperlink ref="A11937" r:id="rId571" display="www.FairAndGreen.com" xr:uid="{EBC5360E-A81F-402E-AC70-255E3A2AD479}"/>
    <hyperlink ref="A12003" r:id="rId572" xr:uid="{51A1CADB-9301-4E2F-86AB-F22CEEC22D2A}"/>
    <hyperlink ref="A12004" r:id="rId573" xr:uid="{21612F6C-EB85-4971-879E-5E78D54035BB}"/>
    <hyperlink ref="A12099" r:id="rId574" xr:uid="{F6796E7D-C32B-4530-86B0-9BAF8890B808}"/>
    <hyperlink ref="A12100" r:id="rId575" display="VonSchubert.com" xr:uid="{56F17E16-F577-4AD9-844D-1718A5C85E2C}"/>
    <hyperlink ref="A12165" r:id="rId576" xr:uid="{9AE8697B-92AB-461C-B404-8B1949F79BD5}"/>
    <hyperlink ref="A12166" r:id="rId577" xr:uid="{A1087B3C-FA21-485F-89C9-14EA1DE897F7}"/>
    <hyperlink ref="A12226" r:id="rId578" xr:uid="{9E28677D-AE71-440F-858D-5D705C041AF5}"/>
    <hyperlink ref="A12288" r:id="rId579" xr:uid="{68130EA6-195D-4390-95CD-70A7D38D7259}"/>
    <hyperlink ref="A12289" r:id="rId580" xr:uid="{EFD4B305-7C73-4515-8FFC-EF718172A9A3}"/>
    <hyperlink ref="A12290" r:id="rId581" xr:uid="{EEB33316-1A5E-4D85-89FB-3E29A44338C7}"/>
    <hyperlink ref="A12324" r:id="rId582" display="http://www.vdp.de/" xr:uid="{7ECA168A-9BD5-4B23-AC37-5942DEA6F4F0}"/>
    <hyperlink ref="A12325" r:id="rId583" display="http://www.doennhoff.com/" xr:uid="{548B7EA8-CA1F-4F8E-AD4E-0F2C3B2A315A}"/>
    <hyperlink ref="A12326" r:id="rId584" display="www.fairandgreen.de" xr:uid="{55BA2355-80F7-4200-B094-A38BECD0C99D}"/>
    <hyperlink ref="A12340" r:id="rId585" display="www.Leitz-Wein.de" xr:uid="{FA13C2A1-819F-4EE7-90B2-C8A9137A4077}"/>
    <hyperlink ref="A12355" r:id="rId586" display="www.chateaumusar.com.lb" xr:uid="{ABADAF66-A0E2-434B-A571-BA0E7141ED09}"/>
    <hyperlink ref="A12386" r:id="rId587" display="www.chateaumusar.com.lb" xr:uid="{49968A17-778A-4C07-94AA-82A1ED0216C7}"/>
    <hyperlink ref="A12406" r:id="rId588" display="www.lafite.com" xr:uid="{CE84F7CC-9AE3-402D-9ED7-966F8AF8847C}"/>
    <hyperlink ref="A12590" r:id="rId589" xr:uid="{00817B54-69ED-4A89-AFB5-D9EC9F634082}"/>
    <hyperlink ref="A12650" r:id="rId590" xr:uid="{54DC78DC-34BD-4732-9BC3-7E1C1DD3E158}"/>
    <hyperlink ref="A12677" r:id="rId591" display="http://EiseleVineyard.com" xr:uid="{F1D81C0E-9BBF-456C-A70B-CA3FA2112EF7}"/>
    <hyperlink ref="A12703" r:id="rId592" xr:uid="{17C0CC6D-E8A7-4C42-8669-ACF3E9CA086D}"/>
    <hyperlink ref="A12723" r:id="rId593" xr:uid="{DAC4C94A-62B8-4901-A625-BFCD04E55788}"/>
    <hyperlink ref="A12770" r:id="rId594" xr:uid="{0613EB8E-2117-4AB4-95DD-6CD323DD88DC}"/>
    <hyperlink ref="A12771" r:id="rId595" xr:uid="{6FA4D1AE-147B-43C9-B98B-58E5B073F17E}"/>
    <hyperlink ref="A12772" r:id="rId596" xr:uid="{3CB7A3D6-6F49-4173-A2DE-03A0AEFFE2CB}"/>
    <hyperlink ref="A12812" r:id="rId597" display="https://ramiiisolvineyards.com/" xr:uid="{09940077-6E46-47AA-96D2-DD16E0F65F96}"/>
    <hyperlink ref="A12813" r:id="rId598" display="https://www.matura.net/" xr:uid="{12DA8897-EE39-44D3-B4EE-AA4EFB494F5A}"/>
    <hyperlink ref="A12856" r:id="rId599" xr:uid="{AA40F69B-A070-4CAE-B33B-6BDCEA21AACB}"/>
    <hyperlink ref="A12857" r:id="rId600" xr:uid="{7D84B4CF-6326-4F45-99D1-1B5EB65D865E}"/>
    <hyperlink ref="A12873" r:id="rId601" display="http://www.kidnappercliffs.com/" xr:uid="{5E9CD24B-3C4D-48FF-8D65-C1E5C9CFF012}"/>
    <hyperlink ref="A12883" r:id="rId602" display="http://Mahana.nz/" xr:uid="{4B0E3686-09D1-49EF-BD62-27AEC687DE70}"/>
    <hyperlink ref="A13011" r:id="rId603" display="http://www.feltonroad.co.nz/" xr:uid="{66428E9F-7941-42F7-B760-E12527D34C98}"/>
    <hyperlink ref="A13012" r:id="rId604" display="http://www.cowa.org.nz/" xr:uid="{B51406D8-1DB3-46E9-AD23-9AEA18EA1C7B}"/>
    <hyperlink ref="A13026" r:id="rId605" display="http://www.gapstedwines.com.au/" xr:uid="{C9EFBFDC-C50A-4035-BD30-E1358AB2945B}"/>
    <hyperlink ref="A13102" r:id="rId606" xr:uid="{E3E4D6A8-416A-43EE-BC54-DD51D296DDD4}"/>
    <hyperlink ref="A13203" r:id="rId607" xr:uid="{05285B3F-4063-498E-9111-883EF495B4D5}"/>
    <hyperlink ref="A13260" r:id="rId608" display="https://www.facebook.com/NeldnerRoad" xr:uid="{0470970A-135D-4980-B796-1720673B0524}"/>
    <hyperlink ref="A13261" r:id="rId609" display="www.neldnerroad.com.au" xr:uid="{D0240232-E6F3-4BE5-AA2C-390E1D0EA2E2}"/>
    <hyperlink ref="A13262" r:id="rId610" display="https://powellandson.com" xr:uid="{79D22635-A2D0-4A8F-8DE0-EA17742F1A9A}"/>
    <hyperlink ref="A13270" r:id="rId611" display="www.AshtonHills.com.au" xr:uid="{ECBF436F-E81C-43DF-9C2F-F512DC7D8035}"/>
    <hyperlink ref="A13280" r:id="rId612" display="http://www.chamonix.co.za" xr:uid="{98BDE497-1B18-49C4-ABA3-A89A96F6E718}"/>
    <hyperlink ref="A13307" r:id="rId613" display="www.leeuwenkuilfv.co.za" xr:uid="{ADFEBF13-1A37-48B1-9F07-164407E2D6B5}"/>
    <hyperlink ref="A13537" r:id="rId614" display="www.warwickwine.com" xr:uid="{D9BF5BBB-5FB8-489A-8A22-D1F064E72BD7}"/>
    <hyperlink ref="A13538" r:id="rId615" xr:uid="{0C08BE1B-059E-4F4A-A8FD-644AFB57BEF5}"/>
    <hyperlink ref="A13547" r:id="rId616" xr:uid="{A12D7ED4-4577-4A63-ACE8-46D3C35FE0FF}"/>
    <hyperlink ref="A13595" r:id="rId617" display="www.kuramoto-mukai.jp" xr:uid="{354FA1D7-CF23-488D-9B48-9D7B3B1C0188}"/>
    <hyperlink ref="A13625" r:id="rId618" xr:uid="{1D4FFAFD-3352-4829-9310-3D1F548DC859}"/>
    <hyperlink ref="A13657" r:id="rId619" display="www.HeiwaShuzou.co.jp" xr:uid="{57D4E5EA-87E4-4C0C-B98F-8E2A4A8CA50C}"/>
    <hyperlink ref="A13675" r:id="rId620" display="http://Senkin.co.jp" xr:uid="{AF061390-E53A-40C6-93BA-04EEDF061661}"/>
    <hyperlink ref="A13696" r:id="rId621" display="www.HeiwaShuzou.co.jp" xr:uid="{7F5AD879-8527-4214-B162-B90494A4A0A3}"/>
    <hyperlink ref="A13714" r:id="rId622" display="http://Senkin.co.jp" xr:uid="{45F4F59F-482B-4B98-9F4F-D5A40C4D943A}"/>
    <hyperlink ref="A13771" r:id="rId623" display="TeradaHonke.co.jp " xr:uid="{5117D06E-B7E0-4A21-BE6C-576914308243}"/>
    <hyperlink ref="A13780" r:id="rId624" display="http://Uehara-Awamori.jp" xr:uid="{8A6FFF46-E88E-43DB-8176-7524BA950B41}"/>
    <hyperlink ref="A13799" r:id="rId625" display="TeradaHonke.co.jp " xr:uid="{2B1B9F21-2EC8-4C1E-A143-DEEA53C297A4}"/>
    <hyperlink ref="A13815" r:id="rId626" display="https://kireikireikirei.jimdofree.com" xr:uid="{B0C16013-EC40-46BC-B39A-632A43CE7C0A}"/>
    <hyperlink ref="A13828" r:id="rId627" display="www.Kidoizumi.jp " xr:uid="{8686ABB5-4E90-475A-A2F3-6C072D7B0A97}"/>
    <hyperlink ref="A13843" r:id="rId628" display="TeradaHonke.co.jp " xr:uid="{4E370923-7FAB-4BF2-B454-3EF2299DC7BB}"/>
    <hyperlink ref="A13871" r:id="rId629" display="TeradaHonke.co.jp " xr:uid="{3CB9A8F2-7AD5-49FC-9AFF-363BB45A7F7C}"/>
    <hyperlink ref="A13901" r:id="rId630" display="TeradaHonke.co.jp " xr:uid="{EC97B715-AB1F-463F-A30D-6E0C62E4E5A8}"/>
    <hyperlink ref="A13916" r:id="rId631" display="http://Uehara-Awamori.jp" xr:uid="{F3837981-9445-461D-AF81-C6EC9356032B}"/>
    <hyperlink ref="A13921" r:id="rId632" display="www.Kidoizumi.jp " xr:uid="{1E817CFC-2AC0-487E-BCAC-8BED8332FE29}"/>
    <hyperlink ref="A13930" r:id="rId633" xr:uid="{AC96FCB8-2316-4A6B-8E0D-65DED442E47B}"/>
    <hyperlink ref="A13931" r:id="rId634" display="www.Tsuru-Ume.com" xr:uid="{A11032A0-4293-4D49-A914-BBAE82977250}"/>
    <hyperlink ref="A13951" r:id="rId635" display="www.HeiwaShuzou.co.jp" xr:uid="{9F10A172-FFD9-4A0C-B1B3-5D7726075E81}"/>
    <hyperlink ref="A13952" r:id="rId636" display="www.Tsuru-Ume.com" xr:uid="{3F10685B-A9C5-4A69-B0B1-22F4BD0A44F1}"/>
    <hyperlink ref="A14005" r:id="rId637" xr:uid="{849AE662-1D08-428E-B26B-D2AF26C64B89}"/>
    <hyperlink ref="A14036" r:id="rId638" display="www.quintadonoval.com" xr:uid="{0A09EAFA-34BB-47E5-93EB-0202924301CB}"/>
    <hyperlink ref="A14042" r:id="rId639" display="http://www.quinta-do-passadouro.com" xr:uid="{6200EC01-6144-42D4-AD57-7059EB704DE1}"/>
    <hyperlink ref="A14080" r:id="rId640" display="https://croftport.com" xr:uid="{0F83EE00-29B7-49C6-BAAE-8D27D4915837}"/>
    <hyperlink ref="A14081" r:id="rId641" display="www.fonseca.pt" xr:uid="{BFA11173-8FFD-4DCD-A1E7-A441FBD7B616}"/>
    <hyperlink ref="A14082" r:id="rId642" display="https://www.taylor.pt" xr:uid="{1CF7EEE2-36ED-49A3-BDF0-3B13C8EDA61C}"/>
    <hyperlink ref="A14083" r:id="rId643" display="http://www.fladgatepartnership.com/" xr:uid="{B4DB57C6-FF42-4B0E-9BEB-F01673100B67}"/>
    <hyperlink ref="A14084" r:id="rId644" display="www.PortoProtocol.com" xr:uid="{9F62E888-D3B5-4D89-80C3-696874A8D497}"/>
    <hyperlink ref="A14102" r:id="rId645" xr:uid="{E897717A-3CE0-408C-B6C0-C353653F444E}"/>
    <hyperlink ref="A14121" r:id="rId646" display="http://www.fernandodecastilla.es/" xr:uid="{6C889982-786E-4160-A0D4-54C0EDB4D9C3}"/>
    <hyperlink ref="A14128" r:id="rId647" display="http://www.thebottlers.com/" xr:uid="{B8A4DA26-CB36-439D-80F0-797DBC4144D6}"/>
    <hyperlink ref="A14170" r:id="rId648" display="www.RaasayDistillery.com" xr:uid="{3B199737-B7B8-4299-8EA6-513BC334C3A8}"/>
    <hyperlink ref="A14171" r:id="rId649" display="https://www.instagram.com/raasaydistillery/" xr:uid="{D819CC4C-2118-466A-9C65-113FFA441B19}"/>
    <hyperlink ref="A14184" r:id="rId650" display="https://www.calvados-dupont.com" xr:uid="{4316BC51-7581-43CB-AD6F-BDF8104B0086}"/>
    <hyperlink ref="A14205" r:id="rId651" display="http://www.distillerie-miclo.com/" xr:uid="{E70689BA-0891-4C5D-A6D1-844C25E5A3F6}"/>
    <hyperlink ref="A14213" r:id="rId652" display="http://www.distillerie-miclo.com/" xr:uid="{21CAA5F4-44BF-45CB-92F4-EF06362DF2B2}"/>
    <hyperlink ref="A14235" r:id="rId653" display="www.ilgustodellacosta.it " xr:uid="{FF01A869-9B50-4406-9660-44DBD5367E45}"/>
    <hyperlink ref="A14266" r:id="rId654" display="http://www.distilleriacarlogobetti.it/" xr:uid="{6256530C-87D5-4DF3-A1AB-DE120978D1C9}"/>
    <hyperlink ref="A14284" r:id="rId655" xr:uid="{0F2A40B1-C8F0-4FF1-95EE-D53ABFAB2E12}"/>
    <hyperlink ref="A13528" r:id="rId656" display="www.OverbergRenosterveld.org.za" xr:uid="{B640E988-3992-4A5F-BFF5-151A88722C22}"/>
    <hyperlink ref="A13429" r:id="rId657" xr:uid="{8EFF740F-CE33-4C22-BB09-EBD58A3F1DB1}"/>
    <hyperlink ref="A13526" r:id="rId658" xr:uid="{3F473D60-54BF-41AB-8162-81BDC6EA34F5}"/>
    <hyperlink ref="A13527" r:id="rId659" xr:uid="{B99FCC3C-386D-4B99-B0AD-EF9B2C88C758}"/>
    <hyperlink ref="A10886" r:id="rId660" display="www.ViaCeller.com" xr:uid="{6CC43C37-2DF6-4019-890E-E0881BC8E646}"/>
    <hyperlink ref="A10885" r:id="rId661" display="www.instagram.com/viaceller/" xr:uid="{AB1FAF33-9698-4561-96F1-17424ED5051D}"/>
    <hyperlink ref="A14230" r:id="rId662" xr:uid="{32AAE2ED-1028-486A-995B-F1D14F1E1E52}"/>
    <hyperlink ref="A3025" r:id="rId663" display="www.JJ-Archambaud.fr" xr:uid="{83E1597F-B9D0-45B8-9FAE-FA369B9801D5}"/>
    <hyperlink ref="A9796" r:id="rId664" xr:uid="{9A75987B-A427-4AF1-AB95-E3A39C00DE7C}"/>
    <hyperlink ref="A9798" r:id="rId665" display="www.FIVI.it" xr:uid="{E50DF4C2-D888-4F01-9B9F-36390D35642B}"/>
    <hyperlink ref="A9797" r:id="rId666" xr:uid="{00381931-3BEE-4397-ACB8-9FDF6100FFE6}"/>
    <hyperlink ref="A12929" r:id="rId667" xr:uid="{A3BE9EA3-6A11-4D7F-AB42-9266A5761F81}"/>
    <hyperlink ref="A15354" r:id="rId668" xr:uid="{7B97D583-DB61-41CB-AB97-9F0D2E6CC1F3}"/>
    <hyperlink ref="A15355" r:id="rId669" display="https://www.langoa-barton.com/en/wines/1/chateau-langoa-barton/2021" xr:uid="{B344849A-3519-42BC-901B-03510BA6643B}"/>
    <hyperlink ref="A803" r:id="rId670" display="https://m.facebook.com/profile.php?id=130454807036400" xr:uid="{AE39F502-C8A9-4339-9D42-7BC71579CBA3}"/>
    <hyperlink ref="A804" r:id="rId671" display="http://www.beausejour-becot.com" xr:uid="{F199CCC0-183C-4535-8A0F-FA10E3452C39}"/>
    <hyperlink ref="A889" r:id="rId672" display="www.chateau-cheval-blanc.com" xr:uid="{4F0427CA-C716-4A69-A3F4-5936362BE05B}"/>
    <hyperlink ref="A917" r:id="rId673" display="https://www.youtube.com/watch?v=a_nWroQwxcM" xr:uid="{13703820-B8F1-4132-8221-437B2835430E}"/>
    <hyperlink ref="A943" r:id="rId674" display="https://www.fonplegade.com" xr:uid="{4F015B74-4743-4C2A-A93B-F962E3EE2227}"/>
    <hyperlink ref="A944" r:id="rId675" display="Gaffeliere.com" xr:uid="{F26A8AA1-C303-4E69-A8A5-0FE70D0CD1AF}"/>
    <hyperlink ref="A1066" r:id="rId676" display="https://www.jacksonfamilywines.com" xr:uid="{D5AB33FB-E866-4B87-AC80-201D2CA55529}"/>
    <hyperlink ref="A1704" r:id="rId677" display="www.fieuzal.com" xr:uid="{B858CD89-F818-4360-8C8B-402C05575972}"/>
    <hyperlink ref="A1790" r:id="rId678" display="https://www.smith-haut-lafitte.com" xr:uid="{677B03CB-38FA-40C0-874E-DB47CC4FD818}"/>
    <hyperlink ref="A1801" r:id="rId679" display="https://cantemerle.com" xr:uid="{2F3FFEF5-4772-423A-88E1-2D7616A64741}"/>
    <hyperlink ref="A1802" r:id="rId680" display="www.chateau-lalagune.com" xr:uid="{BAFB3EDD-E29B-4B3A-8F93-DEDE43EE1E21}"/>
    <hyperlink ref="A1803" r:id="rId681" display="http://www.biodyvin.com" xr:uid="{BB0814A9-D91D-4043-B498-370F51D3CE29}"/>
    <hyperlink ref="A1821" r:id="rId682" display="www.chateau-lalagune.com" xr:uid="{79C1950A-ECA1-44A0-A3A0-38F985F8FDBB}"/>
    <hyperlink ref="A1830" r:id="rId683" display="https://terravitis.com" xr:uid="{D1F62DCF-3C1F-4550-AD73-FB674992F123}"/>
    <hyperlink ref="A1831" r:id="rId684" display="MarieLaureLurton.com" xr:uid="{ED55B3FA-3C98-406C-BD61-FBD11790D989}"/>
    <hyperlink ref="A1933" r:id="rId685" display="Durfort-Vivens.fr" xr:uid="{B4A44D43-7EF8-4459-8902-CF1F3493EE86}"/>
    <hyperlink ref="A1982" r:id="rId686" display="Ferriere.com" xr:uid="{E5196073-C66B-477C-8F55-09334C5025B4}"/>
    <hyperlink ref="A1983" r:id="rId687" display="http://www.biodyvin.com" xr:uid="{9118AB5D-BE8D-409B-8B32-E4FF2071993F}"/>
    <hyperlink ref="A2001" r:id="rId688" display="https://giscours.com" xr:uid="{0182281D-6B59-4C38-95E3-44B6F163A036}"/>
    <hyperlink ref="A2002" r:id="rId689" display="https://www.chateaulecoteau.fr/" xr:uid="{F75B4F64-D252-4362-8953-214468682110}"/>
    <hyperlink ref="A2055" r:id="rId690" display="Domaines-Delon.com" xr:uid="{C9144E2D-9541-4070-9534-B892440F5DF2}"/>
    <hyperlink ref="A2068" r:id="rId691" display="https://www.chateaurauzansegla.com" xr:uid="{22AE09DC-179D-43EE-95EF-1F979B26BFFA}"/>
    <hyperlink ref="A2069" r:id="rId692" display="http://chateaudutertre.fr/en/home/" xr:uid="{F857166C-47FD-448E-B991-80914BF05F91}"/>
    <hyperlink ref="A2080" r:id="rId693" display="http://chateaudutertre.fr/en/home/" xr:uid="{CD1DDC29-68C7-4C38-88E1-73A1903657E2}"/>
    <hyperlink ref="A2093" r:id="rId694" display="www.Chasse-Spleen.com" xr:uid="{F007CBFB-DA52-444B-9A0A-FF2E2BD36650}"/>
    <hyperlink ref="A2147" r:id="rId695" display="Domaines-Delon.com" xr:uid="{87EDFA93-1967-431A-97B3-A24873B713E2}"/>
    <hyperlink ref="A2192" r:id="rId696" display="https://chateau-lagrange.com" xr:uid="{6253B670-3D89-4CC5-8F6E-8CC87727886D}"/>
    <hyperlink ref="A2213" r:id="rId697" display="https://www.leoville-barton.com/" xr:uid="{2D360D0C-D29C-42B2-A7C1-5316CB92FDD8}"/>
    <hyperlink ref="A2223" r:id="rId698" display="Domaines-Delon.com" xr:uid="{B859F944-8D03-4644-878C-6E83925ADC5B}"/>
    <hyperlink ref="A2239" r:id="rId699" display="https://www.Leoville-Poyferre.fr" xr:uid="{1E36FCD2-02BC-4E23-B73E-2DAD5D7CB687}"/>
    <hyperlink ref="A2286" r:id="rId700" display="https://www.chateau-clerc-milon.com" xr:uid="{D8CCACCC-CBB2-4B81-88F2-485D40B7ACB6}"/>
    <hyperlink ref="A2287" r:id="rId701" display="https://www.bpdr.com" xr:uid="{A2BD3291-F85E-4538-B1EE-F413A0ACAEC5}"/>
    <hyperlink ref="A2309" r:id="rId702" display="www.chateau-grand-puy-lacoste.com" xr:uid="{7EAC63DE-DF1F-4494-8767-51372ACC3973}"/>
    <hyperlink ref="A2319" r:id="rId703" display="HautBagesLiberal.com" xr:uid="{9C6AC91F-AFA7-4781-9801-47D440AD0990}"/>
    <hyperlink ref="A2345" r:id="rId704" display="https://www.youtube.com/watch?v=KF4GgLSVwnc" xr:uid="{65D10AA1-04D4-4613-80F9-EEBC3D4D060A}"/>
    <hyperlink ref="A2367" r:id="rId705" display="www.lynchbages.com" xr:uid="{3B332D4F-64AC-4236-B290-AA3292884B30}"/>
    <hyperlink ref="A2368" r:id="rId706" display="https://www.chateau-mouton-rothschild.com" xr:uid="{4AF8F204-9BF5-45A8-85E9-706A27FB9C04}"/>
    <hyperlink ref="A2375" r:id="rId707" display="https://www.chateau-mouton-rothschild.com" xr:uid="{4EDFF2D1-2EDE-4014-9B29-3C5D83AA294D}"/>
    <hyperlink ref="A2389" r:id="rId708" display="youtube.com/watch?v=aeCyKctt3kE" xr:uid="{DD7A0B60-989C-44D7-B1FA-0558E065174D}"/>
    <hyperlink ref="A2390" r:id="rId709" display="Pichon-Comtesse.com " xr:uid="{F6A42A94-513D-4DBD-9080-DBB36BB022E1}"/>
    <hyperlink ref="A2404" r:id="rId710" display="http://www.pontet-canet.com/" xr:uid="{69C20851-43F6-4A4B-93C7-A9FAAB49D5AF}"/>
    <hyperlink ref="A2405" r:id="rId711" display="http://www.biodyvin.com" xr:uid="{094799A2-D565-43F0-9103-B3DE9A74DE25}"/>
    <hyperlink ref="A2427" r:id="rId712" display="www.calon-segur.fr" xr:uid="{D023A842-8A80-4A9F-BBF6-371EF6F6B858}"/>
    <hyperlink ref="A2428" r:id="rId713" display="https://www.estournel.com" xr:uid="{07488A21-A6D6-446D-846A-851DD9CF908D}"/>
    <hyperlink ref="A2438" r:id="rId714" display="https://www.estournel.com" xr:uid="{6C20832D-1543-4F78-8BA3-814C6C4028E9}"/>
    <hyperlink ref="A2460" r:id="rId715" display="www.Domeyne.fr" xr:uid="{7B133AA1-4760-4300-BB58-043C8D01376F}"/>
    <hyperlink ref="A2478" r:id="rId716" display="https://www.chateau-lilian-ladouys.com " xr:uid="{F395EEC8-B35E-4200-B41D-10E69D319067}"/>
    <hyperlink ref="B20" r:id="rId717" xr:uid="{AE32A3ED-987D-4F0F-B042-20EE331236C9}"/>
    <hyperlink ref="B21" r:id="rId718" xr:uid="{0C7A6C45-33CB-4D12-9E56-3BF9127C1EEC}"/>
    <hyperlink ref="B22" r:id="rId719" xr:uid="{CDB64E10-AA88-4EB8-89FA-819B3E9658E9}"/>
    <hyperlink ref="B23" r:id="rId720" xr:uid="{F7585E29-7862-4367-9E01-D7BC4493A11A}"/>
    <hyperlink ref="B26" r:id="rId721" xr:uid="{622CA691-7757-4094-BC34-A1557F7C2D54}"/>
    <hyperlink ref="B27" r:id="rId722" xr:uid="{2FB7D3EE-A687-4236-A679-67BB8AB17ECE}"/>
    <hyperlink ref="B28" r:id="rId723" xr:uid="{B0D369A8-0FED-4777-862E-2D794D4AB2B7}"/>
    <hyperlink ref="B29" r:id="rId724" xr:uid="{50DEFE70-8BFD-4C01-BE47-B0425F627B2B}"/>
    <hyperlink ref="B30" r:id="rId725" xr:uid="{4A836EDB-E487-443D-9EE4-73447F9F9D36}"/>
    <hyperlink ref="B31" r:id="rId726" xr:uid="{0520FDF7-EFE8-4912-8BA6-83B950EFF544}"/>
    <hyperlink ref="B32" r:id="rId727" xr:uid="{D47649CF-88EA-4614-A8AB-265AE91363CD}"/>
  </hyperlinks>
  <pageMargins left="3.937007874015748E-2" right="3.937007874015748E-2" top="7.874015748031496E-2" bottom="7.874015748031496E-2" header="0" footer="0"/>
  <pageSetup paperSize="9" orientation="portrait" useFirstPageNumber="1" r:id="rId728"/>
  <rowBreaks count="1" manualBreakCount="1">
    <brk id="12379" max="16383" man="1"/>
  </rowBreaks>
  <drawing r:id="rId72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E3F96-C8A3-454A-B47E-F1503C7CD2AE}">
  <dimension ref="A1:P5843"/>
  <sheetViews>
    <sheetView topLeftCell="B1" zoomScale="80" zoomScaleNormal="80" workbookViewId="0">
      <pane ySplit="1" topLeftCell="A3736" activePane="bottomLeft" state="frozen"/>
      <selection pane="bottomLeft" activeCell="Q1" sqref="Q1:T1048576"/>
    </sheetView>
  </sheetViews>
  <sheetFormatPr defaultRowHeight="14.5"/>
  <cols>
    <col min="1" max="1" width="28.54296875" hidden="1" customWidth="1"/>
    <col min="2" max="2" width="40.1796875" style="1049" bestFit="1" customWidth="1"/>
    <col min="3" max="3" width="62.81640625" bestFit="1" customWidth="1"/>
    <col min="4" max="4" width="8.1796875" bestFit="1" customWidth="1"/>
    <col min="5" max="5" width="10.81640625" bestFit="1" customWidth="1"/>
    <col min="6" max="6" width="13.453125" bestFit="1" customWidth="1"/>
    <col min="7" max="7" width="17.1796875" bestFit="1" customWidth="1"/>
    <col min="8" max="8" width="15.1796875" bestFit="1" customWidth="1"/>
    <col min="9" max="9" width="19.1796875" style="1111" bestFit="1" customWidth="1"/>
    <col min="10" max="10" width="12.7265625" style="1108" bestFit="1" customWidth="1"/>
    <col min="11" max="11" width="18.1796875" style="1112" bestFit="1" customWidth="1"/>
    <col min="12" max="12" width="27" bestFit="1" customWidth="1"/>
    <col min="13" max="13" width="9.1796875" bestFit="1" customWidth="1"/>
    <col min="14" max="14" width="12.1796875" bestFit="1" customWidth="1"/>
    <col min="15" max="15" width="12" bestFit="1" customWidth="1"/>
    <col min="16" max="16" width="9.54296875" bestFit="1" customWidth="1"/>
    <col min="17" max="17" width="4.7265625" bestFit="1" customWidth="1"/>
    <col min="18" max="18" width="10.1796875" bestFit="1" customWidth="1"/>
    <col min="19" max="19" width="9.54296875" bestFit="1" customWidth="1"/>
    <col min="20" max="20" width="8.54296875" bestFit="1" customWidth="1"/>
    <col min="21" max="21" width="8.81640625" bestFit="1" customWidth="1"/>
    <col min="24" max="24" width="9.1796875" bestFit="1" customWidth="1"/>
    <col min="25" max="25" width="18.453125" bestFit="1" customWidth="1"/>
    <col min="26" max="26" width="9.81640625" bestFit="1" customWidth="1"/>
    <col min="27" max="27" width="18.1796875" bestFit="1" customWidth="1"/>
    <col min="28" max="28" width="9.81640625" bestFit="1" customWidth="1"/>
    <col min="29" max="29" width="18" bestFit="1" customWidth="1"/>
    <col min="30" max="30" width="9.81640625" bestFit="1" customWidth="1"/>
    <col min="31" max="31" width="16.54296875" bestFit="1" customWidth="1"/>
    <col min="32" max="32" width="9.81640625" bestFit="1" customWidth="1"/>
    <col min="33" max="33" width="16.54296875" bestFit="1" customWidth="1"/>
    <col min="34" max="34" width="9.81640625" bestFit="1" customWidth="1"/>
    <col min="35" max="35" width="14.81640625" bestFit="1" customWidth="1"/>
    <col min="36" max="36" width="9.81640625" bestFit="1" customWidth="1"/>
    <col min="37" max="37" width="14.1796875" bestFit="1" customWidth="1"/>
    <col min="38" max="38" width="11.1796875" bestFit="1" customWidth="1"/>
    <col min="39" max="39" width="11.81640625" bestFit="1" customWidth="1"/>
    <col min="40" max="40" width="8.81640625" bestFit="1" customWidth="1"/>
    <col min="41" max="41" width="11.81640625" bestFit="1" customWidth="1"/>
    <col min="42" max="42" width="15.26953125" bestFit="1" customWidth="1"/>
    <col min="43" max="43" width="16.7265625" bestFit="1" customWidth="1"/>
    <col min="44" max="44" width="9.81640625" bestFit="1" customWidth="1"/>
    <col min="45" max="45" width="12.453125" bestFit="1" customWidth="1"/>
    <col min="46" max="46" width="30.81640625" bestFit="1" customWidth="1"/>
    <col min="47" max="47" width="80.7265625" bestFit="1" customWidth="1"/>
    <col min="48" max="48" width="21.81640625" bestFit="1" customWidth="1"/>
    <col min="49" max="49" width="10.7265625" bestFit="1" customWidth="1"/>
    <col min="50" max="50" width="11.81640625" bestFit="1" customWidth="1"/>
    <col min="51" max="51" width="11.7265625" bestFit="1" customWidth="1"/>
    <col min="52" max="52" width="11.81640625" bestFit="1" customWidth="1"/>
  </cols>
  <sheetData>
    <row r="1" spans="1:16" s="14" customFormat="1">
      <c r="A1" s="1279" t="s">
        <v>20209</v>
      </c>
      <c r="B1" s="1279" t="s">
        <v>20210</v>
      </c>
      <c r="C1" s="1279" t="s">
        <v>864</v>
      </c>
      <c r="D1" s="1279" t="s">
        <v>866</v>
      </c>
      <c r="E1" s="1319" t="s">
        <v>867</v>
      </c>
      <c r="F1" s="1319" t="s">
        <v>20211</v>
      </c>
      <c r="G1" s="1320" t="s">
        <v>869</v>
      </c>
      <c r="H1" s="1279" t="s">
        <v>20212</v>
      </c>
      <c r="I1" s="1279" t="s">
        <v>726</v>
      </c>
      <c r="J1" s="1279" t="s">
        <v>20213</v>
      </c>
      <c r="K1" s="1279" t="s">
        <v>20214</v>
      </c>
      <c r="L1" s="1279" t="s">
        <v>20215</v>
      </c>
      <c r="M1" s="1279" t="s">
        <v>23292</v>
      </c>
      <c r="N1" s="1279" t="s">
        <v>20216</v>
      </c>
      <c r="O1" s="1279" t="s">
        <v>20217</v>
      </c>
      <c r="P1" s="1279" t="s">
        <v>20218</v>
      </c>
    </row>
    <row r="2" spans="1:16">
      <c r="A2" s="1178" t="s">
        <v>5</v>
      </c>
      <c r="B2" s="1371" t="str">
        <f>HYPERLINK(IFERROR("#Main_Tariff!A"&amp;MATCH(Raeburn_Main_Tariff[[#This Row],[Product Code]],Main_Tariff!I:I,0),"#Main_Tariff!A"&amp;MATCH("*"&amp;RIGHT(A2,8)&amp;"*",Main_Tariff!A:A,0)),Raeburn_Main_Tariff[[#This Row],[PRODUCER]])</f>
        <v>Charles Palmer</v>
      </c>
      <c r="C2" s="1178" t="s">
        <v>20219</v>
      </c>
      <c r="D2" s="1178" t="s">
        <v>879</v>
      </c>
      <c r="E2" s="1179">
        <v>2017</v>
      </c>
      <c r="F2" s="1282" t="s">
        <v>20220</v>
      </c>
      <c r="G2" s="1368">
        <v>31</v>
      </c>
      <c r="H2" s="1178" t="s">
        <v>20221</v>
      </c>
      <c r="I2" s="1178" t="s">
        <v>880</v>
      </c>
      <c r="J2" s="1178" t="s">
        <v>871</v>
      </c>
      <c r="K2" s="1178" t="s">
        <v>20222</v>
      </c>
      <c r="L2" s="1178"/>
      <c r="M2" s="1369"/>
      <c r="N2" s="1178"/>
      <c r="O2" s="1178">
        <v>6</v>
      </c>
      <c r="P2" s="1178">
        <v>12</v>
      </c>
    </row>
    <row r="3" spans="1:16">
      <c r="A3" s="1178" t="s">
        <v>5</v>
      </c>
      <c r="B3" s="1371" t="str">
        <f>HYPERLINK(IFERROR("#Main_Tariff!A"&amp;MATCH(Raeburn_Main_Tariff[[#This Row],[Product Code]],Main_Tariff!I:I,0),"#Main_Tariff!A"&amp;MATCH("*"&amp;RIGHT(A3,8)&amp;"*",Main_Tariff!A:A,0)),Raeburn_Main_Tariff[[#This Row],[PRODUCER]])</f>
        <v>Charles Palmer</v>
      </c>
      <c r="C3" s="1178" t="s">
        <v>20223</v>
      </c>
      <c r="D3" s="1178" t="s">
        <v>884</v>
      </c>
      <c r="E3" s="1179">
        <v>2017</v>
      </c>
      <c r="F3" s="1282" t="s">
        <v>20220</v>
      </c>
      <c r="G3" s="1368">
        <v>30.5</v>
      </c>
      <c r="H3" s="1178" t="s">
        <v>20221</v>
      </c>
      <c r="I3" s="1178" t="s">
        <v>885</v>
      </c>
      <c r="J3" s="1178" t="s">
        <v>871</v>
      </c>
      <c r="K3" s="1178" t="s">
        <v>20222</v>
      </c>
      <c r="L3" s="1178"/>
      <c r="M3" s="1369"/>
      <c r="N3" s="1178"/>
      <c r="O3" s="1178">
        <v>6</v>
      </c>
      <c r="P3" s="1178">
        <v>12</v>
      </c>
    </row>
    <row r="4" spans="1:16">
      <c r="A4" s="1178" t="s">
        <v>5</v>
      </c>
      <c r="B4" s="1371" t="str">
        <f>HYPERLINK(IFERROR("#Main_Tariff!A"&amp;MATCH(Raeburn_Main_Tariff[[#This Row],[Product Code]],Main_Tariff!I:I,0),"#Main_Tariff!A"&amp;MATCH("*"&amp;RIGHT(A4,8)&amp;"*",Main_Tariff!A:A,0)),Raeburn_Main_Tariff[[#This Row],[PRODUCER]])</f>
        <v>Charles Palmer</v>
      </c>
      <c r="C4" s="1178" t="s">
        <v>20223</v>
      </c>
      <c r="D4" s="1178" t="s">
        <v>884</v>
      </c>
      <c r="E4" s="1179">
        <v>2016</v>
      </c>
      <c r="F4" s="1282" t="s">
        <v>20220</v>
      </c>
      <c r="G4" s="1368">
        <v>29</v>
      </c>
      <c r="H4" s="1178" t="s">
        <v>20277</v>
      </c>
      <c r="I4" s="1178" t="s">
        <v>887</v>
      </c>
      <c r="J4" s="1178" t="s">
        <v>871</v>
      </c>
      <c r="K4" s="1178" t="s">
        <v>20222</v>
      </c>
      <c r="L4" s="1178"/>
      <c r="M4" s="1369"/>
      <c r="N4" s="1178"/>
      <c r="O4" s="1178">
        <v>6</v>
      </c>
      <c r="P4" s="1178">
        <v>12</v>
      </c>
    </row>
    <row r="5" spans="1:16">
      <c r="A5" s="1178" t="s">
        <v>5</v>
      </c>
      <c r="B5" s="1371" t="str">
        <f>HYPERLINK(IFERROR("#Main_Tariff!A"&amp;MATCH(Raeburn_Main_Tariff[[#This Row],[Product Code]],Main_Tariff!I:I,0),"#Main_Tariff!A"&amp;MATCH("*"&amp;RIGHT(A5,8)&amp;"*",Main_Tariff!A:A,0)),Raeburn_Main_Tariff[[#This Row],[PRODUCER]])</f>
        <v>Charles Palmer</v>
      </c>
      <c r="C5" s="1178" t="s">
        <v>20225</v>
      </c>
      <c r="D5" s="1178" t="s">
        <v>884</v>
      </c>
      <c r="E5" s="1179">
        <v>2016</v>
      </c>
      <c r="F5" s="1282" t="s">
        <v>20220</v>
      </c>
      <c r="G5" s="1368">
        <v>31.5</v>
      </c>
      <c r="H5" s="1178" t="s">
        <v>20221</v>
      </c>
      <c r="I5" s="1178" t="s">
        <v>889</v>
      </c>
      <c r="J5" s="1178" t="s">
        <v>871</v>
      </c>
      <c r="K5" s="1178" t="s">
        <v>20222</v>
      </c>
      <c r="L5" s="1178"/>
      <c r="M5" s="1369"/>
      <c r="N5" s="1178"/>
      <c r="O5" s="1178">
        <v>6</v>
      </c>
      <c r="P5" s="1178">
        <v>12</v>
      </c>
    </row>
    <row r="6" spans="1:16">
      <c r="A6" s="1178" t="s">
        <v>5</v>
      </c>
      <c r="B6" s="1371" t="str">
        <f>HYPERLINK(IFERROR("#Main_Tariff!A"&amp;MATCH(Raeburn_Main_Tariff[[#This Row],[Product Code]],Main_Tariff!I:I,0),"#Main_Tariff!A"&amp;MATCH("*"&amp;RIGHT(A6,8)&amp;"*",Main_Tariff!A:A,0)),Raeburn_Main_Tariff[[#This Row],[PRODUCER]])</f>
        <v>Charles Palmer</v>
      </c>
      <c r="C6" s="1178" t="s">
        <v>20226</v>
      </c>
      <c r="D6" s="1178" t="s">
        <v>884</v>
      </c>
      <c r="E6" s="1179">
        <v>2013</v>
      </c>
      <c r="F6" s="1282" t="s">
        <v>20220</v>
      </c>
      <c r="G6" s="1368">
        <v>39.5</v>
      </c>
      <c r="H6" s="1178" t="s">
        <v>20221</v>
      </c>
      <c r="I6" s="1178" t="s">
        <v>893</v>
      </c>
      <c r="J6" s="1178" t="s">
        <v>871</v>
      </c>
      <c r="K6" s="1178" t="s">
        <v>20222</v>
      </c>
      <c r="L6" s="1178"/>
      <c r="M6" s="1369"/>
      <c r="N6" s="1178"/>
      <c r="O6" s="1178">
        <v>6</v>
      </c>
      <c r="P6" s="1178">
        <v>12</v>
      </c>
    </row>
    <row r="7" spans="1:16">
      <c r="A7" s="1178" t="s">
        <v>5</v>
      </c>
      <c r="B7" s="1371" t="str">
        <f>HYPERLINK(IFERROR("#Main_Tariff!A"&amp;MATCH(Raeburn_Main_Tariff[[#This Row],[Product Code]],Main_Tariff!I:I,0),"#Main_Tariff!A"&amp;MATCH("*"&amp;RIGHT(A7,8)&amp;"*",Main_Tariff!A:A,0)),Raeburn_Main_Tariff[[#This Row],[PRODUCER]])</f>
        <v>Charles Palmer</v>
      </c>
      <c r="C7" s="1178" t="s">
        <v>20226</v>
      </c>
      <c r="D7" s="1178" t="s">
        <v>884</v>
      </c>
      <c r="E7" s="1179">
        <v>2017</v>
      </c>
      <c r="F7" s="1282" t="s">
        <v>20220</v>
      </c>
      <c r="G7" s="1368">
        <v>31.95</v>
      </c>
      <c r="H7" s="1178" t="s">
        <v>20221</v>
      </c>
      <c r="I7" s="1178" t="s">
        <v>891</v>
      </c>
      <c r="J7" s="1178" t="s">
        <v>871</v>
      </c>
      <c r="K7" s="1178" t="s">
        <v>20222</v>
      </c>
      <c r="L7" s="1178"/>
      <c r="M7" s="1369"/>
      <c r="N7" s="1178"/>
      <c r="O7" s="1178">
        <v>6</v>
      </c>
      <c r="P7" s="1178">
        <v>12</v>
      </c>
    </row>
    <row r="8" spans="1:16">
      <c r="A8" s="1178" t="s">
        <v>5</v>
      </c>
      <c r="B8" s="1371" t="str">
        <f>HYPERLINK(IFERROR("#Main_Tariff!A"&amp;MATCH(Raeburn_Main_Tariff[[#This Row],[Product Code]],Main_Tariff!I:I,0),"#Main_Tariff!A"&amp;MATCH("*"&amp;RIGHT(A8,8)&amp;"*",Main_Tariff!A:A,0)),Raeburn_Main_Tariff[[#This Row],[PRODUCER]])</f>
        <v>Charles Palmer</v>
      </c>
      <c r="C8" s="1178" t="s">
        <v>20227</v>
      </c>
      <c r="D8" s="1178" t="s">
        <v>897</v>
      </c>
      <c r="E8" s="1179">
        <v>2020</v>
      </c>
      <c r="F8" s="1282" t="s">
        <v>20220</v>
      </c>
      <c r="G8" s="1368">
        <v>24.5</v>
      </c>
      <c r="H8" s="1178" t="s">
        <v>20221</v>
      </c>
      <c r="I8" s="1178" t="s">
        <v>898</v>
      </c>
      <c r="J8" s="1178" t="s">
        <v>871</v>
      </c>
      <c r="K8" s="1178" t="s">
        <v>20222</v>
      </c>
      <c r="L8" s="1178"/>
      <c r="M8" s="1369"/>
      <c r="N8" s="1178"/>
      <c r="O8" s="1178">
        <v>6</v>
      </c>
      <c r="P8" s="1178">
        <v>11</v>
      </c>
    </row>
    <row r="9" spans="1:16">
      <c r="A9" s="1178" t="s">
        <v>8</v>
      </c>
      <c r="B9" s="1371" t="str">
        <f>HYPERLINK(IFERROR("#Main_Tariff!A"&amp;MATCH(Raeburn_Main_Tariff[[#This Row],[Product Code]],Main_Tariff!I:I,0),"#Main_Tariff!A"&amp;MATCH("*"&amp;RIGHT(A9,8)&amp;"*",Main_Tariff!A:A,0)),Raeburn_Main_Tariff[[#This Row],[PRODUCER]])</f>
        <v>André Beaufort</v>
      </c>
      <c r="C9" s="1178" t="s">
        <v>20228</v>
      </c>
      <c r="D9" s="1178" t="s">
        <v>884</v>
      </c>
      <c r="E9" s="1179">
        <v>2000</v>
      </c>
      <c r="F9" s="1282" t="s">
        <v>20220</v>
      </c>
      <c r="G9" s="1368">
        <v>78.5</v>
      </c>
      <c r="H9" s="1178" t="s">
        <v>20224</v>
      </c>
      <c r="I9" s="1178" t="s">
        <v>932</v>
      </c>
      <c r="J9" s="1178" t="s">
        <v>662</v>
      </c>
      <c r="K9" s="1178" t="s">
        <v>7</v>
      </c>
      <c r="L9" s="1178" t="s">
        <v>20229</v>
      </c>
      <c r="M9" s="1369"/>
      <c r="N9" s="1178"/>
      <c r="O9" s="1178">
        <v>6</v>
      </c>
      <c r="P9" s="1178">
        <v>13</v>
      </c>
    </row>
    <row r="10" spans="1:16">
      <c r="A10" s="1178" t="s">
        <v>8</v>
      </c>
      <c r="B10" s="1371" t="str">
        <f>HYPERLINK(IFERROR("#Main_Tariff!A"&amp;MATCH(Raeburn_Main_Tariff[[#This Row],[Product Code]],Main_Tariff!I:I,0),"#Main_Tariff!A"&amp;MATCH("*"&amp;RIGHT(A10,8)&amp;"*",Main_Tariff!A:A,0)),Raeburn_Main_Tariff[[#This Row],[PRODUCER]])</f>
        <v>André Beaufort</v>
      </c>
      <c r="C10" s="1178" t="s">
        <v>20228</v>
      </c>
      <c r="D10" s="1178" t="s">
        <v>884</v>
      </c>
      <c r="E10" s="1179">
        <v>1999</v>
      </c>
      <c r="F10" s="1282" t="s">
        <v>20220</v>
      </c>
      <c r="G10" s="1368">
        <v>85</v>
      </c>
      <c r="H10" s="1178" t="s">
        <v>20224</v>
      </c>
      <c r="I10" s="1178" t="s">
        <v>934</v>
      </c>
      <c r="J10" s="1178" t="s">
        <v>662</v>
      </c>
      <c r="K10" s="1178" t="s">
        <v>7</v>
      </c>
      <c r="L10" s="1178" t="s">
        <v>20229</v>
      </c>
      <c r="M10" s="1369"/>
      <c r="N10" s="1178"/>
      <c r="O10" s="1178">
        <v>6</v>
      </c>
      <c r="P10" s="1178">
        <v>13</v>
      </c>
    </row>
    <row r="11" spans="1:16">
      <c r="A11" s="1178" t="s">
        <v>8</v>
      </c>
      <c r="B11" s="1371" t="str">
        <f>HYPERLINK(IFERROR("#Main_Tariff!A"&amp;MATCH(Raeburn_Main_Tariff[[#This Row],[Product Code]],Main_Tariff!I:I,0),"#Main_Tariff!A"&amp;MATCH("*"&amp;RIGHT(A11,8)&amp;"*",Main_Tariff!A:A,0)),Raeburn_Main_Tariff[[#This Row],[PRODUCER]])</f>
        <v>André Beaufort</v>
      </c>
      <c r="C11" s="1178" t="s">
        <v>20230</v>
      </c>
      <c r="D11" s="1178" t="s">
        <v>884</v>
      </c>
      <c r="E11" s="1179">
        <v>2011</v>
      </c>
      <c r="F11" s="1282" t="s">
        <v>20220</v>
      </c>
      <c r="G11" s="1368">
        <v>99.5</v>
      </c>
      <c r="H11" s="1178" t="s">
        <v>20221</v>
      </c>
      <c r="I11" s="1178" t="s">
        <v>938</v>
      </c>
      <c r="J11" s="1178" t="s">
        <v>662</v>
      </c>
      <c r="K11" s="1178" t="s">
        <v>7</v>
      </c>
      <c r="L11" s="1178" t="s">
        <v>20231</v>
      </c>
      <c r="M11" s="1369" t="s">
        <v>23296</v>
      </c>
      <c r="N11" s="1178"/>
      <c r="O11" s="1178">
        <v>6</v>
      </c>
      <c r="P11" s="1178">
        <v>12</v>
      </c>
    </row>
    <row r="12" spans="1:16">
      <c r="A12" s="1178" t="s">
        <v>8</v>
      </c>
      <c r="B12" s="1371" t="str">
        <f>HYPERLINK(IFERROR("#Main_Tariff!A"&amp;MATCH(Raeburn_Main_Tariff[[#This Row],[Product Code]],Main_Tariff!I:I,0),"#Main_Tariff!A"&amp;MATCH("*"&amp;RIGHT(A12,8)&amp;"*",Main_Tariff!A:A,0)),Raeburn_Main_Tariff[[#This Row],[PRODUCER]])</f>
        <v>André Beaufort</v>
      </c>
      <c r="C12" s="1178" t="s">
        <v>20232</v>
      </c>
      <c r="D12" s="1178" t="s">
        <v>884</v>
      </c>
      <c r="E12" s="1179">
        <v>2010</v>
      </c>
      <c r="F12" s="1282" t="s">
        <v>20220</v>
      </c>
      <c r="G12" s="1368">
        <v>99.5</v>
      </c>
      <c r="H12" s="1178" t="s">
        <v>20224</v>
      </c>
      <c r="I12" s="1178" t="s">
        <v>940</v>
      </c>
      <c r="J12" s="1178" t="s">
        <v>662</v>
      </c>
      <c r="K12" s="1178" t="s">
        <v>7</v>
      </c>
      <c r="L12" s="1178" t="s">
        <v>20231</v>
      </c>
      <c r="M12" s="1369" t="s">
        <v>23296</v>
      </c>
      <c r="N12" s="1178"/>
      <c r="O12" s="1178">
        <v>6</v>
      </c>
      <c r="P12" s="1178">
        <v>12</v>
      </c>
    </row>
    <row r="13" spans="1:16">
      <c r="A13" s="1178" t="s">
        <v>8</v>
      </c>
      <c r="B13" s="1371" t="str">
        <f>HYPERLINK(IFERROR("#Main_Tariff!A"&amp;MATCH(Raeburn_Main_Tariff[[#This Row],[Product Code]],Main_Tariff!I:I,0),"#Main_Tariff!A"&amp;MATCH("*"&amp;RIGHT(A13,8)&amp;"*",Main_Tariff!A:A,0)),Raeburn_Main_Tariff[[#This Row],[PRODUCER]])</f>
        <v>André Beaufort</v>
      </c>
      <c r="C13" s="1178" t="s">
        <v>20233</v>
      </c>
      <c r="D13" s="1178" t="s">
        <v>884</v>
      </c>
      <c r="E13" s="1179">
        <v>2010</v>
      </c>
      <c r="F13" s="1282" t="s">
        <v>20220</v>
      </c>
      <c r="G13" s="1368">
        <v>99.5</v>
      </c>
      <c r="H13" s="1178" t="s">
        <v>20221</v>
      </c>
      <c r="I13" s="1178" t="s">
        <v>942</v>
      </c>
      <c r="J13" s="1178" t="s">
        <v>662</v>
      </c>
      <c r="K13" s="1178" t="s">
        <v>7</v>
      </c>
      <c r="L13" s="1178" t="s">
        <v>20231</v>
      </c>
      <c r="M13" s="1369" t="s">
        <v>23296</v>
      </c>
      <c r="N13" s="1178"/>
      <c r="O13" s="1178">
        <v>6</v>
      </c>
      <c r="P13" s="1178">
        <v>12</v>
      </c>
    </row>
    <row r="14" spans="1:16">
      <c r="A14" s="1178" t="s">
        <v>8</v>
      </c>
      <c r="B14" s="1371" t="str">
        <f>HYPERLINK(IFERROR("#Main_Tariff!A"&amp;MATCH(Raeburn_Main_Tariff[[#This Row],[Product Code]],Main_Tariff!I:I,0),"#Main_Tariff!A"&amp;MATCH("*"&amp;RIGHT(A14,8)&amp;"*",Main_Tariff!A:A,0)),Raeburn_Main_Tariff[[#This Row],[PRODUCER]])</f>
        <v>André Beaufort</v>
      </c>
      <c r="C14" s="1178" t="s">
        <v>20233</v>
      </c>
      <c r="D14" s="1178" t="s">
        <v>884</v>
      </c>
      <c r="E14" s="1179">
        <v>2005</v>
      </c>
      <c r="F14" s="1282" t="s">
        <v>20220</v>
      </c>
      <c r="G14" s="1368">
        <v>86</v>
      </c>
      <c r="H14" s="1178" t="s">
        <v>20224</v>
      </c>
      <c r="I14" s="1178" t="s">
        <v>930</v>
      </c>
      <c r="J14" s="1178" t="s">
        <v>662</v>
      </c>
      <c r="K14" s="1178" t="s">
        <v>7</v>
      </c>
      <c r="L14" s="1178" t="s">
        <v>20231</v>
      </c>
      <c r="M14" s="1369" t="s">
        <v>23296</v>
      </c>
      <c r="N14" s="1178"/>
      <c r="O14" s="1178">
        <v>6</v>
      </c>
      <c r="P14" s="1178">
        <v>12</v>
      </c>
    </row>
    <row r="15" spans="1:16">
      <c r="A15" s="1178" t="s">
        <v>9</v>
      </c>
      <c r="B15" s="1371" t="str">
        <f>HYPERLINK(IFERROR("#Main_Tariff!A"&amp;MATCH(Raeburn_Main_Tariff[[#This Row],[Product Code]],Main_Tariff!I:I,0),"#Main_Tariff!A"&amp;MATCH("*"&amp;RIGHT(A15,8)&amp;"*",Main_Tariff!A:A,0)),Raeburn_Main_Tariff[[#This Row],[PRODUCER]])</f>
        <v>Albert Beerens</v>
      </c>
      <c r="C15" s="1178" t="s">
        <v>20234</v>
      </c>
      <c r="D15" s="1178" t="s">
        <v>879</v>
      </c>
      <c r="E15" s="1179" t="s">
        <v>19060</v>
      </c>
      <c r="F15" s="1282" t="s">
        <v>20220</v>
      </c>
      <c r="G15" s="1368">
        <v>30.5</v>
      </c>
      <c r="H15" s="1178" t="s">
        <v>20221</v>
      </c>
      <c r="I15" s="1178" t="s">
        <v>961</v>
      </c>
      <c r="J15" s="1178" t="s">
        <v>662</v>
      </c>
      <c r="K15" s="1178" t="s">
        <v>7</v>
      </c>
      <c r="L15" s="1178" t="s">
        <v>20231</v>
      </c>
      <c r="M15" s="1369"/>
      <c r="N15" s="1178"/>
      <c r="O15" s="1178">
        <v>6</v>
      </c>
      <c r="P15" s="1178">
        <v>12</v>
      </c>
    </row>
    <row r="16" spans="1:16">
      <c r="A16" s="1178" t="s">
        <v>9</v>
      </c>
      <c r="B16" s="1371" t="str">
        <f>HYPERLINK(IFERROR("#Main_Tariff!A"&amp;MATCH(Raeburn_Main_Tariff[[#This Row],[Product Code]],Main_Tariff!I:I,0),"#Main_Tariff!A"&amp;MATCH("*"&amp;RIGHT(A16,8)&amp;"*",Main_Tariff!A:A,0)),Raeburn_Main_Tariff[[#This Row],[PRODUCER]])</f>
        <v>Albert Beerens</v>
      </c>
      <c r="C16" s="1178" t="s">
        <v>20235</v>
      </c>
      <c r="D16" s="1178" t="s">
        <v>884</v>
      </c>
      <c r="E16" s="1179" t="s">
        <v>19060</v>
      </c>
      <c r="F16" s="1282" t="s">
        <v>20220</v>
      </c>
      <c r="G16" s="1368">
        <v>27</v>
      </c>
      <c r="H16" s="1178" t="s">
        <v>20221</v>
      </c>
      <c r="I16" s="1178" t="s">
        <v>963</v>
      </c>
      <c r="J16" s="1178" t="s">
        <v>662</v>
      </c>
      <c r="K16" s="1178" t="s">
        <v>7</v>
      </c>
      <c r="L16" s="1178" t="s">
        <v>20231</v>
      </c>
      <c r="M16" s="1369"/>
      <c r="N16" s="1178"/>
      <c r="O16" s="1178">
        <v>6</v>
      </c>
      <c r="P16" s="1178">
        <v>12</v>
      </c>
    </row>
    <row r="17" spans="1:16">
      <c r="A17" s="1178" t="s">
        <v>9</v>
      </c>
      <c r="B17" s="1371" t="str">
        <f>HYPERLINK(IFERROR("#Main_Tariff!A"&amp;MATCH(Raeburn_Main_Tariff[[#This Row],[Product Code]],Main_Tariff!I:I,0),"#Main_Tariff!A"&amp;MATCH("*"&amp;RIGHT(A17,8)&amp;"*",Main_Tariff!A:A,0)),Raeburn_Main_Tariff[[#This Row],[PRODUCER]])</f>
        <v>Albert Beerens</v>
      </c>
      <c r="C17" s="1178" t="s">
        <v>20236</v>
      </c>
      <c r="D17" s="1178" t="s">
        <v>884</v>
      </c>
      <c r="E17" s="1179" t="s">
        <v>19060</v>
      </c>
      <c r="F17" s="1282" t="s">
        <v>20220</v>
      </c>
      <c r="G17" s="1368">
        <v>29</v>
      </c>
      <c r="H17" s="1178" t="s">
        <v>20221</v>
      </c>
      <c r="I17" s="1178" t="s">
        <v>965</v>
      </c>
      <c r="J17" s="1178" t="s">
        <v>662</v>
      </c>
      <c r="K17" s="1178" t="s">
        <v>7</v>
      </c>
      <c r="L17" s="1178" t="s">
        <v>20231</v>
      </c>
      <c r="M17" s="1369"/>
      <c r="N17" s="1178"/>
      <c r="O17" s="1178">
        <v>6</v>
      </c>
      <c r="P17" s="1178">
        <v>12</v>
      </c>
    </row>
    <row r="18" spans="1:16">
      <c r="A18" s="1178" t="s">
        <v>9</v>
      </c>
      <c r="B18" s="1371" t="str">
        <f>HYPERLINK(IFERROR("#Main_Tariff!A"&amp;MATCH(Raeburn_Main_Tariff[[#This Row],[Product Code]],Main_Tariff!I:I,0),"#Main_Tariff!A"&amp;MATCH("*"&amp;RIGHT(A18,8)&amp;"*",Main_Tariff!A:A,0)),Raeburn_Main_Tariff[[#This Row],[PRODUCER]])</f>
        <v>Albert Beerens</v>
      </c>
      <c r="C18" s="1178" t="s">
        <v>20237</v>
      </c>
      <c r="D18" s="1178" t="s">
        <v>884</v>
      </c>
      <c r="E18" s="1179" t="s">
        <v>19060</v>
      </c>
      <c r="F18" s="1282" t="s">
        <v>20220</v>
      </c>
      <c r="G18" s="1368">
        <v>42</v>
      </c>
      <c r="H18" s="1178" t="s">
        <v>20221</v>
      </c>
      <c r="I18" s="1178" t="s">
        <v>967</v>
      </c>
      <c r="J18" s="1178" t="s">
        <v>662</v>
      </c>
      <c r="K18" s="1178" t="s">
        <v>7</v>
      </c>
      <c r="L18" s="1178" t="s">
        <v>20231</v>
      </c>
      <c r="M18" s="1369"/>
      <c r="N18" s="1178"/>
      <c r="O18" s="1178">
        <v>6</v>
      </c>
      <c r="P18" s="1178">
        <v>12</v>
      </c>
    </row>
    <row r="19" spans="1:16">
      <c r="A19" s="1178" t="s">
        <v>9</v>
      </c>
      <c r="B19" s="1371" t="str">
        <f>HYPERLINK(IFERROR("#Main_Tariff!A"&amp;MATCH(Raeburn_Main_Tariff[[#This Row],[Product Code]],Main_Tariff!I:I,0),"#Main_Tariff!A"&amp;MATCH("*"&amp;RIGHT(A19,8)&amp;"*",Main_Tariff!A:A,0)),Raeburn_Main_Tariff[[#This Row],[PRODUCER]])</f>
        <v>Albert Beerens</v>
      </c>
      <c r="C19" s="1178" t="s">
        <v>20238</v>
      </c>
      <c r="D19" s="1178" t="s">
        <v>884</v>
      </c>
      <c r="E19" s="1179">
        <v>2013</v>
      </c>
      <c r="F19" s="1282" t="s">
        <v>20220</v>
      </c>
      <c r="G19" s="1368">
        <v>46</v>
      </c>
      <c r="H19" s="1178" t="s">
        <v>20221</v>
      </c>
      <c r="I19" s="1178" t="s">
        <v>969</v>
      </c>
      <c r="J19" s="1178" t="s">
        <v>662</v>
      </c>
      <c r="K19" s="1178" t="s">
        <v>7</v>
      </c>
      <c r="L19" s="1178" t="s">
        <v>20231</v>
      </c>
      <c r="M19" s="1369"/>
      <c r="N19" s="1178"/>
      <c r="O19" s="1178">
        <v>6</v>
      </c>
      <c r="P19" s="1178">
        <v>12</v>
      </c>
    </row>
    <row r="20" spans="1:16">
      <c r="A20" s="1178" t="s">
        <v>9</v>
      </c>
      <c r="B20" s="1371" t="str">
        <f>HYPERLINK(IFERROR("#Main_Tariff!A"&amp;MATCH(Raeburn_Main_Tariff[[#This Row],[Product Code]],Main_Tariff!I:I,0),"#Main_Tariff!A"&amp;MATCH("*"&amp;RIGHT(A20,8)&amp;"*",Main_Tariff!A:A,0)),Raeburn_Main_Tariff[[#This Row],[PRODUCER]])</f>
        <v>Albert Beerens</v>
      </c>
      <c r="C20" s="1178" t="s">
        <v>20239</v>
      </c>
      <c r="D20" s="1178" t="s">
        <v>884</v>
      </c>
      <c r="E20" s="1179" t="s">
        <v>19060</v>
      </c>
      <c r="F20" s="1282" t="s">
        <v>20240</v>
      </c>
      <c r="G20" s="1368">
        <v>57</v>
      </c>
      <c r="H20" s="1178" t="s">
        <v>20224</v>
      </c>
      <c r="I20" s="1178" t="s">
        <v>971</v>
      </c>
      <c r="J20" s="1178" t="s">
        <v>662</v>
      </c>
      <c r="K20" s="1178" t="s">
        <v>7</v>
      </c>
      <c r="L20" s="1178" t="s">
        <v>20231</v>
      </c>
      <c r="M20" s="1369"/>
      <c r="N20" s="1178"/>
      <c r="O20" s="1178">
        <v>3</v>
      </c>
      <c r="P20" s="1178">
        <v>12</v>
      </c>
    </row>
    <row r="21" spans="1:16">
      <c r="A21" s="1178" t="s">
        <v>20241</v>
      </c>
      <c r="B21" s="1371" t="str">
        <f>HYPERLINK(IFERROR("#Main_Tariff!A"&amp;MATCH(Raeburn_Main_Tariff[[#This Row],[Product Code]],Main_Tariff!I:I,0),"#Main_Tariff!A"&amp;MATCH("*"&amp;RIGHT(A21,8)&amp;"*",Main_Tariff!A:A,0)),Raeburn_Main_Tariff[[#This Row],[PRODUCER]])</f>
        <v>Champagne Augustin</v>
      </c>
      <c r="C21" s="1178" t="s">
        <v>20242</v>
      </c>
      <c r="D21" s="1178" t="s">
        <v>884</v>
      </c>
      <c r="E21" s="1179" t="s">
        <v>20243</v>
      </c>
      <c r="F21" s="1282" t="s">
        <v>20220</v>
      </c>
      <c r="G21" s="1368">
        <v>36</v>
      </c>
      <c r="H21" s="1178" t="s">
        <v>20221</v>
      </c>
      <c r="I21" s="1178" t="s">
        <v>996</v>
      </c>
      <c r="J21" s="1178" t="s">
        <v>662</v>
      </c>
      <c r="K21" s="1178" t="s">
        <v>7</v>
      </c>
      <c r="L21" s="1178"/>
      <c r="M21" s="1369"/>
      <c r="N21" s="1178" t="s">
        <v>20244</v>
      </c>
      <c r="O21" s="1178">
        <v>6</v>
      </c>
      <c r="P21" s="1178">
        <v>12</v>
      </c>
    </row>
    <row r="22" spans="1:16">
      <c r="A22" s="1178" t="s">
        <v>20241</v>
      </c>
      <c r="B22" s="1371" t="str">
        <f>HYPERLINK(IFERROR("#Main_Tariff!A"&amp;MATCH(Raeburn_Main_Tariff[[#This Row],[Product Code]],Main_Tariff!I:I,0),"#Main_Tariff!A"&amp;MATCH("*"&amp;RIGHT(A22,8)&amp;"*",Main_Tariff!A:A,0)),Raeburn_Main_Tariff[[#This Row],[PRODUCER]])</f>
        <v>Champagne Augustin</v>
      </c>
      <c r="C22" s="1178" t="s">
        <v>20245</v>
      </c>
      <c r="D22" s="1178" t="s">
        <v>884</v>
      </c>
      <c r="E22" s="1179" t="s">
        <v>19060</v>
      </c>
      <c r="F22" s="1282" t="s">
        <v>20220</v>
      </c>
      <c r="G22" s="1368">
        <v>44</v>
      </c>
      <c r="H22" s="1178" t="s">
        <v>20221</v>
      </c>
      <c r="I22" s="1178" t="s">
        <v>998</v>
      </c>
      <c r="J22" s="1178" t="s">
        <v>662</v>
      </c>
      <c r="K22" s="1178" t="s">
        <v>7</v>
      </c>
      <c r="L22" s="1178"/>
      <c r="M22" s="1369"/>
      <c r="N22" s="1178" t="s">
        <v>20244</v>
      </c>
      <c r="O22" s="1178">
        <v>6</v>
      </c>
      <c r="P22" s="1178">
        <v>12</v>
      </c>
    </row>
    <row r="23" spans="1:16">
      <c r="A23" s="1178" t="s">
        <v>20241</v>
      </c>
      <c r="B23" s="1371" t="str">
        <f>HYPERLINK(IFERROR("#Main_Tariff!A"&amp;MATCH(Raeburn_Main_Tariff[[#This Row],[Product Code]],Main_Tariff!I:I,0),"#Main_Tariff!A"&amp;MATCH("*"&amp;RIGHT(A23,8)&amp;"*",Main_Tariff!A:A,0)),Raeburn_Main_Tariff[[#This Row],[PRODUCER]])</f>
        <v>Champagne Augustin</v>
      </c>
      <c r="C23" s="1178" t="s">
        <v>20246</v>
      </c>
      <c r="D23" s="1178" t="s">
        <v>884</v>
      </c>
      <c r="E23" s="1179" t="s">
        <v>20247</v>
      </c>
      <c r="F23" s="1282" t="s">
        <v>20220</v>
      </c>
      <c r="G23" s="1368">
        <v>57</v>
      </c>
      <c r="H23" s="1178" t="s">
        <v>20221</v>
      </c>
      <c r="I23" s="1178" t="s">
        <v>1000</v>
      </c>
      <c r="J23" s="1178" t="s">
        <v>662</v>
      </c>
      <c r="K23" s="1178" t="s">
        <v>7</v>
      </c>
      <c r="L23" s="1178"/>
      <c r="M23" s="1369"/>
      <c r="N23" s="1178"/>
      <c r="O23" s="1178">
        <v>6</v>
      </c>
      <c r="P23" s="1178">
        <v>12</v>
      </c>
    </row>
    <row r="24" spans="1:16">
      <c r="A24" s="1178" t="s">
        <v>20241</v>
      </c>
      <c r="B24" s="1371" t="str">
        <f>HYPERLINK(IFERROR("#Main_Tariff!A"&amp;MATCH(Raeburn_Main_Tariff[[#This Row],[Product Code]],Main_Tariff!I:I,0),"#Main_Tariff!A"&amp;MATCH("*"&amp;RIGHT(A24,8)&amp;"*",Main_Tariff!A:A,0)),Raeburn_Main_Tariff[[#This Row],[PRODUCER]])</f>
        <v>Champagne Augustin</v>
      </c>
      <c r="C24" s="1178" t="s">
        <v>20248</v>
      </c>
      <c r="D24" s="1178" t="s">
        <v>879</v>
      </c>
      <c r="E24" s="1179" t="s">
        <v>19060</v>
      </c>
      <c r="F24" s="1282" t="s">
        <v>20220</v>
      </c>
      <c r="G24" s="1368">
        <v>80</v>
      </c>
      <c r="H24" s="1178" t="s">
        <v>20221</v>
      </c>
      <c r="I24" s="1178" t="s">
        <v>1004</v>
      </c>
      <c r="J24" s="1178" t="s">
        <v>662</v>
      </c>
      <c r="K24" s="1178" t="s">
        <v>7</v>
      </c>
      <c r="L24" s="1178"/>
      <c r="M24" s="1369"/>
      <c r="N24" s="1178" t="s">
        <v>20244</v>
      </c>
      <c r="O24" s="1178">
        <v>6</v>
      </c>
      <c r="P24" s="1178">
        <v>12</v>
      </c>
    </row>
    <row r="25" spans="1:16">
      <c r="A25" s="1178" t="s">
        <v>20241</v>
      </c>
      <c r="B25" s="1371" t="str">
        <f>HYPERLINK(IFERROR("#Main_Tariff!A"&amp;MATCH(Raeburn_Main_Tariff[[#This Row],[Product Code]],Main_Tariff!I:I,0),"#Main_Tariff!A"&amp;MATCH("*"&amp;RIGHT(A25,8)&amp;"*",Main_Tariff!A:A,0)),Raeburn_Main_Tariff[[#This Row],[PRODUCER]])</f>
        <v>Champagne Augustin</v>
      </c>
      <c r="C25" s="1178" t="s">
        <v>20249</v>
      </c>
      <c r="D25" s="1178" t="s">
        <v>879</v>
      </c>
      <c r="E25" s="1179" t="s">
        <v>19060</v>
      </c>
      <c r="F25" s="1282" t="s">
        <v>20220</v>
      </c>
      <c r="G25" s="1368">
        <v>97</v>
      </c>
      <c r="H25" s="1178" t="s">
        <v>20224</v>
      </c>
      <c r="I25" s="1178" t="s">
        <v>1006</v>
      </c>
      <c r="J25" s="1178" t="s">
        <v>662</v>
      </c>
      <c r="K25" s="1178" t="s">
        <v>7</v>
      </c>
      <c r="L25" s="1178"/>
      <c r="M25" s="1369"/>
      <c r="N25" s="1178" t="s">
        <v>20244</v>
      </c>
      <c r="O25" s="1178">
        <v>3</v>
      </c>
      <c r="P25" s="1178">
        <v>12</v>
      </c>
    </row>
    <row r="26" spans="1:16">
      <c r="A26" s="1178" t="s">
        <v>20250</v>
      </c>
      <c r="B26" s="1371" t="str">
        <f>HYPERLINK(IFERROR("#Main_Tariff!A"&amp;MATCH(Raeburn_Main_Tariff[[#This Row],[Product Code]],Main_Tariff!I:I,0),"#Main_Tariff!A"&amp;MATCH("*"&amp;RIGHT(A26,8)&amp;"*",Main_Tariff!A:A,0)),Raeburn_Main_Tariff[[#This Row],[PRODUCER]])</f>
        <v>Henri Billiot</v>
      </c>
      <c r="C26" s="1178" t="s">
        <v>20251</v>
      </c>
      <c r="D26" s="1178" t="s">
        <v>879</v>
      </c>
      <c r="E26" s="1179" t="s">
        <v>19060</v>
      </c>
      <c r="F26" s="1282" t="s">
        <v>20220</v>
      </c>
      <c r="G26" s="1368">
        <v>31.5</v>
      </c>
      <c r="H26" s="1178" t="s">
        <v>20221</v>
      </c>
      <c r="I26" s="1178" t="s">
        <v>1059</v>
      </c>
      <c r="J26" s="1178" t="s">
        <v>662</v>
      </c>
      <c r="K26" s="1178" t="s">
        <v>7</v>
      </c>
      <c r="L26" s="1178" t="s">
        <v>20231</v>
      </c>
      <c r="M26" s="1369"/>
      <c r="N26" s="1178"/>
      <c r="O26" s="1178">
        <v>12</v>
      </c>
      <c r="P26" s="1178">
        <v>12.5</v>
      </c>
    </row>
    <row r="27" spans="1:16">
      <c r="A27" s="1178" t="s">
        <v>20250</v>
      </c>
      <c r="B27" s="1371" t="str">
        <f>HYPERLINK(IFERROR("#Main_Tariff!A"&amp;MATCH(Raeburn_Main_Tariff[[#This Row],[Product Code]],Main_Tariff!I:I,0),"#Main_Tariff!A"&amp;MATCH("*"&amp;RIGHT(A27,8)&amp;"*",Main_Tariff!A:A,0)),Raeburn_Main_Tariff[[#This Row],[PRODUCER]])</f>
        <v>Henri Billiot</v>
      </c>
      <c r="C27" s="1178" t="s">
        <v>20252</v>
      </c>
      <c r="D27" s="1178" t="s">
        <v>884</v>
      </c>
      <c r="E27" s="1179" t="s">
        <v>20253</v>
      </c>
      <c r="F27" s="1282" t="s">
        <v>20220</v>
      </c>
      <c r="G27" s="1368">
        <v>28</v>
      </c>
      <c r="H27" s="1178" t="s">
        <v>20221</v>
      </c>
      <c r="I27" s="1178" t="s">
        <v>1061</v>
      </c>
      <c r="J27" s="1178" t="s">
        <v>662</v>
      </c>
      <c r="K27" s="1178" t="s">
        <v>7</v>
      </c>
      <c r="L27" s="1178" t="s">
        <v>20231</v>
      </c>
      <c r="M27" s="1369"/>
      <c r="N27" s="1178"/>
      <c r="O27" s="1178">
        <v>6</v>
      </c>
      <c r="P27" s="1178">
        <v>12</v>
      </c>
    </row>
    <row r="28" spans="1:16">
      <c r="A28" s="1178" t="s">
        <v>20250</v>
      </c>
      <c r="B28" s="1371" t="str">
        <f>HYPERLINK(IFERROR("#Main_Tariff!A"&amp;MATCH(Raeburn_Main_Tariff[[#This Row],[Product Code]],Main_Tariff!I:I,0),"#Main_Tariff!A"&amp;MATCH("*"&amp;RIGHT(A28,8)&amp;"*",Main_Tariff!A:A,0)),Raeburn_Main_Tariff[[#This Row],[PRODUCER]])</f>
        <v>Henri Billiot</v>
      </c>
      <c r="C28" s="1178" t="s">
        <v>20254</v>
      </c>
      <c r="D28" s="1178" t="s">
        <v>884</v>
      </c>
      <c r="E28" s="1179"/>
      <c r="F28" s="1282" t="s">
        <v>20240</v>
      </c>
      <c r="G28" s="1368"/>
      <c r="H28" s="1178" t="s">
        <v>3907</v>
      </c>
      <c r="I28" s="1178" t="s">
        <v>1063</v>
      </c>
      <c r="J28" s="1178" t="s">
        <v>662</v>
      </c>
      <c r="K28" s="1178" t="s">
        <v>7</v>
      </c>
      <c r="L28" s="1178" t="s">
        <v>20231</v>
      </c>
      <c r="M28" s="1369"/>
      <c r="N28" s="1178"/>
      <c r="O28" s="1178">
        <v>3</v>
      </c>
      <c r="P28" s="1178">
        <v>12</v>
      </c>
    </row>
    <row r="29" spans="1:16">
      <c r="A29" s="1178" t="s">
        <v>20250</v>
      </c>
      <c r="B29" s="1371" t="str">
        <f>HYPERLINK(IFERROR("#Main_Tariff!A"&amp;MATCH(Raeburn_Main_Tariff[[#This Row],[Product Code]],Main_Tariff!I:I,0),"#Main_Tariff!A"&amp;MATCH("*"&amp;RIGHT(A29,8)&amp;"*",Main_Tariff!A:A,0)),Raeburn_Main_Tariff[[#This Row],[PRODUCER]])</f>
        <v>Henri Billiot</v>
      </c>
      <c r="C29" s="1178" t="s">
        <v>20255</v>
      </c>
      <c r="D29" s="1178" t="s">
        <v>884</v>
      </c>
      <c r="E29" s="1179">
        <v>2014</v>
      </c>
      <c r="F29" s="1282" t="s">
        <v>20220</v>
      </c>
      <c r="G29" s="1368">
        <v>40</v>
      </c>
      <c r="H29" s="1178" t="s">
        <v>20221</v>
      </c>
      <c r="I29" s="1178" t="s">
        <v>1065</v>
      </c>
      <c r="J29" s="1178" t="s">
        <v>662</v>
      </c>
      <c r="K29" s="1178" t="s">
        <v>7</v>
      </c>
      <c r="L29" s="1178" t="s">
        <v>20231</v>
      </c>
      <c r="M29" s="1369"/>
      <c r="N29" s="1178"/>
      <c r="O29" s="1178">
        <v>6</v>
      </c>
      <c r="P29" s="1178">
        <v>12.5</v>
      </c>
    </row>
    <row r="30" spans="1:16">
      <c r="A30" s="1178" t="s">
        <v>20250</v>
      </c>
      <c r="B30" s="1371" t="str">
        <f>HYPERLINK(IFERROR("#Main_Tariff!A"&amp;MATCH(Raeburn_Main_Tariff[[#This Row],[Product Code]],Main_Tariff!I:I,0),"#Main_Tariff!A"&amp;MATCH("*"&amp;RIGHT(A30,8)&amp;"*",Main_Tariff!A:A,0)),Raeburn_Main_Tariff[[#This Row],[PRODUCER]])</f>
        <v>Henri Billiot</v>
      </c>
      <c r="C30" s="1178" t="s">
        <v>20256</v>
      </c>
      <c r="D30" s="1178" t="s">
        <v>884</v>
      </c>
      <c r="E30" s="1179" t="s">
        <v>19060</v>
      </c>
      <c r="F30" s="1282" t="s">
        <v>20220</v>
      </c>
      <c r="G30" s="1368">
        <v>48.5</v>
      </c>
      <c r="H30" s="1178" t="s">
        <v>20221</v>
      </c>
      <c r="I30" s="1178" t="s">
        <v>1066</v>
      </c>
      <c r="J30" s="1178" t="s">
        <v>662</v>
      </c>
      <c r="K30" s="1178" t="s">
        <v>7</v>
      </c>
      <c r="L30" s="1178" t="s">
        <v>20231</v>
      </c>
      <c r="M30" s="1369"/>
      <c r="N30" s="1178"/>
      <c r="O30" s="1178">
        <v>6</v>
      </c>
      <c r="P30" s="1178">
        <v>13</v>
      </c>
    </row>
    <row r="31" spans="1:16">
      <c r="A31" s="1178" t="s">
        <v>20250</v>
      </c>
      <c r="B31" s="1371" t="str">
        <f>HYPERLINK(IFERROR("#Main_Tariff!A"&amp;MATCH(Raeburn_Main_Tariff[[#This Row],[Product Code]],Main_Tariff!I:I,0),"#Main_Tariff!A"&amp;MATCH("*"&amp;RIGHT(A31,8)&amp;"*",Main_Tariff!A:A,0)),Raeburn_Main_Tariff[[#This Row],[PRODUCER]])</f>
        <v>Henri Billiot</v>
      </c>
      <c r="C31" s="1178" t="s">
        <v>20257</v>
      </c>
      <c r="D31" s="1178" t="s">
        <v>884</v>
      </c>
      <c r="E31" s="1179" t="s">
        <v>20253</v>
      </c>
      <c r="F31" s="1282" t="s">
        <v>20220</v>
      </c>
      <c r="G31" s="1368">
        <v>48.5</v>
      </c>
      <c r="H31" s="1178" t="s">
        <v>20221</v>
      </c>
      <c r="I31" s="1178" t="s">
        <v>1068</v>
      </c>
      <c r="J31" s="1178" t="s">
        <v>662</v>
      </c>
      <c r="K31" s="1178" t="s">
        <v>7</v>
      </c>
      <c r="L31" s="1178" t="s">
        <v>20231</v>
      </c>
      <c r="M31" s="1369"/>
      <c r="N31" s="1178"/>
      <c r="O31" s="1178">
        <v>6</v>
      </c>
      <c r="P31" s="1178">
        <v>12.5</v>
      </c>
    </row>
    <row r="32" spans="1:16">
      <c r="A32" s="1178" t="s">
        <v>20250</v>
      </c>
      <c r="B32" s="1371" t="str">
        <f>HYPERLINK(IFERROR("#Main_Tariff!A"&amp;MATCH(Raeburn_Main_Tariff[[#This Row],[Product Code]],Main_Tariff!I:I,0),"#Main_Tariff!A"&amp;MATCH("*"&amp;RIGHT(A32,8)&amp;"*",Main_Tariff!A:A,0)),Raeburn_Main_Tariff[[#This Row],[PRODUCER]])</f>
        <v>Henri Billiot</v>
      </c>
      <c r="C32" s="1178" t="s">
        <v>20258</v>
      </c>
      <c r="D32" s="1178" t="s">
        <v>884</v>
      </c>
      <c r="E32" s="1179">
        <v>2014</v>
      </c>
      <c r="F32" s="1282" t="s">
        <v>20220</v>
      </c>
      <c r="G32" s="1368">
        <v>100</v>
      </c>
      <c r="H32" s="1178" t="s">
        <v>20221</v>
      </c>
      <c r="I32" s="1178" t="s">
        <v>1070</v>
      </c>
      <c r="J32" s="1178" t="s">
        <v>662</v>
      </c>
      <c r="K32" s="1178" t="s">
        <v>7</v>
      </c>
      <c r="L32" s="1178" t="s">
        <v>20231</v>
      </c>
      <c r="M32" s="1369"/>
      <c r="N32" s="1178"/>
      <c r="O32" s="1178">
        <v>1</v>
      </c>
      <c r="P32" s="1178">
        <v>12.5</v>
      </c>
    </row>
    <row r="33" spans="1:16">
      <c r="A33" s="1178" t="s">
        <v>12</v>
      </c>
      <c r="B33" s="1371" t="str">
        <f>HYPERLINK(IFERROR("#Main_Tariff!A"&amp;MATCH(Raeburn_Main_Tariff[[#This Row],[Product Code]],Main_Tariff!I:I,0),"#Main_Tariff!A"&amp;MATCH("*"&amp;RIGHT(A33,8)&amp;"*",Main_Tariff!A:A,0)),Raeburn_Main_Tariff[[#This Row],[PRODUCER]])</f>
        <v>Benoit Dehu</v>
      </c>
      <c r="C33" s="1178" t="s">
        <v>20259</v>
      </c>
      <c r="D33" s="1178" t="s">
        <v>879</v>
      </c>
      <c r="E33" s="1179" t="s">
        <v>20260</v>
      </c>
      <c r="F33" s="1282" t="s">
        <v>20220</v>
      </c>
      <c r="G33" s="1368">
        <v>44.5</v>
      </c>
      <c r="H33" s="1178" t="s">
        <v>20224</v>
      </c>
      <c r="I33" s="1178" t="s">
        <v>1098</v>
      </c>
      <c r="J33" s="1178" t="s">
        <v>662</v>
      </c>
      <c r="K33" s="1178" t="s">
        <v>7</v>
      </c>
      <c r="L33" s="1178"/>
      <c r="M33" s="1369"/>
      <c r="N33" s="1178"/>
      <c r="O33" s="1178">
        <v>6</v>
      </c>
      <c r="P33" s="1178">
        <v>12</v>
      </c>
    </row>
    <row r="34" spans="1:16">
      <c r="A34" s="1178" t="s">
        <v>12</v>
      </c>
      <c r="B34" s="1371" t="str">
        <f>HYPERLINK(IFERROR("#Main_Tariff!A"&amp;MATCH(Raeburn_Main_Tariff[[#This Row],[Product Code]],Main_Tariff!I:I,0),"#Main_Tariff!A"&amp;MATCH("*"&amp;RIGHT(A34,8)&amp;"*",Main_Tariff!A:A,0)),Raeburn_Main_Tariff[[#This Row],[PRODUCER]])</f>
        <v>Benoit Dehu</v>
      </c>
      <c r="C34" s="1178" t="s">
        <v>20261</v>
      </c>
      <c r="D34" s="1178" t="s">
        <v>879</v>
      </c>
      <c r="E34" s="1179" t="s">
        <v>20260</v>
      </c>
      <c r="F34" s="1282" t="s">
        <v>20220</v>
      </c>
      <c r="G34" s="1368">
        <v>67</v>
      </c>
      <c r="H34" s="1178" t="s">
        <v>20224</v>
      </c>
      <c r="I34" s="1178" t="s">
        <v>1100</v>
      </c>
      <c r="J34" s="1178" t="s">
        <v>662</v>
      </c>
      <c r="K34" s="1178" t="s">
        <v>7</v>
      </c>
      <c r="L34" s="1178"/>
      <c r="M34" s="1369"/>
      <c r="N34" s="1178" t="s">
        <v>20244</v>
      </c>
      <c r="O34" s="1178">
        <v>6</v>
      </c>
      <c r="P34" s="1178">
        <v>12</v>
      </c>
    </row>
    <row r="35" spans="1:16">
      <c r="A35" s="1178" t="s">
        <v>12</v>
      </c>
      <c r="B35" s="1371" t="str">
        <f>HYPERLINK(IFERROR("#Main_Tariff!A"&amp;MATCH(Raeburn_Main_Tariff[[#This Row],[Product Code]],Main_Tariff!I:I,0),"#Main_Tariff!A"&amp;MATCH("*"&amp;RIGHT(A35,8)&amp;"*",Main_Tariff!A:A,0)),Raeburn_Main_Tariff[[#This Row],[PRODUCER]])</f>
        <v>Benoit Dehu</v>
      </c>
      <c r="C35" s="1178" t="s">
        <v>20261</v>
      </c>
      <c r="D35" s="1178" t="s">
        <v>879</v>
      </c>
      <c r="E35" s="1179" t="s">
        <v>20262</v>
      </c>
      <c r="F35" s="1282" t="s">
        <v>20220</v>
      </c>
      <c r="G35" s="1368">
        <v>66</v>
      </c>
      <c r="H35" s="1178" t="s">
        <v>20221</v>
      </c>
      <c r="I35" s="1178" t="s">
        <v>1102</v>
      </c>
      <c r="J35" s="1178" t="s">
        <v>662</v>
      </c>
      <c r="K35" s="1178" t="s">
        <v>7</v>
      </c>
      <c r="L35" s="1178"/>
      <c r="M35" s="1369"/>
      <c r="N35" s="1178" t="s">
        <v>20244</v>
      </c>
      <c r="O35" s="1178">
        <v>6</v>
      </c>
      <c r="P35" s="1178">
        <v>12</v>
      </c>
    </row>
    <row r="36" spans="1:16">
      <c r="A36" s="1178" t="s">
        <v>12</v>
      </c>
      <c r="B36" s="1371" t="str">
        <f>HYPERLINK(IFERROR("#Main_Tariff!A"&amp;MATCH(Raeburn_Main_Tariff[[#This Row],[Product Code]],Main_Tariff!I:I,0),"#Main_Tariff!A"&amp;MATCH("*"&amp;RIGHT(A36,8)&amp;"*",Main_Tariff!A:A,0)),Raeburn_Main_Tariff[[#This Row],[PRODUCER]])</f>
        <v>Benoit Dehu</v>
      </c>
      <c r="C36" s="1178" t="s">
        <v>20263</v>
      </c>
      <c r="D36" s="1178" t="s">
        <v>884</v>
      </c>
      <c r="E36" s="1179" t="s">
        <v>20262</v>
      </c>
      <c r="F36" s="1282" t="s">
        <v>20220</v>
      </c>
      <c r="G36" s="1368">
        <v>40.5</v>
      </c>
      <c r="H36" s="1178" t="s">
        <v>20221</v>
      </c>
      <c r="I36" s="1178" t="s">
        <v>1107</v>
      </c>
      <c r="J36" s="1178" t="s">
        <v>662</v>
      </c>
      <c r="K36" s="1178" t="s">
        <v>7</v>
      </c>
      <c r="L36" s="1178"/>
      <c r="M36" s="1369"/>
      <c r="N36" s="1178"/>
      <c r="O36" s="1178">
        <v>6</v>
      </c>
      <c r="P36" s="1178">
        <v>12</v>
      </c>
    </row>
    <row r="37" spans="1:16">
      <c r="A37" s="1178" t="s">
        <v>12</v>
      </c>
      <c r="B37" s="1371" t="str">
        <f>HYPERLINK(IFERROR("#Main_Tariff!A"&amp;MATCH(Raeburn_Main_Tariff[[#This Row],[Product Code]],Main_Tariff!I:I,0),"#Main_Tariff!A"&amp;MATCH("*"&amp;RIGHT(A37,8)&amp;"*",Main_Tariff!A:A,0)),Raeburn_Main_Tariff[[#This Row],[PRODUCER]])</f>
        <v>Benoit Dehu</v>
      </c>
      <c r="C37" s="1178" t="s">
        <v>20263</v>
      </c>
      <c r="D37" s="1178" t="s">
        <v>884</v>
      </c>
      <c r="E37" s="1179" t="s">
        <v>20264</v>
      </c>
      <c r="F37" s="1282" t="s">
        <v>20220</v>
      </c>
      <c r="G37" s="1368">
        <v>39.5</v>
      </c>
      <c r="H37" s="1178" t="s">
        <v>20224</v>
      </c>
      <c r="I37" s="1178" t="s">
        <v>1109</v>
      </c>
      <c r="J37" s="1178" t="s">
        <v>662</v>
      </c>
      <c r="K37" s="1178" t="s">
        <v>7</v>
      </c>
      <c r="L37" s="1178"/>
      <c r="M37" s="1369"/>
      <c r="N37" s="1178"/>
      <c r="O37" s="1178">
        <v>6</v>
      </c>
      <c r="P37" s="1178">
        <v>12</v>
      </c>
    </row>
    <row r="38" spans="1:16">
      <c r="A38" s="1178" t="s">
        <v>12</v>
      </c>
      <c r="B38" s="1371" t="str">
        <f>HYPERLINK(IFERROR("#Main_Tariff!A"&amp;MATCH(Raeburn_Main_Tariff[[#This Row],[Product Code]],Main_Tariff!I:I,0),"#Main_Tariff!A"&amp;MATCH("*"&amp;RIGHT(A38,8)&amp;"*",Main_Tariff!A:A,0)),Raeburn_Main_Tariff[[#This Row],[PRODUCER]])</f>
        <v>Benoit Dehu</v>
      </c>
      <c r="C38" s="1178" t="s">
        <v>20265</v>
      </c>
      <c r="D38" s="1178" t="s">
        <v>884</v>
      </c>
      <c r="E38" s="1179" t="s">
        <v>20266</v>
      </c>
      <c r="F38" s="1282" t="s">
        <v>20220</v>
      </c>
      <c r="G38" s="1368">
        <v>53</v>
      </c>
      <c r="H38" s="1178" t="s">
        <v>20221</v>
      </c>
      <c r="I38" s="1178" t="s">
        <v>1111</v>
      </c>
      <c r="J38" s="1178" t="s">
        <v>662</v>
      </c>
      <c r="K38" s="1178" t="s">
        <v>7</v>
      </c>
      <c r="L38" s="1178"/>
      <c r="M38" s="1369"/>
      <c r="N38" s="1178" t="s">
        <v>20244</v>
      </c>
      <c r="O38" s="1178">
        <v>6</v>
      </c>
      <c r="P38" s="1178">
        <v>12</v>
      </c>
    </row>
    <row r="39" spans="1:16">
      <c r="A39" s="1178" t="s">
        <v>12</v>
      </c>
      <c r="B39" s="1371" t="str">
        <f>HYPERLINK(IFERROR("#Main_Tariff!A"&amp;MATCH(Raeburn_Main_Tariff[[#This Row],[Product Code]],Main_Tariff!I:I,0),"#Main_Tariff!A"&amp;MATCH("*"&amp;RIGHT(A39,8)&amp;"*",Main_Tariff!A:A,0)),Raeburn_Main_Tariff[[#This Row],[PRODUCER]])</f>
        <v>Benoit Dehu</v>
      </c>
      <c r="C39" s="1178" t="s">
        <v>20265</v>
      </c>
      <c r="D39" s="1178" t="s">
        <v>884</v>
      </c>
      <c r="E39" s="1179" t="s">
        <v>20267</v>
      </c>
      <c r="F39" s="1282" t="s">
        <v>20220</v>
      </c>
      <c r="G39" s="1368">
        <v>52</v>
      </c>
      <c r="H39" s="1178" t="s">
        <v>20221</v>
      </c>
      <c r="I39" s="1178" t="s">
        <v>1113</v>
      </c>
      <c r="J39" s="1178" t="s">
        <v>662</v>
      </c>
      <c r="K39" s="1178" t="s">
        <v>7</v>
      </c>
      <c r="L39" s="1178"/>
      <c r="M39" s="1369"/>
      <c r="N39" s="1178" t="s">
        <v>20244</v>
      </c>
      <c r="O39" s="1178">
        <v>6</v>
      </c>
      <c r="P39" s="1178">
        <v>12</v>
      </c>
    </row>
    <row r="40" spans="1:16">
      <c r="A40" s="1178" t="s">
        <v>12</v>
      </c>
      <c r="B40" s="1371" t="str">
        <f>HYPERLINK(IFERROR("#Main_Tariff!A"&amp;MATCH(Raeburn_Main_Tariff[[#This Row],[Product Code]],Main_Tariff!I:I,0),"#Main_Tariff!A"&amp;MATCH("*"&amp;RIGHT(A40,8)&amp;"*",Main_Tariff!A:A,0)),Raeburn_Main_Tariff[[#This Row],[PRODUCER]])</f>
        <v>Benoit Dehu</v>
      </c>
      <c r="C40" s="1178" t="s">
        <v>20265</v>
      </c>
      <c r="D40" s="1178" t="s">
        <v>884</v>
      </c>
      <c r="E40" s="1179" t="s">
        <v>20268</v>
      </c>
      <c r="F40" s="1282" t="s">
        <v>20220</v>
      </c>
      <c r="G40" s="1368">
        <v>51</v>
      </c>
      <c r="H40" s="1178" t="s">
        <v>20277</v>
      </c>
      <c r="I40" s="1178" t="s">
        <v>1115</v>
      </c>
      <c r="J40" s="1178" t="s">
        <v>662</v>
      </c>
      <c r="K40" s="1178" t="s">
        <v>7</v>
      </c>
      <c r="L40" s="1178"/>
      <c r="M40" s="1369"/>
      <c r="N40" s="1178" t="s">
        <v>20244</v>
      </c>
      <c r="O40" s="1178">
        <v>6</v>
      </c>
      <c r="P40" s="1178">
        <v>12</v>
      </c>
    </row>
    <row r="41" spans="1:16">
      <c r="A41" s="1178" t="s">
        <v>12</v>
      </c>
      <c r="B41" s="1371" t="str">
        <f>HYPERLINK(IFERROR("#Main_Tariff!A"&amp;MATCH(Raeburn_Main_Tariff[[#This Row],[Product Code]],Main_Tariff!I:I,0),"#Main_Tariff!A"&amp;MATCH("*"&amp;RIGHT(A41,8)&amp;"*",Main_Tariff!A:A,0)),Raeburn_Main_Tariff[[#This Row],[PRODUCER]])</f>
        <v>Benoit Dehu</v>
      </c>
      <c r="C41" s="1178" t="s">
        <v>20269</v>
      </c>
      <c r="D41" s="1178" t="s">
        <v>884</v>
      </c>
      <c r="E41" s="1179" t="s">
        <v>20264</v>
      </c>
      <c r="F41" s="1282" t="s">
        <v>20220</v>
      </c>
      <c r="G41" s="1368">
        <v>69.5</v>
      </c>
      <c r="H41" s="1178" t="s">
        <v>20221</v>
      </c>
      <c r="I41" s="1178" t="s">
        <v>1117</v>
      </c>
      <c r="J41" s="1178" t="s">
        <v>662</v>
      </c>
      <c r="K41" s="1178" t="s">
        <v>7</v>
      </c>
      <c r="L41" s="1178"/>
      <c r="M41" s="1369"/>
      <c r="N41" s="1178"/>
      <c r="O41" s="1178">
        <v>6</v>
      </c>
      <c r="P41" s="1178">
        <v>12</v>
      </c>
    </row>
    <row r="42" spans="1:16">
      <c r="A42" s="1178" t="s">
        <v>12</v>
      </c>
      <c r="B42" s="1371" t="str">
        <f>HYPERLINK(IFERROR("#Main_Tariff!A"&amp;MATCH(Raeburn_Main_Tariff[[#This Row],[Product Code]],Main_Tariff!I:I,0),"#Main_Tariff!A"&amp;MATCH("*"&amp;RIGHT(A42,8)&amp;"*",Main_Tariff!A:A,0)),Raeburn_Main_Tariff[[#This Row],[PRODUCER]])</f>
        <v>Benoit Dehu</v>
      </c>
      <c r="C42" s="1178" t="s">
        <v>20269</v>
      </c>
      <c r="D42" s="1178" t="s">
        <v>884</v>
      </c>
      <c r="E42" s="1179" t="s">
        <v>20267</v>
      </c>
      <c r="F42" s="1282" t="s">
        <v>20220</v>
      </c>
      <c r="G42" s="1368">
        <v>69.5</v>
      </c>
      <c r="H42" s="1178" t="s">
        <v>20221</v>
      </c>
      <c r="I42" s="1178" t="s">
        <v>1119</v>
      </c>
      <c r="J42" s="1178" t="s">
        <v>662</v>
      </c>
      <c r="K42" s="1178" t="s">
        <v>7</v>
      </c>
      <c r="L42" s="1178"/>
      <c r="M42" s="1369"/>
      <c r="N42" s="1178"/>
      <c r="O42" s="1178">
        <v>6</v>
      </c>
      <c r="P42" s="1178">
        <v>12</v>
      </c>
    </row>
    <row r="43" spans="1:16">
      <c r="A43" s="1178" t="s">
        <v>12</v>
      </c>
      <c r="B43" s="1371" t="str">
        <f>HYPERLINK(IFERROR("#Main_Tariff!A"&amp;MATCH(Raeburn_Main_Tariff[[#This Row],[Product Code]],Main_Tariff!I:I,0),"#Main_Tariff!A"&amp;MATCH("*"&amp;RIGHT(A43,8)&amp;"*",Main_Tariff!A:A,0)),Raeburn_Main_Tariff[[#This Row],[PRODUCER]])</f>
        <v>Benoit Dehu</v>
      </c>
      <c r="C43" s="1178" t="s">
        <v>20270</v>
      </c>
      <c r="D43" s="1178" t="s">
        <v>884</v>
      </c>
      <c r="E43" s="1179" t="s">
        <v>20262</v>
      </c>
      <c r="F43" s="1282" t="s">
        <v>20220</v>
      </c>
      <c r="G43" s="1368">
        <v>89</v>
      </c>
      <c r="H43" s="1178" t="s">
        <v>20224</v>
      </c>
      <c r="I43" s="1178" t="s">
        <v>1121</v>
      </c>
      <c r="J43" s="1178" t="s">
        <v>662</v>
      </c>
      <c r="K43" s="1178" t="s">
        <v>7</v>
      </c>
      <c r="L43" s="1178"/>
      <c r="M43" s="1369"/>
      <c r="N43" s="1178" t="s">
        <v>20244</v>
      </c>
      <c r="O43" s="1178">
        <v>6</v>
      </c>
      <c r="P43" s="1178">
        <v>12</v>
      </c>
    </row>
    <row r="44" spans="1:16">
      <c r="A44" s="1178" t="s">
        <v>12</v>
      </c>
      <c r="B44" s="1371" t="str">
        <f>HYPERLINK(IFERROR("#Main_Tariff!A"&amp;MATCH(Raeburn_Main_Tariff[[#This Row],[Product Code]],Main_Tariff!I:I,0),"#Main_Tariff!A"&amp;MATCH("*"&amp;RIGHT(A44,8)&amp;"*",Main_Tariff!A:A,0)),Raeburn_Main_Tariff[[#This Row],[PRODUCER]])</f>
        <v>Benoit Dehu</v>
      </c>
      <c r="C44" s="1178" t="s">
        <v>20271</v>
      </c>
      <c r="D44" s="1178" t="s">
        <v>884</v>
      </c>
      <c r="E44" s="1179" t="s">
        <v>20268</v>
      </c>
      <c r="F44" s="1282" t="s">
        <v>20240</v>
      </c>
      <c r="G44" s="1368">
        <v>115</v>
      </c>
      <c r="H44" s="1178" t="s">
        <v>20224</v>
      </c>
      <c r="I44" s="1178" t="s">
        <v>1125</v>
      </c>
      <c r="J44" s="1178" t="s">
        <v>662</v>
      </c>
      <c r="K44" s="1178" t="s">
        <v>7</v>
      </c>
      <c r="L44" s="1178"/>
      <c r="M44" s="1369"/>
      <c r="N44" s="1178"/>
      <c r="O44" s="1178">
        <v>3</v>
      </c>
      <c r="P44" s="1178">
        <v>12</v>
      </c>
    </row>
    <row r="45" spans="1:16">
      <c r="A45" s="1178" t="s">
        <v>12</v>
      </c>
      <c r="B45" s="1371" t="str">
        <f>HYPERLINK(IFERROR("#Main_Tariff!A"&amp;MATCH(Raeburn_Main_Tariff[[#This Row],[Product Code]],Main_Tariff!I:I,0),"#Main_Tariff!A"&amp;MATCH("*"&amp;RIGHT(A45,8)&amp;"*",Main_Tariff!A:A,0)),Raeburn_Main_Tariff[[#This Row],[PRODUCER]])</f>
        <v>Benoit Dehu</v>
      </c>
      <c r="C45" s="1178" t="s">
        <v>20272</v>
      </c>
      <c r="D45" s="1178" t="s">
        <v>1129</v>
      </c>
      <c r="E45" s="1179" t="s">
        <v>20273</v>
      </c>
      <c r="F45" s="1282" t="s">
        <v>20220</v>
      </c>
      <c r="G45" s="1368">
        <v>56</v>
      </c>
      <c r="H45" s="1178" t="s">
        <v>20224</v>
      </c>
      <c r="I45" s="1178" t="s">
        <v>1130</v>
      </c>
      <c r="J45" s="1178" t="s">
        <v>662</v>
      </c>
      <c r="K45" s="1178" t="s">
        <v>7</v>
      </c>
      <c r="L45" s="1178" t="s">
        <v>20274</v>
      </c>
      <c r="M45" s="1369"/>
      <c r="N45" s="1178"/>
      <c r="O45" s="1178">
        <v>6</v>
      </c>
      <c r="P45" s="1178">
        <v>12</v>
      </c>
    </row>
    <row r="46" spans="1:16">
      <c r="A46" s="1178" t="s">
        <v>12</v>
      </c>
      <c r="B46" s="1371" t="str">
        <f>HYPERLINK(IFERROR("#Main_Tariff!A"&amp;MATCH(Raeburn_Main_Tariff[[#This Row],[Product Code]],Main_Tariff!I:I,0),"#Main_Tariff!A"&amp;MATCH("*"&amp;RIGHT(A46,8)&amp;"*",Main_Tariff!A:A,0)),Raeburn_Main_Tariff[[#This Row],[PRODUCER]])</f>
        <v>Benoit Dehu</v>
      </c>
      <c r="C46" s="1178" t="s">
        <v>20275</v>
      </c>
      <c r="D46" s="1178" t="s">
        <v>897</v>
      </c>
      <c r="E46" s="1179" t="s">
        <v>20268</v>
      </c>
      <c r="F46" s="1282" t="s">
        <v>20220</v>
      </c>
      <c r="G46" s="1368">
        <v>56</v>
      </c>
      <c r="H46" s="1178" t="s">
        <v>20224</v>
      </c>
      <c r="I46" s="1178" t="s">
        <v>1134</v>
      </c>
      <c r="J46" s="1178" t="s">
        <v>662</v>
      </c>
      <c r="K46" s="1178" t="s">
        <v>7</v>
      </c>
      <c r="L46" s="1178" t="s">
        <v>20274</v>
      </c>
      <c r="M46" s="1369"/>
      <c r="N46" s="1178"/>
      <c r="O46" s="1178">
        <v>6</v>
      </c>
      <c r="P46" s="1178">
        <v>12</v>
      </c>
    </row>
    <row r="47" spans="1:16">
      <c r="A47" s="1178" t="s">
        <v>12</v>
      </c>
      <c r="B47" s="1371" t="str">
        <f>HYPERLINK(IFERROR("#Main_Tariff!A"&amp;MATCH(Raeburn_Main_Tariff[[#This Row],[Product Code]],Main_Tariff!I:I,0),"#Main_Tariff!A"&amp;MATCH("*"&amp;RIGHT(A47,8)&amp;"*",Main_Tariff!A:A,0)),Raeburn_Main_Tariff[[#This Row],[PRODUCER]])</f>
        <v>Benoit Dehu</v>
      </c>
      <c r="C47" s="1178" t="s">
        <v>20275</v>
      </c>
      <c r="D47" s="1178" t="s">
        <v>897</v>
      </c>
      <c r="E47" s="1179" t="s">
        <v>20276</v>
      </c>
      <c r="F47" s="1282" t="s">
        <v>20220</v>
      </c>
      <c r="G47" s="1368">
        <v>59.5</v>
      </c>
      <c r="H47" s="1178" t="s">
        <v>20224</v>
      </c>
      <c r="I47" s="1178" t="s">
        <v>1136</v>
      </c>
      <c r="J47" s="1178" t="s">
        <v>662</v>
      </c>
      <c r="K47" s="1178" t="s">
        <v>7</v>
      </c>
      <c r="L47" s="1178" t="s">
        <v>20274</v>
      </c>
      <c r="M47" s="1369"/>
      <c r="N47" s="1178"/>
      <c r="O47" s="1178">
        <v>6</v>
      </c>
      <c r="P47" s="1178">
        <v>12</v>
      </c>
    </row>
    <row r="48" spans="1:16">
      <c r="A48" s="1178" t="s">
        <v>12</v>
      </c>
      <c r="B48" s="1371" t="str">
        <f>HYPERLINK(IFERROR("#Main_Tariff!A"&amp;MATCH(Raeburn_Main_Tariff[[#This Row],[Product Code]],Main_Tariff!I:I,0),"#Main_Tariff!A"&amp;MATCH("*"&amp;RIGHT(A48,8)&amp;"*",Main_Tariff!A:A,0)),Raeburn_Main_Tariff[[#This Row],[PRODUCER]])</f>
        <v>Benoit Dehu</v>
      </c>
      <c r="C48" s="1178" t="s">
        <v>20275</v>
      </c>
      <c r="D48" s="1178" t="s">
        <v>897</v>
      </c>
      <c r="E48" s="1179" t="s">
        <v>20273</v>
      </c>
      <c r="F48" s="1282" t="s">
        <v>20220</v>
      </c>
      <c r="G48" s="1368">
        <v>49.5</v>
      </c>
      <c r="H48" s="1178" t="s">
        <v>20221</v>
      </c>
      <c r="I48" s="1178" t="s">
        <v>1138</v>
      </c>
      <c r="J48" s="1178" t="s">
        <v>662</v>
      </c>
      <c r="K48" s="1178" t="s">
        <v>7</v>
      </c>
      <c r="L48" s="1178" t="s">
        <v>20274</v>
      </c>
      <c r="M48" s="1369"/>
      <c r="N48" s="1178"/>
      <c r="O48" s="1178">
        <v>6</v>
      </c>
      <c r="P48" s="1178">
        <v>12</v>
      </c>
    </row>
    <row r="49" spans="1:16">
      <c r="A49" s="1178" t="s">
        <v>13</v>
      </c>
      <c r="B49" s="1371" t="str">
        <f>HYPERLINK(IFERROR("#Main_Tariff!A"&amp;MATCH(Raeburn_Main_Tariff[[#This Row],[Product Code]],Main_Tariff!I:I,0),"#Main_Tariff!A"&amp;MATCH("*"&amp;RIGHT(A49,8)&amp;"*",Main_Tariff!A:A,0)),Raeburn_Main_Tariff[[#This Row],[PRODUCER]])</f>
        <v>Gonet-Sulcova</v>
      </c>
      <c r="C49" s="1178" t="s">
        <v>20278</v>
      </c>
      <c r="D49" s="1178" t="s">
        <v>879</v>
      </c>
      <c r="E49" s="1179" t="s">
        <v>20253</v>
      </c>
      <c r="F49" s="1282" t="s">
        <v>20220</v>
      </c>
      <c r="G49" s="1368">
        <v>34.5</v>
      </c>
      <c r="H49" s="1178" t="s">
        <v>20221</v>
      </c>
      <c r="I49" s="1178" t="s">
        <v>1155</v>
      </c>
      <c r="J49" s="1178" t="s">
        <v>662</v>
      </c>
      <c r="K49" s="1178" t="s">
        <v>7</v>
      </c>
      <c r="L49" s="1178"/>
      <c r="M49" s="1369"/>
      <c r="N49" s="1178"/>
      <c r="O49" s="1178">
        <v>6</v>
      </c>
      <c r="P49" s="1178">
        <v>12.5</v>
      </c>
    </row>
    <row r="50" spans="1:16">
      <c r="A50" s="1178" t="s">
        <v>13</v>
      </c>
      <c r="B50" s="1371" t="str">
        <f>HYPERLINK(IFERROR("#Main_Tariff!A"&amp;MATCH(Raeburn_Main_Tariff[[#This Row],[Product Code]],Main_Tariff!I:I,0),"#Main_Tariff!A"&amp;MATCH("*"&amp;RIGHT(A50,8)&amp;"*",Main_Tariff!A:A,0)),Raeburn_Main_Tariff[[#This Row],[PRODUCER]])</f>
        <v>Gonet-Sulcova</v>
      </c>
      <c r="C50" s="1178" t="s">
        <v>20279</v>
      </c>
      <c r="D50" s="1178" t="s">
        <v>884</v>
      </c>
      <c r="E50" s="1179"/>
      <c r="F50" s="1282" t="s">
        <v>20280</v>
      </c>
      <c r="G50" s="1368"/>
      <c r="H50" s="1178" t="s">
        <v>3907</v>
      </c>
      <c r="I50" s="1178" t="s">
        <v>1159</v>
      </c>
      <c r="J50" s="1178" t="s">
        <v>662</v>
      </c>
      <c r="K50" s="1178" t="s">
        <v>7</v>
      </c>
      <c r="L50" s="1178"/>
      <c r="M50" s="1369"/>
      <c r="N50" s="1178"/>
      <c r="O50" s="1178">
        <v>12</v>
      </c>
      <c r="P50" s="1178">
        <v>12</v>
      </c>
    </row>
    <row r="51" spans="1:16">
      <c r="A51" s="1178" t="s">
        <v>13</v>
      </c>
      <c r="B51" s="1371" t="str">
        <f>HYPERLINK(IFERROR("#Main_Tariff!A"&amp;MATCH(Raeburn_Main_Tariff[[#This Row],[Product Code]],Main_Tariff!I:I,0),"#Main_Tariff!A"&amp;MATCH("*"&amp;RIGHT(A51,8)&amp;"*",Main_Tariff!A:A,0)),Raeburn_Main_Tariff[[#This Row],[PRODUCER]])</f>
        <v>Gonet-Sulcova</v>
      </c>
      <c r="C51" s="1178" t="s">
        <v>20281</v>
      </c>
      <c r="D51" s="1178" t="s">
        <v>884</v>
      </c>
      <c r="E51" s="1179" t="s">
        <v>20253</v>
      </c>
      <c r="F51" s="1282" t="s">
        <v>20220</v>
      </c>
      <c r="G51" s="1368">
        <v>23.5</v>
      </c>
      <c r="H51" s="1178" t="s">
        <v>20221</v>
      </c>
      <c r="I51" s="1178" t="s">
        <v>1161</v>
      </c>
      <c r="J51" s="1178" t="s">
        <v>662</v>
      </c>
      <c r="K51" s="1178" t="s">
        <v>7</v>
      </c>
      <c r="L51" s="1178"/>
      <c r="M51" s="1369"/>
      <c r="N51" s="1178"/>
      <c r="O51" s="1178">
        <v>6</v>
      </c>
      <c r="P51" s="1178">
        <v>12</v>
      </c>
    </row>
    <row r="52" spans="1:16">
      <c r="A52" s="1178" t="s">
        <v>13</v>
      </c>
      <c r="B52" s="1371" t="str">
        <f>HYPERLINK(IFERROR("#Main_Tariff!A"&amp;MATCH(Raeburn_Main_Tariff[[#This Row],[Product Code]],Main_Tariff!I:I,0),"#Main_Tariff!A"&amp;MATCH("*"&amp;RIGHT(A52,8)&amp;"*",Main_Tariff!A:A,0)),Raeburn_Main_Tariff[[#This Row],[PRODUCER]])</f>
        <v>Gonet-Sulcova</v>
      </c>
      <c r="C52" s="1178" t="s">
        <v>20282</v>
      </c>
      <c r="D52" s="1178" t="s">
        <v>884</v>
      </c>
      <c r="E52" s="1179" t="s">
        <v>20253</v>
      </c>
      <c r="F52" s="1282" t="s">
        <v>20220</v>
      </c>
      <c r="G52" s="1368">
        <v>26.5</v>
      </c>
      <c r="H52" s="1178" t="s">
        <v>20221</v>
      </c>
      <c r="I52" s="1178" t="s">
        <v>1163</v>
      </c>
      <c r="J52" s="1178" t="s">
        <v>662</v>
      </c>
      <c r="K52" s="1178" t="s">
        <v>7</v>
      </c>
      <c r="L52" s="1178"/>
      <c r="M52" s="1369"/>
      <c r="N52" s="1178"/>
      <c r="O52" s="1178">
        <v>6</v>
      </c>
      <c r="P52" s="1178">
        <v>12</v>
      </c>
    </row>
    <row r="53" spans="1:16">
      <c r="A53" s="1178" t="s">
        <v>13</v>
      </c>
      <c r="B53" s="1371" t="str">
        <f>HYPERLINK(IFERROR("#Main_Tariff!A"&amp;MATCH(Raeburn_Main_Tariff[[#This Row],[Product Code]],Main_Tariff!I:I,0),"#Main_Tariff!A"&amp;MATCH("*"&amp;RIGHT(A53,8)&amp;"*",Main_Tariff!A:A,0)),Raeburn_Main_Tariff[[#This Row],[PRODUCER]])</f>
        <v>Gonet-Sulcova</v>
      </c>
      <c r="C53" s="1178" t="s">
        <v>20283</v>
      </c>
      <c r="D53" s="1178" t="s">
        <v>884</v>
      </c>
      <c r="E53" s="1179" t="s">
        <v>20253</v>
      </c>
      <c r="F53" s="1282" t="s">
        <v>20220</v>
      </c>
      <c r="G53" s="1368">
        <v>28.75</v>
      </c>
      <c r="H53" s="1178" t="s">
        <v>20224</v>
      </c>
      <c r="I53" s="1178" t="s">
        <v>1164</v>
      </c>
      <c r="J53" s="1178" t="s">
        <v>662</v>
      </c>
      <c r="K53" s="1178" t="s">
        <v>7</v>
      </c>
      <c r="L53" s="1178"/>
      <c r="M53" s="1369"/>
      <c r="N53" s="1178"/>
      <c r="O53" s="1178">
        <v>6</v>
      </c>
      <c r="P53" s="1178">
        <v>13</v>
      </c>
    </row>
    <row r="54" spans="1:16">
      <c r="A54" s="1178" t="s">
        <v>13</v>
      </c>
      <c r="B54" s="1371" t="str">
        <f>HYPERLINK(IFERROR("#Main_Tariff!A"&amp;MATCH(Raeburn_Main_Tariff[[#This Row],[Product Code]],Main_Tariff!I:I,0),"#Main_Tariff!A"&amp;MATCH("*"&amp;RIGHT(A54,8)&amp;"*",Main_Tariff!A:A,0)),Raeburn_Main_Tariff[[#This Row],[PRODUCER]])</f>
        <v>Gonet-Sulcova</v>
      </c>
      <c r="C54" s="1178" t="s">
        <v>20284</v>
      </c>
      <c r="D54" s="1178" t="s">
        <v>884</v>
      </c>
      <c r="E54" s="1179" t="s">
        <v>20253</v>
      </c>
      <c r="F54" s="1282" t="s">
        <v>20240</v>
      </c>
      <c r="G54" s="1368">
        <v>48.5</v>
      </c>
      <c r="H54" s="1178" t="s">
        <v>20221</v>
      </c>
      <c r="I54" s="1178" t="s">
        <v>1165</v>
      </c>
      <c r="J54" s="1178" t="s">
        <v>662</v>
      </c>
      <c r="K54" s="1178" t="s">
        <v>7</v>
      </c>
      <c r="L54" s="1178"/>
      <c r="M54" s="1369"/>
      <c r="N54" s="1178"/>
      <c r="O54" s="1178">
        <v>3</v>
      </c>
      <c r="P54" s="1178">
        <v>12</v>
      </c>
    </row>
    <row r="55" spans="1:16">
      <c r="A55" s="1178" t="s">
        <v>13</v>
      </c>
      <c r="B55" s="1371" t="str">
        <f>HYPERLINK(IFERROR("#Main_Tariff!A"&amp;MATCH(Raeburn_Main_Tariff[[#This Row],[Product Code]],Main_Tariff!I:I,0),"#Main_Tariff!A"&amp;MATCH("*"&amp;RIGHT(A55,8)&amp;"*",Main_Tariff!A:A,0)),Raeburn_Main_Tariff[[#This Row],[PRODUCER]])</f>
        <v>Gonet-Sulcova</v>
      </c>
      <c r="C55" s="1178" t="s">
        <v>20285</v>
      </c>
      <c r="D55" s="1178" t="s">
        <v>884</v>
      </c>
      <c r="E55" s="1179">
        <v>2015</v>
      </c>
      <c r="F55" s="1282" t="s">
        <v>20220</v>
      </c>
      <c r="G55" s="1368">
        <v>36</v>
      </c>
      <c r="H55" s="1178" t="s">
        <v>20221</v>
      </c>
      <c r="I55" s="1178" t="s">
        <v>1169</v>
      </c>
      <c r="J55" s="1178" t="s">
        <v>662</v>
      </c>
      <c r="K55" s="1178" t="s">
        <v>7</v>
      </c>
      <c r="L55" s="1178"/>
      <c r="M55" s="1369" t="s">
        <v>23296</v>
      </c>
      <c r="N55" s="1178"/>
      <c r="O55" s="1178">
        <v>6</v>
      </c>
      <c r="P55" s="1178">
        <v>12.5</v>
      </c>
    </row>
    <row r="56" spans="1:16">
      <c r="A56" s="1178" t="s">
        <v>13</v>
      </c>
      <c r="B56" s="1371" t="str">
        <f>HYPERLINK(IFERROR("#Main_Tariff!A"&amp;MATCH(Raeburn_Main_Tariff[[#This Row],[Product Code]],Main_Tariff!I:I,0),"#Main_Tariff!A"&amp;MATCH("*"&amp;RIGHT(A56,8)&amp;"*",Main_Tariff!A:A,0)),Raeburn_Main_Tariff[[#This Row],[PRODUCER]])</f>
        <v>Gonet-Sulcova</v>
      </c>
      <c r="C56" s="1178" t="s">
        <v>20286</v>
      </c>
      <c r="D56" s="1178" t="s">
        <v>884</v>
      </c>
      <c r="E56" s="1179">
        <v>2006</v>
      </c>
      <c r="F56" s="1282" t="s">
        <v>20240</v>
      </c>
      <c r="G56" s="1368">
        <v>69.5</v>
      </c>
      <c r="H56" s="1178" t="s">
        <v>20221</v>
      </c>
      <c r="I56" s="1178" t="s">
        <v>1171</v>
      </c>
      <c r="J56" s="1178" t="s">
        <v>662</v>
      </c>
      <c r="K56" s="1178" t="s">
        <v>7</v>
      </c>
      <c r="L56" s="1178"/>
      <c r="M56" s="1369" t="s">
        <v>23296</v>
      </c>
      <c r="N56" s="1178"/>
      <c r="O56" s="1178">
        <v>3</v>
      </c>
      <c r="P56" s="1178">
        <v>12</v>
      </c>
    </row>
    <row r="57" spans="1:16">
      <c r="A57" s="1178" t="s">
        <v>13</v>
      </c>
      <c r="B57" s="1371" t="str">
        <f>HYPERLINK(IFERROR("#Main_Tariff!A"&amp;MATCH(Raeburn_Main_Tariff[[#This Row],[Product Code]],Main_Tariff!I:I,0),"#Main_Tariff!A"&amp;MATCH("*"&amp;RIGHT(A57,8)&amp;"*",Main_Tariff!A:A,0)),Raeburn_Main_Tariff[[#This Row],[PRODUCER]])</f>
        <v>Gonet-Sulcova</v>
      </c>
      <c r="C57" s="1178" t="s">
        <v>20286</v>
      </c>
      <c r="D57" s="1178" t="s">
        <v>884</v>
      </c>
      <c r="E57" s="1179">
        <v>2005</v>
      </c>
      <c r="F57" s="1282" t="s">
        <v>20240</v>
      </c>
      <c r="G57" s="1368">
        <v>72</v>
      </c>
      <c r="H57" s="1178" t="s">
        <v>20224</v>
      </c>
      <c r="I57" s="1178" t="s">
        <v>1173</v>
      </c>
      <c r="J57" s="1178" t="s">
        <v>662</v>
      </c>
      <c r="K57" s="1178" t="s">
        <v>7</v>
      </c>
      <c r="L57" s="1178"/>
      <c r="M57" s="1369" t="s">
        <v>23296</v>
      </c>
      <c r="N57" s="1178"/>
      <c r="O57" s="1178">
        <v>3</v>
      </c>
      <c r="P57" s="1178">
        <v>12</v>
      </c>
    </row>
    <row r="58" spans="1:16">
      <c r="A58" s="1178" t="s">
        <v>13</v>
      </c>
      <c r="B58" s="1371" t="str">
        <f>HYPERLINK(IFERROR("#Main_Tariff!A"&amp;MATCH(Raeburn_Main_Tariff[[#This Row],[Product Code]],Main_Tariff!I:I,0),"#Main_Tariff!A"&amp;MATCH("*"&amp;RIGHT(A58,8)&amp;"*",Main_Tariff!A:A,0)),Raeburn_Main_Tariff[[#This Row],[PRODUCER]])</f>
        <v>Gonet-Sulcova</v>
      </c>
      <c r="C58" s="1178" t="s">
        <v>20287</v>
      </c>
      <c r="D58" s="1178" t="s">
        <v>884</v>
      </c>
      <c r="E58" s="1179">
        <v>1996</v>
      </c>
      <c r="F58" s="1282" t="s">
        <v>20288</v>
      </c>
      <c r="G58" s="1368">
        <v>277</v>
      </c>
      <c r="H58" s="1178" t="s">
        <v>20224</v>
      </c>
      <c r="I58" s="1178" t="s">
        <v>1175</v>
      </c>
      <c r="J58" s="1178" t="s">
        <v>662</v>
      </c>
      <c r="K58" s="1178" t="s">
        <v>7</v>
      </c>
      <c r="L58" s="1178"/>
      <c r="M58" s="1369" t="s">
        <v>23296</v>
      </c>
      <c r="N58" s="1178"/>
      <c r="O58" s="1178">
        <v>1</v>
      </c>
      <c r="P58" s="1178">
        <v>12</v>
      </c>
    </row>
    <row r="59" spans="1:16">
      <c r="A59" s="1178" t="s">
        <v>13</v>
      </c>
      <c r="B59" s="1371" t="str">
        <f>HYPERLINK(IFERROR("#Main_Tariff!A"&amp;MATCH(Raeburn_Main_Tariff[[#This Row],[Product Code]],Main_Tariff!I:I,0),"#Main_Tariff!A"&amp;MATCH("*"&amp;RIGHT(A59,8)&amp;"*",Main_Tariff!A:A,0)),Raeburn_Main_Tariff[[#This Row],[PRODUCER]])</f>
        <v>Gonet-Sulcova</v>
      </c>
      <c r="C59" s="1178" t="s">
        <v>20289</v>
      </c>
      <c r="D59" s="1178" t="s">
        <v>884</v>
      </c>
      <c r="E59" s="1179">
        <v>2010</v>
      </c>
      <c r="F59" s="1282" t="s">
        <v>20220</v>
      </c>
      <c r="G59" s="1368">
        <v>44.5</v>
      </c>
      <c r="H59" s="1178" t="s">
        <v>20221</v>
      </c>
      <c r="I59" s="1178" t="s">
        <v>1179</v>
      </c>
      <c r="J59" s="1178" t="s">
        <v>662</v>
      </c>
      <c r="K59" s="1178" t="s">
        <v>7</v>
      </c>
      <c r="L59" s="1178" t="s">
        <v>20290</v>
      </c>
      <c r="M59" s="1369" t="s">
        <v>23296</v>
      </c>
      <c r="N59" s="1178"/>
      <c r="O59" s="1178">
        <v>6</v>
      </c>
      <c r="P59" s="1178">
        <v>12</v>
      </c>
    </row>
    <row r="60" spans="1:16">
      <c r="A60" s="1178" t="s">
        <v>13</v>
      </c>
      <c r="B60" s="1371" t="str">
        <f>HYPERLINK(IFERROR("#Main_Tariff!A"&amp;MATCH(Raeburn_Main_Tariff[[#This Row],[Product Code]],Main_Tariff!I:I,0),"#Main_Tariff!A"&amp;MATCH("*"&amp;RIGHT(A60,8)&amp;"*",Main_Tariff!A:A,0)),Raeburn_Main_Tariff[[#This Row],[PRODUCER]])</f>
        <v>Gonet-Sulcova</v>
      </c>
      <c r="C60" s="1178" t="s">
        <v>20291</v>
      </c>
      <c r="D60" s="1178" t="s">
        <v>884</v>
      </c>
      <c r="E60" s="1179">
        <v>2004</v>
      </c>
      <c r="F60" s="1282" t="s">
        <v>20240</v>
      </c>
      <c r="G60" s="1368">
        <v>102</v>
      </c>
      <c r="H60" s="1178" t="s">
        <v>20224</v>
      </c>
      <c r="I60" s="1178" t="s">
        <v>1181</v>
      </c>
      <c r="J60" s="1178" t="s">
        <v>662</v>
      </c>
      <c r="K60" s="1178" t="s">
        <v>7</v>
      </c>
      <c r="L60" s="1178" t="s">
        <v>20290</v>
      </c>
      <c r="M60" s="1369" t="s">
        <v>23296</v>
      </c>
      <c r="N60" s="1178"/>
      <c r="O60" s="1178">
        <v>12</v>
      </c>
      <c r="P60" s="1178">
        <v>12.5</v>
      </c>
    </row>
    <row r="61" spans="1:16">
      <c r="A61" s="1178" t="s">
        <v>14</v>
      </c>
      <c r="B61" s="1371" t="str">
        <f>HYPERLINK(IFERROR("#Main_Tariff!A"&amp;MATCH(Raeburn_Main_Tariff[[#This Row],[Product Code]],Main_Tariff!I:I,0),"#Main_Tariff!A"&amp;MATCH("*"&amp;RIGHT(A61,8)&amp;"*",Main_Tariff!A:A,0)),Raeburn_Main_Tariff[[#This Row],[PRODUCER]])</f>
        <v>Gyejacquot</v>
      </c>
      <c r="C61" s="1178" t="s">
        <v>20292</v>
      </c>
      <c r="D61" s="1178" t="s">
        <v>879</v>
      </c>
      <c r="E61" s="1179" t="s">
        <v>19060</v>
      </c>
      <c r="F61" s="1282" t="s">
        <v>20220</v>
      </c>
      <c r="G61" s="1368">
        <v>23</v>
      </c>
      <c r="H61" s="1178" t="s">
        <v>20221</v>
      </c>
      <c r="I61" s="1178" t="s">
        <v>1201</v>
      </c>
      <c r="J61" s="1178" t="s">
        <v>662</v>
      </c>
      <c r="K61" s="1178" t="s">
        <v>7</v>
      </c>
      <c r="L61" s="1178"/>
      <c r="M61" s="1369"/>
      <c r="N61" s="1178"/>
      <c r="O61" s="1178">
        <v>6</v>
      </c>
      <c r="P61" s="1178">
        <v>12</v>
      </c>
    </row>
    <row r="62" spans="1:16">
      <c r="A62" s="1178" t="s">
        <v>14</v>
      </c>
      <c r="B62" s="1371" t="str">
        <f>HYPERLINK(IFERROR("#Main_Tariff!A"&amp;MATCH(Raeburn_Main_Tariff[[#This Row],[Product Code]],Main_Tariff!I:I,0),"#Main_Tariff!A"&amp;MATCH("*"&amp;RIGHT(A62,8)&amp;"*",Main_Tariff!A:A,0)),Raeburn_Main_Tariff[[#This Row],[PRODUCER]])</f>
        <v>Gyejacquot</v>
      </c>
      <c r="C62" s="1178" t="s">
        <v>20293</v>
      </c>
      <c r="D62" s="1178" t="s">
        <v>879</v>
      </c>
      <c r="E62" s="1179" t="s">
        <v>19060</v>
      </c>
      <c r="F62" s="1282" t="s">
        <v>20220</v>
      </c>
      <c r="G62" s="1368">
        <v>22.5</v>
      </c>
      <c r="H62" s="1178" t="s">
        <v>20224</v>
      </c>
      <c r="I62" s="1178" t="s">
        <v>1203</v>
      </c>
      <c r="J62" s="1178" t="s">
        <v>662</v>
      </c>
      <c r="K62" s="1178" t="s">
        <v>7</v>
      </c>
      <c r="L62" s="1178"/>
      <c r="M62" s="1369"/>
      <c r="N62" s="1178"/>
      <c r="O62" s="1178">
        <v>6</v>
      </c>
      <c r="P62" s="1178">
        <v>12</v>
      </c>
    </row>
    <row r="63" spans="1:16">
      <c r="A63" s="1178" t="s">
        <v>14</v>
      </c>
      <c r="B63" s="1371" t="str">
        <f>HYPERLINK(IFERROR("#Main_Tariff!A"&amp;MATCH(Raeburn_Main_Tariff[[#This Row],[Product Code]],Main_Tariff!I:I,0),"#Main_Tariff!A"&amp;MATCH("*"&amp;RIGHT(A63,8)&amp;"*",Main_Tariff!A:A,0)),Raeburn_Main_Tariff[[#This Row],[PRODUCER]])</f>
        <v>Gyejacquot</v>
      </c>
      <c r="C63" s="1178" t="s">
        <v>20294</v>
      </c>
      <c r="D63" s="1178" t="s">
        <v>884</v>
      </c>
      <c r="E63" s="1179" t="s">
        <v>19060</v>
      </c>
      <c r="F63" s="1282" t="s">
        <v>20220</v>
      </c>
      <c r="G63" s="1368">
        <v>15</v>
      </c>
      <c r="H63" s="1178" t="s">
        <v>20277</v>
      </c>
      <c r="I63" s="1178" t="s">
        <v>1207</v>
      </c>
      <c r="J63" s="1178" t="s">
        <v>662</v>
      </c>
      <c r="K63" s="1178" t="s">
        <v>7</v>
      </c>
      <c r="L63" s="1178"/>
      <c r="M63" s="1369"/>
      <c r="N63" s="1178"/>
      <c r="O63" s="1178">
        <v>12</v>
      </c>
      <c r="P63" s="1178">
        <v>12</v>
      </c>
    </row>
    <row r="64" spans="1:16">
      <c r="A64" s="1178" t="s">
        <v>14</v>
      </c>
      <c r="B64" s="1371" t="str">
        <f>HYPERLINK(IFERROR("#Main_Tariff!A"&amp;MATCH(Raeburn_Main_Tariff[[#This Row],[Product Code]],Main_Tariff!I:I,0),"#Main_Tariff!A"&amp;MATCH("*"&amp;RIGHT(A64,8)&amp;"*",Main_Tariff!A:A,0)),Raeburn_Main_Tariff[[#This Row],[PRODUCER]])</f>
        <v>Gyejacquot</v>
      </c>
      <c r="C64" s="1178" t="s">
        <v>20295</v>
      </c>
      <c r="D64" s="1178" t="s">
        <v>884</v>
      </c>
      <c r="E64" s="1179">
        <v>2015</v>
      </c>
      <c r="F64" s="1282" t="s">
        <v>20220</v>
      </c>
      <c r="G64" s="1368">
        <v>35</v>
      </c>
      <c r="H64" s="1178" t="s">
        <v>20224</v>
      </c>
      <c r="I64" s="1178" t="s">
        <v>1209</v>
      </c>
      <c r="J64" s="1178" t="s">
        <v>662</v>
      </c>
      <c r="K64" s="1178" t="s">
        <v>7</v>
      </c>
      <c r="L64" s="1178"/>
      <c r="M64" s="1369"/>
      <c r="N64" s="1178"/>
      <c r="O64" s="1178">
        <v>6</v>
      </c>
      <c r="P64" s="1178">
        <v>13</v>
      </c>
    </row>
    <row r="65" spans="1:16">
      <c r="A65" s="1178" t="s">
        <v>14</v>
      </c>
      <c r="B65" s="1371" t="str">
        <f>HYPERLINK(IFERROR("#Main_Tariff!A"&amp;MATCH(Raeburn_Main_Tariff[[#This Row],[Product Code]],Main_Tariff!I:I,0),"#Main_Tariff!A"&amp;MATCH("*"&amp;RIGHT(A65,8)&amp;"*",Main_Tariff!A:A,0)),Raeburn_Main_Tariff[[#This Row],[PRODUCER]])</f>
        <v>Gyejacquot</v>
      </c>
      <c r="C65" s="1178" t="s">
        <v>20296</v>
      </c>
      <c r="D65" s="1178" t="s">
        <v>884</v>
      </c>
      <c r="E65" s="1179" t="s">
        <v>19060</v>
      </c>
      <c r="F65" s="1282" t="s">
        <v>20220</v>
      </c>
      <c r="G65" s="1368">
        <v>39.5</v>
      </c>
      <c r="H65" s="1178" t="s">
        <v>20224</v>
      </c>
      <c r="I65" s="1178" t="s">
        <v>1215</v>
      </c>
      <c r="J65" s="1178" t="s">
        <v>662</v>
      </c>
      <c r="K65" s="1178" t="s">
        <v>7</v>
      </c>
      <c r="L65" s="1178"/>
      <c r="M65" s="1369"/>
      <c r="N65" s="1178"/>
      <c r="O65" s="1178">
        <v>6</v>
      </c>
      <c r="P65" s="1178">
        <v>12</v>
      </c>
    </row>
    <row r="66" spans="1:16">
      <c r="A66" s="1178" t="s">
        <v>14</v>
      </c>
      <c r="B66" s="1371" t="str">
        <f>HYPERLINK(IFERROR("#Main_Tariff!A"&amp;MATCH(Raeburn_Main_Tariff[[#This Row],[Product Code]],Main_Tariff!I:I,0),"#Main_Tariff!A"&amp;MATCH("*"&amp;RIGHT(A66,8)&amp;"*",Main_Tariff!A:A,0)),Raeburn_Main_Tariff[[#This Row],[PRODUCER]])</f>
        <v>Gyejacquot</v>
      </c>
      <c r="C66" s="1178" t="s">
        <v>20297</v>
      </c>
      <c r="D66" s="1178" t="s">
        <v>884</v>
      </c>
      <c r="E66" s="1179" t="s">
        <v>19060</v>
      </c>
      <c r="F66" s="1282" t="s">
        <v>20220</v>
      </c>
      <c r="G66" s="1368">
        <v>39.5</v>
      </c>
      <c r="H66" s="1178" t="s">
        <v>20221</v>
      </c>
      <c r="I66" s="1178" t="s">
        <v>1213</v>
      </c>
      <c r="J66" s="1178" t="s">
        <v>662</v>
      </c>
      <c r="K66" s="1178" t="s">
        <v>7</v>
      </c>
      <c r="L66" s="1178"/>
      <c r="M66" s="1369"/>
      <c r="N66" s="1178"/>
      <c r="O66" s="1178">
        <v>6</v>
      </c>
      <c r="P66" s="1178">
        <v>12</v>
      </c>
    </row>
    <row r="67" spans="1:16">
      <c r="A67" s="1178" t="s">
        <v>15</v>
      </c>
      <c r="B67" s="1371" t="str">
        <f>HYPERLINK(IFERROR("#Main_Tariff!A"&amp;MATCH(Raeburn_Main_Tariff[[#This Row],[Product Code]],Main_Tariff!I:I,0),"#Main_Tariff!A"&amp;MATCH("*"&amp;RIGHT(A67,8)&amp;"*",Main_Tariff!A:A,0)),Raeburn_Main_Tariff[[#This Row],[PRODUCER]])</f>
        <v>David Leclapart</v>
      </c>
      <c r="C67" s="1178" t="s">
        <v>20298</v>
      </c>
      <c r="D67" s="1178" t="s">
        <v>884</v>
      </c>
      <c r="E67" s="1179" t="s">
        <v>20299</v>
      </c>
      <c r="F67" s="1282" t="s">
        <v>20220</v>
      </c>
      <c r="G67" s="1368">
        <v>131</v>
      </c>
      <c r="H67" s="1178" t="s">
        <v>20221</v>
      </c>
      <c r="I67" s="1178" t="s">
        <v>1234</v>
      </c>
      <c r="J67" s="1178" t="s">
        <v>662</v>
      </c>
      <c r="K67" s="1178" t="s">
        <v>7</v>
      </c>
      <c r="L67" s="1178"/>
      <c r="M67" s="1369"/>
      <c r="N67" s="1178" t="s">
        <v>20244</v>
      </c>
      <c r="O67" s="1178">
        <v>6</v>
      </c>
      <c r="P67" s="1178">
        <v>12.5</v>
      </c>
    </row>
    <row r="68" spans="1:16">
      <c r="A68" s="1178" t="s">
        <v>15</v>
      </c>
      <c r="B68" s="1371" t="str">
        <f>HYPERLINK(IFERROR("#Main_Tariff!A"&amp;MATCH(Raeburn_Main_Tariff[[#This Row],[Product Code]],Main_Tariff!I:I,0),"#Main_Tariff!A"&amp;MATCH("*"&amp;RIGHT(A68,8)&amp;"*",Main_Tariff!A:A,0)),Raeburn_Main_Tariff[[#This Row],[PRODUCER]])</f>
        <v>David Leclapart</v>
      </c>
      <c r="C68" s="1178" t="s">
        <v>20300</v>
      </c>
      <c r="D68" s="1178" t="s">
        <v>1129</v>
      </c>
      <c r="E68" s="1179" t="s">
        <v>20301</v>
      </c>
      <c r="F68" s="1282" t="s">
        <v>20220</v>
      </c>
      <c r="G68" s="1368">
        <v>79</v>
      </c>
      <c r="H68" s="1178" t="s">
        <v>20224</v>
      </c>
      <c r="I68" s="1178" t="s">
        <v>1237</v>
      </c>
      <c r="J68" s="1178" t="s">
        <v>662</v>
      </c>
      <c r="K68" s="1178" t="s">
        <v>7</v>
      </c>
      <c r="L68" s="1178" t="s">
        <v>20274</v>
      </c>
      <c r="M68" s="1369"/>
      <c r="N68" s="1178" t="s">
        <v>20244</v>
      </c>
      <c r="O68" s="1178">
        <v>6</v>
      </c>
      <c r="P68" s="1178">
        <v>11.5</v>
      </c>
    </row>
    <row r="69" spans="1:16">
      <c r="A69" s="1178" t="s">
        <v>16</v>
      </c>
      <c r="B69" s="1371" t="str">
        <f>HYPERLINK(IFERROR("#Main_Tariff!A"&amp;MATCH(Raeburn_Main_Tariff[[#This Row],[Product Code]],Main_Tariff!I:I,0),"#Main_Tariff!A"&amp;MATCH("*"&amp;RIGHT(A69,8)&amp;"*",Main_Tariff!A:A,0)),Raeburn_Main_Tariff[[#This Row],[PRODUCER]])</f>
        <v>Lilbert &amp; Fils</v>
      </c>
      <c r="C69" s="1178" t="s">
        <v>20302</v>
      </c>
      <c r="D69" s="1178" t="s">
        <v>884</v>
      </c>
      <c r="E69" s="1179" t="s">
        <v>19060</v>
      </c>
      <c r="F69" s="1282" t="s">
        <v>20240</v>
      </c>
      <c r="G69" s="1368">
        <v>67</v>
      </c>
      <c r="H69" s="1178" t="s">
        <v>20224</v>
      </c>
      <c r="I69" s="1178" t="s">
        <v>1248</v>
      </c>
      <c r="J69" s="1178" t="s">
        <v>662</v>
      </c>
      <c r="K69" s="1178" t="s">
        <v>7</v>
      </c>
      <c r="L69" s="1178"/>
      <c r="M69" s="1369" t="s">
        <v>23296</v>
      </c>
      <c r="N69" s="1178"/>
      <c r="O69" s="1178">
        <v>3</v>
      </c>
      <c r="P69" s="1178">
        <v>12</v>
      </c>
    </row>
    <row r="70" spans="1:16">
      <c r="A70" s="1178" t="s">
        <v>16</v>
      </c>
      <c r="B70" s="1371" t="str">
        <f>HYPERLINK(IFERROR("#Main_Tariff!A"&amp;MATCH(Raeburn_Main_Tariff[[#This Row],[Product Code]],Main_Tariff!I:I,0),"#Main_Tariff!A"&amp;MATCH("*"&amp;RIGHT(A70,8)&amp;"*",Main_Tariff!A:A,0)),Raeburn_Main_Tariff[[#This Row],[PRODUCER]])</f>
        <v>Lilbert &amp; Fils</v>
      </c>
      <c r="C70" s="1178" t="s">
        <v>20303</v>
      </c>
      <c r="D70" s="1178" t="s">
        <v>884</v>
      </c>
      <c r="E70" s="1179" t="s">
        <v>19060</v>
      </c>
      <c r="F70" s="1282" t="s">
        <v>20220</v>
      </c>
      <c r="G70" s="1368">
        <v>37.5</v>
      </c>
      <c r="H70" s="1178" t="s">
        <v>20221</v>
      </c>
      <c r="I70" s="1178" t="s">
        <v>1250</v>
      </c>
      <c r="J70" s="1178" t="s">
        <v>662</v>
      </c>
      <c r="K70" s="1178" t="s">
        <v>7</v>
      </c>
      <c r="L70" s="1178"/>
      <c r="M70" s="1369" t="s">
        <v>23296</v>
      </c>
      <c r="N70" s="1178"/>
      <c r="O70" s="1178">
        <v>6</v>
      </c>
      <c r="P70" s="1178">
        <v>12</v>
      </c>
    </row>
    <row r="71" spans="1:16">
      <c r="A71" s="1178" t="s">
        <v>20304</v>
      </c>
      <c r="B71" s="1371" t="str">
        <f>HYPERLINK(IFERROR("#Main_Tariff!A"&amp;MATCH(Raeburn_Main_Tariff[[#This Row],[Product Code]],Main_Tariff!I:I,0),"#Main_Tariff!A"&amp;MATCH("*"&amp;RIGHT(A71,8)&amp;"*",Main_Tariff!A:A,0)),Raeburn_Main_Tariff[[#This Row],[PRODUCER]])</f>
        <v>La Parcelle, Champagne Chevreux Bournazel</v>
      </c>
      <c r="C71" s="1178" t="s">
        <v>20305</v>
      </c>
      <c r="D71" s="1178" t="s">
        <v>884</v>
      </c>
      <c r="E71" s="1179">
        <v>2019</v>
      </c>
      <c r="F71" s="1282" t="s">
        <v>20220</v>
      </c>
      <c r="G71" s="1368">
        <v>64.5</v>
      </c>
      <c r="H71" s="1178" t="s">
        <v>20221</v>
      </c>
      <c r="I71" s="1178" t="s">
        <v>1260</v>
      </c>
      <c r="J71" s="1178" t="s">
        <v>662</v>
      </c>
      <c r="K71" s="1178" t="s">
        <v>7</v>
      </c>
      <c r="L71" s="1178"/>
      <c r="M71" s="1369"/>
      <c r="N71" s="1178"/>
      <c r="O71" s="1178">
        <v>6</v>
      </c>
      <c r="P71" s="1178">
        <v>13</v>
      </c>
    </row>
    <row r="72" spans="1:16">
      <c r="A72" s="1178" t="s">
        <v>20304</v>
      </c>
      <c r="B72" s="1371" t="str">
        <f>HYPERLINK(IFERROR("#Main_Tariff!A"&amp;MATCH(Raeburn_Main_Tariff[[#This Row],[Product Code]],Main_Tariff!I:I,0),"#Main_Tariff!A"&amp;MATCH("*"&amp;RIGHT(A72,8)&amp;"*",Main_Tariff!A:A,0)),Raeburn_Main_Tariff[[#This Row],[PRODUCER]])</f>
        <v>La Parcelle, Champagne Chevreux Bournazel</v>
      </c>
      <c r="C72" s="1178" t="s">
        <v>20306</v>
      </c>
      <c r="D72" s="1178" t="s">
        <v>884</v>
      </c>
      <c r="E72" s="1179">
        <v>2020</v>
      </c>
      <c r="F72" s="1282" t="s">
        <v>20220</v>
      </c>
      <c r="G72" s="1368">
        <v>78.5</v>
      </c>
      <c r="H72" s="1178" t="s">
        <v>20221</v>
      </c>
      <c r="I72" s="1178" t="s">
        <v>1262</v>
      </c>
      <c r="J72" s="1178" t="s">
        <v>662</v>
      </c>
      <c r="K72" s="1178" t="s">
        <v>7</v>
      </c>
      <c r="L72" s="1178"/>
      <c r="M72" s="1369"/>
      <c r="N72" s="1178"/>
      <c r="O72" s="1178">
        <v>6</v>
      </c>
      <c r="P72" s="1178">
        <v>12.5</v>
      </c>
    </row>
    <row r="73" spans="1:16">
      <c r="A73" s="1178" t="s">
        <v>20304</v>
      </c>
      <c r="B73" s="1371" t="str">
        <f>HYPERLINK(IFERROR("#Main_Tariff!A"&amp;MATCH(Raeburn_Main_Tariff[[#This Row],[Product Code]],Main_Tariff!I:I,0),"#Main_Tariff!A"&amp;MATCH("*"&amp;RIGHT(A73,8)&amp;"*",Main_Tariff!A:A,0)),Raeburn_Main_Tariff[[#This Row],[PRODUCER]])</f>
        <v>La Parcelle, Champagne Chevreux Bournazel</v>
      </c>
      <c r="C73" s="1178" t="s">
        <v>20307</v>
      </c>
      <c r="D73" s="1178" t="s">
        <v>884</v>
      </c>
      <c r="E73" s="1179">
        <v>2020</v>
      </c>
      <c r="F73" s="1282" t="s">
        <v>20220</v>
      </c>
      <c r="G73" s="1368">
        <v>86.5</v>
      </c>
      <c r="H73" s="1178" t="s">
        <v>20224</v>
      </c>
      <c r="I73" s="1178" t="s">
        <v>1264</v>
      </c>
      <c r="J73" s="1178" t="s">
        <v>662</v>
      </c>
      <c r="K73" s="1178" t="s">
        <v>7</v>
      </c>
      <c r="L73" s="1178"/>
      <c r="M73" s="1369"/>
      <c r="N73" s="1178" t="s">
        <v>20244</v>
      </c>
      <c r="O73" s="1178">
        <v>6</v>
      </c>
      <c r="P73" s="1178">
        <v>13</v>
      </c>
    </row>
    <row r="74" spans="1:16">
      <c r="A74" s="1178" t="s">
        <v>20304</v>
      </c>
      <c r="B74" s="1371" t="str">
        <f>HYPERLINK(IFERROR("#Main_Tariff!A"&amp;MATCH(Raeburn_Main_Tariff[[#This Row],[Product Code]],Main_Tariff!I:I,0),"#Main_Tariff!A"&amp;MATCH("*"&amp;RIGHT(A74,8)&amp;"*",Main_Tariff!A:A,0)),Raeburn_Main_Tariff[[#This Row],[PRODUCER]])</f>
        <v>La Parcelle, Champagne Chevreux Bournazel</v>
      </c>
      <c r="C74" s="1178" t="s">
        <v>20308</v>
      </c>
      <c r="D74" s="1178" t="s">
        <v>884</v>
      </c>
      <c r="E74" s="1179">
        <v>2017</v>
      </c>
      <c r="F74" s="1282" t="s">
        <v>20220</v>
      </c>
      <c r="G74" s="1368">
        <v>109.5</v>
      </c>
      <c r="H74" s="1178" t="s">
        <v>20224</v>
      </c>
      <c r="I74" s="1178" t="s">
        <v>1266</v>
      </c>
      <c r="J74" s="1178" t="s">
        <v>662</v>
      </c>
      <c r="K74" s="1178" t="s">
        <v>7</v>
      </c>
      <c r="L74" s="1178" t="s">
        <v>20309</v>
      </c>
      <c r="M74" s="1369"/>
      <c r="N74" s="1178"/>
      <c r="O74" s="1178">
        <v>6</v>
      </c>
      <c r="P74" s="1178">
        <v>12</v>
      </c>
    </row>
    <row r="75" spans="1:16">
      <c r="A75" s="1178" t="s">
        <v>20304</v>
      </c>
      <c r="B75" s="1371" t="str">
        <f>HYPERLINK(IFERROR("#Main_Tariff!A"&amp;MATCH(Raeburn_Main_Tariff[[#This Row],[Product Code]],Main_Tariff!I:I,0),"#Main_Tariff!A"&amp;MATCH("*"&amp;RIGHT(A75,8)&amp;"*",Main_Tariff!A:A,0)),Raeburn_Main_Tariff[[#This Row],[PRODUCER]])</f>
        <v>La Parcelle, Champagne Chevreux Bournazel</v>
      </c>
      <c r="C75" s="1178" t="s">
        <v>20310</v>
      </c>
      <c r="D75" s="1178" t="s">
        <v>884</v>
      </c>
      <c r="E75" s="1179">
        <v>2019</v>
      </c>
      <c r="F75" s="1282" t="s">
        <v>20240</v>
      </c>
      <c r="G75" s="1368">
        <v>158</v>
      </c>
      <c r="H75" s="1178" t="s">
        <v>20224</v>
      </c>
      <c r="I75" s="1178" t="s">
        <v>1270</v>
      </c>
      <c r="J75" s="1178" t="s">
        <v>662</v>
      </c>
      <c r="K75" s="1178" t="s">
        <v>7</v>
      </c>
      <c r="L75" s="1178"/>
      <c r="M75" s="1369"/>
      <c r="N75" s="1178"/>
      <c r="O75" s="1178">
        <v>1</v>
      </c>
      <c r="P75" s="1178">
        <v>13</v>
      </c>
    </row>
    <row r="76" spans="1:16">
      <c r="A76" s="1178" t="s">
        <v>20304</v>
      </c>
      <c r="B76" s="1371" t="str">
        <f>HYPERLINK(IFERROR("#Main_Tariff!A"&amp;MATCH(Raeburn_Main_Tariff[[#This Row],[Product Code]],Main_Tariff!I:I,0),"#Main_Tariff!A"&amp;MATCH("*"&amp;RIGHT(A76,8)&amp;"*",Main_Tariff!A:A,0)),Raeburn_Main_Tariff[[#This Row],[PRODUCER]])</f>
        <v>La Parcelle, Champagne Chevreux Bournazel</v>
      </c>
      <c r="C76" s="1178" t="s">
        <v>20310</v>
      </c>
      <c r="D76" s="1178" t="s">
        <v>884</v>
      </c>
      <c r="E76" s="1179">
        <v>2018</v>
      </c>
      <c r="F76" s="1282" t="s">
        <v>20240</v>
      </c>
      <c r="G76" s="1368">
        <v>158</v>
      </c>
      <c r="H76" s="1178" t="s">
        <v>20224</v>
      </c>
      <c r="I76" s="1178" t="s">
        <v>1272</v>
      </c>
      <c r="J76" s="1178" t="s">
        <v>662</v>
      </c>
      <c r="K76" s="1178" t="s">
        <v>7</v>
      </c>
      <c r="L76" s="1178" t="s">
        <v>20309</v>
      </c>
      <c r="M76" s="1369"/>
      <c r="N76" s="1178"/>
      <c r="O76" s="1178">
        <v>1</v>
      </c>
      <c r="P76" s="1178">
        <v>12</v>
      </c>
    </row>
    <row r="77" spans="1:16">
      <c r="A77" s="1178" t="s">
        <v>20304</v>
      </c>
      <c r="B77" s="1371" t="str">
        <f>HYPERLINK(IFERROR("#Main_Tariff!A"&amp;MATCH(Raeburn_Main_Tariff[[#This Row],[Product Code]],Main_Tariff!I:I,0),"#Main_Tariff!A"&amp;MATCH("*"&amp;RIGHT(A77,8)&amp;"*",Main_Tariff!A:A,0)),Raeburn_Main_Tariff[[#This Row],[PRODUCER]])</f>
        <v>La Parcelle, Champagne Chevreux Bournazel</v>
      </c>
      <c r="C77" s="1178" t="s">
        <v>20311</v>
      </c>
      <c r="D77" s="1178" t="s">
        <v>1129</v>
      </c>
      <c r="E77" s="1179">
        <v>2020</v>
      </c>
      <c r="F77" s="1282" t="s">
        <v>20220</v>
      </c>
      <c r="G77" s="1368">
        <v>68</v>
      </c>
      <c r="H77" s="1178" t="s">
        <v>20224</v>
      </c>
      <c r="I77" s="1178" t="s">
        <v>1276</v>
      </c>
      <c r="J77" s="1178" t="s">
        <v>662</v>
      </c>
      <c r="K77" s="1178" t="s">
        <v>7</v>
      </c>
      <c r="L77" s="1178" t="s">
        <v>20274</v>
      </c>
      <c r="M77" s="1369"/>
      <c r="N77" s="1178" t="s">
        <v>20244</v>
      </c>
      <c r="O77" s="1178">
        <v>6</v>
      </c>
      <c r="P77" s="1178">
        <v>12</v>
      </c>
    </row>
    <row r="78" spans="1:16">
      <c r="A78" s="1178" t="s">
        <v>20304</v>
      </c>
      <c r="B78" s="1371" t="str">
        <f>HYPERLINK(IFERROR("#Main_Tariff!A"&amp;MATCH(Raeburn_Main_Tariff[[#This Row],[Product Code]],Main_Tariff!I:I,0),"#Main_Tariff!A"&amp;MATCH("*"&amp;RIGHT(A78,8)&amp;"*",Main_Tariff!A:A,0)),Raeburn_Main_Tariff[[#This Row],[PRODUCER]])</f>
        <v>La Parcelle, Champagne Chevreux Bournazel</v>
      </c>
      <c r="C78" s="1178" t="s">
        <v>20312</v>
      </c>
      <c r="D78" s="1178" t="s">
        <v>1280</v>
      </c>
      <c r="E78" s="1179" t="s">
        <v>20253</v>
      </c>
      <c r="F78" s="1282" t="s">
        <v>20313</v>
      </c>
      <c r="G78" s="1368">
        <v>36.5</v>
      </c>
      <c r="H78" s="1178" t="s">
        <v>20277</v>
      </c>
      <c r="I78" s="1178" t="s">
        <v>1281</v>
      </c>
      <c r="J78" s="1178" t="s">
        <v>662</v>
      </c>
      <c r="K78" s="1178" t="s">
        <v>7</v>
      </c>
      <c r="L78" s="1178"/>
      <c r="M78" s="1369"/>
      <c r="N78" s="1178"/>
      <c r="O78" s="1178">
        <v>8</v>
      </c>
      <c r="P78" s="1178">
        <v>18</v>
      </c>
    </row>
    <row r="79" spans="1:16">
      <c r="A79" s="1178" t="s">
        <v>20314</v>
      </c>
      <c r="B79" s="1371" t="str">
        <f>HYPERLINK(IFERROR("#Main_Tariff!A"&amp;MATCH(Raeburn_Main_Tariff[[#This Row],[Product Code]],Main_Tariff!I:I,0),"#Main_Tariff!A"&amp;MATCH("*"&amp;RIGHT(A79,8)&amp;"*",Main_Tariff!A:A,0)),Raeburn_Main_Tariff[[#This Row],[PRODUCER]])</f>
        <v>Cedric Guyot Les Vertus d'Élise</v>
      </c>
      <c r="C79" s="1178" t="s">
        <v>20315</v>
      </c>
      <c r="D79" s="1178" t="s">
        <v>884</v>
      </c>
      <c r="E79" s="1179">
        <v>2003</v>
      </c>
      <c r="F79" s="1282" t="s">
        <v>20220</v>
      </c>
      <c r="G79" s="1368">
        <v>39.5</v>
      </c>
      <c r="H79" s="1178" t="s">
        <v>20221</v>
      </c>
      <c r="I79" s="1178" t="s">
        <v>1332</v>
      </c>
      <c r="J79" s="1178" t="s">
        <v>662</v>
      </c>
      <c r="K79" s="1178" t="s">
        <v>7</v>
      </c>
      <c r="L79" s="1178"/>
      <c r="M79" s="1369" t="s">
        <v>23297</v>
      </c>
      <c r="N79" s="1178"/>
      <c r="O79" s="1178">
        <v>6</v>
      </c>
      <c r="P79" s="1178">
        <v>12</v>
      </c>
    </row>
    <row r="80" spans="1:16">
      <c r="A80" s="1178" t="s">
        <v>20316</v>
      </c>
      <c r="B80" s="1371" t="str">
        <f>HYPERLINK(IFERROR("#Main_Tariff!A"&amp;MATCH(Raeburn_Main_Tariff[[#This Row],[Product Code]],Main_Tariff!I:I,0),"#Main_Tariff!A"&amp;MATCH("*"&amp;RIGHT(A80,8)&amp;"*",Main_Tariff!A:A,0)),Raeburn_Main_Tariff[[#This Row],[PRODUCER]])</f>
        <v>Lanson</v>
      </c>
      <c r="C80" s="1178" t="s">
        <v>20317</v>
      </c>
      <c r="D80" s="1178" t="s">
        <v>884</v>
      </c>
      <c r="E80" s="1179">
        <v>2009</v>
      </c>
      <c r="F80" s="1282" t="s">
        <v>20220</v>
      </c>
      <c r="G80" s="1368">
        <v>161.5</v>
      </c>
      <c r="H80" s="1178" t="s">
        <v>20221</v>
      </c>
      <c r="I80" s="1178" t="s">
        <v>1338</v>
      </c>
      <c r="J80" s="1178" t="s">
        <v>662</v>
      </c>
      <c r="K80" s="1178" t="s">
        <v>7</v>
      </c>
      <c r="L80" s="1178"/>
      <c r="M80" s="1369"/>
      <c r="N80" s="1178"/>
      <c r="O80" s="1178">
        <v>1</v>
      </c>
      <c r="P80" s="1178">
        <v>12</v>
      </c>
    </row>
    <row r="81" spans="1:16">
      <c r="A81" s="1178" t="s">
        <v>20316</v>
      </c>
      <c r="B81" s="1371" t="str">
        <f>HYPERLINK(IFERROR("#Main_Tariff!A"&amp;MATCH(Raeburn_Main_Tariff[[#This Row],[Product Code]],Main_Tariff!I:I,0),"#Main_Tariff!A"&amp;MATCH("*"&amp;RIGHT(A81,8)&amp;"*",Main_Tariff!A:A,0)),Raeburn_Main_Tariff[[#This Row],[PRODUCER]])</f>
        <v>Lanson</v>
      </c>
      <c r="C81" s="1178" t="s">
        <v>20318</v>
      </c>
      <c r="D81" s="1178" t="s">
        <v>884</v>
      </c>
      <c r="E81" s="1179">
        <v>2009</v>
      </c>
      <c r="F81" s="1282" t="s">
        <v>20240</v>
      </c>
      <c r="G81" s="1368">
        <v>399.5</v>
      </c>
      <c r="H81" s="1178" t="s">
        <v>20224</v>
      </c>
      <c r="I81" s="1178" t="s">
        <v>1340</v>
      </c>
      <c r="J81" s="1178" t="s">
        <v>662</v>
      </c>
      <c r="K81" s="1178" t="s">
        <v>7</v>
      </c>
      <c r="L81" s="1178"/>
      <c r="M81" s="1369"/>
      <c r="N81" s="1178"/>
      <c r="O81" s="1178">
        <v>1</v>
      </c>
      <c r="P81" s="1178">
        <v>12</v>
      </c>
    </row>
    <row r="82" spans="1:16">
      <c r="A82" s="1178" t="s">
        <v>20319</v>
      </c>
      <c r="B82" s="1371" t="str">
        <f>HYPERLINK(IFERROR("#Main_Tariff!A"&amp;MATCH(Raeburn_Main_Tariff[[#This Row],[Product Code]],Main_Tariff!I:I,0),"#Main_Tariff!A"&amp;MATCH("*"&amp;RIGHT(A82,8)&amp;"*",Main_Tariff!A:A,0)),Raeburn_Main_Tariff[[#This Row],[PRODUCER]])</f>
        <v>Kirrenbourg</v>
      </c>
      <c r="C82" s="1178" t="s">
        <v>20320</v>
      </c>
      <c r="D82" s="1178" t="s">
        <v>1129</v>
      </c>
      <c r="E82" s="1179">
        <v>2017</v>
      </c>
      <c r="F82" s="1282" t="s">
        <v>20220</v>
      </c>
      <c r="G82" s="1368">
        <v>16</v>
      </c>
      <c r="H82" s="1178" t="s">
        <v>20221</v>
      </c>
      <c r="I82" s="1178" t="s">
        <v>1354</v>
      </c>
      <c r="J82" s="1178" t="s">
        <v>662</v>
      </c>
      <c r="K82" s="1178" t="s">
        <v>20</v>
      </c>
      <c r="L82" s="1178"/>
      <c r="M82" s="1369"/>
      <c r="N82" s="1178"/>
      <c r="O82" s="1178">
        <v>6</v>
      </c>
      <c r="P82" s="1178">
        <v>12</v>
      </c>
    </row>
    <row r="83" spans="1:16">
      <c r="A83" s="1178" t="s">
        <v>20319</v>
      </c>
      <c r="B83" s="1371" t="str">
        <f>HYPERLINK(IFERROR("#Main_Tariff!A"&amp;MATCH(Raeburn_Main_Tariff[[#This Row],[Product Code]],Main_Tariff!I:I,0),"#Main_Tariff!A"&amp;MATCH("*"&amp;RIGHT(A83,8)&amp;"*",Main_Tariff!A:A,0)),Raeburn_Main_Tariff[[#This Row],[PRODUCER]])</f>
        <v>Kirrenbourg</v>
      </c>
      <c r="C83" s="1178" t="s">
        <v>20321</v>
      </c>
      <c r="D83" s="1178" t="s">
        <v>1129</v>
      </c>
      <c r="E83" s="1179"/>
      <c r="F83" s="1282" t="s">
        <v>20220</v>
      </c>
      <c r="G83" s="1368"/>
      <c r="H83" s="1178" t="s">
        <v>3907</v>
      </c>
      <c r="I83" s="1178" t="s">
        <v>1356</v>
      </c>
      <c r="J83" s="1178" t="s">
        <v>662</v>
      </c>
      <c r="K83" s="1178" t="s">
        <v>20</v>
      </c>
      <c r="L83" s="1178"/>
      <c r="M83" s="1369"/>
      <c r="N83" s="1178" t="s">
        <v>20244</v>
      </c>
      <c r="O83" s="1178">
        <v>6</v>
      </c>
      <c r="P83" s="1178">
        <v>12.5</v>
      </c>
    </row>
    <row r="84" spans="1:16">
      <c r="A84" s="1178" t="s">
        <v>20319</v>
      </c>
      <c r="B84" s="1371" t="str">
        <f>HYPERLINK(IFERROR("#Main_Tariff!A"&amp;MATCH(Raeburn_Main_Tariff[[#This Row],[Product Code]],Main_Tariff!I:I,0),"#Main_Tariff!A"&amp;MATCH("*"&amp;RIGHT(A84,8)&amp;"*",Main_Tariff!A:A,0)),Raeburn_Main_Tariff[[#This Row],[PRODUCER]])</f>
        <v>Kirrenbourg</v>
      </c>
      <c r="C84" s="1178" t="s">
        <v>20322</v>
      </c>
      <c r="D84" s="1178" t="s">
        <v>1129</v>
      </c>
      <c r="E84" s="1179">
        <v>2023</v>
      </c>
      <c r="F84" s="1282" t="s">
        <v>20220</v>
      </c>
      <c r="G84" s="1368">
        <v>19.95</v>
      </c>
      <c r="H84" s="1178" t="s">
        <v>20221</v>
      </c>
      <c r="I84" s="1178" t="s">
        <v>1358</v>
      </c>
      <c r="J84" s="1178" t="s">
        <v>662</v>
      </c>
      <c r="K84" s="1178" t="s">
        <v>20</v>
      </c>
      <c r="L84" s="1178"/>
      <c r="M84" s="1369"/>
      <c r="N84" s="1178" t="s">
        <v>20244</v>
      </c>
      <c r="O84" s="1178">
        <v>6</v>
      </c>
      <c r="P84" s="1178">
        <v>11.5</v>
      </c>
    </row>
    <row r="85" spans="1:16">
      <c r="A85" s="1178" t="s">
        <v>20319</v>
      </c>
      <c r="B85" s="1371" t="str">
        <f>HYPERLINK(IFERROR("#Main_Tariff!A"&amp;MATCH(Raeburn_Main_Tariff[[#This Row],[Product Code]],Main_Tariff!I:I,0),"#Main_Tariff!A"&amp;MATCH("*"&amp;RIGHT(A85,8)&amp;"*",Main_Tariff!A:A,0)),Raeburn_Main_Tariff[[#This Row],[PRODUCER]])</f>
        <v>Kirrenbourg</v>
      </c>
      <c r="C85" s="1178" t="s">
        <v>20323</v>
      </c>
      <c r="D85" s="1178" t="s">
        <v>1129</v>
      </c>
      <c r="E85" s="1179">
        <v>2018</v>
      </c>
      <c r="F85" s="1282" t="s">
        <v>20220</v>
      </c>
      <c r="G85" s="1368">
        <v>21.5</v>
      </c>
      <c r="H85" s="1178" t="s">
        <v>20221</v>
      </c>
      <c r="I85" s="1178" t="s">
        <v>1360</v>
      </c>
      <c r="J85" s="1178" t="s">
        <v>662</v>
      </c>
      <c r="K85" s="1178" t="s">
        <v>20</v>
      </c>
      <c r="L85" s="1178"/>
      <c r="M85" s="1369"/>
      <c r="N85" s="1178" t="s">
        <v>20244</v>
      </c>
      <c r="O85" s="1178">
        <v>6</v>
      </c>
      <c r="P85" s="1178">
        <v>13.5</v>
      </c>
    </row>
    <row r="86" spans="1:16">
      <c r="A86" s="1178" t="s">
        <v>20319</v>
      </c>
      <c r="B86" s="1371" t="str">
        <f>HYPERLINK(IFERROR("#Main_Tariff!A"&amp;MATCH(Raeburn_Main_Tariff[[#This Row],[Product Code]],Main_Tariff!I:I,0),"#Main_Tariff!A"&amp;MATCH("*"&amp;RIGHT(A86,8)&amp;"*",Main_Tariff!A:A,0)),Raeburn_Main_Tariff[[#This Row],[PRODUCER]])</f>
        <v>Kirrenbourg</v>
      </c>
      <c r="C86" s="1178" t="s">
        <v>20324</v>
      </c>
      <c r="D86" s="1178" t="s">
        <v>1129</v>
      </c>
      <c r="E86" s="1179">
        <v>2019</v>
      </c>
      <c r="F86" s="1282" t="s">
        <v>20220</v>
      </c>
      <c r="G86" s="1368">
        <v>22.5</v>
      </c>
      <c r="H86" s="1178" t="s">
        <v>20221</v>
      </c>
      <c r="I86" s="1178" t="s">
        <v>1362</v>
      </c>
      <c r="J86" s="1178" t="s">
        <v>662</v>
      </c>
      <c r="K86" s="1178" t="s">
        <v>20</v>
      </c>
      <c r="L86" s="1178"/>
      <c r="M86" s="1369"/>
      <c r="N86" s="1178" t="s">
        <v>20244</v>
      </c>
      <c r="O86" s="1178">
        <v>6</v>
      </c>
      <c r="P86" s="1178">
        <v>14</v>
      </c>
    </row>
    <row r="87" spans="1:16">
      <c r="A87" s="1178" t="s">
        <v>20319</v>
      </c>
      <c r="B87" s="1371" t="str">
        <f>HYPERLINK(IFERROR("#Main_Tariff!A"&amp;MATCH(Raeburn_Main_Tariff[[#This Row],[Product Code]],Main_Tariff!I:I,0),"#Main_Tariff!A"&amp;MATCH("*"&amp;RIGHT(A87,8)&amp;"*",Main_Tariff!A:A,0)),Raeburn_Main_Tariff[[#This Row],[PRODUCER]])</f>
        <v>Kirrenbourg</v>
      </c>
      <c r="C87" s="1178" t="s">
        <v>20325</v>
      </c>
      <c r="D87" s="1178" t="s">
        <v>1129</v>
      </c>
      <c r="E87" s="1179">
        <v>2019</v>
      </c>
      <c r="F87" s="1282" t="s">
        <v>20220</v>
      </c>
      <c r="G87" s="1368">
        <v>22.5</v>
      </c>
      <c r="H87" s="1178" t="s">
        <v>20221</v>
      </c>
      <c r="I87" s="1178" t="s">
        <v>1366</v>
      </c>
      <c r="J87" s="1178" t="s">
        <v>662</v>
      </c>
      <c r="K87" s="1178" t="s">
        <v>20</v>
      </c>
      <c r="L87" s="1178"/>
      <c r="M87" s="1369"/>
      <c r="N87" s="1178"/>
      <c r="O87" s="1178">
        <v>6</v>
      </c>
      <c r="P87" s="1178">
        <v>14</v>
      </c>
    </row>
    <row r="88" spans="1:16">
      <c r="A88" s="1178" t="s">
        <v>20319</v>
      </c>
      <c r="B88" s="1371" t="str">
        <f>HYPERLINK(IFERROR("#Main_Tariff!A"&amp;MATCH(Raeburn_Main_Tariff[[#This Row],[Product Code]],Main_Tariff!I:I,0),"#Main_Tariff!A"&amp;MATCH("*"&amp;RIGHT(A88,8)&amp;"*",Main_Tariff!A:A,0)),Raeburn_Main_Tariff[[#This Row],[PRODUCER]])</f>
        <v>Kirrenbourg</v>
      </c>
      <c r="C88" s="1178" t="s">
        <v>20326</v>
      </c>
      <c r="D88" s="1178" t="s">
        <v>1129</v>
      </c>
      <c r="E88" s="1179">
        <v>2015</v>
      </c>
      <c r="F88" s="1282" t="s">
        <v>20220</v>
      </c>
      <c r="G88" s="1368">
        <v>22.5</v>
      </c>
      <c r="H88" s="1178" t="s">
        <v>20221</v>
      </c>
      <c r="I88" s="1178" t="s">
        <v>1364</v>
      </c>
      <c r="J88" s="1178" t="s">
        <v>662</v>
      </c>
      <c r="K88" s="1178" t="s">
        <v>20</v>
      </c>
      <c r="L88" s="1178"/>
      <c r="M88" s="1369"/>
      <c r="N88" s="1178"/>
      <c r="O88" s="1178">
        <v>6</v>
      </c>
      <c r="P88" s="1178">
        <v>14.5</v>
      </c>
    </row>
    <row r="89" spans="1:16">
      <c r="A89" s="1178" t="s">
        <v>20319</v>
      </c>
      <c r="B89" s="1371" t="str">
        <f>HYPERLINK(IFERROR("#Main_Tariff!A"&amp;MATCH(Raeburn_Main_Tariff[[#This Row],[Product Code]],Main_Tariff!I:I,0),"#Main_Tariff!A"&amp;MATCH("*"&amp;RIGHT(A89,8)&amp;"*",Main_Tariff!A:A,0)),Raeburn_Main_Tariff[[#This Row],[PRODUCER]])</f>
        <v>Kirrenbourg</v>
      </c>
      <c r="C89" s="1178" t="s">
        <v>20327</v>
      </c>
      <c r="D89" s="1178" t="s">
        <v>1370</v>
      </c>
      <c r="E89" s="1179">
        <v>2019</v>
      </c>
      <c r="F89" s="1282" t="s">
        <v>20220</v>
      </c>
      <c r="G89" s="1368">
        <v>24.5</v>
      </c>
      <c r="H89" s="1178" t="s">
        <v>20221</v>
      </c>
      <c r="I89" s="1178" t="s">
        <v>1371</v>
      </c>
      <c r="J89" s="1178" t="s">
        <v>662</v>
      </c>
      <c r="K89" s="1178" t="s">
        <v>20</v>
      </c>
      <c r="L89" s="1178"/>
      <c r="M89" s="1369"/>
      <c r="N89" s="1178" t="s">
        <v>20244</v>
      </c>
      <c r="O89" s="1178">
        <v>6</v>
      </c>
      <c r="P89" s="1178">
        <v>12.5</v>
      </c>
    </row>
    <row r="90" spans="1:16">
      <c r="A90" s="1178" t="s">
        <v>20319</v>
      </c>
      <c r="B90" s="1371" t="str">
        <f>HYPERLINK(IFERROR("#Main_Tariff!A"&amp;MATCH(Raeburn_Main_Tariff[[#This Row],[Product Code]],Main_Tariff!I:I,0),"#Main_Tariff!A"&amp;MATCH("*"&amp;RIGHT(A90,8)&amp;"*",Main_Tariff!A:A,0)),Raeburn_Main_Tariff[[#This Row],[PRODUCER]])</f>
        <v>Kirrenbourg</v>
      </c>
      <c r="C90" s="1178" t="s">
        <v>20328</v>
      </c>
      <c r="D90" s="1178" t="s">
        <v>1129</v>
      </c>
      <c r="E90" s="1179">
        <v>2016</v>
      </c>
      <c r="F90" s="1282" t="s">
        <v>20220</v>
      </c>
      <c r="G90" s="1368">
        <v>27</v>
      </c>
      <c r="H90" s="1178" t="s">
        <v>20221</v>
      </c>
      <c r="I90" s="1178" t="s">
        <v>1375</v>
      </c>
      <c r="J90" s="1178" t="s">
        <v>662</v>
      </c>
      <c r="K90" s="1178" t="s">
        <v>20</v>
      </c>
      <c r="L90" s="1178"/>
      <c r="M90" s="1369" t="s">
        <v>23296</v>
      </c>
      <c r="N90" s="1178" t="s">
        <v>20244</v>
      </c>
      <c r="O90" s="1178">
        <v>6</v>
      </c>
      <c r="P90" s="1178">
        <v>13.5</v>
      </c>
    </row>
    <row r="91" spans="1:16">
      <c r="A91" s="1178" t="s">
        <v>20319</v>
      </c>
      <c r="B91" s="1371" t="str">
        <f>HYPERLINK(IFERROR("#Main_Tariff!A"&amp;MATCH(Raeburn_Main_Tariff[[#This Row],[Product Code]],Main_Tariff!I:I,0),"#Main_Tariff!A"&amp;MATCH("*"&amp;RIGHT(A91,8)&amp;"*",Main_Tariff!A:A,0)),Raeburn_Main_Tariff[[#This Row],[PRODUCER]])</f>
        <v>Kirrenbourg</v>
      </c>
      <c r="C91" s="1178" t="s">
        <v>20329</v>
      </c>
      <c r="D91" s="1178" t="s">
        <v>1129</v>
      </c>
      <c r="E91" s="1179">
        <v>2016</v>
      </c>
      <c r="F91" s="1282" t="s">
        <v>20220</v>
      </c>
      <c r="G91" s="1368">
        <v>36.5</v>
      </c>
      <c r="H91" s="1178" t="s">
        <v>20221</v>
      </c>
      <c r="I91" s="1178" t="s">
        <v>1377</v>
      </c>
      <c r="J91" s="1178" t="s">
        <v>662</v>
      </c>
      <c r="K91" s="1178" t="s">
        <v>20</v>
      </c>
      <c r="L91" s="1178"/>
      <c r="M91" s="1369" t="s">
        <v>23296</v>
      </c>
      <c r="N91" s="1178" t="s">
        <v>20244</v>
      </c>
      <c r="O91" s="1178">
        <v>6</v>
      </c>
      <c r="P91" s="1178">
        <v>14</v>
      </c>
    </row>
    <row r="92" spans="1:16">
      <c r="A92" s="1178" t="s">
        <v>20319</v>
      </c>
      <c r="B92" s="1371" t="str">
        <f>HYPERLINK(IFERROR("#Main_Tariff!A"&amp;MATCH(Raeburn_Main_Tariff[[#This Row],[Product Code]],Main_Tariff!I:I,0),"#Main_Tariff!A"&amp;MATCH("*"&amp;RIGHT(A92,8)&amp;"*",Main_Tariff!A:A,0)),Raeburn_Main_Tariff[[#This Row],[PRODUCER]])</f>
        <v>Kirrenbourg</v>
      </c>
      <c r="C92" s="1178" t="s">
        <v>20330</v>
      </c>
      <c r="D92" s="1178" t="s">
        <v>1129</v>
      </c>
      <c r="E92" s="1179">
        <v>2019</v>
      </c>
      <c r="F92" s="1282" t="s">
        <v>20220</v>
      </c>
      <c r="G92" s="1368">
        <v>36.5</v>
      </c>
      <c r="H92" s="1178" t="s">
        <v>20221</v>
      </c>
      <c r="I92" s="1178" t="s">
        <v>1378</v>
      </c>
      <c r="J92" s="1178" t="s">
        <v>662</v>
      </c>
      <c r="K92" s="1178" t="s">
        <v>20</v>
      </c>
      <c r="L92" s="1178"/>
      <c r="M92" s="1369" t="s">
        <v>23296</v>
      </c>
      <c r="N92" s="1178" t="s">
        <v>20244</v>
      </c>
      <c r="O92" s="1178">
        <v>6</v>
      </c>
      <c r="P92" s="1178">
        <v>14</v>
      </c>
    </row>
    <row r="93" spans="1:16">
      <c r="A93" s="1178" t="s">
        <v>20319</v>
      </c>
      <c r="B93" s="1371" t="str">
        <f>HYPERLINK(IFERROR("#Main_Tariff!A"&amp;MATCH(Raeburn_Main_Tariff[[#This Row],[Product Code]],Main_Tariff!I:I,0),"#Main_Tariff!A"&amp;MATCH("*"&amp;RIGHT(A93,8)&amp;"*",Main_Tariff!A:A,0)),Raeburn_Main_Tariff[[#This Row],[PRODUCER]])</f>
        <v>Kirrenbourg</v>
      </c>
      <c r="C93" s="1178" t="s">
        <v>20330</v>
      </c>
      <c r="D93" s="1178" t="s">
        <v>1129</v>
      </c>
      <c r="E93" s="1179">
        <v>2015</v>
      </c>
      <c r="F93" s="1282" t="s">
        <v>20220</v>
      </c>
      <c r="G93" s="1368">
        <v>29.5</v>
      </c>
      <c r="H93" s="1178" t="s">
        <v>20277</v>
      </c>
      <c r="I93" s="1178" t="s">
        <v>1380</v>
      </c>
      <c r="J93" s="1178" t="s">
        <v>662</v>
      </c>
      <c r="K93" s="1178" t="s">
        <v>20</v>
      </c>
      <c r="L93" s="1178"/>
      <c r="M93" s="1369" t="s">
        <v>23296</v>
      </c>
      <c r="N93" s="1178"/>
      <c r="O93" s="1178">
        <v>6</v>
      </c>
      <c r="P93" s="1178">
        <v>14</v>
      </c>
    </row>
    <row r="94" spans="1:16">
      <c r="A94" s="1178" t="s">
        <v>20319</v>
      </c>
      <c r="B94" s="1371" t="str">
        <f>HYPERLINK(IFERROR("#Main_Tariff!A"&amp;MATCH(Raeburn_Main_Tariff[[#This Row],[Product Code]],Main_Tariff!I:I,0),"#Main_Tariff!A"&amp;MATCH("*"&amp;RIGHT(A94,8)&amp;"*",Main_Tariff!A:A,0)),Raeburn_Main_Tariff[[#This Row],[PRODUCER]])</f>
        <v>Kirrenbourg</v>
      </c>
      <c r="C94" s="1178" t="s">
        <v>20331</v>
      </c>
      <c r="D94" s="1178" t="s">
        <v>1129</v>
      </c>
      <c r="E94" s="1179">
        <v>2016</v>
      </c>
      <c r="F94" s="1282" t="s">
        <v>20240</v>
      </c>
      <c r="G94" s="1368">
        <v>61</v>
      </c>
      <c r="H94" s="1178" t="s">
        <v>20224</v>
      </c>
      <c r="I94" s="1178" t="s">
        <v>1382</v>
      </c>
      <c r="J94" s="1178" t="s">
        <v>662</v>
      </c>
      <c r="K94" s="1178" t="s">
        <v>20</v>
      </c>
      <c r="L94" s="1178"/>
      <c r="M94" s="1369" t="s">
        <v>23296</v>
      </c>
      <c r="N94" s="1178" t="s">
        <v>20244</v>
      </c>
      <c r="O94" s="1178">
        <v>1</v>
      </c>
      <c r="P94" s="1178">
        <v>14</v>
      </c>
    </row>
    <row r="95" spans="1:16">
      <c r="A95" s="1178" t="s">
        <v>20319</v>
      </c>
      <c r="B95" s="1371" t="str">
        <f>HYPERLINK(IFERROR("#Main_Tariff!A"&amp;MATCH(Raeburn_Main_Tariff[[#This Row],[Product Code]],Main_Tariff!I:I,0),"#Main_Tariff!A"&amp;MATCH("*"&amp;RIGHT(A95,8)&amp;"*",Main_Tariff!A:A,0)),Raeburn_Main_Tariff[[#This Row],[PRODUCER]])</f>
        <v>Kirrenbourg</v>
      </c>
      <c r="C95" s="1178" t="s">
        <v>20331</v>
      </c>
      <c r="D95" s="1178" t="s">
        <v>1129</v>
      </c>
      <c r="E95" s="1179">
        <v>2015</v>
      </c>
      <c r="F95" s="1282" t="s">
        <v>20240</v>
      </c>
      <c r="G95" s="1368">
        <v>61</v>
      </c>
      <c r="H95" s="1178" t="s">
        <v>20224</v>
      </c>
      <c r="I95" s="1178" t="s">
        <v>1384</v>
      </c>
      <c r="J95" s="1178" t="s">
        <v>662</v>
      </c>
      <c r="K95" s="1178" t="s">
        <v>20</v>
      </c>
      <c r="L95" s="1178"/>
      <c r="M95" s="1369" t="s">
        <v>23296</v>
      </c>
      <c r="N95" s="1178"/>
      <c r="O95" s="1178">
        <v>1</v>
      </c>
      <c r="P95" s="1178">
        <v>14</v>
      </c>
    </row>
    <row r="96" spans="1:16">
      <c r="A96" s="1178" t="s">
        <v>20319</v>
      </c>
      <c r="B96" s="1371" t="str">
        <f>HYPERLINK(IFERROR("#Main_Tariff!A"&amp;MATCH(Raeburn_Main_Tariff[[#This Row],[Product Code]],Main_Tariff!I:I,0),"#Main_Tariff!A"&amp;MATCH("*"&amp;RIGHT(A96,8)&amp;"*",Main_Tariff!A:A,0)),Raeburn_Main_Tariff[[#This Row],[PRODUCER]])</f>
        <v>Kirrenbourg</v>
      </c>
      <c r="C96" s="1178" t="s">
        <v>20331</v>
      </c>
      <c r="D96" s="1178" t="s">
        <v>1129</v>
      </c>
      <c r="E96" s="1179">
        <v>2014</v>
      </c>
      <c r="F96" s="1282" t="s">
        <v>20240</v>
      </c>
      <c r="G96" s="1368">
        <v>61</v>
      </c>
      <c r="H96" s="1178" t="s">
        <v>20224</v>
      </c>
      <c r="I96" s="1178" t="s">
        <v>1386</v>
      </c>
      <c r="J96" s="1178" t="s">
        <v>662</v>
      </c>
      <c r="K96" s="1178" t="s">
        <v>20</v>
      </c>
      <c r="L96" s="1178"/>
      <c r="M96" s="1369" t="s">
        <v>23296</v>
      </c>
      <c r="N96" s="1178"/>
      <c r="O96" s="1178">
        <v>6</v>
      </c>
      <c r="P96" s="1178">
        <v>13</v>
      </c>
    </row>
    <row r="97" spans="1:16">
      <c r="A97" s="1178" t="s">
        <v>20319</v>
      </c>
      <c r="B97" s="1371" t="str">
        <f>HYPERLINK(IFERROR("#Main_Tariff!A"&amp;MATCH(Raeburn_Main_Tariff[[#This Row],[Product Code]],Main_Tariff!I:I,0),"#Main_Tariff!A"&amp;MATCH("*"&amp;RIGHT(A97,8)&amp;"*",Main_Tariff!A:A,0)),Raeburn_Main_Tariff[[#This Row],[PRODUCER]])</f>
        <v>Kirrenbourg</v>
      </c>
      <c r="C97" s="1178" t="s">
        <v>20332</v>
      </c>
      <c r="D97" s="1178" t="s">
        <v>1129</v>
      </c>
      <c r="E97" s="1179">
        <v>2017</v>
      </c>
      <c r="F97" s="1282" t="s">
        <v>20220</v>
      </c>
      <c r="G97" s="1368">
        <v>27</v>
      </c>
      <c r="H97" s="1178" t="s">
        <v>20221</v>
      </c>
      <c r="I97" s="1178" t="s">
        <v>1388</v>
      </c>
      <c r="J97" s="1178" t="s">
        <v>662</v>
      </c>
      <c r="K97" s="1178" t="s">
        <v>20</v>
      </c>
      <c r="L97" s="1178"/>
      <c r="M97" s="1369" t="s">
        <v>23296</v>
      </c>
      <c r="N97" s="1178"/>
      <c r="O97" s="1178">
        <v>6</v>
      </c>
      <c r="P97" s="1178">
        <v>14</v>
      </c>
    </row>
    <row r="98" spans="1:16">
      <c r="A98" s="1178" t="s">
        <v>20319</v>
      </c>
      <c r="B98" s="1371" t="str">
        <f>HYPERLINK(IFERROR("#Main_Tariff!A"&amp;MATCH(Raeburn_Main_Tariff[[#This Row],[Product Code]],Main_Tariff!I:I,0),"#Main_Tariff!A"&amp;MATCH("*"&amp;RIGHT(A98,8)&amp;"*",Main_Tariff!A:A,0)),Raeburn_Main_Tariff[[#This Row],[PRODUCER]])</f>
        <v>Kirrenbourg</v>
      </c>
      <c r="C98" s="1178" t="s">
        <v>20333</v>
      </c>
      <c r="D98" s="1178" t="s">
        <v>1129</v>
      </c>
      <c r="E98" s="1179">
        <v>2015</v>
      </c>
      <c r="F98" s="1282" t="s">
        <v>20220</v>
      </c>
      <c r="G98" s="1368">
        <v>29.5</v>
      </c>
      <c r="H98" s="1178" t="s">
        <v>20221</v>
      </c>
      <c r="I98" s="1178" t="s">
        <v>1390</v>
      </c>
      <c r="J98" s="1178" t="s">
        <v>662</v>
      </c>
      <c r="K98" s="1178" t="s">
        <v>20</v>
      </c>
      <c r="L98" s="1178"/>
      <c r="M98" s="1369" t="s">
        <v>23296</v>
      </c>
      <c r="N98" s="1178"/>
      <c r="O98" s="1178">
        <v>6</v>
      </c>
      <c r="P98" s="1178">
        <v>13.5</v>
      </c>
    </row>
    <row r="99" spans="1:16">
      <c r="A99" s="1178" t="s">
        <v>20319</v>
      </c>
      <c r="B99" s="1371" t="str">
        <f>HYPERLINK(IFERROR("#Main_Tariff!A"&amp;MATCH(Raeburn_Main_Tariff[[#This Row],[Product Code]],Main_Tariff!I:I,0),"#Main_Tariff!A"&amp;MATCH("*"&amp;RIGHT(A99,8)&amp;"*",Main_Tariff!A:A,0)),Raeburn_Main_Tariff[[#This Row],[PRODUCER]])</f>
        <v>Kirrenbourg</v>
      </c>
      <c r="C99" s="1178" t="s">
        <v>20334</v>
      </c>
      <c r="D99" s="1178" t="s">
        <v>1129</v>
      </c>
      <c r="E99" s="1179">
        <v>2016</v>
      </c>
      <c r="F99" s="1282" t="s">
        <v>20220</v>
      </c>
      <c r="G99" s="1368">
        <v>26.5</v>
      </c>
      <c r="H99" s="1178" t="s">
        <v>20221</v>
      </c>
      <c r="I99" s="1178" t="s">
        <v>1392</v>
      </c>
      <c r="J99" s="1178" t="s">
        <v>662</v>
      </c>
      <c r="K99" s="1178" t="s">
        <v>20</v>
      </c>
      <c r="L99" s="1178"/>
      <c r="M99" s="1369" t="s">
        <v>23296</v>
      </c>
      <c r="N99" s="1178" t="s">
        <v>20244</v>
      </c>
      <c r="O99" s="1178">
        <v>6</v>
      </c>
      <c r="P99" s="1178">
        <v>14</v>
      </c>
    </row>
    <row r="100" spans="1:16">
      <c r="A100" s="1178" t="s">
        <v>20319</v>
      </c>
      <c r="B100" s="1371" t="str">
        <f>HYPERLINK(IFERROR("#Main_Tariff!A"&amp;MATCH(Raeburn_Main_Tariff[[#This Row],[Product Code]],Main_Tariff!I:I,0),"#Main_Tariff!A"&amp;MATCH("*"&amp;RIGHT(A100,8)&amp;"*",Main_Tariff!A:A,0)),Raeburn_Main_Tariff[[#This Row],[PRODUCER]])</f>
        <v>Kirrenbourg</v>
      </c>
      <c r="C100" s="1178" t="s">
        <v>20335</v>
      </c>
      <c r="D100" s="1178" t="s">
        <v>1129</v>
      </c>
      <c r="E100" s="1179">
        <v>2018</v>
      </c>
      <c r="F100" s="1282" t="s">
        <v>20220</v>
      </c>
      <c r="G100" s="1368">
        <v>32.5</v>
      </c>
      <c r="H100" s="1178" t="s">
        <v>20221</v>
      </c>
      <c r="I100" s="1178" t="s">
        <v>1394</v>
      </c>
      <c r="J100" s="1178" t="s">
        <v>662</v>
      </c>
      <c r="K100" s="1178" t="s">
        <v>20</v>
      </c>
      <c r="L100" s="1178"/>
      <c r="M100" s="1369" t="s">
        <v>23296</v>
      </c>
      <c r="N100" s="1178" t="s">
        <v>20244</v>
      </c>
      <c r="O100" s="1178">
        <v>6</v>
      </c>
      <c r="P100" s="1178">
        <v>15</v>
      </c>
    </row>
    <row r="101" spans="1:16">
      <c r="A101" s="1178" t="s">
        <v>20319</v>
      </c>
      <c r="B101" s="1371" t="str">
        <f>HYPERLINK(IFERROR("#Main_Tariff!A"&amp;MATCH(Raeburn_Main_Tariff[[#This Row],[Product Code]],Main_Tariff!I:I,0),"#Main_Tariff!A"&amp;MATCH("*"&amp;RIGHT(A101,8)&amp;"*",Main_Tariff!A:A,0)),Raeburn_Main_Tariff[[#This Row],[PRODUCER]])</f>
        <v>Kirrenbourg</v>
      </c>
      <c r="C101" s="1178" t="s">
        <v>20335</v>
      </c>
      <c r="D101" s="1178" t="s">
        <v>1129</v>
      </c>
      <c r="E101" s="1179">
        <v>2016</v>
      </c>
      <c r="F101" s="1282" t="s">
        <v>20220</v>
      </c>
      <c r="G101" s="1368">
        <v>32.5</v>
      </c>
      <c r="H101" s="1178" t="s">
        <v>20221</v>
      </c>
      <c r="I101" s="1178" t="s">
        <v>1396</v>
      </c>
      <c r="J101" s="1178" t="s">
        <v>662</v>
      </c>
      <c r="K101" s="1178" t="s">
        <v>20</v>
      </c>
      <c r="L101" s="1178"/>
      <c r="M101" s="1369" t="s">
        <v>23296</v>
      </c>
      <c r="N101" s="1178" t="s">
        <v>20244</v>
      </c>
      <c r="O101" s="1178">
        <v>6</v>
      </c>
      <c r="P101" s="1178">
        <v>13.5</v>
      </c>
    </row>
    <row r="102" spans="1:16">
      <c r="A102" s="1178" t="s">
        <v>20319</v>
      </c>
      <c r="B102" s="1371" t="str">
        <f>HYPERLINK(IFERROR("#Main_Tariff!A"&amp;MATCH(Raeburn_Main_Tariff[[#This Row],[Product Code]],Main_Tariff!I:I,0),"#Main_Tariff!A"&amp;MATCH("*"&amp;RIGHT(A102,8)&amp;"*",Main_Tariff!A:A,0)),Raeburn_Main_Tariff[[#This Row],[PRODUCER]])</f>
        <v>Kirrenbourg</v>
      </c>
      <c r="C102" s="1178" t="s">
        <v>20336</v>
      </c>
      <c r="D102" s="1178" t="s">
        <v>897</v>
      </c>
      <c r="E102" s="1179">
        <v>2016</v>
      </c>
      <c r="F102" s="1282" t="s">
        <v>20220</v>
      </c>
      <c r="G102" s="1368">
        <v>27.5</v>
      </c>
      <c r="H102" s="1178" t="s">
        <v>20221</v>
      </c>
      <c r="I102" s="1178" t="s">
        <v>1400</v>
      </c>
      <c r="J102" s="1178" t="s">
        <v>662</v>
      </c>
      <c r="K102" s="1178" t="s">
        <v>20</v>
      </c>
      <c r="L102" s="1178"/>
      <c r="M102" s="1369"/>
      <c r="N102" s="1178" t="s">
        <v>20244</v>
      </c>
      <c r="O102" s="1178">
        <v>6</v>
      </c>
      <c r="P102" s="1178">
        <v>13</v>
      </c>
    </row>
    <row r="103" spans="1:16">
      <c r="A103" s="1178" t="s">
        <v>20319</v>
      </c>
      <c r="B103" s="1371" t="str">
        <f>HYPERLINK(IFERROR("#Main_Tariff!A"&amp;MATCH(Raeburn_Main_Tariff[[#This Row],[Product Code]],Main_Tariff!I:I,0),"#Main_Tariff!A"&amp;MATCH("*"&amp;RIGHT(A103,8)&amp;"*",Main_Tariff!A:A,0)),Raeburn_Main_Tariff[[#This Row],[PRODUCER]])</f>
        <v>Kirrenbourg</v>
      </c>
      <c r="C103" s="1178" t="s">
        <v>20337</v>
      </c>
      <c r="D103" s="1178" t="s">
        <v>897</v>
      </c>
      <c r="E103" s="1179">
        <v>2019</v>
      </c>
      <c r="F103" s="1282" t="s">
        <v>20220</v>
      </c>
      <c r="G103" s="1368">
        <v>32.5</v>
      </c>
      <c r="H103" s="1178" t="s">
        <v>20221</v>
      </c>
      <c r="I103" s="1178" t="s">
        <v>1402</v>
      </c>
      <c r="J103" s="1178" t="s">
        <v>662</v>
      </c>
      <c r="K103" s="1178" t="s">
        <v>20</v>
      </c>
      <c r="L103" s="1178"/>
      <c r="M103" s="1369"/>
      <c r="N103" s="1178" t="s">
        <v>20244</v>
      </c>
      <c r="O103" s="1178">
        <v>6</v>
      </c>
      <c r="P103" s="1178">
        <v>13.5</v>
      </c>
    </row>
    <row r="104" spans="1:16">
      <c r="A104" s="1178" t="s">
        <v>20319</v>
      </c>
      <c r="B104" s="1371" t="str">
        <f>HYPERLINK(IFERROR("#Main_Tariff!A"&amp;MATCH(Raeburn_Main_Tariff[[#This Row],[Product Code]],Main_Tariff!I:I,0),"#Main_Tariff!A"&amp;MATCH("*"&amp;RIGHT(A104,8)&amp;"*",Main_Tariff!A:A,0)),Raeburn_Main_Tariff[[#This Row],[PRODUCER]])</f>
        <v>Kirrenbourg</v>
      </c>
      <c r="C104" s="1178" t="s">
        <v>20337</v>
      </c>
      <c r="D104" s="1178" t="s">
        <v>897</v>
      </c>
      <c r="E104" s="1179">
        <v>2016</v>
      </c>
      <c r="F104" s="1282" t="s">
        <v>20220</v>
      </c>
      <c r="G104" s="1368">
        <v>32.5</v>
      </c>
      <c r="H104" s="1178" t="s">
        <v>20277</v>
      </c>
      <c r="I104" s="1178" t="s">
        <v>1404</v>
      </c>
      <c r="J104" s="1178" t="s">
        <v>662</v>
      </c>
      <c r="K104" s="1178" t="s">
        <v>20</v>
      </c>
      <c r="L104" s="1178"/>
      <c r="M104" s="1369"/>
      <c r="N104" s="1178" t="s">
        <v>20244</v>
      </c>
      <c r="O104" s="1178">
        <v>6</v>
      </c>
      <c r="P104" s="1178">
        <v>13.5</v>
      </c>
    </row>
    <row r="105" spans="1:16">
      <c r="A105" s="1178" t="s">
        <v>20319</v>
      </c>
      <c r="B105" s="1371" t="str">
        <f>HYPERLINK(IFERROR("#Main_Tariff!A"&amp;MATCH(Raeburn_Main_Tariff[[#This Row],[Product Code]],Main_Tariff!I:I,0),"#Main_Tariff!A"&amp;MATCH("*"&amp;RIGHT(A105,8)&amp;"*",Main_Tariff!A:A,0)),Raeburn_Main_Tariff[[#This Row],[PRODUCER]])</f>
        <v>Kirrenbourg</v>
      </c>
      <c r="C105" s="1178" t="s">
        <v>20338</v>
      </c>
      <c r="D105" s="1178" t="s">
        <v>897</v>
      </c>
      <c r="E105" s="1179">
        <v>2015</v>
      </c>
      <c r="F105" s="1282" t="s">
        <v>20220</v>
      </c>
      <c r="G105" s="1368">
        <v>32.5</v>
      </c>
      <c r="H105" s="1178" t="s">
        <v>20277</v>
      </c>
      <c r="I105" s="1178" t="s">
        <v>1406</v>
      </c>
      <c r="J105" s="1178" t="s">
        <v>662</v>
      </c>
      <c r="K105" s="1178" t="s">
        <v>20</v>
      </c>
      <c r="L105" s="1178"/>
      <c r="M105" s="1369"/>
      <c r="N105" s="1178"/>
      <c r="O105" s="1178">
        <v>6</v>
      </c>
      <c r="P105" s="1178">
        <v>12.5</v>
      </c>
    </row>
    <row r="106" spans="1:16">
      <c r="A106" s="1178" t="s">
        <v>20319</v>
      </c>
      <c r="B106" s="1371" t="str">
        <f>HYPERLINK(IFERROR("#Main_Tariff!A"&amp;MATCH(Raeburn_Main_Tariff[[#This Row],[Product Code]],Main_Tariff!I:I,0),"#Main_Tariff!A"&amp;MATCH("*"&amp;RIGHT(A106,8)&amp;"*",Main_Tariff!A:A,0)),Raeburn_Main_Tariff[[#This Row],[PRODUCER]])</f>
        <v>Kirrenbourg</v>
      </c>
      <c r="C106" s="1178" t="s">
        <v>20339</v>
      </c>
      <c r="D106" s="1178" t="s">
        <v>1410</v>
      </c>
      <c r="E106" s="1179">
        <v>2011</v>
      </c>
      <c r="F106" s="1282" t="s">
        <v>20220</v>
      </c>
      <c r="G106" s="1368">
        <v>29.5</v>
      </c>
      <c r="H106" s="1178" t="s">
        <v>20224</v>
      </c>
      <c r="I106" s="1178" t="s">
        <v>1411</v>
      </c>
      <c r="J106" s="1178" t="s">
        <v>662</v>
      </c>
      <c r="K106" s="1178" t="s">
        <v>20</v>
      </c>
      <c r="L106" s="1178"/>
      <c r="M106" s="1369"/>
      <c r="N106" s="1178"/>
      <c r="O106" s="1178">
        <v>6</v>
      </c>
      <c r="P106" s="1178">
        <v>13.5</v>
      </c>
    </row>
    <row r="107" spans="1:16">
      <c r="A107" s="1178" t="s">
        <v>20319</v>
      </c>
      <c r="B107" s="1371" t="str">
        <f>HYPERLINK(IFERROR("#Main_Tariff!A"&amp;MATCH(Raeburn_Main_Tariff[[#This Row],[Product Code]],Main_Tariff!I:I,0),"#Main_Tariff!A"&amp;MATCH("*"&amp;RIGHT(A107,8)&amp;"*",Main_Tariff!A:A,0)),Raeburn_Main_Tariff[[#This Row],[PRODUCER]])</f>
        <v>Kirrenbourg</v>
      </c>
      <c r="C107" s="1178" t="s">
        <v>20340</v>
      </c>
      <c r="D107" s="1178" t="s">
        <v>1410</v>
      </c>
      <c r="E107" s="1179">
        <v>2018</v>
      </c>
      <c r="F107" s="1282" t="s">
        <v>20313</v>
      </c>
      <c r="G107" s="1368">
        <v>34.25</v>
      </c>
      <c r="H107" s="1178" t="s">
        <v>20221</v>
      </c>
      <c r="I107" s="1178" t="s">
        <v>1413</v>
      </c>
      <c r="J107" s="1178" t="s">
        <v>662</v>
      </c>
      <c r="K107" s="1178" t="s">
        <v>20</v>
      </c>
      <c r="L107" s="1178"/>
      <c r="M107" s="1369" t="s">
        <v>23296</v>
      </c>
      <c r="N107" s="1178" t="s">
        <v>20244</v>
      </c>
      <c r="O107" s="1178">
        <v>6</v>
      </c>
      <c r="P107" s="1178">
        <v>13</v>
      </c>
    </row>
    <row r="108" spans="1:16">
      <c r="A108" s="1178" t="s">
        <v>25</v>
      </c>
      <c r="B108" s="1371" t="str">
        <f>HYPERLINK(IFERROR("#Main_Tariff!A"&amp;MATCH(Raeburn_Main_Tariff[[#This Row],[Product Code]],Main_Tariff!I:I,0),"#Main_Tariff!A"&amp;MATCH("*"&amp;RIGHT(A108,8)&amp;"*",Main_Tariff!A:A,0)),Raeburn_Main_Tariff[[#This Row],[PRODUCER]])</f>
        <v>Clinet</v>
      </c>
      <c r="C108" s="1178" t="s">
        <v>20341</v>
      </c>
      <c r="D108" s="1178" t="s">
        <v>897</v>
      </c>
      <c r="E108" s="1179">
        <v>2023</v>
      </c>
      <c r="F108" s="1282" t="s">
        <v>20220</v>
      </c>
      <c r="G108" s="1368" t="s">
        <v>20342</v>
      </c>
      <c r="H108" s="1178" t="s">
        <v>20343</v>
      </c>
      <c r="I108" s="1178" t="s">
        <v>1450</v>
      </c>
      <c r="J108" s="1178" t="s">
        <v>662</v>
      </c>
      <c r="K108" s="1178" t="s">
        <v>20344</v>
      </c>
      <c r="L108" s="1178" t="s">
        <v>24</v>
      </c>
      <c r="M108" s="1369"/>
      <c r="N108" s="1178"/>
      <c r="O108" s="1178">
        <v>6</v>
      </c>
      <c r="P108" s="1178">
        <v>14</v>
      </c>
    </row>
    <row r="109" spans="1:16">
      <c r="A109" s="1178" t="s">
        <v>25</v>
      </c>
      <c r="B109" s="1371" t="str">
        <f>HYPERLINK(IFERROR("#Main_Tariff!A"&amp;MATCH(Raeburn_Main_Tariff[[#This Row],[Product Code]],Main_Tariff!I:I,0),"#Main_Tariff!A"&amp;MATCH("*"&amp;RIGHT(A109,8)&amp;"*",Main_Tariff!A:A,0)),Raeburn_Main_Tariff[[#This Row],[PRODUCER]])</f>
        <v>Clinet</v>
      </c>
      <c r="C109" s="1178" t="s">
        <v>20341</v>
      </c>
      <c r="D109" s="1178" t="s">
        <v>897</v>
      </c>
      <c r="E109" s="1179">
        <v>2022</v>
      </c>
      <c r="F109" s="1282" t="s">
        <v>20220</v>
      </c>
      <c r="G109" s="1368" t="s">
        <v>5258</v>
      </c>
      <c r="H109" s="1178" t="s">
        <v>20224</v>
      </c>
      <c r="I109" s="1178" t="s">
        <v>1452</v>
      </c>
      <c r="J109" s="1178" t="s">
        <v>662</v>
      </c>
      <c r="K109" s="1178" t="s">
        <v>20344</v>
      </c>
      <c r="L109" s="1178" t="s">
        <v>24</v>
      </c>
      <c r="M109" s="1369"/>
      <c r="N109" s="1178"/>
      <c r="O109" s="1178">
        <v>6</v>
      </c>
      <c r="P109" s="1178">
        <v>14</v>
      </c>
    </row>
    <row r="110" spans="1:16">
      <c r="A110" s="1178" t="s">
        <v>25</v>
      </c>
      <c r="B110" s="1371" t="str">
        <f>HYPERLINK(IFERROR("#Main_Tariff!A"&amp;MATCH(Raeburn_Main_Tariff[[#This Row],[Product Code]],Main_Tariff!I:I,0),"#Main_Tariff!A"&amp;MATCH("*"&amp;RIGHT(A110,8)&amp;"*",Main_Tariff!A:A,0)),Raeburn_Main_Tariff[[#This Row],[PRODUCER]])</f>
        <v>Clinet</v>
      </c>
      <c r="C110" s="1178" t="s">
        <v>20341</v>
      </c>
      <c r="D110" s="1178" t="s">
        <v>897</v>
      </c>
      <c r="E110" s="1179">
        <v>2021</v>
      </c>
      <c r="F110" s="1282" t="s">
        <v>20220</v>
      </c>
      <c r="G110" s="1368">
        <v>88</v>
      </c>
      <c r="H110" s="1178" t="s">
        <v>20224</v>
      </c>
      <c r="I110" s="1178" t="s">
        <v>1454</v>
      </c>
      <c r="J110" s="1178" t="s">
        <v>662</v>
      </c>
      <c r="K110" s="1178" t="s">
        <v>20344</v>
      </c>
      <c r="L110" s="1178" t="s">
        <v>24</v>
      </c>
      <c r="M110" s="1369"/>
      <c r="N110" s="1178"/>
      <c r="O110" s="1178">
        <v>6</v>
      </c>
      <c r="P110" s="1178">
        <v>13</v>
      </c>
    </row>
    <row r="111" spans="1:16">
      <c r="A111" s="1178" t="s">
        <v>25</v>
      </c>
      <c r="B111" s="1371" t="str">
        <f>HYPERLINK(IFERROR("#Main_Tariff!A"&amp;MATCH(Raeburn_Main_Tariff[[#This Row],[Product Code]],Main_Tariff!I:I,0),"#Main_Tariff!A"&amp;MATCH("*"&amp;RIGHT(A111,8)&amp;"*",Main_Tariff!A:A,0)),Raeburn_Main_Tariff[[#This Row],[PRODUCER]])</f>
        <v>Clinet</v>
      </c>
      <c r="C111" s="1178" t="s">
        <v>20341</v>
      </c>
      <c r="D111" s="1178" t="s">
        <v>897</v>
      </c>
      <c r="E111" s="1179">
        <v>2016</v>
      </c>
      <c r="F111" s="1282" t="s">
        <v>20220</v>
      </c>
      <c r="G111" s="1368">
        <v>93.5</v>
      </c>
      <c r="H111" s="1178" t="s">
        <v>20224</v>
      </c>
      <c r="I111" s="1178" t="s">
        <v>1456</v>
      </c>
      <c r="J111" s="1178" t="s">
        <v>662</v>
      </c>
      <c r="K111" s="1178" t="s">
        <v>20344</v>
      </c>
      <c r="L111" s="1178" t="s">
        <v>24</v>
      </c>
      <c r="M111" s="1369"/>
      <c r="N111" s="1178"/>
      <c r="O111" s="1178">
        <v>12</v>
      </c>
      <c r="P111" s="1178">
        <v>13</v>
      </c>
    </row>
    <row r="112" spans="1:16">
      <c r="A112" s="1178" t="s">
        <v>25</v>
      </c>
      <c r="B112" s="1371" t="str">
        <f>HYPERLINK(IFERROR("#Main_Tariff!A"&amp;MATCH(Raeburn_Main_Tariff[[#This Row],[Product Code]],Main_Tariff!I:I,0),"#Main_Tariff!A"&amp;MATCH("*"&amp;RIGHT(A112,8)&amp;"*",Main_Tariff!A:A,0)),Raeburn_Main_Tariff[[#This Row],[PRODUCER]])</f>
        <v>Clinet</v>
      </c>
      <c r="C112" s="1178" t="s">
        <v>20341</v>
      </c>
      <c r="D112" s="1178" t="s">
        <v>897</v>
      </c>
      <c r="E112" s="1179">
        <v>2015</v>
      </c>
      <c r="F112" s="1282" t="s">
        <v>20220</v>
      </c>
      <c r="G112" s="1368">
        <v>96.5</v>
      </c>
      <c r="H112" s="1178" t="s">
        <v>20224</v>
      </c>
      <c r="I112" s="1178" t="s">
        <v>1458</v>
      </c>
      <c r="J112" s="1178" t="s">
        <v>662</v>
      </c>
      <c r="K112" s="1178" t="s">
        <v>20344</v>
      </c>
      <c r="L112" s="1178" t="s">
        <v>24</v>
      </c>
      <c r="M112" s="1369"/>
      <c r="N112" s="1178"/>
      <c r="O112" s="1178">
        <v>6</v>
      </c>
      <c r="P112" s="1178">
        <v>13</v>
      </c>
    </row>
    <row r="113" spans="1:16">
      <c r="A113" s="1178" t="s">
        <v>26</v>
      </c>
      <c r="B113" s="1371" t="str">
        <f>HYPERLINK(IFERROR("#Main_Tariff!A"&amp;MATCH(Raeburn_Main_Tariff[[#This Row],[Product Code]],Main_Tariff!I:I,0),"#Main_Tariff!A"&amp;MATCH("*"&amp;RIGHT(A113,8)&amp;"*",Main_Tariff!A:A,0)),Raeburn_Main_Tariff[[#This Row],[PRODUCER]])</f>
        <v>Clos de la Vieille École</v>
      </c>
      <c r="C113" s="1178" t="s">
        <v>26</v>
      </c>
      <c r="D113" s="1178" t="s">
        <v>897</v>
      </c>
      <c r="E113" s="1179">
        <v>2018</v>
      </c>
      <c r="F113" s="1282" t="s">
        <v>20220</v>
      </c>
      <c r="G113" s="1368">
        <v>24.5</v>
      </c>
      <c r="H113" s="1178" t="s">
        <v>20221</v>
      </c>
      <c r="I113" s="1178" t="s">
        <v>1464</v>
      </c>
      <c r="J113" s="1178" t="s">
        <v>662</v>
      </c>
      <c r="K113" s="1178" t="s">
        <v>20344</v>
      </c>
      <c r="L113" s="1178" t="s">
        <v>24</v>
      </c>
      <c r="M113" s="1369"/>
      <c r="N113" s="1178"/>
      <c r="O113" s="1178">
        <v>12</v>
      </c>
      <c r="P113" s="1178">
        <v>14</v>
      </c>
    </row>
    <row r="114" spans="1:16">
      <c r="A114" s="1178" t="s">
        <v>26</v>
      </c>
      <c r="B114" s="1371" t="str">
        <f>HYPERLINK(IFERROR("#Main_Tariff!A"&amp;MATCH(Raeburn_Main_Tariff[[#This Row],[Product Code]],Main_Tariff!I:I,0),"#Main_Tariff!A"&amp;MATCH("*"&amp;RIGHT(A114,8)&amp;"*",Main_Tariff!A:A,0)),Raeburn_Main_Tariff[[#This Row],[PRODUCER]])</f>
        <v>Clos de la Vieille École</v>
      </c>
      <c r="C114" s="1178" t="s">
        <v>20345</v>
      </c>
      <c r="D114" s="1178" t="s">
        <v>897</v>
      </c>
      <c r="E114" s="1179">
        <v>2018</v>
      </c>
      <c r="F114" s="1282" t="s">
        <v>20240</v>
      </c>
      <c r="G114" s="1368">
        <v>50.5</v>
      </c>
      <c r="H114" s="1178" t="s">
        <v>20224</v>
      </c>
      <c r="I114" s="1178" t="s">
        <v>1466</v>
      </c>
      <c r="J114" s="1178" t="s">
        <v>662</v>
      </c>
      <c r="K114" s="1178" t="s">
        <v>20344</v>
      </c>
      <c r="L114" s="1178" t="s">
        <v>24</v>
      </c>
      <c r="M114" s="1369"/>
      <c r="N114" s="1178"/>
      <c r="O114" s="1178">
        <v>6</v>
      </c>
      <c r="P114" s="1178">
        <v>14</v>
      </c>
    </row>
    <row r="115" spans="1:16">
      <c r="A115" s="1178" t="s">
        <v>27</v>
      </c>
      <c r="B115" s="1371" t="str">
        <f>HYPERLINK(IFERROR("#Main_Tariff!A"&amp;MATCH(Raeburn_Main_Tariff[[#This Row],[Product Code]],Main_Tariff!I:I,0),"#Main_Tariff!A"&amp;MATCH("*"&amp;RIGHT(A115,8)&amp;"*",Main_Tariff!A:A,0)),Raeburn_Main_Tariff[[#This Row],[PRODUCER]])</f>
        <v>Clos du Clocher</v>
      </c>
      <c r="C115" s="1178" t="s">
        <v>27</v>
      </c>
      <c r="D115" s="1178" t="s">
        <v>897</v>
      </c>
      <c r="E115" s="1179">
        <v>2020</v>
      </c>
      <c r="F115" s="1282" t="s">
        <v>20220</v>
      </c>
      <c r="G115" s="1368">
        <v>47</v>
      </c>
      <c r="H115" s="1178" t="s">
        <v>20221</v>
      </c>
      <c r="I115" s="1178" t="s">
        <v>1468</v>
      </c>
      <c r="J115" s="1178" t="s">
        <v>662</v>
      </c>
      <c r="K115" s="1178" t="s">
        <v>20344</v>
      </c>
      <c r="L115" s="1178" t="s">
        <v>24</v>
      </c>
      <c r="M115" s="1369"/>
      <c r="N115" s="1178"/>
      <c r="O115" s="1178">
        <v>6</v>
      </c>
      <c r="P115" s="1178">
        <v>14.5</v>
      </c>
    </row>
    <row r="116" spans="1:16">
      <c r="A116" s="1178" t="s">
        <v>28</v>
      </c>
      <c r="B116" s="1371" t="str">
        <f>HYPERLINK(IFERROR("#Main_Tariff!A"&amp;MATCH(Raeburn_Main_Tariff[[#This Row],[Product Code]],Main_Tariff!I:I,0),"#Main_Tariff!A"&amp;MATCH("*"&amp;RIGHT(A116,8)&amp;"*",Main_Tariff!A:A,0)),Raeburn_Main_Tariff[[#This Row],[PRODUCER]])</f>
        <v>La Conseillante</v>
      </c>
      <c r="C116" s="1178" t="s">
        <v>20346</v>
      </c>
      <c r="D116" s="1178" t="s">
        <v>897</v>
      </c>
      <c r="E116" s="1179">
        <v>2023</v>
      </c>
      <c r="F116" s="1282" t="s">
        <v>20220</v>
      </c>
      <c r="G116" s="1368" t="s">
        <v>20342</v>
      </c>
      <c r="H116" s="1178" t="s">
        <v>20343</v>
      </c>
      <c r="I116" s="1178" t="s">
        <v>1478</v>
      </c>
      <c r="J116" s="1178" t="s">
        <v>662</v>
      </c>
      <c r="K116" s="1178" t="s">
        <v>20344</v>
      </c>
      <c r="L116" s="1178" t="s">
        <v>24</v>
      </c>
      <c r="M116" s="1369"/>
      <c r="N116" s="1178"/>
      <c r="O116" s="1178">
        <v>6</v>
      </c>
      <c r="P116" s="1178">
        <v>14.5</v>
      </c>
    </row>
    <row r="117" spans="1:16">
      <c r="A117" s="1178" t="s">
        <v>28</v>
      </c>
      <c r="B117" s="1371" t="str">
        <f>HYPERLINK(IFERROR("#Main_Tariff!A"&amp;MATCH(Raeburn_Main_Tariff[[#This Row],[Product Code]],Main_Tariff!I:I,0),"#Main_Tariff!A"&amp;MATCH("*"&amp;RIGHT(A117,8)&amp;"*",Main_Tariff!A:A,0)),Raeburn_Main_Tariff[[#This Row],[PRODUCER]])</f>
        <v>La Conseillante</v>
      </c>
      <c r="C117" s="1178" t="s">
        <v>20346</v>
      </c>
      <c r="D117" s="1178" t="s">
        <v>897</v>
      </c>
      <c r="E117" s="1179">
        <v>2022</v>
      </c>
      <c r="F117" s="1282" t="s">
        <v>20220</v>
      </c>
      <c r="G117" s="1368" t="s">
        <v>5258</v>
      </c>
      <c r="H117" s="1178" t="s">
        <v>20224</v>
      </c>
      <c r="I117" s="1178" t="s">
        <v>1480</v>
      </c>
      <c r="J117" s="1178" t="s">
        <v>662</v>
      </c>
      <c r="K117" s="1178" t="s">
        <v>20344</v>
      </c>
      <c r="L117" s="1178" t="s">
        <v>24</v>
      </c>
      <c r="M117" s="1369"/>
      <c r="N117" s="1178"/>
      <c r="O117" s="1178">
        <v>6</v>
      </c>
      <c r="P117" s="1178">
        <v>14</v>
      </c>
    </row>
    <row r="118" spans="1:16">
      <c r="A118" s="1178" t="s">
        <v>28</v>
      </c>
      <c r="B118" s="1371" t="str">
        <f>HYPERLINK(IFERROR("#Main_Tariff!A"&amp;MATCH(Raeburn_Main_Tariff[[#This Row],[Product Code]],Main_Tariff!I:I,0),"#Main_Tariff!A"&amp;MATCH("*"&amp;RIGHT(A118,8)&amp;"*",Main_Tariff!A:A,0)),Raeburn_Main_Tariff[[#This Row],[PRODUCER]])</f>
        <v>La Conseillante</v>
      </c>
      <c r="C118" s="1178" t="s">
        <v>20346</v>
      </c>
      <c r="D118" s="1178" t="s">
        <v>897</v>
      </c>
      <c r="E118" s="1179">
        <v>2021</v>
      </c>
      <c r="F118" s="1282" t="s">
        <v>20220</v>
      </c>
      <c r="G118" s="1368">
        <v>196.5</v>
      </c>
      <c r="H118" s="1178" t="s">
        <v>20221</v>
      </c>
      <c r="I118" s="1178" t="s">
        <v>1482</v>
      </c>
      <c r="J118" s="1178" t="s">
        <v>662</v>
      </c>
      <c r="K118" s="1178" t="s">
        <v>20344</v>
      </c>
      <c r="L118" s="1178" t="s">
        <v>24</v>
      </c>
      <c r="M118" s="1369"/>
      <c r="N118" s="1178"/>
      <c r="O118" s="1178">
        <v>6</v>
      </c>
      <c r="P118" s="1178">
        <v>13.5</v>
      </c>
    </row>
    <row r="119" spans="1:16">
      <c r="A119" s="1178" t="s">
        <v>28</v>
      </c>
      <c r="B119" s="1371" t="str">
        <f>HYPERLINK(IFERROR("#Main_Tariff!A"&amp;MATCH(Raeburn_Main_Tariff[[#This Row],[Product Code]],Main_Tariff!I:I,0),"#Main_Tariff!A"&amp;MATCH("*"&amp;RIGHT(A119,8)&amp;"*",Main_Tariff!A:A,0)),Raeburn_Main_Tariff[[#This Row],[PRODUCER]])</f>
        <v>La Conseillante</v>
      </c>
      <c r="C119" s="1178" t="s">
        <v>20346</v>
      </c>
      <c r="D119" s="1178" t="s">
        <v>897</v>
      </c>
      <c r="E119" s="1179">
        <v>2020</v>
      </c>
      <c r="F119" s="1282" t="s">
        <v>20220</v>
      </c>
      <c r="G119" s="1368">
        <v>196.5</v>
      </c>
      <c r="H119" s="1178" t="s">
        <v>20224</v>
      </c>
      <c r="I119" s="1178" t="s">
        <v>1484</v>
      </c>
      <c r="J119" s="1178" t="s">
        <v>662</v>
      </c>
      <c r="K119" s="1178" t="s">
        <v>20344</v>
      </c>
      <c r="L119" s="1178" t="s">
        <v>24</v>
      </c>
      <c r="M119" s="1369"/>
      <c r="N119" s="1178"/>
      <c r="O119" s="1178">
        <v>6</v>
      </c>
      <c r="P119" s="1178">
        <v>13</v>
      </c>
    </row>
    <row r="120" spans="1:16">
      <c r="A120" s="1178" t="s">
        <v>20347</v>
      </c>
      <c r="B120" s="1371" t="str">
        <f>HYPERLINK(IFERROR("#Main_Tariff!A"&amp;MATCH(Raeburn_Main_Tariff[[#This Row],[Product Code]],Main_Tariff!I:I,0),"#Main_Tariff!A"&amp;MATCH("*"&amp;RIGHT(A120,8)&amp;"*",Main_Tariff!A:A,0)),Raeburn_Main_Tariff[[#This Row],[PRODUCER]])</f>
        <v>L’Eglise-Clinet</v>
      </c>
      <c r="C120" s="1178" t="s">
        <v>20348</v>
      </c>
      <c r="D120" s="1178" t="s">
        <v>897</v>
      </c>
      <c r="E120" s="1179">
        <v>2023</v>
      </c>
      <c r="F120" s="1282" t="s">
        <v>20220</v>
      </c>
      <c r="G120" s="1368" t="s">
        <v>20342</v>
      </c>
      <c r="H120" s="1178" t="s">
        <v>20343</v>
      </c>
      <c r="I120" s="1178" t="s">
        <v>1493</v>
      </c>
      <c r="J120" s="1178" t="s">
        <v>662</v>
      </c>
      <c r="K120" s="1178" t="s">
        <v>20344</v>
      </c>
      <c r="L120" s="1178" t="s">
        <v>24</v>
      </c>
      <c r="M120" s="1369"/>
      <c r="N120" s="1178"/>
      <c r="O120" s="1178">
        <v>6</v>
      </c>
      <c r="P120" s="1178">
        <v>14.5</v>
      </c>
    </row>
    <row r="121" spans="1:16">
      <c r="A121" s="1178" t="s">
        <v>20347</v>
      </c>
      <c r="B121" s="1371" t="str">
        <f>HYPERLINK(IFERROR("#Main_Tariff!A"&amp;MATCH(Raeburn_Main_Tariff[[#This Row],[Product Code]],Main_Tariff!I:I,0),"#Main_Tariff!A"&amp;MATCH("*"&amp;RIGHT(A121,8)&amp;"*",Main_Tariff!A:A,0)),Raeburn_Main_Tariff[[#This Row],[PRODUCER]])</f>
        <v>L’Eglise-Clinet</v>
      </c>
      <c r="C121" s="1178" t="s">
        <v>20348</v>
      </c>
      <c r="D121" s="1178" t="s">
        <v>897</v>
      </c>
      <c r="E121" s="1179">
        <v>2022</v>
      </c>
      <c r="F121" s="1282" t="s">
        <v>20220</v>
      </c>
      <c r="G121" s="1368" t="s">
        <v>5258</v>
      </c>
      <c r="H121" s="1178" t="s">
        <v>20221</v>
      </c>
      <c r="I121" s="1178" t="s">
        <v>1495</v>
      </c>
      <c r="J121" s="1178" t="s">
        <v>662</v>
      </c>
      <c r="K121" s="1178" t="s">
        <v>20344</v>
      </c>
      <c r="L121" s="1178" t="s">
        <v>24</v>
      </c>
      <c r="M121" s="1369"/>
      <c r="N121" s="1178"/>
      <c r="O121" s="1178">
        <v>6</v>
      </c>
      <c r="P121" s="1178">
        <v>14.5</v>
      </c>
    </row>
    <row r="122" spans="1:16">
      <c r="A122" s="1178" t="s">
        <v>20347</v>
      </c>
      <c r="B122" s="1371" t="str">
        <f>HYPERLINK(IFERROR("#Main_Tariff!A"&amp;MATCH(Raeburn_Main_Tariff[[#This Row],[Product Code]],Main_Tariff!I:I,0),"#Main_Tariff!A"&amp;MATCH("*"&amp;RIGHT(A122,8)&amp;"*",Main_Tariff!A:A,0)),Raeburn_Main_Tariff[[#This Row],[PRODUCER]])</f>
        <v>L’Eglise-Clinet</v>
      </c>
      <c r="C122" s="1178" t="s">
        <v>20348</v>
      </c>
      <c r="D122" s="1178" t="s">
        <v>897</v>
      </c>
      <c r="E122" s="1179">
        <v>2021</v>
      </c>
      <c r="F122" s="1282" t="s">
        <v>20220</v>
      </c>
      <c r="G122" s="1368">
        <v>49</v>
      </c>
      <c r="H122" s="1178" t="s">
        <v>20221</v>
      </c>
      <c r="I122" s="1178" t="s">
        <v>1497</v>
      </c>
      <c r="J122" s="1178" t="s">
        <v>662</v>
      </c>
      <c r="K122" s="1178" t="s">
        <v>20344</v>
      </c>
      <c r="L122" s="1178" t="s">
        <v>24</v>
      </c>
      <c r="M122" s="1369"/>
      <c r="N122" s="1178"/>
      <c r="O122" s="1178">
        <v>6</v>
      </c>
      <c r="P122" s="1178">
        <v>14</v>
      </c>
    </row>
    <row r="123" spans="1:16">
      <c r="A123" s="1178" t="s">
        <v>20347</v>
      </c>
      <c r="B123" s="1371" t="str">
        <f>HYPERLINK(IFERROR("#Main_Tariff!A"&amp;MATCH(Raeburn_Main_Tariff[[#This Row],[Product Code]],Main_Tariff!I:I,0),"#Main_Tariff!A"&amp;MATCH("*"&amp;RIGHT(A123,8)&amp;"*",Main_Tariff!A:A,0)),Raeburn_Main_Tariff[[#This Row],[PRODUCER]])</f>
        <v>L’Eglise-Clinet</v>
      </c>
      <c r="C123" s="1178" t="s">
        <v>20348</v>
      </c>
      <c r="D123" s="1178" t="s">
        <v>897</v>
      </c>
      <c r="E123" s="1179">
        <v>2017</v>
      </c>
      <c r="F123" s="1282" t="s">
        <v>20220</v>
      </c>
      <c r="G123" s="1368">
        <v>49</v>
      </c>
      <c r="H123" s="1178" t="s">
        <v>20224</v>
      </c>
      <c r="I123" s="1178" t="s">
        <v>1499</v>
      </c>
      <c r="J123" s="1178" t="s">
        <v>662</v>
      </c>
      <c r="K123" s="1178" t="s">
        <v>20344</v>
      </c>
      <c r="L123" s="1178" t="s">
        <v>24</v>
      </c>
      <c r="M123" s="1369"/>
      <c r="N123" s="1178"/>
      <c r="O123" s="1178">
        <v>6</v>
      </c>
      <c r="P123" s="1178">
        <v>13</v>
      </c>
    </row>
    <row r="124" spans="1:16">
      <c r="A124" s="1178" t="s">
        <v>20347</v>
      </c>
      <c r="B124" s="1371" t="str">
        <f>HYPERLINK(IFERROR("#Main_Tariff!A"&amp;MATCH(Raeburn_Main_Tariff[[#This Row],[Product Code]],Main_Tariff!I:I,0),"#Main_Tariff!A"&amp;MATCH("*"&amp;RIGHT(A124,8)&amp;"*",Main_Tariff!A:A,0)),Raeburn_Main_Tariff[[#This Row],[PRODUCER]])</f>
        <v>L’Eglise-Clinet</v>
      </c>
      <c r="C124" s="1178" t="s">
        <v>20349</v>
      </c>
      <c r="D124" s="1178" t="s">
        <v>897</v>
      </c>
      <c r="E124" s="1179">
        <v>2023</v>
      </c>
      <c r="F124" s="1282" t="s">
        <v>20220</v>
      </c>
      <c r="G124" s="1368" t="s">
        <v>20342</v>
      </c>
      <c r="H124" s="1178" t="s">
        <v>20343</v>
      </c>
      <c r="I124" s="1178" t="s">
        <v>1503</v>
      </c>
      <c r="J124" s="1178" t="s">
        <v>662</v>
      </c>
      <c r="K124" s="1178" t="s">
        <v>20344</v>
      </c>
      <c r="L124" s="1178" t="s">
        <v>24</v>
      </c>
      <c r="M124" s="1369"/>
      <c r="N124" s="1178"/>
      <c r="O124" s="1178">
        <v>6</v>
      </c>
      <c r="P124" s="1178">
        <v>14.5</v>
      </c>
    </row>
    <row r="125" spans="1:16">
      <c r="A125" s="1178" t="s">
        <v>20347</v>
      </c>
      <c r="B125" s="1371" t="str">
        <f>HYPERLINK(IFERROR("#Main_Tariff!A"&amp;MATCH(Raeburn_Main_Tariff[[#This Row],[Product Code]],Main_Tariff!I:I,0),"#Main_Tariff!A"&amp;MATCH("*"&amp;RIGHT(A125,8)&amp;"*",Main_Tariff!A:A,0)),Raeburn_Main_Tariff[[#This Row],[PRODUCER]])</f>
        <v>L’Eglise-Clinet</v>
      </c>
      <c r="C125" s="1178" t="s">
        <v>20349</v>
      </c>
      <c r="D125" s="1178" t="s">
        <v>897</v>
      </c>
      <c r="E125" s="1179">
        <v>2022</v>
      </c>
      <c r="F125" s="1282" t="s">
        <v>20220</v>
      </c>
      <c r="G125" s="1368" t="s">
        <v>5258</v>
      </c>
      <c r="H125" s="1178" t="s">
        <v>20224</v>
      </c>
      <c r="I125" s="1178" t="s">
        <v>1505</v>
      </c>
      <c r="J125" s="1178" t="s">
        <v>662</v>
      </c>
      <c r="K125" s="1178" t="s">
        <v>20344</v>
      </c>
      <c r="L125" s="1178" t="s">
        <v>24</v>
      </c>
      <c r="M125" s="1369"/>
      <c r="N125" s="1178"/>
      <c r="O125" s="1178">
        <v>6</v>
      </c>
      <c r="P125" s="1178">
        <v>14.5</v>
      </c>
    </row>
    <row r="126" spans="1:16">
      <c r="A126" s="1178" t="s">
        <v>20347</v>
      </c>
      <c r="B126" s="1371" t="str">
        <f>HYPERLINK(IFERROR("#Main_Tariff!A"&amp;MATCH(Raeburn_Main_Tariff[[#This Row],[Product Code]],Main_Tariff!I:I,0),"#Main_Tariff!A"&amp;MATCH("*"&amp;RIGHT(A126,8)&amp;"*",Main_Tariff!A:A,0)),Raeburn_Main_Tariff[[#This Row],[PRODUCER]])</f>
        <v>L’Eglise-Clinet</v>
      </c>
      <c r="C126" s="1178" t="s">
        <v>20349</v>
      </c>
      <c r="D126" s="1178" t="s">
        <v>897</v>
      </c>
      <c r="E126" s="1179">
        <v>2021</v>
      </c>
      <c r="F126" s="1282" t="s">
        <v>20220</v>
      </c>
      <c r="G126" s="1368">
        <v>251</v>
      </c>
      <c r="H126" s="1178" t="s">
        <v>20224</v>
      </c>
      <c r="I126" s="1178" t="s">
        <v>1507</v>
      </c>
      <c r="J126" s="1178" t="s">
        <v>662</v>
      </c>
      <c r="K126" s="1178" t="s">
        <v>20344</v>
      </c>
      <c r="L126" s="1178" t="s">
        <v>24</v>
      </c>
      <c r="M126" s="1369"/>
      <c r="N126" s="1178"/>
      <c r="O126" s="1178">
        <v>6</v>
      </c>
      <c r="P126" s="1178">
        <v>13</v>
      </c>
    </row>
    <row r="127" spans="1:16">
      <c r="A127" s="1178" t="s">
        <v>20347</v>
      </c>
      <c r="B127" s="1371" t="str">
        <f>HYPERLINK(IFERROR("#Main_Tariff!A"&amp;MATCH(Raeburn_Main_Tariff[[#This Row],[Product Code]],Main_Tariff!I:I,0),"#Main_Tariff!A"&amp;MATCH("*"&amp;RIGHT(A127,8)&amp;"*",Main_Tariff!A:A,0)),Raeburn_Main_Tariff[[#This Row],[PRODUCER]])</f>
        <v>L’Eglise-Clinet</v>
      </c>
      <c r="C127" s="1178" t="s">
        <v>20349</v>
      </c>
      <c r="D127" s="1178" t="s">
        <v>897</v>
      </c>
      <c r="E127" s="1179">
        <v>2020</v>
      </c>
      <c r="F127" s="1282" t="s">
        <v>20220</v>
      </c>
      <c r="G127" s="1368">
        <v>291.5</v>
      </c>
      <c r="H127" s="1178" t="s">
        <v>20224</v>
      </c>
      <c r="I127" s="1178" t="s">
        <v>1508</v>
      </c>
      <c r="J127" s="1178" t="s">
        <v>662</v>
      </c>
      <c r="K127" s="1178" t="s">
        <v>20344</v>
      </c>
      <c r="L127" s="1178" t="s">
        <v>24</v>
      </c>
      <c r="M127" s="1369"/>
      <c r="N127" s="1178"/>
      <c r="O127" s="1178">
        <v>6</v>
      </c>
      <c r="P127" s="1178">
        <v>14.5</v>
      </c>
    </row>
    <row r="128" spans="1:16">
      <c r="A128" s="1178" t="s">
        <v>20347</v>
      </c>
      <c r="B128" s="1371" t="str">
        <f>HYPERLINK(IFERROR("#Main_Tariff!A"&amp;MATCH(Raeburn_Main_Tariff[[#This Row],[Product Code]],Main_Tariff!I:I,0),"#Main_Tariff!A"&amp;MATCH("*"&amp;RIGHT(A128,8)&amp;"*",Main_Tariff!A:A,0)),Raeburn_Main_Tariff[[#This Row],[PRODUCER]])</f>
        <v>L’Eglise-Clinet</v>
      </c>
      <c r="C128" s="1178" t="s">
        <v>20349</v>
      </c>
      <c r="D128" s="1178" t="s">
        <v>897</v>
      </c>
      <c r="E128" s="1179">
        <v>2019</v>
      </c>
      <c r="F128" s="1282" t="s">
        <v>20220</v>
      </c>
      <c r="G128" s="1368">
        <v>291.5</v>
      </c>
      <c r="H128" s="1178" t="s">
        <v>20224</v>
      </c>
      <c r="I128" s="1178" t="s">
        <v>1510</v>
      </c>
      <c r="J128" s="1178" t="s">
        <v>662</v>
      </c>
      <c r="K128" s="1178" t="s">
        <v>20344</v>
      </c>
      <c r="L128" s="1178" t="s">
        <v>24</v>
      </c>
      <c r="M128" s="1369"/>
      <c r="N128" s="1178"/>
      <c r="O128" s="1178">
        <v>6</v>
      </c>
      <c r="P128" s="1178">
        <v>13</v>
      </c>
    </row>
    <row r="129" spans="1:16">
      <c r="A129" s="1178" t="s">
        <v>20347</v>
      </c>
      <c r="B129" s="1371" t="str">
        <f>HYPERLINK(IFERROR("#Main_Tariff!A"&amp;MATCH(Raeburn_Main_Tariff[[#This Row],[Product Code]],Main_Tariff!I:I,0),"#Main_Tariff!A"&amp;MATCH("*"&amp;RIGHT(A129,8)&amp;"*",Main_Tariff!A:A,0)),Raeburn_Main_Tariff[[#This Row],[PRODUCER]])</f>
        <v>L’Eglise-Clinet</v>
      </c>
      <c r="C129" s="1178" t="s">
        <v>20349</v>
      </c>
      <c r="D129" s="1178" t="s">
        <v>897</v>
      </c>
      <c r="E129" s="1179">
        <v>2018</v>
      </c>
      <c r="F129" s="1282" t="s">
        <v>20220</v>
      </c>
      <c r="G129" s="1368">
        <v>285</v>
      </c>
      <c r="H129" s="1178" t="s">
        <v>20224</v>
      </c>
      <c r="I129" s="1178" t="s">
        <v>1512</v>
      </c>
      <c r="J129" s="1178" t="s">
        <v>662</v>
      </c>
      <c r="K129" s="1178" t="s">
        <v>20344</v>
      </c>
      <c r="L129" s="1178" t="s">
        <v>24</v>
      </c>
      <c r="M129" s="1369"/>
      <c r="N129" s="1178"/>
      <c r="O129" s="1178">
        <v>6</v>
      </c>
      <c r="P129" s="1178">
        <v>15</v>
      </c>
    </row>
    <row r="130" spans="1:16">
      <c r="A130" s="1178" t="s">
        <v>20347</v>
      </c>
      <c r="B130" s="1371" t="str">
        <f>HYPERLINK(IFERROR("#Main_Tariff!A"&amp;MATCH(Raeburn_Main_Tariff[[#This Row],[Product Code]],Main_Tariff!I:I,0),"#Main_Tariff!A"&amp;MATCH("*"&amp;RIGHT(A130,8)&amp;"*",Main_Tariff!A:A,0)),Raeburn_Main_Tariff[[#This Row],[PRODUCER]])</f>
        <v>L’Eglise-Clinet</v>
      </c>
      <c r="C130" s="1178" t="s">
        <v>20349</v>
      </c>
      <c r="D130" s="1178" t="s">
        <v>897</v>
      </c>
      <c r="E130" s="1179">
        <v>2017</v>
      </c>
      <c r="F130" s="1282" t="s">
        <v>20220</v>
      </c>
      <c r="G130" s="1368">
        <v>214.5</v>
      </c>
      <c r="H130" s="1178" t="s">
        <v>20221</v>
      </c>
      <c r="I130" s="1178" t="s">
        <v>1514</v>
      </c>
      <c r="J130" s="1178" t="s">
        <v>662</v>
      </c>
      <c r="K130" s="1178" t="s">
        <v>20344</v>
      </c>
      <c r="L130" s="1178" t="s">
        <v>24</v>
      </c>
      <c r="M130" s="1369"/>
      <c r="N130" s="1178"/>
      <c r="O130" s="1178">
        <v>6</v>
      </c>
      <c r="P130" s="1178">
        <v>13</v>
      </c>
    </row>
    <row r="131" spans="1:16">
      <c r="A131" s="1178" t="s">
        <v>20347</v>
      </c>
      <c r="B131" s="1371" t="str">
        <f>HYPERLINK(IFERROR("#Main_Tariff!A"&amp;MATCH(Raeburn_Main_Tariff[[#This Row],[Product Code]],Main_Tariff!I:I,0),"#Main_Tariff!A"&amp;MATCH("*"&amp;RIGHT(A131,8)&amp;"*",Main_Tariff!A:A,0)),Raeburn_Main_Tariff[[#This Row],[PRODUCER]])</f>
        <v>L’Eglise-Clinet</v>
      </c>
      <c r="C131" s="1178" t="s">
        <v>20349</v>
      </c>
      <c r="D131" s="1178" t="s">
        <v>897</v>
      </c>
      <c r="E131" s="1179">
        <v>2016</v>
      </c>
      <c r="F131" s="1282" t="s">
        <v>20220</v>
      </c>
      <c r="G131" s="1368">
        <v>282.5</v>
      </c>
      <c r="H131" s="1178" t="s">
        <v>20221</v>
      </c>
      <c r="I131" s="1178" t="s">
        <v>1516</v>
      </c>
      <c r="J131" s="1178" t="s">
        <v>662</v>
      </c>
      <c r="K131" s="1178" t="s">
        <v>20344</v>
      </c>
      <c r="L131" s="1178" t="s">
        <v>24</v>
      </c>
      <c r="M131" s="1369"/>
      <c r="N131" s="1178"/>
      <c r="O131" s="1178">
        <v>6</v>
      </c>
      <c r="P131" s="1178">
        <v>14.5</v>
      </c>
    </row>
    <row r="132" spans="1:16">
      <c r="A132" s="1178" t="s">
        <v>20347</v>
      </c>
      <c r="B132" s="1371" t="str">
        <f>HYPERLINK(IFERROR("#Main_Tariff!A"&amp;MATCH(Raeburn_Main_Tariff[[#This Row],[Product Code]],Main_Tariff!I:I,0),"#Main_Tariff!A"&amp;MATCH("*"&amp;RIGHT(A132,8)&amp;"*",Main_Tariff!A:A,0)),Raeburn_Main_Tariff[[#This Row],[PRODUCER]])</f>
        <v>L’Eglise-Clinet</v>
      </c>
      <c r="C132" s="1178" t="s">
        <v>20349</v>
      </c>
      <c r="D132" s="1178" t="s">
        <v>897</v>
      </c>
      <c r="E132" s="1179">
        <v>2015</v>
      </c>
      <c r="F132" s="1282" t="s">
        <v>20220</v>
      </c>
      <c r="G132" s="1368">
        <v>225.5</v>
      </c>
      <c r="H132" s="1178" t="s">
        <v>20224</v>
      </c>
      <c r="I132" s="1178" t="s">
        <v>1518</v>
      </c>
      <c r="J132" s="1178" t="s">
        <v>662</v>
      </c>
      <c r="K132" s="1178" t="s">
        <v>20344</v>
      </c>
      <c r="L132" s="1178" t="s">
        <v>24</v>
      </c>
      <c r="M132" s="1369"/>
      <c r="N132" s="1178"/>
      <c r="O132" s="1178">
        <v>6</v>
      </c>
      <c r="P132" s="1178">
        <v>13</v>
      </c>
    </row>
    <row r="133" spans="1:16">
      <c r="A133" s="1178" t="s">
        <v>20347</v>
      </c>
      <c r="B133" s="1371" t="str">
        <f>HYPERLINK(IFERROR("#Main_Tariff!A"&amp;MATCH(Raeburn_Main_Tariff[[#This Row],[Product Code]],Main_Tariff!I:I,0),"#Main_Tariff!A"&amp;MATCH("*"&amp;RIGHT(A133,8)&amp;"*",Main_Tariff!A:A,0)),Raeburn_Main_Tariff[[#This Row],[PRODUCER]])</f>
        <v>L’Eglise-Clinet</v>
      </c>
      <c r="C133" s="1178" t="s">
        <v>20349</v>
      </c>
      <c r="D133" s="1178" t="s">
        <v>897</v>
      </c>
      <c r="E133" s="1179">
        <v>2014</v>
      </c>
      <c r="F133" s="1282" t="s">
        <v>20220</v>
      </c>
      <c r="G133" s="1368">
        <v>159.5</v>
      </c>
      <c r="H133" s="1178" t="s">
        <v>20221</v>
      </c>
      <c r="I133" s="1178" t="s">
        <v>1520</v>
      </c>
      <c r="J133" s="1178" t="s">
        <v>662</v>
      </c>
      <c r="K133" s="1178" t="s">
        <v>20344</v>
      </c>
      <c r="L133" s="1178" t="s">
        <v>24</v>
      </c>
      <c r="M133" s="1369"/>
      <c r="N133" s="1178"/>
      <c r="O133" s="1178">
        <v>6</v>
      </c>
      <c r="P133" s="1178">
        <v>14</v>
      </c>
    </row>
    <row r="134" spans="1:16">
      <c r="A134" s="1178" t="s">
        <v>20347</v>
      </c>
      <c r="B134" s="1371" t="str">
        <f>HYPERLINK(IFERROR("#Main_Tariff!A"&amp;MATCH(Raeburn_Main_Tariff[[#This Row],[Product Code]],Main_Tariff!I:I,0),"#Main_Tariff!A"&amp;MATCH("*"&amp;RIGHT(A134,8)&amp;"*",Main_Tariff!A:A,0)),Raeburn_Main_Tariff[[#This Row],[PRODUCER]])</f>
        <v>L’Eglise-Clinet</v>
      </c>
      <c r="C134" s="1178" t="s">
        <v>20349</v>
      </c>
      <c r="D134" s="1178" t="s">
        <v>897</v>
      </c>
      <c r="E134" s="1179">
        <v>2013</v>
      </c>
      <c r="F134" s="1282" t="s">
        <v>20220</v>
      </c>
      <c r="G134" s="1368">
        <v>135.5</v>
      </c>
      <c r="H134" s="1178" t="s">
        <v>20221</v>
      </c>
      <c r="I134" s="1178" t="s">
        <v>1522</v>
      </c>
      <c r="J134" s="1178" t="s">
        <v>662</v>
      </c>
      <c r="K134" s="1178" t="s">
        <v>20344</v>
      </c>
      <c r="L134" s="1178" t="s">
        <v>24</v>
      </c>
      <c r="M134" s="1369"/>
      <c r="N134" s="1178"/>
      <c r="O134" s="1178">
        <v>6</v>
      </c>
      <c r="P134" s="1178">
        <v>13</v>
      </c>
    </row>
    <row r="135" spans="1:16">
      <c r="A135" s="1178" t="s">
        <v>20347</v>
      </c>
      <c r="B135" s="1371" t="str">
        <f>HYPERLINK(IFERROR("#Main_Tariff!A"&amp;MATCH(Raeburn_Main_Tariff[[#This Row],[Product Code]],Main_Tariff!I:I,0),"#Main_Tariff!A"&amp;MATCH("*"&amp;RIGHT(A135,8)&amp;"*",Main_Tariff!A:A,0)),Raeburn_Main_Tariff[[#This Row],[PRODUCER]])</f>
        <v>L’Eglise-Clinet</v>
      </c>
      <c r="C135" s="1178" t="s">
        <v>20349</v>
      </c>
      <c r="D135" s="1178" t="s">
        <v>897</v>
      </c>
      <c r="E135" s="1179">
        <v>2011</v>
      </c>
      <c r="F135" s="1282" t="s">
        <v>20220</v>
      </c>
      <c r="G135" s="1368">
        <v>117.5</v>
      </c>
      <c r="H135" s="1178" t="s">
        <v>20221</v>
      </c>
      <c r="I135" s="1178" t="s">
        <v>1524</v>
      </c>
      <c r="J135" s="1178" t="s">
        <v>662</v>
      </c>
      <c r="K135" s="1178" t="s">
        <v>20344</v>
      </c>
      <c r="L135" s="1178" t="s">
        <v>24</v>
      </c>
      <c r="M135" s="1369"/>
      <c r="N135" s="1178"/>
      <c r="O135" s="1178">
        <v>6</v>
      </c>
      <c r="P135" s="1178">
        <v>13</v>
      </c>
    </row>
    <row r="136" spans="1:16">
      <c r="A136" s="1178" t="s">
        <v>20347</v>
      </c>
      <c r="B136" s="1371" t="str">
        <f>HYPERLINK(IFERROR("#Main_Tariff!A"&amp;MATCH(Raeburn_Main_Tariff[[#This Row],[Product Code]],Main_Tariff!I:I,0),"#Main_Tariff!A"&amp;MATCH("*"&amp;RIGHT(A136,8)&amp;"*",Main_Tariff!A:A,0)),Raeburn_Main_Tariff[[#This Row],[PRODUCER]])</f>
        <v>L’Eglise-Clinet</v>
      </c>
      <c r="C136" s="1178" t="s">
        <v>20349</v>
      </c>
      <c r="D136" s="1178" t="s">
        <v>897</v>
      </c>
      <c r="E136" s="1179">
        <v>2002</v>
      </c>
      <c r="F136" s="1282" t="s">
        <v>20220</v>
      </c>
      <c r="G136" s="1368">
        <v>88.5</v>
      </c>
      <c r="H136" s="1178" t="s">
        <v>20224</v>
      </c>
      <c r="I136" s="1178" t="s">
        <v>1526</v>
      </c>
      <c r="J136" s="1178" t="s">
        <v>662</v>
      </c>
      <c r="K136" s="1178" t="s">
        <v>20344</v>
      </c>
      <c r="L136" s="1178" t="s">
        <v>24</v>
      </c>
      <c r="M136" s="1369"/>
      <c r="N136" s="1178"/>
      <c r="O136" s="1178">
        <v>12</v>
      </c>
      <c r="P136" s="1178">
        <v>13</v>
      </c>
    </row>
    <row r="137" spans="1:16">
      <c r="A137" s="1178" t="s">
        <v>30</v>
      </c>
      <c r="B137" s="1371" t="str">
        <f>HYPERLINK(IFERROR("#Main_Tariff!A"&amp;MATCH(Raeburn_Main_Tariff[[#This Row],[Product Code]],Main_Tariff!I:I,0),"#Main_Tariff!A"&amp;MATCH("*"&amp;RIGHT(A137,8)&amp;"*",Main_Tariff!A:A,0)),Raeburn_Main_Tariff[[#This Row],[PRODUCER]])</f>
        <v>L'Evangile</v>
      </c>
      <c r="C137" s="1178" t="s">
        <v>20350</v>
      </c>
      <c r="D137" s="1178" t="s">
        <v>897</v>
      </c>
      <c r="E137" s="1179">
        <v>2023</v>
      </c>
      <c r="F137" s="1282" t="s">
        <v>20220</v>
      </c>
      <c r="G137" s="1368" t="s">
        <v>20342</v>
      </c>
      <c r="H137" s="1178" t="s">
        <v>20343</v>
      </c>
      <c r="I137" s="1178" t="s">
        <v>1534</v>
      </c>
      <c r="J137" s="1178" t="s">
        <v>662</v>
      </c>
      <c r="K137" s="1178" t="s">
        <v>20344</v>
      </c>
      <c r="L137" s="1178" t="s">
        <v>24</v>
      </c>
      <c r="M137" s="1369"/>
      <c r="N137" s="1178" t="s">
        <v>20244</v>
      </c>
      <c r="O137" s="1178">
        <v>6</v>
      </c>
      <c r="P137" s="1178">
        <v>14.5</v>
      </c>
    </row>
    <row r="138" spans="1:16">
      <c r="A138" s="1178" t="s">
        <v>30</v>
      </c>
      <c r="B138" s="1371" t="str">
        <f>HYPERLINK(IFERROR("#Main_Tariff!A"&amp;MATCH(Raeburn_Main_Tariff[[#This Row],[Product Code]],Main_Tariff!I:I,0),"#Main_Tariff!A"&amp;MATCH("*"&amp;RIGHT(A138,8)&amp;"*",Main_Tariff!A:A,0)),Raeburn_Main_Tariff[[#This Row],[PRODUCER]])</f>
        <v>L'Evangile</v>
      </c>
      <c r="C138" s="1178" t="s">
        <v>20350</v>
      </c>
      <c r="D138" s="1178" t="s">
        <v>897</v>
      </c>
      <c r="E138" s="1179">
        <v>2022</v>
      </c>
      <c r="F138" s="1282" t="s">
        <v>20220</v>
      </c>
      <c r="G138" s="1368" t="s">
        <v>5258</v>
      </c>
      <c r="H138" s="1178" t="s">
        <v>20224</v>
      </c>
      <c r="I138" s="1178" t="s">
        <v>1536</v>
      </c>
      <c r="J138" s="1178" t="s">
        <v>662</v>
      </c>
      <c r="K138" s="1178" t="s">
        <v>20344</v>
      </c>
      <c r="L138" s="1178" t="s">
        <v>24</v>
      </c>
      <c r="M138" s="1369"/>
      <c r="N138" s="1178" t="s">
        <v>20244</v>
      </c>
      <c r="O138" s="1178">
        <v>6</v>
      </c>
      <c r="P138" s="1178">
        <v>13</v>
      </c>
    </row>
    <row r="139" spans="1:16">
      <c r="A139" s="1178" t="s">
        <v>30</v>
      </c>
      <c r="B139" s="1371" t="str">
        <f>HYPERLINK(IFERROR("#Main_Tariff!A"&amp;MATCH(Raeburn_Main_Tariff[[#This Row],[Product Code]],Main_Tariff!I:I,0),"#Main_Tariff!A"&amp;MATCH("*"&amp;RIGHT(A139,8)&amp;"*",Main_Tariff!A:A,0)),Raeburn_Main_Tariff[[#This Row],[PRODUCER]])</f>
        <v>L'Evangile</v>
      </c>
      <c r="C139" s="1178" t="s">
        <v>20350</v>
      </c>
      <c r="D139" s="1178" t="s">
        <v>897</v>
      </c>
      <c r="E139" s="1179">
        <v>2020</v>
      </c>
      <c r="F139" s="1282" t="s">
        <v>20220</v>
      </c>
      <c r="G139" s="1368">
        <v>225.5</v>
      </c>
      <c r="H139" s="1178" t="s">
        <v>20224</v>
      </c>
      <c r="I139" s="1178" t="s">
        <v>1538</v>
      </c>
      <c r="J139" s="1178" t="s">
        <v>662</v>
      </c>
      <c r="K139" s="1178" t="s">
        <v>20344</v>
      </c>
      <c r="L139" s="1178" t="s">
        <v>24</v>
      </c>
      <c r="M139" s="1369"/>
      <c r="N139" s="1178"/>
      <c r="O139" s="1178">
        <v>6</v>
      </c>
      <c r="P139" s="1178">
        <v>13</v>
      </c>
    </row>
    <row r="140" spans="1:16">
      <c r="A140" s="1178" t="s">
        <v>30</v>
      </c>
      <c r="B140" s="1371" t="str">
        <f>HYPERLINK(IFERROR("#Main_Tariff!A"&amp;MATCH(Raeburn_Main_Tariff[[#This Row],[Product Code]],Main_Tariff!I:I,0),"#Main_Tariff!A"&amp;MATCH("*"&amp;RIGHT(A140,8)&amp;"*",Main_Tariff!A:A,0)),Raeburn_Main_Tariff[[#This Row],[PRODUCER]])</f>
        <v>L'Evangile</v>
      </c>
      <c r="C140" s="1178" t="s">
        <v>20350</v>
      </c>
      <c r="D140" s="1178" t="s">
        <v>897</v>
      </c>
      <c r="E140" s="1179">
        <v>2019</v>
      </c>
      <c r="F140" s="1282" t="s">
        <v>20220</v>
      </c>
      <c r="G140" s="1368">
        <v>195</v>
      </c>
      <c r="H140" s="1178" t="s">
        <v>20221</v>
      </c>
      <c r="I140" s="1178" t="s">
        <v>1540</v>
      </c>
      <c r="J140" s="1178" t="s">
        <v>662</v>
      </c>
      <c r="K140" s="1178" t="s">
        <v>20344</v>
      </c>
      <c r="L140" s="1178" t="s">
        <v>24</v>
      </c>
      <c r="M140" s="1369"/>
      <c r="N140" s="1178"/>
      <c r="O140" s="1178">
        <v>6</v>
      </c>
      <c r="P140" s="1178">
        <v>13</v>
      </c>
    </row>
    <row r="141" spans="1:16">
      <c r="A141" s="1178" t="s">
        <v>31</v>
      </c>
      <c r="B141" s="1371" t="str">
        <f>HYPERLINK(IFERROR("#Main_Tariff!A"&amp;MATCH(Raeburn_Main_Tariff[[#This Row],[Product Code]],Main_Tariff!I:I,0),"#Main_Tariff!A"&amp;MATCH("*"&amp;RIGHT(A141,8)&amp;"*",Main_Tariff!A:A,0)),Raeburn_Main_Tariff[[#This Row],[PRODUCER]])</f>
        <v>Feytit-Clinet</v>
      </c>
      <c r="C141" s="1178" t="s">
        <v>20351</v>
      </c>
      <c r="D141" s="1178" t="s">
        <v>897</v>
      </c>
      <c r="E141" s="1179">
        <v>2021</v>
      </c>
      <c r="F141" s="1282" t="s">
        <v>20220</v>
      </c>
      <c r="G141" s="1368">
        <v>62</v>
      </c>
      <c r="H141" s="1178" t="s">
        <v>20221</v>
      </c>
      <c r="I141" s="1178" t="s">
        <v>1547</v>
      </c>
      <c r="J141" s="1178" t="s">
        <v>662</v>
      </c>
      <c r="K141" s="1178" t="s">
        <v>20344</v>
      </c>
      <c r="L141" s="1178" t="s">
        <v>24</v>
      </c>
      <c r="M141" s="1369"/>
      <c r="N141" s="1178"/>
      <c r="O141" s="1178">
        <v>6</v>
      </c>
      <c r="P141" s="1178">
        <v>13</v>
      </c>
    </row>
    <row r="142" spans="1:16">
      <c r="A142" s="1178" t="s">
        <v>31</v>
      </c>
      <c r="B142" s="1371" t="str">
        <f>HYPERLINK(IFERROR("#Main_Tariff!A"&amp;MATCH(Raeburn_Main_Tariff[[#This Row],[Product Code]],Main_Tariff!I:I,0),"#Main_Tariff!A"&amp;MATCH("*"&amp;RIGHT(A142,8)&amp;"*",Main_Tariff!A:A,0)),Raeburn_Main_Tariff[[#This Row],[PRODUCER]])</f>
        <v>Feytit-Clinet</v>
      </c>
      <c r="C142" s="1178" t="s">
        <v>20351</v>
      </c>
      <c r="D142" s="1178" t="s">
        <v>897</v>
      </c>
      <c r="E142" s="1179">
        <v>2020</v>
      </c>
      <c r="F142" s="1282" t="s">
        <v>20220</v>
      </c>
      <c r="G142" s="1368">
        <v>64.5</v>
      </c>
      <c r="H142" s="1178" t="s">
        <v>20221</v>
      </c>
      <c r="I142" s="1178" t="s">
        <v>1549</v>
      </c>
      <c r="J142" s="1178" t="s">
        <v>662</v>
      </c>
      <c r="K142" s="1178" t="s">
        <v>20344</v>
      </c>
      <c r="L142" s="1178" t="s">
        <v>24</v>
      </c>
      <c r="M142" s="1369"/>
      <c r="N142" s="1178"/>
      <c r="O142" s="1178">
        <v>6</v>
      </c>
      <c r="P142" s="1178">
        <v>13</v>
      </c>
    </row>
    <row r="143" spans="1:16">
      <c r="A143" s="1178" t="s">
        <v>31</v>
      </c>
      <c r="B143" s="1371" t="str">
        <f>HYPERLINK(IFERROR("#Main_Tariff!A"&amp;MATCH(Raeburn_Main_Tariff[[#This Row],[Product Code]],Main_Tariff!I:I,0),"#Main_Tariff!A"&amp;MATCH("*"&amp;RIGHT(A143,8)&amp;"*",Main_Tariff!A:A,0)),Raeburn_Main_Tariff[[#This Row],[PRODUCER]])</f>
        <v>Feytit-Clinet</v>
      </c>
      <c r="C143" s="1178" t="s">
        <v>20351</v>
      </c>
      <c r="D143" s="1178" t="s">
        <v>897</v>
      </c>
      <c r="E143" s="1179">
        <v>2019</v>
      </c>
      <c r="F143" s="1282" t="s">
        <v>20220</v>
      </c>
      <c r="G143" s="1368" t="s">
        <v>5258</v>
      </c>
      <c r="H143" s="1178" t="s">
        <v>20221</v>
      </c>
      <c r="I143" s="1178" t="s">
        <v>1551</v>
      </c>
      <c r="J143" s="1178" t="s">
        <v>662</v>
      </c>
      <c r="K143" s="1178" t="s">
        <v>20344</v>
      </c>
      <c r="L143" s="1178" t="s">
        <v>24</v>
      </c>
      <c r="M143" s="1369"/>
      <c r="N143" s="1178"/>
      <c r="O143" s="1178">
        <v>6</v>
      </c>
      <c r="P143" s="1178">
        <v>13.5</v>
      </c>
    </row>
    <row r="144" spans="1:16">
      <c r="A144" s="1178" t="s">
        <v>31</v>
      </c>
      <c r="B144" s="1371" t="str">
        <f>HYPERLINK(IFERROR("#Main_Tariff!A"&amp;MATCH(Raeburn_Main_Tariff[[#This Row],[Product Code]],Main_Tariff!I:I,0),"#Main_Tariff!A"&amp;MATCH("*"&amp;RIGHT(A144,8)&amp;"*",Main_Tariff!A:A,0)),Raeburn_Main_Tariff[[#This Row],[PRODUCER]])</f>
        <v>Feytit-Clinet</v>
      </c>
      <c r="C144" s="1178" t="s">
        <v>20351</v>
      </c>
      <c r="D144" s="1178" t="s">
        <v>897</v>
      </c>
      <c r="E144" s="1179">
        <v>2018</v>
      </c>
      <c r="F144" s="1282" t="s">
        <v>20220</v>
      </c>
      <c r="G144" s="1368">
        <v>62.5</v>
      </c>
      <c r="H144" s="1178" t="s">
        <v>20221</v>
      </c>
      <c r="I144" s="1178" t="s">
        <v>1553</v>
      </c>
      <c r="J144" s="1178" t="s">
        <v>662</v>
      </c>
      <c r="K144" s="1178" t="s">
        <v>20344</v>
      </c>
      <c r="L144" s="1178" t="s">
        <v>24</v>
      </c>
      <c r="M144" s="1369"/>
      <c r="N144" s="1178"/>
      <c r="O144" s="1178">
        <v>6</v>
      </c>
      <c r="P144" s="1178">
        <v>13</v>
      </c>
    </row>
    <row r="145" spans="1:16">
      <c r="A145" s="1178" t="s">
        <v>31</v>
      </c>
      <c r="B145" s="1371" t="str">
        <f>HYPERLINK(IFERROR("#Main_Tariff!A"&amp;MATCH(Raeburn_Main_Tariff[[#This Row],[Product Code]],Main_Tariff!I:I,0),"#Main_Tariff!A"&amp;MATCH("*"&amp;RIGHT(A145,8)&amp;"*",Main_Tariff!A:A,0)),Raeburn_Main_Tariff[[#This Row],[PRODUCER]])</f>
        <v>Feytit-Clinet</v>
      </c>
      <c r="C145" s="1178" t="s">
        <v>20351</v>
      </c>
      <c r="D145" s="1178" t="s">
        <v>897</v>
      </c>
      <c r="E145" s="1179">
        <v>2017</v>
      </c>
      <c r="F145" s="1282" t="s">
        <v>20220</v>
      </c>
      <c r="G145" s="1368">
        <v>59</v>
      </c>
      <c r="H145" s="1178" t="s">
        <v>20221</v>
      </c>
      <c r="I145" s="1178" t="s">
        <v>1555</v>
      </c>
      <c r="J145" s="1178" t="s">
        <v>662</v>
      </c>
      <c r="K145" s="1178" t="s">
        <v>20344</v>
      </c>
      <c r="L145" s="1178" t="s">
        <v>24</v>
      </c>
      <c r="M145" s="1369"/>
      <c r="N145" s="1178"/>
      <c r="O145" s="1178">
        <v>12</v>
      </c>
      <c r="P145" s="1178">
        <v>13</v>
      </c>
    </row>
    <row r="146" spans="1:16">
      <c r="A146" s="1178" t="s">
        <v>31</v>
      </c>
      <c r="B146" s="1371" t="str">
        <f>HYPERLINK(IFERROR("#Main_Tariff!A"&amp;MATCH(Raeburn_Main_Tariff[[#This Row],[Product Code]],Main_Tariff!I:I,0),"#Main_Tariff!A"&amp;MATCH("*"&amp;RIGHT(A146,8)&amp;"*",Main_Tariff!A:A,0)),Raeburn_Main_Tariff[[#This Row],[PRODUCER]])</f>
        <v>Feytit-Clinet</v>
      </c>
      <c r="C146" s="1178" t="s">
        <v>20351</v>
      </c>
      <c r="D146" s="1178" t="s">
        <v>897</v>
      </c>
      <c r="E146" s="1179">
        <v>2016</v>
      </c>
      <c r="F146" s="1282" t="s">
        <v>20220</v>
      </c>
      <c r="G146" s="1368">
        <v>66.5</v>
      </c>
      <c r="H146" s="1178" t="s">
        <v>20224</v>
      </c>
      <c r="I146" s="1178" t="s">
        <v>1557</v>
      </c>
      <c r="J146" s="1178" t="s">
        <v>662</v>
      </c>
      <c r="K146" s="1178" t="s">
        <v>20344</v>
      </c>
      <c r="L146" s="1178" t="s">
        <v>24</v>
      </c>
      <c r="M146" s="1369"/>
      <c r="N146" s="1178"/>
      <c r="O146" s="1178">
        <v>12</v>
      </c>
      <c r="P146" s="1178">
        <v>13</v>
      </c>
    </row>
    <row r="147" spans="1:16">
      <c r="A147" s="1178" t="s">
        <v>31</v>
      </c>
      <c r="B147" s="1371" t="str">
        <f>HYPERLINK(IFERROR("#Main_Tariff!A"&amp;MATCH(Raeburn_Main_Tariff[[#This Row],[Product Code]],Main_Tariff!I:I,0),"#Main_Tariff!A"&amp;MATCH("*"&amp;RIGHT(A147,8)&amp;"*",Main_Tariff!A:A,0)),Raeburn_Main_Tariff[[#This Row],[PRODUCER]])</f>
        <v>Feytit-Clinet</v>
      </c>
      <c r="C147" s="1178" t="s">
        <v>20351</v>
      </c>
      <c r="D147" s="1178" t="s">
        <v>897</v>
      </c>
      <c r="E147" s="1179">
        <v>2012</v>
      </c>
      <c r="F147" s="1282" t="s">
        <v>20220</v>
      </c>
      <c r="G147" s="1368">
        <v>49</v>
      </c>
      <c r="H147" s="1178" t="s">
        <v>20277</v>
      </c>
      <c r="I147" s="1178" t="s">
        <v>1559</v>
      </c>
      <c r="J147" s="1178" t="s">
        <v>662</v>
      </c>
      <c r="K147" s="1178" t="s">
        <v>20344</v>
      </c>
      <c r="L147" s="1178" t="s">
        <v>24</v>
      </c>
      <c r="M147" s="1369"/>
      <c r="N147" s="1178"/>
      <c r="O147" s="1178">
        <v>12</v>
      </c>
      <c r="P147" s="1178">
        <v>13</v>
      </c>
    </row>
    <row r="148" spans="1:16">
      <c r="A148" s="1178" t="s">
        <v>20352</v>
      </c>
      <c r="B148" s="1371" t="str">
        <f>HYPERLINK(IFERROR("#Main_Tariff!A"&amp;MATCH(Raeburn_Main_Tariff[[#This Row],[Product Code]],Main_Tariff!I:I,0),"#Main_Tariff!A"&amp;MATCH("*"&amp;RIGHT(A148,8)&amp;"*",Main_Tariff!A:A,0)),Raeburn_Main_Tariff[[#This Row],[PRODUCER]])</f>
        <v>La Fleur Petrus</v>
      </c>
      <c r="C148" s="1178" t="s">
        <v>20353</v>
      </c>
      <c r="D148" s="1178" t="s">
        <v>897</v>
      </c>
      <c r="E148" s="1179">
        <v>2022</v>
      </c>
      <c r="F148" s="1282" t="s">
        <v>20220</v>
      </c>
      <c r="G148" s="1368" t="s">
        <v>20342</v>
      </c>
      <c r="H148" s="1178" t="s">
        <v>20343</v>
      </c>
      <c r="I148" s="1178" t="s">
        <v>1561</v>
      </c>
      <c r="J148" s="1178" t="s">
        <v>662</v>
      </c>
      <c r="K148" s="1178" t="s">
        <v>20344</v>
      </c>
      <c r="L148" s="1178" t="s">
        <v>24</v>
      </c>
      <c r="M148" s="1369"/>
      <c r="N148" s="1178"/>
      <c r="O148" s="1178">
        <v>3</v>
      </c>
      <c r="P148" s="1178">
        <v>14.5</v>
      </c>
    </row>
    <row r="149" spans="1:16">
      <c r="A149" s="1178" t="s">
        <v>33</v>
      </c>
      <c r="B149" s="1371" t="str">
        <f>HYPERLINK(IFERROR("#Main_Tariff!A"&amp;MATCH(Raeburn_Main_Tariff[[#This Row],[Product Code]],Main_Tariff!I:I,0),"#Main_Tariff!A"&amp;MATCH("*"&amp;RIGHT(A149,8)&amp;"*",Main_Tariff!A:A,0)),Raeburn_Main_Tariff[[#This Row],[PRODUCER]])</f>
        <v>Guillot-Clauzel</v>
      </c>
      <c r="C149" s="1178" t="s">
        <v>20354</v>
      </c>
      <c r="D149" s="1178" t="s">
        <v>897</v>
      </c>
      <c r="E149" s="1179">
        <v>2020</v>
      </c>
      <c r="F149" s="1282" t="s">
        <v>20220</v>
      </c>
      <c r="G149" s="1368">
        <v>80</v>
      </c>
      <c r="H149" s="1178" t="s">
        <v>20221</v>
      </c>
      <c r="I149" s="1178" t="s">
        <v>1566</v>
      </c>
      <c r="J149" s="1178" t="s">
        <v>662</v>
      </c>
      <c r="K149" s="1178" t="s">
        <v>20344</v>
      </c>
      <c r="L149" s="1178" t="s">
        <v>24</v>
      </c>
      <c r="M149" s="1369"/>
      <c r="N149" s="1178"/>
      <c r="O149" s="1178">
        <v>6</v>
      </c>
      <c r="P149" s="1178">
        <v>13</v>
      </c>
    </row>
    <row r="150" spans="1:16">
      <c r="A150" s="1178" t="s">
        <v>33</v>
      </c>
      <c r="B150" s="1371" t="str">
        <f>HYPERLINK(IFERROR("#Main_Tariff!A"&amp;MATCH(Raeburn_Main_Tariff[[#This Row],[Product Code]],Main_Tariff!I:I,0),"#Main_Tariff!A"&amp;MATCH("*"&amp;RIGHT(A150,8)&amp;"*",Main_Tariff!A:A,0)),Raeburn_Main_Tariff[[#This Row],[PRODUCER]])</f>
        <v>Guillot-Clauzel</v>
      </c>
      <c r="C150" s="1178" t="s">
        <v>20354</v>
      </c>
      <c r="D150" s="1178" t="s">
        <v>897</v>
      </c>
      <c r="E150" s="1179">
        <v>2019</v>
      </c>
      <c r="F150" s="1282" t="s">
        <v>20220</v>
      </c>
      <c r="G150" s="1368">
        <v>69.5</v>
      </c>
      <c r="H150" s="1178" t="s">
        <v>20221</v>
      </c>
      <c r="I150" s="1178" t="s">
        <v>1568</v>
      </c>
      <c r="J150" s="1178" t="s">
        <v>662</v>
      </c>
      <c r="K150" s="1178" t="s">
        <v>20344</v>
      </c>
      <c r="L150" s="1178" t="s">
        <v>24</v>
      </c>
      <c r="M150" s="1369"/>
      <c r="N150" s="1178"/>
      <c r="O150" s="1178">
        <v>6</v>
      </c>
      <c r="P150" s="1178">
        <v>13</v>
      </c>
    </row>
    <row r="151" spans="1:16">
      <c r="A151" s="1178" t="s">
        <v>33</v>
      </c>
      <c r="B151" s="1371" t="str">
        <f>HYPERLINK(IFERROR("#Main_Tariff!A"&amp;MATCH(Raeburn_Main_Tariff[[#This Row],[Product Code]],Main_Tariff!I:I,0),"#Main_Tariff!A"&amp;MATCH("*"&amp;RIGHT(A151,8)&amp;"*",Main_Tariff!A:A,0)),Raeburn_Main_Tariff[[#This Row],[PRODUCER]])</f>
        <v>Guillot-Clauzel</v>
      </c>
      <c r="C151" s="1178" t="s">
        <v>20354</v>
      </c>
      <c r="D151" s="1178" t="s">
        <v>897</v>
      </c>
      <c r="E151" s="1179">
        <v>2018</v>
      </c>
      <c r="F151" s="1282" t="s">
        <v>20220</v>
      </c>
      <c r="G151" s="1368">
        <v>69.5</v>
      </c>
      <c r="H151" s="1178" t="s">
        <v>20221</v>
      </c>
      <c r="I151" s="1178" t="s">
        <v>1570</v>
      </c>
      <c r="J151" s="1178" t="s">
        <v>662</v>
      </c>
      <c r="K151" s="1178" t="s">
        <v>20344</v>
      </c>
      <c r="L151" s="1178" t="s">
        <v>24</v>
      </c>
      <c r="M151" s="1369"/>
      <c r="N151" s="1178"/>
      <c r="O151" s="1178">
        <v>6</v>
      </c>
      <c r="P151" s="1178">
        <v>14</v>
      </c>
    </row>
    <row r="152" spans="1:16">
      <c r="A152" s="1178" t="s">
        <v>33</v>
      </c>
      <c r="B152" s="1371" t="str">
        <f>HYPERLINK(IFERROR("#Main_Tariff!A"&amp;MATCH(Raeburn_Main_Tariff[[#This Row],[Product Code]],Main_Tariff!I:I,0),"#Main_Tariff!A"&amp;MATCH("*"&amp;RIGHT(A152,8)&amp;"*",Main_Tariff!A:A,0)),Raeburn_Main_Tariff[[#This Row],[PRODUCER]])</f>
        <v>Guillot-Clauzel</v>
      </c>
      <c r="C152" s="1178" t="s">
        <v>20355</v>
      </c>
      <c r="D152" s="1178" t="s">
        <v>897</v>
      </c>
      <c r="E152" s="1179">
        <v>1994</v>
      </c>
      <c r="F152" s="1282" t="s">
        <v>20240</v>
      </c>
      <c r="G152" s="1368">
        <v>82</v>
      </c>
      <c r="H152" s="1178" t="s">
        <v>20224</v>
      </c>
      <c r="I152" s="1178" t="s">
        <v>1572</v>
      </c>
      <c r="J152" s="1178" t="s">
        <v>662</v>
      </c>
      <c r="K152" s="1178" t="s">
        <v>20344</v>
      </c>
      <c r="L152" s="1178" t="s">
        <v>24</v>
      </c>
      <c r="M152" s="1369"/>
      <c r="N152" s="1178"/>
      <c r="O152" s="1178">
        <v>6</v>
      </c>
      <c r="P152" s="1178">
        <v>13</v>
      </c>
    </row>
    <row r="153" spans="1:16">
      <c r="A153" s="1178" t="s">
        <v>34</v>
      </c>
      <c r="B153" s="1371" t="str">
        <f>HYPERLINK(IFERROR("#Main_Tariff!A"&amp;MATCH(Raeburn_Main_Tariff[[#This Row],[Product Code]],Main_Tariff!I:I,0),"#Main_Tariff!A"&amp;MATCH("*"&amp;RIGHT(A153,8)&amp;"*",Main_Tariff!A:A,0)),Raeburn_Main_Tariff[[#This Row],[PRODUCER]])</f>
        <v>Mayne-Réné</v>
      </c>
      <c r="C153" s="1178" t="s">
        <v>20356</v>
      </c>
      <c r="D153" s="1178" t="s">
        <v>897</v>
      </c>
      <c r="E153" s="1179">
        <v>1997</v>
      </c>
      <c r="F153" s="1282" t="s">
        <v>20220</v>
      </c>
      <c r="G153" s="1368">
        <v>23.5</v>
      </c>
      <c r="H153" s="1178" t="s">
        <v>20221</v>
      </c>
      <c r="I153" s="1178" t="s">
        <v>1576</v>
      </c>
      <c r="J153" s="1178" t="s">
        <v>662</v>
      </c>
      <c r="K153" s="1178" t="s">
        <v>20344</v>
      </c>
      <c r="L153" s="1178" t="s">
        <v>24</v>
      </c>
      <c r="M153" s="1369"/>
      <c r="N153" s="1178"/>
      <c r="O153" s="1178">
        <v>6</v>
      </c>
      <c r="P153" s="1178">
        <v>12.5</v>
      </c>
    </row>
    <row r="154" spans="1:16">
      <c r="A154" s="1178" t="s">
        <v>35</v>
      </c>
      <c r="B154" s="1371" t="str">
        <f>HYPERLINK(IFERROR("#Main_Tariff!A"&amp;MATCH(Raeburn_Main_Tariff[[#This Row],[Product Code]],Main_Tariff!I:I,0),"#Main_Tariff!A"&amp;MATCH("*"&amp;RIGHT(A154,8)&amp;"*",Main_Tariff!A:A,0)),Raeburn_Main_Tariff[[#This Row],[PRODUCER]])</f>
        <v>Lafleur</v>
      </c>
      <c r="C154" s="1178" t="s">
        <v>20357</v>
      </c>
      <c r="D154" s="1178" t="s">
        <v>897</v>
      </c>
      <c r="E154" s="1179">
        <v>2020</v>
      </c>
      <c r="F154" s="1282" t="s">
        <v>20220</v>
      </c>
      <c r="G154" s="1368" t="s">
        <v>5258</v>
      </c>
      <c r="H154" s="1178" t="s">
        <v>20224</v>
      </c>
      <c r="I154" s="1178" t="s">
        <v>1582</v>
      </c>
      <c r="J154" s="1178" t="s">
        <v>662</v>
      </c>
      <c r="K154" s="1178" t="s">
        <v>20344</v>
      </c>
      <c r="L154" s="1178" t="s">
        <v>24</v>
      </c>
      <c r="M154" s="1369"/>
      <c r="N154" s="1178"/>
      <c r="O154" s="1178">
        <v>6</v>
      </c>
      <c r="P154" s="1178">
        <v>13</v>
      </c>
    </row>
    <row r="155" spans="1:16">
      <c r="A155" s="1178" t="s">
        <v>35</v>
      </c>
      <c r="B155" s="1371" t="str">
        <f>HYPERLINK(IFERROR("#Main_Tariff!A"&amp;MATCH(Raeburn_Main_Tariff[[#This Row],[Product Code]],Main_Tariff!I:I,0),"#Main_Tariff!A"&amp;MATCH("*"&amp;RIGHT(A155,8)&amp;"*",Main_Tariff!A:A,0)),Raeburn_Main_Tariff[[#This Row],[PRODUCER]])</f>
        <v>Lafleur</v>
      </c>
      <c r="C155" s="1178" t="s">
        <v>20357</v>
      </c>
      <c r="D155" s="1178" t="s">
        <v>897</v>
      </c>
      <c r="E155" s="1179">
        <v>2019</v>
      </c>
      <c r="F155" s="1282" t="s">
        <v>20220</v>
      </c>
      <c r="G155" s="1368" t="s">
        <v>5258</v>
      </c>
      <c r="H155" s="1178" t="s">
        <v>20224</v>
      </c>
      <c r="I155" s="1178" t="s">
        <v>1584</v>
      </c>
      <c r="J155" s="1178" t="s">
        <v>662</v>
      </c>
      <c r="K155" s="1178" t="s">
        <v>20344</v>
      </c>
      <c r="L155" s="1178" t="s">
        <v>24</v>
      </c>
      <c r="M155" s="1369"/>
      <c r="N155" s="1178"/>
      <c r="O155" s="1178">
        <v>6</v>
      </c>
      <c r="P155" s="1178">
        <v>13</v>
      </c>
    </row>
    <row r="156" spans="1:16">
      <c r="A156" s="1178" t="s">
        <v>35</v>
      </c>
      <c r="B156" s="1371" t="str">
        <f>HYPERLINK(IFERROR("#Main_Tariff!A"&amp;MATCH(Raeburn_Main_Tariff[[#This Row],[Product Code]],Main_Tariff!I:I,0),"#Main_Tariff!A"&amp;MATCH("*"&amp;RIGHT(A156,8)&amp;"*",Main_Tariff!A:A,0)),Raeburn_Main_Tariff[[#This Row],[PRODUCER]])</f>
        <v>Lafleur</v>
      </c>
      <c r="C156" s="1178" t="s">
        <v>20358</v>
      </c>
      <c r="D156" s="1178" t="s">
        <v>897</v>
      </c>
      <c r="E156" s="1179">
        <v>2022</v>
      </c>
      <c r="F156" s="1282" t="s">
        <v>20220</v>
      </c>
      <c r="G156" s="1368" t="s">
        <v>5258</v>
      </c>
      <c r="H156" s="1178" t="s">
        <v>20224</v>
      </c>
      <c r="I156" s="1178" t="s">
        <v>1588</v>
      </c>
      <c r="J156" s="1178" t="s">
        <v>662</v>
      </c>
      <c r="K156" s="1178" t="s">
        <v>20344</v>
      </c>
      <c r="L156" s="1178" t="s">
        <v>24</v>
      </c>
      <c r="M156" s="1369"/>
      <c r="N156" s="1178"/>
      <c r="O156" s="1178">
        <v>3</v>
      </c>
      <c r="P156" s="1178">
        <v>14.5</v>
      </c>
    </row>
    <row r="157" spans="1:16">
      <c r="A157" s="1178" t="s">
        <v>35</v>
      </c>
      <c r="B157" s="1371" t="str">
        <f>HYPERLINK(IFERROR("#Main_Tariff!A"&amp;MATCH(Raeburn_Main_Tariff[[#This Row],[Product Code]],Main_Tariff!I:I,0),"#Main_Tariff!A"&amp;MATCH("*"&amp;RIGHT(A157,8)&amp;"*",Main_Tariff!A:A,0)),Raeburn_Main_Tariff[[#This Row],[PRODUCER]])</f>
        <v>Lafleur</v>
      </c>
      <c r="C157" s="1178" t="s">
        <v>20358</v>
      </c>
      <c r="D157" s="1178" t="s">
        <v>897</v>
      </c>
      <c r="E157" s="1179">
        <v>2021</v>
      </c>
      <c r="F157" s="1282" t="s">
        <v>20220</v>
      </c>
      <c r="G157" s="1368" t="s">
        <v>5258</v>
      </c>
      <c r="H157" s="1178" t="s">
        <v>20224</v>
      </c>
      <c r="I157" s="1178" t="s">
        <v>1590</v>
      </c>
      <c r="J157" s="1178" t="s">
        <v>662</v>
      </c>
      <c r="K157" s="1178" t="s">
        <v>20344</v>
      </c>
      <c r="L157" s="1178" t="s">
        <v>24</v>
      </c>
      <c r="M157" s="1369"/>
      <c r="N157" s="1178"/>
      <c r="O157" s="1178">
        <v>3</v>
      </c>
      <c r="P157" s="1178">
        <v>13.5</v>
      </c>
    </row>
    <row r="158" spans="1:16">
      <c r="A158" s="1178" t="s">
        <v>35</v>
      </c>
      <c r="B158" s="1371" t="str">
        <f>HYPERLINK(IFERROR("#Main_Tariff!A"&amp;MATCH(Raeburn_Main_Tariff[[#This Row],[Product Code]],Main_Tariff!I:I,0),"#Main_Tariff!A"&amp;MATCH("*"&amp;RIGHT(A158,8)&amp;"*",Main_Tariff!A:A,0)),Raeburn_Main_Tariff[[#This Row],[PRODUCER]])</f>
        <v>Lafleur</v>
      </c>
      <c r="C158" s="1178" t="s">
        <v>20358</v>
      </c>
      <c r="D158" s="1178" t="s">
        <v>897</v>
      </c>
      <c r="E158" s="1179">
        <v>2020</v>
      </c>
      <c r="F158" s="1282" t="s">
        <v>20220</v>
      </c>
      <c r="G158" s="1368" t="s">
        <v>5258</v>
      </c>
      <c r="H158" s="1178" t="s">
        <v>20224</v>
      </c>
      <c r="I158" s="1178" t="s">
        <v>1592</v>
      </c>
      <c r="J158" s="1178" t="s">
        <v>662</v>
      </c>
      <c r="K158" s="1178" t="s">
        <v>20344</v>
      </c>
      <c r="L158" s="1178" t="s">
        <v>24</v>
      </c>
      <c r="M158" s="1369"/>
      <c r="N158" s="1178"/>
      <c r="O158" s="1178">
        <v>6</v>
      </c>
      <c r="P158" s="1178">
        <v>13</v>
      </c>
    </row>
    <row r="159" spans="1:16">
      <c r="A159" s="1178" t="s">
        <v>35</v>
      </c>
      <c r="B159" s="1371" t="str">
        <f>HYPERLINK(IFERROR("#Main_Tariff!A"&amp;MATCH(Raeburn_Main_Tariff[[#This Row],[Product Code]],Main_Tariff!I:I,0),"#Main_Tariff!A"&amp;MATCH("*"&amp;RIGHT(A159,8)&amp;"*",Main_Tariff!A:A,0)),Raeburn_Main_Tariff[[#This Row],[PRODUCER]])</f>
        <v>Lafleur</v>
      </c>
      <c r="C159" s="1178" t="s">
        <v>20358</v>
      </c>
      <c r="D159" s="1178" t="s">
        <v>897</v>
      </c>
      <c r="E159" s="1179">
        <v>2018</v>
      </c>
      <c r="F159" s="1282" t="s">
        <v>20220</v>
      </c>
      <c r="G159" s="1368" t="s">
        <v>5258</v>
      </c>
      <c r="H159" s="1178" t="s">
        <v>20224</v>
      </c>
      <c r="I159" s="1178" t="s">
        <v>1594</v>
      </c>
      <c r="J159" s="1178" t="s">
        <v>662</v>
      </c>
      <c r="K159" s="1178" t="s">
        <v>20344</v>
      </c>
      <c r="L159" s="1178" t="s">
        <v>24</v>
      </c>
      <c r="M159" s="1369"/>
      <c r="N159" s="1178"/>
      <c r="O159" s="1178">
        <v>3</v>
      </c>
      <c r="P159" s="1178">
        <v>13</v>
      </c>
    </row>
    <row r="160" spans="1:16">
      <c r="A160" s="1178" t="s">
        <v>35</v>
      </c>
      <c r="B160" s="1371" t="str">
        <f>HYPERLINK(IFERROR("#Main_Tariff!A"&amp;MATCH(Raeburn_Main_Tariff[[#This Row],[Product Code]],Main_Tariff!I:I,0),"#Main_Tariff!A"&amp;MATCH("*"&amp;RIGHT(A160,8)&amp;"*",Main_Tariff!A:A,0)),Raeburn_Main_Tariff[[#This Row],[PRODUCER]])</f>
        <v>Lafleur</v>
      </c>
      <c r="C160" s="1178" t="s">
        <v>20358</v>
      </c>
      <c r="D160" s="1178" t="s">
        <v>897</v>
      </c>
      <c r="E160" s="1179">
        <v>2017</v>
      </c>
      <c r="F160" s="1282" t="s">
        <v>20220</v>
      </c>
      <c r="G160" s="1368" t="s">
        <v>5258</v>
      </c>
      <c r="H160" s="1178" t="s">
        <v>20224</v>
      </c>
      <c r="I160" s="1178" t="s">
        <v>1596</v>
      </c>
      <c r="J160" s="1178" t="s">
        <v>662</v>
      </c>
      <c r="K160" s="1178" t="s">
        <v>20344</v>
      </c>
      <c r="L160" s="1178" t="s">
        <v>24</v>
      </c>
      <c r="M160" s="1369"/>
      <c r="N160" s="1178"/>
      <c r="O160" s="1178">
        <v>3</v>
      </c>
      <c r="P160" s="1178">
        <v>15</v>
      </c>
    </row>
    <row r="161" spans="1:16">
      <c r="A161" s="1178" t="s">
        <v>36</v>
      </c>
      <c r="B161" s="1371" t="str">
        <f>HYPERLINK(IFERROR("#Main_Tariff!A"&amp;MATCH(Raeburn_Main_Tariff[[#This Row],[Product Code]],Main_Tariff!I:I,0),"#Main_Tariff!A"&amp;MATCH("*"&amp;RIGHT(A161,8)&amp;"*",Main_Tariff!A:A,0)),Raeburn_Main_Tariff[[#This Row],[PRODUCER]])</f>
        <v>Latour a Pomerol</v>
      </c>
      <c r="C161" s="1178" t="s">
        <v>20359</v>
      </c>
      <c r="D161" s="1178" t="s">
        <v>897</v>
      </c>
      <c r="E161" s="1179">
        <v>2020</v>
      </c>
      <c r="F161" s="1282" t="s">
        <v>20220</v>
      </c>
      <c r="G161" s="1368">
        <v>74</v>
      </c>
      <c r="H161" s="1178" t="s">
        <v>20224</v>
      </c>
      <c r="I161" s="1178" t="s">
        <v>1613</v>
      </c>
      <c r="J161" s="1178" t="s">
        <v>662</v>
      </c>
      <c r="K161" s="1178" t="s">
        <v>20344</v>
      </c>
      <c r="L161" s="1178" t="s">
        <v>24</v>
      </c>
      <c r="M161" s="1369"/>
      <c r="N161" s="1178"/>
      <c r="O161" s="1178">
        <v>6</v>
      </c>
      <c r="P161" s="1178">
        <v>13</v>
      </c>
    </row>
    <row r="162" spans="1:16">
      <c r="A162" s="1178" t="s">
        <v>37</v>
      </c>
      <c r="B162" s="1371" t="str">
        <f>HYPERLINK(IFERROR("#Main_Tariff!A"&amp;MATCH(Raeburn_Main_Tariff[[#This Row],[Product Code]],Main_Tariff!I:I,0),"#Main_Tariff!A"&amp;MATCH("*"&amp;RIGHT(A162,8)&amp;"*",Main_Tariff!A:A,0)),Raeburn_Main_Tariff[[#This Row],[PRODUCER]])</f>
        <v>Le Pin</v>
      </c>
      <c r="C162" s="1178" t="s">
        <v>20360</v>
      </c>
      <c r="D162" s="1178" t="s">
        <v>897</v>
      </c>
      <c r="E162" s="1179" t="s">
        <v>20361</v>
      </c>
      <c r="F162" s="1282" t="s">
        <v>20220</v>
      </c>
      <c r="G162" s="1368" t="s">
        <v>5258</v>
      </c>
      <c r="H162" s="1178" t="s">
        <v>20224</v>
      </c>
      <c r="I162" s="1178" t="s">
        <v>1618</v>
      </c>
      <c r="J162" s="1178" t="s">
        <v>662</v>
      </c>
      <c r="K162" s="1178" t="s">
        <v>20344</v>
      </c>
      <c r="L162" s="1178" t="s">
        <v>24</v>
      </c>
      <c r="M162" s="1369"/>
      <c r="N162" s="1178"/>
      <c r="O162" s="1178">
        <v>6</v>
      </c>
      <c r="P162" s="1178">
        <v>14</v>
      </c>
    </row>
    <row r="163" spans="1:16">
      <c r="A163" s="1178" t="s">
        <v>37</v>
      </c>
      <c r="B163" s="1371" t="str">
        <f>HYPERLINK(IFERROR("#Main_Tariff!A"&amp;MATCH(Raeburn_Main_Tariff[[#This Row],[Product Code]],Main_Tariff!I:I,0),"#Main_Tariff!A"&amp;MATCH("*"&amp;RIGHT(A163,8)&amp;"*",Main_Tariff!A:A,0)),Raeburn_Main_Tariff[[#This Row],[PRODUCER]])</f>
        <v>Le Pin</v>
      </c>
      <c r="C163" s="1178" t="s">
        <v>37</v>
      </c>
      <c r="D163" s="1178" t="s">
        <v>897</v>
      </c>
      <c r="E163" s="1179">
        <v>2021</v>
      </c>
      <c r="F163" s="1282" t="s">
        <v>20220</v>
      </c>
      <c r="G163" s="1368" t="s">
        <v>5258</v>
      </c>
      <c r="H163" s="1178" t="s">
        <v>20224</v>
      </c>
      <c r="I163" s="1178" t="s">
        <v>1620</v>
      </c>
      <c r="J163" s="1178" t="s">
        <v>662</v>
      </c>
      <c r="K163" s="1178" t="s">
        <v>20344</v>
      </c>
      <c r="L163" s="1178" t="s">
        <v>24</v>
      </c>
      <c r="M163" s="1369"/>
      <c r="N163" s="1178"/>
      <c r="O163" s="1178">
        <v>1</v>
      </c>
      <c r="P163" s="1178">
        <v>13.5</v>
      </c>
    </row>
    <row r="164" spans="1:16">
      <c r="A164" s="1178" t="s">
        <v>38</v>
      </c>
      <c r="B164" s="1371" t="str">
        <f>HYPERLINK(IFERROR("#Main_Tariff!A"&amp;MATCH(Raeburn_Main_Tariff[[#This Row],[Product Code]],Main_Tariff!I:I,0),"#Main_Tariff!A"&amp;MATCH("*"&amp;RIGHT(A164,8)&amp;"*",Main_Tariff!A:A,0)),Raeburn_Main_Tariff[[#This Row],[PRODUCER]])</f>
        <v>Trotanoy</v>
      </c>
      <c r="C164" s="1178" t="s">
        <v>20362</v>
      </c>
      <c r="D164" s="1178" t="s">
        <v>897</v>
      </c>
      <c r="E164" s="1179">
        <v>2022</v>
      </c>
      <c r="F164" s="1282" t="s">
        <v>20220</v>
      </c>
      <c r="G164" s="1368" t="s">
        <v>20342</v>
      </c>
      <c r="H164" s="1178" t="s">
        <v>20343</v>
      </c>
      <c r="I164" s="1178" t="s">
        <v>1636</v>
      </c>
      <c r="J164" s="1178" t="s">
        <v>662</v>
      </c>
      <c r="K164" s="1178" t="s">
        <v>20344</v>
      </c>
      <c r="L164" s="1178" t="s">
        <v>24</v>
      </c>
      <c r="M164" s="1369"/>
      <c r="N164" s="1178"/>
      <c r="O164" s="1178">
        <v>3</v>
      </c>
      <c r="P164" s="1178">
        <v>0</v>
      </c>
    </row>
    <row r="165" spans="1:16">
      <c r="A165" s="1178" t="s">
        <v>38</v>
      </c>
      <c r="B165" s="1371" t="str">
        <f>HYPERLINK(IFERROR("#Main_Tariff!A"&amp;MATCH(Raeburn_Main_Tariff[[#This Row],[Product Code]],Main_Tariff!I:I,0),"#Main_Tariff!A"&amp;MATCH("*"&amp;RIGHT(A165,8)&amp;"*",Main_Tariff!A:A,0)),Raeburn_Main_Tariff[[#This Row],[PRODUCER]])</f>
        <v>Trotanoy</v>
      </c>
      <c r="C165" s="1178" t="s">
        <v>20362</v>
      </c>
      <c r="D165" s="1178" t="s">
        <v>897</v>
      </c>
      <c r="E165" s="1179">
        <v>2020</v>
      </c>
      <c r="F165" s="1282" t="s">
        <v>20220</v>
      </c>
      <c r="G165" s="1368">
        <v>225.5</v>
      </c>
      <c r="H165" s="1178" t="s">
        <v>20224</v>
      </c>
      <c r="I165" s="1178" t="s">
        <v>1638</v>
      </c>
      <c r="J165" s="1178" t="s">
        <v>662</v>
      </c>
      <c r="K165" s="1178" t="s">
        <v>20344</v>
      </c>
      <c r="L165" s="1178" t="s">
        <v>24</v>
      </c>
      <c r="M165" s="1369"/>
      <c r="N165" s="1178"/>
      <c r="O165" s="1178">
        <v>6</v>
      </c>
      <c r="P165" s="1178">
        <v>13</v>
      </c>
    </row>
    <row r="166" spans="1:16">
      <c r="A166" s="1178" t="s">
        <v>39</v>
      </c>
      <c r="B166" s="1371" t="str">
        <f>HYPERLINK(IFERROR("#Main_Tariff!A"&amp;MATCH(Raeburn_Main_Tariff[[#This Row],[Product Code]],Main_Tariff!I:I,0),"#Main_Tariff!A"&amp;MATCH("*"&amp;RIGHT(A166,8)&amp;"*",Main_Tariff!A:A,0)),Raeburn_Main_Tariff[[#This Row],[PRODUCER]])</f>
        <v>Vieux Chateau Certan</v>
      </c>
      <c r="C166" s="1178" t="s">
        <v>39</v>
      </c>
      <c r="D166" s="1178" t="s">
        <v>897</v>
      </c>
      <c r="E166" s="1179">
        <v>2022</v>
      </c>
      <c r="F166" s="1282" t="s">
        <v>20220</v>
      </c>
      <c r="G166" s="1368" t="s">
        <v>5258</v>
      </c>
      <c r="H166" s="1178" t="s">
        <v>20221</v>
      </c>
      <c r="I166" s="1178" t="s">
        <v>1642</v>
      </c>
      <c r="J166" s="1178" t="s">
        <v>662</v>
      </c>
      <c r="K166" s="1178" t="s">
        <v>20344</v>
      </c>
      <c r="L166" s="1178" t="s">
        <v>24</v>
      </c>
      <c r="M166" s="1369"/>
      <c r="N166" s="1178"/>
      <c r="O166" s="1178">
        <v>6</v>
      </c>
      <c r="P166" s="1178">
        <v>14.5</v>
      </c>
    </row>
    <row r="167" spans="1:16">
      <c r="A167" s="1178" t="s">
        <v>39</v>
      </c>
      <c r="B167" s="1371" t="str">
        <f>HYPERLINK(IFERROR("#Main_Tariff!A"&amp;MATCH(Raeburn_Main_Tariff[[#This Row],[Product Code]],Main_Tariff!I:I,0),"#Main_Tariff!A"&amp;MATCH("*"&amp;RIGHT(A167,8)&amp;"*",Main_Tariff!A:A,0)),Raeburn_Main_Tariff[[#This Row],[PRODUCER]])</f>
        <v>Vieux Chateau Certan</v>
      </c>
      <c r="C167" s="1178" t="s">
        <v>39</v>
      </c>
      <c r="D167" s="1178" t="s">
        <v>897</v>
      </c>
      <c r="E167" s="1179">
        <v>2021</v>
      </c>
      <c r="F167" s="1282" t="s">
        <v>20220</v>
      </c>
      <c r="G167" s="1368">
        <v>284.5</v>
      </c>
      <c r="H167" s="1178" t="s">
        <v>20221</v>
      </c>
      <c r="I167" s="1178" t="s">
        <v>1644</v>
      </c>
      <c r="J167" s="1178" t="s">
        <v>662</v>
      </c>
      <c r="K167" s="1178" t="s">
        <v>20344</v>
      </c>
      <c r="L167" s="1178" t="s">
        <v>24</v>
      </c>
      <c r="M167" s="1369"/>
      <c r="N167" s="1178"/>
      <c r="O167" s="1178">
        <v>6</v>
      </c>
      <c r="P167" s="1178">
        <v>13</v>
      </c>
    </row>
    <row r="168" spans="1:16">
      <c r="A168" s="1178" t="s">
        <v>39</v>
      </c>
      <c r="B168" s="1371" t="str">
        <f>HYPERLINK(IFERROR("#Main_Tariff!A"&amp;MATCH(Raeburn_Main_Tariff[[#This Row],[Product Code]],Main_Tariff!I:I,0),"#Main_Tariff!A"&amp;MATCH("*"&amp;RIGHT(A168,8)&amp;"*",Main_Tariff!A:A,0)),Raeburn_Main_Tariff[[#This Row],[PRODUCER]])</f>
        <v>Vieux Chateau Certan</v>
      </c>
      <c r="C168" s="1178" t="s">
        <v>39</v>
      </c>
      <c r="D168" s="1178" t="s">
        <v>897</v>
      </c>
      <c r="E168" s="1179">
        <v>2020</v>
      </c>
      <c r="F168" s="1282" t="s">
        <v>20220</v>
      </c>
      <c r="G168" s="1368">
        <v>297.5</v>
      </c>
      <c r="H168" s="1178" t="s">
        <v>20224</v>
      </c>
      <c r="I168" s="1178" t="s">
        <v>1646</v>
      </c>
      <c r="J168" s="1178" t="s">
        <v>662</v>
      </c>
      <c r="K168" s="1178" t="s">
        <v>20344</v>
      </c>
      <c r="L168" s="1178" t="s">
        <v>24</v>
      </c>
      <c r="M168" s="1369"/>
      <c r="N168" s="1178"/>
      <c r="O168" s="1178">
        <v>6</v>
      </c>
      <c r="P168" s="1178">
        <v>14.5</v>
      </c>
    </row>
    <row r="169" spans="1:16">
      <c r="A169" s="1178" t="s">
        <v>39</v>
      </c>
      <c r="B169" s="1371" t="str">
        <f>HYPERLINK(IFERROR("#Main_Tariff!A"&amp;MATCH(Raeburn_Main_Tariff[[#This Row],[Product Code]],Main_Tariff!I:I,0),"#Main_Tariff!A"&amp;MATCH("*"&amp;RIGHT(A169,8)&amp;"*",Main_Tariff!A:A,0)),Raeburn_Main_Tariff[[#This Row],[PRODUCER]])</f>
        <v>Vieux Chateau Certan</v>
      </c>
      <c r="C169" s="1178" t="s">
        <v>39</v>
      </c>
      <c r="D169" s="1178" t="s">
        <v>897</v>
      </c>
      <c r="E169" s="1179">
        <v>2018</v>
      </c>
      <c r="F169" s="1282" t="s">
        <v>20220</v>
      </c>
      <c r="G169" s="1368">
        <v>265.5</v>
      </c>
      <c r="H169" s="1178" t="s">
        <v>20221</v>
      </c>
      <c r="I169" s="1178" t="s">
        <v>1648</v>
      </c>
      <c r="J169" s="1178" t="s">
        <v>662</v>
      </c>
      <c r="K169" s="1178" t="s">
        <v>20344</v>
      </c>
      <c r="L169" s="1178" t="s">
        <v>24</v>
      </c>
      <c r="M169" s="1369"/>
      <c r="N169" s="1178"/>
      <c r="O169" s="1178">
        <v>12</v>
      </c>
      <c r="P169" s="1178">
        <v>13.5</v>
      </c>
    </row>
    <row r="170" spans="1:16">
      <c r="A170" s="1178" t="s">
        <v>39</v>
      </c>
      <c r="B170" s="1371" t="str">
        <f>HYPERLINK(IFERROR("#Main_Tariff!A"&amp;MATCH(Raeburn_Main_Tariff[[#This Row],[Product Code]],Main_Tariff!I:I,0),"#Main_Tariff!A"&amp;MATCH("*"&amp;RIGHT(A170,8)&amp;"*",Main_Tariff!A:A,0)),Raeburn_Main_Tariff[[#This Row],[PRODUCER]])</f>
        <v>Vieux Chateau Certan</v>
      </c>
      <c r="C170" s="1178" t="s">
        <v>39</v>
      </c>
      <c r="D170" s="1178" t="s">
        <v>897</v>
      </c>
      <c r="E170" s="1179">
        <v>2017</v>
      </c>
      <c r="F170" s="1282" t="s">
        <v>20220</v>
      </c>
      <c r="G170" s="1368">
        <v>213.5</v>
      </c>
      <c r="H170" s="1178" t="s">
        <v>20221</v>
      </c>
      <c r="I170" s="1178" t="s">
        <v>1650</v>
      </c>
      <c r="J170" s="1178" t="s">
        <v>662</v>
      </c>
      <c r="K170" s="1178" t="s">
        <v>20344</v>
      </c>
      <c r="L170" s="1178" t="s">
        <v>24</v>
      </c>
      <c r="M170" s="1369"/>
      <c r="N170" s="1178"/>
      <c r="O170" s="1178">
        <v>6</v>
      </c>
      <c r="P170" s="1178">
        <v>13</v>
      </c>
    </row>
    <row r="171" spans="1:16">
      <c r="A171" s="1178" t="s">
        <v>39</v>
      </c>
      <c r="B171" s="1371" t="str">
        <f>HYPERLINK(IFERROR("#Main_Tariff!A"&amp;MATCH(Raeburn_Main_Tariff[[#This Row],[Product Code]],Main_Tariff!I:I,0),"#Main_Tariff!A"&amp;MATCH("*"&amp;RIGHT(A171,8)&amp;"*",Main_Tariff!A:A,0)),Raeburn_Main_Tariff[[#This Row],[PRODUCER]])</f>
        <v>Vieux Chateau Certan</v>
      </c>
      <c r="C171" s="1178" t="s">
        <v>20363</v>
      </c>
      <c r="D171" s="1178" t="s">
        <v>897</v>
      </c>
      <c r="E171" s="1179">
        <v>2011</v>
      </c>
      <c r="F171" s="1282" t="s">
        <v>20240</v>
      </c>
      <c r="G171" s="1368" t="s">
        <v>5258</v>
      </c>
      <c r="H171" s="1178" t="s">
        <v>20224</v>
      </c>
      <c r="I171" s="1178" t="s">
        <v>1652</v>
      </c>
      <c r="J171" s="1178" t="s">
        <v>662</v>
      </c>
      <c r="K171" s="1178" t="s">
        <v>20344</v>
      </c>
      <c r="L171" s="1178" t="s">
        <v>24</v>
      </c>
      <c r="M171" s="1369"/>
      <c r="N171" s="1178"/>
      <c r="O171" s="1178">
        <v>1</v>
      </c>
      <c r="P171" s="1178">
        <v>13</v>
      </c>
    </row>
    <row r="172" spans="1:16">
      <c r="A172" s="1178" t="s">
        <v>40</v>
      </c>
      <c r="B172" s="1371" t="str">
        <f>HYPERLINK(IFERROR("#Main_Tariff!A"&amp;MATCH(Raeburn_Main_Tariff[[#This Row],[Product Code]],Main_Tariff!I:I,0),"#Main_Tariff!A"&amp;MATCH("*"&amp;RIGHT(A172,8)&amp;"*",Main_Tariff!A:A,0)),Raeburn_Main_Tariff[[#This Row],[PRODUCER]])</f>
        <v>La Violette</v>
      </c>
      <c r="C172" s="1178" t="s">
        <v>20364</v>
      </c>
      <c r="D172" s="1178" t="s">
        <v>897</v>
      </c>
      <c r="E172" s="1179">
        <v>2019</v>
      </c>
      <c r="F172" s="1282" t="s">
        <v>20220</v>
      </c>
      <c r="G172" s="1368" t="s">
        <v>5258</v>
      </c>
      <c r="H172" s="1178" t="s">
        <v>20224</v>
      </c>
      <c r="I172" s="1178" t="s">
        <v>1657</v>
      </c>
      <c r="J172" s="1178" t="s">
        <v>662</v>
      </c>
      <c r="K172" s="1178" t="s">
        <v>20344</v>
      </c>
      <c r="L172" s="1178" t="s">
        <v>24</v>
      </c>
      <c r="M172" s="1369"/>
      <c r="N172" s="1178"/>
      <c r="O172" s="1178">
        <v>3</v>
      </c>
      <c r="P172" s="1178">
        <v>13</v>
      </c>
    </row>
    <row r="173" spans="1:16">
      <c r="A173" s="1178" t="s">
        <v>41</v>
      </c>
      <c r="B173" s="1371" t="str">
        <f>HYPERLINK(IFERROR("#Main_Tariff!A"&amp;MATCH(Raeburn_Main_Tariff[[#This Row],[Product Code]],Main_Tariff!I:I,0),"#Main_Tariff!A"&amp;MATCH("*"&amp;RIGHT(A173,8)&amp;"*",Main_Tariff!A:A,0)),Raeburn_Main_Tariff[[#This Row],[PRODUCER]])</f>
        <v>Vray Croix de Gay</v>
      </c>
      <c r="C173" s="1178" t="s">
        <v>20365</v>
      </c>
      <c r="D173" s="1178" t="s">
        <v>897</v>
      </c>
      <c r="E173" s="1179">
        <v>2016</v>
      </c>
      <c r="F173" s="1282" t="s">
        <v>20220</v>
      </c>
      <c r="G173" s="1368">
        <v>64</v>
      </c>
      <c r="H173" s="1178" t="s">
        <v>20221</v>
      </c>
      <c r="I173" s="1178" t="s">
        <v>1666</v>
      </c>
      <c r="J173" s="1178" t="s">
        <v>662</v>
      </c>
      <c r="K173" s="1178" t="s">
        <v>20344</v>
      </c>
      <c r="L173" s="1178" t="s">
        <v>24</v>
      </c>
      <c r="M173" s="1369"/>
      <c r="N173" s="1178"/>
      <c r="O173" s="1178">
        <v>12</v>
      </c>
      <c r="P173" s="1178">
        <v>13</v>
      </c>
    </row>
    <row r="174" spans="1:16">
      <c r="A174" s="1178" t="s">
        <v>20366</v>
      </c>
      <c r="B174" s="1371" t="str">
        <f>HYPERLINK(IFERROR("#Main_Tariff!A"&amp;MATCH(Raeburn_Main_Tariff[[#This Row],[Product Code]],Main_Tariff!I:I,0),"#Main_Tariff!A"&amp;MATCH("*"&amp;RIGHT(A174,8)&amp;"*",Main_Tariff!A:A,0)),Raeburn_Main_Tariff[[#This Row],[PRODUCER]])</f>
        <v>l'Angelus</v>
      </c>
      <c r="C174" s="1178" t="s">
        <v>20367</v>
      </c>
      <c r="D174" s="1178" t="s">
        <v>897</v>
      </c>
      <c r="E174" s="1179">
        <v>2022</v>
      </c>
      <c r="F174" s="1282" t="s">
        <v>20220</v>
      </c>
      <c r="G174" s="1368" t="s">
        <v>20342</v>
      </c>
      <c r="H174" s="1178" t="s">
        <v>20343</v>
      </c>
      <c r="I174" s="1178" t="s">
        <v>1676</v>
      </c>
      <c r="J174" s="1178" t="s">
        <v>662</v>
      </c>
      <c r="K174" s="1178" t="s">
        <v>20344</v>
      </c>
      <c r="L174" s="1178" t="s">
        <v>42</v>
      </c>
      <c r="M174" s="1369" t="s">
        <v>23296</v>
      </c>
      <c r="N174" s="1178"/>
      <c r="O174" s="1178">
        <v>6</v>
      </c>
      <c r="P174" s="1178">
        <v>0</v>
      </c>
    </row>
    <row r="175" spans="1:16">
      <c r="A175" s="1178" t="s">
        <v>44</v>
      </c>
      <c r="B175" s="1371" t="str">
        <f>HYPERLINK(IFERROR("#Main_Tariff!A"&amp;MATCH(Raeburn_Main_Tariff[[#This Row],[Product Code]],Main_Tariff!I:I,0),"#Main_Tariff!A"&amp;MATCH("*"&amp;RIGHT(A175,8)&amp;"*",Main_Tariff!A:A,0)),Raeburn_Main_Tariff[[#This Row],[PRODUCER]])</f>
        <v>Ausone</v>
      </c>
      <c r="C175" s="1178" t="s">
        <v>20368</v>
      </c>
      <c r="D175" s="1178" t="s">
        <v>897</v>
      </c>
      <c r="E175" s="1179">
        <v>2022</v>
      </c>
      <c r="F175" s="1282" t="s">
        <v>20220</v>
      </c>
      <c r="G175" s="1368" t="s">
        <v>20342</v>
      </c>
      <c r="H175" s="1178" t="s">
        <v>20343</v>
      </c>
      <c r="I175" s="1178" t="s">
        <v>1683</v>
      </c>
      <c r="J175" s="1178" t="s">
        <v>662</v>
      </c>
      <c r="K175" s="1178" t="s">
        <v>20344</v>
      </c>
      <c r="L175" s="1178" t="s">
        <v>42</v>
      </c>
      <c r="M175" s="1369" t="s">
        <v>23296</v>
      </c>
      <c r="N175" s="1178"/>
      <c r="O175" s="1178">
        <v>6</v>
      </c>
      <c r="P175" s="1178">
        <v>0</v>
      </c>
    </row>
    <row r="176" spans="1:16">
      <c r="A176" s="1178" t="s">
        <v>44</v>
      </c>
      <c r="B176" s="1371" t="str">
        <f>HYPERLINK(IFERROR("#Main_Tariff!A"&amp;MATCH(Raeburn_Main_Tariff[[#This Row],[Product Code]],Main_Tariff!I:I,0),"#Main_Tariff!A"&amp;MATCH("*"&amp;RIGHT(A176,8)&amp;"*",Main_Tariff!A:A,0)),Raeburn_Main_Tariff[[#This Row],[PRODUCER]])</f>
        <v>Ausone</v>
      </c>
      <c r="C176" s="1178" t="s">
        <v>20368</v>
      </c>
      <c r="D176" s="1178" t="s">
        <v>897</v>
      </c>
      <c r="E176" s="1179">
        <v>2021</v>
      </c>
      <c r="F176" s="1282" t="s">
        <v>20220</v>
      </c>
      <c r="G176" s="1368">
        <v>165</v>
      </c>
      <c r="H176" s="1178" t="s">
        <v>20224</v>
      </c>
      <c r="I176" s="1178" t="s">
        <v>1685</v>
      </c>
      <c r="J176" s="1178" t="s">
        <v>662</v>
      </c>
      <c r="K176" s="1178" t="s">
        <v>20344</v>
      </c>
      <c r="L176" s="1178" t="s">
        <v>42</v>
      </c>
      <c r="M176" s="1369" t="s">
        <v>23296</v>
      </c>
      <c r="N176" s="1178"/>
      <c r="O176" s="1178">
        <v>3</v>
      </c>
      <c r="P176" s="1178">
        <v>12.5</v>
      </c>
    </row>
    <row r="177" spans="1:16">
      <c r="A177" s="1178" t="s">
        <v>44</v>
      </c>
      <c r="B177" s="1371" t="str">
        <f>HYPERLINK(IFERROR("#Main_Tariff!A"&amp;MATCH(Raeburn_Main_Tariff[[#This Row],[Product Code]],Main_Tariff!I:I,0),"#Main_Tariff!A"&amp;MATCH("*"&amp;RIGHT(A177,8)&amp;"*",Main_Tariff!A:A,0)),Raeburn_Main_Tariff[[#This Row],[PRODUCER]])</f>
        <v>Ausone</v>
      </c>
      <c r="C177" s="1178" t="s">
        <v>20368</v>
      </c>
      <c r="D177" s="1178" t="s">
        <v>897</v>
      </c>
      <c r="E177" s="1179">
        <v>2020</v>
      </c>
      <c r="F177" s="1282" t="s">
        <v>20220</v>
      </c>
      <c r="G177" s="1368">
        <v>153</v>
      </c>
      <c r="H177" s="1178" t="s">
        <v>20221</v>
      </c>
      <c r="I177" s="1178" t="s">
        <v>1687</v>
      </c>
      <c r="J177" s="1178" t="s">
        <v>662</v>
      </c>
      <c r="K177" s="1178" t="s">
        <v>20344</v>
      </c>
      <c r="L177" s="1178" t="s">
        <v>42</v>
      </c>
      <c r="M177" s="1369" t="s">
        <v>23296</v>
      </c>
      <c r="N177" s="1178"/>
      <c r="O177" s="1178">
        <v>3</v>
      </c>
      <c r="P177" s="1178">
        <v>13</v>
      </c>
    </row>
    <row r="178" spans="1:16">
      <c r="A178" s="1178" t="s">
        <v>44</v>
      </c>
      <c r="B178" s="1371" t="str">
        <f>HYPERLINK(IFERROR("#Main_Tariff!A"&amp;MATCH(Raeburn_Main_Tariff[[#This Row],[Product Code]],Main_Tariff!I:I,0),"#Main_Tariff!A"&amp;MATCH("*"&amp;RIGHT(A178,8)&amp;"*",Main_Tariff!A:A,0)),Raeburn_Main_Tariff[[#This Row],[PRODUCER]])</f>
        <v>Ausone</v>
      </c>
      <c r="C178" s="1178" t="s">
        <v>20368</v>
      </c>
      <c r="D178" s="1178" t="s">
        <v>897</v>
      </c>
      <c r="E178" s="1179">
        <v>2019</v>
      </c>
      <c r="F178" s="1282" t="s">
        <v>20220</v>
      </c>
      <c r="G178" s="1368">
        <v>153</v>
      </c>
      <c r="H178" s="1178" t="s">
        <v>20221</v>
      </c>
      <c r="I178" s="1178" t="s">
        <v>1689</v>
      </c>
      <c r="J178" s="1178" t="s">
        <v>662</v>
      </c>
      <c r="K178" s="1178" t="s">
        <v>20344</v>
      </c>
      <c r="L178" s="1178" t="s">
        <v>42</v>
      </c>
      <c r="M178" s="1369" t="s">
        <v>23296</v>
      </c>
      <c r="N178" s="1178"/>
      <c r="O178" s="1178">
        <v>3</v>
      </c>
      <c r="P178" s="1178">
        <v>13</v>
      </c>
    </row>
    <row r="179" spans="1:16">
      <c r="A179" s="1178" t="s">
        <v>44</v>
      </c>
      <c r="B179" s="1371" t="str">
        <f>HYPERLINK(IFERROR("#Main_Tariff!A"&amp;MATCH(Raeburn_Main_Tariff[[#This Row],[Product Code]],Main_Tariff!I:I,0),"#Main_Tariff!A"&amp;MATCH("*"&amp;RIGHT(A179,8)&amp;"*",Main_Tariff!A:A,0)),Raeburn_Main_Tariff[[#This Row],[PRODUCER]])</f>
        <v>Ausone</v>
      </c>
      <c r="C179" s="1178" t="s">
        <v>20369</v>
      </c>
      <c r="D179" s="1178" t="s">
        <v>897</v>
      </c>
      <c r="E179" s="1179">
        <v>2022</v>
      </c>
      <c r="F179" s="1282" t="s">
        <v>20220</v>
      </c>
      <c r="G179" s="1368" t="s">
        <v>20342</v>
      </c>
      <c r="H179" s="1178" t="s">
        <v>20343</v>
      </c>
      <c r="I179" s="1178" t="s">
        <v>1693</v>
      </c>
      <c r="J179" s="1178" t="s">
        <v>662</v>
      </c>
      <c r="K179" s="1178" t="s">
        <v>20344</v>
      </c>
      <c r="L179" s="1178" t="s">
        <v>42</v>
      </c>
      <c r="M179" s="1369" t="s">
        <v>23255</v>
      </c>
      <c r="N179" s="1178"/>
      <c r="O179" s="1178">
        <v>6</v>
      </c>
      <c r="P179" s="1178">
        <v>0</v>
      </c>
    </row>
    <row r="180" spans="1:16">
      <c r="A180" s="1178" t="s">
        <v>44</v>
      </c>
      <c r="B180" s="1371" t="str">
        <f>HYPERLINK(IFERROR("#Main_Tariff!A"&amp;MATCH(Raeburn_Main_Tariff[[#This Row],[Product Code]],Main_Tariff!I:I,0),"#Main_Tariff!A"&amp;MATCH("*"&amp;RIGHT(A180,8)&amp;"*",Main_Tariff!A:A,0)),Raeburn_Main_Tariff[[#This Row],[PRODUCER]])</f>
        <v>Ausone</v>
      </c>
      <c r="C180" s="1178" t="s">
        <v>20369</v>
      </c>
      <c r="D180" s="1178" t="s">
        <v>897</v>
      </c>
      <c r="E180" s="1179">
        <v>2021</v>
      </c>
      <c r="F180" s="1282" t="s">
        <v>20220</v>
      </c>
      <c r="G180" s="1368" t="s">
        <v>5258</v>
      </c>
      <c r="H180" s="1178" t="s">
        <v>20224</v>
      </c>
      <c r="I180" s="1178" t="s">
        <v>1695</v>
      </c>
      <c r="J180" s="1178" t="s">
        <v>662</v>
      </c>
      <c r="K180" s="1178" t="s">
        <v>20344</v>
      </c>
      <c r="L180" s="1178" t="s">
        <v>42</v>
      </c>
      <c r="M180" s="1369" t="s">
        <v>23255</v>
      </c>
      <c r="N180" s="1178"/>
      <c r="O180" s="1178">
        <v>3</v>
      </c>
      <c r="P180" s="1178">
        <v>13</v>
      </c>
    </row>
    <row r="181" spans="1:16">
      <c r="A181" s="1178" t="s">
        <v>44</v>
      </c>
      <c r="B181" s="1371" t="str">
        <f>HYPERLINK(IFERROR("#Main_Tariff!A"&amp;MATCH(Raeburn_Main_Tariff[[#This Row],[Product Code]],Main_Tariff!I:I,0),"#Main_Tariff!A"&amp;MATCH("*"&amp;RIGHT(A181,8)&amp;"*",Main_Tariff!A:A,0)),Raeburn_Main_Tariff[[#This Row],[PRODUCER]])</f>
        <v>Ausone</v>
      </c>
      <c r="C181" s="1178" t="s">
        <v>20369</v>
      </c>
      <c r="D181" s="1178" t="s">
        <v>897</v>
      </c>
      <c r="E181" s="1179">
        <v>2020</v>
      </c>
      <c r="F181" s="1282" t="s">
        <v>20220</v>
      </c>
      <c r="G181" s="1368" t="s">
        <v>5258</v>
      </c>
      <c r="H181" s="1178" t="s">
        <v>20224</v>
      </c>
      <c r="I181" s="1178" t="s">
        <v>1697</v>
      </c>
      <c r="J181" s="1178" t="s">
        <v>662</v>
      </c>
      <c r="K181" s="1178" t="s">
        <v>20344</v>
      </c>
      <c r="L181" s="1178" t="s">
        <v>42</v>
      </c>
      <c r="M181" s="1369" t="s">
        <v>23255</v>
      </c>
      <c r="N181" s="1178"/>
      <c r="O181" s="1178">
        <v>6</v>
      </c>
      <c r="P181" s="1178">
        <v>13</v>
      </c>
    </row>
    <row r="182" spans="1:16">
      <c r="A182" s="1178" t="s">
        <v>44</v>
      </c>
      <c r="B182" s="1371" t="str">
        <f>HYPERLINK(IFERROR("#Main_Tariff!A"&amp;MATCH(Raeburn_Main_Tariff[[#This Row],[Product Code]],Main_Tariff!I:I,0),"#Main_Tariff!A"&amp;MATCH("*"&amp;RIGHT(A182,8)&amp;"*",Main_Tariff!A:A,0)),Raeburn_Main_Tariff[[#This Row],[PRODUCER]])</f>
        <v>Ausone</v>
      </c>
      <c r="C182" s="1178" t="s">
        <v>20369</v>
      </c>
      <c r="D182" s="1178" t="s">
        <v>897</v>
      </c>
      <c r="E182" s="1179">
        <v>2017</v>
      </c>
      <c r="F182" s="1282" t="s">
        <v>20220</v>
      </c>
      <c r="G182" s="1368" t="s">
        <v>5258</v>
      </c>
      <c r="H182" s="1178" t="s">
        <v>20224</v>
      </c>
      <c r="I182" s="1178" t="s">
        <v>1699</v>
      </c>
      <c r="J182" s="1178" t="s">
        <v>662</v>
      </c>
      <c r="K182" s="1178" t="s">
        <v>20344</v>
      </c>
      <c r="L182" s="1178" t="s">
        <v>42</v>
      </c>
      <c r="M182" s="1369" t="s">
        <v>23255</v>
      </c>
      <c r="N182" s="1178"/>
      <c r="O182" s="1178">
        <v>3</v>
      </c>
      <c r="P182" s="1178">
        <v>13</v>
      </c>
    </row>
    <row r="183" spans="1:16">
      <c r="A183" s="1178" t="s">
        <v>44</v>
      </c>
      <c r="B183" s="1371" t="str">
        <f>HYPERLINK(IFERROR("#Main_Tariff!A"&amp;MATCH(Raeburn_Main_Tariff[[#This Row],[Product Code]],Main_Tariff!I:I,0),"#Main_Tariff!A"&amp;MATCH("*"&amp;RIGHT(A183,8)&amp;"*",Main_Tariff!A:A,0)),Raeburn_Main_Tariff[[#This Row],[PRODUCER]])</f>
        <v>Ausone</v>
      </c>
      <c r="C183" s="1178" t="s">
        <v>20369</v>
      </c>
      <c r="D183" s="1178" t="s">
        <v>897</v>
      </c>
      <c r="E183" s="1179">
        <v>2011</v>
      </c>
      <c r="F183" s="1282" t="s">
        <v>20220</v>
      </c>
      <c r="G183" s="1368" t="s">
        <v>5258</v>
      </c>
      <c r="H183" s="1178" t="s">
        <v>20224</v>
      </c>
      <c r="I183" s="1178" t="s">
        <v>1701</v>
      </c>
      <c r="J183" s="1178" t="s">
        <v>662</v>
      </c>
      <c r="K183" s="1178" t="s">
        <v>20344</v>
      </c>
      <c r="L183" s="1178" t="s">
        <v>42</v>
      </c>
      <c r="M183" s="1369" t="s">
        <v>23255</v>
      </c>
      <c r="N183" s="1178"/>
      <c r="O183" s="1178">
        <v>6</v>
      </c>
      <c r="P183" s="1178">
        <v>13</v>
      </c>
    </row>
    <row r="184" spans="1:16">
      <c r="A184" s="1178" t="s">
        <v>20370</v>
      </c>
      <c r="B184" s="1371" t="str">
        <f>HYPERLINK(IFERROR("#Main_Tariff!A"&amp;MATCH(Raeburn_Main_Tariff[[#This Row],[Product Code]],Main_Tariff!I:I,0),"#Main_Tariff!A"&amp;MATCH("*"&amp;RIGHT(A184,8)&amp;"*",Main_Tariff!A:A,0)),Raeburn_Main_Tariff[[#This Row],[PRODUCER]])</f>
        <v>Beau-Séjour-Bécot</v>
      </c>
      <c r="C184" s="1178" t="s">
        <v>20371</v>
      </c>
      <c r="D184" s="1178" t="s">
        <v>897</v>
      </c>
      <c r="E184" s="1179">
        <v>2022</v>
      </c>
      <c r="F184" s="1282" t="s">
        <v>20220</v>
      </c>
      <c r="G184" s="1368" t="s">
        <v>5258</v>
      </c>
      <c r="H184" s="1178" t="s">
        <v>20224</v>
      </c>
      <c r="I184" s="1178" t="s">
        <v>1711</v>
      </c>
      <c r="J184" s="1178" t="s">
        <v>662</v>
      </c>
      <c r="K184" s="1178" t="s">
        <v>20344</v>
      </c>
      <c r="L184" s="1178" t="s">
        <v>42</v>
      </c>
      <c r="M184" s="1369" t="s">
        <v>23293</v>
      </c>
      <c r="N184" s="1178"/>
      <c r="O184" s="1178">
        <v>6</v>
      </c>
      <c r="P184" s="1178">
        <v>14</v>
      </c>
    </row>
    <row r="185" spans="1:16">
      <c r="A185" s="1178" t="s">
        <v>20372</v>
      </c>
      <c r="B185" s="1371" t="str">
        <f>HYPERLINK(IFERROR("#Main_Tariff!A"&amp;MATCH(Raeburn_Main_Tariff[[#This Row],[Product Code]],Main_Tariff!I:I,0),"#Main_Tariff!A"&amp;MATCH("*"&amp;RIGHT(A185,8)&amp;"*",Main_Tariff!A:A,0)),Raeburn_Main_Tariff[[#This Row],[PRODUCER]])</f>
        <v>Beauséjour-Duffau-Lagarrosse</v>
      </c>
      <c r="C185" s="1178" t="s">
        <v>20373</v>
      </c>
      <c r="D185" s="1178" t="s">
        <v>897</v>
      </c>
      <c r="E185" s="1179">
        <v>2022</v>
      </c>
      <c r="F185" s="1282" t="s">
        <v>20220</v>
      </c>
      <c r="G185" s="1368" t="s">
        <v>5258</v>
      </c>
      <c r="H185" s="1178" t="s">
        <v>20224</v>
      </c>
      <c r="I185" s="1178" t="s">
        <v>1741</v>
      </c>
      <c r="J185" s="1178" t="s">
        <v>662</v>
      </c>
      <c r="K185" s="1178" t="s">
        <v>20344</v>
      </c>
      <c r="L185" s="1178" t="s">
        <v>42</v>
      </c>
      <c r="M185" s="1369" t="s">
        <v>23293</v>
      </c>
      <c r="N185" s="1178"/>
      <c r="O185" s="1178">
        <v>3</v>
      </c>
      <c r="P185" s="1178">
        <v>14.5</v>
      </c>
    </row>
    <row r="186" spans="1:16">
      <c r="A186" s="1178" t="s">
        <v>20372</v>
      </c>
      <c r="B186" s="1371" t="str">
        <f>HYPERLINK(IFERROR("#Main_Tariff!A"&amp;MATCH(Raeburn_Main_Tariff[[#This Row],[Product Code]],Main_Tariff!I:I,0),"#Main_Tariff!A"&amp;MATCH("*"&amp;RIGHT(A186,8)&amp;"*",Main_Tariff!A:A,0)),Raeburn_Main_Tariff[[#This Row],[PRODUCER]])</f>
        <v>Beauséjour-Duffau-Lagarrosse</v>
      </c>
      <c r="C186" s="1178" t="s">
        <v>20373</v>
      </c>
      <c r="D186" s="1178" t="s">
        <v>897</v>
      </c>
      <c r="E186" s="1179">
        <v>2020</v>
      </c>
      <c r="F186" s="1282" t="s">
        <v>20220</v>
      </c>
      <c r="G186" s="1368">
        <v>130</v>
      </c>
      <c r="H186" s="1178" t="s">
        <v>20224</v>
      </c>
      <c r="I186" s="1178" t="s">
        <v>1743</v>
      </c>
      <c r="J186" s="1178" t="s">
        <v>662</v>
      </c>
      <c r="K186" s="1178" t="s">
        <v>20344</v>
      </c>
      <c r="L186" s="1178" t="s">
        <v>42</v>
      </c>
      <c r="M186" s="1369" t="s">
        <v>23293</v>
      </c>
      <c r="N186" s="1178"/>
      <c r="O186" s="1178">
        <v>6</v>
      </c>
      <c r="P186" s="1178">
        <v>13</v>
      </c>
    </row>
    <row r="187" spans="1:16">
      <c r="A187" s="1178" t="s">
        <v>47</v>
      </c>
      <c r="B187" s="1371" t="str">
        <f>HYPERLINK(IFERROR("#Main_Tariff!A"&amp;MATCH(Raeburn_Main_Tariff[[#This Row],[Product Code]],Main_Tariff!I:I,0),"#Main_Tariff!A"&amp;MATCH("*"&amp;RIGHT(A187,8)&amp;"*",Main_Tariff!A:A,0)),Raeburn_Main_Tariff[[#This Row],[PRODUCER]])</f>
        <v>Belair-Monange</v>
      </c>
      <c r="C187" s="1178" t="s">
        <v>20374</v>
      </c>
      <c r="D187" s="1178" t="s">
        <v>897</v>
      </c>
      <c r="E187" s="1179">
        <v>2022</v>
      </c>
      <c r="F187" s="1282" t="s">
        <v>20220</v>
      </c>
      <c r="G187" s="1368" t="s">
        <v>20342</v>
      </c>
      <c r="H187" s="1178" t="s">
        <v>20343</v>
      </c>
      <c r="I187" s="1178" t="s">
        <v>1755</v>
      </c>
      <c r="J187" s="1178" t="s">
        <v>662</v>
      </c>
      <c r="K187" s="1178" t="s">
        <v>20344</v>
      </c>
      <c r="L187" s="1178" t="s">
        <v>42</v>
      </c>
      <c r="M187" s="1369" t="s">
        <v>23293</v>
      </c>
      <c r="N187" s="1178"/>
      <c r="O187" s="1178">
        <v>6</v>
      </c>
      <c r="P187" s="1178">
        <v>0</v>
      </c>
    </row>
    <row r="188" spans="1:16">
      <c r="A188" s="1178" t="s">
        <v>47</v>
      </c>
      <c r="B188" s="1371" t="str">
        <f>HYPERLINK(IFERROR("#Main_Tariff!A"&amp;MATCH(Raeburn_Main_Tariff[[#This Row],[Product Code]],Main_Tariff!I:I,0),"#Main_Tariff!A"&amp;MATCH("*"&amp;RIGHT(A188,8)&amp;"*",Main_Tariff!A:A,0)),Raeburn_Main_Tariff[[#This Row],[PRODUCER]])</f>
        <v>Belair-Monange</v>
      </c>
      <c r="C188" s="1178" t="s">
        <v>20374</v>
      </c>
      <c r="D188" s="1178" t="s">
        <v>897</v>
      </c>
      <c r="E188" s="1179">
        <v>2020</v>
      </c>
      <c r="F188" s="1282" t="s">
        <v>20220</v>
      </c>
      <c r="G188" s="1368">
        <v>153.5</v>
      </c>
      <c r="H188" s="1178" t="s">
        <v>20221</v>
      </c>
      <c r="I188" s="1178" t="s">
        <v>1757</v>
      </c>
      <c r="J188" s="1178" t="s">
        <v>662</v>
      </c>
      <c r="K188" s="1178" t="s">
        <v>20344</v>
      </c>
      <c r="L188" s="1178" t="s">
        <v>42</v>
      </c>
      <c r="M188" s="1369" t="s">
        <v>23293</v>
      </c>
      <c r="N188" s="1178"/>
      <c r="O188" s="1178">
        <v>6</v>
      </c>
      <c r="P188" s="1178">
        <v>13</v>
      </c>
    </row>
    <row r="189" spans="1:16">
      <c r="A189" s="1178" t="s">
        <v>47</v>
      </c>
      <c r="B189" s="1371" t="str">
        <f>HYPERLINK(IFERROR("#Main_Tariff!A"&amp;MATCH(Raeburn_Main_Tariff[[#This Row],[Product Code]],Main_Tariff!I:I,0),"#Main_Tariff!A"&amp;MATCH("*"&amp;RIGHT(A189,8)&amp;"*",Main_Tariff!A:A,0)),Raeburn_Main_Tariff[[#This Row],[PRODUCER]])</f>
        <v>Belair-Monange</v>
      </c>
      <c r="C189" s="1178" t="s">
        <v>20374</v>
      </c>
      <c r="D189" s="1178" t="s">
        <v>897</v>
      </c>
      <c r="E189" s="1179">
        <v>2019</v>
      </c>
      <c r="F189" s="1282" t="s">
        <v>20220</v>
      </c>
      <c r="G189" s="1368">
        <v>129.5</v>
      </c>
      <c r="H189" s="1178" t="s">
        <v>20221</v>
      </c>
      <c r="I189" s="1178" t="s">
        <v>1759</v>
      </c>
      <c r="J189" s="1178" t="s">
        <v>662</v>
      </c>
      <c r="K189" s="1178" t="s">
        <v>20344</v>
      </c>
      <c r="L189" s="1178" t="s">
        <v>42</v>
      </c>
      <c r="M189" s="1369" t="s">
        <v>23293</v>
      </c>
      <c r="N189" s="1178"/>
      <c r="O189" s="1178">
        <v>6</v>
      </c>
      <c r="P189" s="1178">
        <v>13</v>
      </c>
    </row>
    <row r="190" spans="1:16">
      <c r="A190" s="1178" t="s">
        <v>48</v>
      </c>
      <c r="B190" s="1371" t="str">
        <f>HYPERLINK(IFERROR("#Main_Tariff!A"&amp;MATCH(Raeburn_Main_Tariff[[#This Row],[Product Code]],Main_Tariff!I:I,0),"#Main_Tariff!A"&amp;MATCH("*"&amp;RIGHT(A190,8)&amp;"*",Main_Tariff!A:A,0)),Raeburn_Main_Tariff[[#This Row],[PRODUCER]])</f>
        <v>Berliquet</v>
      </c>
      <c r="C190" s="1178" t="s">
        <v>20375</v>
      </c>
      <c r="D190" s="1178" t="s">
        <v>897</v>
      </c>
      <c r="E190" s="1179">
        <v>2017</v>
      </c>
      <c r="F190" s="1282" t="s">
        <v>20220</v>
      </c>
      <c r="G190" s="1368">
        <v>44.5</v>
      </c>
      <c r="H190" s="1178" t="s">
        <v>20221</v>
      </c>
      <c r="I190" s="1178" t="s">
        <v>1774</v>
      </c>
      <c r="J190" s="1178" t="s">
        <v>662</v>
      </c>
      <c r="K190" s="1178" t="s">
        <v>20344</v>
      </c>
      <c r="L190" s="1178" t="s">
        <v>42</v>
      </c>
      <c r="M190" s="1369" t="s">
        <v>23258</v>
      </c>
      <c r="N190" s="1178"/>
      <c r="O190" s="1178">
        <v>6</v>
      </c>
      <c r="P190" s="1178">
        <v>13</v>
      </c>
    </row>
    <row r="191" spans="1:16">
      <c r="A191" s="1178" t="s">
        <v>49</v>
      </c>
      <c r="B191" s="1371" t="str">
        <f>HYPERLINK(IFERROR("#Main_Tariff!A"&amp;MATCH(Raeburn_Main_Tariff[[#This Row],[Product Code]],Main_Tariff!I:I,0),"#Main_Tariff!A"&amp;MATCH("*"&amp;RIGHT(A191,8)&amp;"*",Main_Tariff!A:A,0)),Raeburn_Main_Tariff[[#This Row],[PRODUCER]])</f>
        <v>Canon</v>
      </c>
      <c r="C191" s="1178" t="s">
        <v>20376</v>
      </c>
      <c r="D191" s="1178" t="s">
        <v>897</v>
      </c>
      <c r="E191" s="1179">
        <v>2022</v>
      </c>
      <c r="F191" s="1282" t="s">
        <v>20220</v>
      </c>
      <c r="G191" s="1368" t="s">
        <v>20342</v>
      </c>
      <c r="H191" s="1178" t="s">
        <v>20343</v>
      </c>
      <c r="I191" s="1178" t="s">
        <v>1782</v>
      </c>
      <c r="J191" s="1178" t="s">
        <v>662</v>
      </c>
      <c r="K191" s="1178" t="s">
        <v>20344</v>
      </c>
      <c r="L191" s="1178" t="s">
        <v>42</v>
      </c>
      <c r="M191" s="1369" t="s">
        <v>23293</v>
      </c>
      <c r="N191" s="1178"/>
      <c r="O191" s="1178">
        <v>6</v>
      </c>
      <c r="P191" s="1178">
        <v>14.5</v>
      </c>
    </row>
    <row r="192" spans="1:16">
      <c r="A192" s="1178" t="s">
        <v>49</v>
      </c>
      <c r="B192" s="1371" t="str">
        <f>HYPERLINK(IFERROR("#Main_Tariff!A"&amp;MATCH(Raeburn_Main_Tariff[[#This Row],[Product Code]],Main_Tariff!I:I,0),"#Main_Tariff!A"&amp;MATCH("*"&amp;RIGHT(A192,8)&amp;"*",Main_Tariff!A:A,0)),Raeburn_Main_Tariff[[#This Row],[PRODUCER]])</f>
        <v>Canon</v>
      </c>
      <c r="C192" s="1178" t="s">
        <v>20376</v>
      </c>
      <c r="D192" s="1178" t="s">
        <v>897</v>
      </c>
      <c r="E192" s="1179">
        <v>2021</v>
      </c>
      <c r="F192" s="1282" t="s">
        <v>20220</v>
      </c>
      <c r="G192" s="1368">
        <v>116.5</v>
      </c>
      <c r="H192" s="1178" t="s">
        <v>20221</v>
      </c>
      <c r="I192" s="1178" t="s">
        <v>1784</v>
      </c>
      <c r="J192" s="1178" t="s">
        <v>662</v>
      </c>
      <c r="K192" s="1178" t="s">
        <v>20344</v>
      </c>
      <c r="L192" s="1178" t="s">
        <v>42</v>
      </c>
      <c r="M192" s="1369" t="s">
        <v>23293</v>
      </c>
      <c r="N192" s="1178"/>
      <c r="O192" s="1178">
        <v>6</v>
      </c>
      <c r="P192" s="1178">
        <v>13.5</v>
      </c>
    </row>
    <row r="193" spans="1:16">
      <c r="A193" s="1178" t="s">
        <v>49</v>
      </c>
      <c r="B193" s="1371" t="str">
        <f>HYPERLINK(IFERROR("#Main_Tariff!A"&amp;MATCH(Raeburn_Main_Tariff[[#This Row],[Product Code]],Main_Tariff!I:I,0),"#Main_Tariff!A"&amp;MATCH("*"&amp;RIGHT(A193,8)&amp;"*",Main_Tariff!A:A,0)),Raeburn_Main_Tariff[[#This Row],[PRODUCER]])</f>
        <v>Canon</v>
      </c>
      <c r="C193" s="1178" t="s">
        <v>20376</v>
      </c>
      <c r="D193" s="1178" t="s">
        <v>897</v>
      </c>
      <c r="E193" s="1179">
        <v>2020</v>
      </c>
      <c r="F193" s="1282" t="s">
        <v>20220</v>
      </c>
      <c r="G193" s="1368">
        <v>123.5</v>
      </c>
      <c r="H193" s="1178" t="s">
        <v>20221</v>
      </c>
      <c r="I193" s="1178" t="s">
        <v>1786</v>
      </c>
      <c r="J193" s="1178" t="s">
        <v>662</v>
      </c>
      <c r="K193" s="1178" t="s">
        <v>20344</v>
      </c>
      <c r="L193" s="1178" t="s">
        <v>42</v>
      </c>
      <c r="M193" s="1369" t="s">
        <v>23293</v>
      </c>
      <c r="N193" s="1178"/>
      <c r="O193" s="1178">
        <v>6</v>
      </c>
      <c r="P193" s="1178">
        <v>13</v>
      </c>
    </row>
    <row r="194" spans="1:16">
      <c r="A194" s="1178" t="s">
        <v>49</v>
      </c>
      <c r="B194" s="1371" t="str">
        <f>HYPERLINK(IFERROR("#Main_Tariff!A"&amp;MATCH(Raeburn_Main_Tariff[[#This Row],[Product Code]],Main_Tariff!I:I,0),"#Main_Tariff!A"&amp;MATCH("*"&amp;RIGHT(A194,8)&amp;"*",Main_Tariff!A:A,0)),Raeburn_Main_Tariff[[#This Row],[PRODUCER]])</f>
        <v>Canon</v>
      </c>
      <c r="C194" s="1178" t="s">
        <v>20376</v>
      </c>
      <c r="D194" s="1178" t="s">
        <v>897</v>
      </c>
      <c r="E194" s="1179">
        <v>2019</v>
      </c>
      <c r="F194" s="1282" t="s">
        <v>20220</v>
      </c>
      <c r="G194" s="1368" t="s">
        <v>5258</v>
      </c>
      <c r="H194" s="1178" t="s">
        <v>20221</v>
      </c>
      <c r="I194" s="1178" t="s">
        <v>1788</v>
      </c>
      <c r="J194" s="1178" t="s">
        <v>662</v>
      </c>
      <c r="K194" s="1178" t="s">
        <v>20344</v>
      </c>
      <c r="L194" s="1178" t="s">
        <v>42</v>
      </c>
      <c r="M194" s="1369" t="s">
        <v>23293</v>
      </c>
      <c r="N194" s="1178"/>
      <c r="O194" s="1178">
        <v>6</v>
      </c>
      <c r="P194" s="1178">
        <v>13</v>
      </c>
    </row>
    <row r="195" spans="1:16">
      <c r="A195" s="1178" t="s">
        <v>50</v>
      </c>
      <c r="B195" s="1371" t="str">
        <f>HYPERLINK(IFERROR("#Main_Tariff!A"&amp;MATCH(Raeburn_Main_Tariff[[#This Row],[Product Code]],Main_Tariff!I:I,0),"#Main_Tariff!A"&amp;MATCH("*"&amp;RIGHT(A195,8)&amp;"*",Main_Tariff!A:A,0)),Raeburn_Main_Tariff[[#This Row],[PRODUCER]])</f>
        <v>du Cauze</v>
      </c>
      <c r="C195" s="1178" t="s">
        <v>20377</v>
      </c>
      <c r="D195" s="1178" t="s">
        <v>897</v>
      </c>
      <c r="E195" s="1179">
        <v>2020</v>
      </c>
      <c r="F195" s="1282" t="s">
        <v>20220</v>
      </c>
      <c r="G195" s="1368">
        <v>18</v>
      </c>
      <c r="H195" s="1178" t="s">
        <v>20221</v>
      </c>
      <c r="I195" s="1178" t="s">
        <v>1794</v>
      </c>
      <c r="J195" s="1178" t="s">
        <v>662</v>
      </c>
      <c r="K195" s="1178" t="s">
        <v>20344</v>
      </c>
      <c r="L195" s="1178" t="s">
        <v>42</v>
      </c>
      <c r="M195" s="1369" t="s">
        <v>23296</v>
      </c>
      <c r="N195" s="1178"/>
      <c r="O195" s="1178">
        <v>6</v>
      </c>
      <c r="P195" s="1178">
        <v>14.5</v>
      </c>
    </row>
    <row r="196" spans="1:16">
      <c r="A196" s="1178" t="s">
        <v>20378</v>
      </c>
      <c r="B196" s="1371" t="str">
        <f>HYPERLINK(IFERROR("#Main_Tariff!A"&amp;MATCH(Raeburn_Main_Tariff[[#This Row],[Product Code]],Main_Tariff!I:I,0),"#Main_Tariff!A"&amp;MATCH("*"&amp;RIGHT(A196,8)&amp;"*",Main_Tariff!A:A,0)),Raeburn_Main_Tariff[[#This Row],[PRODUCER]])</f>
        <v>Cheval-Blanc</v>
      </c>
      <c r="C196" s="1178" t="s">
        <v>20379</v>
      </c>
      <c r="D196" s="1178" t="s">
        <v>897</v>
      </c>
      <c r="E196" s="1179">
        <v>2023</v>
      </c>
      <c r="F196" s="1282" t="s">
        <v>20220</v>
      </c>
      <c r="G196" s="1368" t="s">
        <v>20342</v>
      </c>
      <c r="H196" s="1178" t="s">
        <v>20343</v>
      </c>
      <c r="I196" s="1178" t="s">
        <v>1799</v>
      </c>
      <c r="J196" s="1178" t="s">
        <v>662</v>
      </c>
      <c r="K196" s="1178" t="s">
        <v>20344</v>
      </c>
      <c r="L196" s="1178" t="s">
        <v>42</v>
      </c>
      <c r="M196" s="1369" t="s">
        <v>23296</v>
      </c>
      <c r="N196" s="1178"/>
      <c r="O196" s="1178">
        <v>3</v>
      </c>
      <c r="P196" s="1178">
        <v>0</v>
      </c>
    </row>
    <row r="197" spans="1:16">
      <c r="A197" s="1178" t="s">
        <v>20378</v>
      </c>
      <c r="B197" s="1371" t="str">
        <f>HYPERLINK(IFERROR("#Main_Tariff!A"&amp;MATCH(Raeburn_Main_Tariff[[#This Row],[Product Code]],Main_Tariff!I:I,0),"#Main_Tariff!A"&amp;MATCH("*"&amp;RIGHT(A197,8)&amp;"*",Main_Tariff!A:A,0)),Raeburn_Main_Tariff[[#This Row],[PRODUCER]])</f>
        <v>Cheval-Blanc</v>
      </c>
      <c r="C197" s="1178" t="s">
        <v>20379</v>
      </c>
      <c r="D197" s="1178" t="s">
        <v>897</v>
      </c>
      <c r="E197" s="1179">
        <v>2022</v>
      </c>
      <c r="F197" s="1282" t="s">
        <v>20220</v>
      </c>
      <c r="G197" s="1368" t="s">
        <v>20342</v>
      </c>
      <c r="H197" s="1178" t="s">
        <v>20343</v>
      </c>
      <c r="I197" s="1178" t="s">
        <v>1801</v>
      </c>
      <c r="J197" s="1178" t="s">
        <v>662</v>
      </c>
      <c r="K197" s="1178" t="s">
        <v>20344</v>
      </c>
      <c r="L197" s="1178" t="s">
        <v>42</v>
      </c>
      <c r="M197" s="1369" t="s">
        <v>23296</v>
      </c>
      <c r="N197" s="1178"/>
      <c r="O197" s="1178">
        <v>3</v>
      </c>
      <c r="P197" s="1178">
        <v>0</v>
      </c>
    </row>
    <row r="198" spans="1:16">
      <c r="A198" s="1178" t="s">
        <v>20378</v>
      </c>
      <c r="B198" s="1371" t="str">
        <f>HYPERLINK(IFERROR("#Main_Tariff!A"&amp;MATCH(Raeburn_Main_Tariff[[#This Row],[Product Code]],Main_Tariff!I:I,0),"#Main_Tariff!A"&amp;MATCH("*"&amp;RIGHT(A198,8)&amp;"*",Main_Tariff!A:A,0)),Raeburn_Main_Tariff[[#This Row],[PRODUCER]])</f>
        <v>Cheval-Blanc</v>
      </c>
      <c r="C198" s="1178" t="s">
        <v>20379</v>
      </c>
      <c r="D198" s="1178" t="s">
        <v>897</v>
      </c>
      <c r="E198" s="1179">
        <v>2021</v>
      </c>
      <c r="F198" s="1282" t="s">
        <v>20220</v>
      </c>
      <c r="G198" s="1368" t="s">
        <v>5258</v>
      </c>
      <c r="H198" s="1178" t="s">
        <v>20221</v>
      </c>
      <c r="I198" s="1178" t="s">
        <v>1803</v>
      </c>
      <c r="J198" s="1178" t="s">
        <v>662</v>
      </c>
      <c r="K198" s="1178" t="s">
        <v>20344</v>
      </c>
      <c r="L198" s="1178" t="s">
        <v>42</v>
      </c>
      <c r="M198" s="1369" t="s">
        <v>23255</v>
      </c>
      <c r="N198" s="1178"/>
      <c r="O198" s="1178">
        <v>3</v>
      </c>
      <c r="P198" s="1178">
        <v>13</v>
      </c>
    </row>
    <row r="199" spans="1:16">
      <c r="A199" s="1178" t="s">
        <v>20378</v>
      </c>
      <c r="B199" s="1371" t="str">
        <f>HYPERLINK(IFERROR("#Main_Tariff!A"&amp;MATCH(Raeburn_Main_Tariff[[#This Row],[Product Code]],Main_Tariff!I:I,0),"#Main_Tariff!A"&amp;MATCH("*"&amp;RIGHT(A199,8)&amp;"*",Main_Tariff!A:A,0)),Raeburn_Main_Tariff[[#This Row],[PRODUCER]])</f>
        <v>Cheval-Blanc</v>
      </c>
      <c r="C199" s="1178" t="s">
        <v>20379</v>
      </c>
      <c r="D199" s="1178" t="s">
        <v>897</v>
      </c>
      <c r="E199" s="1179">
        <v>2020</v>
      </c>
      <c r="F199" s="1282" t="s">
        <v>20220</v>
      </c>
      <c r="G199" s="1368" t="s">
        <v>5258</v>
      </c>
      <c r="H199" s="1178" t="s">
        <v>20224</v>
      </c>
      <c r="I199" s="1178" t="s">
        <v>1805</v>
      </c>
      <c r="J199" s="1178" t="s">
        <v>662</v>
      </c>
      <c r="K199" s="1178" t="s">
        <v>20344</v>
      </c>
      <c r="L199" s="1178" t="s">
        <v>42</v>
      </c>
      <c r="M199" s="1369" t="s">
        <v>23255</v>
      </c>
      <c r="N199" s="1178"/>
      <c r="O199" s="1178">
        <v>6</v>
      </c>
      <c r="P199" s="1178">
        <v>13</v>
      </c>
    </row>
    <row r="200" spans="1:16">
      <c r="A200" s="1178" t="s">
        <v>52</v>
      </c>
      <c r="B200" s="1371" t="str">
        <f>HYPERLINK(IFERROR("#Main_Tariff!A"&amp;MATCH(Raeburn_Main_Tariff[[#This Row],[Product Code]],Main_Tariff!I:I,0),"#Main_Tariff!A"&amp;MATCH("*"&amp;RIGHT(A200,8)&amp;"*",Main_Tariff!A:A,0)),Raeburn_Main_Tariff[[#This Row],[PRODUCER]])</f>
        <v>Clos Fourtet</v>
      </c>
      <c r="C200" s="1178" t="s">
        <v>52</v>
      </c>
      <c r="D200" s="1178" t="s">
        <v>897</v>
      </c>
      <c r="E200" s="1179">
        <v>2023</v>
      </c>
      <c r="F200" s="1282" t="s">
        <v>20220</v>
      </c>
      <c r="G200" s="1368" t="s">
        <v>20342</v>
      </c>
      <c r="H200" s="1178" t="s">
        <v>20343</v>
      </c>
      <c r="I200" s="1178" t="s">
        <v>1814</v>
      </c>
      <c r="J200" s="1178" t="s">
        <v>662</v>
      </c>
      <c r="K200" s="1178" t="s">
        <v>20344</v>
      </c>
      <c r="L200" s="1178" t="s">
        <v>42</v>
      </c>
      <c r="M200" s="1369" t="s">
        <v>23293</v>
      </c>
      <c r="N200" s="1178"/>
      <c r="O200" s="1178">
        <v>6</v>
      </c>
      <c r="P200" s="1178">
        <v>12.5</v>
      </c>
    </row>
    <row r="201" spans="1:16">
      <c r="A201" s="1178" t="s">
        <v>52</v>
      </c>
      <c r="B201" s="1371" t="str">
        <f>HYPERLINK(IFERROR("#Main_Tariff!A"&amp;MATCH(Raeburn_Main_Tariff[[#This Row],[Product Code]],Main_Tariff!I:I,0),"#Main_Tariff!A"&amp;MATCH("*"&amp;RIGHT(A201,8)&amp;"*",Main_Tariff!A:A,0)),Raeburn_Main_Tariff[[#This Row],[PRODUCER]])</f>
        <v>Clos Fourtet</v>
      </c>
      <c r="C201" s="1178" t="s">
        <v>52</v>
      </c>
      <c r="D201" s="1178" t="s">
        <v>897</v>
      </c>
      <c r="E201" s="1179">
        <v>2022</v>
      </c>
      <c r="F201" s="1282" t="s">
        <v>20220</v>
      </c>
      <c r="G201" s="1368" t="s">
        <v>5258</v>
      </c>
      <c r="H201" s="1178" t="s">
        <v>20221</v>
      </c>
      <c r="I201" s="1178" t="s">
        <v>1816</v>
      </c>
      <c r="J201" s="1178" t="s">
        <v>662</v>
      </c>
      <c r="K201" s="1178" t="s">
        <v>20344</v>
      </c>
      <c r="L201" s="1178" t="s">
        <v>42</v>
      </c>
      <c r="M201" s="1369" t="s">
        <v>23293</v>
      </c>
      <c r="N201" s="1178"/>
      <c r="O201" s="1178">
        <v>6</v>
      </c>
      <c r="P201" s="1178">
        <v>13</v>
      </c>
    </row>
    <row r="202" spans="1:16">
      <c r="A202" s="1178" t="s">
        <v>52</v>
      </c>
      <c r="B202" s="1371" t="str">
        <f>HYPERLINK(IFERROR("#Main_Tariff!A"&amp;MATCH(Raeburn_Main_Tariff[[#This Row],[Product Code]],Main_Tariff!I:I,0),"#Main_Tariff!A"&amp;MATCH("*"&amp;RIGHT(A202,8)&amp;"*",Main_Tariff!A:A,0)),Raeburn_Main_Tariff[[#This Row],[PRODUCER]])</f>
        <v>Clos Fourtet</v>
      </c>
      <c r="C202" s="1178" t="s">
        <v>52</v>
      </c>
      <c r="D202" s="1178" t="s">
        <v>897</v>
      </c>
      <c r="E202" s="1179">
        <v>2021</v>
      </c>
      <c r="F202" s="1282" t="s">
        <v>20220</v>
      </c>
      <c r="G202" s="1368">
        <v>102</v>
      </c>
      <c r="H202" s="1178" t="s">
        <v>20221</v>
      </c>
      <c r="I202" s="1178" t="s">
        <v>1818</v>
      </c>
      <c r="J202" s="1178" t="s">
        <v>662</v>
      </c>
      <c r="K202" s="1178" t="s">
        <v>20344</v>
      </c>
      <c r="L202" s="1178" t="s">
        <v>42</v>
      </c>
      <c r="M202" s="1369" t="s">
        <v>23293</v>
      </c>
      <c r="N202" s="1178"/>
      <c r="O202" s="1178">
        <v>6</v>
      </c>
      <c r="P202" s="1178">
        <v>13.5</v>
      </c>
    </row>
    <row r="203" spans="1:16">
      <c r="A203" s="1178" t="s">
        <v>52</v>
      </c>
      <c r="B203" s="1371" t="str">
        <f>HYPERLINK(IFERROR("#Main_Tariff!A"&amp;MATCH(Raeburn_Main_Tariff[[#This Row],[Product Code]],Main_Tariff!I:I,0),"#Main_Tariff!A"&amp;MATCH("*"&amp;RIGHT(A203,8)&amp;"*",Main_Tariff!A:A,0)),Raeburn_Main_Tariff[[#This Row],[PRODUCER]])</f>
        <v>Clos Fourtet</v>
      </c>
      <c r="C203" s="1178" t="s">
        <v>52</v>
      </c>
      <c r="D203" s="1178" t="s">
        <v>897</v>
      </c>
      <c r="E203" s="1179">
        <v>2020</v>
      </c>
      <c r="F203" s="1282" t="s">
        <v>20220</v>
      </c>
      <c r="G203" s="1368">
        <v>102</v>
      </c>
      <c r="H203" s="1178" t="s">
        <v>20221</v>
      </c>
      <c r="I203" s="1178" t="s">
        <v>1820</v>
      </c>
      <c r="J203" s="1178" t="s">
        <v>662</v>
      </c>
      <c r="K203" s="1178" t="s">
        <v>20344</v>
      </c>
      <c r="L203" s="1178" t="s">
        <v>42</v>
      </c>
      <c r="M203" s="1369" t="s">
        <v>23293</v>
      </c>
      <c r="N203" s="1178"/>
      <c r="O203" s="1178">
        <v>6</v>
      </c>
      <c r="P203" s="1178">
        <v>13</v>
      </c>
    </row>
    <row r="204" spans="1:16">
      <c r="A204" s="1178" t="s">
        <v>53</v>
      </c>
      <c r="B204" s="1371" t="str">
        <f>HYPERLINK(IFERROR("#Main_Tariff!A"&amp;MATCH(Raeburn_Main_Tariff[[#This Row],[Product Code]],Main_Tariff!I:I,0),"#Main_Tariff!A"&amp;MATCH("*"&amp;RIGHT(A204,8)&amp;"*",Main_Tariff!A:A,0)),Raeburn_Main_Tariff[[#This Row],[PRODUCER]])</f>
        <v>Clos Saint Martin</v>
      </c>
      <c r="C204" s="1178" t="s">
        <v>53</v>
      </c>
      <c r="D204" s="1178" t="s">
        <v>897</v>
      </c>
      <c r="E204" s="1179">
        <v>2007</v>
      </c>
      <c r="F204" s="1282" t="s">
        <v>20220</v>
      </c>
      <c r="G204" s="1368">
        <v>48.5</v>
      </c>
      <c r="H204" s="1178" t="s">
        <v>20224</v>
      </c>
      <c r="I204" s="1178" t="s">
        <v>1828</v>
      </c>
      <c r="J204" s="1178" t="s">
        <v>662</v>
      </c>
      <c r="K204" s="1178" t="s">
        <v>20344</v>
      </c>
      <c r="L204" s="1178" t="s">
        <v>42</v>
      </c>
      <c r="M204" s="1369" t="s">
        <v>23293</v>
      </c>
      <c r="N204" s="1178"/>
      <c r="O204" s="1178">
        <v>12</v>
      </c>
      <c r="P204" s="1178">
        <v>12.5</v>
      </c>
    </row>
    <row r="205" spans="1:16">
      <c r="A205" s="1178" t="s">
        <v>54</v>
      </c>
      <c r="B205" s="1371" t="str">
        <f>HYPERLINK(IFERROR("#Main_Tariff!A"&amp;MATCH(Raeburn_Main_Tariff[[#This Row],[Product Code]],Main_Tariff!I:I,0),"#Main_Tariff!A"&amp;MATCH("*"&amp;RIGHT(A205,8)&amp;"*",Main_Tariff!A:A,0)),Raeburn_Main_Tariff[[#This Row],[PRODUCER]])</f>
        <v>Figeac</v>
      </c>
      <c r="C205" s="1178" t="s">
        <v>20380</v>
      </c>
      <c r="D205" s="1178" t="s">
        <v>897</v>
      </c>
      <c r="E205" s="1179">
        <v>2023</v>
      </c>
      <c r="F205" s="1282" t="s">
        <v>20220</v>
      </c>
      <c r="G205" s="1368" t="s">
        <v>20342</v>
      </c>
      <c r="H205" s="1178" t="s">
        <v>20343</v>
      </c>
      <c r="I205" s="1178" t="s">
        <v>1840</v>
      </c>
      <c r="J205" s="1178" t="s">
        <v>662</v>
      </c>
      <c r="K205" s="1178" t="s">
        <v>20344</v>
      </c>
      <c r="L205" s="1178" t="s">
        <v>42</v>
      </c>
      <c r="M205" s="1369" t="s">
        <v>23296</v>
      </c>
      <c r="N205" s="1178"/>
      <c r="O205" s="1178">
        <v>6</v>
      </c>
      <c r="P205" s="1178">
        <v>13</v>
      </c>
    </row>
    <row r="206" spans="1:16">
      <c r="A206" s="1178" t="s">
        <v>54</v>
      </c>
      <c r="B206" s="1371" t="str">
        <f>HYPERLINK(IFERROR("#Main_Tariff!A"&amp;MATCH(Raeburn_Main_Tariff[[#This Row],[Product Code]],Main_Tariff!I:I,0),"#Main_Tariff!A"&amp;MATCH("*"&amp;RIGHT(A206,8)&amp;"*",Main_Tariff!A:A,0)),Raeburn_Main_Tariff[[#This Row],[PRODUCER]])</f>
        <v>Figeac</v>
      </c>
      <c r="C206" s="1178" t="s">
        <v>20381</v>
      </c>
      <c r="D206" s="1178" t="s">
        <v>897</v>
      </c>
      <c r="E206" s="1179">
        <v>2023</v>
      </c>
      <c r="F206" s="1282" t="s">
        <v>20220</v>
      </c>
      <c r="G206" s="1368" t="s">
        <v>20342</v>
      </c>
      <c r="H206" s="1178" t="s">
        <v>20343</v>
      </c>
      <c r="I206" s="1178" t="s">
        <v>1843</v>
      </c>
      <c r="J206" s="1178" t="s">
        <v>662</v>
      </c>
      <c r="K206" s="1178" t="s">
        <v>20344</v>
      </c>
      <c r="L206" s="1178" t="s">
        <v>42</v>
      </c>
      <c r="M206" s="1369" t="s">
        <v>23255</v>
      </c>
      <c r="N206" s="1178"/>
      <c r="O206" s="1178">
        <v>6</v>
      </c>
      <c r="P206" s="1178">
        <v>13</v>
      </c>
    </row>
    <row r="207" spans="1:16">
      <c r="A207" s="1178" t="s">
        <v>54</v>
      </c>
      <c r="B207" s="1371" t="str">
        <f>HYPERLINK(IFERROR("#Main_Tariff!A"&amp;MATCH(Raeburn_Main_Tariff[[#This Row],[Product Code]],Main_Tariff!I:I,0),"#Main_Tariff!A"&amp;MATCH("*"&amp;RIGHT(A207,8)&amp;"*",Main_Tariff!A:A,0)),Raeburn_Main_Tariff[[#This Row],[PRODUCER]])</f>
        <v>Figeac</v>
      </c>
      <c r="C207" s="1178" t="s">
        <v>20381</v>
      </c>
      <c r="D207" s="1178" t="s">
        <v>897</v>
      </c>
      <c r="E207" s="1179">
        <v>2022</v>
      </c>
      <c r="F207" s="1282" t="s">
        <v>20220</v>
      </c>
      <c r="G207" s="1368" t="s">
        <v>5258</v>
      </c>
      <c r="H207" s="1178" t="s">
        <v>20221</v>
      </c>
      <c r="I207" s="1178" t="s">
        <v>1845</v>
      </c>
      <c r="J207" s="1178" t="s">
        <v>662</v>
      </c>
      <c r="K207" s="1178" t="s">
        <v>20344</v>
      </c>
      <c r="L207" s="1178" t="s">
        <v>42</v>
      </c>
      <c r="M207" s="1369" t="s">
        <v>23255</v>
      </c>
      <c r="N207" s="1178"/>
      <c r="O207" s="1178">
        <v>6</v>
      </c>
      <c r="P207" s="1178">
        <v>14.5</v>
      </c>
    </row>
    <row r="208" spans="1:16">
      <c r="A208" s="1178" t="s">
        <v>54</v>
      </c>
      <c r="B208" s="1371" t="str">
        <f>HYPERLINK(IFERROR("#Main_Tariff!A"&amp;MATCH(Raeburn_Main_Tariff[[#This Row],[Product Code]],Main_Tariff!I:I,0),"#Main_Tariff!A"&amp;MATCH("*"&amp;RIGHT(A208,8)&amp;"*",Main_Tariff!A:A,0)),Raeburn_Main_Tariff[[#This Row],[PRODUCER]])</f>
        <v>Figeac</v>
      </c>
      <c r="C208" s="1178" t="s">
        <v>20381</v>
      </c>
      <c r="D208" s="1178" t="s">
        <v>897</v>
      </c>
      <c r="E208" s="1179">
        <v>2021</v>
      </c>
      <c r="F208" s="1282" t="s">
        <v>20220</v>
      </c>
      <c r="G208" s="1368">
        <v>204.5</v>
      </c>
      <c r="H208" s="1178" t="s">
        <v>20221</v>
      </c>
      <c r="I208" s="1178" t="s">
        <v>1847</v>
      </c>
      <c r="J208" s="1178" t="s">
        <v>662</v>
      </c>
      <c r="K208" s="1178" t="s">
        <v>20344</v>
      </c>
      <c r="L208" s="1178" t="s">
        <v>42</v>
      </c>
      <c r="M208" s="1369" t="s">
        <v>23293</v>
      </c>
      <c r="N208" s="1178"/>
      <c r="O208" s="1178">
        <v>6</v>
      </c>
      <c r="P208" s="1178">
        <v>13</v>
      </c>
    </row>
    <row r="209" spans="1:16">
      <c r="A209" s="1178" t="s">
        <v>54</v>
      </c>
      <c r="B209" s="1371" t="str">
        <f>HYPERLINK(IFERROR("#Main_Tariff!A"&amp;MATCH(Raeburn_Main_Tariff[[#This Row],[Product Code]],Main_Tariff!I:I,0),"#Main_Tariff!A"&amp;MATCH("*"&amp;RIGHT(A209,8)&amp;"*",Main_Tariff!A:A,0)),Raeburn_Main_Tariff[[#This Row],[PRODUCER]])</f>
        <v>Figeac</v>
      </c>
      <c r="C209" s="1178" t="s">
        <v>20381</v>
      </c>
      <c r="D209" s="1178" t="s">
        <v>897</v>
      </c>
      <c r="E209" s="1179">
        <v>2020</v>
      </c>
      <c r="F209" s="1282" t="s">
        <v>20220</v>
      </c>
      <c r="G209" s="1368">
        <v>197</v>
      </c>
      <c r="H209" s="1178" t="s">
        <v>20221</v>
      </c>
      <c r="I209" s="1178" t="s">
        <v>1849</v>
      </c>
      <c r="J209" s="1178" t="s">
        <v>662</v>
      </c>
      <c r="K209" s="1178" t="s">
        <v>20344</v>
      </c>
      <c r="L209" s="1178" t="s">
        <v>42</v>
      </c>
      <c r="M209" s="1369" t="s">
        <v>23293</v>
      </c>
      <c r="N209" s="1178"/>
      <c r="O209" s="1178">
        <v>6</v>
      </c>
      <c r="P209" s="1178">
        <v>14</v>
      </c>
    </row>
    <row r="210" spans="1:16">
      <c r="A210" s="1178" t="s">
        <v>54</v>
      </c>
      <c r="B210" s="1371" t="str">
        <f>HYPERLINK(IFERROR("#Main_Tariff!A"&amp;MATCH(Raeburn_Main_Tariff[[#This Row],[Product Code]],Main_Tariff!I:I,0),"#Main_Tariff!A"&amp;MATCH("*"&amp;RIGHT(A210,8)&amp;"*",Main_Tariff!A:A,0)),Raeburn_Main_Tariff[[#This Row],[PRODUCER]])</f>
        <v>Figeac</v>
      </c>
      <c r="C210" s="1178" t="s">
        <v>20381</v>
      </c>
      <c r="D210" s="1178" t="s">
        <v>897</v>
      </c>
      <c r="E210" s="1179">
        <v>2017</v>
      </c>
      <c r="F210" s="1282" t="s">
        <v>20220</v>
      </c>
      <c r="G210" s="1368">
        <v>165</v>
      </c>
      <c r="H210" s="1178" t="s">
        <v>20277</v>
      </c>
      <c r="I210" s="1178" t="s">
        <v>1851</v>
      </c>
      <c r="J210" s="1178" t="s">
        <v>662</v>
      </c>
      <c r="K210" s="1178" t="s">
        <v>20344</v>
      </c>
      <c r="L210" s="1178" t="s">
        <v>42</v>
      </c>
      <c r="M210" s="1369" t="s">
        <v>23293</v>
      </c>
      <c r="N210" s="1178"/>
      <c r="O210" s="1178">
        <v>6</v>
      </c>
      <c r="P210" s="1178">
        <v>13</v>
      </c>
    </row>
    <row r="211" spans="1:16">
      <c r="A211" s="1178" t="s">
        <v>55</v>
      </c>
      <c r="B211" s="1371" t="str">
        <f>HYPERLINK(IFERROR("#Main_Tariff!A"&amp;MATCH(Raeburn_Main_Tariff[[#This Row],[Product Code]],Main_Tariff!I:I,0),"#Main_Tariff!A"&amp;MATCH("*"&amp;RIGHT(A211,8)&amp;"*",Main_Tariff!A:A,0)),Raeburn_Main_Tariff[[#This Row],[PRODUCER]])</f>
        <v>Fonplegade</v>
      </c>
      <c r="C211" s="1178" t="s">
        <v>20382</v>
      </c>
      <c r="D211" s="1178" t="s">
        <v>897</v>
      </c>
      <c r="E211" s="1179">
        <v>2020</v>
      </c>
      <c r="F211" s="1282" t="s">
        <v>20220</v>
      </c>
      <c r="G211" s="1368">
        <v>39.5</v>
      </c>
      <c r="H211" s="1178" t="s">
        <v>20221</v>
      </c>
      <c r="I211" s="1178" t="s">
        <v>1858</v>
      </c>
      <c r="J211" s="1178" t="s">
        <v>662</v>
      </c>
      <c r="K211" s="1178" t="s">
        <v>20344</v>
      </c>
      <c r="L211" s="1178" t="s">
        <v>42</v>
      </c>
      <c r="M211" s="1369" t="s">
        <v>23258</v>
      </c>
      <c r="N211" s="1178" t="s">
        <v>20244</v>
      </c>
      <c r="O211" s="1178">
        <v>6</v>
      </c>
      <c r="P211" s="1178">
        <v>13</v>
      </c>
    </row>
    <row r="212" spans="1:16">
      <c r="A212" s="1178" t="s">
        <v>55</v>
      </c>
      <c r="B212" s="1371" t="str">
        <f>HYPERLINK(IFERROR("#Main_Tariff!A"&amp;MATCH(Raeburn_Main_Tariff[[#This Row],[Product Code]],Main_Tariff!I:I,0),"#Main_Tariff!A"&amp;MATCH("*"&amp;RIGHT(A212,8)&amp;"*",Main_Tariff!A:A,0)),Raeburn_Main_Tariff[[#This Row],[PRODUCER]])</f>
        <v>Fonplegade</v>
      </c>
      <c r="C212" s="1178" t="s">
        <v>20382</v>
      </c>
      <c r="D212" s="1178" t="s">
        <v>897</v>
      </c>
      <c r="E212" s="1179">
        <v>2000</v>
      </c>
      <c r="F212" s="1282" t="s">
        <v>20220</v>
      </c>
      <c r="G212" s="1368">
        <v>36</v>
      </c>
      <c r="H212" s="1178" t="s">
        <v>20277</v>
      </c>
      <c r="I212" s="1178" t="s">
        <v>1859</v>
      </c>
      <c r="J212" s="1178" t="s">
        <v>662</v>
      </c>
      <c r="K212" s="1178" t="s">
        <v>20344</v>
      </c>
      <c r="L212" s="1178" t="s">
        <v>42</v>
      </c>
      <c r="M212" s="1369" t="s">
        <v>23258</v>
      </c>
      <c r="N212" s="1178"/>
      <c r="O212" s="1178">
        <v>12</v>
      </c>
      <c r="P212" s="1178">
        <v>0</v>
      </c>
    </row>
    <row r="213" spans="1:16">
      <c r="A213" s="1178" t="s">
        <v>20383</v>
      </c>
      <c r="B213" s="1371" t="str">
        <f>HYPERLINK(IFERROR("#Main_Tariff!A"&amp;MATCH(Raeburn_Main_Tariff[[#This Row],[Product Code]],Main_Tariff!I:I,0),"#Main_Tariff!A"&amp;MATCH("*"&amp;RIGHT(A213,8)&amp;"*",Main_Tariff!A:A,0)),Raeburn_Main_Tariff[[#This Row],[PRODUCER]])</f>
        <v>Clos La Gaffeliere</v>
      </c>
      <c r="C213" s="1178" t="s">
        <v>20384</v>
      </c>
      <c r="D213" s="1178" t="s">
        <v>897</v>
      </c>
      <c r="E213" s="1179">
        <v>2021</v>
      </c>
      <c r="F213" s="1282" t="s">
        <v>20280</v>
      </c>
      <c r="G213" s="1368" t="s">
        <v>20342</v>
      </c>
      <c r="H213" s="1178" t="s">
        <v>20343</v>
      </c>
      <c r="I213" s="1178" t="s">
        <v>1867</v>
      </c>
      <c r="J213" s="1178" t="s">
        <v>662</v>
      </c>
      <c r="K213" s="1178" t="s">
        <v>20344</v>
      </c>
      <c r="L213" s="1178" t="s">
        <v>42</v>
      </c>
      <c r="M213" s="1369" t="s">
        <v>23296</v>
      </c>
      <c r="N213" s="1178"/>
      <c r="O213" s="1178">
        <v>6</v>
      </c>
      <c r="P213" s="1178">
        <v>0</v>
      </c>
    </row>
    <row r="214" spans="1:16">
      <c r="A214" s="1178" t="s">
        <v>20383</v>
      </c>
      <c r="B214" s="1371" t="str">
        <f>HYPERLINK(IFERROR("#Main_Tariff!A"&amp;MATCH(Raeburn_Main_Tariff[[#This Row],[Product Code]],Main_Tariff!I:I,0),"#Main_Tariff!A"&amp;MATCH("*"&amp;RIGHT(A214,8)&amp;"*",Main_Tariff!A:A,0)),Raeburn_Main_Tariff[[#This Row],[PRODUCER]])</f>
        <v>Clos La Gaffeliere</v>
      </c>
      <c r="C214" s="1178" t="s">
        <v>20383</v>
      </c>
      <c r="D214" s="1178" t="s">
        <v>897</v>
      </c>
      <c r="E214" s="1179">
        <v>2023</v>
      </c>
      <c r="F214" s="1282" t="s">
        <v>20220</v>
      </c>
      <c r="G214" s="1368" t="s">
        <v>20342</v>
      </c>
      <c r="H214" s="1178" t="s">
        <v>20343</v>
      </c>
      <c r="I214" s="1178" t="s">
        <v>1869</v>
      </c>
      <c r="J214" s="1178" t="s">
        <v>662</v>
      </c>
      <c r="K214" s="1178" t="s">
        <v>20344</v>
      </c>
      <c r="L214" s="1178" t="s">
        <v>42</v>
      </c>
      <c r="M214" s="1369" t="s">
        <v>23296</v>
      </c>
      <c r="N214" s="1178"/>
      <c r="O214" s="1178">
        <v>6</v>
      </c>
      <c r="P214" s="1178">
        <v>14</v>
      </c>
    </row>
    <row r="215" spans="1:16">
      <c r="A215" s="1178" t="s">
        <v>20383</v>
      </c>
      <c r="B215" s="1371" t="str">
        <f>HYPERLINK(IFERROR("#Main_Tariff!A"&amp;MATCH(Raeburn_Main_Tariff[[#This Row],[Product Code]],Main_Tariff!I:I,0),"#Main_Tariff!A"&amp;MATCH("*"&amp;RIGHT(A215,8)&amp;"*",Main_Tariff!A:A,0)),Raeburn_Main_Tariff[[#This Row],[PRODUCER]])</f>
        <v>Clos La Gaffeliere</v>
      </c>
      <c r="C215" s="1178" t="s">
        <v>20383</v>
      </c>
      <c r="D215" s="1178" t="s">
        <v>897</v>
      </c>
      <c r="E215" s="1179">
        <v>2022</v>
      </c>
      <c r="F215" s="1282" t="s">
        <v>20220</v>
      </c>
      <c r="G215" s="1368" t="s">
        <v>20342</v>
      </c>
      <c r="H215" s="1178" t="s">
        <v>20343</v>
      </c>
      <c r="I215" s="1178" t="s">
        <v>1871</v>
      </c>
      <c r="J215" s="1178" t="s">
        <v>662</v>
      </c>
      <c r="K215" s="1178" t="s">
        <v>20344</v>
      </c>
      <c r="L215" s="1178" t="s">
        <v>42</v>
      </c>
      <c r="M215" s="1369" t="s">
        <v>23296</v>
      </c>
      <c r="N215" s="1178"/>
      <c r="O215" s="1178">
        <v>6</v>
      </c>
      <c r="P215" s="1178">
        <v>13</v>
      </c>
    </row>
    <row r="216" spans="1:16">
      <c r="A216" s="1178" t="s">
        <v>20383</v>
      </c>
      <c r="B216" s="1371" t="str">
        <f>HYPERLINK(IFERROR("#Main_Tariff!A"&amp;MATCH(Raeburn_Main_Tariff[[#This Row],[Product Code]],Main_Tariff!I:I,0),"#Main_Tariff!A"&amp;MATCH("*"&amp;RIGHT(A216,8)&amp;"*",Main_Tariff!A:A,0)),Raeburn_Main_Tariff[[#This Row],[PRODUCER]])</f>
        <v>Clos La Gaffeliere</v>
      </c>
      <c r="C216" s="1178" t="s">
        <v>20383</v>
      </c>
      <c r="D216" s="1178" t="s">
        <v>897</v>
      </c>
      <c r="E216" s="1179">
        <v>2021</v>
      </c>
      <c r="F216" s="1282" t="s">
        <v>20220</v>
      </c>
      <c r="G216" s="1368">
        <v>24.5</v>
      </c>
      <c r="H216" s="1178" t="s">
        <v>20221</v>
      </c>
      <c r="I216" s="1178" t="s">
        <v>1873</v>
      </c>
      <c r="J216" s="1178" t="s">
        <v>662</v>
      </c>
      <c r="K216" s="1178" t="s">
        <v>20344</v>
      </c>
      <c r="L216" s="1178" t="s">
        <v>42</v>
      </c>
      <c r="M216" s="1369" t="s">
        <v>23296</v>
      </c>
      <c r="N216" s="1178"/>
      <c r="O216" s="1178">
        <v>6</v>
      </c>
      <c r="P216" s="1178">
        <v>13.5</v>
      </c>
    </row>
    <row r="217" spans="1:16">
      <c r="A217" s="1178" t="s">
        <v>20383</v>
      </c>
      <c r="B217" s="1371" t="str">
        <f>HYPERLINK(IFERROR("#Main_Tariff!A"&amp;MATCH(Raeburn_Main_Tariff[[#This Row],[Product Code]],Main_Tariff!I:I,0),"#Main_Tariff!A"&amp;MATCH("*"&amp;RIGHT(A217,8)&amp;"*",Main_Tariff!A:A,0)),Raeburn_Main_Tariff[[#This Row],[PRODUCER]])</f>
        <v>Clos La Gaffeliere</v>
      </c>
      <c r="C217" s="1178" t="s">
        <v>20383</v>
      </c>
      <c r="D217" s="1178" t="s">
        <v>897</v>
      </c>
      <c r="E217" s="1179">
        <v>2020</v>
      </c>
      <c r="F217" s="1282" t="s">
        <v>20220</v>
      </c>
      <c r="G217" s="1368">
        <v>25</v>
      </c>
      <c r="H217" s="1178" t="s">
        <v>20221</v>
      </c>
      <c r="I217" s="1178" t="s">
        <v>1875</v>
      </c>
      <c r="J217" s="1178" t="s">
        <v>662</v>
      </c>
      <c r="K217" s="1178" t="s">
        <v>20344</v>
      </c>
      <c r="L217" s="1178" t="s">
        <v>42</v>
      </c>
      <c r="M217" s="1369" t="s">
        <v>23296</v>
      </c>
      <c r="N217" s="1178"/>
      <c r="O217" s="1178">
        <v>6</v>
      </c>
      <c r="P217" s="1178">
        <v>14</v>
      </c>
    </row>
    <row r="218" spans="1:16">
      <c r="A218" s="1178" t="s">
        <v>20383</v>
      </c>
      <c r="B218" s="1371" t="str">
        <f>HYPERLINK(IFERROR("#Main_Tariff!A"&amp;MATCH(Raeburn_Main_Tariff[[#This Row],[Product Code]],Main_Tariff!I:I,0),"#Main_Tariff!A"&amp;MATCH("*"&amp;RIGHT(A218,8)&amp;"*",Main_Tariff!A:A,0)),Raeburn_Main_Tariff[[#This Row],[PRODUCER]])</f>
        <v>Clos La Gaffeliere</v>
      </c>
      <c r="C218" s="1178" t="s">
        <v>20383</v>
      </c>
      <c r="D218" s="1178" t="s">
        <v>897</v>
      </c>
      <c r="E218" s="1179">
        <v>2019</v>
      </c>
      <c r="F218" s="1282" t="s">
        <v>20220</v>
      </c>
      <c r="G218" s="1368">
        <v>25</v>
      </c>
      <c r="H218" s="1178" t="s">
        <v>20221</v>
      </c>
      <c r="I218" s="1178" t="s">
        <v>1877</v>
      </c>
      <c r="J218" s="1178" t="s">
        <v>662</v>
      </c>
      <c r="K218" s="1178" t="s">
        <v>20344</v>
      </c>
      <c r="L218" s="1178" t="s">
        <v>42</v>
      </c>
      <c r="M218" s="1369" t="s">
        <v>23296</v>
      </c>
      <c r="N218" s="1178"/>
      <c r="O218" s="1178">
        <v>6</v>
      </c>
      <c r="P218" s="1178">
        <v>14</v>
      </c>
    </row>
    <row r="219" spans="1:16">
      <c r="A219" s="1178" t="s">
        <v>20383</v>
      </c>
      <c r="B219" s="1371" t="str">
        <f>HYPERLINK(IFERROR("#Main_Tariff!A"&amp;MATCH(Raeburn_Main_Tariff[[#This Row],[Product Code]],Main_Tariff!I:I,0),"#Main_Tariff!A"&amp;MATCH("*"&amp;RIGHT(A219,8)&amp;"*",Main_Tariff!A:A,0)),Raeburn_Main_Tariff[[#This Row],[PRODUCER]])</f>
        <v>Clos La Gaffeliere</v>
      </c>
      <c r="C219" s="1178" t="s">
        <v>20383</v>
      </c>
      <c r="D219" s="1178" t="s">
        <v>897</v>
      </c>
      <c r="E219" s="1179">
        <v>2016</v>
      </c>
      <c r="F219" s="1282" t="s">
        <v>20220</v>
      </c>
      <c r="G219" s="1368">
        <v>25</v>
      </c>
      <c r="H219" s="1178" t="s">
        <v>20221</v>
      </c>
      <c r="I219" s="1178" t="s">
        <v>1879</v>
      </c>
      <c r="J219" s="1178" t="s">
        <v>662</v>
      </c>
      <c r="K219" s="1178" t="s">
        <v>20344</v>
      </c>
      <c r="L219" s="1178" t="s">
        <v>42</v>
      </c>
      <c r="M219" s="1369" t="s">
        <v>23296</v>
      </c>
      <c r="N219" s="1178"/>
      <c r="O219" s="1178">
        <v>6</v>
      </c>
      <c r="P219" s="1178">
        <v>13.5</v>
      </c>
    </row>
    <row r="220" spans="1:16">
      <c r="A220" s="1178" t="s">
        <v>20383</v>
      </c>
      <c r="B220" s="1371" t="str">
        <f>HYPERLINK(IFERROR("#Main_Tariff!A"&amp;MATCH(Raeburn_Main_Tariff[[#This Row],[Product Code]],Main_Tariff!I:I,0),"#Main_Tariff!A"&amp;MATCH("*"&amp;RIGHT(A220,8)&amp;"*",Main_Tariff!A:A,0)),Raeburn_Main_Tariff[[#This Row],[PRODUCER]])</f>
        <v>Clos La Gaffeliere</v>
      </c>
      <c r="C220" s="1178" t="s">
        <v>20385</v>
      </c>
      <c r="D220" s="1178" t="s">
        <v>897</v>
      </c>
      <c r="E220" s="1179">
        <v>2020</v>
      </c>
      <c r="F220" s="1282" t="s">
        <v>20240</v>
      </c>
      <c r="G220" s="1368">
        <v>50.5</v>
      </c>
      <c r="H220" s="1178" t="s">
        <v>20221</v>
      </c>
      <c r="I220" s="1178" t="s">
        <v>1881</v>
      </c>
      <c r="J220" s="1178" t="s">
        <v>662</v>
      </c>
      <c r="K220" s="1178" t="s">
        <v>20344</v>
      </c>
      <c r="L220" s="1178" t="s">
        <v>42</v>
      </c>
      <c r="M220" s="1369" t="s">
        <v>23296</v>
      </c>
      <c r="N220" s="1178"/>
      <c r="O220" s="1178">
        <v>6</v>
      </c>
      <c r="P220" s="1178">
        <v>13</v>
      </c>
    </row>
    <row r="221" spans="1:16">
      <c r="A221" s="1178" t="s">
        <v>57</v>
      </c>
      <c r="B221" s="1371" t="str">
        <f>HYPERLINK(IFERROR("#Main_Tariff!A"&amp;MATCH(Raeburn_Main_Tariff[[#This Row],[Product Code]],Main_Tariff!I:I,0),"#Main_Tariff!A"&amp;MATCH("*"&amp;RIGHT(A221,8)&amp;"*",Main_Tariff!A:A,0)),Raeburn_Main_Tariff[[#This Row],[PRODUCER]])</f>
        <v>La Gaffeliere</v>
      </c>
      <c r="C221" s="1178" t="s">
        <v>20386</v>
      </c>
      <c r="D221" s="1178" t="s">
        <v>897</v>
      </c>
      <c r="E221" s="1179">
        <v>2023</v>
      </c>
      <c r="F221" s="1282" t="s">
        <v>20220</v>
      </c>
      <c r="G221" s="1368" t="s">
        <v>20342</v>
      </c>
      <c r="H221" s="1178" t="s">
        <v>20343</v>
      </c>
      <c r="I221" s="1178" t="s">
        <v>1893</v>
      </c>
      <c r="J221" s="1178" t="s">
        <v>662</v>
      </c>
      <c r="K221" s="1178" t="s">
        <v>20344</v>
      </c>
      <c r="L221" s="1178" t="s">
        <v>42</v>
      </c>
      <c r="M221" s="1369" t="s">
        <v>23296</v>
      </c>
      <c r="N221" s="1178"/>
      <c r="O221" s="1178">
        <v>6</v>
      </c>
      <c r="P221" s="1178">
        <v>13</v>
      </c>
    </row>
    <row r="222" spans="1:16">
      <c r="A222" s="1178" t="s">
        <v>57</v>
      </c>
      <c r="B222" s="1371" t="str">
        <f>HYPERLINK(IFERROR("#Main_Tariff!A"&amp;MATCH(Raeburn_Main_Tariff[[#This Row],[Product Code]],Main_Tariff!I:I,0),"#Main_Tariff!A"&amp;MATCH("*"&amp;RIGHT(A222,8)&amp;"*",Main_Tariff!A:A,0)),Raeburn_Main_Tariff[[#This Row],[PRODUCER]])</f>
        <v>La Gaffeliere</v>
      </c>
      <c r="C222" s="1178" t="s">
        <v>20386</v>
      </c>
      <c r="D222" s="1178" t="s">
        <v>897</v>
      </c>
      <c r="E222" s="1179">
        <v>2022</v>
      </c>
      <c r="F222" s="1282" t="s">
        <v>20220</v>
      </c>
      <c r="G222" s="1368" t="s">
        <v>5258</v>
      </c>
      <c r="H222" s="1178" t="s">
        <v>20221</v>
      </c>
      <c r="I222" s="1178" t="s">
        <v>1894</v>
      </c>
      <c r="J222" s="1178" t="s">
        <v>662</v>
      </c>
      <c r="K222" s="1178" t="s">
        <v>20344</v>
      </c>
      <c r="L222" s="1178" t="s">
        <v>42</v>
      </c>
      <c r="M222" s="1369" t="s">
        <v>23296</v>
      </c>
      <c r="N222" s="1178"/>
      <c r="O222" s="1178">
        <v>6</v>
      </c>
      <c r="P222" s="1178">
        <v>14.5</v>
      </c>
    </row>
    <row r="223" spans="1:16">
      <c r="A223" s="1178" t="s">
        <v>57</v>
      </c>
      <c r="B223" s="1371" t="str">
        <f>HYPERLINK(IFERROR("#Main_Tariff!A"&amp;MATCH(Raeburn_Main_Tariff[[#This Row],[Product Code]],Main_Tariff!I:I,0),"#Main_Tariff!A"&amp;MATCH("*"&amp;RIGHT(A223,8)&amp;"*",Main_Tariff!A:A,0)),Raeburn_Main_Tariff[[#This Row],[PRODUCER]])</f>
        <v>La Gaffeliere</v>
      </c>
      <c r="C223" s="1178" t="s">
        <v>20386</v>
      </c>
      <c r="D223" s="1178" t="s">
        <v>897</v>
      </c>
      <c r="E223" s="1179">
        <v>2021</v>
      </c>
      <c r="F223" s="1282" t="s">
        <v>20220</v>
      </c>
      <c r="G223" s="1368">
        <v>65.5</v>
      </c>
      <c r="H223" s="1178" t="s">
        <v>20221</v>
      </c>
      <c r="I223" s="1178" t="s">
        <v>1895</v>
      </c>
      <c r="J223" s="1178" t="s">
        <v>662</v>
      </c>
      <c r="K223" s="1178" t="s">
        <v>20344</v>
      </c>
      <c r="L223" s="1178" t="s">
        <v>42</v>
      </c>
      <c r="M223" s="1369" t="s">
        <v>23293</v>
      </c>
      <c r="N223" s="1178"/>
      <c r="O223" s="1178">
        <v>6</v>
      </c>
      <c r="P223" s="1178">
        <v>13.5</v>
      </c>
    </row>
    <row r="224" spans="1:16">
      <c r="A224" s="1178" t="s">
        <v>57</v>
      </c>
      <c r="B224" s="1371" t="str">
        <f>HYPERLINK(IFERROR("#Main_Tariff!A"&amp;MATCH(Raeburn_Main_Tariff[[#This Row],[Product Code]],Main_Tariff!I:I,0),"#Main_Tariff!A"&amp;MATCH("*"&amp;RIGHT(A224,8)&amp;"*",Main_Tariff!A:A,0)),Raeburn_Main_Tariff[[#This Row],[PRODUCER]])</f>
        <v>La Gaffeliere</v>
      </c>
      <c r="C224" s="1178" t="s">
        <v>20386</v>
      </c>
      <c r="D224" s="1178" t="s">
        <v>897</v>
      </c>
      <c r="E224" s="1179">
        <v>2020</v>
      </c>
      <c r="F224" s="1282" t="s">
        <v>20220</v>
      </c>
      <c r="G224" s="1368">
        <v>65.5</v>
      </c>
      <c r="H224" s="1178" t="s">
        <v>20221</v>
      </c>
      <c r="I224" s="1178" t="s">
        <v>1896</v>
      </c>
      <c r="J224" s="1178" t="s">
        <v>662</v>
      </c>
      <c r="K224" s="1178" t="s">
        <v>20344</v>
      </c>
      <c r="L224" s="1178" t="s">
        <v>42</v>
      </c>
      <c r="M224" s="1369" t="s">
        <v>23293</v>
      </c>
      <c r="N224" s="1178"/>
      <c r="O224" s="1178">
        <v>6</v>
      </c>
      <c r="P224" s="1178">
        <v>13</v>
      </c>
    </row>
    <row r="225" spans="1:16">
      <c r="A225" s="1178" t="s">
        <v>57</v>
      </c>
      <c r="B225" s="1371" t="str">
        <f>HYPERLINK(IFERROR("#Main_Tariff!A"&amp;MATCH(Raeburn_Main_Tariff[[#This Row],[Product Code]],Main_Tariff!I:I,0),"#Main_Tariff!A"&amp;MATCH("*"&amp;RIGHT(A225,8)&amp;"*",Main_Tariff!A:A,0)),Raeburn_Main_Tariff[[#This Row],[PRODUCER]])</f>
        <v>La Gaffeliere</v>
      </c>
      <c r="C225" s="1178" t="s">
        <v>20386</v>
      </c>
      <c r="D225" s="1178" t="s">
        <v>897</v>
      </c>
      <c r="E225" s="1179">
        <v>2019</v>
      </c>
      <c r="F225" s="1282" t="s">
        <v>20220</v>
      </c>
      <c r="G225" s="1368">
        <v>65</v>
      </c>
      <c r="H225" s="1178" t="s">
        <v>20221</v>
      </c>
      <c r="I225" s="1178" t="s">
        <v>1897</v>
      </c>
      <c r="J225" s="1178" t="s">
        <v>662</v>
      </c>
      <c r="K225" s="1178" t="s">
        <v>20344</v>
      </c>
      <c r="L225" s="1178" t="s">
        <v>42</v>
      </c>
      <c r="M225" s="1369" t="s">
        <v>23293</v>
      </c>
      <c r="N225" s="1178"/>
      <c r="O225" s="1178">
        <v>6</v>
      </c>
      <c r="P225" s="1178">
        <v>13</v>
      </c>
    </row>
    <row r="226" spans="1:16">
      <c r="A226" s="1178" t="s">
        <v>57</v>
      </c>
      <c r="B226" s="1371" t="str">
        <f>HYPERLINK(IFERROR("#Main_Tariff!A"&amp;MATCH(Raeburn_Main_Tariff[[#This Row],[Product Code]],Main_Tariff!I:I,0),"#Main_Tariff!A"&amp;MATCH("*"&amp;RIGHT(A226,8)&amp;"*",Main_Tariff!A:A,0)),Raeburn_Main_Tariff[[#This Row],[PRODUCER]])</f>
        <v>La Gaffeliere</v>
      </c>
      <c r="C226" s="1178" t="s">
        <v>20386</v>
      </c>
      <c r="D226" s="1178" t="s">
        <v>897</v>
      </c>
      <c r="E226" s="1179">
        <v>2018</v>
      </c>
      <c r="F226" s="1282" t="s">
        <v>20220</v>
      </c>
      <c r="G226" s="1368">
        <v>79</v>
      </c>
      <c r="H226" s="1178" t="s">
        <v>20221</v>
      </c>
      <c r="I226" s="1178" t="s">
        <v>1898</v>
      </c>
      <c r="J226" s="1178" t="s">
        <v>662</v>
      </c>
      <c r="K226" s="1178" t="s">
        <v>20344</v>
      </c>
      <c r="L226" s="1178" t="s">
        <v>42</v>
      </c>
      <c r="M226" s="1369" t="s">
        <v>23293</v>
      </c>
      <c r="N226" s="1178"/>
      <c r="O226" s="1178">
        <v>6</v>
      </c>
      <c r="P226" s="1178">
        <v>13</v>
      </c>
    </row>
    <row r="227" spans="1:16">
      <c r="A227" s="1178" t="s">
        <v>57</v>
      </c>
      <c r="B227" s="1371" t="str">
        <f>HYPERLINK(IFERROR("#Main_Tariff!A"&amp;MATCH(Raeburn_Main_Tariff[[#This Row],[Product Code]],Main_Tariff!I:I,0),"#Main_Tariff!A"&amp;MATCH("*"&amp;RIGHT(A227,8)&amp;"*",Main_Tariff!A:A,0)),Raeburn_Main_Tariff[[#This Row],[PRODUCER]])</f>
        <v>La Gaffeliere</v>
      </c>
      <c r="C227" s="1178" t="s">
        <v>20386</v>
      </c>
      <c r="D227" s="1178" t="s">
        <v>897</v>
      </c>
      <c r="E227" s="1179">
        <v>2017</v>
      </c>
      <c r="F227" s="1282" t="s">
        <v>20220</v>
      </c>
      <c r="G227" s="1368">
        <v>65.5</v>
      </c>
      <c r="H227" s="1178" t="s">
        <v>20221</v>
      </c>
      <c r="I227" s="1178" t="s">
        <v>1900</v>
      </c>
      <c r="J227" s="1178" t="s">
        <v>662</v>
      </c>
      <c r="K227" s="1178" t="s">
        <v>20344</v>
      </c>
      <c r="L227" s="1178" t="s">
        <v>42</v>
      </c>
      <c r="M227" s="1369" t="s">
        <v>23293</v>
      </c>
      <c r="N227" s="1178"/>
      <c r="O227" s="1178">
        <v>6</v>
      </c>
      <c r="P227" s="1178">
        <v>13</v>
      </c>
    </row>
    <row r="228" spans="1:16">
      <c r="A228" s="1178" t="s">
        <v>57</v>
      </c>
      <c r="B228" s="1371" t="str">
        <f>HYPERLINK(IFERROR("#Main_Tariff!A"&amp;MATCH(Raeburn_Main_Tariff[[#This Row],[Product Code]],Main_Tariff!I:I,0),"#Main_Tariff!A"&amp;MATCH("*"&amp;RIGHT(A228,8)&amp;"*",Main_Tariff!A:A,0)),Raeburn_Main_Tariff[[#This Row],[PRODUCER]])</f>
        <v>La Gaffeliere</v>
      </c>
      <c r="C228" s="1178" t="s">
        <v>20386</v>
      </c>
      <c r="D228" s="1178" t="s">
        <v>897</v>
      </c>
      <c r="E228" s="1179">
        <v>2016</v>
      </c>
      <c r="F228" s="1282" t="s">
        <v>20220</v>
      </c>
      <c r="G228" s="1368">
        <v>68</v>
      </c>
      <c r="H228" s="1178" t="s">
        <v>20221</v>
      </c>
      <c r="I228" s="1178" t="s">
        <v>1902</v>
      </c>
      <c r="J228" s="1178" t="s">
        <v>662</v>
      </c>
      <c r="K228" s="1178" t="s">
        <v>20344</v>
      </c>
      <c r="L228" s="1178" t="s">
        <v>42</v>
      </c>
      <c r="M228" s="1369" t="s">
        <v>23293</v>
      </c>
      <c r="N228" s="1178"/>
      <c r="O228" s="1178">
        <v>6</v>
      </c>
      <c r="P228" s="1178">
        <v>13</v>
      </c>
    </row>
    <row r="229" spans="1:16">
      <c r="A229" s="1178" t="s">
        <v>57</v>
      </c>
      <c r="B229" s="1371" t="str">
        <f>HYPERLINK(IFERROR("#Main_Tariff!A"&amp;MATCH(Raeburn_Main_Tariff[[#This Row],[Product Code]],Main_Tariff!I:I,0),"#Main_Tariff!A"&amp;MATCH("*"&amp;RIGHT(A229,8)&amp;"*",Main_Tariff!A:A,0)),Raeburn_Main_Tariff[[#This Row],[PRODUCER]])</f>
        <v>La Gaffeliere</v>
      </c>
      <c r="C229" s="1178" t="s">
        <v>20386</v>
      </c>
      <c r="D229" s="1178" t="s">
        <v>897</v>
      </c>
      <c r="E229" s="1179">
        <v>2015</v>
      </c>
      <c r="F229" s="1282" t="s">
        <v>20220</v>
      </c>
      <c r="G229" s="1368">
        <v>71</v>
      </c>
      <c r="H229" s="1178" t="s">
        <v>20221</v>
      </c>
      <c r="I229" s="1178" t="s">
        <v>1904</v>
      </c>
      <c r="J229" s="1178" t="s">
        <v>662</v>
      </c>
      <c r="K229" s="1178" t="s">
        <v>20344</v>
      </c>
      <c r="L229" s="1178" t="s">
        <v>42</v>
      </c>
      <c r="M229" s="1369" t="s">
        <v>23293</v>
      </c>
      <c r="N229" s="1178"/>
      <c r="O229" s="1178">
        <v>6</v>
      </c>
      <c r="P229" s="1178">
        <v>13</v>
      </c>
    </row>
    <row r="230" spans="1:16">
      <c r="A230" s="1178" t="s">
        <v>57</v>
      </c>
      <c r="B230" s="1371" t="str">
        <f>HYPERLINK(IFERROR("#Main_Tariff!A"&amp;MATCH(Raeburn_Main_Tariff[[#This Row],[Product Code]],Main_Tariff!I:I,0),"#Main_Tariff!A"&amp;MATCH("*"&amp;RIGHT(A230,8)&amp;"*",Main_Tariff!A:A,0)),Raeburn_Main_Tariff[[#This Row],[PRODUCER]])</f>
        <v>La Gaffeliere</v>
      </c>
      <c r="C230" s="1178" t="s">
        <v>20386</v>
      </c>
      <c r="D230" s="1178" t="s">
        <v>897</v>
      </c>
      <c r="E230" s="1179">
        <v>2014</v>
      </c>
      <c r="F230" s="1282" t="s">
        <v>20220</v>
      </c>
      <c r="G230" s="1368">
        <v>61</v>
      </c>
      <c r="H230" s="1178" t="s">
        <v>20221</v>
      </c>
      <c r="I230" s="1178" t="s">
        <v>1906</v>
      </c>
      <c r="J230" s="1178" t="s">
        <v>662</v>
      </c>
      <c r="K230" s="1178" t="s">
        <v>20344</v>
      </c>
      <c r="L230" s="1178" t="s">
        <v>42</v>
      </c>
      <c r="M230" s="1369" t="s">
        <v>23293</v>
      </c>
      <c r="N230" s="1178"/>
      <c r="O230" s="1178">
        <v>12</v>
      </c>
      <c r="P230" s="1178">
        <v>13</v>
      </c>
    </row>
    <row r="231" spans="1:16">
      <c r="A231" s="1178" t="s">
        <v>57</v>
      </c>
      <c r="B231" s="1371" t="str">
        <f>HYPERLINK(IFERROR("#Main_Tariff!A"&amp;MATCH(Raeburn_Main_Tariff[[#This Row],[Product Code]],Main_Tariff!I:I,0),"#Main_Tariff!A"&amp;MATCH("*"&amp;RIGHT(A231,8)&amp;"*",Main_Tariff!A:A,0)),Raeburn_Main_Tariff[[#This Row],[PRODUCER]])</f>
        <v>La Gaffeliere</v>
      </c>
      <c r="C231" s="1178" t="s">
        <v>20386</v>
      </c>
      <c r="D231" s="1178" t="s">
        <v>897</v>
      </c>
      <c r="E231" s="1179">
        <v>2012</v>
      </c>
      <c r="F231" s="1282" t="s">
        <v>20220</v>
      </c>
      <c r="G231" s="1368">
        <v>71</v>
      </c>
      <c r="H231" s="1178" t="s">
        <v>20221</v>
      </c>
      <c r="I231" s="1178" t="s">
        <v>1907</v>
      </c>
      <c r="J231" s="1178" t="s">
        <v>662</v>
      </c>
      <c r="K231" s="1178" t="s">
        <v>20344</v>
      </c>
      <c r="L231" s="1178" t="s">
        <v>42</v>
      </c>
      <c r="M231" s="1369" t="s">
        <v>23293</v>
      </c>
      <c r="N231" s="1178"/>
      <c r="O231" s="1178">
        <v>12</v>
      </c>
      <c r="P231" s="1178">
        <v>13</v>
      </c>
    </row>
    <row r="232" spans="1:16">
      <c r="A232" s="1178" t="s">
        <v>57</v>
      </c>
      <c r="B232" s="1371" t="str">
        <f>HYPERLINK(IFERROR("#Main_Tariff!A"&amp;MATCH(Raeburn_Main_Tariff[[#This Row],[Product Code]],Main_Tariff!I:I,0),"#Main_Tariff!A"&amp;MATCH("*"&amp;RIGHT(A232,8)&amp;"*",Main_Tariff!A:A,0)),Raeburn_Main_Tariff[[#This Row],[PRODUCER]])</f>
        <v>La Gaffeliere</v>
      </c>
      <c r="C232" s="1178" t="s">
        <v>20386</v>
      </c>
      <c r="D232" s="1178" t="s">
        <v>897</v>
      </c>
      <c r="E232" s="1179">
        <v>2008</v>
      </c>
      <c r="F232" s="1282" t="s">
        <v>20220</v>
      </c>
      <c r="G232" s="1368">
        <v>73</v>
      </c>
      <c r="H232" s="1178" t="s">
        <v>20277</v>
      </c>
      <c r="I232" s="1178" t="s">
        <v>1909</v>
      </c>
      <c r="J232" s="1178" t="s">
        <v>662</v>
      </c>
      <c r="K232" s="1178" t="s">
        <v>20344</v>
      </c>
      <c r="L232" s="1178" t="s">
        <v>42</v>
      </c>
      <c r="M232" s="1369" t="s">
        <v>23293</v>
      </c>
      <c r="N232" s="1178"/>
      <c r="O232" s="1178">
        <v>12</v>
      </c>
      <c r="P232" s="1178">
        <v>13</v>
      </c>
    </row>
    <row r="233" spans="1:16">
      <c r="A233" s="1178" t="s">
        <v>57</v>
      </c>
      <c r="B233" s="1371" t="str">
        <f>HYPERLINK(IFERROR("#Main_Tariff!A"&amp;MATCH(Raeburn_Main_Tariff[[#This Row],[Product Code]],Main_Tariff!I:I,0),"#Main_Tariff!A"&amp;MATCH("*"&amp;RIGHT(A233,8)&amp;"*",Main_Tariff!A:A,0)),Raeburn_Main_Tariff[[#This Row],[PRODUCER]])</f>
        <v>La Gaffeliere</v>
      </c>
      <c r="C233" s="1178" t="s">
        <v>20387</v>
      </c>
      <c r="D233" s="1178" t="s">
        <v>897</v>
      </c>
      <c r="E233" s="1179">
        <v>2018</v>
      </c>
      <c r="F233" s="1282" t="s">
        <v>20240</v>
      </c>
      <c r="G233" s="1368">
        <v>166.5</v>
      </c>
      <c r="H233" s="1178" t="s">
        <v>20224</v>
      </c>
      <c r="I233" s="1178" t="s">
        <v>1912</v>
      </c>
      <c r="J233" s="1178" t="s">
        <v>662</v>
      </c>
      <c r="K233" s="1178" t="s">
        <v>20344</v>
      </c>
      <c r="L233" s="1178" t="s">
        <v>42</v>
      </c>
      <c r="M233" s="1369" t="s">
        <v>23293</v>
      </c>
      <c r="N233" s="1178"/>
      <c r="O233" s="1178">
        <v>1</v>
      </c>
      <c r="P233" s="1178">
        <v>13</v>
      </c>
    </row>
    <row r="234" spans="1:16">
      <c r="A234" s="1178" t="s">
        <v>57</v>
      </c>
      <c r="B234" s="1371" t="str">
        <f>HYPERLINK(IFERROR("#Main_Tariff!A"&amp;MATCH(Raeburn_Main_Tariff[[#This Row],[Product Code]],Main_Tariff!I:I,0),"#Main_Tariff!A"&amp;MATCH("*"&amp;RIGHT(A234,8)&amp;"*",Main_Tariff!A:A,0)),Raeburn_Main_Tariff[[#This Row],[PRODUCER]])</f>
        <v>La Gaffeliere</v>
      </c>
      <c r="C234" s="1178" t="s">
        <v>20387</v>
      </c>
      <c r="D234" s="1178" t="s">
        <v>897</v>
      </c>
      <c r="E234" s="1179">
        <v>2016</v>
      </c>
      <c r="F234" s="1282" t="s">
        <v>20240</v>
      </c>
      <c r="G234" s="1368">
        <v>142</v>
      </c>
      <c r="H234" s="1178" t="s">
        <v>20224</v>
      </c>
      <c r="I234" s="1178" t="s">
        <v>1914</v>
      </c>
      <c r="J234" s="1178" t="s">
        <v>662</v>
      </c>
      <c r="K234" s="1178" t="s">
        <v>20344</v>
      </c>
      <c r="L234" s="1178" t="s">
        <v>42</v>
      </c>
      <c r="M234" s="1369" t="s">
        <v>23293</v>
      </c>
      <c r="N234" s="1178"/>
      <c r="O234" s="1178">
        <v>1</v>
      </c>
      <c r="P234" s="1178">
        <v>13</v>
      </c>
    </row>
    <row r="235" spans="1:16">
      <c r="A235" s="1178" t="s">
        <v>57</v>
      </c>
      <c r="B235" s="1371" t="str">
        <f>HYPERLINK(IFERROR("#Main_Tariff!A"&amp;MATCH(Raeburn_Main_Tariff[[#This Row],[Product Code]],Main_Tariff!I:I,0),"#Main_Tariff!A"&amp;MATCH("*"&amp;RIGHT(A235,8)&amp;"*",Main_Tariff!A:A,0)),Raeburn_Main_Tariff[[#This Row],[PRODUCER]])</f>
        <v>La Gaffeliere</v>
      </c>
      <c r="C235" s="1178" t="s">
        <v>20387</v>
      </c>
      <c r="D235" s="1178" t="s">
        <v>897</v>
      </c>
      <c r="E235" s="1179">
        <v>2015</v>
      </c>
      <c r="F235" s="1282" t="s">
        <v>20240</v>
      </c>
      <c r="G235" s="1368">
        <v>148</v>
      </c>
      <c r="H235" s="1178" t="s">
        <v>20224</v>
      </c>
      <c r="I235" s="1178" t="s">
        <v>1916</v>
      </c>
      <c r="J235" s="1178" t="s">
        <v>662</v>
      </c>
      <c r="K235" s="1178" t="s">
        <v>20344</v>
      </c>
      <c r="L235" s="1178" t="s">
        <v>42</v>
      </c>
      <c r="M235" s="1369" t="s">
        <v>23293</v>
      </c>
      <c r="N235" s="1178"/>
      <c r="O235" s="1178">
        <v>1</v>
      </c>
      <c r="P235" s="1178">
        <v>13</v>
      </c>
    </row>
    <row r="236" spans="1:16">
      <c r="A236" s="1178" t="s">
        <v>57</v>
      </c>
      <c r="B236" s="1371" t="str">
        <f>HYPERLINK(IFERROR("#Main_Tariff!A"&amp;MATCH(Raeburn_Main_Tariff[[#This Row],[Product Code]],Main_Tariff!I:I,0),"#Main_Tariff!A"&amp;MATCH("*"&amp;RIGHT(A236,8)&amp;"*",Main_Tariff!A:A,0)),Raeburn_Main_Tariff[[#This Row],[PRODUCER]])</f>
        <v>La Gaffeliere</v>
      </c>
      <c r="C236" s="1178" t="s">
        <v>20387</v>
      </c>
      <c r="D236" s="1178" t="s">
        <v>897</v>
      </c>
      <c r="E236" s="1179">
        <v>2014</v>
      </c>
      <c r="F236" s="1282" t="s">
        <v>20240</v>
      </c>
      <c r="G236" s="1368">
        <v>125</v>
      </c>
      <c r="H236" s="1178" t="s">
        <v>20224</v>
      </c>
      <c r="I236" s="1178" t="s">
        <v>1918</v>
      </c>
      <c r="J236" s="1178" t="s">
        <v>662</v>
      </c>
      <c r="K236" s="1178" t="s">
        <v>20344</v>
      </c>
      <c r="L236" s="1178" t="s">
        <v>42</v>
      </c>
      <c r="M236" s="1369" t="s">
        <v>23293</v>
      </c>
      <c r="N236" s="1178"/>
      <c r="O236" s="1178">
        <v>6</v>
      </c>
      <c r="P236" s="1178">
        <v>13</v>
      </c>
    </row>
    <row r="237" spans="1:16">
      <c r="A237" s="1178" t="s">
        <v>57</v>
      </c>
      <c r="B237" s="1371" t="str">
        <f>HYPERLINK(IFERROR("#Main_Tariff!A"&amp;MATCH(Raeburn_Main_Tariff[[#This Row],[Product Code]],Main_Tariff!I:I,0),"#Main_Tariff!A"&amp;MATCH("*"&amp;RIGHT(A237,8)&amp;"*",Main_Tariff!A:A,0)),Raeburn_Main_Tariff[[#This Row],[PRODUCER]])</f>
        <v>La Gaffeliere</v>
      </c>
      <c r="C237" s="1178" t="s">
        <v>20388</v>
      </c>
      <c r="D237" s="1178" t="s">
        <v>897</v>
      </c>
      <c r="E237" s="1179">
        <v>2016</v>
      </c>
      <c r="F237" s="1282" t="s">
        <v>20288</v>
      </c>
      <c r="G237" s="1368">
        <v>326.5</v>
      </c>
      <c r="H237" s="1178" t="s">
        <v>20224</v>
      </c>
      <c r="I237" s="1178" t="s">
        <v>1920</v>
      </c>
      <c r="J237" s="1178" t="s">
        <v>662</v>
      </c>
      <c r="K237" s="1178" t="s">
        <v>20344</v>
      </c>
      <c r="L237" s="1178" t="s">
        <v>42</v>
      </c>
      <c r="M237" s="1369" t="s">
        <v>23293</v>
      </c>
      <c r="N237" s="1178"/>
      <c r="O237" s="1178">
        <v>1</v>
      </c>
      <c r="P237" s="1178">
        <v>13</v>
      </c>
    </row>
    <row r="238" spans="1:16">
      <c r="A238" s="1178" t="s">
        <v>58</v>
      </c>
      <c r="B238" s="1371" t="str">
        <f>HYPERLINK(IFERROR("#Main_Tariff!A"&amp;MATCH(Raeburn_Main_Tariff[[#This Row],[Product Code]],Main_Tariff!I:I,0),"#Main_Tariff!A"&amp;MATCH("*"&amp;RIGHT(A238,8)&amp;"*",Main_Tariff!A:A,0)),Raeburn_Main_Tariff[[#This Row],[PRODUCER]])</f>
        <v>Les Giraudels de Milon</v>
      </c>
      <c r="C238" s="1178" t="s">
        <v>20389</v>
      </c>
      <c r="D238" s="1178" t="s">
        <v>897</v>
      </c>
      <c r="E238" s="1179">
        <v>2012</v>
      </c>
      <c r="F238" s="1282" t="s">
        <v>20220</v>
      </c>
      <c r="G238" s="1368">
        <v>17.5</v>
      </c>
      <c r="H238" s="1178" t="s">
        <v>20277</v>
      </c>
      <c r="I238" s="1178" t="s">
        <v>1942</v>
      </c>
      <c r="J238" s="1178" t="s">
        <v>662</v>
      </c>
      <c r="K238" s="1178" t="s">
        <v>20344</v>
      </c>
      <c r="L238" s="1178" t="s">
        <v>42</v>
      </c>
      <c r="M238" s="1369" t="s">
        <v>23296</v>
      </c>
      <c r="N238" s="1178"/>
      <c r="O238" s="1178">
        <v>6</v>
      </c>
      <c r="P238" s="1178">
        <v>12.5</v>
      </c>
    </row>
    <row r="239" spans="1:16">
      <c r="A239" s="1178" t="s">
        <v>59</v>
      </c>
      <c r="B239" s="1371" t="str">
        <f>HYPERLINK(IFERROR("#Main_Tariff!A"&amp;MATCH(Raeburn_Main_Tariff[[#This Row],[Product Code]],Main_Tariff!I:I,0),"#Main_Tariff!A"&amp;MATCH("*"&amp;RIGHT(A239,8)&amp;"*",Main_Tariff!A:A,0)),Raeburn_Main_Tariff[[#This Row],[PRODUCER]])</f>
        <v>La Gomerie</v>
      </c>
      <c r="C239" s="1178" t="s">
        <v>20390</v>
      </c>
      <c r="D239" s="1178" t="s">
        <v>897</v>
      </c>
      <c r="E239" s="1179">
        <v>2005</v>
      </c>
      <c r="F239" s="1282" t="s">
        <v>20220</v>
      </c>
      <c r="G239" s="1368">
        <v>70</v>
      </c>
      <c r="H239" s="1178" t="s">
        <v>20224</v>
      </c>
      <c r="I239" s="1178" t="s">
        <v>1947</v>
      </c>
      <c r="J239" s="1178" t="s">
        <v>662</v>
      </c>
      <c r="K239" s="1178" t="s">
        <v>20344</v>
      </c>
      <c r="L239" s="1178" t="s">
        <v>42</v>
      </c>
      <c r="M239" s="1369" t="s">
        <v>23296</v>
      </c>
      <c r="N239" s="1178"/>
      <c r="O239" s="1178">
        <v>12</v>
      </c>
      <c r="P239" s="1178">
        <v>12.5</v>
      </c>
    </row>
    <row r="240" spans="1:16">
      <c r="A240" s="1178" t="s">
        <v>60</v>
      </c>
      <c r="B240" s="1371" t="str">
        <f>HYPERLINK(IFERROR("#Main_Tariff!A"&amp;MATCH(Raeburn_Main_Tariff[[#This Row],[Product Code]],Main_Tariff!I:I,0),"#Main_Tariff!A"&amp;MATCH("*"&amp;RIGHT(A240,8)&amp;"*",Main_Tariff!A:A,0)),Raeburn_Main_Tariff[[#This Row],[PRODUCER]])</f>
        <v>Grand Corbin Despagne</v>
      </c>
      <c r="C240" s="1178" t="s">
        <v>60</v>
      </c>
      <c r="D240" s="1178" t="s">
        <v>897</v>
      </c>
      <c r="E240" s="1179">
        <v>2020</v>
      </c>
      <c r="F240" s="1282" t="s">
        <v>20220</v>
      </c>
      <c r="G240" s="1368">
        <v>31.5</v>
      </c>
      <c r="H240" s="1178" t="s">
        <v>20221</v>
      </c>
      <c r="I240" s="1178" t="s">
        <v>1952</v>
      </c>
      <c r="J240" s="1178" t="s">
        <v>662</v>
      </c>
      <c r="K240" s="1178" t="s">
        <v>20344</v>
      </c>
      <c r="L240" s="1178" t="s">
        <v>42</v>
      </c>
      <c r="M240" s="1369" t="s">
        <v>23258</v>
      </c>
      <c r="N240" s="1178"/>
      <c r="O240" s="1178">
        <v>6</v>
      </c>
      <c r="P240" s="1178">
        <v>15</v>
      </c>
    </row>
    <row r="241" spans="1:16">
      <c r="A241" s="1178" t="s">
        <v>61</v>
      </c>
      <c r="B241" s="1371" t="str">
        <f>HYPERLINK(IFERROR("#Main_Tariff!A"&amp;MATCH(Raeburn_Main_Tariff[[#This Row],[Product Code]],Main_Tariff!I:I,0),"#Main_Tariff!A"&amp;MATCH("*"&amp;RIGHT(A241,8)&amp;"*",Main_Tariff!A:A,0)),Raeburn_Main_Tariff[[#This Row],[PRODUCER]])</f>
        <v>L'If</v>
      </c>
      <c r="C241" s="1178" t="s">
        <v>20391</v>
      </c>
      <c r="D241" s="1178" t="s">
        <v>897</v>
      </c>
      <c r="E241" s="1179">
        <v>2021</v>
      </c>
      <c r="F241" s="1282" t="s">
        <v>20220</v>
      </c>
      <c r="G241" s="1368">
        <v>31</v>
      </c>
      <c r="H241" s="1178" t="s">
        <v>20221</v>
      </c>
      <c r="I241" s="1178" t="s">
        <v>1966</v>
      </c>
      <c r="J241" s="1178" t="s">
        <v>662</v>
      </c>
      <c r="K241" s="1178" t="s">
        <v>20344</v>
      </c>
      <c r="L241" s="1178" t="s">
        <v>42</v>
      </c>
      <c r="M241" s="1369"/>
      <c r="N241" s="1178"/>
      <c r="O241" s="1178">
        <v>6</v>
      </c>
      <c r="P241" s="1178">
        <v>13</v>
      </c>
    </row>
    <row r="242" spans="1:16">
      <c r="A242" s="1178" t="s">
        <v>61</v>
      </c>
      <c r="B242" s="1371" t="str">
        <f>HYPERLINK(IFERROR("#Main_Tariff!A"&amp;MATCH(Raeburn_Main_Tariff[[#This Row],[Product Code]],Main_Tariff!I:I,0),"#Main_Tariff!A"&amp;MATCH("*"&amp;RIGHT(A242,8)&amp;"*",Main_Tariff!A:A,0)),Raeburn_Main_Tariff[[#This Row],[PRODUCER]])</f>
        <v>L'If</v>
      </c>
      <c r="C242" s="1178" t="s">
        <v>20391</v>
      </c>
      <c r="D242" s="1178" t="s">
        <v>897</v>
      </c>
      <c r="E242" s="1179">
        <v>2020</v>
      </c>
      <c r="F242" s="1282" t="s">
        <v>20220</v>
      </c>
      <c r="G242" s="1368">
        <v>32</v>
      </c>
      <c r="H242" s="1178" t="s">
        <v>20221</v>
      </c>
      <c r="I242" s="1178" t="s">
        <v>1968</v>
      </c>
      <c r="J242" s="1178" t="s">
        <v>662</v>
      </c>
      <c r="K242" s="1178" t="s">
        <v>20344</v>
      </c>
      <c r="L242" s="1178" t="s">
        <v>42</v>
      </c>
      <c r="M242" s="1369"/>
      <c r="N242" s="1178"/>
      <c r="O242" s="1178">
        <v>6</v>
      </c>
      <c r="P242" s="1178">
        <v>14</v>
      </c>
    </row>
    <row r="243" spans="1:16">
      <c r="A243" s="1178" t="s">
        <v>61</v>
      </c>
      <c r="B243" s="1371" t="str">
        <f>HYPERLINK(IFERROR("#Main_Tariff!A"&amp;MATCH(Raeburn_Main_Tariff[[#This Row],[Product Code]],Main_Tariff!I:I,0),"#Main_Tariff!A"&amp;MATCH("*"&amp;RIGHT(A243,8)&amp;"*",Main_Tariff!A:A,0)),Raeburn_Main_Tariff[[#This Row],[PRODUCER]])</f>
        <v>L'If</v>
      </c>
      <c r="C243" s="1178" t="s">
        <v>20391</v>
      </c>
      <c r="D243" s="1178" t="s">
        <v>897</v>
      </c>
      <c r="E243" s="1179">
        <v>2019</v>
      </c>
      <c r="F243" s="1282" t="s">
        <v>20220</v>
      </c>
      <c r="G243" s="1368">
        <v>33</v>
      </c>
      <c r="H243" s="1178" t="s">
        <v>20221</v>
      </c>
      <c r="I243" s="1178" t="s">
        <v>1970</v>
      </c>
      <c r="J243" s="1178" t="s">
        <v>662</v>
      </c>
      <c r="K243" s="1178" t="s">
        <v>20344</v>
      </c>
      <c r="L243" s="1178" t="s">
        <v>42</v>
      </c>
      <c r="M243" s="1369"/>
      <c r="N243" s="1178"/>
      <c r="O243" s="1178">
        <v>6</v>
      </c>
      <c r="P243" s="1178">
        <v>13.5</v>
      </c>
    </row>
    <row r="244" spans="1:16">
      <c r="A244" s="1178" t="s">
        <v>61</v>
      </c>
      <c r="B244" s="1371" t="str">
        <f>HYPERLINK(IFERROR("#Main_Tariff!A"&amp;MATCH(Raeburn_Main_Tariff[[#This Row],[Product Code]],Main_Tariff!I:I,0),"#Main_Tariff!A"&amp;MATCH("*"&amp;RIGHT(A244,8)&amp;"*",Main_Tariff!A:A,0)),Raeburn_Main_Tariff[[#This Row],[PRODUCER]])</f>
        <v>L'If</v>
      </c>
      <c r="C244" s="1178" t="s">
        <v>20391</v>
      </c>
      <c r="D244" s="1178" t="s">
        <v>897</v>
      </c>
      <c r="E244" s="1179">
        <v>2018</v>
      </c>
      <c r="F244" s="1282" t="s">
        <v>20220</v>
      </c>
      <c r="G244" s="1368">
        <v>30.5</v>
      </c>
      <c r="H244" s="1178" t="s">
        <v>20221</v>
      </c>
      <c r="I244" s="1178" t="s">
        <v>1971</v>
      </c>
      <c r="J244" s="1178" t="s">
        <v>662</v>
      </c>
      <c r="K244" s="1178" t="s">
        <v>20344</v>
      </c>
      <c r="L244" s="1178" t="s">
        <v>42</v>
      </c>
      <c r="M244" s="1369"/>
      <c r="N244" s="1178"/>
      <c r="O244" s="1178">
        <v>6</v>
      </c>
      <c r="P244" s="1178">
        <v>13</v>
      </c>
    </row>
    <row r="245" spans="1:16">
      <c r="A245" s="1178" t="s">
        <v>61</v>
      </c>
      <c r="B245" s="1371" t="str">
        <f>HYPERLINK(IFERROR("#Main_Tariff!A"&amp;MATCH(Raeburn_Main_Tariff[[#This Row],[Product Code]],Main_Tariff!I:I,0),"#Main_Tariff!A"&amp;MATCH("*"&amp;RIGHT(A245,8)&amp;"*",Main_Tariff!A:A,0)),Raeburn_Main_Tariff[[#This Row],[PRODUCER]])</f>
        <v>L'If</v>
      </c>
      <c r="C245" s="1178" t="s">
        <v>61</v>
      </c>
      <c r="D245" s="1178" t="s">
        <v>897</v>
      </c>
      <c r="E245" s="1179">
        <v>2023</v>
      </c>
      <c r="F245" s="1282" t="s">
        <v>20220</v>
      </c>
      <c r="G245" s="1368" t="s">
        <v>20342</v>
      </c>
      <c r="H245" s="1178" t="s">
        <v>20343</v>
      </c>
      <c r="I245" s="1178" t="s">
        <v>1974</v>
      </c>
      <c r="J245" s="1178" t="s">
        <v>662</v>
      </c>
      <c r="K245" s="1178" t="s">
        <v>20344</v>
      </c>
      <c r="L245" s="1178" t="s">
        <v>42</v>
      </c>
      <c r="M245" s="1369"/>
      <c r="N245" s="1178"/>
      <c r="O245" s="1178">
        <v>6</v>
      </c>
      <c r="P245" s="1178">
        <v>0</v>
      </c>
    </row>
    <row r="246" spans="1:16">
      <c r="A246" s="1178" t="s">
        <v>61</v>
      </c>
      <c r="B246" s="1371" t="str">
        <f>HYPERLINK(IFERROR("#Main_Tariff!A"&amp;MATCH(Raeburn_Main_Tariff[[#This Row],[Product Code]],Main_Tariff!I:I,0),"#Main_Tariff!A"&amp;MATCH("*"&amp;RIGHT(A246,8)&amp;"*",Main_Tariff!A:A,0)),Raeburn_Main_Tariff[[#This Row],[PRODUCER]])</f>
        <v>L'If</v>
      </c>
      <c r="C246" s="1178" t="s">
        <v>61</v>
      </c>
      <c r="D246" s="1178" t="s">
        <v>897</v>
      </c>
      <c r="E246" s="1179">
        <v>2022</v>
      </c>
      <c r="F246" s="1282" t="s">
        <v>20220</v>
      </c>
      <c r="G246" s="1368" t="s">
        <v>5258</v>
      </c>
      <c r="H246" s="1178" t="s">
        <v>20221</v>
      </c>
      <c r="I246" s="1178" t="s">
        <v>1976</v>
      </c>
      <c r="J246" s="1178" t="s">
        <v>662</v>
      </c>
      <c r="K246" s="1178" t="s">
        <v>20344</v>
      </c>
      <c r="L246" s="1178" t="s">
        <v>42</v>
      </c>
      <c r="M246" s="1369"/>
      <c r="N246" s="1178"/>
      <c r="O246" s="1178">
        <v>6</v>
      </c>
      <c r="P246" s="1178">
        <v>14</v>
      </c>
    </row>
    <row r="247" spans="1:16">
      <c r="A247" s="1178" t="s">
        <v>61</v>
      </c>
      <c r="B247" s="1371" t="str">
        <f>HYPERLINK(IFERROR("#Main_Tariff!A"&amp;MATCH(Raeburn_Main_Tariff[[#This Row],[Product Code]],Main_Tariff!I:I,0),"#Main_Tariff!A"&amp;MATCH("*"&amp;RIGHT(A247,8)&amp;"*",Main_Tariff!A:A,0)),Raeburn_Main_Tariff[[#This Row],[PRODUCER]])</f>
        <v>L'If</v>
      </c>
      <c r="C247" s="1178" t="s">
        <v>61</v>
      </c>
      <c r="D247" s="1178" t="s">
        <v>897</v>
      </c>
      <c r="E247" s="1179">
        <v>2021</v>
      </c>
      <c r="F247" s="1282" t="s">
        <v>20220</v>
      </c>
      <c r="G247" s="1368" t="s">
        <v>5258</v>
      </c>
      <c r="H247" s="1178" t="s">
        <v>20221</v>
      </c>
      <c r="I247" s="1178" t="s">
        <v>1978</v>
      </c>
      <c r="J247" s="1178" t="s">
        <v>662</v>
      </c>
      <c r="K247" s="1178" t="s">
        <v>20344</v>
      </c>
      <c r="L247" s="1178" t="s">
        <v>42</v>
      </c>
      <c r="M247" s="1369"/>
      <c r="N247" s="1178"/>
      <c r="O247" s="1178">
        <v>6</v>
      </c>
      <c r="P247" s="1178">
        <v>14.5</v>
      </c>
    </row>
    <row r="248" spans="1:16">
      <c r="A248" s="1178" t="s">
        <v>61</v>
      </c>
      <c r="B248" s="1371" t="str">
        <f>HYPERLINK(IFERROR("#Main_Tariff!A"&amp;MATCH(Raeburn_Main_Tariff[[#This Row],[Product Code]],Main_Tariff!I:I,0),"#Main_Tariff!A"&amp;MATCH("*"&amp;RIGHT(A248,8)&amp;"*",Main_Tariff!A:A,0)),Raeburn_Main_Tariff[[#This Row],[PRODUCER]])</f>
        <v>L'If</v>
      </c>
      <c r="C248" s="1178" t="s">
        <v>61</v>
      </c>
      <c r="D248" s="1178" t="s">
        <v>897</v>
      </c>
      <c r="E248" s="1179">
        <v>2020</v>
      </c>
      <c r="F248" s="1282" t="s">
        <v>20220</v>
      </c>
      <c r="G248" s="1368" t="s">
        <v>5258</v>
      </c>
      <c r="H248" s="1178" t="s">
        <v>20224</v>
      </c>
      <c r="I248" s="1178" t="s">
        <v>1979</v>
      </c>
      <c r="J248" s="1178" t="s">
        <v>662</v>
      </c>
      <c r="K248" s="1178" t="s">
        <v>20344</v>
      </c>
      <c r="L248" s="1178" t="s">
        <v>42</v>
      </c>
      <c r="M248" s="1369"/>
      <c r="N248" s="1178"/>
      <c r="O248" s="1178">
        <v>3</v>
      </c>
      <c r="P248" s="1178">
        <v>13</v>
      </c>
    </row>
    <row r="249" spans="1:16">
      <c r="A249" s="1178" t="s">
        <v>61</v>
      </c>
      <c r="B249" s="1371" t="str">
        <f>HYPERLINK(IFERROR("#Main_Tariff!A"&amp;MATCH(Raeburn_Main_Tariff[[#This Row],[Product Code]],Main_Tariff!I:I,0),"#Main_Tariff!A"&amp;MATCH("*"&amp;RIGHT(A249,8)&amp;"*",Main_Tariff!A:A,0)),Raeburn_Main_Tariff[[#This Row],[PRODUCER]])</f>
        <v>L'If</v>
      </c>
      <c r="C249" s="1178" t="s">
        <v>61</v>
      </c>
      <c r="D249" s="1178" t="s">
        <v>897</v>
      </c>
      <c r="E249" s="1179">
        <v>2019</v>
      </c>
      <c r="F249" s="1282" t="s">
        <v>20220</v>
      </c>
      <c r="G249" s="1368" t="s">
        <v>5258</v>
      </c>
      <c r="H249" s="1178" t="s">
        <v>20224</v>
      </c>
      <c r="I249" s="1178" t="s">
        <v>1981</v>
      </c>
      <c r="J249" s="1178" t="s">
        <v>662</v>
      </c>
      <c r="K249" s="1178" t="s">
        <v>20344</v>
      </c>
      <c r="L249" s="1178" t="s">
        <v>42</v>
      </c>
      <c r="M249" s="1369"/>
      <c r="N249" s="1178"/>
      <c r="O249" s="1178">
        <v>6</v>
      </c>
      <c r="P249" s="1178">
        <v>13.5</v>
      </c>
    </row>
    <row r="250" spans="1:16">
      <c r="A250" s="1178" t="s">
        <v>61</v>
      </c>
      <c r="B250" s="1371" t="str">
        <f>HYPERLINK(IFERROR("#Main_Tariff!A"&amp;MATCH(Raeburn_Main_Tariff[[#This Row],[Product Code]],Main_Tariff!I:I,0),"#Main_Tariff!A"&amp;MATCH("*"&amp;RIGHT(A250,8)&amp;"*",Main_Tariff!A:A,0)),Raeburn_Main_Tariff[[#This Row],[PRODUCER]])</f>
        <v>L'If</v>
      </c>
      <c r="C250" s="1178" t="s">
        <v>61</v>
      </c>
      <c r="D250" s="1178" t="s">
        <v>897</v>
      </c>
      <c r="E250" s="1179">
        <v>2018</v>
      </c>
      <c r="F250" s="1282" t="s">
        <v>20220</v>
      </c>
      <c r="G250" s="1368" t="s">
        <v>5258</v>
      </c>
      <c r="H250" s="1178" t="s">
        <v>20224</v>
      </c>
      <c r="I250" s="1178" t="s">
        <v>1983</v>
      </c>
      <c r="J250" s="1178" t="s">
        <v>662</v>
      </c>
      <c r="K250" s="1178" t="s">
        <v>20344</v>
      </c>
      <c r="L250" s="1178" t="s">
        <v>42</v>
      </c>
      <c r="M250" s="1369"/>
      <c r="N250" s="1178"/>
      <c r="O250" s="1178">
        <v>6</v>
      </c>
      <c r="P250" s="1178">
        <v>14.5</v>
      </c>
    </row>
    <row r="251" spans="1:16">
      <c r="A251" s="1178" t="s">
        <v>61</v>
      </c>
      <c r="B251" s="1371" t="str">
        <f>HYPERLINK(IFERROR("#Main_Tariff!A"&amp;MATCH(Raeburn_Main_Tariff[[#This Row],[Product Code]],Main_Tariff!I:I,0),"#Main_Tariff!A"&amp;MATCH("*"&amp;RIGHT(A251,8)&amp;"*",Main_Tariff!A:A,0)),Raeburn_Main_Tariff[[#This Row],[PRODUCER]])</f>
        <v>L'If</v>
      </c>
      <c r="C251" s="1178" t="s">
        <v>61</v>
      </c>
      <c r="D251" s="1178" t="s">
        <v>897</v>
      </c>
      <c r="E251" s="1179">
        <v>2017</v>
      </c>
      <c r="F251" s="1282" t="s">
        <v>20220</v>
      </c>
      <c r="G251" s="1368" t="s">
        <v>5258</v>
      </c>
      <c r="H251" s="1178" t="s">
        <v>20224</v>
      </c>
      <c r="I251" s="1178" t="s">
        <v>1984</v>
      </c>
      <c r="J251" s="1178" t="s">
        <v>662</v>
      </c>
      <c r="K251" s="1178" t="s">
        <v>20344</v>
      </c>
      <c r="L251" s="1178" t="s">
        <v>42</v>
      </c>
      <c r="M251" s="1369"/>
      <c r="N251" s="1178"/>
      <c r="O251" s="1178">
        <v>6</v>
      </c>
      <c r="P251" s="1178">
        <v>13</v>
      </c>
    </row>
    <row r="252" spans="1:16">
      <c r="A252" s="1178" t="s">
        <v>20392</v>
      </c>
      <c r="B252" s="1371" t="str">
        <f>HYPERLINK(IFERROR("#Main_Tariff!A"&amp;MATCH(Raeburn_Main_Tariff[[#This Row],[Product Code]],Main_Tariff!I:I,0),"#Main_Tariff!A"&amp;MATCH("*"&amp;RIGHT(A252,8)&amp;"*",Main_Tariff!A:A,0)),Raeburn_Main_Tariff[[#This Row],[PRODUCER]])</f>
        <v>Laroque (St Emilion)</v>
      </c>
      <c r="C252" s="1178" t="s">
        <v>20393</v>
      </c>
      <c r="D252" s="1178" t="s">
        <v>897</v>
      </c>
      <c r="E252" s="1179">
        <v>2023</v>
      </c>
      <c r="F252" s="1282" t="s">
        <v>20220</v>
      </c>
      <c r="G252" s="1368" t="s">
        <v>20342</v>
      </c>
      <c r="H252" s="1178" t="s">
        <v>20343</v>
      </c>
      <c r="I252" s="1178" t="s">
        <v>1988</v>
      </c>
      <c r="J252" s="1178" t="s">
        <v>662</v>
      </c>
      <c r="K252" s="1178" t="s">
        <v>20344</v>
      </c>
      <c r="L252" s="1178" t="s">
        <v>42</v>
      </c>
      <c r="M252" s="1369" t="s">
        <v>23258</v>
      </c>
      <c r="N252" s="1178"/>
      <c r="O252" s="1178">
        <v>6</v>
      </c>
      <c r="P252" s="1178">
        <v>12.5</v>
      </c>
    </row>
    <row r="253" spans="1:16">
      <c r="A253" s="1178" t="s">
        <v>20392</v>
      </c>
      <c r="B253" s="1371" t="str">
        <f>HYPERLINK(IFERROR("#Main_Tariff!A"&amp;MATCH(Raeburn_Main_Tariff[[#This Row],[Product Code]],Main_Tariff!I:I,0),"#Main_Tariff!A"&amp;MATCH("*"&amp;RIGHT(A253,8)&amp;"*",Main_Tariff!A:A,0)),Raeburn_Main_Tariff[[#This Row],[PRODUCER]])</f>
        <v>Laroque (St Emilion)</v>
      </c>
      <c r="C253" s="1178" t="s">
        <v>20393</v>
      </c>
      <c r="D253" s="1178" t="s">
        <v>897</v>
      </c>
      <c r="E253" s="1179">
        <v>2022</v>
      </c>
      <c r="F253" s="1282" t="s">
        <v>20220</v>
      </c>
      <c r="G253" s="1368" t="s">
        <v>20342</v>
      </c>
      <c r="H253" s="1178" t="s">
        <v>20343</v>
      </c>
      <c r="I253" s="1178" t="s">
        <v>1990</v>
      </c>
      <c r="J253" s="1178" t="s">
        <v>662</v>
      </c>
      <c r="K253" s="1178" t="s">
        <v>20344</v>
      </c>
      <c r="L253" s="1178" t="s">
        <v>42</v>
      </c>
      <c r="M253" s="1369" t="s">
        <v>23258</v>
      </c>
      <c r="N253" s="1178"/>
      <c r="O253" s="1178">
        <v>6</v>
      </c>
      <c r="P253" s="1178">
        <v>13</v>
      </c>
    </row>
    <row r="254" spans="1:16">
      <c r="A254" s="1178" t="s">
        <v>20392</v>
      </c>
      <c r="B254" s="1371" t="str">
        <f>HYPERLINK(IFERROR("#Main_Tariff!A"&amp;MATCH(Raeburn_Main_Tariff[[#This Row],[Product Code]],Main_Tariff!I:I,0),"#Main_Tariff!A"&amp;MATCH("*"&amp;RIGHT(A254,8)&amp;"*",Main_Tariff!A:A,0)),Raeburn_Main_Tariff[[#This Row],[PRODUCER]])</f>
        <v>Laroque (St Emilion)</v>
      </c>
      <c r="C254" s="1178" t="s">
        <v>20393</v>
      </c>
      <c r="D254" s="1178" t="s">
        <v>897</v>
      </c>
      <c r="E254" s="1179">
        <v>2021</v>
      </c>
      <c r="F254" s="1282" t="s">
        <v>20220</v>
      </c>
      <c r="G254" s="1368">
        <v>31.5</v>
      </c>
      <c r="H254" s="1178" t="s">
        <v>20221</v>
      </c>
      <c r="I254" s="1178" t="s">
        <v>1992</v>
      </c>
      <c r="J254" s="1178" t="s">
        <v>662</v>
      </c>
      <c r="K254" s="1178" t="s">
        <v>20344</v>
      </c>
      <c r="L254" s="1178" t="s">
        <v>42</v>
      </c>
      <c r="M254" s="1369" t="s">
        <v>23258</v>
      </c>
      <c r="N254" s="1178"/>
      <c r="O254" s="1178">
        <v>6</v>
      </c>
      <c r="P254" s="1178">
        <v>13.5</v>
      </c>
    </row>
    <row r="255" spans="1:16">
      <c r="A255" s="1178" t="s">
        <v>63</v>
      </c>
      <c r="B255" s="1371" t="str">
        <f>HYPERLINK(IFERROR("#Main_Tariff!A"&amp;MATCH(Raeburn_Main_Tariff[[#This Row],[Product Code]],Main_Tariff!I:I,0),"#Main_Tariff!A"&amp;MATCH("*"&amp;RIGHT(A255,8)&amp;"*",Main_Tariff!A:A,0)),Raeburn_Main_Tariff[[#This Row],[PRODUCER]])</f>
        <v>Lassegue</v>
      </c>
      <c r="C255" s="1178" t="s">
        <v>20394</v>
      </c>
      <c r="D255" s="1178" t="s">
        <v>897</v>
      </c>
      <c r="E255" s="1179">
        <v>2021</v>
      </c>
      <c r="F255" s="1282" t="s">
        <v>20220</v>
      </c>
      <c r="G255" s="1368">
        <v>29.25</v>
      </c>
      <c r="H255" s="1178" t="s">
        <v>20221</v>
      </c>
      <c r="I255" s="1178" t="s">
        <v>2001</v>
      </c>
      <c r="J255" s="1178" t="s">
        <v>662</v>
      </c>
      <c r="K255" s="1178" t="s">
        <v>20344</v>
      </c>
      <c r="L255" s="1178" t="s">
        <v>42</v>
      </c>
      <c r="M255" s="1369"/>
      <c r="N255" s="1178"/>
      <c r="O255" s="1178">
        <v>6</v>
      </c>
      <c r="P255" s="1178">
        <v>13.5</v>
      </c>
    </row>
    <row r="256" spans="1:16">
      <c r="A256" s="1178" t="s">
        <v>64</v>
      </c>
      <c r="B256" s="1371" t="str">
        <f>HYPERLINK(IFERROR("#Main_Tariff!A"&amp;MATCH(Raeburn_Main_Tariff[[#This Row],[Product Code]],Main_Tariff!I:I,0),"#Main_Tariff!A"&amp;MATCH("*"&amp;RIGHT(A256,8)&amp;"*",Main_Tariff!A:A,0)),Raeburn_Main_Tariff[[#This Row],[PRODUCER]])</f>
        <v>Mangot</v>
      </c>
      <c r="C256" s="1178" t="s">
        <v>20395</v>
      </c>
      <c r="D256" s="1178" t="s">
        <v>897</v>
      </c>
      <c r="E256" s="1179">
        <v>2022</v>
      </c>
      <c r="F256" s="1282" t="s">
        <v>20220</v>
      </c>
      <c r="G256" s="1368" t="s">
        <v>20342</v>
      </c>
      <c r="H256" s="1178" t="s">
        <v>20343</v>
      </c>
      <c r="I256" s="1178" t="s">
        <v>2012</v>
      </c>
      <c r="J256" s="1178" t="s">
        <v>662</v>
      </c>
      <c r="K256" s="1178" t="s">
        <v>20344</v>
      </c>
      <c r="L256" s="1178" t="s">
        <v>42</v>
      </c>
      <c r="M256" s="1369" t="s">
        <v>23296</v>
      </c>
      <c r="N256" s="1178" t="s">
        <v>20244</v>
      </c>
      <c r="O256" s="1178">
        <v>6</v>
      </c>
      <c r="P256" s="1178">
        <v>0</v>
      </c>
    </row>
    <row r="257" spans="1:16">
      <c r="A257" s="1178" t="s">
        <v>65</v>
      </c>
      <c r="B257" s="1371" t="str">
        <f>HYPERLINK(IFERROR("#Main_Tariff!A"&amp;MATCH(Raeburn_Main_Tariff[[#This Row],[Product Code]],Main_Tariff!I:I,0),"#Main_Tariff!A"&amp;MATCH("*"&amp;RIGHT(A257,8)&amp;"*",Main_Tariff!A:A,0)),Raeburn_Main_Tariff[[#This Row],[PRODUCER]])</f>
        <v>Matignon</v>
      </c>
      <c r="C257" s="1178" t="s">
        <v>20396</v>
      </c>
      <c r="D257" s="1178" t="s">
        <v>897</v>
      </c>
      <c r="E257" s="1179">
        <v>2014</v>
      </c>
      <c r="F257" s="1282" t="s">
        <v>20220</v>
      </c>
      <c r="G257" s="1368">
        <v>25.5</v>
      </c>
      <c r="H257" s="1178" t="s">
        <v>20221</v>
      </c>
      <c r="I257" s="1178" t="s">
        <v>2030</v>
      </c>
      <c r="J257" s="1178" t="s">
        <v>662</v>
      </c>
      <c r="K257" s="1178" t="s">
        <v>20344</v>
      </c>
      <c r="L257" s="1178" t="s">
        <v>42</v>
      </c>
      <c r="M257" s="1369"/>
      <c r="N257" s="1178" t="s">
        <v>20244</v>
      </c>
      <c r="O257" s="1178">
        <v>6</v>
      </c>
      <c r="P257" s="1178">
        <v>13</v>
      </c>
    </row>
    <row r="258" spans="1:16">
      <c r="A258" s="1178" t="s">
        <v>66</v>
      </c>
      <c r="B258" s="1371" t="str">
        <f>HYPERLINK(IFERROR("#Main_Tariff!A"&amp;MATCH(Raeburn_Main_Tariff[[#This Row],[Product Code]],Main_Tariff!I:I,0),"#Main_Tariff!A"&amp;MATCH("*"&amp;RIGHT(A258,8)&amp;"*",Main_Tariff!A:A,0)),Raeburn_Main_Tariff[[#This Row],[PRODUCER]])</f>
        <v>Moulin du Jura</v>
      </c>
      <c r="C258" s="1178" t="s">
        <v>20397</v>
      </c>
      <c r="D258" s="1178" t="s">
        <v>897</v>
      </c>
      <c r="E258" s="1179">
        <v>2020</v>
      </c>
      <c r="F258" s="1282" t="s">
        <v>20220</v>
      </c>
      <c r="G258" s="1368">
        <v>17</v>
      </c>
      <c r="H258" s="1178" t="s">
        <v>20221</v>
      </c>
      <c r="I258" s="1178" t="s">
        <v>2035</v>
      </c>
      <c r="J258" s="1178" t="s">
        <v>662</v>
      </c>
      <c r="K258" s="1178" t="s">
        <v>20344</v>
      </c>
      <c r="L258" s="1178" t="s">
        <v>42</v>
      </c>
      <c r="M258" s="1369"/>
      <c r="N258" s="1178"/>
      <c r="O258" s="1178">
        <v>6</v>
      </c>
      <c r="P258" s="1178">
        <v>14.5</v>
      </c>
    </row>
    <row r="259" spans="1:16">
      <c r="A259" s="1178" t="s">
        <v>66</v>
      </c>
      <c r="B259" s="1371" t="str">
        <f>HYPERLINK(IFERROR("#Main_Tariff!A"&amp;MATCH(Raeburn_Main_Tariff[[#This Row],[Product Code]],Main_Tariff!I:I,0),"#Main_Tariff!A"&amp;MATCH("*"&amp;RIGHT(A259,8)&amp;"*",Main_Tariff!A:A,0)),Raeburn_Main_Tariff[[#This Row],[PRODUCER]])</f>
        <v>Moulin du Jura</v>
      </c>
      <c r="C259" s="1178" t="s">
        <v>20398</v>
      </c>
      <c r="D259" s="1178" t="s">
        <v>897</v>
      </c>
      <c r="E259" s="1179">
        <v>2020</v>
      </c>
      <c r="F259" s="1282" t="s">
        <v>20240</v>
      </c>
      <c r="G259" s="1368">
        <v>34</v>
      </c>
      <c r="H259" s="1178" t="s">
        <v>20224</v>
      </c>
      <c r="I259" s="1178" t="s">
        <v>2037</v>
      </c>
      <c r="J259" s="1178" t="s">
        <v>662</v>
      </c>
      <c r="K259" s="1178" t="s">
        <v>20344</v>
      </c>
      <c r="L259" s="1178" t="s">
        <v>42</v>
      </c>
      <c r="M259" s="1369"/>
      <c r="N259" s="1178"/>
      <c r="O259" s="1178">
        <v>6</v>
      </c>
      <c r="P259" s="1178">
        <v>14.5</v>
      </c>
    </row>
    <row r="260" spans="1:16">
      <c r="A260" s="1178" t="s">
        <v>67</v>
      </c>
      <c r="B260" s="1371" t="str">
        <f>HYPERLINK(IFERROR("#Main_Tariff!A"&amp;MATCH(Raeburn_Main_Tariff[[#This Row],[Product Code]],Main_Tariff!I:I,0),"#Main_Tariff!A"&amp;MATCH("*"&amp;RIGHT(A260,8)&amp;"*",Main_Tariff!A:A,0)),Raeburn_Main_Tariff[[#This Row],[PRODUCER]])</f>
        <v>Pavie-Macquin</v>
      </c>
      <c r="C260" s="1178" t="s">
        <v>20399</v>
      </c>
      <c r="D260" s="1178" t="s">
        <v>897</v>
      </c>
      <c r="E260" s="1179">
        <v>2020</v>
      </c>
      <c r="F260" s="1282" t="s">
        <v>20220</v>
      </c>
      <c r="G260" s="1368">
        <v>77.5</v>
      </c>
      <c r="H260" s="1178" t="s">
        <v>20221</v>
      </c>
      <c r="I260" s="1178" t="s">
        <v>2042</v>
      </c>
      <c r="J260" s="1178" t="s">
        <v>662</v>
      </c>
      <c r="K260" s="1178" t="s">
        <v>20344</v>
      </c>
      <c r="L260" s="1178" t="s">
        <v>42</v>
      </c>
      <c r="M260" s="1369" t="s">
        <v>23293</v>
      </c>
      <c r="N260" s="1178"/>
      <c r="O260" s="1178">
        <v>6</v>
      </c>
      <c r="P260" s="1178">
        <v>13</v>
      </c>
    </row>
    <row r="261" spans="1:16">
      <c r="A261" s="1178" t="s">
        <v>67</v>
      </c>
      <c r="B261" s="1371" t="str">
        <f>HYPERLINK(IFERROR("#Main_Tariff!A"&amp;MATCH(Raeburn_Main_Tariff[[#This Row],[Product Code]],Main_Tariff!I:I,0),"#Main_Tariff!A"&amp;MATCH("*"&amp;RIGHT(A261,8)&amp;"*",Main_Tariff!A:A,0)),Raeburn_Main_Tariff[[#This Row],[PRODUCER]])</f>
        <v>Pavie-Macquin</v>
      </c>
      <c r="C261" s="1178" t="s">
        <v>20399</v>
      </c>
      <c r="D261" s="1178" t="s">
        <v>897</v>
      </c>
      <c r="E261" s="1179">
        <v>2019</v>
      </c>
      <c r="F261" s="1282" t="s">
        <v>20220</v>
      </c>
      <c r="G261" s="1368" t="s">
        <v>5258</v>
      </c>
      <c r="H261" s="1178" t="s">
        <v>20221</v>
      </c>
      <c r="I261" s="1178" t="s">
        <v>2044</v>
      </c>
      <c r="J261" s="1178" t="s">
        <v>662</v>
      </c>
      <c r="K261" s="1178" t="s">
        <v>20344</v>
      </c>
      <c r="L261" s="1178" t="s">
        <v>42</v>
      </c>
      <c r="M261" s="1369" t="s">
        <v>23293</v>
      </c>
      <c r="N261" s="1178"/>
      <c r="O261" s="1178">
        <v>6</v>
      </c>
      <c r="P261" s="1178">
        <v>13</v>
      </c>
    </row>
    <row r="262" spans="1:16">
      <c r="A262" s="1178" t="s">
        <v>67</v>
      </c>
      <c r="B262" s="1371" t="str">
        <f>HYPERLINK(IFERROR("#Main_Tariff!A"&amp;MATCH(Raeburn_Main_Tariff[[#This Row],[Product Code]],Main_Tariff!I:I,0),"#Main_Tariff!A"&amp;MATCH("*"&amp;RIGHT(A262,8)&amp;"*",Main_Tariff!A:A,0)),Raeburn_Main_Tariff[[#This Row],[PRODUCER]])</f>
        <v>Pavie-Macquin</v>
      </c>
      <c r="C262" s="1178" t="s">
        <v>20399</v>
      </c>
      <c r="D262" s="1178" t="s">
        <v>897</v>
      </c>
      <c r="E262" s="1179">
        <v>2016</v>
      </c>
      <c r="F262" s="1282" t="s">
        <v>20220</v>
      </c>
      <c r="G262" s="1368">
        <v>79</v>
      </c>
      <c r="H262" s="1178" t="s">
        <v>20221</v>
      </c>
      <c r="I262" s="1178" t="s">
        <v>2046</v>
      </c>
      <c r="J262" s="1178" t="s">
        <v>662</v>
      </c>
      <c r="K262" s="1178" t="s">
        <v>20344</v>
      </c>
      <c r="L262" s="1178" t="s">
        <v>42</v>
      </c>
      <c r="M262" s="1369" t="s">
        <v>23293</v>
      </c>
      <c r="N262" s="1178"/>
      <c r="O262" s="1178">
        <v>12</v>
      </c>
      <c r="P262" s="1178">
        <v>14.5</v>
      </c>
    </row>
    <row r="263" spans="1:16">
      <c r="A263" s="1178" t="s">
        <v>68</v>
      </c>
      <c r="B263" s="1371" t="str">
        <f>HYPERLINK(IFERROR("#Main_Tariff!A"&amp;MATCH(Raeburn_Main_Tariff[[#This Row],[Product Code]],Main_Tariff!I:I,0),"#Main_Tariff!A"&amp;MATCH("*"&amp;RIGHT(A263,8)&amp;"*",Main_Tariff!A:A,0)),Raeburn_Main_Tariff[[#This Row],[PRODUCER]])</f>
        <v>Peby Faugeres</v>
      </c>
      <c r="C263" s="1178" t="s">
        <v>20400</v>
      </c>
      <c r="D263" s="1178" t="s">
        <v>897</v>
      </c>
      <c r="E263" s="1179">
        <v>2002</v>
      </c>
      <c r="F263" s="1282" t="s">
        <v>20220</v>
      </c>
      <c r="G263" s="1368">
        <v>77.5</v>
      </c>
      <c r="H263" s="1178" t="s">
        <v>20277</v>
      </c>
      <c r="I263" s="1178" t="s">
        <v>2056</v>
      </c>
      <c r="J263" s="1178" t="s">
        <v>662</v>
      </c>
      <c r="K263" s="1178" t="s">
        <v>20344</v>
      </c>
      <c r="L263" s="1178" t="s">
        <v>42</v>
      </c>
      <c r="M263" s="1369" t="s">
        <v>23296</v>
      </c>
      <c r="N263" s="1178"/>
      <c r="O263" s="1178">
        <v>6</v>
      </c>
      <c r="P263" s="1178">
        <v>13</v>
      </c>
    </row>
    <row r="264" spans="1:16">
      <c r="A264" s="1178" t="s">
        <v>68</v>
      </c>
      <c r="B264" s="1371" t="str">
        <f>HYPERLINK(IFERROR("#Main_Tariff!A"&amp;MATCH(Raeburn_Main_Tariff[[#This Row],[Product Code]],Main_Tariff!I:I,0),"#Main_Tariff!A"&amp;MATCH("*"&amp;RIGHT(A264,8)&amp;"*",Main_Tariff!A:A,0)),Raeburn_Main_Tariff[[#This Row],[PRODUCER]])</f>
        <v>Peby Faugeres</v>
      </c>
      <c r="C264" s="1178" t="s">
        <v>20400</v>
      </c>
      <c r="D264" s="1178" t="s">
        <v>897</v>
      </c>
      <c r="E264" s="1179">
        <v>2001</v>
      </c>
      <c r="F264" s="1282" t="s">
        <v>20220</v>
      </c>
      <c r="G264" s="1368">
        <v>86</v>
      </c>
      <c r="H264" s="1178" t="s">
        <v>20221</v>
      </c>
      <c r="I264" s="1178" t="s">
        <v>2058</v>
      </c>
      <c r="J264" s="1178" t="s">
        <v>662</v>
      </c>
      <c r="K264" s="1178" t="s">
        <v>20344</v>
      </c>
      <c r="L264" s="1178" t="s">
        <v>42</v>
      </c>
      <c r="M264" s="1369" t="s">
        <v>23296</v>
      </c>
      <c r="N264" s="1178"/>
      <c r="O264" s="1178">
        <v>12</v>
      </c>
      <c r="P264" s="1178">
        <v>13.5</v>
      </c>
    </row>
    <row r="265" spans="1:16">
      <c r="A265" s="1178" t="s">
        <v>20401</v>
      </c>
      <c r="B265" s="1371" t="str">
        <f>HYPERLINK(IFERROR("#Main_Tariff!A"&amp;MATCH(Raeburn_Main_Tariff[[#This Row],[Product Code]],Main_Tariff!I:I,0),"#Main_Tariff!A"&amp;MATCH("*"&amp;RIGHT(A265,8)&amp;"*",Main_Tariff!A:A,0)),Raeburn_Main_Tariff[[#This Row],[PRODUCER]])</f>
        <v>Petit Gravet Ainé</v>
      </c>
      <c r="C265" s="1178" t="s">
        <v>20402</v>
      </c>
      <c r="D265" s="1178" t="s">
        <v>897</v>
      </c>
      <c r="E265" s="1179">
        <v>2021</v>
      </c>
      <c r="F265" s="1282" t="s">
        <v>20220</v>
      </c>
      <c r="G265" s="1368">
        <v>39.5</v>
      </c>
      <c r="H265" s="1178" t="s">
        <v>20221</v>
      </c>
      <c r="I265" s="1178" t="s">
        <v>2065</v>
      </c>
      <c r="J265" s="1178" t="s">
        <v>662</v>
      </c>
      <c r="K265" s="1178" t="s">
        <v>20344</v>
      </c>
      <c r="L265" s="1178" t="s">
        <v>42</v>
      </c>
      <c r="M265" s="1369" t="s">
        <v>23296</v>
      </c>
      <c r="N265" s="1178" t="s">
        <v>20244</v>
      </c>
      <c r="O265" s="1178">
        <v>6</v>
      </c>
      <c r="P265" s="1178">
        <v>13.5</v>
      </c>
    </row>
    <row r="266" spans="1:16">
      <c r="A266" s="1178" t="s">
        <v>20401</v>
      </c>
      <c r="B266" s="1371" t="str">
        <f>HYPERLINK(IFERROR("#Main_Tariff!A"&amp;MATCH(Raeburn_Main_Tariff[[#This Row],[Product Code]],Main_Tariff!I:I,0),"#Main_Tariff!A"&amp;MATCH("*"&amp;RIGHT(A266,8)&amp;"*",Main_Tariff!A:A,0)),Raeburn_Main_Tariff[[#This Row],[PRODUCER]])</f>
        <v>Petit Gravet Ainé</v>
      </c>
      <c r="C266" s="1178" t="s">
        <v>20402</v>
      </c>
      <c r="D266" s="1178" t="s">
        <v>897</v>
      </c>
      <c r="E266" s="1179">
        <v>2019</v>
      </c>
      <c r="F266" s="1282" t="s">
        <v>20220</v>
      </c>
      <c r="G266" s="1368">
        <v>41.5</v>
      </c>
      <c r="H266" s="1178" t="s">
        <v>20221</v>
      </c>
      <c r="I266" s="1178" t="s">
        <v>2067</v>
      </c>
      <c r="J266" s="1178" t="s">
        <v>662</v>
      </c>
      <c r="K266" s="1178" t="s">
        <v>20344</v>
      </c>
      <c r="L266" s="1178" t="s">
        <v>42</v>
      </c>
      <c r="M266" s="1369" t="s">
        <v>23296</v>
      </c>
      <c r="N266" s="1178" t="s">
        <v>20244</v>
      </c>
      <c r="O266" s="1178">
        <v>6</v>
      </c>
      <c r="P266" s="1178">
        <v>14</v>
      </c>
    </row>
    <row r="267" spans="1:16">
      <c r="A267" s="1178" t="s">
        <v>20403</v>
      </c>
      <c r="B267" s="1371" t="str">
        <f>HYPERLINK(IFERROR("#Main_Tariff!A"&amp;MATCH(Raeburn_Main_Tariff[[#This Row],[Product Code]],Main_Tariff!I:I,0),"#Main_Tariff!A"&amp;MATCH("*"&amp;RIGHT(A267,8)&amp;"*",Main_Tariff!A:A,0)),Raeburn_Main_Tariff[[#This Row],[PRODUCER]])</f>
        <v>Le Prieuré</v>
      </c>
      <c r="C267" s="1178" t="s">
        <v>20404</v>
      </c>
      <c r="D267" s="1178" t="s">
        <v>897</v>
      </c>
      <c r="E267" s="1179">
        <v>2020</v>
      </c>
      <c r="F267" s="1282" t="s">
        <v>20220</v>
      </c>
      <c r="G267" s="1368">
        <v>45.5</v>
      </c>
      <c r="H267" s="1178" t="s">
        <v>20221</v>
      </c>
      <c r="I267" s="1178" t="s">
        <v>2073</v>
      </c>
      <c r="J267" s="1178" t="s">
        <v>662</v>
      </c>
      <c r="K267" s="1178" t="s">
        <v>20344</v>
      </c>
      <c r="L267" s="1178" t="s">
        <v>42</v>
      </c>
      <c r="M267" s="1369" t="s">
        <v>23258</v>
      </c>
      <c r="N267" s="1178" t="s">
        <v>20244</v>
      </c>
      <c r="O267" s="1178">
        <v>6</v>
      </c>
      <c r="P267" s="1178">
        <v>14</v>
      </c>
    </row>
    <row r="268" spans="1:16">
      <c r="A268" s="1178" t="s">
        <v>20403</v>
      </c>
      <c r="B268" s="1371" t="str">
        <f>HYPERLINK(IFERROR("#Main_Tariff!A"&amp;MATCH(Raeburn_Main_Tariff[[#This Row],[Product Code]],Main_Tariff!I:I,0),"#Main_Tariff!A"&amp;MATCH("*"&amp;RIGHT(A268,8)&amp;"*",Main_Tariff!A:A,0)),Raeburn_Main_Tariff[[#This Row],[PRODUCER]])</f>
        <v>Le Prieuré</v>
      </c>
      <c r="C268" s="1178" t="s">
        <v>20404</v>
      </c>
      <c r="D268" s="1178" t="s">
        <v>897</v>
      </c>
      <c r="E268" s="1179">
        <v>2018</v>
      </c>
      <c r="F268" s="1282" t="s">
        <v>20220</v>
      </c>
      <c r="G268" s="1368">
        <v>40</v>
      </c>
      <c r="H268" s="1178" t="s">
        <v>20224</v>
      </c>
      <c r="I268" s="1178" t="s">
        <v>2075</v>
      </c>
      <c r="J268" s="1178" t="s">
        <v>662</v>
      </c>
      <c r="K268" s="1178" t="s">
        <v>20344</v>
      </c>
      <c r="L268" s="1178" t="s">
        <v>42</v>
      </c>
      <c r="M268" s="1369" t="s">
        <v>23258</v>
      </c>
      <c r="N268" s="1178" t="s">
        <v>20244</v>
      </c>
      <c r="O268" s="1178">
        <v>6</v>
      </c>
      <c r="P268" s="1178">
        <v>13</v>
      </c>
    </row>
    <row r="269" spans="1:16">
      <c r="A269" s="1178" t="s">
        <v>20403</v>
      </c>
      <c r="B269" s="1371" t="str">
        <f>HYPERLINK(IFERROR("#Main_Tariff!A"&amp;MATCH(Raeburn_Main_Tariff[[#This Row],[Product Code]],Main_Tariff!I:I,0),"#Main_Tariff!A"&amp;MATCH("*"&amp;RIGHT(A269,8)&amp;"*",Main_Tariff!A:A,0)),Raeburn_Main_Tariff[[#This Row],[PRODUCER]])</f>
        <v>Le Prieuré</v>
      </c>
      <c r="C269" s="1178" t="s">
        <v>20404</v>
      </c>
      <c r="D269" s="1178" t="s">
        <v>897</v>
      </c>
      <c r="E269" s="1179">
        <v>2016</v>
      </c>
      <c r="F269" s="1282" t="s">
        <v>20220</v>
      </c>
      <c r="G269" s="1368">
        <v>45.5</v>
      </c>
      <c r="H269" s="1178" t="s">
        <v>20221</v>
      </c>
      <c r="I269" s="1178" t="s">
        <v>2076</v>
      </c>
      <c r="J269" s="1178" t="s">
        <v>662</v>
      </c>
      <c r="K269" s="1178" t="s">
        <v>20344</v>
      </c>
      <c r="L269" s="1178" t="s">
        <v>42</v>
      </c>
      <c r="M269" s="1369" t="s">
        <v>23258</v>
      </c>
      <c r="N269" s="1178"/>
      <c r="O269" s="1178">
        <v>12</v>
      </c>
      <c r="P269" s="1178">
        <v>13</v>
      </c>
    </row>
    <row r="270" spans="1:16">
      <c r="A270" s="1178" t="s">
        <v>20405</v>
      </c>
      <c r="B270" s="1371" t="str">
        <f>HYPERLINK(IFERROR("#Main_Tariff!A"&amp;MATCH(Raeburn_Main_Tariff[[#This Row],[Product Code]],Main_Tariff!I:I,0),"#Main_Tariff!A"&amp;MATCH("*"&amp;RIGHT(A270,8)&amp;"*",Main_Tariff!A:A,0)),Raeburn_Main_Tariff[[#This Row],[PRODUCER]])</f>
        <v>Puyblanquet</v>
      </c>
      <c r="C270" s="1178" t="s">
        <v>20406</v>
      </c>
      <c r="D270" s="1178" t="s">
        <v>897</v>
      </c>
      <c r="E270" s="1179">
        <v>2023</v>
      </c>
      <c r="F270" s="1282" t="s">
        <v>20220</v>
      </c>
      <c r="G270" s="1368" t="s">
        <v>20342</v>
      </c>
      <c r="H270" s="1178" t="s">
        <v>20343</v>
      </c>
      <c r="I270" s="1178" t="s">
        <v>2080</v>
      </c>
      <c r="J270" s="1178" t="s">
        <v>662</v>
      </c>
      <c r="K270" s="1178" t="s">
        <v>20344</v>
      </c>
      <c r="L270" s="1178" t="s">
        <v>42</v>
      </c>
      <c r="M270" s="1369" t="s">
        <v>23296</v>
      </c>
      <c r="N270" s="1178"/>
      <c r="O270" s="1178">
        <v>6</v>
      </c>
      <c r="P270" s="1178">
        <v>14</v>
      </c>
    </row>
    <row r="271" spans="1:16">
      <c r="A271" s="1178" t="s">
        <v>20405</v>
      </c>
      <c r="B271" s="1371" t="str">
        <f>HYPERLINK(IFERROR("#Main_Tariff!A"&amp;MATCH(Raeburn_Main_Tariff[[#This Row],[Product Code]],Main_Tariff!I:I,0),"#Main_Tariff!A"&amp;MATCH("*"&amp;RIGHT(A271,8)&amp;"*",Main_Tariff!A:A,0)),Raeburn_Main_Tariff[[#This Row],[PRODUCER]])</f>
        <v>Puyblanquet</v>
      </c>
      <c r="C271" s="1178" t="s">
        <v>20406</v>
      </c>
      <c r="D271" s="1178" t="s">
        <v>897</v>
      </c>
      <c r="E271" s="1179">
        <v>2022</v>
      </c>
      <c r="F271" s="1282" t="s">
        <v>20220</v>
      </c>
      <c r="G271" s="1368" t="s">
        <v>20342</v>
      </c>
      <c r="H271" s="1178" t="s">
        <v>20343</v>
      </c>
      <c r="I271" s="1178" t="s">
        <v>2081</v>
      </c>
      <c r="J271" s="1178" t="s">
        <v>662</v>
      </c>
      <c r="K271" s="1178" t="s">
        <v>20344</v>
      </c>
      <c r="L271" s="1178" t="s">
        <v>42</v>
      </c>
      <c r="M271" s="1369" t="s">
        <v>23296</v>
      </c>
      <c r="N271" s="1178"/>
      <c r="O271" s="1178">
        <v>6</v>
      </c>
      <c r="P271" s="1178">
        <v>14</v>
      </c>
    </row>
    <row r="272" spans="1:16">
      <c r="A272" s="1178" t="s">
        <v>20405</v>
      </c>
      <c r="B272" s="1371" t="str">
        <f>HYPERLINK(IFERROR("#Main_Tariff!A"&amp;MATCH(Raeburn_Main_Tariff[[#This Row],[Product Code]],Main_Tariff!I:I,0),"#Main_Tariff!A"&amp;MATCH("*"&amp;RIGHT(A272,8)&amp;"*",Main_Tariff!A:A,0)),Raeburn_Main_Tariff[[#This Row],[PRODUCER]])</f>
        <v>Puyblanquet</v>
      </c>
      <c r="C272" s="1178" t="s">
        <v>20406</v>
      </c>
      <c r="D272" s="1178" t="s">
        <v>897</v>
      </c>
      <c r="E272" s="1179">
        <v>2021</v>
      </c>
      <c r="F272" s="1282" t="s">
        <v>20220</v>
      </c>
      <c r="G272" s="1368">
        <v>30</v>
      </c>
      <c r="H272" s="1178" t="s">
        <v>20221</v>
      </c>
      <c r="I272" s="1178" t="s">
        <v>2083</v>
      </c>
      <c r="J272" s="1178" t="s">
        <v>662</v>
      </c>
      <c r="K272" s="1178" t="s">
        <v>20344</v>
      </c>
      <c r="L272" s="1178" t="s">
        <v>42</v>
      </c>
      <c r="M272" s="1369" t="s">
        <v>23296</v>
      </c>
      <c r="N272" s="1178"/>
      <c r="O272" s="1178">
        <v>6</v>
      </c>
      <c r="P272" s="1178">
        <v>13.5</v>
      </c>
    </row>
    <row r="273" spans="1:16">
      <c r="A273" s="1178" t="s">
        <v>20405</v>
      </c>
      <c r="B273" s="1371" t="str">
        <f>HYPERLINK(IFERROR("#Main_Tariff!A"&amp;MATCH(Raeburn_Main_Tariff[[#This Row],[Product Code]],Main_Tariff!I:I,0),"#Main_Tariff!A"&amp;MATCH("*"&amp;RIGHT(A273,8)&amp;"*",Main_Tariff!A:A,0)),Raeburn_Main_Tariff[[#This Row],[PRODUCER]])</f>
        <v>Puyblanquet</v>
      </c>
      <c r="C273" s="1178" t="s">
        <v>20406</v>
      </c>
      <c r="D273" s="1178" t="s">
        <v>897</v>
      </c>
      <c r="E273" s="1179">
        <v>2020</v>
      </c>
      <c r="F273" s="1282" t="s">
        <v>20220</v>
      </c>
      <c r="G273" s="1368">
        <v>31.5</v>
      </c>
      <c r="H273" s="1178" t="s">
        <v>20221</v>
      </c>
      <c r="I273" s="1178" t="s">
        <v>2085</v>
      </c>
      <c r="J273" s="1178" t="s">
        <v>662</v>
      </c>
      <c r="K273" s="1178" t="s">
        <v>20344</v>
      </c>
      <c r="L273" s="1178" t="s">
        <v>42</v>
      </c>
      <c r="M273" s="1369" t="s">
        <v>23296</v>
      </c>
      <c r="N273" s="1178"/>
      <c r="O273" s="1178">
        <v>6</v>
      </c>
      <c r="P273" s="1178">
        <v>14</v>
      </c>
    </row>
    <row r="274" spans="1:16">
      <c r="A274" s="1178" t="s">
        <v>71</v>
      </c>
      <c r="B274" s="1371" t="str">
        <f>HYPERLINK(IFERROR("#Main_Tariff!A"&amp;MATCH(Raeburn_Main_Tariff[[#This Row],[Product Code]],Main_Tariff!I:I,0),"#Main_Tariff!A"&amp;MATCH("*"&amp;RIGHT(A274,8)&amp;"*",Main_Tariff!A:A,0)),Raeburn_Main_Tariff[[#This Row],[PRODUCER]])</f>
        <v>Quintus</v>
      </c>
      <c r="C274" s="1178" t="s">
        <v>20407</v>
      </c>
      <c r="D274" s="1178" t="s">
        <v>897</v>
      </c>
      <c r="E274" s="1179">
        <v>2023</v>
      </c>
      <c r="F274" s="1282" t="s">
        <v>20220</v>
      </c>
      <c r="G274" s="1368" t="s">
        <v>20342</v>
      </c>
      <c r="H274" s="1178" t="s">
        <v>20343</v>
      </c>
      <c r="I274" s="1178" t="s">
        <v>2099</v>
      </c>
      <c r="J274" s="1178" t="s">
        <v>662</v>
      </c>
      <c r="K274" s="1178" t="s">
        <v>20344</v>
      </c>
      <c r="L274" s="1178" t="s">
        <v>42</v>
      </c>
      <c r="M274" s="1369" t="s">
        <v>23296</v>
      </c>
      <c r="N274" s="1178"/>
      <c r="O274" s="1178">
        <v>6</v>
      </c>
      <c r="P274" s="1178">
        <v>0</v>
      </c>
    </row>
    <row r="275" spans="1:16">
      <c r="A275" s="1178" t="s">
        <v>71</v>
      </c>
      <c r="B275" s="1371" t="str">
        <f>HYPERLINK(IFERROR("#Main_Tariff!A"&amp;MATCH(Raeburn_Main_Tariff[[#This Row],[Product Code]],Main_Tariff!I:I,0),"#Main_Tariff!A"&amp;MATCH("*"&amp;RIGHT(A275,8)&amp;"*",Main_Tariff!A:A,0)),Raeburn_Main_Tariff[[#This Row],[PRODUCER]])</f>
        <v>Quintus</v>
      </c>
      <c r="C275" s="1178" t="s">
        <v>20407</v>
      </c>
      <c r="D275" s="1178" t="s">
        <v>897</v>
      </c>
      <c r="E275" s="1179">
        <v>2022</v>
      </c>
      <c r="F275" s="1282" t="s">
        <v>20220</v>
      </c>
      <c r="G275" s="1368" t="s">
        <v>5258</v>
      </c>
      <c r="H275" s="1178" t="s">
        <v>20221</v>
      </c>
      <c r="I275" s="1178" t="s">
        <v>2101</v>
      </c>
      <c r="J275" s="1178" t="s">
        <v>662</v>
      </c>
      <c r="K275" s="1178" t="s">
        <v>20344</v>
      </c>
      <c r="L275" s="1178" t="s">
        <v>42</v>
      </c>
      <c r="M275" s="1369" t="s">
        <v>23296</v>
      </c>
      <c r="N275" s="1178"/>
      <c r="O275" s="1178">
        <v>6</v>
      </c>
      <c r="P275" s="1178">
        <v>15.5</v>
      </c>
    </row>
    <row r="276" spans="1:16">
      <c r="A276" s="1178" t="s">
        <v>71</v>
      </c>
      <c r="B276" s="1371" t="str">
        <f>HYPERLINK(IFERROR("#Main_Tariff!A"&amp;MATCH(Raeburn_Main_Tariff[[#This Row],[Product Code]],Main_Tariff!I:I,0),"#Main_Tariff!A"&amp;MATCH("*"&amp;RIGHT(A276,8)&amp;"*",Main_Tariff!A:A,0)),Raeburn_Main_Tariff[[#This Row],[PRODUCER]])</f>
        <v>Quintus</v>
      </c>
      <c r="C276" s="1178" t="s">
        <v>20407</v>
      </c>
      <c r="D276" s="1178" t="s">
        <v>897</v>
      </c>
      <c r="E276" s="1179">
        <v>2021</v>
      </c>
      <c r="F276" s="1282" t="s">
        <v>20220</v>
      </c>
      <c r="G276" s="1368">
        <v>37</v>
      </c>
      <c r="H276" s="1178" t="s">
        <v>20221</v>
      </c>
      <c r="I276" s="1178" t="s">
        <v>2103</v>
      </c>
      <c r="J276" s="1178" t="s">
        <v>662</v>
      </c>
      <c r="K276" s="1178" t="s">
        <v>20344</v>
      </c>
      <c r="L276" s="1178" t="s">
        <v>42</v>
      </c>
      <c r="M276" s="1369" t="s">
        <v>23296</v>
      </c>
      <c r="N276" s="1178"/>
      <c r="O276" s="1178">
        <v>6</v>
      </c>
      <c r="P276" s="1178">
        <v>13.5</v>
      </c>
    </row>
    <row r="277" spans="1:16">
      <c r="A277" s="1178" t="s">
        <v>71</v>
      </c>
      <c r="B277" s="1371" t="str">
        <f>HYPERLINK(IFERROR("#Main_Tariff!A"&amp;MATCH(Raeburn_Main_Tariff[[#This Row],[Product Code]],Main_Tariff!I:I,0),"#Main_Tariff!A"&amp;MATCH("*"&amp;RIGHT(A277,8)&amp;"*",Main_Tariff!A:A,0)),Raeburn_Main_Tariff[[#This Row],[PRODUCER]])</f>
        <v>Quintus</v>
      </c>
      <c r="C277" s="1178" t="s">
        <v>20408</v>
      </c>
      <c r="D277" s="1178" t="s">
        <v>897</v>
      </c>
      <c r="E277" s="1179">
        <v>2023</v>
      </c>
      <c r="F277" s="1282" t="s">
        <v>20220</v>
      </c>
      <c r="G277" s="1368" t="s">
        <v>20342</v>
      </c>
      <c r="H277" s="1178" t="s">
        <v>20343</v>
      </c>
      <c r="I277" s="1178" t="s">
        <v>2106</v>
      </c>
      <c r="J277" s="1178" t="s">
        <v>662</v>
      </c>
      <c r="K277" s="1178" t="s">
        <v>20344</v>
      </c>
      <c r="L277" s="1178" t="s">
        <v>42</v>
      </c>
      <c r="M277" s="1369" t="s">
        <v>23296</v>
      </c>
      <c r="N277" s="1178"/>
      <c r="O277" s="1178">
        <v>6</v>
      </c>
      <c r="P277" s="1178">
        <v>0</v>
      </c>
    </row>
    <row r="278" spans="1:16">
      <c r="A278" s="1178" t="s">
        <v>71</v>
      </c>
      <c r="B278" s="1371" t="str">
        <f>HYPERLINK(IFERROR("#Main_Tariff!A"&amp;MATCH(Raeburn_Main_Tariff[[#This Row],[Product Code]],Main_Tariff!I:I,0),"#Main_Tariff!A"&amp;MATCH("*"&amp;RIGHT(A278,8)&amp;"*",Main_Tariff!A:A,0)),Raeburn_Main_Tariff[[#This Row],[PRODUCER]])</f>
        <v>Quintus</v>
      </c>
      <c r="C278" s="1178" t="s">
        <v>20408</v>
      </c>
      <c r="D278" s="1178" t="s">
        <v>897</v>
      </c>
      <c r="E278" s="1179">
        <v>2022</v>
      </c>
      <c r="F278" s="1282" t="s">
        <v>20220</v>
      </c>
      <c r="G278" s="1368" t="s">
        <v>5258</v>
      </c>
      <c r="H278" s="1178" t="s">
        <v>20224</v>
      </c>
      <c r="I278" s="1178" t="s">
        <v>2108</v>
      </c>
      <c r="J278" s="1178" t="s">
        <v>662</v>
      </c>
      <c r="K278" s="1178" t="s">
        <v>20344</v>
      </c>
      <c r="L278" s="1178" t="s">
        <v>42</v>
      </c>
      <c r="M278" s="1369" t="s">
        <v>23296</v>
      </c>
      <c r="N278" s="1178"/>
      <c r="O278" s="1178">
        <v>6</v>
      </c>
      <c r="P278" s="1178">
        <v>15.5</v>
      </c>
    </row>
    <row r="279" spans="1:16">
      <c r="A279" s="1178" t="s">
        <v>71</v>
      </c>
      <c r="B279" s="1371" t="str">
        <f>HYPERLINK(IFERROR("#Main_Tariff!A"&amp;MATCH(Raeburn_Main_Tariff[[#This Row],[Product Code]],Main_Tariff!I:I,0),"#Main_Tariff!A"&amp;MATCH("*"&amp;RIGHT(A279,8)&amp;"*",Main_Tariff!A:A,0)),Raeburn_Main_Tariff[[#This Row],[PRODUCER]])</f>
        <v>Quintus</v>
      </c>
      <c r="C279" s="1178" t="s">
        <v>20408</v>
      </c>
      <c r="D279" s="1178" t="s">
        <v>897</v>
      </c>
      <c r="E279" s="1179">
        <v>2021</v>
      </c>
      <c r="F279" s="1282" t="s">
        <v>20220</v>
      </c>
      <c r="G279" s="1368">
        <v>94.75</v>
      </c>
      <c r="H279" s="1178" t="s">
        <v>20221</v>
      </c>
      <c r="I279" s="1178" t="s">
        <v>2110</v>
      </c>
      <c r="J279" s="1178" t="s">
        <v>662</v>
      </c>
      <c r="K279" s="1178" t="s">
        <v>20344</v>
      </c>
      <c r="L279" s="1178" t="s">
        <v>42</v>
      </c>
      <c r="M279" s="1369" t="s">
        <v>23296</v>
      </c>
      <c r="N279" s="1178"/>
      <c r="O279" s="1178">
        <v>6</v>
      </c>
      <c r="P279" s="1178">
        <v>13.5</v>
      </c>
    </row>
    <row r="280" spans="1:16">
      <c r="A280" s="1178" t="s">
        <v>72</v>
      </c>
      <c r="B280" s="1371" t="str">
        <f>HYPERLINK(IFERROR("#Main_Tariff!A"&amp;MATCH(Raeburn_Main_Tariff[[#This Row],[Product Code]],Main_Tariff!I:I,0),"#Main_Tariff!A"&amp;MATCH("*"&amp;RIGHT(A280,8)&amp;"*",Main_Tariff!A:A,0)),Raeburn_Main_Tariff[[#This Row],[PRODUCER]])</f>
        <v>Rochebelle</v>
      </c>
      <c r="C280" s="1178" t="s">
        <v>20409</v>
      </c>
      <c r="D280" s="1178" t="s">
        <v>897</v>
      </c>
      <c r="E280" s="1179">
        <v>2021</v>
      </c>
      <c r="F280" s="1282" t="s">
        <v>20220</v>
      </c>
      <c r="G280" s="1368">
        <v>44.5</v>
      </c>
      <c r="H280" s="1178" t="s">
        <v>20221</v>
      </c>
      <c r="I280" s="1178" t="s">
        <v>2115</v>
      </c>
      <c r="J280" s="1178" t="s">
        <v>662</v>
      </c>
      <c r="K280" s="1178" t="s">
        <v>20344</v>
      </c>
      <c r="L280" s="1178" t="s">
        <v>42</v>
      </c>
      <c r="M280" s="1369" t="s">
        <v>23296</v>
      </c>
      <c r="N280" s="1178"/>
      <c r="O280" s="1178">
        <v>12</v>
      </c>
      <c r="P280" s="1178">
        <v>14</v>
      </c>
    </row>
    <row r="281" spans="1:16">
      <c r="A281" s="1178" t="s">
        <v>20410</v>
      </c>
      <c r="B281" s="1372" t="str">
        <f>HYPERLINK(IFERROR("#Main_Tariff!A"&amp;MATCH(Raeburn_Main_Tariff[[#This Row],[Product Code]],Main_Tariff!I:I,0),"#Main_Tariff!A"&amp;MATCH("*"&amp;RIGHT(A281,8)&amp;"*",Main_Tariff!A:A,0)),Raeburn_Main_Tariff[[#This Row],[PRODUCER]])</f>
        <v>Saintem aka Saintayme</v>
      </c>
      <c r="C281" s="1178" t="s">
        <v>20411</v>
      </c>
      <c r="D281" s="1178" t="s">
        <v>897</v>
      </c>
      <c r="E281" s="1179">
        <v>2022</v>
      </c>
      <c r="F281" s="1282" t="s">
        <v>20220</v>
      </c>
      <c r="G281" s="1368" t="s">
        <v>5258</v>
      </c>
      <c r="H281" s="1178" t="s">
        <v>20221</v>
      </c>
      <c r="I281" s="1178" t="s">
        <v>2127</v>
      </c>
      <c r="J281" s="1178" t="s">
        <v>662</v>
      </c>
      <c r="K281" s="1178" t="s">
        <v>20344</v>
      </c>
      <c r="L281" s="1178" t="s">
        <v>42</v>
      </c>
      <c r="M281" s="1369" t="s">
        <v>23296</v>
      </c>
      <c r="N281" s="1178"/>
      <c r="O281" s="1178">
        <v>12</v>
      </c>
      <c r="P281" s="1178">
        <v>14.5</v>
      </c>
    </row>
    <row r="282" spans="1:16">
      <c r="A282" s="1178" t="s">
        <v>20410</v>
      </c>
      <c r="B282" s="1371" t="str">
        <f>HYPERLINK(IFERROR("#Main_Tariff!A"&amp;MATCH(Raeburn_Main_Tariff[[#This Row],[Product Code]],Main_Tariff!I:I,0),"#Main_Tariff!A"&amp;MATCH("*"&amp;RIGHT(A282,8)&amp;"*",Main_Tariff!A:A,0)),Raeburn_Main_Tariff[[#This Row],[PRODUCER]])</f>
        <v>Saintem aka Saintayme</v>
      </c>
      <c r="C282" s="1178" t="s">
        <v>20411</v>
      </c>
      <c r="D282" s="1178" t="s">
        <v>897</v>
      </c>
      <c r="E282" s="1179">
        <v>2021</v>
      </c>
      <c r="F282" s="1282" t="s">
        <v>20220</v>
      </c>
      <c r="G282" s="1368">
        <v>21</v>
      </c>
      <c r="H282" s="1178" t="s">
        <v>20221</v>
      </c>
      <c r="I282" s="1178" t="s">
        <v>2129</v>
      </c>
      <c r="J282" s="1178" t="s">
        <v>662</v>
      </c>
      <c r="K282" s="1178" t="s">
        <v>20344</v>
      </c>
      <c r="L282" s="1178" t="s">
        <v>42</v>
      </c>
      <c r="M282" s="1369" t="s">
        <v>23296</v>
      </c>
      <c r="N282" s="1178"/>
      <c r="O282" s="1178">
        <v>12</v>
      </c>
      <c r="P282" s="1178">
        <v>13.5</v>
      </c>
    </row>
    <row r="283" spans="1:16">
      <c r="A283" s="1178" t="s">
        <v>20410</v>
      </c>
      <c r="B283" s="1371" t="str">
        <f>HYPERLINK(IFERROR("#Main_Tariff!A"&amp;MATCH(Raeburn_Main_Tariff[[#This Row],[Product Code]],Main_Tariff!I:I,0),"#Main_Tariff!A"&amp;MATCH("*"&amp;RIGHT(A283,8)&amp;"*",Main_Tariff!A:A,0)),Raeburn_Main_Tariff[[#This Row],[PRODUCER]])</f>
        <v>Saintem aka Saintayme</v>
      </c>
      <c r="C283" s="1178" t="s">
        <v>20411</v>
      </c>
      <c r="D283" s="1178" t="s">
        <v>897</v>
      </c>
      <c r="E283" s="1179">
        <v>2020</v>
      </c>
      <c r="F283" s="1282" t="s">
        <v>20220</v>
      </c>
      <c r="G283" s="1368">
        <v>21.25</v>
      </c>
      <c r="H283" s="1178" t="s">
        <v>20221</v>
      </c>
      <c r="I283" s="1178" t="s">
        <v>2131</v>
      </c>
      <c r="J283" s="1178" t="s">
        <v>662</v>
      </c>
      <c r="K283" s="1178" t="s">
        <v>20344</v>
      </c>
      <c r="L283" s="1178" t="s">
        <v>42</v>
      </c>
      <c r="M283" s="1369" t="s">
        <v>23296</v>
      </c>
      <c r="N283" s="1178"/>
      <c r="O283" s="1178">
        <v>12</v>
      </c>
      <c r="P283" s="1178">
        <v>14.5</v>
      </c>
    </row>
    <row r="284" spans="1:16">
      <c r="A284" s="1178" t="s">
        <v>20410</v>
      </c>
      <c r="B284" s="1371" t="str">
        <f>HYPERLINK(IFERROR("#Main_Tariff!A"&amp;MATCH(Raeburn_Main_Tariff[[#This Row],[Product Code]],Main_Tariff!I:I,0),"#Main_Tariff!A"&amp;MATCH("*"&amp;RIGHT(A284,8)&amp;"*",Main_Tariff!A:A,0)),Raeburn_Main_Tariff[[#This Row],[PRODUCER]])</f>
        <v>Saintem aka Saintayme</v>
      </c>
      <c r="C284" s="1178" t="s">
        <v>20411</v>
      </c>
      <c r="D284" s="1178" t="s">
        <v>897</v>
      </c>
      <c r="E284" s="1179">
        <v>2019</v>
      </c>
      <c r="F284" s="1282" t="s">
        <v>20220</v>
      </c>
      <c r="G284" s="1368">
        <v>21</v>
      </c>
      <c r="H284" s="1178" t="s">
        <v>20221</v>
      </c>
      <c r="I284" s="1178" t="s">
        <v>2133</v>
      </c>
      <c r="J284" s="1178" t="s">
        <v>662</v>
      </c>
      <c r="K284" s="1178" t="s">
        <v>20344</v>
      </c>
      <c r="L284" s="1178" t="s">
        <v>42</v>
      </c>
      <c r="M284" s="1369" t="s">
        <v>23296</v>
      </c>
      <c r="N284" s="1178"/>
      <c r="O284" s="1178">
        <v>6</v>
      </c>
      <c r="P284" s="1178">
        <v>14.5</v>
      </c>
    </row>
    <row r="285" spans="1:16">
      <c r="A285" s="1178" t="s">
        <v>20410</v>
      </c>
      <c r="B285" s="1371" t="str">
        <f>HYPERLINK(IFERROR("#Main_Tariff!A"&amp;MATCH(Raeburn_Main_Tariff[[#This Row],[Product Code]],Main_Tariff!I:I,0),"#Main_Tariff!A"&amp;MATCH("*"&amp;RIGHT(A285,8)&amp;"*",Main_Tariff!A:A,0)),Raeburn_Main_Tariff[[#This Row],[PRODUCER]])</f>
        <v>Saintem aka Saintayme</v>
      </c>
      <c r="C285" s="1178" t="s">
        <v>20411</v>
      </c>
      <c r="D285" s="1178" t="s">
        <v>897</v>
      </c>
      <c r="E285" s="1179">
        <v>2018</v>
      </c>
      <c r="F285" s="1282" t="s">
        <v>20220</v>
      </c>
      <c r="G285" s="1368">
        <v>21</v>
      </c>
      <c r="H285" s="1178" t="s">
        <v>20221</v>
      </c>
      <c r="I285" s="1178" t="s">
        <v>2134</v>
      </c>
      <c r="J285" s="1178" t="s">
        <v>662</v>
      </c>
      <c r="K285" s="1178" t="s">
        <v>20344</v>
      </c>
      <c r="L285" s="1178" t="s">
        <v>42</v>
      </c>
      <c r="M285" s="1369" t="s">
        <v>23296</v>
      </c>
      <c r="N285" s="1178"/>
      <c r="O285" s="1178">
        <v>12</v>
      </c>
      <c r="P285" s="1178">
        <v>14.5</v>
      </c>
    </row>
    <row r="286" spans="1:16">
      <c r="A286" s="1178" t="s">
        <v>20410</v>
      </c>
      <c r="B286" s="1371" t="str">
        <f>HYPERLINK(IFERROR("#Main_Tariff!A"&amp;MATCH(Raeburn_Main_Tariff[[#This Row],[Product Code]],Main_Tariff!I:I,0),"#Main_Tariff!A"&amp;MATCH("*"&amp;RIGHT(A286,8)&amp;"*",Main_Tariff!A:A,0)),Raeburn_Main_Tariff[[#This Row],[PRODUCER]])</f>
        <v>Saintem aka Saintayme</v>
      </c>
      <c r="C286" s="1178" t="s">
        <v>20411</v>
      </c>
      <c r="D286" s="1178" t="s">
        <v>897</v>
      </c>
      <c r="E286" s="1179">
        <v>2017</v>
      </c>
      <c r="F286" s="1282" t="s">
        <v>20220</v>
      </c>
      <c r="G286" s="1368">
        <v>21</v>
      </c>
      <c r="H286" s="1178" t="s">
        <v>20221</v>
      </c>
      <c r="I286" s="1178" t="s">
        <v>2135</v>
      </c>
      <c r="J286" s="1178" t="s">
        <v>662</v>
      </c>
      <c r="K286" s="1178" t="s">
        <v>20344</v>
      </c>
      <c r="L286" s="1178" t="s">
        <v>42</v>
      </c>
      <c r="M286" s="1369" t="s">
        <v>23296</v>
      </c>
      <c r="N286" s="1178"/>
      <c r="O286" s="1178">
        <v>12</v>
      </c>
      <c r="P286" s="1178">
        <v>14.5</v>
      </c>
    </row>
    <row r="287" spans="1:16">
      <c r="A287" s="1178" t="s">
        <v>74</v>
      </c>
      <c r="B287" s="1371" t="str">
        <f>HYPERLINK(IFERROR("#Main_Tariff!A"&amp;MATCH(Raeburn_Main_Tariff[[#This Row],[Product Code]],Main_Tariff!I:I,0),"#Main_Tariff!A"&amp;MATCH("*"&amp;RIGHT(A287,8)&amp;"*",Main_Tariff!A:A,0)),Raeburn_Main_Tariff[[#This Row],[PRODUCER]])</f>
        <v>Tertre Roteboeuf</v>
      </c>
      <c r="C287" s="1178" t="s">
        <v>20412</v>
      </c>
      <c r="D287" s="1178" t="s">
        <v>897</v>
      </c>
      <c r="E287" s="1179">
        <v>2022</v>
      </c>
      <c r="F287" s="1282" t="s">
        <v>20220</v>
      </c>
      <c r="G287" s="1368" t="s">
        <v>5258</v>
      </c>
      <c r="H287" s="1178" t="s">
        <v>20224</v>
      </c>
      <c r="I287" s="1178" t="s">
        <v>2138</v>
      </c>
      <c r="J287" s="1178" t="s">
        <v>662</v>
      </c>
      <c r="K287" s="1178" t="s">
        <v>20344</v>
      </c>
      <c r="L287" s="1178" t="s">
        <v>42</v>
      </c>
      <c r="M287" s="1369" t="s">
        <v>23296</v>
      </c>
      <c r="N287" s="1178"/>
      <c r="O287" s="1178">
        <v>6</v>
      </c>
      <c r="P287" s="1178">
        <v>15</v>
      </c>
    </row>
    <row r="288" spans="1:16">
      <c r="A288" s="1178" t="s">
        <v>74</v>
      </c>
      <c r="B288" s="1371" t="str">
        <f>HYPERLINK(IFERROR("#Main_Tariff!A"&amp;MATCH(Raeburn_Main_Tariff[[#This Row],[Product Code]],Main_Tariff!I:I,0),"#Main_Tariff!A"&amp;MATCH("*"&amp;RIGHT(A288,8)&amp;"*",Main_Tariff!A:A,0)),Raeburn_Main_Tariff[[#This Row],[PRODUCER]])</f>
        <v>Tertre Roteboeuf</v>
      </c>
      <c r="C288" s="1178" t="s">
        <v>20412</v>
      </c>
      <c r="D288" s="1178" t="s">
        <v>897</v>
      </c>
      <c r="E288" s="1179">
        <v>2021</v>
      </c>
      <c r="F288" s="1282" t="s">
        <v>20220</v>
      </c>
      <c r="G288" s="1368">
        <v>150.5</v>
      </c>
      <c r="H288" s="1178" t="s">
        <v>20221</v>
      </c>
      <c r="I288" s="1178" t="s">
        <v>2140</v>
      </c>
      <c r="J288" s="1178" t="s">
        <v>662</v>
      </c>
      <c r="K288" s="1178" t="s">
        <v>20344</v>
      </c>
      <c r="L288" s="1178" t="s">
        <v>42</v>
      </c>
      <c r="M288" s="1369" t="s">
        <v>23296</v>
      </c>
      <c r="N288" s="1178"/>
      <c r="O288" s="1178">
        <v>6</v>
      </c>
      <c r="P288" s="1178">
        <v>13</v>
      </c>
    </row>
    <row r="289" spans="1:16">
      <c r="A289" s="1178" t="s">
        <v>74</v>
      </c>
      <c r="B289" s="1371" t="str">
        <f>HYPERLINK(IFERROR("#Main_Tariff!A"&amp;MATCH(Raeburn_Main_Tariff[[#This Row],[Product Code]],Main_Tariff!I:I,0),"#Main_Tariff!A"&amp;MATCH("*"&amp;RIGHT(A289,8)&amp;"*",Main_Tariff!A:A,0)),Raeburn_Main_Tariff[[#This Row],[PRODUCER]])</f>
        <v>Tertre Roteboeuf</v>
      </c>
      <c r="C289" s="1178" t="s">
        <v>20412</v>
      </c>
      <c r="D289" s="1178" t="s">
        <v>897</v>
      </c>
      <c r="E289" s="1179">
        <v>2020</v>
      </c>
      <c r="F289" s="1282" t="s">
        <v>20220</v>
      </c>
      <c r="G289" s="1368">
        <v>150.5</v>
      </c>
      <c r="H289" s="1178" t="s">
        <v>20221</v>
      </c>
      <c r="I289" s="1178" t="s">
        <v>2142</v>
      </c>
      <c r="J289" s="1178" t="s">
        <v>662</v>
      </c>
      <c r="K289" s="1178" t="s">
        <v>20344</v>
      </c>
      <c r="L289" s="1178" t="s">
        <v>42</v>
      </c>
      <c r="M289" s="1369" t="s">
        <v>23296</v>
      </c>
      <c r="N289" s="1178"/>
      <c r="O289" s="1178">
        <v>6</v>
      </c>
      <c r="P289" s="1178">
        <v>13</v>
      </c>
    </row>
    <row r="290" spans="1:16">
      <c r="A290" s="1178" t="s">
        <v>74</v>
      </c>
      <c r="B290" s="1371" t="str">
        <f>HYPERLINK(IFERROR("#Main_Tariff!A"&amp;MATCH(Raeburn_Main_Tariff[[#This Row],[Product Code]],Main_Tariff!I:I,0),"#Main_Tariff!A"&amp;MATCH("*"&amp;RIGHT(A290,8)&amp;"*",Main_Tariff!A:A,0)),Raeburn_Main_Tariff[[#This Row],[PRODUCER]])</f>
        <v>Tertre Roteboeuf</v>
      </c>
      <c r="C290" s="1178" t="s">
        <v>20412</v>
      </c>
      <c r="D290" s="1178" t="s">
        <v>897</v>
      </c>
      <c r="E290" s="1179">
        <v>2019</v>
      </c>
      <c r="F290" s="1282" t="s">
        <v>20220</v>
      </c>
      <c r="G290" s="1368">
        <v>150.5</v>
      </c>
      <c r="H290" s="1178" t="s">
        <v>20221</v>
      </c>
      <c r="I290" s="1178" t="s">
        <v>2144</v>
      </c>
      <c r="J290" s="1178" t="s">
        <v>662</v>
      </c>
      <c r="K290" s="1178" t="s">
        <v>20344</v>
      </c>
      <c r="L290" s="1178" t="s">
        <v>42</v>
      </c>
      <c r="M290" s="1369" t="s">
        <v>23296</v>
      </c>
      <c r="N290" s="1178"/>
      <c r="O290" s="1178">
        <v>6</v>
      </c>
      <c r="P290" s="1178">
        <v>13</v>
      </c>
    </row>
    <row r="291" spans="1:16">
      <c r="A291" s="1178" t="s">
        <v>74</v>
      </c>
      <c r="B291" s="1371" t="str">
        <f>HYPERLINK(IFERROR("#Main_Tariff!A"&amp;MATCH(Raeburn_Main_Tariff[[#This Row],[Product Code]],Main_Tariff!I:I,0),"#Main_Tariff!A"&amp;MATCH("*"&amp;RIGHT(A291,8)&amp;"*",Main_Tariff!A:A,0)),Raeburn_Main_Tariff[[#This Row],[PRODUCER]])</f>
        <v>Tertre Roteboeuf</v>
      </c>
      <c r="C291" s="1178" t="s">
        <v>20412</v>
      </c>
      <c r="D291" s="1178" t="s">
        <v>897</v>
      </c>
      <c r="E291" s="1179">
        <v>2018</v>
      </c>
      <c r="F291" s="1282" t="s">
        <v>20220</v>
      </c>
      <c r="G291" s="1368">
        <v>150.5</v>
      </c>
      <c r="H291" s="1178" t="s">
        <v>20221</v>
      </c>
      <c r="I291" s="1178" t="s">
        <v>2146</v>
      </c>
      <c r="J291" s="1178" t="s">
        <v>662</v>
      </c>
      <c r="K291" s="1178" t="s">
        <v>20344</v>
      </c>
      <c r="L291" s="1178" t="s">
        <v>42</v>
      </c>
      <c r="M291" s="1369" t="s">
        <v>23296</v>
      </c>
      <c r="N291" s="1178"/>
      <c r="O291" s="1178">
        <v>6</v>
      </c>
      <c r="P291" s="1178">
        <v>13</v>
      </c>
    </row>
    <row r="292" spans="1:16">
      <c r="A292" s="1178" t="s">
        <v>74</v>
      </c>
      <c r="B292" s="1371" t="str">
        <f>HYPERLINK(IFERROR("#Main_Tariff!A"&amp;MATCH(Raeburn_Main_Tariff[[#This Row],[Product Code]],Main_Tariff!I:I,0),"#Main_Tariff!A"&amp;MATCH("*"&amp;RIGHT(A292,8)&amp;"*",Main_Tariff!A:A,0)),Raeburn_Main_Tariff[[#This Row],[PRODUCER]])</f>
        <v>Tertre Roteboeuf</v>
      </c>
      <c r="C292" s="1178" t="s">
        <v>20412</v>
      </c>
      <c r="D292" s="1178" t="s">
        <v>897</v>
      </c>
      <c r="E292" s="1179">
        <v>2017</v>
      </c>
      <c r="F292" s="1282" t="s">
        <v>20220</v>
      </c>
      <c r="G292" s="1368">
        <v>150.5</v>
      </c>
      <c r="H292" s="1178" t="s">
        <v>20224</v>
      </c>
      <c r="I292" s="1178" t="s">
        <v>2148</v>
      </c>
      <c r="J292" s="1178" t="s">
        <v>662</v>
      </c>
      <c r="K292" s="1178" t="s">
        <v>20344</v>
      </c>
      <c r="L292" s="1178" t="s">
        <v>42</v>
      </c>
      <c r="M292" s="1369" t="s">
        <v>23296</v>
      </c>
      <c r="N292" s="1178"/>
      <c r="O292" s="1178">
        <v>6</v>
      </c>
      <c r="P292" s="1178">
        <v>15</v>
      </c>
    </row>
    <row r="293" spans="1:16">
      <c r="A293" s="1178" t="s">
        <v>74</v>
      </c>
      <c r="B293" s="1371" t="str">
        <f>HYPERLINK(IFERROR("#Main_Tariff!A"&amp;MATCH(Raeburn_Main_Tariff[[#This Row],[Product Code]],Main_Tariff!I:I,0),"#Main_Tariff!A"&amp;MATCH("*"&amp;RIGHT(A293,8)&amp;"*",Main_Tariff!A:A,0)),Raeburn_Main_Tariff[[#This Row],[PRODUCER]])</f>
        <v>Tertre Roteboeuf</v>
      </c>
      <c r="C293" s="1178" t="s">
        <v>20412</v>
      </c>
      <c r="D293" s="1178" t="s">
        <v>897</v>
      </c>
      <c r="E293" s="1179">
        <v>2012</v>
      </c>
      <c r="F293" s="1282" t="s">
        <v>20220</v>
      </c>
      <c r="G293" s="1368">
        <v>111.5</v>
      </c>
      <c r="H293" s="1178" t="s">
        <v>20224</v>
      </c>
      <c r="I293" s="1178" t="s">
        <v>2150</v>
      </c>
      <c r="J293" s="1178" t="s">
        <v>662</v>
      </c>
      <c r="K293" s="1178" t="s">
        <v>20344</v>
      </c>
      <c r="L293" s="1178" t="s">
        <v>42</v>
      </c>
      <c r="M293" s="1369" t="s">
        <v>23296</v>
      </c>
      <c r="N293" s="1178"/>
      <c r="O293" s="1178">
        <v>6</v>
      </c>
      <c r="P293" s="1178">
        <v>14</v>
      </c>
    </row>
    <row r="294" spans="1:16">
      <c r="A294" s="1178" t="s">
        <v>75</v>
      </c>
      <c r="B294" s="1371" t="str">
        <f>HYPERLINK(IFERROR("#Main_Tariff!A"&amp;MATCH(Raeburn_Main_Tariff[[#This Row],[Product Code]],Main_Tariff!I:I,0),"#Main_Tariff!A"&amp;MATCH("*"&amp;RIGHT(A294,8)&amp;"*",Main_Tariff!A:A,0)),Raeburn_Main_Tariff[[#This Row],[PRODUCER]])</f>
        <v>Troplong Mondot</v>
      </c>
      <c r="C294" s="1178" t="s">
        <v>20413</v>
      </c>
      <c r="D294" s="1178" t="s">
        <v>897</v>
      </c>
      <c r="E294" s="1179">
        <v>2022</v>
      </c>
      <c r="F294" s="1282" t="s">
        <v>20220</v>
      </c>
      <c r="G294" s="1368" t="s">
        <v>5258</v>
      </c>
      <c r="H294" s="1178" t="s">
        <v>20224</v>
      </c>
      <c r="I294" s="1178" t="s">
        <v>23363</v>
      </c>
      <c r="J294" s="1178" t="s">
        <v>662</v>
      </c>
      <c r="K294" s="1178" t="s">
        <v>20344</v>
      </c>
      <c r="L294" s="1178" t="s">
        <v>42</v>
      </c>
      <c r="M294" s="1369" t="s">
        <v>23293</v>
      </c>
      <c r="N294" s="1178"/>
      <c r="O294" s="1178">
        <v>6</v>
      </c>
      <c r="P294" s="1178">
        <v>15</v>
      </c>
    </row>
    <row r="295" spans="1:16">
      <c r="A295" s="1178" t="s">
        <v>75</v>
      </c>
      <c r="B295" s="1371" t="str">
        <f>HYPERLINK(IFERROR("#Main_Tariff!A"&amp;MATCH(Raeburn_Main_Tariff[[#This Row],[Product Code]],Main_Tariff!I:I,0),"#Main_Tariff!A"&amp;MATCH("*"&amp;RIGHT(A295,8)&amp;"*",Main_Tariff!A:A,0)),Raeburn_Main_Tariff[[#This Row],[PRODUCER]])</f>
        <v>Troplong Mondot</v>
      </c>
      <c r="C295" s="1178" t="s">
        <v>20413</v>
      </c>
      <c r="D295" s="1178" t="s">
        <v>897</v>
      </c>
      <c r="E295" s="1179">
        <v>2021</v>
      </c>
      <c r="F295" s="1282" t="s">
        <v>20220</v>
      </c>
      <c r="G295" s="1368">
        <v>95</v>
      </c>
      <c r="H295" s="1178" t="s">
        <v>20221</v>
      </c>
      <c r="I295" s="1178" t="s">
        <v>2167</v>
      </c>
      <c r="J295" s="1178" t="s">
        <v>662</v>
      </c>
      <c r="K295" s="1178" t="s">
        <v>20344</v>
      </c>
      <c r="L295" s="1178" t="s">
        <v>42</v>
      </c>
      <c r="M295" s="1369" t="s">
        <v>23293</v>
      </c>
      <c r="N295" s="1178"/>
      <c r="O295" s="1178">
        <v>6</v>
      </c>
      <c r="P295" s="1178">
        <v>13.5</v>
      </c>
    </row>
    <row r="296" spans="1:16">
      <c r="A296" s="1178" t="s">
        <v>76</v>
      </c>
      <c r="B296" s="1371" t="str">
        <f>HYPERLINK(IFERROR("#Main_Tariff!A"&amp;MATCH(Raeburn_Main_Tariff[[#This Row],[Product Code]],Main_Tariff!I:I,0),"#Main_Tariff!A"&amp;MATCH("*"&amp;RIGHT(A296,8)&amp;"*",Main_Tariff!A:A,0)),Raeburn_Main_Tariff[[#This Row],[PRODUCER]])</f>
        <v>Trottevieille</v>
      </c>
      <c r="C296" s="1178" t="s">
        <v>20414</v>
      </c>
      <c r="D296" s="1178" t="s">
        <v>897</v>
      </c>
      <c r="E296" s="1179">
        <v>2023</v>
      </c>
      <c r="F296" s="1282" t="s">
        <v>20220</v>
      </c>
      <c r="G296" s="1368" t="s">
        <v>20342</v>
      </c>
      <c r="H296" s="1178" t="s">
        <v>20343</v>
      </c>
      <c r="I296" s="1178" t="s">
        <v>2180</v>
      </c>
      <c r="J296" s="1178" t="s">
        <v>662</v>
      </c>
      <c r="K296" s="1178" t="s">
        <v>20344</v>
      </c>
      <c r="L296" s="1178" t="s">
        <v>42</v>
      </c>
      <c r="M296" s="1369" t="s">
        <v>23293</v>
      </c>
      <c r="N296" s="1178"/>
      <c r="O296" s="1178">
        <v>6</v>
      </c>
      <c r="P296" s="1178">
        <v>60</v>
      </c>
    </row>
    <row r="297" spans="1:16">
      <c r="A297" s="1178" t="s">
        <v>76</v>
      </c>
      <c r="B297" s="1371" t="str">
        <f>HYPERLINK(IFERROR("#Main_Tariff!A"&amp;MATCH(Raeburn_Main_Tariff[[#This Row],[Product Code]],Main_Tariff!I:I,0),"#Main_Tariff!A"&amp;MATCH("*"&amp;RIGHT(A297,8)&amp;"*",Main_Tariff!A:A,0)),Raeburn_Main_Tariff[[#This Row],[PRODUCER]])</f>
        <v>Trottevieille</v>
      </c>
      <c r="C297" s="1178" t="s">
        <v>20414</v>
      </c>
      <c r="D297" s="1178" t="s">
        <v>897</v>
      </c>
      <c r="E297" s="1179">
        <v>2022</v>
      </c>
      <c r="F297" s="1282" t="s">
        <v>20220</v>
      </c>
      <c r="G297" s="1368" t="s">
        <v>5258</v>
      </c>
      <c r="H297" s="1178" t="s">
        <v>20221</v>
      </c>
      <c r="I297" s="1178" t="s">
        <v>2181</v>
      </c>
      <c r="J297" s="1178" t="s">
        <v>662</v>
      </c>
      <c r="K297" s="1178" t="s">
        <v>20344</v>
      </c>
      <c r="L297" s="1178" t="s">
        <v>42</v>
      </c>
      <c r="M297" s="1369" t="s">
        <v>23293</v>
      </c>
      <c r="N297" s="1178"/>
      <c r="O297" s="1178">
        <v>6</v>
      </c>
      <c r="P297" s="1178">
        <v>15</v>
      </c>
    </row>
    <row r="298" spans="1:16">
      <c r="A298" s="1178" t="s">
        <v>76</v>
      </c>
      <c r="B298" s="1371" t="str">
        <f>HYPERLINK(IFERROR("#Main_Tariff!A"&amp;MATCH(Raeburn_Main_Tariff[[#This Row],[Product Code]],Main_Tariff!I:I,0),"#Main_Tariff!A"&amp;MATCH("*"&amp;RIGHT(A298,8)&amp;"*",Main_Tariff!A:A,0)),Raeburn_Main_Tariff[[#This Row],[PRODUCER]])</f>
        <v>Trottevieille</v>
      </c>
      <c r="C298" s="1178" t="s">
        <v>20414</v>
      </c>
      <c r="D298" s="1178" t="s">
        <v>897</v>
      </c>
      <c r="E298" s="1179">
        <v>2021</v>
      </c>
      <c r="F298" s="1282" t="s">
        <v>20220</v>
      </c>
      <c r="G298" s="1368">
        <v>70</v>
      </c>
      <c r="H298" s="1178" t="s">
        <v>20221</v>
      </c>
      <c r="I298" s="1178" t="s">
        <v>2183</v>
      </c>
      <c r="J298" s="1178" t="s">
        <v>662</v>
      </c>
      <c r="K298" s="1178" t="s">
        <v>20344</v>
      </c>
      <c r="L298" s="1178" t="s">
        <v>42</v>
      </c>
      <c r="M298" s="1369" t="s">
        <v>23293</v>
      </c>
      <c r="N298" s="1178"/>
      <c r="O298" s="1178">
        <v>6</v>
      </c>
      <c r="P298" s="1178">
        <v>13.5</v>
      </c>
    </row>
    <row r="299" spans="1:16">
      <c r="A299" s="1178" t="s">
        <v>76</v>
      </c>
      <c r="B299" s="1371" t="str">
        <f>HYPERLINK(IFERROR("#Main_Tariff!A"&amp;MATCH(Raeburn_Main_Tariff[[#This Row],[Product Code]],Main_Tariff!I:I,0),"#Main_Tariff!A"&amp;MATCH("*"&amp;RIGHT(A299,8)&amp;"*",Main_Tariff!A:A,0)),Raeburn_Main_Tariff[[#This Row],[PRODUCER]])</f>
        <v>Trottevieille</v>
      </c>
      <c r="C299" s="1178" t="s">
        <v>20414</v>
      </c>
      <c r="D299" s="1178" t="s">
        <v>897</v>
      </c>
      <c r="E299" s="1179">
        <v>2020</v>
      </c>
      <c r="F299" s="1282" t="s">
        <v>20220</v>
      </c>
      <c r="G299" s="1368">
        <v>72.5</v>
      </c>
      <c r="H299" s="1178" t="s">
        <v>20221</v>
      </c>
      <c r="I299" s="1178" t="s">
        <v>2185</v>
      </c>
      <c r="J299" s="1178" t="s">
        <v>662</v>
      </c>
      <c r="K299" s="1178" t="s">
        <v>20344</v>
      </c>
      <c r="L299" s="1178" t="s">
        <v>42</v>
      </c>
      <c r="M299" s="1369" t="s">
        <v>23293</v>
      </c>
      <c r="N299" s="1178"/>
      <c r="O299" s="1178">
        <v>6</v>
      </c>
      <c r="P299" s="1178">
        <v>13</v>
      </c>
    </row>
    <row r="300" spans="1:16">
      <c r="A300" s="1178" t="s">
        <v>76</v>
      </c>
      <c r="B300" s="1371" t="str">
        <f>HYPERLINK(IFERROR("#Main_Tariff!A"&amp;MATCH(Raeburn_Main_Tariff[[#This Row],[Product Code]],Main_Tariff!I:I,0),"#Main_Tariff!A"&amp;MATCH("*"&amp;RIGHT(A300,8)&amp;"*",Main_Tariff!A:A,0)),Raeburn_Main_Tariff[[#This Row],[PRODUCER]])</f>
        <v>Trottevieille</v>
      </c>
      <c r="C300" s="1178" t="s">
        <v>20414</v>
      </c>
      <c r="D300" s="1178" t="s">
        <v>897</v>
      </c>
      <c r="E300" s="1179">
        <v>2019</v>
      </c>
      <c r="F300" s="1282" t="s">
        <v>20220</v>
      </c>
      <c r="G300" s="1368" t="s">
        <v>5258</v>
      </c>
      <c r="H300" s="1178" t="s">
        <v>20221</v>
      </c>
      <c r="I300" s="1178" t="s">
        <v>2187</v>
      </c>
      <c r="J300" s="1178" t="s">
        <v>662</v>
      </c>
      <c r="K300" s="1178" t="s">
        <v>20344</v>
      </c>
      <c r="L300" s="1178" t="s">
        <v>42</v>
      </c>
      <c r="M300" s="1369" t="s">
        <v>23293</v>
      </c>
      <c r="N300" s="1178"/>
      <c r="O300" s="1178">
        <v>6</v>
      </c>
      <c r="P300" s="1178">
        <v>13</v>
      </c>
    </row>
    <row r="301" spans="1:16">
      <c r="A301" s="1178" t="s">
        <v>77</v>
      </c>
      <c r="B301" s="1371" t="str">
        <f>HYPERLINK(IFERROR("#Main_Tariff!A"&amp;MATCH(Raeburn_Main_Tariff[[#This Row],[Product Code]],Main_Tariff!I:I,0),"#Main_Tariff!A"&amp;MATCH("*"&amp;RIGHT(A301,8)&amp;"*",Main_Tariff!A:A,0)),Raeburn_Main_Tariff[[#This Row],[PRODUCER]])</f>
        <v>Valandraud</v>
      </c>
      <c r="C301" s="1178" t="s">
        <v>20415</v>
      </c>
      <c r="D301" s="1178" t="s">
        <v>897</v>
      </c>
      <c r="E301" s="1179">
        <v>2020</v>
      </c>
      <c r="F301" s="1282" t="s">
        <v>20220</v>
      </c>
      <c r="G301" s="1368">
        <v>139.5</v>
      </c>
      <c r="H301" s="1178" t="s">
        <v>20221</v>
      </c>
      <c r="I301" s="1178" t="s">
        <v>2189</v>
      </c>
      <c r="J301" s="1178" t="s">
        <v>662</v>
      </c>
      <c r="K301" s="1178" t="s">
        <v>20344</v>
      </c>
      <c r="L301" s="1178" t="s">
        <v>42</v>
      </c>
      <c r="M301" s="1369" t="s">
        <v>23293</v>
      </c>
      <c r="N301" s="1178"/>
      <c r="O301" s="1178">
        <v>6</v>
      </c>
      <c r="P301" s="1178">
        <v>15</v>
      </c>
    </row>
    <row r="302" spans="1:16">
      <c r="A302" s="1178" t="s">
        <v>20416</v>
      </c>
      <c r="B302" s="1371" t="str">
        <f>HYPERLINK(IFERROR("#Main_Tariff!A"&amp;MATCH(Raeburn_Main_Tariff[[#This Row],[Product Code]],Main_Tariff!I:I,0),"#Main_Tariff!A"&amp;MATCH("*"&amp;RIGHT(A302,8)&amp;"*",Main_Tariff!A:A,0)),Raeburn_Main_Tariff[[#This Row],[PRODUCER]])</f>
        <v>Roc De Cambes</v>
      </c>
      <c r="C302" s="1178" t="s">
        <v>20417</v>
      </c>
      <c r="D302" s="1178" t="s">
        <v>897</v>
      </c>
      <c r="E302" s="1179">
        <v>2022</v>
      </c>
      <c r="F302" s="1282" t="s">
        <v>20220</v>
      </c>
      <c r="G302" s="1368" t="s">
        <v>5258</v>
      </c>
      <c r="H302" s="1178" t="s">
        <v>20221</v>
      </c>
      <c r="I302" s="1178" t="s">
        <v>2202</v>
      </c>
      <c r="J302" s="1178" t="s">
        <v>662</v>
      </c>
      <c r="K302" s="1178" t="s">
        <v>20344</v>
      </c>
      <c r="L302" s="1178" t="s">
        <v>20418</v>
      </c>
      <c r="M302" s="1369"/>
      <c r="N302" s="1178"/>
      <c r="O302" s="1178">
        <v>6</v>
      </c>
      <c r="P302" s="1178">
        <v>15</v>
      </c>
    </row>
    <row r="303" spans="1:16">
      <c r="A303" s="1178" t="s">
        <v>20416</v>
      </c>
      <c r="B303" s="1371" t="str">
        <f>HYPERLINK(IFERROR("#Main_Tariff!A"&amp;MATCH(Raeburn_Main_Tariff[[#This Row],[Product Code]],Main_Tariff!I:I,0),"#Main_Tariff!A"&amp;MATCH("*"&amp;RIGHT(A303,8)&amp;"*",Main_Tariff!A:A,0)),Raeburn_Main_Tariff[[#This Row],[PRODUCER]])</f>
        <v>Roc De Cambes</v>
      </c>
      <c r="C303" s="1178" t="s">
        <v>20417</v>
      </c>
      <c r="D303" s="1178" t="s">
        <v>897</v>
      </c>
      <c r="E303" s="1179">
        <v>2021</v>
      </c>
      <c r="F303" s="1282" t="s">
        <v>20220</v>
      </c>
      <c r="G303" s="1368">
        <v>42.5</v>
      </c>
      <c r="H303" s="1178" t="s">
        <v>20221</v>
      </c>
      <c r="I303" s="1178" t="s">
        <v>2204</v>
      </c>
      <c r="J303" s="1178" t="s">
        <v>662</v>
      </c>
      <c r="K303" s="1178" t="s">
        <v>20344</v>
      </c>
      <c r="L303" s="1178" t="s">
        <v>20418</v>
      </c>
      <c r="M303" s="1369"/>
      <c r="N303" s="1178"/>
      <c r="O303" s="1178">
        <v>6</v>
      </c>
      <c r="P303" s="1178">
        <v>13</v>
      </c>
    </row>
    <row r="304" spans="1:16">
      <c r="A304" s="1178" t="s">
        <v>20416</v>
      </c>
      <c r="B304" s="1371" t="str">
        <f>HYPERLINK(IFERROR("#Main_Tariff!A"&amp;MATCH(Raeburn_Main_Tariff[[#This Row],[Product Code]],Main_Tariff!I:I,0),"#Main_Tariff!A"&amp;MATCH("*"&amp;RIGHT(A304,8)&amp;"*",Main_Tariff!A:A,0)),Raeburn_Main_Tariff[[#This Row],[PRODUCER]])</f>
        <v>Roc De Cambes</v>
      </c>
      <c r="C304" s="1178" t="s">
        <v>20417</v>
      </c>
      <c r="D304" s="1178" t="s">
        <v>897</v>
      </c>
      <c r="E304" s="1179">
        <v>2019</v>
      </c>
      <c r="F304" s="1282" t="s">
        <v>20220</v>
      </c>
      <c r="G304" s="1368">
        <v>42.5</v>
      </c>
      <c r="H304" s="1178" t="s">
        <v>20221</v>
      </c>
      <c r="I304" s="1178" t="s">
        <v>2205</v>
      </c>
      <c r="J304" s="1178" t="s">
        <v>662</v>
      </c>
      <c r="K304" s="1178" t="s">
        <v>20344</v>
      </c>
      <c r="L304" s="1178" t="s">
        <v>20418</v>
      </c>
      <c r="M304" s="1369"/>
      <c r="N304" s="1178"/>
      <c r="O304" s="1178">
        <v>6</v>
      </c>
      <c r="P304" s="1178">
        <v>13</v>
      </c>
    </row>
    <row r="305" spans="1:16">
      <c r="A305" s="1178" t="s">
        <v>20416</v>
      </c>
      <c r="B305" s="1371" t="str">
        <f>HYPERLINK(IFERROR("#Main_Tariff!A"&amp;MATCH(Raeburn_Main_Tariff[[#This Row],[Product Code]],Main_Tariff!I:I,0),"#Main_Tariff!A"&amp;MATCH("*"&amp;RIGHT(A305,8)&amp;"*",Main_Tariff!A:A,0)),Raeburn_Main_Tariff[[#This Row],[PRODUCER]])</f>
        <v>Roc De Cambes</v>
      </c>
      <c r="C305" s="1178" t="s">
        <v>20417</v>
      </c>
      <c r="D305" s="1178" t="s">
        <v>897</v>
      </c>
      <c r="E305" s="1179">
        <v>2018</v>
      </c>
      <c r="F305" s="1282" t="s">
        <v>20220</v>
      </c>
      <c r="G305" s="1368">
        <v>42.5</v>
      </c>
      <c r="H305" s="1178" t="s">
        <v>20221</v>
      </c>
      <c r="I305" s="1178" t="s">
        <v>2207</v>
      </c>
      <c r="J305" s="1178" t="s">
        <v>662</v>
      </c>
      <c r="K305" s="1178" t="s">
        <v>20344</v>
      </c>
      <c r="L305" s="1178" t="s">
        <v>20418</v>
      </c>
      <c r="M305" s="1369"/>
      <c r="N305" s="1178"/>
      <c r="O305" s="1178">
        <v>6</v>
      </c>
      <c r="P305" s="1178">
        <v>13</v>
      </c>
    </row>
    <row r="306" spans="1:16">
      <c r="A306" s="1178" t="s">
        <v>20416</v>
      </c>
      <c r="B306" s="1371" t="str">
        <f>HYPERLINK(IFERROR("#Main_Tariff!A"&amp;MATCH(Raeburn_Main_Tariff[[#This Row],[Product Code]],Main_Tariff!I:I,0),"#Main_Tariff!A"&amp;MATCH("*"&amp;RIGHT(A306,8)&amp;"*",Main_Tariff!A:A,0)),Raeburn_Main_Tariff[[#This Row],[PRODUCER]])</f>
        <v>Roc De Cambes</v>
      </c>
      <c r="C306" s="1178" t="s">
        <v>20417</v>
      </c>
      <c r="D306" s="1178" t="s">
        <v>897</v>
      </c>
      <c r="E306" s="1179">
        <v>2017</v>
      </c>
      <c r="F306" s="1282" t="s">
        <v>20220</v>
      </c>
      <c r="G306" s="1368">
        <v>40</v>
      </c>
      <c r="H306" s="1178" t="s">
        <v>20224</v>
      </c>
      <c r="I306" s="1178" t="s">
        <v>2209</v>
      </c>
      <c r="J306" s="1178" t="s">
        <v>662</v>
      </c>
      <c r="K306" s="1178" t="s">
        <v>20344</v>
      </c>
      <c r="L306" s="1178" t="s">
        <v>20418</v>
      </c>
      <c r="M306" s="1369"/>
      <c r="N306" s="1178"/>
      <c r="O306" s="1178">
        <v>6</v>
      </c>
      <c r="P306" s="1178">
        <v>14</v>
      </c>
    </row>
    <row r="307" spans="1:16">
      <c r="A307" s="1178" t="s">
        <v>20416</v>
      </c>
      <c r="B307" s="1371" t="str">
        <f>HYPERLINK(IFERROR("#Main_Tariff!A"&amp;MATCH(Raeburn_Main_Tariff[[#This Row],[Product Code]],Main_Tariff!I:I,0),"#Main_Tariff!A"&amp;MATCH("*"&amp;RIGHT(A307,8)&amp;"*",Main_Tariff!A:A,0)),Raeburn_Main_Tariff[[#This Row],[PRODUCER]])</f>
        <v>Roc De Cambes</v>
      </c>
      <c r="C307" s="1178" t="s">
        <v>20417</v>
      </c>
      <c r="D307" s="1178" t="s">
        <v>897</v>
      </c>
      <c r="E307" s="1179">
        <v>2016</v>
      </c>
      <c r="F307" s="1282" t="s">
        <v>20220</v>
      </c>
      <c r="G307" s="1368">
        <v>40</v>
      </c>
      <c r="H307" s="1178" t="s">
        <v>20221</v>
      </c>
      <c r="I307" s="1178" t="s">
        <v>2211</v>
      </c>
      <c r="J307" s="1178" t="s">
        <v>662</v>
      </c>
      <c r="K307" s="1178" t="s">
        <v>20344</v>
      </c>
      <c r="L307" s="1178" t="s">
        <v>20418</v>
      </c>
      <c r="M307" s="1369"/>
      <c r="N307" s="1178"/>
      <c r="O307" s="1178">
        <v>6</v>
      </c>
      <c r="P307" s="1178">
        <v>15</v>
      </c>
    </row>
    <row r="308" spans="1:16">
      <c r="A308" s="1178" t="s">
        <v>20416</v>
      </c>
      <c r="B308" s="1371" t="str">
        <f>HYPERLINK(IFERROR("#Main_Tariff!A"&amp;MATCH(Raeburn_Main_Tariff[[#This Row],[Product Code]],Main_Tariff!I:I,0),"#Main_Tariff!A"&amp;MATCH("*"&amp;RIGHT(A308,8)&amp;"*",Main_Tariff!A:A,0)),Raeburn_Main_Tariff[[#This Row],[PRODUCER]])</f>
        <v>Roc De Cambes</v>
      </c>
      <c r="C308" s="1178" t="s">
        <v>20417</v>
      </c>
      <c r="D308" s="1178" t="s">
        <v>897</v>
      </c>
      <c r="E308" s="1179">
        <v>2015</v>
      </c>
      <c r="F308" s="1282" t="s">
        <v>20220</v>
      </c>
      <c r="G308" s="1368">
        <v>40</v>
      </c>
      <c r="H308" s="1178" t="s">
        <v>20221</v>
      </c>
      <c r="I308" s="1178" t="s">
        <v>2213</v>
      </c>
      <c r="J308" s="1178" t="s">
        <v>662</v>
      </c>
      <c r="K308" s="1178" t="s">
        <v>20344</v>
      </c>
      <c r="L308" s="1178" t="s">
        <v>20418</v>
      </c>
      <c r="M308" s="1369"/>
      <c r="N308" s="1178"/>
      <c r="O308" s="1178">
        <v>12</v>
      </c>
      <c r="P308" s="1178">
        <v>13</v>
      </c>
    </row>
    <row r="309" spans="1:16">
      <c r="A309" s="1178" t="s">
        <v>20416</v>
      </c>
      <c r="B309" s="1371" t="str">
        <f>HYPERLINK(IFERROR("#Main_Tariff!A"&amp;MATCH(Raeburn_Main_Tariff[[#This Row],[Product Code]],Main_Tariff!I:I,0),"#Main_Tariff!A"&amp;MATCH("*"&amp;RIGHT(A309,8)&amp;"*",Main_Tariff!A:A,0)),Raeburn_Main_Tariff[[#This Row],[PRODUCER]])</f>
        <v>Roc De Cambes</v>
      </c>
      <c r="C309" s="1178" t="s">
        <v>20417</v>
      </c>
      <c r="D309" s="1178" t="s">
        <v>897</v>
      </c>
      <c r="E309" s="1179">
        <v>2014</v>
      </c>
      <c r="F309" s="1282" t="s">
        <v>20220</v>
      </c>
      <c r="G309" s="1368">
        <v>35.5</v>
      </c>
      <c r="H309" s="1178" t="s">
        <v>20224</v>
      </c>
      <c r="I309" s="1178" t="s">
        <v>2214</v>
      </c>
      <c r="J309" s="1178" t="s">
        <v>662</v>
      </c>
      <c r="K309" s="1178" t="s">
        <v>20344</v>
      </c>
      <c r="L309" s="1178" t="s">
        <v>20418</v>
      </c>
      <c r="M309" s="1369"/>
      <c r="N309" s="1178"/>
      <c r="O309" s="1178">
        <v>6</v>
      </c>
      <c r="P309" s="1178">
        <v>13</v>
      </c>
    </row>
    <row r="310" spans="1:16">
      <c r="A310" s="1178" t="s">
        <v>20416</v>
      </c>
      <c r="B310" s="1371" t="str">
        <f>HYPERLINK(IFERROR("#Main_Tariff!A"&amp;MATCH(Raeburn_Main_Tariff[[#This Row],[Product Code]],Main_Tariff!I:I,0),"#Main_Tariff!A"&amp;MATCH("*"&amp;RIGHT(A310,8)&amp;"*",Main_Tariff!A:A,0)),Raeburn_Main_Tariff[[#This Row],[PRODUCER]])</f>
        <v>Roc De Cambes</v>
      </c>
      <c r="C310" s="1178" t="s">
        <v>20419</v>
      </c>
      <c r="D310" s="1178" t="s">
        <v>897</v>
      </c>
      <c r="E310" s="1179">
        <v>2020</v>
      </c>
      <c r="F310" s="1282" t="s">
        <v>20240</v>
      </c>
      <c r="G310" s="1368">
        <v>85.5</v>
      </c>
      <c r="H310" s="1178" t="s">
        <v>20221</v>
      </c>
      <c r="I310" s="1178" t="s">
        <v>2215</v>
      </c>
      <c r="J310" s="1178" t="s">
        <v>662</v>
      </c>
      <c r="K310" s="1178" t="s">
        <v>20344</v>
      </c>
      <c r="L310" s="1178" t="s">
        <v>20418</v>
      </c>
      <c r="M310" s="1369"/>
      <c r="N310" s="1178"/>
      <c r="O310" s="1178">
        <v>6</v>
      </c>
      <c r="P310" s="1178">
        <v>13</v>
      </c>
    </row>
    <row r="311" spans="1:16">
      <c r="A311" s="1178" t="s">
        <v>20416</v>
      </c>
      <c r="B311" s="1371" t="str">
        <f>HYPERLINK(IFERROR("#Main_Tariff!A"&amp;MATCH(Raeburn_Main_Tariff[[#This Row],[Product Code]],Main_Tariff!I:I,0),"#Main_Tariff!A"&amp;MATCH("*"&amp;RIGHT(A311,8)&amp;"*",Main_Tariff!A:A,0)),Raeburn_Main_Tariff[[#This Row],[PRODUCER]])</f>
        <v>Roc De Cambes</v>
      </c>
      <c r="C311" s="1178" t="s">
        <v>79</v>
      </c>
      <c r="D311" s="1178" t="s">
        <v>897</v>
      </c>
      <c r="E311" s="1179">
        <v>2022</v>
      </c>
      <c r="F311" s="1282" t="s">
        <v>20220</v>
      </c>
      <c r="G311" s="1368" t="s">
        <v>5258</v>
      </c>
      <c r="H311" s="1178" t="s">
        <v>20221</v>
      </c>
      <c r="I311" s="1178" t="s">
        <v>2218</v>
      </c>
      <c r="J311" s="1178" t="s">
        <v>662</v>
      </c>
      <c r="K311" s="1178" t="s">
        <v>20344</v>
      </c>
      <c r="L311" s="1178" t="s">
        <v>20418</v>
      </c>
      <c r="M311" s="1369"/>
      <c r="N311" s="1178"/>
      <c r="O311" s="1178">
        <v>6</v>
      </c>
      <c r="P311" s="1178">
        <v>15</v>
      </c>
    </row>
    <row r="312" spans="1:16">
      <c r="A312" s="1178" t="s">
        <v>20416</v>
      </c>
      <c r="B312" s="1371" t="str">
        <f>HYPERLINK(IFERROR("#Main_Tariff!A"&amp;MATCH(Raeburn_Main_Tariff[[#This Row],[Product Code]],Main_Tariff!I:I,0),"#Main_Tariff!A"&amp;MATCH("*"&amp;RIGHT(A312,8)&amp;"*",Main_Tariff!A:A,0)),Raeburn_Main_Tariff[[#This Row],[PRODUCER]])</f>
        <v>Roc De Cambes</v>
      </c>
      <c r="C312" s="1178" t="s">
        <v>79</v>
      </c>
      <c r="D312" s="1178" t="s">
        <v>897</v>
      </c>
      <c r="E312" s="1179">
        <v>2021</v>
      </c>
      <c r="F312" s="1282" t="s">
        <v>20220</v>
      </c>
      <c r="G312" s="1368">
        <v>54.75</v>
      </c>
      <c r="H312" s="1178" t="s">
        <v>20221</v>
      </c>
      <c r="I312" s="1178" t="s">
        <v>2220</v>
      </c>
      <c r="J312" s="1178" t="s">
        <v>662</v>
      </c>
      <c r="K312" s="1178" t="s">
        <v>20344</v>
      </c>
      <c r="L312" s="1178" t="s">
        <v>20418</v>
      </c>
      <c r="M312" s="1369"/>
      <c r="N312" s="1178"/>
      <c r="O312" s="1178">
        <v>6</v>
      </c>
      <c r="P312" s="1178">
        <v>13</v>
      </c>
    </row>
    <row r="313" spans="1:16">
      <c r="A313" s="1178" t="s">
        <v>20416</v>
      </c>
      <c r="B313" s="1371" t="str">
        <f>HYPERLINK(IFERROR("#Main_Tariff!A"&amp;MATCH(Raeburn_Main_Tariff[[#This Row],[Product Code]],Main_Tariff!I:I,0),"#Main_Tariff!A"&amp;MATCH("*"&amp;RIGHT(A313,8)&amp;"*",Main_Tariff!A:A,0)),Raeburn_Main_Tariff[[#This Row],[PRODUCER]])</f>
        <v>Roc De Cambes</v>
      </c>
      <c r="C313" s="1178" t="s">
        <v>79</v>
      </c>
      <c r="D313" s="1178" t="s">
        <v>897</v>
      </c>
      <c r="E313" s="1179">
        <v>2019</v>
      </c>
      <c r="F313" s="1282" t="s">
        <v>20220</v>
      </c>
      <c r="G313" s="1368">
        <v>54.75</v>
      </c>
      <c r="H313" s="1178" t="s">
        <v>20221</v>
      </c>
      <c r="I313" s="1178" t="s">
        <v>2222</v>
      </c>
      <c r="J313" s="1178" t="s">
        <v>662</v>
      </c>
      <c r="K313" s="1178" t="s">
        <v>20344</v>
      </c>
      <c r="L313" s="1178" t="s">
        <v>20418</v>
      </c>
      <c r="M313" s="1369"/>
      <c r="N313" s="1178"/>
      <c r="O313" s="1178">
        <v>6</v>
      </c>
      <c r="P313" s="1178">
        <v>13</v>
      </c>
    </row>
    <row r="314" spans="1:16">
      <c r="A314" s="1178" t="s">
        <v>20416</v>
      </c>
      <c r="B314" s="1371" t="str">
        <f>HYPERLINK(IFERROR("#Main_Tariff!A"&amp;MATCH(Raeburn_Main_Tariff[[#This Row],[Product Code]],Main_Tariff!I:I,0),"#Main_Tariff!A"&amp;MATCH("*"&amp;RIGHT(A314,8)&amp;"*",Main_Tariff!A:A,0)),Raeburn_Main_Tariff[[#This Row],[PRODUCER]])</f>
        <v>Roc De Cambes</v>
      </c>
      <c r="C314" s="1178" t="s">
        <v>79</v>
      </c>
      <c r="D314" s="1178" t="s">
        <v>897</v>
      </c>
      <c r="E314" s="1179">
        <v>2018</v>
      </c>
      <c r="F314" s="1282" t="s">
        <v>20220</v>
      </c>
      <c r="G314" s="1368">
        <v>54.75</v>
      </c>
      <c r="H314" s="1178" t="s">
        <v>20221</v>
      </c>
      <c r="I314" s="1178" t="s">
        <v>2224</v>
      </c>
      <c r="J314" s="1178" t="s">
        <v>662</v>
      </c>
      <c r="K314" s="1178" t="s">
        <v>20344</v>
      </c>
      <c r="L314" s="1178" t="s">
        <v>20418</v>
      </c>
      <c r="M314" s="1369"/>
      <c r="N314" s="1178"/>
      <c r="O314" s="1178">
        <v>6</v>
      </c>
      <c r="P314" s="1178">
        <v>13</v>
      </c>
    </row>
    <row r="315" spans="1:16">
      <c r="A315" s="1178" t="s">
        <v>20416</v>
      </c>
      <c r="B315" s="1371" t="str">
        <f>HYPERLINK(IFERROR("#Main_Tariff!A"&amp;MATCH(Raeburn_Main_Tariff[[#This Row],[Product Code]],Main_Tariff!I:I,0),"#Main_Tariff!A"&amp;MATCH("*"&amp;RIGHT(A315,8)&amp;"*",Main_Tariff!A:A,0)),Raeburn_Main_Tariff[[#This Row],[PRODUCER]])</f>
        <v>Roc De Cambes</v>
      </c>
      <c r="C315" s="1178" t="s">
        <v>79</v>
      </c>
      <c r="D315" s="1178" t="s">
        <v>897</v>
      </c>
      <c r="E315" s="1179">
        <v>2017</v>
      </c>
      <c r="F315" s="1282" t="s">
        <v>20220</v>
      </c>
      <c r="G315" s="1368">
        <v>53</v>
      </c>
      <c r="H315" s="1178" t="s">
        <v>20221</v>
      </c>
      <c r="I315" s="1178" t="s">
        <v>2226</v>
      </c>
      <c r="J315" s="1178" t="s">
        <v>662</v>
      </c>
      <c r="K315" s="1178" t="s">
        <v>20344</v>
      </c>
      <c r="L315" s="1178" t="s">
        <v>20418</v>
      </c>
      <c r="M315" s="1369"/>
      <c r="N315" s="1178"/>
      <c r="O315" s="1178">
        <v>6</v>
      </c>
      <c r="P315" s="1178">
        <v>14</v>
      </c>
    </row>
    <row r="316" spans="1:16">
      <c r="A316" s="1178" t="s">
        <v>20416</v>
      </c>
      <c r="B316" s="1371" t="str">
        <f>HYPERLINK(IFERROR("#Main_Tariff!A"&amp;MATCH(Raeburn_Main_Tariff[[#This Row],[Product Code]],Main_Tariff!I:I,0),"#Main_Tariff!A"&amp;MATCH("*"&amp;RIGHT(A316,8)&amp;"*",Main_Tariff!A:A,0)),Raeburn_Main_Tariff[[#This Row],[PRODUCER]])</f>
        <v>Roc De Cambes</v>
      </c>
      <c r="C316" s="1178" t="s">
        <v>79</v>
      </c>
      <c r="D316" s="1178" t="s">
        <v>897</v>
      </c>
      <c r="E316" s="1179">
        <v>2016</v>
      </c>
      <c r="F316" s="1282" t="s">
        <v>20220</v>
      </c>
      <c r="G316" s="1368">
        <v>53</v>
      </c>
      <c r="H316" s="1178" t="s">
        <v>20277</v>
      </c>
      <c r="I316" s="1178" t="s">
        <v>2228</v>
      </c>
      <c r="J316" s="1178" t="s">
        <v>662</v>
      </c>
      <c r="K316" s="1178" t="s">
        <v>20344</v>
      </c>
      <c r="L316" s="1178" t="s">
        <v>20418</v>
      </c>
      <c r="M316" s="1369"/>
      <c r="N316" s="1178"/>
      <c r="O316" s="1178">
        <v>6</v>
      </c>
      <c r="P316" s="1178">
        <v>15</v>
      </c>
    </row>
    <row r="317" spans="1:16">
      <c r="A317" s="1178" t="s">
        <v>20416</v>
      </c>
      <c r="B317" s="1371" t="str">
        <f>HYPERLINK(IFERROR("#Main_Tariff!A"&amp;MATCH(Raeburn_Main_Tariff[[#This Row],[Product Code]],Main_Tariff!I:I,0),"#Main_Tariff!A"&amp;MATCH("*"&amp;RIGHT(A317,8)&amp;"*",Main_Tariff!A:A,0)),Raeburn_Main_Tariff[[#This Row],[PRODUCER]])</f>
        <v>Roc De Cambes</v>
      </c>
      <c r="C317" s="1178" t="s">
        <v>79</v>
      </c>
      <c r="D317" s="1178" t="s">
        <v>897</v>
      </c>
      <c r="E317" s="1179">
        <v>2015</v>
      </c>
      <c r="F317" s="1282" t="s">
        <v>20220</v>
      </c>
      <c r="G317" s="1368">
        <v>53</v>
      </c>
      <c r="H317" s="1178" t="s">
        <v>20277</v>
      </c>
      <c r="I317" s="1178" t="s">
        <v>2229</v>
      </c>
      <c r="J317" s="1178" t="s">
        <v>662</v>
      </c>
      <c r="K317" s="1178" t="s">
        <v>20344</v>
      </c>
      <c r="L317" s="1178" t="s">
        <v>20418</v>
      </c>
      <c r="M317" s="1369"/>
      <c r="N317" s="1178"/>
      <c r="O317" s="1178">
        <v>6</v>
      </c>
      <c r="P317" s="1178">
        <v>13</v>
      </c>
    </row>
    <row r="318" spans="1:16">
      <c r="A318" s="1178" t="s">
        <v>20416</v>
      </c>
      <c r="B318" s="1371" t="str">
        <f>HYPERLINK(IFERROR("#Main_Tariff!A"&amp;MATCH(Raeburn_Main_Tariff[[#This Row],[Product Code]],Main_Tariff!I:I,0),"#Main_Tariff!A"&amp;MATCH("*"&amp;RIGHT(A318,8)&amp;"*",Main_Tariff!A:A,0)),Raeburn_Main_Tariff[[#This Row],[PRODUCER]])</f>
        <v>Roc De Cambes</v>
      </c>
      <c r="C318" s="1178" t="s">
        <v>79</v>
      </c>
      <c r="D318" s="1178" t="s">
        <v>897</v>
      </c>
      <c r="E318" s="1179">
        <v>2014</v>
      </c>
      <c r="F318" s="1282" t="s">
        <v>20220</v>
      </c>
      <c r="G318" s="1368">
        <v>46</v>
      </c>
      <c r="H318" s="1178" t="s">
        <v>20221</v>
      </c>
      <c r="I318" s="1178" t="s">
        <v>2230</v>
      </c>
      <c r="J318" s="1178" t="s">
        <v>662</v>
      </c>
      <c r="K318" s="1178" t="s">
        <v>20344</v>
      </c>
      <c r="L318" s="1178" t="s">
        <v>20418</v>
      </c>
      <c r="M318" s="1369"/>
      <c r="N318" s="1178"/>
      <c r="O318" s="1178">
        <v>6</v>
      </c>
      <c r="P318" s="1178">
        <v>13</v>
      </c>
    </row>
    <row r="319" spans="1:16">
      <c r="A319" s="1178" t="s">
        <v>20416</v>
      </c>
      <c r="B319" s="1371" t="str">
        <f>HYPERLINK(IFERROR("#Main_Tariff!A"&amp;MATCH(Raeburn_Main_Tariff[[#This Row],[Product Code]],Main_Tariff!I:I,0),"#Main_Tariff!A"&amp;MATCH("*"&amp;RIGHT(A319,8)&amp;"*",Main_Tariff!A:A,0)),Raeburn_Main_Tariff[[#This Row],[PRODUCER]])</f>
        <v>Roc De Cambes</v>
      </c>
      <c r="C319" s="1178" t="s">
        <v>79</v>
      </c>
      <c r="D319" s="1178" t="s">
        <v>897</v>
      </c>
      <c r="E319" s="1179">
        <v>2013</v>
      </c>
      <c r="F319" s="1282" t="s">
        <v>20220</v>
      </c>
      <c r="G319" s="1368">
        <v>43.5</v>
      </c>
      <c r="H319" s="1178" t="s">
        <v>20221</v>
      </c>
      <c r="I319" s="1178" t="s">
        <v>2231</v>
      </c>
      <c r="J319" s="1178" t="s">
        <v>662</v>
      </c>
      <c r="K319" s="1178" t="s">
        <v>20344</v>
      </c>
      <c r="L319" s="1178" t="s">
        <v>20418</v>
      </c>
      <c r="M319" s="1369"/>
      <c r="N319" s="1178"/>
      <c r="O319" s="1178">
        <v>6</v>
      </c>
      <c r="P319" s="1178">
        <v>13.5</v>
      </c>
    </row>
    <row r="320" spans="1:16">
      <c r="A320" s="1178" t="s">
        <v>20416</v>
      </c>
      <c r="B320" s="1371" t="str">
        <f>HYPERLINK(IFERROR("#Main_Tariff!A"&amp;MATCH(Raeburn_Main_Tariff[[#This Row],[Product Code]],Main_Tariff!I:I,0),"#Main_Tariff!A"&amp;MATCH("*"&amp;RIGHT(A320,8)&amp;"*",Main_Tariff!A:A,0)),Raeburn_Main_Tariff[[#This Row],[PRODUCER]])</f>
        <v>Roc De Cambes</v>
      </c>
      <c r="C320" s="1178" t="s">
        <v>20420</v>
      </c>
      <c r="D320" s="1178" t="s">
        <v>897</v>
      </c>
      <c r="E320" s="1179">
        <v>2020</v>
      </c>
      <c r="F320" s="1282" t="s">
        <v>20240</v>
      </c>
      <c r="G320" s="1368">
        <v>109.5</v>
      </c>
      <c r="H320" s="1178" t="s">
        <v>20221</v>
      </c>
      <c r="I320" s="1178" t="s">
        <v>2232</v>
      </c>
      <c r="J320" s="1178" t="s">
        <v>662</v>
      </c>
      <c r="K320" s="1178" t="s">
        <v>20344</v>
      </c>
      <c r="L320" s="1178" t="s">
        <v>20418</v>
      </c>
      <c r="M320" s="1369"/>
      <c r="N320" s="1178"/>
      <c r="O320" s="1178">
        <v>6</v>
      </c>
      <c r="P320" s="1178">
        <v>13</v>
      </c>
    </row>
    <row r="321" spans="1:16">
      <c r="A321" s="1178" t="s">
        <v>81</v>
      </c>
      <c r="B321" s="1371" t="str">
        <f>HYPERLINK(IFERROR("#Main_Tariff!A"&amp;MATCH(Raeburn_Main_Tariff[[#This Row],[Product Code]],Main_Tariff!I:I,0),"#Main_Tariff!A"&amp;MATCH("*"&amp;RIGHT(A321,8)&amp;"*",Main_Tariff!A:A,0)),Raeburn_Main_Tariff[[#This Row],[PRODUCER]])</f>
        <v>Grand Village</v>
      </c>
      <c r="C321" s="1178" t="s">
        <v>20421</v>
      </c>
      <c r="D321" s="1178" t="s">
        <v>1129</v>
      </c>
      <c r="E321" s="1179">
        <v>2019</v>
      </c>
      <c r="F321" s="1282" t="s">
        <v>20220</v>
      </c>
      <c r="G321" s="1368">
        <v>22</v>
      </c>
      <c r="H321" s="1178" t="s">
        <v>20277</v>
      </c>
      <c r="I321" s="1178" t="s">
        <v>2243</v>
      </c>
      <c r="J321" s="1178" t="s">
        <v>662</v>
      </c>
      <c r="K321" s="1178" t="s">
        <v>20344</v>
      </c>
      <c r="L321" s="1178" t="s">
        <v>80</v>
      </c>
      <c r="M321" s="1369"/>
      <c r="N321" s="1178"/>
      <c r="O321" s="1178">
        <v>6</v>
      </c>
      <c r="P321" s="1178">
        <v>14</v>
      </c>
    </row>
    <row r="322" spans="1:16">
      <c r="A322" s="1178" t="s">
        <v>81</v>
      </c>
      <c r="B322" s="1371" t="str">
        <f>HYPERLINK(IFERROR("#Main_Tariff!A"&amp;MATCH(Raeburn_Main_Tariff[[#This Row],[Product Code]],Main_Tariff!I:I,0),"#Main_Tariff!A"&amp;MATCH("*"&amp;RIGHT(A322,8)&amp;"*",Main_Tariff!A:A,0)),Raeburn_Main_Tariff[[#This Row],[PRODUCER]])</f>
        <v>Grand Village</v>
      </c>
      <c r="C322" s="1178" t="s">
        <v>20422</v>
      </c>
      <c r="D322" s="1178" t="s">
        <v>1129</v>
      </c>
      <c r="E322" s="1179">
        <v>2018</v>
      </c>
      <c r="F322" s="1282" t="s">
        <v>20240</v>
      </c>
      <c r="G322" s="1368">
        <v>45</v>
      </c>
      <c r="H322" s="1178" t="s">
        <v>20224</v>
      </c>
      <c r="I322" s="1178" t="s">
        <v>1437</v>
      </c>
      <c r="J322" s="1178" t="s">
        <v>662</v>
      </c>
      <c r="K322" s="1178" t="s">
        <v>20344</v>
      </c>
      <c r="L322" s="1178" t="s">
        <v>80</v>
      </c>
      <c r="M322" s="1369"/>
      <c r="N322" s="1178"/>
      <c r="O322" s="1178">
        <v>3</v>
      </c>
      <c r="P322" s="1178">
        <v>13</v>
      </c>
    </row>
    <row r="323" spans="1:16">
      <c r="A323" s="1178" t="s">
        <v>81</v>
      </c>
      <c r="B323" s="1371" t="str">
        <f>HYPERLINK(IFERROR("#Main_Tariff!A"&amp;MATCH(Raeburn_Main_Tariff[[#This Row],[Product Code]],Main_Tariff!I:I,0),"#Main_Tariff!A"&amp;MATCH("*"&amp;RIGHT(A323,8)&amp;"*",Main_Tariff!A:A,0)),Raeburn_Main_Tariff[[#This Row],[PRODUCER]])</f>
        <v>Grand Village</v>
      </c>
      <c r="C323" s="1178" t="s">
        <v>20423</v>
      </c>
      <c r="D323" s="1178" t="s">
        <v>1129</v>
      </c>
      <c r="E323" s="1179">
        <v>2018</v>
      </c>
      <c r="F323" s="1282" t="s">
        <v>20240</v>
      </c>
      <c r="G323" s="1368">
        <v>113</v>
      </c>
      <c r="H323" s="1178" t="s">
        <v>20224</v>
      </c>
      <c r="I323" s="1178" t="s">
        <v>2245</v>
      </c>
      <c r="J323" s="1178" t="s">
        <v>662</v>
      </c>
      <c r="K323" s="1178" t="s">
        <v>20344</v>
      </c>
      <c r="L323" s="1178" t="s">
        <v>80</v>
      </c>
      <c r="M323" s="1369"/>
      <c r="N323" s="1178"/>
      <c r="O323" s="1178">
        <v>3</v>
      </c>
      <c r="P323" s="1178">
        <v>14.5</v>
      </c>
    </row>
    <row r="324" spans="1:16">
      <c r="A324" s="1178" t="s">
        <v>81</v>
      </c>
      <c r="B324" s="1371" t="str">
        <f>HYPERLINK(IFERROR("#Main_Tariff!A"&amp;MATCH(Raeburn_Main_Tariff[[#This Row],[Product Code]],Main_Tariff!I:I,0),"#Main_Tariff!A"&amp;MATCH("*"&amp;RIGHT(A324,8)&amp;"*",Main_Tariff!A:A,0)),Raeburn_Main_Tariff[[#This Row],[PRODUCER]])</f>
        <v>Grand Village</v>
      </c>
      <c r="C324" s="1178" t="s">
        <v>20424</v>
      </c>
      <c r="D324" s="1178" t="s">
        <v>897</v>
      </c>
      <c r="E324" s="1179">
        <v>2016</v>
      </c>
      <c r="F324" s="1282" t="s">
        <v>20220</v>
      </c>
      <c r="G324" s="1368">
        <v>22</v>
      </c>
      <c r="H324" s="1178" t="s">
        <v>20224</v>
      </c>
      <c r="I324" s="1178" t="s">
        <v>2248</v>
      </c>
      <c r="J324" s="1178" t="s">
        <v>662</v>
      </c>
      <c r="K324" s="1178" t="s">
        <v>20344</v>
      </c>
      <c r="L324" s="1178" t="s">
        <v>80</v>
      </c>
      <c r="M324" s="1369"/>
      <c r="N324" s="1178"/>
      <c r="O324" s="1178">
        <v>6</v>
      </c>
      <c r="P324" s="1178">
        <v>15</v>
      </c>
    </row>
    <row r="325" spans="1:16">
      <c r="A325" s="1178" t="s">
        <v>20425</v>
      </c>
      <c r="B325" s="1371" t="str">
        <f>HYPERLINK(IFERROR("#Main_Tariff!A"&amp;MATCH(Raeburn_Main_Tariff[[#This Row],[Product Code]],Main_Tariff!I:I,0),"#Main_Tariff!A"&amp;MATCH("*"&amp;RIGHT(A325,8)&amp;"*",Main_Tariff!A:A,0)),Raeburn_Main_Tariff[[#This Row],[PRODUCER]])</f>
        <v>Les Perrières</v>
      </c>
      <c r="C325" s="1178" t="s">
        <v>20425</v>
      </c>
      <c r="D325" s="1178" t="s">
        <v>897</v>
      </c>
      <c r="E325" s="1179">
        <v>2022</v>
      </c>
      <c r="F325" s="1282" t="s">
        <v>20220</v>
      </c>
      <c r="G325" s="1368" t="s">
        <v>5258</v>
      </c>
      <c r="H325" s="1178" t="s">
        <v>20224</v>
      </c>
      <c r="I325" s="1178" t="s">
        <v>2268</v>
      </c>
      <c r="J325" s="1178" t="s">
        <v>662</v>
      </c>
      <c r="K325" s="1178" t="s">
        <v>20344</v>
      </c>
      <c r="L325" s="1178" t="s">
        <v>80</v>
      </c>
      <c r="M325" s="1369"/>
      <c r="N325" s="1178"/>
      <c r="O325" s="1178">
        <v>3</v>
      </c>
      <c r="P325" s="1178">
        <v>14.5</v>
      </c>
    </row>
    <row r="326" spans="1:16">
      <c r="A326" s="1178" t="s">
        <v>20425</v>
      </c>
      <c r="B326" s="1371" t="str">
        <f>HYPERLINK(IFERROR("#Main_Tariff!A"&amp;MATCH(Raeburn_Main_Tariff[[#This Row],[Product Code]],Main_Tariff!I:I,0),"#Main_Tariff!A"&amp;MATCH("*"&amp;RIGHT(A326,8)&amp;"*",Main_Tariff!A:A,0)),Raeburn_Main_Tariff[[#This Row],[PRODUCER]])</f>
        <v>Les Perrières</v>
      </c>
      <c r="C326" s="1178" t="s">
        <v>20425</v>
      </c>
      <c r="D326" s="1178" t="s">
        <v>897</v>
      </c>
      <c r="E326" s="1179">
        <v>2021</v>
      </c>
      <c r="F326" s="1282" t="s">
        <v>20220</v>
      </c>
      <c r="G326" s="1368" t="s">
        <v>5258</v>
      </c>
      <c r="H326" s="1178" t="s">
        <v>20224</v>
      </c>
      <c r="I326" s="1178" t="s">
        <v>2269</v>
      </c>
      <c r="J326" s="1178" t="s">
        <v>662</v>
      </c>
      <c r="K326" s="1178" t="s">
        <v>20344</v>
      </c>
      <c r="L326" s="1178" t="s">
        <v>80</v>
      </c>
      <c r="M326" s="1369"/>
      <c r="N326" s="1178"/>
      <c r="O326" s="1178">
        <v>3</v>
      </c>
      <c r="P326" s="1178">
        <v>13.5</v>
      </c>
    </row>
    <row r="327" spans="1:16">
      <c r="A327" s="1178" t="s">
        <v>20425</v>
      </c>
      <c r="B327" s="1371" t="str">
        <f>HYPERLINK(IFERROR("#Main_Tariff!A"&amp;MATCH(Raeburn_Main_Tariff[[#This Row],[Product Code]],Main_Tariff!I:I,0),"#Main_Tariff!A"&amp;MATCH("*"&amp;RIGHT(A327,8)&amp;"*",Main_Tariff!A:A,0)),Raeburn_Main_Tariff[[#This Row],[PRODUCER]])</f>
        <v>Les Perrières</v>
      </c>
      <c r="C327" s="1178" t="s">
        <v>20425</v>
      </c>
      <c r="D327" s="1178" t="s">
        <v>897</v>
      </c>
      <c r="E327" s="1179">
        <v>2020</v>
      </c>
      <c r="F327" s="1282" t="s">
        <v>20220</v>
      </c>
      <c r="G327" s="1368" t="s">
        <v>5258</v>
      </c>
      <c r="H327" s="1178" t="s">
        <v>20224</v>
      </c>
      <c r="I327" s="1178" t="s">
        <v>2270</v>
      </c>
      <c r="J327" s="1178" t="s">
        <v>662</v>
      </c>
      <c r="K327" s="1178" t="s">
        <v>20344</v>
      </c>
      <c r="L327" s="1178" t="s">
        <v>80</v>
      </c>
      <c r="M327" s="1369"/>
      <c r="N327" s="1178"/>
      <c r="O327" s="1178">
        <v>6</v>
      </c>
      <c r="P327" s="1178">
        <v>13</v>
      </c>
    </row>
    <row r="328" spans="1:16">
      <c r="A328" s="1178" t="s">
        <v>20425</v>
      </c>
      <c r="B328" s="1371" t="str">
        <f>HYPERLINK(IFERROR("#Main_Tariff!A"&amp;MATCH(Raeburn_Main_Tariff[[#This Row],[Product Code]],Main_Tariff!I:I,0),"#Main_Tariff!A"&amp;MATCH("*"&amp;RIGHT(A328,8)&amp;"*",Main_Tariff!A:A,0)),Raeburn_Main_Tariff[[#This Row],[PRODUCER]])</f>
        <v>Les Perrières</v>
      </c>
      <c r="C328" s="1178" t="s">
        <v>20425</v>
      </c>
      <c r="D328" s="1178" t="s">
        <v>897</v>
      </c>
      <c r="E328" s="1179">
        <v>2019</v>
      </c>
      <c r="F328" s="1282" t="s">
        <v>20220</v>
      </c>
      <c r="G328" s="1368" t="s">
        <v>5258</v>
      </c>
      <c r="H328" s="1178" t="s">
        <v>20224</v>
      </c>
      <c r="I328" s="1178" t="s">
        <v>2272</v>
      </c>
      <c r="J328" s="1178" t="s">
        <v>662</v>
      </c>
      <c r="K328" s="1178" t="s">
        <v>20344</v>
      </c>
      <c r="L328" s="1178" t="s">
        <v>80</v>
      </c>
      <c r="M328" s="1369"/>
      <c r="N328" s="1178"/>
      <c r="O328" s="1178">
        <v>6</v>
      </c>
      <c r="P328" s="1178">
        <v>13</v>
      </c>
    </row>
    <row r="329" spans="1:16">
      <c r="A329" s="1178" t="s">
        <v>20425</v>
      </c>
      <c r="B329" s="1371" t="str">
        <f>HYPERLINK(IFERROR("#Main_Tariff!A"&amp;MATCH(Raeburn_Main_Tariff[[#This Row],[Product Code]],Main_Tariff!I:I,0),"#Main_Tariff!A"&amp;MATCH("*"&amp;RIGHT(A329,8)&amp;"*",Main_Tariff!A:A,0)),Raeburn_Main_Tariff[[#This Row],[PRODUCER]])</f>
        <v>Les Perrières</v>
      </c>
      <c r="C329" s="1178" t="s">
        <v>20425</v>
      </c>
      <c r="D329" s="1178" t="s">
        <v>897</v>
      </c>
      <c r="E329" s="1179">
        <v>2018</v>
      </c>
      <c r="F329" s="1282" t="s">
        <v>20220</v>
      </c>
      <c r="G329" s="1368" t="s">
        <v>5258</v>
      </c>
      <c r="H329" s="1178" t="s">
        <v>20224</v>
      </c>
      <c r="I329" s="1178" t="s">
        <v>2274</v>
      </c>
      <c r="J329" s="1178" t="s">
        <v>662</v>
      </c>
      <c r="K329" s="1178" t="s">
        <v>20344</v>
      </c>
      <c r="L329" s="1178" t="s">
        <v>80</v>
      </c>
      <c r="M329" s="1369"/>
      <c r="N329" s="1178"/>
      <c r="O329" s="1178">
        <v>6</v>
      </c>
      <c r="P329" s="1178">
        <v>13</v>
      </c>
    </row>
    <row r="330" spans="1:16">
      <c r="A330" s="1178" t="s">
        <v>84</v>
      </c>
      <c r="B330" s="1371" t="str">
        <f>HYPERLINK(IFERROR("#Main_Tariff!A"&amp;MATCH(Raeburn_Main_Tariff[[#This Row],[Product Code]],Main_Tariff!I:I,0),"#Main_Tariff!A"&amp;MATCH("*"&amp;RIGHT(A330,8)&amp;"*",Main_Tariff!A:A,0)),Raeburn_Main_Tariff[[#This Row],[PRODUCER]])</f>
        <v>Moulin Pey-Labrie</v>
      </c>
      <c r="C330" s="1178" t="s">
        <v>20426</v>
      </c>
      <c r="D330" s="1178" t="s">
        <v>897</v>
      </c>
      <c r="E330" s="1179">
        <v>2013</v>
      </c>
      <c r="F330" s="1282" t="s">
        <v>20220</v>
      </c>
      <c r="G330" s="1368">
        <v>17.5</v>
      </c>
      <c r="H330" s="1178" t="s">
        <v>20221</v>
      </c>
      <c r="I330" s="1178" t="s">
        <v>2290</v>
      </c>
      <c r="J330" s="1178" t="s">
        <v>662</v>
      </c>
      <c r="K330" s="1178" t="s">
        <v>20344</v>
      </c>
      <c r="L330" s="1178" t="s">
        <v>83</v>
      </c>
      <c r="M330" s="1369"/>
      <c r="N330" s="1178" t="s">
        <v>20244</v>
      </c>
      <c r="O330" s="1178">
        <v>6</v>
      </c>
      <c r="P330" s="1178">
        <v>13.5</v>
      </c>
    </row>
    <row r="331" spans="1:16">
      <c r="A331" s="1178" t="s">
        <v>84</v>
      </c>
      <c r="B331" s="1371" t="str">
        <f>HYPERLINK(IFERROR("#Main_Tariff!A"&amp;MATCH(Raeburn_Main_Tariff[[#This Row],[Product Code]],Main_Tariff!I:I,0),"#Main_Tariff!A"&amp;MATCH("*"&amp;RIGHT(A331,8)&amp;"*",Main_Tariff!A:A,0)),Raeburn_Main_Tariff[[#This Row],[PRODUCER]])</f>
        <v>Moulin Pey-Labrie</v>
      </c>
      <c r="C331" s="1178" t="s">
        <v>20427</v>
      </c>
      <c r="D331" s="1178" t="s">
        <v>897</v>
      </c>
      <c r="E331" s="1179">
        <v>2011</v>
      </c>
      <c r="F331" s="1282" t="s">
        <v>20240</v>
      </c>
      <c r="G331" s="1368">
        <v>37.5</v>
      </c>
      <c r="H331" s="1178" t="s">
        <v>20224</v>
      </c>
      <c r="I331" s="1178" t="s">
        <v>2292</v>
      </c>
      <c r="J331" s="1178" t="s">
        <v>662</v>
      </c>
      <c r="K331" s="1178" t="s">
        <v>20344</v>
      </c>
      <c r="L331" s="1178" t="s">
        <v>83</v>
      </c>
      <c r="M331" s="1369"/>
      <c r="N331" s="1178"/>
      <c r="O331" s="1178">
        <v>6</v>
      </c>
      <c r="P331" s="1178">
        <v>13</v>
      </c>
    </row>
    <row r="332" spans="1:16">
      <c r="A332" s="1178" t="s">
        <v>84</v>
      </c>
      <c r="B332" s="1371" t="str">
        <f>HYPERLINK(IFERROR("#Main_Tariff!A"&amp;MATCH(Raeburn_Main_Tariff[[#This Row],[Product Code]],Main_Tariff!I:I,0),"#Main_Tariff!A"&amp;MATCH("*"&amp;RIGHT(A332,8)&amp;"*",Main_Tariff!A:A,0)),Raeburn_Main_Tariff[[#This Row],[PRODUCER]])</f>
        <v>Moulin Pey-Labrie</v>
      </c>
      <c r="C332" s="1178" t="s">
        <v>20428</v>
      </c>
      <c r="D332" s="1178" t="s">
        <v>897</v>
      </c>
      <c r="E332" s="1179">
        <v>2006</v>
      </c>
      <c r="F332" s="1282" t="s">
        <v>20280</v>
      </c>
      <c r="G332" s="1368">
        <v>14.5</v>
      </c>
      <c r="H332" s="1178" t="s">
        <v>20277</v>
      </c>
      <c r="I332" s="1178" t="s">
        <v>2295</v>
      </c>
      <c r="J332" s="1178" t="s">
        <v>662</v>
      </c>
      <c r="K332" s="1178" t="s">
        <v>20344</v>
      </c>
      <c r="L332" s="1178" t="s">
        <v>83</v>
      </c>
      <c r="M332" s="1369"/>
      <c r="N332" s="1178"/>
      <c r="O332" s="1178">
        <v>12</v>
      </c>
      <c r="P332" s="1178">
        <v>14</v>
      </c>
    </row>
    <row r="333" spans="1:16">
      <c r="A333" s="1178" t="s">
        <v>84</v>
      </c>
      <c r="B333" s="1371" t="str">
        <f>HYPERLINK(IFERROR("#Main_Tariff!A"&amp;MATCH(Raeburn_Main_Tariff[[#This Row],[Product Code]],Main_Tariff!I:I,0),"#Main_Tariff!A"&amp;MATCH("*"&amp;RIGHT(A333,8)&amp;"*",Main_Tariff!A:A,0)),Raeburn_Main_Tariff[[#This Row],[PRODUCER]])</f>
        <v>Moulin Pey-Labrie</v>
      </c>
      <c r="C333" s="1178" t="s">
        <v>20429</v>
      </c>
      <c r="D333" s="1178" t="s">
        <v>897</v>
      </c>
      <c r="E333" s="1179">
        <v>2011</v>
      </c>
      <c r="F333" s="1282" t="s">
        <v>20220</v>
      </c>
      <c r="G333" s="1368">
        <v>23.5</v>
      </c>
      <c r="H333" s="1178" t="s">
        <v>20221</v>
      </c>
      <c r="I333" s="1178" t="s">
        <v>2296</v>
      </c>
      <c r="J333" s="1178" t="s">
        <v>662</v>
      </c>
      <c r="K333" s="1178" t="s">
        <v>20344</v>
      </c>
      <c r="L333" s="1178" t="s">
        <v>83</v>
      </c>
      <c r="M333" s="1369"/>
      <c r="N333" s="1178"/>
      <c r="O333" s="1178">
        <v>12</v>
      </c>
      <c r="P333" s="1178">
        <v>13.5</v>
      </c>
    </row>
    <row r="334" spans="1:16">
      <c r="A334" s="1178" t="s">
        <v>84</v>
      </c>
      <c r="B334" s="1371" t="str">
        <f>HYPERLINK(IFERROR("#Main_Tariff!A"&amp;MATCH(Raeburn_Main_Tariff[[#This Row],[Product Code]],Main_Tariff!I:I,0),"#Main_Tariff!A"&amp;MATCH("*"&amp;RIGHT(A334,8)&amp;"*",Main_Tariff!A:A,0)),Raeburn_Main_Tariff[[#This Row],[PRODUCER]])</f>
        <v>Moulin Pey-Labrie</v>
      </c>
      <c r="C334" s="1178" t="s">
        <v>20429</v>
      </c>
      <c r="D334" s="1178" t="s">
        <v>897</v>
      </c>
      <c r="E334" s="1179">
        <v>2010</v>
      </c>
      <c r="F334" s="1282" t="s">
        <v>20220</v>
      </c>
      <c r="G334" s="1368">
        <v>27.5</v>
      </c>
      <c r="H334" s="1178" t="s">
        <v>20221</v>
      </c>
      <c r="I334" s="1178" t="s">
        <v>2298</v>
      </c>
      <c r="J334" s="1178" t="s">
        <v>662</v>
      </c>
      <c r="K334" s="1178" t="s">
        <v>20344</v>
      </c>
      <c r="L334" s="1178" t="s">
        <v>83</v>
      </c>
      <c r="M334" s="1369"/>
      <c r="N334" s="1178"/>
      <c r="O334" s="1178">
        <v>6</v>
      </c>
      <c r="P334" s="1178">
        <v>14.5</v>
      </c>
    </row>
    <row r="335" spans="1:16">
      <c r="A335" s="1178" t="s">
        <v>84</v>
      </c>
      <c r="B335" s="1371" t="str">
        <f>HYPERLINK(IFERROR("#Main_Tariff!A"&amp;MATCH(Raeburn_Main_Tariff[[#This Row],[Product Code]],Main_Tariff!I:I,0),"#Main_Tariff!A"&amp;MATCH("*"&amp;RIGHT(A335,8)&amp;"*",Main_Tariff!A:A,0)),Raeburn_Main_Tariff[[#This Row],[PRODUCER]])</f>
        <v>Moulin Pey-Labrie</v>
      </c>
      <c r="C335" s="1178" t="s">
        <v>20429</v>
      </c>
      <c r="D335" s="1178" t="s">
        <v>897</v>
      </c>
      <c r="E335" s="1179">
        <v>2005</v>
      </c>
      <c r="F335" s="1282" t="s">
        <v>20220</v>
      </c>
      <c r="G335" s="1368">
        <v>26</v>
      </c>
      <c r="H335" s="1178" t="s">
        <v>20221</v>
      </c>
      <c r="I335" s="1178" t="s">
        <v>2299</v>
      </c>
      <c r="J335" s="1178" t="s">
        <v>662</v>
      </c>
      <c r="K335" s="1178" t="s">
        <v>20344</v>
      </c>
      <c r="L335" s="1178" t="s">
        <v>83</v>
      </c>
      <c r="M335" s="1369"/>
      <c r="N335" s="1178"/>
      <c r="O335" s="1178">
        <v>6</v>
      </c>
      <c r="P335" s="1178">
        <v>14</v>
      </c>
    </row>
    <row r="336" spans="1:16">
      <c r="A336" s="1178" t="s">
        <v>84</v>
      </c>
      <c r="B336" s="1371" t="str">
        <f>HYPERLINK(IFERROR("#Main_Tariff!A"&amp;MATCH(Raeburn_Main_Tariff[[#This Row],[Product Code]],Main_Tariff!I:I,0),"#Main_Tariff!A"&amp;MATCH("*"&amp;RIGHT(A336,8)&amp;"*",Main_Tariff!A:A,0)),Raeburn_Main_Tariff[[#This Row],[PRODUCER]])</f>
        <v>Moulin Pey-Labrie</v>
      </c>
      <c r="C336" s="1178" t="s">
        <v>20429</v>
      </c>
      <c r="D336" s="1178" t="s">
        <v>897</v>
      </c>
      <c r="E336" s="1179">
        <v>2002</v>
      </c>
      <c r="F336" s="1282" t="s">
        <v>20220</v>
      </c>
      <c r="G336" s="1368">
        <v>25.5</v>
      </c>
      <c r="H336" s="1178" t="s">
        <v>20224</v>
      </c>
      <c r="I336" s="1178" t="s">
        <v>2301</v>
      </c>
      <c r="J336" s="1178" t="s">
        <v>662</v>
      </c>
      <c r="K336" s="1178" t="s">
        <v>20344</v>
      </c>
      <c r="L336" s="1178" t="s">
        <v>83</v>
      </c>
      <c r="M336" s="1369"/>
      <c r="N336" s="1178"/>
      <c r="O336" s="1178">
        <v>12</v>
      </c>
      <c r="P336" s="1178">
        <v>12.5</v>
      </c>
    </row>
    <row r="337" spans="1:16">
      <c r="A337" s="1178" t="s">
        <v>84</v>
      </c>
      <c r="B337" s="1371" t="str">
        <f>HYPERLINK(IFERROR("#Main_Tariff!A"&amp;MATCH(Raeburn_Main_Tariff[[#This Row],[Product Code]],Main_Tariff!I:I,0),"#Main_Tariff!A"&amp;MATCH("*"&amp;RIGHT(A337,8)&amp;"*",Main_Tariff!A:A,0)),Raeburn_Main_Tariff[[#This Row],[PRODUCER]])</f>
        <v>Moulin Pey-Labrie</v>
      </c>
      <c r="C337" s="1178" t="s">
        <v>20430</v>
      </c>
      <c r="D337" s="1178" t="s">
        <v>897</v>
      </c>
      <c r="E337" s="1179">
        <v>1991</v>
      </c>
      <c r="F337" s="1282" t="s">
        <v>20220</v>
      </c>
      <c r="G337" s="1368">
        <v>25</v>
      </c>
      <c r="H337" s="1178" t="s">
        <v>20221</v>
      </c>
      <c r="I337" s="1178" t="s">
        <v>2303</v>
      </c>
      <c r="J337" s="1178" t="s">
        <v>662</v>
      </c>
      <c r="K337" s="1178" t="s">
        <v>20344</v>
      </c>
      <c r="L337" s="1178" t="s">
        <v>83</v>
      </c>
      <c r="M337" s="1369"/>
      <c r="N337" s="1178"/>
      <c r="O337" s="1178">
        <v>12</v>
      </c>
      <c r="P337" s="1178">
        <v>12.5</v>
      </c>
    </row>
    <row r="338" spans="1:16">
      <c r="A338" s="1178" t="s">
        <v>84</v>
      </c>
      <c r="B338" s="1371" t="str">
        <f>HYPERLINK(IFERROR("#Main_Tariff!A"&amp;MATCH(Raeburn_Main_Tariff[[#This Row],[Product Code]],Main_Tariff!I:I,0),"#Main_Tariff!A"&amp;MATCH("*"&amp;RIGHT(A338,8)&amp;"*",Main_Tariff!A:A,0)),Raeburn_Main_Tariff[[#This Row],[PRODUCER]])</f>
        <v>Moulin Pey-Labrie</v>
      </c>
      <c r="C338" s="1178" t="s">
        <v>20431</v>
      </c>
      <c r="D338" s="1178" t="s">
        <v>897</v>
      </c>
      <c r="E338" s="1179">
        <v>2011</v>
      </c>
      <c r="F338" s="1282" t="s">
        <v>20240</v>
      </c>
      <c r="G338" s="1368">
        <v>48</v>
      </c>
      <c r="H338" s="1178" t="s">
        <v>20224</v>
      </c>
      <c r="I338" s="1178" t="s">
        <v>2307</v>
      </c>
      <c r="J338" s="1178" t="s">
        <v>662</v>
      </c>
      <c r="K338" s="1178" t="s">
        <v>20344</v>
      </c>
      <c r="L338" s="1178" t="s">
        <v>83</v>
      </c>
      <c r="M338" s="1369"/>
      <c r="N338" s="1178"/>
      <c r="O338" s="1178">
        <v>6</v>
      </c>
      <c r="P338" s="1178">
        <v>13.5</v>
      </c>
    </row>
    <row r="339" spans="1:16">
      <c r="A339" s="1178" t="s">
        <v>84</v>
      </c>
      <c r="B339" s="1371" t="str">
        <f>HYPERLINK(IFERROR("#Main_Tariff!A"&amp;MATCH(Raeburn_Main_Tariff[[#This Row],[Product Code]],Main_Tariff!I:I,0),"#Main_Tariff!A"&amp;MATCH("*"&amp;RIGHT(A339,8)&amp;"*",Main_Tariff!A:A,0)),Raeburn_Main_Tariff[[#This Row],[PRODUCER]])</f>
        <v>Moulin Pey-Labrie</v>
      </c>
      <c r="C339" s="1178" t="s">
        <v>20431</v>
      </c>
      <c r="D339" s="1178" t="s">
        <v>897</v>
      </c>
      <c r="E339" s="1179">
        <v>1991</v>
      </c>
      <c r="F339" s="1282" t="s">
        <v>20240</v>
      </c>
      <c r="G339" s="1368">
        <v>53</v>
      </c>
      <c r="H339" s="1178" t="s">
        <v>20224</v>
      </c>
      <c r="I339" s="1178" t="s">
        <v>2309</v>
      </c>
      <c r="J339" s="1178" t="s">
        <v>662</v>
      </c>
      <c r="K339" s="1178" t="s">
        <v>20344</v>
      </c>
      <c r="L339" s="1178" t="s">
        <v>83</v>
      </c>
      <c r="M339" s="1369"/>
      <c r="N339" s="1178"/>
      <c r="O339" s="1178">
        <v>6</v>
      </c>
      <c r="P339" s="1178">
        <v>12.5</v>
      </c>
    </row>
    <row r="340" spans="1:16">
      <c r="A340" s="1178" t="s">
        <v>86</v>
      </c>
      <c r="B340" s="1371" t="str">
        <f>HYPERLINK(IFERROR("#Main_Tariff!A"&amp;MATCH(Raeburn_Main_Tariff[[#This Row],[Product Code]],Main_Tariff!I:I,0),"#Main_Tariff!A"&amp;MATCH("*"&amp;RIGHT(A340,8)&amp;"*",Main_Tariff!A:A,0)),Raeburn_Main_Tariff[[#This Row],[PRODUCER]])</f>
        <v>Belles-Graves</v>
      </c>
      <c r="C340" s="1178" t="s">
        <v>20432</v>
      </c>
      <c r="D340" s="1178" t="s">
        <v>897</v>
      </c>
      <c r="E340" s="1179">
        <v>2016</v>
      </c>
      <c r="F340" s="1282" t="s">
        <v>20220</v>
      </c>
      <c r="G340" s="1368">
        <v>19.5</v>
      </c>
      <c r="H340" s="1178" t="s">
        <v>20221</v>
      </c>
      <c r="I340" s="1178" t="s">
        <v>2313</v>
      </c>
      <c r="J340" s="1178" t="s">
        <v>662</v>
      </c>
      <c r="K340" s="1178" t="s">
        <v>20344</v>
      </c>
      <c r="L340" s="1178" t="s">
        <v>85</v>
      </c>
      <c r="M340" s="1369"/>
      <c r="N340" s="1178"/>
      <c r="O340" s="1178">
        <v>6</v>
      </c>
      <c r="P340" s="1178">
        <v>14</v>
      </c>
    </row>
    <row r="341" spans="1:16">
      <c r="A341" s="1178" t="s">
        <v>87</v>
      </c>
      <c r="B341" s="1371" t="str">
        <f>HYPERLINK(IFERROR("#Main_Tariff!A"&amp;MATCH(Raeburn_Main_Tariff[[#This Row],[Product Code]],Main_Tariff!I:I,0),"#Main_Tariff!A"&amp;MATCH("*"&amp;RIGHT(A341,8)&amp;"*",Main_Tariff!A:A,0)),Raeburn_Main_Tariff[[#This Row],[PRODUCER]])</f>
        <v>Les Cruzelles</v>
      </c>
      <c r="C341" s="1178" t="s">
        <v>20433</v>
      </c>
      <c r="D341" s="1178" t="s">
        <v>897</v>
      </c>
      <c r="E341" s="1179">
        <v>2022</v>
      </c>
      <c r="F341" s="1282" t="s">
        <v>20220</v>
      </c>
      <c r="G341" s="1368" t="s">
        <v>20342</v>
      </c>
      <c r="H341" s="1178" t="s">
        <v>20343</v>
      </c>
      <c r="I341" s="1178" t="s">
        <v>2320</v>
      </c>
      <c r="J341" s="1178" t="s">
        <v>662</v>
      </c>
      <c r="K341" s="1178" t="s">
        <v>20344</v>
      </c>
      <c r="L341" s="1178" t="s">
        <v>85</v>
      </c>
      <c r="M341" s="1369"/>
      <c r="N341" s="1178"/>
      <c r="O341" s="1178">
        <v>6</v>
      </c>
      <c r="P341" s="1178">
        <v>0</v>
      </c>
    </row>
    <row r="342" spans="1:16">
      <c r="A342" s="1178" t="s">
        <v>87</v>
      </c>
      <c r="B342" s="1371" t="str">
        <f>HYPERLINK(IFERROR("#Main_Tariff!A"&amp;MATCH(Raeburn_Main_Tariff[[#This Row],[Product Code]],Main_Tariff!I:I,0),"#Main_Tariff!A"&amp;MATCH("*"&amp;RIGHT(A342,8)&amp;"*",Main_Tariff!A:A,0)),Raeburn_Main_Tariff[[#This Row],[PRODUCER]])</f>
        <v>Les Cruzelles</v>
      </c>
      <c r="C342" s="1178" t="s">
        <v>20434</v>
      </c>
      <c r="D342" s="1178" t="s">
        <v>897</v>
      </c>
      <c r="E342" s="1179">
        <v>2022</v>
      </c>
      <c r="F342" s="1282" t="s">
        <v>20220</v>
      </c>
      <c r="G342" s="1368" t="s">
        <v>20342</v>
      </c>
      <c r="H342" s="1178" t="s">
        <v>20343</v>
      </c>
      <c r="I342" s="1178" t="s">
        <v>2322</v>
      </c>
      <c r="J342" s="1178" t="s">
        <v>662</v>
      </c>
      <c r="K342" s="1178" t="s">
        <v>20344</v>
      </c>
      <c r="L342" s="1178" t="s">
        <v>85</v>
      </c>
      <c r="M342" s="1369"/>
      <c r="N342" s="1178"/>
      <c r="O342" s="1178">
        <v>6</v>
      </c>
      <c r="P342" s="1178">
        <v>0</v>
      </c>
    </row>
    <row r="343" spans="1:16">
      <c r="A343" s="1178" t="s">
        <v>89</v>
      </c>
      <c r="B343" s="1371" t="str">
        <f>HYPERLINK(IFERROR("#Main_Tariff!A"&amp;MATCH(Raeburn_Main_Tariff[[#This Row],[Product Code]],Main_Tariff!I:I,0),"#Main_Tariff!A"&amp;MATCH("*"&amp;RIGHT(A343,8)&amp;"*",Main_Tariff!A:A,0)),Raeburn_Main_Tariff[[#This Row],[PRODUCER]])</f>
        <v>Bel Air</v>
      </c>
      <c r="C343" s="1178" t="s">
        <v>20435</v>
      </c>
      <c r="D343" s="1178" t="s">
        <v>897</v>
      </c>
      <c r="E343" s="1179">
        <v>2022</v>
      </c>
      <c r="F343" s="1282" t="s">
        <v>20220</v>
      </c>
      <c r="G343" s="1368" t="s">
        <v>5258</v>
      </c>
      <c r="H343" s="1178" t="s">
        <v>20221</v>
      </c>
      <c r="I343" s="1178" t="s">
        <v>2328</v>
      </c>
      <c r="J343" s="1178" t="s">
        <v>662</v>
      </c>
      <c r="K343" s="1178" t="s">
        <v>20344</v>
      </c>
      <c r="L343" s="1178" t="s">
        <v>88</v>
      </c>
      <c r="M343" s="1369"/>
      <c r="N343" s="1178"/>
      <c r="O343" s="1178">
        <v>6</v>
      </c>
      <c r="P343" s="1178">
        <v>14.5</v>
      </c>
    </row>
    <row r="344" spans="1:16">
      <c r="A344" s="1178" t="s">
        <v>89</v>
      </c>
      <c r="B344" s="1371" t="str">
        <f>HYPERLINK(IFERROR("#Main_Tariff!A"&amp;MATCH(Raeburn_Main_Tariff[[#This Row],[Product Code]],Main_Tariff!I:I,0),"#Main_Tariff!A"&amp;MATCH("*"&amp;RIGHT(A344,8)&amp;"*",Main_Tariff!A:A,0)),Raeburn_Main_Tariff[[#This Row],[PRODUCER]])</f>
        <v>Bel Air</v>
      </c>
      <c r="C344" s="1178" t="s">
        <v>20435</v>
      </c>
      <c r="D344" s="1178" t="s">
        <v>897</v>
      </c>
      <c r="E344" s="1179">
        <v>2021</v>
      </c>
      <c r="F344" s="1282" t="s">
        <v>20220</v>
      </c>
      <c r="G344" s="1368">
        <v>19</v>
      </c>
      <c r="H344" s="1178" t="s">
        <v>20221</v>
      </c>
      <c r="I344" s="1178" t="s">
        <v>2330</v>
      </c>
      <c r="J344" s="1178" t="s">
        <v>662</v>
      </c>
      <c r="K344" s="1178" t="s">
        <v>20344</v>
      </c>
      <c r="L344" s="1178" t="s">
        <v>88</v>
      </c>
      <c r="M344" s="1369"/>
      <c r="N344" s="1178"/>
      <c r="O344" s="1178">
        <v>6</v>
      </c>
      <c r="P344" s="1178">
        <v>14</v>
      </c>
    </row>
    <row r="345" spans="1:16">
      <c r="A345" s="1178" t="s">
        <v>89</v>
      </c>
      <c r="B345" s="1371" t="str">
        <f>HYPERLINK(IFERROR("#Main_Tariff!A"&amp;MATCH(Raeburn_Main_Tariff[[#This Row],[Product Code]],Main_Tariff!I:I,0),"#Main_Tariff!A"&amp;MATCH("*"&amp;RIGHT(A345,8)&amp;"*",Main_Tariff!A:A,0)),Raeburn_Main_Tariff[[#This Row],[PRODUCER]])</f>
        <v>Bel Air</v>
      </c>
      <c r="C345" s="1178" t="s">
        <v>20435</v>
      </c>
      <c r="D345" s="1178" t="s">
        <v>897</v>
      </c>
      <c r="E345" s="1179">
        <v>2020</v>
      </c>
      <c r="F345" s="1282" t="s">
        <v>20220</v>
      </c>
      <c r="G345" s="1368">
        <v>19.5</v>
      </c>
      <c r="H345" s="1178" t="s">
        <v>20221</v>
      </c>
      <c r="I345" s="1178" t="s">
        <v>2332</v>
      </c>
      <c r="J345" s="1178" t="s">
        <v>662</v>
      </c>
      <c r="K345" s="1178" t="s">
        <v>20344</v>
      </c>
      <c r="L345" s="1178" t="s">
        <v>88</v>
      </c>
      <c r="M345" s="1369"/>
      <c r="N345" s="1178"/>
      <c r="O345" s="1178">
        <v>6</v>
      </c>
      <c r="P345" s="1178">
        <v>14</v>
      </c>
    </row>
    <row r="346" spans="1:16">
      <c r="A346" s="1178" t="s">
        <v>89</v>
      </c>
      <c r="B346" s="1371" t="str">
        <f>HYPERLINK(IFERROR("#Main_Tariff!A"&amp;MATCH(Raeburn_Main_Tariff[[#This Row],[Product Code]],Main_Tariff!I:I,0),"#Main_Tariff!A"&amp;MATCH("*"&amp;RIGHT(A346,8)&amp;"*",Main_Tariff!A:A,0)),Raeburn_Main_Tariff[[#This Row],[PRODUCER]])</f>
        <v>Bel Air</v>
      </c>
      <c r="C346" s="1178" t="s">
        <v>20435</v>
      </c>
      <c r="D346" s="1178" t="s">
        <v>897</v>
      </c>
      <c r="E346" s="1179">
        <v>2019</v>
      </c>
      <c r="F346" s="1282" t="s">
        <v>20220</v>
      </c>
      <c r="G346" s="1368">
        <v>19</v>
      </c>
      <c r="H346" s="1178" t="s">
        <v>20221</v>
      </c>
      <c r="I346" s="1178" t="s">
        <v>2334</v>
      </c>
      <c r="J346" s="1178" t="s">
        <v>662</v>
      </c>
      <c r="K346" s="1178" t="s">
        <v>20344</v>
      </c>
      <c r="L346" s="1178" t="s">
        <v>88</v>
      </c>
      <c r="M346" s="1369"/>
      <c r="N346" s="1178"/>
      <c r="O346" s="1178">
        <v>6</v>
      </c>
      <c r="P346" s="1178">
        <v>14.5</v>
      </c>
    </row>
    <row r="347" spans="1:16">
      <c r="A347" s="1178" t="s">
        <v>89</v>
      </c>
      <c r="B347" s="1371" t="str">
        <f>HYPERLINK(IFERROR("#Main_Tariff!A"&amp;MATCH(Raeburn_Main_Tariff[[#This Row],[Product Code]],Main_Tariff!I:I,0),"#Main_Tariff!A"&amp;MATCH("*"&amp;RIGHT(A347,8)&amp;"*",Main_Tariff!A:A,0)),Raeburn_Main_Tariff[[#This Row],[PRODUCER]])</f>
        <v>Bel Air</v>
      </c>
      <c r="C347" s="1178" t="s">
        <v>20436</v>
      </c>
      <c r="D347" s="1178" t="s">
        <v>897</v>
      </c>
      <c r="E347" s="1179">
        <v>2019</v>
      </c>
      <c r="F347" s="1282" t="s">
        <v>20240</v>
      </c>
      <c r="G347" s="1368">
        <v>38</v>
      </c>
      <c r="H347" s="1178" t="s">
        <v>20221</v>
      </c>
      <c r="I347" s="1178" t="s">
        <v>2338</v>
      </c>
      <c r="J347" s="1178" t="s">
        <v>662</v>
      </c>
      <c r="K347" s="1178" t="s">
        <v>20344</v>
      </c>
      <c r="L347" s="1178" t="s">
        <v>88</v>
      </c>
      <c r="M347" s="1369"/>
      <c r="N347" s="1178"/>
      <c r="O347" s="1178">
        <v>6</v>
      </c>
      <c r="P347" s="1178">
        <v>14.5</v>
      </c>
    </row>
    <row r="348" spans="1:16">
      <c r="A348" s="1178" t="s">
        <v>89</v>
      </c>
      <c r="B348" s="1371" t="str">
        <f>HYPERLINK(IFERROR("#Main_Tariff!A"&amp;MATCH(Raeburn_Main_Tariff[[#This Row],[Product Code]],Main_Tariff!I:I,0),"#Main_Tariff!A"&amp;MATCH("*"&amp;RIGHT(A348,8)&amp;"*",Main_Tariff!A:A,0)),Raeburn_Main_Tariff[[#This Row],[PRODUCER]])</f>
        <v>Bel Air</v>
      </c>
      <c r="C348" s="1178" t="s">
        <v>20437</v>
      </c>
      <c r="D348" s="1178" t="s">
        <v>897</v>
      </c>
      <c r="E348" s="1179">
        <v>2019</v>
      </c>
      <c r="F348" s="1282" t="s">
        <v>20288</v>
      </c>
      <c r="G348" s="1368">
        <v>76</v>
      </c>
      <c r="H348" s="1178" t="s">
        <v>20224</v>
      </c>
      <c r="I348" s="1178" t="s">
        <v>2340</v>
      </c>
      <c r="J348" s="1178" t="s">
        <v>662</v>
      </c>
      <c r="K348" s="1178" t="s">
        <v>20344</v>
      </c>
      <c r="L348" s="1178" t="s">
        <v>88</v>
      </c>
      <c r="M348" s="1369"/>
      <c r="N348" s="1178"/>
      <c r="O348" s="1178">
        <v>1</v>
      </c>
      <c r="P348" s="1178">
        <v>14.5</v>
      </c>
    </row>
    <row r="349" spans="1:16">
      <c r="A349" s="1178" t="s">
        <v>91</v>
      </c>
      <c r="B349" s="1371" t="str">
        <f>HYPERLINK(IFERROR("#Main_Tariff!A"&amp;MATCH(Raeburn_Main_Tariff[[#This Row],[Product Code]],Main_Tariff!I:I,0),"#Main_Tariff!A"&amp;MATCH("*"&amp;RIGHT(A349,8)&amp;"*",Main_Tariff!A:A,0)),Raeburn_Main_Tariff[[#This Row],[PRODUCER]])</f>
        <v>Guibeau</v>
      </c>
      <c r="C349" s="1178" t="s">
        <v>20438</v>
      </c>
      <c r="D349" s="1178" t="s">
        <v>897</v>
      </c>
      <c r="E349" s="1179">
        <v>2020</v>
      </c>
      <c r="F349" s="1282" t="s">
        <v>20220</v>
      </c>
      <c r="G349" s="1368">
        <v>16.5</v>
      </c>
      <c r="H349" s="1178" t="s">
        <v>20221</v>
      </c>
      <c r="I349" s="1178" t="s">
        <v>2346</v>
      </c>
      <c r="J349" s="1178" t="s">
        <v>662</v>
      </c>
      <c r="K349" s="1178" t="s">
        <v>20344</v>
      </c>
      <c r="L349" s="1178" t="s">
        <v>20439</v>
      </c>
      <c r="M349" s="1369"/>
      <c r="N349" s="1178" t="s">
        <v>20244</v>
      </c>
      <c r="O349" s="1178">
        <v>6</v>
      </c>
      <c r="P349" s="1178">
        <v>12</v>
      </c>
    </row>
    <row r="350" spans="1:16">
      <c r="A350" s="1178" t="s">
        <v>20440</v>
      </c>
      <c r="B350" s="1371" t="str">
        <f>HYPERLINK(IFERROR("#Main_Tariff!A"&amp;MATCH(Raeburn_Main_Tariff[[#This Row],[Product Code]],Main_Tariff!I:I,0),"#Main_Tariff!A"&amp;MATCH("*"&amp;RIGHT(A350,8)&amp;"*",Main_Tariff!A:A,0)),Raeburn_Main_Tariff[[#This Row],[PRODUCER]])</f>
        <v>Jan &amp; Florian Thienpont</v>
      </c>
      <c r="C350" s="1178" t="s">
        <v>20441</v>
      </c>
      <c r="D350" s="1178" t="s">
        <v>897</v>
      </c>
      <c r="E350" s="1179">
        <v>2022</v>
      </c>
      <c r="F350" s="1282" t="s">
        <v>20220</v>
      </c>
      <c r="G350" s="1368" t="s">
        <v>5258</v>
      </c>
      <c r="H350" s="1178" t="s">
        <v>20221</v>
      </c>
      <c r="I350" s="1178" t="s">
        <v>2361</v>
      </c>
      <c r="J350" s="1178" t="s">
        <v>662</v>
      </c>
      <c r="K350" s="1178" t="s">
        <v>20344</v>
      </c>
      <c r="L350" s="1178" t="s">
        <v>20442</v>
      </c>
      <c r="M350" s="1369"/>
      <c r="N350" s="1178"/>
      <c r="O350" s="1178">
        <v>6</v>
      </c>
      <c r="P350" s="1178">
        <v>14</v>
      </c>
    </row>
    <row r="351" spans="1:16">
      <c r="A351" s="1178" t="s">
        <v>20440</v>
      </c>
      <c r="B351" s="1371" t="str">
        <f>HYPERLINK(IFERROR("#Main_Tariff!A"&amp;MATCH(Raeburn_Main_Tariff[[#This Row],[Product Code]],Main_Tariff!I:I,0),"#Main_Tariff!A"&amp;MATCH("*"&amp;RIGHT(A351,8)&amp;"*",Main_Tariff!A:A,0)),Raeburn_Main_Tariff[[#This Row],[PRODUCER]])</f>
        <v>Jan &amp; Florian Thienpont</v>
      </c>
      <c r="C351" s="1178" t="s">
        <v>20441</v>
      </c>
      <c r="D351" s="1178" t="s">
        <v>897</v>
      </c>
      <c r="E351" s="1179">
        <v>2021</v>
      </c>
      <c r="F351" s="1282" t="s">
        <v>20220</v>
      </c>
      <c r="G351" s="1368">
        <v>17</v>
      </c>
      <c r="H351" s="1178" t="s">
        <v>20221</v>
      </c>
      <c r="I351" s="1178" t="s">
        <v>2363</v>
      </c>
      <c r="J351" s="1178" t="s">
        <v>662</v>
      </c>
      <c r="K351" s="1178" t="s">
        <v>20344</v>
      </c>
      <c r="L351" s="1178" t="s">
        <v>20442</v>
      </c>
      <c r="M351" s="1369"/>
      <c r="N351" s="1178"/>
      <c r="O351" s="1178">
        <v>6</v>
      </c>
      <c r="P351" s="1178">
        <v>13</v>
      </c>
    </row>
    <row r="352" spans="1:16">
      <c r="A352" s="1178" t="s">
        <v>20440</v>
      </c>
      <c r="B352" s="1371" t="str">
        <f>HYPERLINK(IFERROR("#Main_Tariff!A"&amp;MATCH(Raeburn_Main_Tariff[[#This Row],[Product Code]],Main_Tariff!I:I,0),"#Main_Tariff!A"&amp;MATCH("*"&amp;RIGHT(A352,8)&amp;"*",Main_Tariff!A:A,0)),Raeburn_Main_Tariff[[#This Row],[PRODUCER]])</f>
        <v>Jan &amp; Florian Thienpont</v>
      </c>
      <c r="C352" s="1178" t="s">
        <v>20443</v>
      </c>
      <c r="D352" s="1178" t="s">
        <v>897</v>
      </c>
      <c r="E352" s="1179">
        <v>2020</v>
      </c>
      <c r="F352" s="1282" t="s">
        <v>20220</v>
      </c>
      <c r="G352" s="1368">
        <v>17</v>
      </c>
      <c r="H352" s="1178" t="s">
        <v>20221</v>
      </c>
      <c r="I352" s="1178" t="s">
        <v>2365</v>
      </c>
      <c r="J352" s="1178" t="s">
        <v>662</v>
      </c>
      <c r="K352" s="1178" t="s">
        <v>20344</v>
      </c>
      <c r="L352" s="1178" t="s">
        <v>20442</v>
      </c>
      <c r="M352" s="1369"/>
      <c r="N352" s="1178"/>
      <c r="O352" s="1178">
        <v>6</v>
      </c>
      <c r="P352" s="1178">
        <v>13</v>
      </c>
    </row>
    <row r="353" spans="1:16">
      <c r="A353" s="1178" t="s">
        <v>20440</v>
      </c>
      <c r="B353" s="1371" t="str">
        <f>HYPERLINK(IFERROR("#Main_Tariff!A"&amp;MATCH(Raeburn_Main_Tariff[[#This Row],[Product Code]],Main_Tariff!I:I,0),"#Main_Tariff!A"&amp;MATCH("*"&amp;RIGHT(A353,8)&amp;"*",Main_Tariff!A:A,0)),Raeburn_Main_Tariff[[#This Row],[PRODUCER]])</f>
        <v>Jan &amp; Florian Thienpont</v>
      </c>
      <c r="C353" s="1178" t="s">
        <v>20443</v>
      </c>
      <c r="D353" s="1178" t="s">
        <v>897</v>
      </c>
      <c r="E353" s="1179">
        <v>2018</v>
      </c>
      <c r="F353" s="1282" t="s">
        <v>20220</v>
      </c>
      <c r="G353" s="1368">
        <v>16</v>
      </c>
      <c r="H353" s="1178" t="s">
        <v>20221</v>
      </c>
      <c r="I353" s="1178" t="s">
        <v>2367</v>
      </c>
      <c r="J353" s="1178" t="s">
        <v>662</v>
      </c>
      <c r="K353" s="1178" t="s">
        <v>20344</v>
      </c>
      <c r="L353" s="1178" t="s">
        <v>20442</v>
      </c>
      <c r="M353" s="1369"/>
      <c r="N353" s="1178"/>
      <c r="O353" s="1178">
        <v>6</v>
      </c>
      <c r="P353" s="1178">
        <v>13</v>
      </c>
    </row>
    <row r="354" spans="1:16">
      <c r="A354" s="1178" t="s">
        <v>20440</v>
      </c>
      <c r="B354" s="1371" t="str">
        <f>HYPERLINK(IFERROR("#Main_Tariff!A"&amp;MATCH(Raeburn_Main_Tariff[[#This Row],[Product Code]],Main_Tariff!I:I,0),"#Main_Tariff!A"&amp;MATCH("*"&amp;RIGHT(A354,8)&amp;"*",Main_Tariff!A:A,0)),Raeburn_Main_Tariff[[#This Row],[PRODUCER]])</f>
        <v>Jan &amp; Florian Thienpont</v>
      </c>
      <c r="C354" s="1178" t="s">
        <v>20444</v>
      </c>
      <c r="D354" s="1178" t="s">
        <v>897</v>
      </c>
      <c r="E354" s="1179">
        <v>2019</v>
      </c>
      <c r="F354" s="1282" t="s">
        <v>20240</v>
      </c>
      <c r="G354" s="1368">
        <v>34</v>
      </c>
      <c r="H354" s="1178" t="s">
        <v>20221</v>
      </c>
      <c r="I354" s="1178" t="s">
        <v>2369</v>
      </c>
      <c r="J354" s="1178" t="s">
        <v>662</v>
      </c>
      <c r="K354" s="1178" t="s">
        <v>20344</v>
      </c>
      <c r="L354" s="1178" t="s">
        <v>20442</v>
      </c>
      <c r="M354" s="1369"/>
      <c r="N354" s="1178"/>
      <c r="O354" s="1178">
        <v>6</v>
      </c>
      <c r="P354" s="1178">
        <v>14.5</v>
      </c>
    </row>
    <row r="355" spans="1:16">
      <c r="A355" s="1178" t="s">
        <v>20440</v>
      </c>
      <c r="B355" s="1371" t="str">
        <f>HYPERLINK(IFERROR("#Main_Tariff!A"&amp;MATCH(Raeburn_Main_Tariff[[#This Row],[Product Code]],Main_Tariff!I:I,0),"#Main_Tariff!A"&amp;MATCH("*"&amp;RIGHT(A355,8)&amp;"*",Main_Tariff!A:A,0)),Raeburn_Main_Tariff[[#This Row],[PRODUCER]])</f>
        <v>Jan &amp; Florian Thienpont</v>
      </c>
      <c r="C355" s="1178" t="s">
        <v>20444</v>
      </c>
      <c r="D355" s="1178" t="s">
        <v>897</v>
      </c>
      <c r="E355" s="1179">
        <v>2015</v>
      </c>
      <c r="F355" s="1282" t="s">
        <v>20240</v>
      </c>
      <c r="G355" s="1368">
        <v>39</v>
      </c>
      <c r="H355" s="1178" t="s">
        <v>20224</v>
      </c>
      <c r="I355" s="1178" t="s">
        <v>2371</v>
      </c>
      <c r="J355" s="1178" t="s">
        <v>662</v>
      </c>
      <c r="K355" s="1178" t="s">
        <v>20344</v>
      </c>
      <c r="L355" s="1178" t="s">
        <v>20442</v>
      </c>
      <c r="M355" s="1369"/>
      <c r="N355" s="1178"/>
      <c r="O355" s="1178">
        <v>1</v>
      </c>
      <c r="P355" s="1178">
        <v>13</v>
      </c>
    </row>
    <row r="356" spans="1:16">
      <c r="A356" s="1178" t="s">
        <v>95</v>
      </c>
      <c r="B356" s="1371" t="str">
        <f>HYPERLINK(IFERROR("#Main_Tariff!A"&amp;MATCH(Raeburn_Main_Tariff[[#This Row],[Product Code]],Main_Tariff!I:I,0),"#Main_Tariff!A"&amp;MATCH("*"&amp;RIGHT(A356,8)&amp;"*",Main_Tariff!A:A,0)),Raeburn_Main_Tariff[[#This Row],[PRODUCER]])</f>
        <v>d'Aiguilhe</v>
      </c>
      <c r="C356" s="1178" t="s">
        <v>20445</v>
      </c>
      <c r="D356" s="1178" t="s">
        <v>897</v>
      </c>
      <c r="E356" s="1179">
        <v>2022</v>
      </c>
      <c r="F356" s="1282" t="s">
        <v>20220</v>
      </c>
      <c r="G356" s="1368" t="s">
        <v>20342</v>
      </c>
      <c r="H356" s="1178" t="s">
        <v>20343</v>
      </c>
      <c r="I356" s="1178" t="s">
        <v>2405</v>
      </c>
      <c r="J356" s="1178" t="s">
        <v>662</v>
      </c>
      <c r="K356" s="1178" t="s">
        <v>20344</v>
      </c>
      <c r="L356" s="1178" t="s">
        <v>2407</v>
      </c>
      <c r="M356" s="1369"/>
      <c r="N356" s="1178"/>
      <c r="O356" s="1178">
        <v>12</v>
      </c>
      <c r="P356" s="1178">
        <v>13</v>
      </c>
    </row>
    <row r="357" spans="1:16">
      <c r="A357" s="1178" t="s">
        <v>96</v>
      </c>
      <c r="B357" s="1371" t="str">
        <f>HYPERLINK(IFERROR("#Main_Tariff!A"&amp;MATCH(Raeburn_Main_Tariff[[#This Row],[Product Code]],Main_Tariff!I:I,0),"#Main_Tariff!A"&amp;MATCH("*"&amp;RIGHT(A357,8)&amp;"*",Main_Tariff!A:A,0)),Raeburn_Main_Tariff[[#This Row],[PRODUCER]])</f>
        <v>Alcée</v>
      </c>
      <c r="C357" s="1178" t="s">
        <v>20446</v>
      </c>
      <c r="D357" s="1178" t="s">
        <v>897</v>
      </c>
      <c r="E357" s="1179">
        <v>2020</v>
      </c>
      <c r="F357" s="1282" t="s">
        <v>20220</v>
      </c>
      <c r="G357" s="1368">
        <v>20.75</v>
      </c>
      <c r="H357" s="1178" t="s">
        <v>20221</v>
      </c>
      <c r="I357" s="1178" t="s">
        <v>2412</v>
      </c>
      <c r="J357" s="1178" t="s">
        <v>662</v>
      </c>
      <c r="K357" s="1178" t="s">
        <v>20344</v>
      </c>
      <c r="L357" s="1178" t="s">
        <v>2407</v>
      </c>
      <c r="M357" s="1369"/>
      <c r="N357" s="1178"/>
      <c r="O357" s="1178">
        <v>6</v>
      </c>
      <c r="P357" s="1178">
        <v>13</v>
      </c>
    </row>
    <row r="358" spans="1:16">
      <c r="A358" s="1178" t="s">
        <v>97</v>
      </c>
      <c r="B358" s="1371" t="str">
        <f>HYPERLINK(IFERROR("#Main_Tariff!A"&amp;MATCH(Raeburn_Main_Tariff[[#This Row],[Product Code]],Main_Tariff!I:I,0),"#Main_Tariff!A"&amp;MATCH("*"&amp;RIGHT(A358,8)&amp;"*",Main_Tariff!A:A,0)),Raeburn_Main_Tariff[[#This Row],[PRODUCER]])</f>
        <v>Clos Louie</v>
      </c>
      <c r="C358" s="1178" t="s">
        <v>20447</v>
      </c>
      <c r="D358" s="1178" t="s">
        <v>897</v>
      </c>
      <c r="E358" s="1179">
        <v>2022</v>
      </c>
      <c r="F358" s="1282" t="s">
        <v>20220</v>
      </c>
      <c r="G358" s="1368" t="s">
        <v>5258</v>
      </c>
      <c r="H358" s="1178" t="s">
        <v>20221</v>
      </c>
      <c r="I358" s="1178" t="s">
        <v>2421</v>
      </c>
      <c r="J358" s="1178" t="s">
        <v>662</v>
      </c>
      <c r="K358" s="1178" t="s">
        <v>20344</v>
      </c>
      <c r="L358" s="1178" t="s">
        <v>2407</v>
      </c>
      <c r="M358" s="1369"/>
      <c r="N358" s="1178"/>
      <c r="O358" s="1178">
        <v>12</v>
      </c>
      <c r="P358" s="1178">
        <v>15</v>
      </c>
    </row>
    <row r="359" spans="1:16">
      <c r="A359" s="1178" t="s">
        <v>97</v>
      </c>
      <c r="B359" s="1371" t="str">
        <f>HYPERLINK(IFERROR("#Main_Tariff!A"&amp;MATCH(Raeburn_Main_Tariff[[#This Row],[Product Code]],Main_Tariff!I:I,0),"#Main_Tariff!A"&amp;MATCH("*"&amp;RIGHT(A359,8)&amp;"*",Main_Tariff!A:A,0)),Raeburn_Main_Tariff[[#This Row],[PRODUCER]])</f>
        <v>Clos Louie</v>
      </c>
      <c r="C359" s="1178" t="s">
        <v>20447</v>
      </c>
      <c r="D359" s="1178" t="s">
        <v>897</v>
      </c>
      <c r="E359" s="1179">
        <v>2021</v>
      </c>
      <c r="F359" s="1282" t="s">
        <v>20220</v>
      </c>
      <c r="G359" s="1368">
        <v>37.5</v>
      </c>
      <c r="H359" s="1178" t="s">
        <v>20221</v>
      </c>
      <c r="I359" s="1178" t="s">
        <v>2423</v>
      </c>
      <c r="J359" s="1178" t="s">
        <v>662</v>
      </c>
      <c r="K359" s="1178" t="s">
        <v>20344</v>
      </c>
      <c r="L359" s="1178" t="s">
        <v>2407</v>
      </c>
      <c r="M359" s="1369"/>
      <c r="N359" s="1178" t="s">
        <v>20244</v>
      </c>
      <c r="O359" s="1178">
        <v>6</v>
      </c>
      <c r="P359" s="1178">
        <v>13</v>
      </c>
    </row>
    <row r="360" spans="1:16">
      <c r="A360" s="1178" t="s">
        <v>97</v>
      </c>
      <c r="B360" s="1371" t="str">
        <f>HYPERLINK(IFERROR("#Main_Tariff!A"&amp;MATCH(Raeburn_Main_Tariff[[#This Row],[Product Code]],Main_Tariff!I:I,0),"#Main_Tariff!A"&amp;MATCH("*"&amp;RIGHT(A360,8)&amp;"*",Main_Tariff!A:A,0)),Raeburn_Main_Tariff[[#This Row],[PRODUCER]])</f>
        <v>Clos Louie</v>
      </c>
      <c r="C360" s="1178" t="s">
        <v>20447</v>
      </c>
      <c r="D360" s="1178" t="s">
        <v>897</v>
      </c>
      <c r="E360" s="1179">
        <v>2020</v>
      </c>
      <c r="F360" s="1282" t="s">
        <v>20220</v>
      </c>
      <c r="G360" s="1368">
        <v>39</v>
      </c>
      <c r="H360" s="1178" t="s">
        <v>20221</v>
      </c>
      <c r="I360" s="1178" t="s">
        <v>2425</v>
      </c>
      <c r="J360" s="1178" t="s">
        <v>662</v>
      </c>
      <c r="K360" s="1178" t="s">
        <v>20344</v>
      </c>
      <c r="L360" s="1178" t="s">
        <v>2407</v>
      </c>
      <c r="M360" s="1369"/>
      <c r="N360" s="1178"/>
      <c r="O360" s="1178">
        <v>6</v>
      </c>
      <c r="P360" s="1178">
        <v>13</v>
      </c>
    </row>
    <row r="361" spans="1:16">
      <c r="A361" s="1178" t="s">
        <v>97</v>
      </c>
      <c r="B361" s="1371" t="str">
        <f>HYPERLINK(IFERROR("#Main_Tariff!A"&amp;MATCH(Raeburn_Main_Tariff[[#This Row],[Product Code]],Main_Tariff!I:I,0),"#Main_Tariff!A"&amp;MATCH("*"&amp;RIGHT(A361,8)&amp;"*",Main_Tariff!A:A,0)),Raeburn_Main_Tariff[[#This Row],[PRODUCER]])</f>
        <v>Clos Louie</v>
      </c>
      <c r="C361" s="1178" t="s">
        <v>20447</v>
      </c>
      <c r="D361" s="1178" t="s">
        <v>897</v>
      </c>
      <c r="E361" s="1179">
        <v>2018</v>
      </c>
      <c r="F361" s="1282" t="s">
        <v>20220</v>
      </c>
      <c r="G361" s="1368">
        <v>39</v>
      </c>
      <c r="H361" s="1178" t="s">
        <v>20221</v>
      </c>
      <c r="I361" s="1178" t="s">
        <v>2427</v>
      </c>
      <c r="J361" s="1178" t="s">
        <v>662</v>
      </c>
      <c r="K361" s="1178" t="s">
        <v>20344</v>
      </c>
      <c r="L361" s="1178" t="s">
        <v>2407</v>
      </c>
      <c r="M361" s="1369"/>
      <c r="N361" s="1178"/>
      <c r="O361" s="1178">
        <v>12</v>
      </c>
      <c r="P361" s="1178">
        <v>13</v>
      </c>
    </row>
    <row r="362" spans="1:16">
      <c r="A362" s="1178" t="s">
        <v>97</v>
      </c>
      <c r="B362" s="1371" t="str">
        <f>HYPERLINK(IFERROR("#Main_Tariff!A"&amp;MATCH(Raeburn_Main_Tariff[[#This Row],[Product Code]],Main_Tariff!I:I,0),"#Main_Tariff!A"&amp;MATCH("*"&amp;RIGHT(A362,8)&amp;"*",Main_Tariff!A:A,0)),Raeburn_Main_Tariff[[#This Row],[PRODUCER]])</f>
        <v>Clos Louie</v>
      </c>
      <c r="C362" s="1178" t="s">
        <v>20447</v>
      </c>
      <c r="D362" s="1178" t="s">
        <v>897</v>
      </c>
      <c r="E362" s="1179">
        <v>2014</v>
      </c>
      <c r="F362" s="1282" t="s">
        <v>20220</v>
      </c>
      <c r="G362" s="1368">
        <v>38</v>
      </c>
      <c r="H362" s="1178" t="s">
        <v>20224</v>
      </c>
      <c r="I362" s="1178" t="s">
        <v>2429</v>
      </c>
      <c r="J362" s="1178" t="s">
        <v>662</v>
      </c>
      <c r="K362" s="1178" t="s">
        <v>20344</v>
      </c>
      <c r="L362" s="1178" t="s">
        <v>2407</v>
      </c>
      <c r="M362" s="1369"/>
      <c r="N362" s="1178"/>
      <c r="O362" s="1178">
        <v>6</v>
      </c>
      <c r="P362" s="1178">
        <v>13</v>
      </c>
    </row>
    <row r="363" spans="1:16">
      <c r="A363" s="1178" t="s">
        <v>97</v>
      </c>
      <c r="B363" s="1371" t="str">
        <f>HYPERLINK(IFERROR("#Main_Tariff!A"&amp;MATCH(Raeburn_Main_Tariff[[#This Row],[Product Code]],Main_Tariff!I:I,0),"#Main_Tariff!A"&amp;MATCH("*"&amp;RIGHT(A363,8)&amp;"*",Main_Tariff!A:A,0)),Raeburn_Main_Tariff[[#This Row],[PRODUCER]])</f>
        <v>Clos Louie</v>
      </c>
      <c r="C363" s="1178" t="s">
        <v>20447</v>
      </c>
      <c r="D363" s="1178" t="s">
        <v>897</v>
      </c>
      <c r="E363" s="1179">
        <v>2013</v>
      </c>
      <c r="F363" s="1282" t="s">
        <v>20220</v>
      </c>
      <c r="G363" s="1368">
        <v>37</v>
      </c>
      <c r="H363" s="1178" t="s">
        <v>20221</v>
      </c>
      <c r="I363" s="1178" t="s">
        <v>2431</v>
      </c>
      <c r="J363" s="1178" t="s">
        <v>662</v>
      </c>
      <c r="K363" s="1178" t="s">
        <v>20344</v>
      </c>
      <c r="L363" s="1178" t="s">
        <v>2407</v>
      </c>
      <c r="M363" s="1369"/>
      <c r="N363" s="1178"/>
      <c r="O363" s="1178">
        <v>6</v>
      </c>
      <c r="P363" s="1178">
        <v>13</v>
      </c>
    </row>
    <row r="364" spans="1:16">
      <c r="A364" s="1178" t="s">
        <v>20448</v>
      </c>
      <c r="B364" s="1371" t="str">
        <f>HYPERLINK(IFERROR("#Main_Tariff!A"&amp;MATCH(Raeburn_Main_Tariff[[#This Row],[Product Code]],Main_Tariff!I:I,0),"#Main_Tariff!A"&amp;MATCH("*"&amp;RIGHT(A364,8)&amp;"*",Main_Tariff!A:A,0)),Raeburn_Main_Tariff[[#This Row],[PRODUCER]])</f>
        <v>Joanin Bécot</v>
      </c>
      <c r="C364" s="1178" t="s">
        <v>20449</v>
      </c>
      <c r="D364" s="1178" t="s">
        <v>897</v>
      </c>
      <c r="E364" s="1179">
        <v>2022</v>
      </c>
      <c r="F364" s="1282" t="s">
        <v>20220</v>
      </c>
      <c r="G364" s="1368" t="s">
        <v>20342</v>
      </c>
      <c r="H364" s="1178" t="s">
        <v>20343</v>
      </c>
      <c r="I364" s="1178" t="s">
        <v>2468</v>
      </c>
      <c r="J364" s="1178" t="s">
        <v>662</v>
      </c>
      <c r="K364" s="1178" t="s">
        <v>20344</v>
      </c>
      <c r="L364" s="1178" t="s">
        <v>2407</v>
      </c>
      <c r="M364" s="1369"/>
      <c r="N364" s="1178"/>
      <c r="O364" s="1178">
        <v>12</v>
      </c>
      <c r="P364" s="1178">
        <v>0</v>
      </c>
    </row>
    <row r="365" spans="1:16">
      <c r="A365" s="1178" t="s">
        <v>99</v>
      </c>
      <c r="B365" s="1371" t="str">
        <f>HYPERLINK(IFERROR("#Main_Tariff!A"&amp;MATCH(Raeburn_Main_Tariff[[#This Row],[Product Code]],Main_Tariff!I:I,0),"#Main_Tariff!A"&amp;MATCH("*"&amp;RIGHT(A365,8)&amp;"*",Main_Tariff!A:A,0)),Raeburn_Main_Tariff[[#This Row],[PRODUCER]])</f>
        <v>Thienpont Cousins</v>
      </c>
      <c r="C365" s="1178" t="s">
        <v>20450</v>
      </c>
      <c r="D365" s="1178" t="s">
        <v>1129</v>
      </c>
      <c r="E365" s="1179">
        <v>2019</v>
      </c>
      <c r="F365" s="1282" t="s">
        <v>20220</v>
      </c>
      <c r="G365" s="1368">
        <v>19.5</v>
      </c>
      <c r="H365" s="1178" t="s">
        <v>20221</v>
      </c>
      <c r="I365" s="1178" t="s">
        <v>1427</v>
      </c>
      <c r="J365" s="1178" t="s">
        <v>662</v>
      </c>
      <c r="K365" s="1178" t="s">
        <v>20344</v>
      </c>
      <c r="L365" s="1178" t="s">
        <v>2407</v>
      </c>
      <c r="M365" s="1369"/>
      <c r="N365" s="1178" t="s">
        <v>20244</v>
      </c>
      <c r="O365" s="1178">
        <v>6</v>
      </c>
      <c r="P365" s="1178">
        <v>13</v>
      </c>
    </row>
    <row r="366" spans="1:16">
      <c r="A366" s="1178" t="s">
        <v>100</v>
      </c>
      <c r="B366" s="1371" t="str">
        <f>HYPERLINK(IFERROR("#Main_Tariff!A"&amp;MATCH(Raeburn_Main_Tariff[[#This Row],[Product Code]],Main_Tariff!I:I,0),"#Main_Tariff!A"&amp;MATCH("*"&amp;RIGHT(A366,8)&amp;"*",Main_Tariff!A:A,0)),Raeburn_Main_Tariff[[#This Row],[PRODUCER]])</f>
        <v>L'Hêtre</v>
      </c>
      <c r="C366" s="1178" t="s">
        <v>20451</v>
      </c>
      <c r="D366" s="1178" t="s">
        <v>897</v>
      </c>
      <c r="E366" s="1179">
        <v>2022</v>
      </c>
      <c r="F366" s="1282" t="s">
        <v>20220</v>
      </c>
      <c r="G366" s="1368" t="s">
        <v>5258</v>
      </c>
      <c r="H366" s="1178" t="s">
        <v>20221</v>
      </c>
      <c r="I366" s="1178" t="s">
        <v>2488</v>
      </c>
      <c r="J366" s="1178" t="s">
        <v>662</v>
      </c>
      <c r="K366" s="1178" t="s">
        <v>20344</v>
      </c>
      <c r="L366" s="1178" t="s">
        <v>2407</v>
      </c>
      <c r="M366" s="1369"/>
      <c r="N366" s="1178" t="s">
        <v>20244</v>
      </c>
      <c r="O366" s="1178">
        <v>6</v>
      </c>
      <c r="P366" s="1178">
        <v>14.5</v>
      </c>
    </row>
    <row r="367" spans="1:16">
      <c r="A367" s="1178" t="s">
        <v>100</v>
      </c>
      <c r="B367" s="1371" t="str">
        <f>HYPERLINK(IFERROR("#Main_Tariff!A"&amp;MATCH(Raeburn_Main_Tariff[[#This Row],[Product Code]],Main_Tariff!I:I,0),"#Main_Tariff!A"&amp;MATCH("*"&amp;RIGHT(A367,8)&amp;"*",Main_Tariff!A:A,0)),Raeburn_Main_Tariff[[#This Row],[PRODUCER]])</f>
        <v>L'Hêtre</v>
      </c>
      <c r="C367" s="1178" t="s">
        <v>20451</v>
      </c>
      <c r="D367" s="1178" t="s">
        <v>897</v>
      </c>
      <c r="E367" s="1179">
        <v>2020</v>
      </c>
      <c r="F367" s="1282" t="s">
        <v>20220</v>
      </c>
      <c r="G367" s="1368">
        <v>19.25</v>
      </c>
      <c r="H367" s="1178" t="s">
        <v>20221</v>
      </c>
      <c r="I367" s="1178" t="s">
        <v>2489</v>
      </c>
      <c r="J367" s="1178" t="s">
        <v>662</v>
      </c>
      <c r="K367" s="1178" t="s">
        <v>20344</v>
      </c>
      <c r="L367" s="1178" t="s">
        <v>2407</v>
      </c>
      <c r="M367" s="1369"/>
      <c r="N367" s="1178" t="s">
        <v>20244</v>
      </c>
      <c r="O367" s="1178">
        <v>6</v>
      </c>
      <c r="P367" s="1178">
        <v>14.5</v>
      </c>
    </row>
    <row r="368" spans="1:16">
      <c r="A368" s="1178" t="s">
        <v>100</v>
      </c>
      <c r="B368" s="1371" t="str">
        <f>HYPERLINK(IFERROR("#Main_Tariff!A"&amp;MATCH(Raeburn_Main_Tariff[[#This Row],[Product Code]],Main_Tariff!I:I,0),"#Main_Tariff!A"&amp;MATCH("*"&amp;RIGHT(A368,8)&amp;"*",Main_Tariff!A:A,0)),Raeburn_Main_Tariff[[#This Row],[PRODUCER]])</f>
        <v>L'Hêtre</v>
      </c>
      <c r="C368" s="1178" t="s">
        <v>20451</v>
      </c>
      <c r="D368" s="1178" t="s">
        <v>897</v>
      </c>
      <c r="E368" s="1179">
        <v>2017</v>
      </c>
      <c r="F368" s="1282" t="s">
        <v>20220</v>
      </c>
      <c r="G368" s="1368">
        <v>18</v>
      </c>
      <c r="H368" s="1178" t="s">
        <v>20221</v>
      </c>
      <c r="I368" s="1178" t="s">
        <v>2491</v>
      </c>
      <c r="J368" s="1178" t="s">
        <v>662</v>
      </c>
      <c r="K368" s="1178" t="s">
        <v>20344</v>
      </c>
      <c r="L368" s="1178" t="s">
        <v>2407</v>
      </c>
      <c r="M368" s="1369"/>
      <c r="N368" s="1178" t="s">
        <v>20244</v>
      </c>
      <c r="O368" s="1178">
        <v>12</v>
      </c>
      <c r="P368" s="1178">
        <v>14.5</v>
      </c>
    </row>
    <row r="369" spans="1:16">
      <c r="A369" s="1178" t="s">
        <v>100</v>
      </c>
      <c r="B369" s="1371" t="str">
        <f>HYPERLINK(IFERROR("#Main_Tariff!A"&amp;MATCH(Raeburn_Main_Tariff[[#This Row],[Product Code]],Main_Tariff!I:I,0),"#Main_Tariff!A"&amp;MATCH("*"&amp;RIGHT(A369,8)&amp;"*",Main_Tariff!A:A,0)),Raeburn_Main_Tariff[[#This Row],[PRODUCER]])</f>
        <v>L'Hêtre</v>
      </c>
      <c r="C369" s="1178" t="s">
        <v>20451</v>
      </c>
      <c r="D369" s="1178" t="s">
        <v>897</v>
      </c>
      <c r="E369" s="1179">
        <v>2016</v>
      </c>
      <c r="F369" s="1282" t="s">
        <v>20220</v>
      </c>
      <c r="G369" s="1368">
        <v>18</v>
      </c>
      <c r="H369" s="1178" t="s">
        <v>20221</v>
      </c>
      <c r="I369" s="1178" t="s">
        <v>2493</v>
      </c>
      <c r="J369" s="1178" t="s">
        <v>662</v>
      </c>
      <c r="K369" s="1178" t="s">
        <v>20344</v>
      </c>
      <c r="L369" s="1178" t="s">
        <v>2407</v>
      </c>
      <c r="M369" s="1369"/>
      <c r="N369" s="1178" t="s">
        <v>20244</v>
      </c>
      <c r="O369" s="1178">
        <v>12</v>
      </c>
      <c r="P369" s="1178">
        <v>14.5</v>
      </c>
    </row>
    <row r="370" spans="1:16">
      <c r="A370" s="1178" t="s">
        <v>20452</v>
      </c>
      <c r="B370" s="1371" t="str">
        <f>HYPERLINK(IFERROR("#Main_Tariff!A"&amp;MATCH(Raeburn_Main_Tariff[[#This Row],[Product Code]],Main_Tariff!I:I,0),"#Main_Tariff!A"&amp;MATCH("*"&amp;RIGHT(A370,8)&amp;"*",Main_Tariff!A:A,0)),Raeburn_Main_Tariff[[#This Row],[PRODUCER]])</f>
        <v>Goubau</v>
      </c>
      <c r="C370" s="1178" t="s">
        <v>20453</v>
      </c>
      <c r="D370" s="1178" t="s">
        <v>897</v>
      </c>
      <c r="E370" s="1179">
        <v>2015</v>
      </c>
      <c r="F370" s="1282" t="s">
        <v>20220</v>
      </c>
      <c r="G370" s="1368">
        <v>17.75</v>
      </c>
      <c r="H370" s="1178" t="s">
        <v>20221</v>
      </c>
      <c r="I370" s="1178" t="s">
        <v>2495</v>
      </c>
      <c r="J370" s="1178" t="s">
        <v>662</v>
      </c>
      <c r="K370" s="1178" t="s">
        <v>20344</v>
      </c>
      <c r="L370" s="1178" t="s">
        <v>2407</v>
      </c>
      <c r="M370" s="1369"/>
      <c r="N370" s="1178" t="s">
        <v>20244</v>
      </c>
      <c r="O370" s="1178">
        <v>6</v>
      </c>
      <c r="P370" s="1178">
        <v>14</v>
      </c>
    </row>
    <row r="371" spans="1:16">
      <c r="A371" s="1178" t="s">
        <v>100</v>
      </c>
      <c r="B371" s="1371" t="str">
        <f>HYPERLINK(IFERROR("#Main_Tariff!A"&amp;MATCH(Raeburn_Main_Tariff[[#This Row],[Product Code]],Main_Tariff!I:I,0),"#Main_Tariff!A"&amp;MATCH("*"&amp;RIGHT(A371,8)&amp;"*",Main_Tariff!A:A,0)),Raeburn_Main_Tariff[[#This Row],[PRODUCER]])</f>
        <v>L'Hêtre</v>
      </c>
      <c r="C371" s="1178" t="s">
        <v>100</v>
      </c>
      <c r="D371" s="1178" t="s">
        <v>897</v>
      </c>
      <c r="E371" s="1179">
        <v>2022</v>
      </c>
      <c r="F371" s="1282" t="s">
        <v>20220</v>
      </c>
      <c r="G371" s="1368" t="s">
        <v>5258</v>
      </c>
      <c r="H371" s="1178" t="s">
        <v>20221</v>
      </c>
      <c r="I371" s="1178" t="s">
        <v>2499</v>
      </c>
      <c r="J371" s="1178" t="s">
        <v>662</v>
      </c>
      <c r="K371" s="1178" t="s">
        <v>20344</v>
      </c>
      <c r="L371" s="1178" t="s">
        <v>2407</v>
      </c>
      <c r="M371" s="1369"/>
      <c r="N371" s="1178" t="s">
        <v>20244</v>
      </c>
      <c r="O371" s="1178">
        <v>6</v>
      </c>
      <c r="P371" s="1178">
        <v>14.5</v>
      </c>
    </row>
    <row r="372" spans="1:16">
      <c r="A372" s="1178" t="s">
        <v>100</v>
      </c>
      <c r="B372" s="1371" t="str">
        <f>HYPERLINK(IFERROR("#Main_Tariff!A"&amp;MATCH(Raeburn_Main_Tariff[[#This Row],[Product Code]],Main_Tariff!I:I,0),"#Main_Tariff!A"&amp;MATCH("*"&amp;RIGHT(A372,8)&amp;"*",Main_Tariff!A:A,0)),Raeburn_Main_Tariff[[#This Row],[PRODUCER]])</f>
        <v>L'Hêtre</v>
      </c>
      <c r="C372" s="1178" t="s">
        <v>100</v>
      </c>
      <c r="D372" s="1178" t="s">
        <v>897</v>
      </c>
      <c r="E372" s="1179">
        <v>2021</v>
      </c>
      <c r="F372" s="1282" t="s">
        <v>20220</v>
      </c>
      <c r="G372" s="1368">
        <v>28</v>
      </c>
      <c r="H372" s="1178" t="s">
        <v>20221</v>
      </c>
      <c r="I372" s="1178" t="s">
        <v>2500</v>
      </c>
      <c r="J372" s="1178" t="s">
        <v>662</v>
      </c>
      <c r="K372" s="1178" t="s">
        <v>20344</v>
      </c>
      <c r="L372" s="1178" t="s">
        <v>2407</v>
      </c>
      <c r="M372" s="1369"/>
      <c r="N372" s="1178" t="s">
        <v>20244</v>
      </c>
      <c r="O372" s="1178">
        <v>6</v>
      </c>
      <c r="P372" s="1178">
        <v>13.5</v>
      </c>
    </row>
    <row r="373" spans="1:16">
      <c r="A373" s="1178" t="s">
        <v>100</v>
      </c>
      <c r="B373" s="1371" t="str">
        <f>HYPERLINK(IFERROR("#Main_Tariff!A"&amp;MATCH(Raeburn_Main_Tariff[[#This Row],[Product Code]],Main_Tariff!I:I,0),"#Main_Tariff!A"&amp;MATCH("*"&amp;RIGHT(A373,8)&amp;"*",Main_Tariff!A:A,0)),Raeburn_Main_Tariff[[#This Row],[PRODUCER]])</f>
        <v>L'Hêtre</v>
      </c>
      <c r="C373" s="1178" t="s">
        <v>100</v>
      </c>
      <c r="D373" s="1178" t="s">
        <v>897</v>
      </c>
      <c r="E373" s="1179">
        <v>2020</v>
      </c>
      <c r="F373" s="1282" t="s">
        <v>20220</v>
      </c>
      <c r="G373" s="1368">
        <v>29</v>
      </c>
      <c r="H373" s="1178" t="s">
        <v>20221</v>
      </c>
      <c r="I373" s="1178" t="s">
        <v>2502</v>
      </c>
      <c r="J373" s="1178" t="s">
        <v>662</v>
      </c>
      <c r="K373" s="1178" t="s">
        <v>20344</v>
      </c>
      <c r="L373" s="1178" t="s">
        <v>2407</v>
      </c>
      <c r="M373" s="1369"/>
      <c r="N373" s="1178" t="s">
        <v>20244</v>
      </c>
      <c r="O373" s="1178">
        <v>6</v>
      </c>
      <c r="P373" s="1178">
        <v>14.5</v>
      </c>
    </row>
    <row r="374" spans="1:16">
      <c r="A374" s="1178" t="s">
        <v>100</v>
      </c>
      <c r="B374" s="1371" t="str">
        <f>HYPERLINK(IFERROR("#Main_Tariff!A"&amp;MATCH(Raeburn_Main_Tariff[[#This Row],[Product Code]],Main_Tariff!I:I,0),"#Main_Tariff!A"&amp;MATCH("*"&amp;RIGHT(A374,8)&amp;"*",Main_Tariff!A:A,0)),Raeburn_Main_Tariff[[#This Row],[PRODUCER]])</f>
        <v>L'Hêtre</v>
      </c>
      <c r="C374" s="1178" t="s">
        <v>100</v>
      </c>
      <c r="D374" s="1178" t="s">
        <v>897</v>
      </c>
      <c r="E374" s="1179">
        <v>2019</v>
      </c>
      <c r="F374" s="1282" t="s">
        <v>20220</v>
      </c>
      <c r="G374" s="1368">
        <v>25</v>
      </c>
      <c r="H374" s="1178" t="s">
        <v>20221</v>
      </c>
      <c r="I374" s="1178" t="s">
        <v>2504</v>
      </c>
      <c r="J374" s="1178" t="s">
        <v>662</v>
      </c>
      <c r="K374" s="1178" t="s">
        <v>20344</v>
      </c>
      <c r="L374" s="1178" t="s">
        <v>2407</v>
      </c>
      <c r="M374" s="1369"/>
      <c r="N374" s="1178" t="s">
        <v>20244</v>
      </c>
      <c r="O374" s="1178">
        <v>6</v>
      </c>
      <c r="P374" s="1178">
        <v>14</v>
      </c>
    </row>
    <row r="375" spans="1:16">
      <c r="A375" s="1178" t="s">
        <v>100</v>
      </c>
      <c r="B375" s="1371" t="str">
        <f>HYPERLINK(IFERROR("#Main_Tariff!A"&amp;MATCH(Raeburn_Main_Tariff[[#This Row],[Product Code]],Main_Tariff!I:I,0),"#Main_Tariff!A"&amp;MATCH("*"&amp;RIGHT(A375,8)&amp;"*",Main_Tariff!A:A,0)),Raeburn_Main_Tariff[[#This Row],[PRODUCER]])</f>
        <v>L'Hêtre</v>
      </c>
      <c r="C375" s="1178" t="s">
        <v>100</v>
      </c>
      <c r="D375" s="1178" t="s">
        <v>897</v>
      </c>
      <c r="E375" s="1179">
        <v>2018</v>
      </c>
      <c r="F375" s="1282" t="s">
        <v>20220</v>
      </c>
      <c r="G375" s="1368">
        <v>25</v>
      </c>
      <c r="H375" s="1178" t="s">
        <v>20221</v>
      </c>
      <c r="I375" s="1178" t="s">
        <v>2506</v>
      </c>
      <c r="J375" s="1178" t="s">
        <v>662</v>
      </c>
      <c r="K375" s="1178" t="s">
        <v>20344</v>
      </c>
      <c r="L375" s="1178" t="s">
        <v>2407</v>
      </c>
      <c r="M375" s="1369"/>
      <c r="N375" s="1178" t="s">
        <v>20244</v>
      </c>
      <c r="O375" s="1178">
        <v>6</v>
      </c>
      <c r="P375" s="1178">
        <v>14.5</v>
      </c>
    </row>
    <row r="376" spans="1:16">
      <c r="A376" s="1178" t="s">
        <v>100</v>
      </c>
      <c r="B376" s="1371" t="str">
        <f>HYPERLINK(IFERROR("#Main_Tariff!A"&amp;MATCH(Raeburn_Main_Tariff[[#This Row],[Product Code]],Main_Tariff!I:I,0),"#Main_Tariff!A"&amp;MATCH("*"&amp;RIGHT(A376,8)&amp;"*",Main_Tariff!A:A,0)),Raeburn_Main_Tariff[[#This Row],[PRODUCER]])</f>
        <v>L'Hêtre</v>
      </c>
      <c r="C376" s="1178" t="s">
        <v>100</v>
      </c>
      <c r="D376" s="1178" t="s">
        <v>897</v>
      </c>
      <c r="E376" s="1179">
        <v>2017</v>
      </c>
      <c r="F376" s="1282" t="s">
        <v>20220</v>
      </c>
      <c r="G376" s="1368">
        <v>26.5</v>
      </c>
      <c r="H376" s="1178" t="s">
        <v>20221</v>
      </c>
      <c r="I376" s="1178" t="s">
        <v>2507</v>
      </c>
      <c r="J376" s="1178" t="s">
        <v>662</v>
      </c>
      <c r="K376" s="1178" t="s">
        <v>20344</v>
      </c>
      <c r="L376" s="1178" t="s">
        <v>2407</v>
      </c>
      <c r="M376" s="1369"/>
      <c r="N376" s="1178" t="s">
        <v>20244</v>
      </c>
      <c r="O376" s="1178">
        <v>6</v>
      </c>
      <c r="P376" s="1178">
        <v>14.5</v>
      </c>
    </row>
    <row r="377" spans="1:16">
      <c r="A377" s="1178" t="s">
        <v>100</v>
      </c>
      <c r="B377" s="1371" t="str">
        <f>HYPERLINK(IFERROR("#Main_Tariff!A"&amp;MATCH(Raeburn_Main_Tariff[[#This Row],[Product Code]],Main_Tariff!I:I,0),"#Main_Tariff!A"&amp;MATCH("*"&amp;RIGHT(A377,8)&amp;"*",Main_Tariff!A:A,0)),Raeburn_Main_Tariff[[#This Row],[PRODUCER]])</f>
        <v>L'Hêtre</v>
      </c>
      <c r="C377" s="1178" t="s">
        <v>100</v>
      </c>
      <c r="D377" s="1178" t="s">
        <v>897</v>
      </c>
      <c r="E377" s="1179">
        <v>2016</v>
      </c>
      <c r="F377" s="1282" t="s">
        <v>20220</v>
      </c>
      <c r="G377" s="1368">
        <v>24</v>
      </c>
      <c r="H377" s="1178" t="s">
        <v>20221</v>
      </c>
      <c r="I377" s="1178" t="s">
        <v>2509</v>
      </c>
      <c r="J377" s="1178" t="s">
        <v>662</v>
      </c>
      <c r="K377" s="1178" t="s">
        <v>20344</v>
      </c>
      <c r="L377" s="1178" t="s">
        <v>2407</v>
      </c>
      <c r="M377" s="1369"/>
      <c r="N377" s="1178" t="s">
        <v>20244</v>
      </c>
      <c r="O377" s="1178">
        <v>6</v>
      </c>
      <c r="P377" s="1178">
        <v>14.5</v>
      </c>
    </row>
    <row r="378" spans="1:16">
      <c r="A378" s="1178" t="s">
        <v>20452</v>
      </c>
      <c r="B378" s="1371" t="str">
        <f>HYPERLINK(IFERROR("#Main_Tariff!A"&amp;MATCH(Raeburn_Main_Tariff[[#This Row],[Product Code]],Main_Tariff!I:I,0),"#Main_Tariff!A"&amp;MATCH("*"&amp;RIGHT(A378,8)&amp;"*",Main_Tariff!A:A,0)),Raeburn_Main_Tariff[[#This Row],[PRODUCER]])</f>
        <v>Goubau</v>
      </c>
      <c r="C378" s="1178" t="s">
        <v>20454</v>
      </c>
      <c r="D378" s="1178" t="s">
        <v>897</v>
      </c>
      <c r="E378" s="1179">
        <v>2015</v>
      </c>
      <c r="F378" s="1282" t="s">
        <v>20220</v>
      </c>
      <c r="G378" s="1368">
        <v>20</v>
      </c>
      <c r="H378" s="1178" t="s">
        <v>20221</v>
      </c>
      <c r="I378" s="1178" t="s">
        <v>2510</v>
      </c>
      <c r="J378" s="1178" t="s">
        <v>662</v>
      </c>
      <c r="K378" s="1178" t="s">
        <v>20344</v>
      </c>
      <c r="L378" s="1178" t="s">
        <v>2407</v>
      </c>
      <c r="M378" s="1369"/>
      <c r="N378" s="1178" t="s">
        <v>20244</v>
      </c>
      <c r="O378" s="1178">
        <v>6</v>
      </c>
      <c r="P378" s="1178">
        <v>14.5</v>
      </c>
    </row>
    <row r="379" spans="1:16">
      <c r="A379" s="1178" t="s">
        <v>100</v>
      </c>
      <c r="B379" s="1371" t="str">
        <f>HYPERLINK(IFERROR("#Main_Tariff!A"&amp;MATCH(Raeburn_Main_Tariff[[#This Row],[Product Code]],Main_Tariff!I:I,0),"#Main_Tariff!A"&amp;MATCH("*"&amp;RIGHT(A379,8)&amp;"*",Main_Tariff!A:A,0)),Raeburn_Main_Tariff[[#This Row],[PRODUCER]])</f>
        <v>L'Hêtre</v>
      </c>
      <c r="C379" s="1178" t="s">
        <v>20455</v>
      </c>
      <c r="D379" s="1178" t="s">
        <v>897</v>
      </c>
      <c r="E379" s="1179">
        <v>2017</v>
      </c>
      <c r="F379" s="1282" t="s">
        <v>20240</v>
      </c>
      <c r="G379" s="1368">
        <v>37</v>
      </c>
      <c r="H379" s="1178" t="s">
        <v>20224</v>
      </c>
      <c r="I379" s="1178" t="s">
        <v>2512</v>
      </c>
      <c r="J379" s="1178" t="s">
        <v>662</v>
      </c>
      <c r="K379" s="1178" t="s">
        <v>20344</v>
      </c>
      <c r="L379" s="1178" t="s">
        <v>2407</v>
      </c>
      <c r="M379" s="1369"/>
      <c r="N379" s="1178" t="s">
        <v>20244</v>
      </c>
      <c r="O379" s="1178">
        <v>6</v>
      </c>
      <c r="P379" s="1178">
        <v>14.5</v>
      </c>
    </row>
    <row r="380" spans="1:16">
      <c r="A380" s="1178" t="s">
        <v>100</v>
      </c>
      <c r="B380" s="1371" t="str">
        <f>HYPERLINK(IFERROR("#Main_Tariff!A"&amp;MATCH(Raeburn_Main_Tariff[[#This Row],[Product Code]],Main_Tariff!I:I,0),"#Main_Tariff!A"&amp;MATCH("*"&amp;RIGHT(A380,8)&amp;"*",Main_Tariff!A:A,0)),Raeburn_Main_Tariff[[#This Row],[PRODUCER]])</f>
        <v>L'Hêtre</v>
      </c>
      <c r="C380" s="1178" t="s">
        <v>20455</v>
      </c>
      <c r="D380" s="1178" t="s">
        <v>897</v>
      </c>
      <c r="E380" s="1179">
        <v>2016</v>
      </c>
      <c r="F380" s="1282" t="s">
        <v>20240</v>
      </c>
      <c r="G380" s="1368">
        <v>36</v>
      </c>
      <c r="H380" s="1178" t="s">
        <v>20221</v>
      </c>
      <c r="I380" s="1178" t="s">
        <v>2514</v>
      </c>
      <c r="J380" s="1178" t="s">
        <v>662</v>
      </c>
      <c r="K380" s="1178" t="s">
        <v>20344</v>
      </c>
      <c r="L380" s="1178" t="s">
        <v>2407</v>
      </c>
      <c r="M380" s="1369"/>
      <c r="N380" s="1178" t="s">
        <v>20244</v>
      </c>
      <c r="O380" s="1178">
        <v>6</v>
      </c>
      <c r="P380" s="1178">
        <v>14.5</v>
      </c>
    </row>
    <row r="381" spans="1:16">
      <c r="A381" s="1178" t="s">
        <v>20452</v>
      </c>
      <c r="B381" s="1371" t="str">
        <f>HYPERLINK(IFERROR("#Main_Tariff!A"&amp;MATCH(Raeburn_Main_Tariff[[#This Row],[Product Code]],Main_Tariff!I:I,0),"#Main_Tariff!A"&amp;MATCH("*"&amp;RIGHT(A381,8)&amp;"*",Main_Tariff!A:A,0)),Raeburn_Main_Tariff[[#This Row],[PRODUCER]])</f>
        <v>Goubau</v>
      </c>
      <c r="C381" s="1178" t="s">
        <v>20456</v>
      </c>
      <c r="D381" s="1178" t="s">
        <v>897</v>
      </c>
      <c r="E381" s="1179">
        <v>2015</v>
      </c>
      <c r="F381" s="1282" t="s">
        <v>20240</v>
      </c>
      <c r="G381" s="1368">
        <v>36.25</v>
      </c>
      <c r="H381" s="1178" t="s">
        <v>20224</v>
      </c>
      <c r="I381" s="1178" t="s">
        <v>2515</v>
      </c>
      <c r="J381" s="1178" t="s">
        <v>662</v>
      </c>
      <c r="K381" s="1178" t="s">
        <v>20344</v>
      </c>
      <c r="L381" s="1178" t="s">
        <v>2407</v>
      </c>
      <c r="M381" s="1369"/>
      <c r="N381" s="1178" t="s">
        <v>20244</v>
      </c>
      <c r="O381" s="1178">
        <v>6</v>
      </c>
      <c r="P381" s="1178">
        <v>14</v>
      </c>
    </row>
    <row r="382" spans="1:16">
      <c r="A382" s="1178" t="s">
        <v>100</v>
      </c>
      <c r="B382" s="1371" t="str">
        <f>HYPERLINK(IFERROR("#Main_Tariff!A"&amp;MATCH(Raeburn_Main_Tariff[[#This Row],[Product Code]],Main_Tariff!I:I,0),"#Main_Tariff!A"&amp;MATCH("*"&amp;RIGHT(A382,8)&amp;"*",Main_Tariff!A:A,0)),Raeburn_Main_Tariff[[#This Row],[PRODUCER]])</f>
        <v>L'Hêtre</v>
      </c>
      <c r="C382" s="1178" t="s">
        <v>20457</v>
      </c>
      <c r="D382" s="1178" t="s">
        <v>897</v>
      </c>
      <c r="E382" s="1179">
        <v>2019</v>
      </c>
      <c r="F382" s="1282" t="s">
        <v>20240</v>
      </c>
      <c r="G382" s="1368">
        <v>51.25</v>
      </c>
      <c r="H382" s="1178" t="s">
        <v>20221</v>
      </c>
      <c r="I382" s="1178" t="s">
        <v>2516</v>
      </c>
      <c r="J382" s="1178" t="s">
        <v>662</v>
      </c>
      <c r="K382" s="1178" t="s">
        <v>20344</v>
      </c>
      <c r="L382" s="1178" t="s">
        <v>2407</v>
      </c>
      <c r="M382" s="1369"/>
      <c r="N382" s="1178" t="s">
        <v>20244</v>
      </c>
      <c r="O382" s="1178">
        <v>6</v>
      </c>
      <c r="P382" s="1178">
        <v>13.5</v>
      </c>
    </row>
    <row r="383" spans="1:16">
      <c r="A383" s="1178" t="s">
        <v>101</v>
      </c>
      <c r="B383" s="1371" t="str">
        <f>HYPERLINK(IFERROR("#Main_Tariff!A"&amp;MATCH(Raeburn_Main_Tariff[[#This Row],[Product Code]],Main_Tariff!I:I,0),"#Main_Tariff!A"&amp;MATCH("*"&amp;RIGHT(A383,8)&amp;"*",Main_Tariff!A:A,0)),Raeburn_Main_Tariff[[#This Row],[PRODUCER]])</f>
        <v>Montlandrie</v>
      </c>
      <c r="C383" s="1178" t="s">
        <v>20458</v>
      </c>
      <c r="D383" s="1178" t="s">
        <v>897</v>
      </c>
      <c r="E383" s="1179">
        <v>2022</v>
      </c>
      <c r="F383" s="1282" t="s">
        <v>20220</v>
      </c>
      <c r="G383" s="1368" t="s">
        <v>20342</v>
      </c>
      <c r="H383" s="1178" t="s">
        <v>20343</v>
      </c>
      <c r="I383" s="1178" t="s">
        <v>2519</v>
      </c>
      <c r="J383" s="1178" t="s">
        <v>662</v>
      </c>
      <c r="K383" s="1178" t="s">
        <v>20344</v>
      </c>
      <c r="L383" s="1178" t="s">
        <v>2407</v>
      </c>
      <c r="M383" s="1369"/>
      <c r="N383" s="1178"/>
      <c r="O383" s="1178">
        <v>6</v>
      </c>
      <c r="P383" s="1178">
        <v>0</v>
      </c>
    </row>
    <row r="384" spans="1:16">
      <c r="A384" s="1178" t="s">
        <v>101</v>
      </c>
      <c r="B384" s="1371" t="str">
        <f>HYPERLINK(IFERROR("#Main_Tariff!A"&amp;MATCH(Raeburn_Main_Tariff[[#This Row],[Product Code]],Main_Tariff!I:I,0),"#Main_Tariff!A"&amp;MATCH("*"&amp;RIGHT(A384,8)&amp;"*",Main_Tariff!A:A,0)),Raeburn_Main_Tariff[[#This Row],[PRODUCER]])</f>
        <v>Montlandrie</v>
      </c>
      <c r="C384" s="1178" t="s">
        <v>20458</v>
      </c>
      <c r="D384" s="1178" t="s">
        <v>897</v>
      </c>
      <c r="E384" s="1179">
        <v>2020</v>
      </c>
      <c r="F384" s="1282" t="s">
        <v>20220</v>
      </c>
      <c r="G384" s="1368">
        <v>25.5</v>
      </c>
      <c r="H384" s="1178" t="s">
        <v>20221</v>
      </c>
      <c r="I384" s="1178" t="s">
        <v>2521</v>
      </c>
      <c r="J384" s="1178" t="s">
        <v>662</v>
      </c>
      <c r="K384" s="1178" t="s">
        <v>20344</v>
      </c>
      <c r="L384" s="1178" t="s">
        <v>2407</v>
      </c>
      <c r="M384" s="1369"/>
      <c r="N384" s="1178"/>
      <c r="O384" s="1178">
        <v>6</v>
      </c>
      <c r="P384" s="1178">
        <v>14.5</v>
      </c>
    </row>
    <row r="385" spans="1:16">
      <c r="A385" s="1178" t="s">
        <v>101</v>
      </c>
      <c r="B385" s="1371" t="str">
        <f>HYPERLINK(IFERROR("#Main_Tariff!A"&amp;MATCH(Raeburn_Main_Tariff[[#This Row],[Product Code]],Main_Tariff!I:I,0),"#Main_Tariff!A"&amp;MATCH("*"&amp;RIGHT(A385,8)&amp;"*",Main_Tariff!A:A,0)),Raeburn_Main_Tariff[[#This Row],[PRODUCER]])</f>
        <v>Montlandrie</v>
      </c>
      <c r="C385" s="1178" t="s">
        <v>20458</v>
      </c>
      <c r="D385" s="1178" t="s">
        <v>897</v>
      </c>
      <c r="E385" s="1179">
        <v>2019</v>
      </c>
      <c r="F385" s="1282" t="s">
        <v>20220</v>
      </c>
      <c r="G385" s="1368">
        <v>23</v>
      </c>
      <c r="H385" s="1178" t="s">
        <v>20221</v>
      </c>
      <c r="I385" s="1178" t="s">
        <v>2523</v>
      </c>
      <c r="J385" s="1178" t="s">
        <v>662</v>
      </c>
      <c r="K385" s="1178" t="s">
        <v>20344</v>
      </c>
      <c r="L385" s="1178" t="s">
        <v>2407</v>
      </c>
      <c r="M385" s="1369"/>
      <c r="N385" s="1178"/>
      <c r="O385" s="1178">
        <v>6</v>
      </c>
      <c r="P385" s="1178">
        <v>14.5</v>
      </c>
    </row>
    <row r="386" spans="1:16">
      <c r="A386" s="1178" t="s">
        <v>101</v>
      </c>
      <c r="B386" s="1371" t="str">
        <f>HYPERLINK(IFERROR("#Main_Tariff!A"&amp;MATCH(Raeburn_Main_Tariff[[#This Row],[Product Code]],Main_Tariff!I:I,0),"#Main_Tariff!A"&amp;MATCH("*"&amp;RIGHT(A386,8)&amp;"*",Main_Tariff!A:A,0)),Raeburn_Main_Tariff[[#This Row],[PRODUCER]])</f>
        <v>Montlandrie</v>
      </c>
      <c r="C386" s="1178" t="s">
        <v>20458</v>
      </c>
      <c r="D386" s="1178" t="s">
        <v>897</v>
      </c>
      <c r="E386" s="1179">
        <v>2012</v>
      </c>
      <c r="F386" s="1282" t="s">
        <v>20220</v>
      </c>
      <c r="G386" s="1368">
        <v>25</v>
      </c>
      <c r="H386" s="1178" t="s">
        <v>20221</v>
      </c>
      <c r="I386" s="1178" t="s">
        <v>2525</v>
      </c>
      <c r="J386" s="1178" t="s">
        <v>662</v>
      </c>
      <c r="K386" s="1178" t="s">
        <v>20344</v>
      </c>
      <c r="L386" s="1178" t="s">
        <v>2407</v>
      </c>
      <c r="M386" s="1369"/>
      <c r="N386" s="1178"/>
      <c r="O386" s="1178">
        <v>6</v>
      </c>
      <c r="P386" s="1178">
        <v>14</v>
      </c>
    </row>
    <row r="387" spans="1:16">
      <c r="A387" s="1178" t="s">
        <v>101</v>
      </c>
      <c r="B387" s="1371" t="str">
        <f>HYPERLINK(IFERROR("#Main_Tariff!A"&amp;MATCH(Raeburn_Main_Tariff[[#This Row],[Product Code]],Main_Tariff!I:I,0),"#Main_Tariff!A"&amp;MATCH("*"&amp;RIGHT(A387,8)&amp;"*",Main_Tariff!A:A,0)),Raeburn_Main_Tariff[[#This Row],[PRODUCER]])</f>
        <v>Montlandrie</v>
      </c>
      <c r="C387" s="1178" t="s">
        <v>20458</v>
      </c>
      <c r="D387" s="1178" t="s">
        <v>897</v>
      </c>
      <c r="E387" s="1179">
        <v>2011</v>
      </c>
      <c r="F387" s="1282" t="s">
        <v>20220</v>
      </c>
      <c r="G387" s="1368">
        <v>23</v>
      </c>
      <c r="H387" s="1178" t="s">
        <v>20277</v>
      </c>
      <c r="I387" s="1178" t="s">
        <v>2526</v>
      </c>
      <c r="J387" s="1178" t="s">
        <v>662</v>
      </c>
      <c r="K387" s="1178" t="s">
        <v>20344</v>
      </c>
      <c r="L387" s="1178" t="s">
        <v>2407</v>
      </c>
      <c r="M387" s="1369"/>
      <c r="N387" s="1178"/>
      <c r="O387" s="1178">
        <v>6</v>
      </c>
      <c r="P387" s="1178">
        <v>14</v>
      </c>
    </row>
    <row r="388" spans="1:16">
      <c r="A388" s="1178" t="s">
        <v>102</v>
      </c>
      <c r="B388" s="1371" t="str">
        <f>HYPERLINK(IFERROR("#Main_Tariff!A"&amp;MATCH(Raeburn_Main_Tariff[[#This Row],[Product Code]],Main_Tariff!I:I,0),"#Main_Tariff!A"&amp;MATCH("*"&amp;RIGHT(A388,8)&amp;"*",Main_Tariff!A:A,0)),Raeburn_Main_Tariff[[#This Row],[PRODUCER]])</f>
        <v>Robin</v>
      </c>
      <c r="C388" s="1178" t="s">
        <v>20459</v>
      </c>
      <c r="D388" s="1178" t="s">
        <v>897</v>
      </c>
      <c r="E388" s="1179">
        <v>2020</v>
      </c>
      <c r="F388" s="1282" t="s">
        <v>20220</v>
      </c>
      <c r="G388" s="1368">
        <v>18</v>
      </c>
      <c r="H388" s="1178" t="s">
        <v>20221</v>
      </c>
      <c r="I388" s="1178" t="s">
        <v>2530</v>
      </c>
      <c r="J388" s="1178" t="s">
        <v>662</v>
      </c>
      <c r="K388" s="1178" t="s">
        <v>20344</v>
      </c>
      <c r="L388" s="1178" t="s">
        <v>2407</v>
      </c>
      <c r="M388" s="1369"/>
      <c r="N388" s="1178"/>
      <c r="O388" s="1178">
        <v>6</v>
      </c>
      <c r="P388" s="1178">
        <v>13</v>
      </c>
    </row>
    <row r="389" spans="1:16">
      <c r="A389" s="1178" t="s">
        <v>102</v>
      </c>
      <c r="B389" s="1371" t="str">
        <f>HYPERLINK(IFERROR("#Main_Tariff!A"&amp;MATCH(Raeburn_Main_Tariff[[#This Row],[Product Code]],Main_Tariff!I:I,0),"#Main_Tariff!A"&amp;MATCH("*"&amp;RIGHT(A389,8)&amp;"*",Main_Tariff!A:A,0)),Raeburn_Main_Tariff[[#This Row],[PRODUCER]])</f>
        <v>Robin</v>
      </c>
      <c r="C389" s="1178" t="s">
        <v>20459</v>
      </c>
      <c r="D389" s="1178" t="s">
        <v>897</v>
      </c>
      <c r="E389" s="1179">
        <v>2019</v>
      </c>
      <c r="F389" s="1282" t="s">
        <v>20220</v>
      </c>
      <c r="G389" s="1368">
        <v>17.75</v>
      </c>
      <c r="H389" s="1178" t="s">
        <v>20224</v>
      </c>
      <c r="I389" s="1178" t="s">
        <v>2531</v>
      </c>
      <c r="J389" s="1178" t="s">
        <v>662</v>
      </c>
      <c r="K389" s="1178" t="s">
        <v>20344</v>
      </c>
      <c r="L389" s="1178" t="s">
        <v>2407</v>
      </c>
      <c r="M389" s="1369"/>
      <c r="N389" s="1178"/>
      <c r="O389" s="1178">
        <v>6</v>
      </c>
      <c r="P389" s="1178">
        <v>13</v>
      </c>
    </row>
    <row r="390" spans="1:16">
      <c r="A390" s="1178" t="s">
        <v>20460</v>
      </c>
      <c r="B390" s="1371" t="str">
        <f>HYPERLINK(IFERROR("#Main_Tariff!A"&amp;MATCH(Raeburn_Main_Tariff[[#This Row],[Product Code]],Main_Tariff!I:I,0),"#Main_Tariff!A"&amp;MATCH("*"&amp;RIGHT(A390,8)&amp;"*",Main_Tariff!A:A,0)),Raeburn_Main_Tariff[[#This Row],[PRODUCER]])</f>
        <v>Valrose</v>
      </c>
      <c r="C390" s="1178" t="s">
        <v>20461</v>
      </c>
      <c r="D390" s="1178" t="s">
        <v>1129</v>
      </c>
      <c r="E390" s="1179">
        <v>2018</v>
      </c>
      <c r="F390" s="1282" t="s">
        <v>20220</v>
      </c>
      <c r="G390" s="1368">
        <v>12</v>
      </c>
      <c r="H390" s="1178" t="s">
        <v>20221</v>
      </c>
      <c r="I390" s="1178" t="s">
        <v>1425</v>
      </c>
      <c r="J390" s="1178" t="s">
        <v>662</v>
      </c>
      <c r="K390" s="1178" t="s">
        <v>20344</v>
      </c>
      <c r="L390" s="1178" t="s">
        <v>2407</v>
      </c>
      <c r="M390" s="1369"/>
      <c r="N390" s="1178" t="s">
        <v>20244</v>
      </c>
      <c r="O390" s="1178">
        <v>12</v>
      </c>
      <c r="P390" s="1178">
        <v>13.5</v>
      </c>
    </row>
    <row r="391" spans="1:16">
      <c r="A391" s="1178" t="s">
        <v>20460</v>
      </c>
      <c r="B391" s="1371" t="str">
        <f>HYPERLINK(IFERROR("#Main_Tariff!A"&amp;MATCH(Raeburn_Main_Tariff[[#This Row],[Product Code]],Main_Tariff!I:I,0),"#Main_Tariff!A"&amp;MATCH("*"&amp;RIGHT(A391,8)&amp;"*",Main_Tariff!A:A,0)),Raeburn_Main_Tariff[[#This Row],[PRODUCER]])</f>
        <v>Valrose</v>
      </c>
      <c r="C391" s="1178" t="s">
        <v>20462</v>
      </c>
      <c r="D391" s="1178" t="s">
        <v>1129</v>
      </c>
      <c r="E391" s="1179">
        <v>2010</v>
      </c>
      <c r="F391" s="1282" t="s">
        <v>20220</v>
      </c>
      <c r="G391" s="1368">
        <v>24.5</v>
      </c>
      <c r="H391" s="1178" t="s">
        <v>20277</v>
      </c>
      <c r="I391" s="1178" t="s">
        <v>2552</v>
      </c>
      <c r="J391" s="1178" t="s">
        <v>662</v>
      </c>
      <c r="K391" s="1178" t="s">
        <v>20344</v>
      </c>
      <c r="L391" s="1178" t="s">
        <v>2407</v>
      </c>
      <c r="M391" s="1369"/>
      <c r="N391" s="1178"/>
      <c r="O391" s="1178">
        <v>6</v>
      </c>
      <c r="P391" s="1178">
        <v>13.5</v>
      </c>
    </row>
    <row r="392" spans="1:16">
      <c r="A392" s="1178" t="s">
        <v>20460</v>
      </c>
      <c r="B392" s="1371" t="str">
        <f>HYPERLINK(IFERROR("#Main_Tariff!A"&amp;MATCH(Raeburn_Main_Tariff[[#This Row],[Product Code]],Main_Tariff!I:I,0),"#Main_Tariff!A"&amp;MATCH("*"&amp;RIGHT(A392,8)&amp;"*",Main_Tariff!A:A,0)),Raeburn_Main_Tariff[[#This Row],[PRODUCER]])</f>
        <v>Valrose</v>
      </c>
      <c r="C392" s="1178" t="s">
        <v>20463</v>
      </c>
      <c r="D392" s="1178" t="s">
        <v>897</v>
      </c>
      <c r="E392" s="1179">
        <v>2015</v>
      </c>
      <c r="F392" s="1282" t="s">
        <v>20220</v>
      </c>
      <c r="G392" s="1368">
        <v>15</v>
      </c>
      <c r="H392" s="1178" t="s">
        <v>20277</v>
      </c>
      <c r="I392" s="1178" t="s">
        <v>2555</v>
      </c>
      <c r="J392" s="1178" t="s">
        <v>662</v>
      </c>
      <c r="K392" s="1178" t="s">
        <v>20344</v>
      </c>
      <c r="L392" s="1178" t="s">
        <v>2407</v>
      </c>
      <c r="M392" s="1369"/>
      <c r="N392" s="1178" t="s">
        <v>20244</v>
      </c>
      <c r="O392" s="1178">
        <v>12</v>
      </c>
      <c r="P392" s="1178">
        <v>12.5</v>
      </c>
    </row>
    <row r="393" spans="1:16">
      <c r="A393" s="1178" t="s">
        <v>20460</v>
      </c>
      <c r="B393" s="1371" t="str">
        <f>HYPERLINK(IFERROR("#Main_Tariff!A"&amp;MATCH(Raeburn_Main_Tariff[[#This Row],[Product Code]],Main_Tariff!I:I,0),"#Main_Tariff!A"&amp;MATCH("*"&amp;RIGHT(A393,8)&amp;"*",Main_Tariff!A:A,0)),Raeburn_Main_Tariff[[#This Row],[PRODUCER]])</f>
        <v>Valrose</v>
      </c>
      <c r="C393" s="1178" t="s">
        <v>20463</v>
      </c>
      <c r="D393" s="1178" t="s">
        <v>897</v>
      </c>
      <c r="E393" s="1179">
        <v>2014</v>
      </c>
      <c r="F393" s="1282" t="s">
        <v>20220</v>
      </c>
      <c r="G393" s="1368">
        <v>15</v>
      </c>
      <c r="H393" s="1178" t="s">
        <v>20277</v>
      </c>
      <c r="I393" s="1178" t="s">
        <v>2557</v>
      </c>
      <c r="J393" s="1178" t="s">
        <v>662</v>
      </c>
      <c r="K393" s="1178" t="s">
        <v>20344</v>
      </c>
      <c r="L393" s="1178" t="s">
        <v>2407</v>
      </c>
      <c r="M393" s="1369"/>
      <c r="N393" s="1178" t="s">
        <v>20244</v>
      </c>
      <c r="O393" s="1178">
        <v>12</v>
      </c>
      <c r="P393" s="1178">
        <v>12.5</v>
      </c>
    </row>
    <row r="394" spans="1:16">
      <c r="A394" s="1178" t="s">
        <v>106</v>
      </c>
      <c r="B394" s="1371" t="str">
        <f>HYPERLINK(IFERROR("#Main_Tariff!A"&amp;MATCH(Raeburn_Main_Tariff[[#This Row],[Product Code]],Main_Tariff!I:I,0),"#Main_Tariff!A"&amp;MATCH("*"&amp;RIGHT(A394,8)&amp;"*",Main_Tariff!A:A,0)),Raeburn_Main_Tariff[[#This Row],[PRODUCER]])</f>
        <v>La Gontrie</v>
      </c>
      <c r="C394" s="1178" t="s">
        <v>20464</v>
      </c>
      <c r="D394" s="1178" t="s">
        <v>1129</v>
      </c>
      <c r="E394" s="1179">
        <v>2021</v>
      </c>
      <c r="F394" s="1282" t="s">
        <v>20220</v>
      </c>
      <c r="G394" s="1368">
        <v>12.25</v>
      </c>
      <c r="H394" s="1178" t="s">
        <v>20221</v>
      </c>
      <c r="I394" s="1178" t="s">
        <v>2568</v>
      </c>
      <c r="J394" s="1178" t="s">
        <v>662</v>
      </c>
      <c r="K394" s="1178" t="s">
        <v>20344</v>
      </c>
      <c r="L394" s="1178" t="s">
        <v>105</v>
      </c>
      <c r="M394" s="1369"/>
      <c r="N394" s="1178"/>
      <c r="O394" s="1178">
        <v>6</v>
      </c>
      <c r="P394" s="1178">
        <v>13.5</v>
      </c>
    </row>
    <row r="395" spans="1:16">
      <c r="A395" s="1178" t="s">
        <v>106</v>
      </c>
      <c r="B395" s="1371" t="str">
        <f>HYPERLINK(IFERROR("#Main_Tariff!A"&amp;MATCH(Raeburn_Main_Tariff[[#This Row],[Product Code]],Main_Tariff!I:I,0),"#Main_Tariff!A"&amp;MATCH("*"&amp;RIGHT(A395,8)&amp;"*",Main_Tariff!A:A,0)),Raeburn_Main_Tariff[[#This Row],[PRODUCER]])</f>
        <v>La Gontrie</v>
      </c>
      <c r="C395" s="1178" t="s">
        <v>20464</v>
      </c>
      <c r="D395" s="1178" t="s">
        <v>1129</v>
      </c>
      <c r="E395" s="1179">
        <v>2018</v>
      </c>
      <c r="F395" s="1282" t="s">
        <v>20220</v>
      </c>
      <c r="G395" s="1368">
        <v>11.5</v>
      </c>
      <c r="H395" s="1178" t="s">
        <v>20465</v>
      </c>
      <c r="I395" s="1178" t="s">
        <v>1423</v>
      </c>
      <c r="J395" s="1178" t="s">
        <v>662</v>
      </c>
      <c r="K395" s="1178" t="s">
        <v>20344</v>
      </c>
      <c r="L395" s="1178" t="s">
        <v>105</v>
      </c>
      <c r="M395" s="1369"/>
      <c r="N395" s="1178"/>
      <c r="O395" s="1178">
        <v>6</v>
      </c>
      <c r="P395" s="1178">
        <v>12.5</v>
      </c>
    </row>
    <row r="396" spans="1:16">
      <c r="A396" s="1178" t="s">
        <v>106</v>
      </c>
      <c r="B396" s="1371" t="str">
        <f>HYPERLINK(IFERROR("#Main_Tariff!A"&amp;MATCH(Raeburn_Main_Tariff[[#This Row],[Product Code]],Main_Tariff!I:I,0),"#Main_Tariff!A"&amp;MATCH("*"&amp;RIGHT(A396,8)&amp;"*",Main_Tariff!A:A,0)),Raeburn_Main_Tariff[[#This Row],[PRODUCER]])</f>
        <v>La Gontrie</v>
      </c>
      <c r="C396" s="1178" t="s">
        <v>20466</v>
      </c>
      <c r="D396" s="1178" t="s">
        <v>2573</v>
      </c>
      <c r="E396" s="1179">
        <v>2021</v>
      </c>
      <c r="F396" s="1282" t="s">
        <v>20220</v>
      </c>
      <c r="G396" s="1368">
        <v>12.25</v>
      </c>
      <c r="H396" s="1178" t="s">
        <v>20277</v>
      </c>
      <c r="I396" s="1178" t="s">
        <v>2574</v>
      </c>
      <c r="J396" s="1178" t="s">
        <v>662</v>
      </c>
      <c r="K396" s="1178" t="s">
        <v>20344</v>
      </c>
      <c r="L396" s="1178" t="s">
        <v>105</v>
      </c>
      <c r="M396" s="1369"/>
      <c r="N396" s="1178"/>
      <c r="O396" s="1178">
        <v>6</v>
      </c>
      <c r="P396" s="1178">
        <v>12.5</v>
      </c>
    </row>
    <row r="397" spans="1:16">
      <c r="A397" s="1178" t="s">
        <v>106</v>
      </c>
      <c r="B397" s="1371" t="str">
        <f>HYPERLINK(IFERROR("#Main_Tariff!A"&amp;MATCH(Raeburn_Main_Tariff[[#This Row],[Product Code]],Main_Tariff!I:I,0),"#Main_Tariff!A"&amp;MATCH("*"&amp;RIGHT(A397,8)&amp;"*",Main_Tariff!A:A,0)),Raeburn_Main_Tariff[[#This Row],[PRODUCER]])</f>
        <v>La Gontrie</v>
      </c>
      <c r="C397" s="1178" t="s">
        <v>20466</v>
      </c>
      <c r="D397" s="1178" t="s">
        <v>2573</v>
      </c>
      <c r="E397" s="1179">
        <v>2013</v>
      </c>
      <c r="F397" s="1282" t="s">
        <v>20220</v>
      </c>
      <c r="G397" s="1368">
        <v>11.5</v>
      </c>
      <c r="H397" s="1178" t="s">
        <v>20465</v>
      </c>
      <c r="I397" s="1178" t="s">
        <v>2576</v>
      </c>
      <c r="J397" s="1178" t="s">
        <v>662</v>
      </c>
      <c r="K397" s="1178" t="s">
        <v>20344</v>
      </c>
      <c r="L397" s="1178" t="s">
        <v>105</v>
      </c>
      <c r="M397" s="1369"/>
      <c r="N397" s="1178"/>
      <c r="O397" s="1178">
        <v>6</v>
      </c>
      <c r="P397" s="1178">
        <v>12.5</v>
      </c>
    </row>
    <row r="398" spans="1:16">
      <c r="A398" s="1178" t="s">
        <v>106</v>
      </c>
      <c r="B398" s="1371" t="str">
        <f>HYPERLINK(IFERROR("#Main_Tariff!A"&amp;MATCH(Raeburn_Main_Tariff[[#This Row],[Product Code]],Main_Tariff!I:I,0),"#Main_Tariff!A"&amp;MATCH("*"&amp;RIGHT(A398,8)&amp;"*",Main_Tariff!A:A,0)),Raeburn_Main_Tariff[[#This Row],[PRODUCER]])</f>
        <v>La Gontrie</v>
      </c>
      <c r="C398" s="1178" t="s">
        <v>20467</v>
      </c>
      <c r="D398" s="1178" t="s">
        <v>897</v>
      </c>
      <c r="E398" s="1179">
        <v>2016</v>
      </c>
      <c r="F398" s="1282" t="s">
        <v>20280</v>
      </c>
      <c r="G398" s="1368">
        <v>6.25</v>
      </c>
      <c r="H398" s="1178" t="s">
        <v>20465</v>
      </c>
      <c r="I398" s="1178" t="s">
        <v>2578</v>
      </c>
      <c r="J398" s="1178" t="s">
        <v>662</v>
      </c>
      <c r="K398" s="1178" t="s">
        <v>20344</v>
      </c>
      <c r="L398" s="1178" t="s">
        <v>105</v>
      </c>
      <c r="M398" s="1369"/>
      <c r="N398" s="1178"/>
      <c r="O398" s="1178">
        <v>12</v>
      </c>
      <c r="P398" s="1178">
        <v>12.5</v>
      </c>
    </row>
    <row r="399" spans="1:16">
      <c r="A399" s="1178" t="s">
        <v>106</v>
      </c>
      <c r="B399" s="1371" t="str">
        <f>HYPERLINK(IFERROR("#Main_Tariff!A"&amp;MATCH(Raeburn_Main_Tariff[[#This Row],[Product Code]],Main_Tariff!I:I,0),"#Main_Tariff!A"&amp;MATCH("*"&amp;RIGHT(A399,8)&amp;"*",Main_Tariff!A:A,0)),Raeburn_Main_Tariff[[#This Row],[PRODUCER]])</f>
        <v>La Gontrie</v>
      </c>
      <c r="C399" s="1178" t="s">
        <v>20468</v>
      </c>
      <c r="D399" s="1178" t="s">
        <v>897</v>
      </c>
      <c r="E399" s="1179">
        <v>2019</v>
      </c>
      <c r="F399" s="1282" t="s">
        <v>20220</v>
      </c>
      <c r="G399" s="1368">
        <v>13</v>
      </c>
      <c r="H399" s="1178" t="s">
        <v>20221</v>
      </c>
      <c r="I399" s="1178" t="s">
        <v>2580</v>
      </c>
      <c r="J399" s="1178" t="s">
        <v>662</v>
      </c>
      <c r="K399" s="1178" t="s">
        <v>20344</v>
      </c>
      <c r="L399" s="1178" t="s">
        <v>105</v>
      </c>
      <c r="M399" s="1369"/>
      <c r="N399" s="1178"/>
      <c r="O399" s="1178">
        <v>6</v>
      </c>
      <c r="P399" s="1178">
        <v>13</v>
      </c>
    </row>
    <row r="400" spans="1:16">
      <c r="A400" s="1178" t="s">
        <v>106</v>
      </c>
      <c r="B400" s="1371" t="str">
        <f>HYPERLINK(IFERROR("#Main_Tariff!A"&amp;MATCH(Raeburn_Main_Tariff[[#This Row],[Product Code]],Main_Tariff!I:I,0),"#Main_Tariff!A"&amp;MATCH("*"&amp;RIGHT(A400,8)&amp;"*",Main_Tariff!A:A,0)),Raeburn_Main_Tariff[[#This Row],[PRODUCER]])</f>
        <v>La Gontrie</v>
      </c>
      <c r="C400" s="1178" t="s">
        <v>20469</v>
      </c>
      <c r="D400" s="1178" t="s">
        <v>897</v>
      </c>
      <c r="E400" s="1179">
        <v>2018</v>
      </c>
      <c r="F400" s="1282" t="s">
        <v>20288</v>
      </c>
      <c r="G400" s="1368">
        <v>80</v>
      </c>
      <c r="H400" s="1178" t="s">
        <v>20277</v>
      </c>
      <c r="I400" s="1178" t="s">
        <v>2583</v>
      </c>
      <c r="J400" s="1178" t="s">
        <v>662</v>
      </c>
      <c r="K400" s="1178" t="s">
        <v>20344</v>
      </c>
      <c r="L400" s="1178" t="s">
        <v>105</v>
      </c>
      <c r="M400" s="1369"/>
      <c r="N400" s="1178"/>
      <c r="O400" s="1178">
        <v>1</v>
      </c>
      <c r="P400" s="1178">
        <v>12.5</v>
      </c>
    </row>
    <row r="401" spans="1:16">
      <c r="A401" s="1178" t="s">
        <v>106</v>
      </c>
      <c r="B401" s="1371" t="str">
        <f>HYPERLINK(IFERROR("#Main_Tariff!A"&amp;MATCH(Raeburn_Main_Tariff[[#This Row],[Product Code]],Main_Tariff!I:I,0),"#Main_Tariff!A"&amp;MATCH("*"&amp;RIGHT(A401,8)&amp;"*",Main_Tariff!A:A,0)),Raeburn_Main_Tariff[[#This Row],[PRODUCER]])</f>
        <v>La Gontrie</v>
      </c>
      <c r="C401" s="1178" t="s">
        <v>20470</v>
      </c>
      <c r="D401" s="1178" t="s">
        <v>897</v>
      </c>
      <c r="E401" s="1179">
        <v>2018</v>
      </c>
      <c r="F401" s="1282" t="s">
        <v>20471</v>
      </c>
      <c r="G401" s="1368">
        <v>120.5</v>
      </c>
      <c r="H401" s="1178" t="s">
        <v>20277</v>
      </c>
      <c r="I401" s="1178" t="s">
        <v>2584</v>
      </c>
      <c r="J401" s="1178" t="s">
        <v>662</v>
      </c>
      <c r="K401" s="1178" t="s">
        <v>20344</v>
      </c>
      <c r="L401" s="1178" t="s">
        <v>105</v>
      </c>
      <c r="M401" s="1369"/>
      <c r="N401" s="1178"/>
      <c r="O401" s="1178">
        <v>1</v>
      </c>
      <c r="P401" s="1178">
        <v>12.5</v>
      </c>
    </row>
    <row r="402" spans="1:16">
      <c r="A402" s="1178" t="s">
        <v>106</v>
      </c>
      <c r="B402" s="1371" t="str">
        <f>HYPERLINK(IFERROR("#Main_Tariff!A"&amp;MATCH(Raeburn_Main_Tariff[[#This Row],[Product Code]],Main_Tariff!I:I,0),"#Main_Tariff!A"&amp;MATCH("*"&amp;RIGHT(A402,8)&amp;"*",Main_Tariff!A:A,0)),Raeburn_Main_Tariff[[#This Row],[PRODUCER]])</f>
        <v>La Gontrie</v>
      </c>
      <c r="C402" s="1178" t="s">
        <v>20470</v>
      </c>
      <c r="D402" s="1178" t="s">
        <v>897</v>
      </c>
      <c r="E402" s="1179">
        <v>2016</v>
      </c>
      <c r="F402" s="1282" t="s">
        <v>20471</v>
      </c>
      <c r="G402" s="1368">
        <v>118.5</v>
      </c>
      <c r="H402" s="1178" t="s">
        <v>20277</v>
      </c>
      <c r="I402" s="1178" t="s">
        <v>2585</v>
      </c>
      <c r="J402" s="1178" t="s">
        <v>662</v>
      </c>
      <c r="K402" s="1178" t="s">
        <v>20344</v>
      </c>
      <c r="L402" s="1178" t="s">
        <v>105</v>
      </c>
      <c r="M402" s="1369"/>
      <c r="N402" s="1178"/>
      <c r="O402" s="1178">
        <v>1</v>
      </c>
      <c r="P402" s="1178">
        <v>12.5</v>
      </c>
    </row>
    <row r="403" spans="1:16">
      <c r="A403" s="1178" t="s">
        <v>106</v>
      </c>
      <c r="B403" s="1371" t="str">
        <f>HYPERLINK(IFERROR("#Main_Tariff!A"&amp;MATCH(Raeburn_Main_Tariff[[#This Row],[Product Code]],Main_Tariff!I:I,0),"#Main_Tariff!A"&amp;MATCH("*"&amp;RIGHT(A403,8)&amp;"*",Main_Tariff!A:A,0)),Raeburn_Main_Tariff[[#This Row],[PRODUCER]])</f>
        <v>La Gontrie</v>
      </c>
      <c r="C403" s="1178" t="s">
        <v>20472</v>
      </c>
      <c r="D403" s="1178" t="s">
        <v>1410</v>
      </c>
      <c r="E403" s="1179">
        <v>2017</v>
      </c>
      <c r="F403" s="1282" t="s">
        <v>20220</v>
      </c>
      <c r="G403" s="1368">
        <v>13.75</v>
      </c>
      <c r="H403" s="1178" t="s">
        <v>20465</v>
      </c>
      <c r="I403" s="1178" t="s">
        <v>2587</v>
      </c>
      <c r="J403" s="1178" t="s">
        <v>662</v>
      </c>
      <c r="K403" s="1178" t="s">
        <v>20344</v>
      </c>
      <c r="L403" s="1178" t="s">
        <v>105</v>
      </c>
      <c r="M403" s="1369"/>
      <c r="N403" s="1178"/>
      <c r="O403" s="1178">
        <v>6</v>
      </c>
      <c r="P403" s="1178">
        <v>12.5</v>
      </c>
    </row>
    <row r="404" spans="1:16">
      <c r="A404" s="1178" t="s">
        <v>109</v>
      </c>
      <c r="B404" s="1371" t="str">
        <f>HYPERLINK(IFERROR("#Main_Tariff!A"&amp;MATCH(Raeburn_Main_Tariff[[#This Row],[Product Code]],Main_Tariff!I:I,0),"#Main_Tariff!A"&amp;MATCH("*"&amp;RIGHT(A404,8)&amp;"*",Main_Tariff!A:A,0)),Raeburn_Main_Tariff[[#This Row],[PRODUCER]])</f>
        <v>Massereau</v>
      </c>
      <c r="C404" s="1178" t="s">
        <v>20473</v>
      </c>
      <c r="D404" s="1178" t="s">
        <v>897</v>
      </c>
      <c r="E404" s="1179">
        <v>2017</v>
      </c>
      <c r="F404" s="1282" t="s">
        <v>20220</v>
      </c>
      <c r="G404" s="1368">
        <v>15</v>
      </c>
      <c r="H404" s="1178" t="s">
        <v>20221</v>
      </c>
      <c r="I404" s="1178" t="s">
        <v>2593</v>
      </c>
      <c r="J404" s="1178" t="s">
        <v>662</v>
      </c>
      <c r="K404" s="1178" t="s">
        <v>20344</v>
      </c>
      <c r="L404" s="1178" t="s">
        <v>2407</v>
      </c>
      <c r="M404" s="1369"/>
      <c r="N404" s="1178"/>
      <c r="O404" s="1178">
        <v>12</v>
      </c>
      <c r="P404" s="1178">
        <v>13</v>
      </c>
    </row>
    <row r="405" spans="1:16">
      <c r="A405" s="1178" t="s">
        <v>109</v>
      </c>
      <c r="B405" s="1371" t="str">
        <f>HYPERLINK(IFERROR("#Main_Tariff!A"&amp;MATCH(Raeburn_Main_Tariff[[#This Row],[Product Code]],Main_Tariff!I:I,0),"#Main_Tariff!A"&amp;MATCH("*"&amp;RIGHT(A405,8)&amp;"*",Main_Tariff!A:A,0)),Raeburn_Main_Tariff[[#This Row],[PRODUCER]])</f>
        <v>Massereau</v>
      </c>
      <c r="C405" s="1178" t="s">
        <v>20473</v>
      </c>
      <c r="D405" s="1178" t="s">
        <v>897</v>
      </c>
      <c r="E405" s="1179">
        <v>2015</v>
      </c>
      <c r="F405" s="1282" t="s">
        <v>20220</v>
      </c>
      <c r="G405" s="1368">
        <v>16</v>
      </c>
      <c r="H405" s="1178" t="s">
        <v>20277</v>
      </c>
      <c r="I405" s="1178" t="s">
        <v>2595</v>
      </c>
      <c r="J405" s="1178" t="s">
        <v>662</v>
      </c>
      <c r="K405" s="1178" t="s">
        <v>20344</v>
      </c>
      <c r="L405" s="1178" t="s">
        <v>2407</v>
      </c>
      <c r="M405" s="1369"/>
      <c r="N405" s="1178"/>
      <c r="O405" s="1178">
        <v>12</v>
      </c>
      <c r="P405" s="1178">
        <v>13</v>
      </c>
    </row>
    <row r="406" spans="1:16">
      <c r="A406" s="1178" t="s">
        <v>109</v>
      </c>
      <c r="B406" s="1371" t="str">
        <f>HYPERLINK(IFERROR("#Main_Tariff!A"&amp;MATCH(Raeburn_Main_Tariff[[#This Row],[Product Code]],Main_Tariff!I:I,0),"#Main_Tariff!A"&amp;MATCH("*"&amp;RIGHT(A406,8)&amp;"*",Main_Tariff!A:A,0)),Raeburn_Main_Tariff[[#This Row],[PRODUCER]])</f>
        <v>Massereau</v>
      </c>
      <c r="C406" s="1178" t="s">
        <v>20474</v>
      </c>
      <c r="D406" s="1178" t="s">
        <v>897</v>
      </c>
      <c r="E406" s="1179">
        <v>2015</v>
      </c>
      <c r="F406" s="1282" t="s">
        <v>20220</v>
      </c>
      <c r="G406" s="1368">
        <v>16</v>
      </c>
      <c r="H406" s="1178" t="s">
        <v>20277</v>
      </c>
      <c r="I406" s="1178" t="s">
        <v>2598</v>
      </c>
      <c r="J406" s="1178" t="s">
        <v>662</v>
      </c>
      <c r="K406" s="1178" t="s">
        <v>20344</v>
      </c>
      <c r="L406" s="1178" t="s">
        <v>2407</v>
      </c>
      <c r="M406" s="1369"/>
      <c r="N406" s="1178"/>
      <c r="O406" s="1178">
        <v>12</v>
      </c>
      <c r="P406" s="1178">
        <v>13</v>
      </c>
    </row>
    <row r="407" spans="1:16">
      <c r="A407" s="1178" t="s">
        <v>109</v>
      </c>
      <c r="B407" s="1371" t="str">
        <f>HYPERLINK(IFERROR("#Main_Tariff!A"&amp;MATCH(Raeburn_Main_Tariff[[#This Row],[Product Code]],Main_Tariff!I:I,0),"#Main_Tariff!A"&amp;MATCH("*"&amp;RIGHT(A407,8)&amp;"*",Main_Tariff!A:A,0)),Raeburn_Main_Tariff[[#This Row],[PRODUCER]])</f>
        <v>Massereau</v>
      </c>
      <c r="C407" s="1178" t="s">
        <v>20475</v>
      </c>
      <c r="D407" s="1178" t="s">
        <v>897</v>
      </c>
      <c r="E407" s="1179">
        <v>2012</v>
      </c>
      <c r="F407" s="1282" t="s">
        <v>20220</v>
      </c>
      <c r="G407" s="1368">
        <v>24</v>
      </c>
      <c r="H407" s="1178" t="s">
        <v>20221</v>
      </c>
      <c r="I407" s="1178" t="s">
        <v>2600</v>
      </c>
      <c r="J407" s="1178" t="s">
        <v>662</v>
      </c>
      <c r="K407" s="1178" t="s">
        <v>20344</v>
      </c>
      <c r="L407" s="1178" t="s">
        <v>2407</v>
      </c>
      <c r="M407" s="1369"/>
      <c r="N407" s="1178"/>
      <c r="O407" s="1178">
        <v>12</v>
      </c>
      <c r="P407" s="1178">
        <v>13</v>
      </c>
    </row>
    <row r="408" spans="1:16">
      <c r="A408" s="1178" t="s">
        <v>109</v>
      </c>
      <c r="B408" s="1371" t="str">
        <f>HYPERLINK(IFERROR("#Main_Tariff!A"&amp;MATCH(Raeburn_Main_Tariff[[#This Row],[Product Code]],Main_Tariff!I:I,0),"#Main_Tariff!A"&amp;MATCH("*"&amp;RIGHT(A408,8)&amp;"*",Main_Tariff!A:A,0)),Raeburn_Main_Tariff[[#This Row],[PRODUCER]])</f>
        <v>Massereau</v>
      </c>
      <c r="C408" s="1178" t="s">
        <v>20476</v>
      </c>
      <c r="D408" s="1178" t="s">
        <v>897</v>
      </c>
      <c r="E408" s="1179">
        <v>2014</v>
      </c>
      <c r="F408" s="1282" t="s">
        <v>20240</v>
      </c>
      <c r="G408" s="1368">
        <v>31</v>
      </c>
      <c r="H408" s="1178" t="s">
        <v>20224</v>
      </c>
      <c r="I408" s="1178" t="s">
        <v>2603</v>
      </c>
      <c r="J408" s="1178" t="s">
        <v>662</v>
      </c>
      <c r="K408" s="1178" t="s">
        <v>20344</v>
      </c>
      <c r="L408" s="1178" t="s">
        <v>2407</v>
      </c>
      <c r="M408" s="1369"/>
      <c r="N408" s="1178"/>
      <c r="O408" s="1178">
        <v>6</v>
      </c>
      <c r="P408" s="1178">
        <v>12.5</v>
      </c>
    </row>
    <row r="409" spans="1:16">
      <c r="A409" s="1178" t="s">
        <v>109</v>
      </c>
      <c r="B409" s="1371" t="str">
        <f>HYPERLINK(IFERROR("#Main_Tariff!A"&amp;MATCH(Raeburn_Main_Tariff[[#This Row],[Product Code]],Main_Tariff!I:I,0),"#Main_Tariff!A"&amp;MATCH("*"&amp;RIGHT(A409,8)&amp;"*",Main_Tariff!A:A,0)),Raeburn_Main_Tariff[[#This Row],[PRODUCER]])</f>
        <v>Massereau</v>
      </c>
      <c r="C409" s="1178" t="s">
        <v>20476</v>
      </c>
      <c r="D409" s="1178" t="s">
        <v>897</v>
      </c>
      <c r="E409" s="1179">
        <v>2011</v>
      </c>
      <c r="F409" s="1282" t="s">
        <v>20240</v>
      </c>
      <c r="G409" s="1368">
        <v>33.75</v>
      </c>
      <c r="H409" s="1178" t="s">
        <v>20224</v>
      </c>
      <c r="I409" s="1178" t="s">
        <v>2605</v>
      </c>
      <c r="J409" s="1178" t="s">
        <v>662</v>
      </c>
      <c r="K409" s="1178" t="s">
        <v>20344</v>
      </c>
      <c r="L409" s="1178" t="s">
        <v>2407</v>
      </c>
      <c r="M409" s="1369"/>
      <c r="N409" s="1178"/>
      <c r="O409" s="1178">
        <v>6</v>
      </c>
      <c r="P409" s="1178">
        <v>13</v>
      </c>
    </row>
    <row r="410" spans="1:16">
      <c r="A410" s="1178" t="s">
        <v>109</v>
      </c>
      <c r="B410" s="1371" t="str">
        <f>HYPERLINK(IFERROR("#Main_Tariff!A"&amp;MATCH(Raeburn_Main_Tariff[[#This Row],[Product Code]],Main_Tariff!I:I,0),"#Main_Tariff!A"&amp;MATCH("*"&amp;RIGHT(A410,8)&amp;"*",Main_Tariff!A:A,0)),Raeburn_Main_Tariff[[#This Row],[PRODUCER]])</f>
        <v>Massereau</v>
      </c>
      <c r="C410" s="1178" t="s">
        <v>20477</v>
      </c>
      <c r="D410" s="1178" t="s">
        <v>897</v>
      </c>
      <c r="E410" s="1179">
        <v>2008</v>
      </c>
      <c r="F410" s="1282" t="s">
        <v>20240</v>
      </c>
      <c r="G410" s="1368">
        <v>58.5</v>
      </c>
      <c r="H410" s="1178" t="s">
        <v>20224</v>
      </c>
      <c r="I410" s="1178" t="s">
        <v>2607</v>
      </c>
      <c r="J410" s="1178" t="s">
        <v>662</v>
      </c>
      <c r="K410" s="1178" t="s">
        <v>20344</v>
      </c>
      <c r="L410" s="1178" t="s">
        <v>2407</v>
      </c>
      <c r="M410" s="1369"/>
      <c r="N410" s="1178"/>
      <c r="O410" s="1178">
        <v>6</v>
      </c>
      <c r="P410" s="1178">
        <v>12.5</v>
      </c>
    </row>
    <row r="411" spans="1:16">
      <c r="A411" s="1178" t="s">
        <v>109</v>
      </c>
      <c r="B411" s="1371" t="str">
        <f>HYPERLINK(IFERROR("#Main_Tariff!A"&amp;MATCH(Raeburn_Main_Tariff[[#This Row],[Product Code]],Main_Tariff!I:I,0),"#Main_Tariff!A"&amp;MATCH("*"&amp;RIGHT(A411,8)&amp;"*",Main_Tariff!A:A,0)),Raeburn_Main_Tariff[[#This Row],[PRODUCER]])</f>
        <v>Massereau</v>
      </c>
      <c r="C411" s="1178" t="s">
        <v>20478</v>
      </c>
      <c r="D411" s="1178" t="s">
        <v>1410</v>
      </c>
      <c r="E411" s="1179">
        <v>2005</v>
      </c>
      <c r="F411" s="1282" t="s">
        <v>20313</v>
      </c>
      <c r="G411" s="1368">
        <v>70</v>
      </c>
      <c r="H411" s="1178" t="s">
        <v>20224</v>
      </c>
      <c r="I411" s="1178" t="s">
        <v>2611</v>
      </c>
      <c r="J411" s="1178" t="s">
        <v>662</v>
      </c>
      <c r="K411" s="1178" t="s">
        <v>20344</v>
      </c>
      <c r="L411" s="1178" t="s">
        <v>188</v>
      </c>
      <c r="M411" s="1369"/>
      <c r="N411" s="1178"/>
      <c r="O411" s="1178">
        <v>6</v>
      </c>
      <c r="P411" s="1178">
        <v>13</v>
      </c>
    </row>
    <row r="412" spans="1:16">
      <c r="A412" s="1178" t="s">
        <v>111</v>
      </c>
      <c r="B412" s="1371" t="str">
        <f>HYPERLINK(IFERROR("#Main_Tariff!A"&amp;MATCH(Raeburn_Main_Tariff[[#This Row],[Product Code]],Main_Tariff!I:I,0),"#Main_Tariff!A"&amp;MATCH("*"&amp;RIGHT(A412,8)&amp;"*",Main_Tariff!A:A,0)),Raeburn_Main_Tariff[[#This Row],[PRODUCER]])</f>
        <v>Bouscaut</v>
      </c>
      <c r="C412" s="1178" t="s">
        <v>20479</v>
      </c>
      <c r="D412" s="1178" t="s">
        <v>20480</v>
      </c>
      <c r="E412" s="1179">
        <v>2015</v>
      </c>
      <c r="F412" s="1282" t="s">
        <v>20313</v>
      </c>
      <c r="G412" s="1368">
        <v>64</v>
      </c>
      <c r="H412" s="1178" t="s">
        <v>20221</v>
      </c>
      <c r="I412" s="1178" t="s">
        <v>1439</v>
      </c>
      <c r="J412" s="1178" t="s">
        <v>662</v>
      </c>
      <c r="K412" s="1178" t="s">
        <v>20344</v>
      </c>
      <c r="L412" s="1178" t="s">
        <v>20481</v>
      </c>
      <c r="M412" s="1369" t="s">
        <v>23258</v>
      </c>
      <c r="N412" s="1178"/>
      <c r="O412" s="1178">
        <v>2</v>
      </c>
      <c r="P412" s="1178">
        <v>14</v>
      </c>
    </row>
    <row r="413" spans="1:16">
      <c r="A413" s="1178" t="s">
        <v>112</v>
      </c>
      <c r="B413" s="1371" t="str">
        <f>HYPERLINK(IFERROR("#Main_Tariff!A"&amp;MATCH(Raeburn_Main_Tariff[[#This Row],[Product Code]],Main_Tariff!I:I,0),"#Main_Tariff!A"&amp;MATCH("*"&amp;RIGHT(A413,8)&amp;"*",Main_Tariff!A:A,0)),Raeburn_Main_Tariff[[#This Row],[PRODUCER]])</f>
        <v>Carbonnieux</v>
      </c>
      <c r="C413" s="1178" t="s">
        <v>20482</v>
      </c>
      <c r="D413" s="1178" t="s">
        <v>1129</v>
      </c>
      <c r="E413" s="1179">
        <v>2019</v>
      </c>
      <c r="F413" s="1282" t="s">
        <v>20220</v>
      </c>
      <c r="G413" s="1368">
        <v>32.5</v>
      </c>
      <c r="H413" s="1178" t="s">
        <v>20221</v>
      </c>
      <c r="I413" s="1178" t="s">
        <v>1433</v>
      </c>
      <c r="J413" s="1178" t="s">
        <v>662</v>
      </c>
      <c r="K413" s="1178" t="s">
        <v>20344</v>
      </c>
      <c r="L413" s="1178" t="s">
        <v>20481</v>
      </c>
      <c r="M413" s="1369" t="s">
        <v>23258</v>
      </c>
      <c r="N413" s="1178"/>
      <c r="O413" s="1178">
        <v>12</v>
      </c>
      <c r="P413" s="1178">
        <v>13</v>
      </c>
    </row>
    <row r="414" spans="1:16">
      <c r="A414" s="1178" t="s">
        <v>112</v>
      </c>
      <c r="B414" s="1371" t="str">
        <f>HYPERLINK(IFERROR("#Main_Tariff!A"&amp;MATCH(Raeburn_Main_Tariff[[#This Row],[Product Code]],Main_Tariff!I:I,0),"#Main_Tariff!A"&amp;MATCH("*"&amp;RIGHT(A414,8)&amp;"*",Main_Tariff!A:A,0)),Raeburn_Main_Tariff[[#This Row],[PRODUCER]])</f>
        <v>Carbonnieux</v>
      </c>
      <c r="C414" s="1178" t="s">
        <v>20483</v>
      </c>
      <c r="D414" s="1178" t="s">
        <v>1129</v>
      </c>
      <c r="E414" s="1179">
        <v>2020</v>
      </c>
      <c r="F414" s="1282" t="s">
        <v>20220</v>
      </c>
      <c r="G414" s="1368" t="s">
        <v>5258</v>
      </c>
      <c r="H414" s="1178" t="s">
        <v>20224</v>
      </c>
      <c r="I414" s="1178" t="s">
        <v>2630</v>
      </c>
      <c r="J414" s="1178" t="s">
        <v>662</v>
      </c>
      <c r="K414" s="1178" t="s">
        <v>20344</v>
      </c>
      <c r="L414" s="1178" t="s">
        <v>20481</v>
      </c>
      <c r="M414" s="1369" t="s">
        <v>23258</v>
      </c>
      <c r="N414" s="1178"/>
      <c r="O414" s="1178">
        <v>3</v>
      </c>
      <c r="P414" s="1178">
        <v>13</v>
      </c>
    </row>
    <row r="415" spans="1:16">
      <c r="A415" s="1178" t="s">
        <v>113</v>
      </c>
      <c r="B415" s="1371" t="str">
        <f>HYPERLINK(IFERROR("#Main_Tariff!A"&amp;MATCH(Raeburn_Main_Tariff[[#This Row],[Product Code]],Main_Tariff!I:I,0),"#Main_Tariff!A"&amp;MATCH("*"&amp;RIGHT(A415,8)&amp;"*",Main_Tariff!A:A,0)),Raeburn_Main_Tariff[[#This Row],[PRODUCER]])</f>
        <v>Les Carmes Haut Brion</v>
      </c>
      <c r="C415" s="1178" t="s">
        <v>20484</v>
      </c>
      <c r="D415" s="1178" t="s">
        <v>897</v>
      </c>
      <c r="E415" s="1179">
        <v>2018</v>
      </c>
      <c r="F415" s="1282" t="s">
        <v>20280</v>
      </c>
      <c r="G415" s="1368"/>
      <c r="H415" s="1178" t="s">
        <v>3907</v>
      </c>
      <c r="I415" s="1178" t="s">
        <v>2649</v>
      </c>
      <c r="J415" s="1178" t="s">
        <v>662</v>
      </c>
      <c r="K415" s="1178" t="s">
        <v>20344</v>
      </c>
      <c r="L415" s="1178" t="s">
        <v>20481</v>
      </c>
      <c r="M415" s="1369"/>
      <c r="N415" s="1178"/>
      <c r="O415" s="1178">
        <v>12</v>
      </c>
      <c r="P415" s="1178">
        <v>13</v>
      </c>
    </row>
    <row r="416" spans="1:16">
      <c r="A416" s="1178" t="s">
        <v>113</v>
      </c>
      <c r="B416" s="1371" t="str">
        <f>HYPERLINK(IFERROR("#Main_Tariff!A"&amp;MATCH(Raeburn_Main_Tariff[[#This Row],[Product Code]],Main_Tariff!I:I,0),"#Main_Tariff!A"&amp;MATCH("*"&amp;RIGHT(A416,8)&amp;"*",Main_Tariff!A:A,0)),Raeburn_Main_Tariff[[#This Row],[PRODUCER]])</f>
        <v>Les Carmes Haut Brion</v>
      </c>
      <c r="C416" s="1178" t="s">
        <v>20485</v>
      </c>
      <c r="D416" s="1178" t="s">
        <v>897</v>
      </c>
      <c r="E416" s="1179">
        <v>2017</v>
      </c>
      <c r="F416" s="1282" t="s">
        <v>20240</v>
      </c>
      <c r="G416" s="1368">
        <v>54</v>
      </c>
      <c r="H416" s="1178" t="s">
        <v>20221</v>
      </c>
      <c r="I416" s="1178" t="s">
        <v>2651</v>
      </c>
      <c r="J416" s="1178" t="s">
        <v>662</v>
      </c>
      <c r="K416" s="1178" t="s">
        <v>20344</v>
      </c>
      <c r="L416" s="1178" t="s">
        <v>20481</v>
      </c>
      <c r="M416" s="1369"/>
      <c r="N416" s="1178"/>
      <c r="O416" s="1178">
        <v>6</v>
      </c>
      <c r="P416" s="1178">
        <v>13</v>
      </c>
    </row>
    <row r="417" spans="1:16">
      <c r="A417" s="1178" t="s">
        <v>113</v>
      </c>
      <c r="B417" s="1371" t="str">
        <f>HYPERLINK(IFERROR("#Main_Tariff!A"&amp;MATCH(Raeburn_Main_Tariff[[#This Row],[Product Code]],Main_Tariff!I:I,0),"#Main_Tariff!A"&amp;MATCH("*"&amp;RIGHT(A417,8)&amp;"*",Main_Tariff!A:A,0)),Raeburn_Main_Tariff[[#This Row],[PRODUCER]])</f>
        <v>Les Carmes Haut Brion</v>
      </c>
      <c r="C417" s="1178" t="s">
        <v>20486</v>
      </c>
      <c r="D417" s="1178" t="s">
        <v>897</v>
      </c>
      <c r="E417" s="1179">
        <v>2023</v>
      </c>
      <c r="F417" s="1282" t="s">
        <v>20220</v>
      </c>
      <c r="G417" s="1368" t="s">
        <v>20342</v>
      </c>
      <c r="H417" s="1178" t="s">
        <v>20343</v>
      </c>
      <c r="I417" s="1178" t="s">
        <v>2654</v>
      </c>
      <c r="J417" s="1178" t="s">
        <v>662</v>
      </c>
      <c r="K417" s="1178" t="s">
        <v>20344</v>
      </c>
      <c r="L417" s="1178" t="s">
        <v>20481</v>
      </c>
      <c r="M417" s="1369"/>
      <c r="N417" s="1178"/>
      <c r="O417" s="1178">
        <v>6</v>
      </c>
      <c r="P417" s="1178">
        <v>13</v>
      </c>
    </row>
    <row r="418" spans="1:16">
      <c r="A418" s="1178" t="s">
        <v>113</v>
      </c>
      <c r="B418" s="1371" t="str">
        <f>HYPERLINK(IFERROR("#Main_Tariff!A"&amp;MATCH(Raeburn_Main_Tariff[[#This Row],[Product Code]],Main_Tariff!I:I,0),"#Main_Tariff!A"&amp;MATCH("*"&amp;RIGHT(A418,8)&amp;"*",Main_Tariff!A:A,0)),Raeburn_Main_Tariff[[#This Row],[PRODUCER]])</f>
        <v>Les Carmes Haut Brion</v>
      </c>
      <c r="C418" s="1178" t="s">
        <v>20486</v>
      </c>
      <c r="D418" s="1178" t="s">
        <v>897</v>
      </c>
      <c r="E418" s="1179">
        <v>2022</v>
      </c>
      <c r="F418" s="1282" t="s">
        <v>20220</v>
      </c>
      <c r="G418" s="1368" t="s">
        <v>5258</v>
      </c>
      <c r="H418" s="1178" t="s">
        <v>20224</v>
      </c>
      <c r="I418" s="1178" t="s">
        <v>2656</v>
      </c>
      <c r="J418" s="1178" t="s">
        <v>662</v>
      </c>
      <c r="K418" s="1178" t="s">
        <v>20344</v>
      </c>
      <c r="L418" s="1178" t="s">
        <v>20481</v>
      </c>
      <c r="M418" s="1369"/>
      <c r="N418" s="1178"/>
      <c r="O418" s="1178">
        <v>6</v>
      </c>
      <c r="P418" s="1178">
        <v>13.5</v>
      </c>
    </row>
    <row r="419" spans="1:16">
      <c r="A419" s="1178" t="s">
        <v>113</v>
      </c>
      <c r="B419" s="1371" t="str">
        <f>HYPERLINK(IFERROR("#Main_Tariff!A"&amp;MATCH(Raeburn_Main_Tariff[[#This Row],[Product Code]],Main_Tariff!I:I,0),"#Main_Tariff!A"&amp;MATCH("*"&amp;RIGHT(A419,8)&amp;"*",Main_Tariff!A:A,0)),Raeburn_Main_Tariff[[#This Row],[PRODUCER]])</f>
        <v>Les Carmes Haut Brion</v>
      </c>
      <c r="C419" s="1178" t="s">
        <v>20486</v>
      </c>
      <c r="D419" s="1178" t="s">
        <v>897</v>
      </c>
      <c r="E419" s="1179">
        <v>2021</v>
      </c>
      <c r="F419" s="1282" t="s">
        <v>20220</v>
      </c>
      <c r="G419" s="1368">
        <v>106</v>
      </c>
      <c r="H419" s="1178" t="s">
        <v>20221</v>
      </c>
      <c r="I419" s="1178" t="s">
        <v>2658</v>
      </c>
      <c r="J419" s="1178" t="s">
        <v>662</v>
      </c>
      <c r="K419" s="1178" t="s">
        <v>20344</v>
      </c>
      <c r="L419" s="1178" t="s">
        <v>20481</v>
      </c>
      <c r="M419" s="1369"/>
      <c r="N419" s="1178"/>
      <c r="O419" s="1178">
        <v>6</v>
      </c>
      <c r="P419" s="1178">
        <v>13.5</v>
      </c>
    </row>
    <row r="420" spans="1:16">
      <c r="A420" s="1178" t="s">
        <v>113</v>
      </c>
      <c r="B420" s="1371" t="str">
        <f>HYPERLINK(IFERROR("#Main_Tariff!A"&amp;MATCH(Raeburn_Main_Tariff[[#This Row],[Product Code]],Main_Tariff!I:I,0),"#Main_Tariff!A"&amp;MATCH("*"&amp;RIGHT(A420,8)&amp;"*",Main_Tariff!A:A,0)),Raeburn_Main_Tariff[[#This Row],[PRODUCER]])</f>
        <v>Les Carmes Haut Brion</v>
      </c>
      <c r="C420" s="1178" t="s">
        <v>20486</v>
      </c>
      <c r="D420" s="1178" t="s">
        <v>897</v>
      </c>
      <c r="E420" s="1179">
        <v>2020</v>
      </c>
      <c r="F420" s="1282" t="s">
        <v>20220</v>
      </c>
      <c r="G420" s="1368">
        <v>120</v>
      </c>
      <c r="H420" s="1178" t="s">
        <v>20224</v>
      </c>
      <c r="I420" s="1178" t="s">
        <v>2659</v>
      </c>
      <c r="J420" s="1178" t="s">
        <v>662</v>
      </c>
      <c r="K420" s="1178" t="s">
        <v>20344</v>
      </c>
      <c r="L420" s="1178" t="s">
        <v>20481</v>
      </c>
      <c r="M420" s="1369"/>
      <c r="N420" s="1178"/>
      <c r="O420" s="1178">
        <v>3</v>
      </c>
      <c r="P420" s="1178">
        <v>13</v>
      </c>
    </row>
    <row r="421" spans="1:16">
      <c r="A421" s="1178" t="s">
        <v>113</v>
      </c>
      <c r="B421" s="1371" t="str">
        <f>HYPERLINK(IFERROR("#Main_Tariff!A"&amp;MATCH(Raeburn_Main_Tariff[[#This Row],[Product Code]],Main_Tariff!I:I,0),"#Main_Tariff!A"&amp;MATCH("*"&amp;RIGHT(A421,8)&amp;"*",Main_Tariff!A:A,0)),Raeburn_Main_Tariff[[#This Row],[PRODUCER]])</f>
        <v>Les Carmes Haut Brion</v>
      </c>
      <c r="C421" s="1178" t="s">
        <v>20486</v>
      </c>
      <c r="D421" s="1178" t="s">
        <v>897</v>
      </c>
      <c r="E421" s="1179">
        <v>2019</v>
      </c>
      <c r="F421" s="1282" t="s">
        <v>20220</v>
      </c>
      <c r="G421" s="1368" t="s">
        <v>5258</v>
      </c>
      <c r="H421" s="1178" t="s">
        <v>20221</v>
      </c>
      <c r="I421" s="1178" t="s">
        <v>2661</v>
      </c>
      <c r="J421" s="1178" t="s">
        <v>662</v>
      </c>
      <c r="K421" s="1178" t="s">
        <v>20344</v>
      </c>
      <c r="L421" s="1178" t="s">
        <v>20481</v>
      </c>
      <c r="M421" s="1369"/>
      <c r="N421" s="1178"/>
      <c r="O421" s="1178">
        <v>6</v>
      </c>
      <c r="P421" s="1178">
        <v>13.5</v>
      </c>
    </row>
    <row r="422" spans="1:16">
      <c r="A422" s="1178" t="s">
        <v>20487</v>
      </c>
      <c r="B422" s="1371" t="str">
        <f>HYPERLINK(IFERROR("#Main_Tariff!A"&amp;MATCH(Raeburn_Main_Tariff[[#This Row],[Product Code]],Main_Tariff!I:I,0),"#Main_Tariff!A"&amp;MATCH("*"&amp;RIGHT(A422,8)&amp;"*",Main_Tariff!A:A,0)),Raeburn_Main_Tariff[[#This Row],[PRODUCER]])</f>
        <v>Domaine De Chevalier</v>
      </c>
      <c r="C422" s="1178" t="s">
        <v>20488</v>
      </c>
      <c r="D422" s="1178" t="s">
        <v>1129</v>
      </c>
      <c r="E422" s="1179">
        <v>2020</v>
      </c>
      <c r="F422" s="1282" t="s">
        <v>20220</v>
      </c>
      <c r="G422" s="1368">
        <v>29.5</v>
      </c>
      <c r="H422" s="1178" t="s">
        <v>20221</v>
      </c>
      <c r="I422" s="1178" t="s">
        <v>2664</v>
      </c>
      <c r="J422" s="1178" t="s">
        <v>662</v>
      </c>
      <c r="K422" s="1178" t="s">
        <v>20344</v>
      </c>
      <c r="L422" s="1178" t="s">
        <v>20481</v>
      </c>
      <c r="M422" s="1369"/>
      <c r="N422" s="1178"/>
      <c r="O422" s="1178">
        <v>6</v>
      </c>
      <c r="P422" s="1178">
        <v>13.5</v>
      </c>
    </row>
    <row r="423" spans="1:16">
      <c r="A423" s="1178" t="s">
        <v>20487</v>
      </c>
      <c r="B423" s="1371" t="str">
        <f>HYPERLINK(IFERROR("#Main_Tariff!A"&amp;MATCH(Raeburn_Main_Tariff[[#This Row],[Product Code]],Main_Tariff!I:I,0),"#Main_Tariff!A"&amp;MATCH("*"&amp;RIGHT(A423,8)&amp;"*",Main_Tariff!A:A,0)),Raeburn_Main_Tariff[[#This Row],[PRODUCER]])</f>
        <v>Domaine De Chevalier</v>
      </c>
      <c r="C423" s="1178" t="s">
        <v>20488</v>
      </c>
      <c r="D423" s="1178" t="s">
        <v>1129</v>
      </c>
      <c r="E423" s="1179">
        <v>2018</v>
      </c>
      <c r="F423" s="1282" t="s">
        <v>20220</v>
      </c>
      <c r="G423" s="1368">
        <v>28.75</v>
      </c>
      <c r="H423" s="1178" t="s">
        <v>20221</v>
      </c>
      <c r="I423" s="1178" t="s">
        <v>1429</v>
      </c>
      <c r="J423" s="1178" t="s">
        <v>662</v>
      </c>
      <c r="K423" s="1178" t="s">
        <v>20344</v>
      </c>
      <c r="L423" s="1178" t="s">
        <v>20481</v>
      </c>
      <c r="M423" s="1369"/>
      <c r="N423" s="1178"/>
      <c r="O423" s="1178">
        <v>6</v>
      </c>
      <c r="P423" s="1178">
        <v>13.5</v>
      </c>
    </row>
    <row r="424" spans="1:16">
      <c r="A424" s="1178" t="s">
        <v>20487</v>
      </c>
      <c r="B424" s="1371" t="str">
        <f>HYPERLINK(IFERROR("#Main_Tariff!A"&amp;MATCH(Raeburn_Main_Tariff[[#This Row],[Product Code]],Main_Tariff!I:I,0),"#Main_Tariff!A"&amp;MATCH("*"&amp;RIGHT(A424,8)&amp;"*",Main_Tariff!A:A,0)),Raeburn_Main_Tariff[[#This Row],[PRODUCER]])</f>
        <v>Domaine De Chevalier</v>
      </c>
      <c r="C424" s="1178" t="s">
        <v>20489</v>
      </c>
      <c r="D424" s="1178" t="s">
        <v>1129</v>
      </c>
      <c r="E424" s="1179">
        <v>2021</v>
      </c>
      <c r="F424" s="1282" t="s">
        <v>20220</v>
      </c>
      <c r="G424" s="1368">
        <v>94.75</v>
      </c>
      <c r="H424" s="1178" t="s">
        <v>20221</v>
      </c>
      <c r="I424" s="1178" t="s">
        <v>2667</v>
      </c>
      <c r="J424" s="1178" t="s">
        <v>662</v>
      </c>
      <c r="K424" s="1178" t="s">
        <v>20344</v>
      </c>
      <c r="L424" s="1178" t="s">
        <v>20481</v>
      </c>
      <c r="M424" s="1369" t="s">
        <v>23258</v>
      </c>
      <c r="N424" s="1178"/>
      <c r="O424" s="1178">
        <v>6</v>
      </c>
      <c r="P424" s="1178">
        <v>13</v>
      </c>
    </row>
    <row r="425" spans="1:16">
      <c r="A425" s="1178" t="s">
        <v>20487</v>
      </c>
      <c r="B425" s="1371" t="str">
        <f>HYPERLINK(IFERROR("#Main_Tariff!A"&amp;MATCH(Raeburn_Main_Tariff[[#This Row],[Product Code]],Main_Tariff!I:I,0),"#Main_Tariff!A"&amp;MATCH("*"&amp;RIGHT(A425,8)&amp;"*",Main_Tariff!A:A,0)),Raeburn_Main_Tariff[[#This Row],[PRODUCER]])</f>
        <v>Domaine De Chevalier</v>
      </c>
      <c r="C425" s="1178" t="s">
        <v>20489</v>
      </c>
      <c r="D425" s="1178" t="s">
        <v>1129</v>
      </c>
      <c r="E425" s="1179">
        <v>2020</v>
      </c>
      <c r="F425" s="1282" t="s">
        <v>20220</v>
      </c>
      <c r="G425" s="1368">
        <v>84.5</v>
      </c>
      <c r="H425" s="1178" t="s">
        <v>20221</v>
      </c>
      <c r="I425" s="1178" t="s">
        <v>2669</v>
      </c>
      <c r="J425" s="1178" t="s">
        <v>662</v>
      </c>
      <c r="K425" s="1178" t="s">
        <v>20344</v>
      </c>
      <c r="L425" s="1178" t="s">
        <v>20481</v>
      </c>
      <c r="M425" s="1369" t="s">
        <v>23258</v>
      </c>
      <c r="N425" s="1178"/>
      <c r="O425" s="1178">
        <v>6</v>
      </c>
      <c r="P425" s="1178">
        <v>13.5</v>
      </c>
    </row>
    <row r="426" spans="1:16">
      <c r="A426" s="1178" t="s">
        <v>20487</v>
      </c>
      <c r="B426" s="1371" t="str">
        <f>HYPERLINK(IFERROR("#Main_Tariff!A"&amp;MATCH(Raeburn_Main_Tariff[[#This Row],[Product Code]],Main_Tariff!I:I,0),"#Main_Tariff!A"&amp;MATCH("*"&amp;RIGHT(A426,8)&amp;"*",Main_Tariff!A:A,0)),Raeburn_Main_Tariff[[#This Row],[PRODUCER]])</f>
        <v>Domaine De Chevalier</v>
      </c>
      <c r="C426" s="1178" t="s">
        <v>20489</v>
      </c>
      <c r="D426" s="1178" t="s">
        <v>1129</v>
      </c>
      <c r="E426" s="1179">
        <v>2019</v>
      </c>
      <c r="F426" s="1282" t="s">
        <v>20220</v>
      </c>
      <c r="G426" s="1368">
        <v>84.5</v>
      </c>
      <c r="H426" s="1178" t="s">
        <v>20224</v>
      </c>
      <c r="I426" s="1178" t="s">
        <v>2671</v>
      </c>
      <c r="J426" s="1178" t="s">
        <v>662</v>
      </c>
      <c r="K426" s="1178" t="s">
        <v>20344</v>
      </c>
      <c r="L426" s="1178" t="s">
        <v>20481</v>
      </c>
      <c r="M426" s="1369" t="s">
        <v>23258</v>
      </c>
      <c r="N426" s="1178"/>
      <c r="O426" s="1178">
        <v>6</v>
      </c>
      <c r="P426" s="1178">
        <v>13.5</v>
      </c>
    </row>
    <row r="427" spans="1:16">
      <c r="A427" s="1178" t="s">
        <v>20487</v>
      </c>
      <c r="B427" s="1371" t="str">
        <f>HYPERLINK(IFERROR("#Main_Tariff!A"&amp;MATCH(Raeburn_Main_Tariff[[#This Row],[Product Code]],Main_Tariff!I:I,0),"#Main_Tariff!A"&amp;MATCH("*"&amp;RIGHT(A427,8)&amp;"*",Main_Tariff!A:A,0)),Raeburn_Main_Tariff[[#This Row],[PRODUCER]])</f>
        <v>Domaine De Chevalier</v>
      </c>
      <c r="C427" s="1178" t="s">
        <v>20489</v>
      </c>
      <c r="D427" s="1178" t="s">
        <v>1129</v>
      </c>
      <c r="E427" s="1179">
        <v>2012</v>
      </c>
      <c r="F427" s="1282" t="s">
        <v>20220</v>
      </c>
      <c r="G427" s="1368">
        <v>85.5</v>
      </c>
      <c r="H427" s="1178" t="s">
        <v>20224</v>
      </c>
      <c r="I427" s="1178" t="s">
        <v>2673</v>
      </c>
      <c r="J427" s="1178" t="s">
        <v>662</v>
      </c>
      <c r="K427" s="1178" t="s">
        <v>20344</v>
      </c>
      <c r="L427" s="1178" t="s">
        <v>20481</v>
      </c>
      <c r="M427" s="1369" t="s">
        <v>23258</v>
      </c>
      <c r="N427" s="1178"/>
      <c r="O427" s="1178">
        <v>12</v>
      </c>
      <c r="P427" s="1178">
        <v>14</v>
      </c>
    </row>
    <row r="428" spans="1:16">
      <c r="A428" s="1178" t="s">
        <v>20487</v>
      </c>
      <c r="B428" s="1371" t="str">
        <f>HYPERLINK(IFERROR("#Main_Tariff!A"&amp;MATCH(Raeburn_Main_Tariff[[#This Row],[Product Code]],Main_Tariff!I:I,0),"#Main_Tariff!A"&amp;MATCH("*"&amp;RIGHT(A428,8)&amp;"*",Main_Tariff!A:A,0)),Raeburn_Main_Tariff[[#This Row],[PRODUCER]])</f>
        <v>Domaine De Chevalier</v>
      </c>
      <c r="C428" s="1178" t="s">
        <v>20490</v>
      </c>
      <c r="D428" s="1178" t="s">
        <v>897</v>
      </c>
      <c r="E428" s="1179">
        <v>2016</v>
      </c>
      <c r="F428" s="1282" t="s">
        <v>20220</v>
      </c>
      <c r="G428" s="1368">
        <v>27.5</v>
      </c>
      <c r="H428" s="1178" t="s">
        <v>20221</v>
      </c>
      <c r="I428" s="1178" t="s">
        <v>2676</v>
      </c>
      <c r="J428" s="1178" t="s">
        <v>662</v>
      </c>
      <c r="K428" s="1178" t="s">
        <v>20344</v>
      </c>
      <c r="L428" s="1178" t="s">
        <v>20481</v>
      </c>
      <c r="M428" s="1369"/>
      <c r="N428" s="1178"/>
      <c r="O428" s="1178">
        <v>6</v>
      </c>
      <c r="P428" s="1178">
        <v>13</v>
      </c>
    </row>
    <row r="429" spans="1:16">
      <c r="A429" s="1178" t="s">
        <v>20487</v>
      </c>
      <c r="B429" s="1371" t="str">
        <f>HYPERLINK(IFERROR("#Main_Tariff!A"&amp;MATCH(Raeburn_Main_Tariff[[#This Row],[Product Code]],Main_Tariff!I:I,0),"#Main_Tariff!A"&amp;MATCH("*"&amp;RIGHT(A429,8)&amp;"*",Main_Tariff!A:A,0)),Raeburn_Main_Tariff[[#This Row],[PRODUCER]])</f>
        <v>Domaine De Chevalier</v>
      </c>
      <c r="C429" s="1178" t="s">
        <v>20490</v>
      </c>
      <c r="D429" s="1178" t="s">
        <v>897</v>
      </c>
      <c r="E429" s="1179">
        <v>2015</v>
      </c>
      <c r="F429" s="1282" t="s">
        <v>20220</v>
      </c>
      <c r="G429" s="1368">
        <v>28</v>
      </c>
      <c r="H429" s="1178" t="s">
        <v>20221</v>
      </c>
      <c r="I429" s="1178" t="s">
        <v>2678</v>
      </c>
      <c r="J429" s="1178" t="s">
        <v>662</v>
      </c>
      <c r="K429" s="1178" t="s">
        <v>20344</v>
      </c>
      <c r="L429" s="1178" t="s">
        <v>20481</v>
      </c>
      <c r="M429" s="1369"/>
      <c r="N429" s="1178"/>
      <c r="O429" s="1178">
        <v>6</v>
      </c>
      <c r="P429" s="1178">
        <v>13.5</v>
      </c>
    </row>
    <row r="430" spans="1:16">
      <c r="A430" s="1178" t="s">
        <v>20487</v>
      </c>
      <c r="B430" s="1371" t="str">
        <f>HYPERLINK(IFERROR("#Main_Tariff!A"&amp;MATCH(Raeburn_Main_Tariff[[#This Row],[Product Code]],Main_Tariff!I:I,0),"#Main_Tariff!A"&amp;MATCH("*"&amp;RIGHT(A430,8)&amp;"*",Main_Tariff!A:A,0)),Raeburn_Main_Tariff[[#This Row],[PRODUCER]])</f>
        <v>Domaine De Chevalier</v>
      </c>
      <c r="C430" s="1178" t="s">
        <v>20491</v>
      </c>
      <c r="D430" s="1178" t="s">
        <v>897</v>
      </c>
      <c r="E430" s="1179">
        <v>2022</v>
      </c>
      <c r="F430" s="1282" t="s">
        <v>20220</v>
      </c>
      <c r="G430" s="1368" t="s">
        <v>5258</v>
      </c>
      <c r="H430" s="1178" t="s">
        <v>20221</v>
      </c>
      <c r="I430" s="1178" t="s">
        <v>23364</v>
      </c>
      <c r="J430" s="1178" t="s">
        <v>662</v>
      </c>
      <c r="K430" s="1178" t="s">
        <v>20344</v>
      </c>
      <c r="L430" s="1178" t="s">
        <v>20481</v>
      </c>
      <c r="M430" s="1369" t="s">
        <v>23258</v>
      </c>
      <c r="N430" s="1178"/>
      <c r="O430" s="1178">
        <v>6</v>
      </c>
      <c r="P430" s="1178">
        <v>14</v>
      </c>
    </row>
    <row r="431" spans="1:16">
      <c r="A431" s="1178" t="s">
        <v>20487</v>
      </c>
      <c r="B431" s="1371" t="str">
        <f>HYPERLINK(IFERROR("#Main_Tariff!A"&amp;MATCH(Raeburn_Main_Tariff[[#This Row],[Product Code]],Main_Tariff!I:I,0),"#Main_Tariff!A"&amp;MATCH("*"&amp;RIGHT(A431,8)&amp;"*",Main_Tariff!A:A,0)),Raeburn_Main_Tariff[[#This Row],[PRODUCER]])</f>
        <v>Domaine De Chevalier</v>
      </c>
      <c r="C431" s="1178" t="s">
        <v>20491</v>
      </c>
      <c r="D431" s="1178" t="s">
        <v>897</v>
      </c>
      <c r="E431" s="1179">
        <v>2021</v>
      </c>
      <c r="F431" s="1282" t="s">
        <v>20220</v>
      </c>
      <c r="G431" s="1368">
        <v>61.5</v>
      </c>
      <c r="H431" s="1178" t="s">
        <v>20221</v>
      </c>
      <c r="I431" s="1178" t="s">
        <v>2681</v>
      </c>
      <c r="J431" s="1178" t="s">
        <v>662</v>
      </c>
      <c r="K431" s="1178" t="s">
        <v>20344</v>
      </c>
      <c r="L431" s="1178" t="s">
        <v>20481</v>
      </c>
      <c r="M431" s="1369" t="s">
        <v>23258</v>
      </c>
      <c r="N431" s="1178"/>
      <c r="O431" s="1178">
        <v>6</v>
      </c>
      <c r="P431" s="1178">
        <v>13</v>
      </c>
    </row>
    <row r="432" spans="1:16">
      <c r="A432" s="1178" t="s">
        <v>20487</v>
      </c>
      <c r="B432" s="1371" t="str">
        <f>HYPERLINK(IFERROR("#Main_Tariff!A"&amp;MATCH(Raeburn_Main_Tariff[[#This Row],[Product Code]],Main_Tariff!I:I,0),"#Main_Tariff!A"&amp;MATCH("*"&amp;RIGHT(A432,8)&amp;"*",Main_Tariff!A:A,0)),Raeburn_Main_Tariff[[#This Row],[PRODUCER]])</f>
        <v>Domaine De Chevalier</v>
      </c>
      <c r="C432" s="1178" t="s">
        <v>20491</v>
      </c>
      <c r="D432" s="1178" t="s">
        <v>897</v>
      </c>
      <c r="E432" s="1179">
        <v>2019</v>
      </c>
      <c r="F432" s="1282" t="s">
        <v>20220</v>
      </c>
      <c r="G432" s="1368">
        <v>54.5</v>
      </c>
      <c r="H432" s="1178" t="s">
        <v>20221</v>
      </c>
      <c r="I432" s="1178" t="s">
        <v>2683</v>
      </c>
      <c r="J432" s="1178" t="s">
        <v>662</v>
      </c>
      <c r="K432" s="1178" t="s">
        <v>20344</v>
      </c>
      <c r="L432" s="1178" t="s">
        <v>20481</v>
      </c>
      <c r="M432" s="1369" t="s">
        <v>23258</v>
      </c>
      <c r="N432" s="1178"/>
      <c r="O432" s="1178">
        <v>6</v>
      </c>
      <c r="P432" s="1178">
        <v>13</v>
      </c>
    </row>
    <row r="433" spans="1:16">
      <c r="A433" s="1178" t="s">
        <v>115</v>
      </c>
      <c r="B433" s="1371" t="str">
        <f>HYPERLINK(IFERROR("#Main_Tariff!A"&amp;MATCH(Raeburn_Main_Tariff[[#This Row],[Product Code]],Main_Tariff!I:I,0),"#Main_Tariff!A"&amp;MATCH("*"&amp;RIGHT(A433,8)&amp;"*",Main_Tariff!A:A,0)),Raeburn_Main_Tariff[[#This Row],[PRODUCER]])</f>
        <v>de Fieuzal</v>
      </c>
      <c r="C433" s="1178" t="s">
        <v>20492</v>
      </c>
      <c r="D433" s="1178" t="s">
        <v>897</v>
      </c>
      <c r="E433" s="1179">
        <v>2022</v>
      </c>
      <c r="F433" s="1282" t="s">
        <v>20220</v>
      </c>
      <c r="G433" s="1368" t="s">
        <v>20342</v>
      </c>
      <c r="H433" s="1178" t="s">
        <v>20343</v>
      </c>
      <c r="I433" s="1178" t="s">
        <v>2691</v>
      </c>
      <c r="J433" s="1178" t="s">
        <v>662</v>
      </c>
      <c r="K433" s="1178" t="s">
        <v>20344</v>
      </c>
      <c r="L433" s="1178" t="s">
        <v>20481</v>
      </c>
      <c r="M433" s="1369" t="s">
        <v>23258</v>
      </c>
      <c r="N433" s="1178"/>
      <c r="O433" s="1178">
        <v>6</v>
      </c>
      <c r="P433" s="1178">
        <v>0</v>
      </c>
    </row>
    <row r="434" spans="1:16">
      <c r="A434" s="1178" t="s">
        <v>116</v>
      </c>
      <c r="B434" s="1371" t="str">
        <f>HYPERLINK(IFERROR("#Main_Tariff!A"&amp;MATCH(Raeburn_Main_Tariff[[#This Row],[Product Code]],Main_Tariff!I:I,0),"#Main_Tariff!A"&amp;MATCH("*"&amp;RIGHT(A434,8)&amp;"*",Main_Tariff!A:A,0)),Raeburn_Main_Tariff[[#This Row],[PRODUCER]])</f>
        <v>Haut Bailly</v>
      </c>
      <c r="C434" s="1178" t="s">
        <v>20493</v>
      </c>
      <c r="D434" s="1178" t="s">
        <v>897</v>
      </c>
      <c r="E434" s="1179">
        <v>2019</v>
      </c>
      <c r="F434" s="1282" t="s">
        <v>20220</v>
      </c>
      <c r="G434" s="1368" t="s">
        <v>5258</v>
      </c>
      <c r="H434" s="1178" t="s">
        <v>20224</v>
      </c>
      <c r="I434" s="1178" t="s">
        <v>2700</v>
      </c>
      <c r="J434" s="1178" t="s">
        <v>662</v>
      </c>
      <c r="K434" s="1178" t="s">
        <v>20344</v>
      </c>
      <c r="L434" s="1178" t="s">
        <v>20481</v>
      </c>
      <c r="M434" s="1369" t="s">
        <v>23258</v>
      </c>
      <c r="N434" s="1178"/>
      <c r="O434" s="1178">
        <v>6</v>
      </c>
      <c r="P434" s="1178">
        <v>13</v>
      </c>
    </row>
    <row r="435" spans="1:16">
      <c r="A435" s="1178" t="s">
        <v>117</v>
      </c>
      <c r="B435" s="1371" t="str">
        <f>HYPERLINK(IFERROR("#Main_Tariff!A"&amp;MATCH(Raeburn_Main_Tariff[[#This Row],[Product Code]],Main_Tariff!I:I,0),"#Main_Tariff!A"&amp;MATCH("*"&amp;RIGHT(A435,8)&amp;"*",Main_Tariff!A:A,0)),Raeburn_Main_Tariff[[#This Row],[PRODUCER]])</f>
        <v>Haut Bergey</v>
      </c>
      <c r="C435" s="1178" t="s">
        <v>20494</v>
      </c>
      <c r="D435" s="1178" t="s">
        <v>897</v>
      </c>
      <c r="E435" s="1179">
        <v>2021</v>
      </c>
      <c r="F435" s="1282" t="s">
        <v>20220</v>
      </c>
      <c r="G435" s="1368">
        <v>24.5</v>
      </c>
      <c r="H435" s="1178" t="s">
        <v>20221</v>
      </c>
      <c r="I435" s="1178" t="s">
        <v>2710</v>
      </c>
      <c r="J435" s="1178" t="s">
        <v>662</v>
      </c>
      <c r="K435" s="1178" t="s">
        <v>20344</v>
      </c>
      <c r="L435" s="1178" t="s">
        <v>20481</v>
      </c>
      <c r="M435" s="1369"/>
      <c r="N435" s="1178" t="s">
        <v>20244</v>
      </c>
      <c r="O435" s="1178">
        <v>6</v>
      </c>
      <c r="P435" s="1178">
        <v>12.5</v>
      </c>
    </row>
    <row r="436" spans="1:16">
      <c r="A436" s="1178" t="s">
        <v>117</v>
      </c>
      <c r="B436" s="1371" t="str">
        <f>HYPERLINK(IFERROR("#Main_Tariff!A"&amp;MATCH(Raeburn_Main_Tariff[[#This Row],[Product Code]],Main_Tariff!I:I,0),"#Main_Tariff!A"&amp;MATCH("*"&amp;RIGHT(A436,8)&amp;"*",Main_Tariff!A:A,0)),Raeburn_Main_Tariff[[#This Row],[PRODUCER]])</f>
        <v>Haut Bergey</v>
      </c>
      <c r="C436" s="1178" t="s">
        <v>20494</v>
      </c>
      <c r="D436" s="1178" t="s">
        <v>897</v>
      </c>
      <c r="E436" s="1179">
        <v>2008</v>
      </c>
      <c r="F436" s="1282" t="s">
        <v>20220</v>
      </c>
      <c r="G436" s="1368">
        <v>23.75</v>
      </c>
      <c r="H436" s="1178" t="s">
        <v>20277</v>
      </c>
      <c r="I436" s="1178" t="s">
        <v>2712</v>
      </c>
      <c r="J436" s="1178" t="s">
        <v>662</v>
      </c>
      <c r="K436" s="1178" t="s">
        <v>20344</v>
      </c>
      <c r="L436" s="1178" t="s">
        <v>20481</v>
      </c>
      <c r="M436" s="1369"/>
      <c r="N436" s="1178"/>
      <c r="O436" s="1178">
        <v>12</v>
      </c>
      <c r="P436" s="1178">
        <v>12.5</v>
      </c>
    </row>
    <row r="437" spans="1:16">
      <c r="A437" s="1178" t="s">
        <v>118</v>
      </c>
      <c r="B437" s="1371" t="str">
        <f>HYPERLINK(IFERROR("#Main_Tariff!A"&amp;MATCH(Raeburn_Main_Tariff[[#This Row],[Product Code]],Main_Tariff!I:I,0),"#Main_Tariff!A"&amp;MATCH("*"&amp;RIGHT(A437,8)&amp;"*",Main_Tariff!A:A,0)),Raeburn_Main_Tariff[[#This Row],[PRODUCER]])</f>
        <v>Haut Brion</v>
      </c>
      <c r="C437" s="1178" t="s">
        <v>20495</v>
      </c>
      <c r="D437" s="1178" t="s">
        <v>1129</v>
      </c>
      <c r="E437" s="1179">
        <v>2023</v>
      </c>
      <c r="F437" s="1282" t="s">
        <v>20220</v>
      </c>
      <c r="G437" s="1368" t="s">
        <v>20342</v>
      </c>
      <c r="H437" s="1178" t="s">
        <v>20343</v>
      </c>
      <c r="I437" s="1178" t="s">
        <v>2727</v>
      </c>
      <c r="J437" s="1178" t="s">
        <v>662</v>
      </c>
      <c r="K437" s="1178" t="s">
        <v>20344</v>
      </c>
      <c r="L437" s="1178" t="s">
        <v>20481</v>
      </c>
      <c r="M437" s="1369"/>
      <c r="N437" s="1178"/>
      <c r="O437" s="1178">
        <v>6</v>
      </c>
      <c r="P437" s="1178">
        <v>0</v>
      </c>
    </row>
    <row r="438" spans="1:16">
      <c r="A438" s="1178" t="s">
        <v>118</v>
      </c>
      <c r="B438" s="1371" t="str">
        <f>HYPERLINK(IFERROR("#Main_Tariff!A"&amp;MATCH(Raeburn_Main_Tariff[[#This Row],[Product Code]],Main_Tariff!I:I,0),"#Main_Tariff!A"&amp;MATCH("*"&amp;RIGHT(A438,8)&amp;"*",Main_Tariff!A:A,0)),Raeburn_Main_Tariff[[#This Row],[PRODUCER]])</f>
        <v>Haut Brion</v>
      </c>
      <c r="C438" s="1178" t="s">
        <v>20495</v>
      </c>
      <c r="D438" s="1178" t="s">
        <v>1129</v>
      </c>
      <c r="E438" s="1179">
        <v>2022</v>
      </c>
      <c r="F438" s="1282" t="s">
        <v>20220</v>
      </c>
      <c r="G438" s="1368" t="s">
        <v>5258</v>
      </c>
      <c r="H438" s="1178" t="s">
        <v>20224</v>
      </c>
      <c r="I438" s="1178" t="s">
        <v>2729</v>
      </c>
      <c r="J438" s="1178" t="s">
        <v>662</v>
      </c>
      <c r="K438" s="1178" t="s">
        <v>20344</v>
      </c>
      <c r="L438" s="1178" t="s">
        <v>20481</v>
      </c>
      <c r="M438" s="1369"/>
      <c r="N438" s="1178"/>
      <c r="O438" s="1178">
        <v>6</v>
      </c>
      <c r="P438" s="1178">
        <v>14</v>
      </c>
    </row>
    <row r="439" spans="1:16">
      <c r="A439" s="1178" t="s">
        <v>118</v>
      </c>
      <c r="B439" s="1371" t="str">
        <f>HYPERLINK(IFERROR("#Main_Tariff!A"&amp;MATCH(Raeburn_Main_Tariff[[#This Row],[Product Code]],Main_Tariff!I:I,0),"#Main_Tariff!A"&amp;MATCH("*"&amp;RIGHT(A439,8)&amp;"*",Main_Tariff!A:A,0)),Raeburn_Main_Tariff[[#This Row],[PRODUCER]])</f>
        <v>Haut Brion</v>
      </c>
      <c r="C439" s="1178" t="s">
        <v>20495</v>
      </c>
      <c r="D439" s="1178" t="s">
        <v>1129</v>
      </c>
      <c r="E439" s="1179">
        <v>2021</v>
      </c>
      <c r="F439" s="1282" t="s">
        <v>20220</v>
      </c>
      <c r="G439" s="1368">
        <v>110.5</v>
      </c>
      <c r="H439" s="1178" t="s">
        <v>20221</v>
      </c>
      <c r="I439" s="1178" t="s">
        <v>2731</v>
      </c>
      <c r="J439" s="1178" t="s">
        <v>662</v>
      </c>
      <c r="K439" s="1178" t="s">
        <v>20344</v>
      </c>
      <c r="L439" s="1178" t="s">
        <v>20481</v>
      </c>
      <c r="M439" s="1369"/>
      <c r="N439" s="1178"/>
      <c r="O439" s="1178">
        <v>6</v>
      </c>
      <c r="P439" s="1178">
        <v>13.5</v>
      </c>
    </row>
    <row r="440" spans="1:16">
      <c r="A440" s="1178" t="s">
        <v>118</v>
      </c>
      <c r="B440" s="1371" t="str">
        <f>HYPERLINK(IFERROR("#Main_Tariff!A"&amp;MATCH(Raeburn_Main_Tariff[[#This Row],[Product Code]],Main_Tariff!I:I,0),"#Main_Tariff!A"&amp;MATCH("*"&amp;RIGHT(A440,8)&amp;"*",Main_Tariff!A:A,0)),Raeburn_Main_Tariff[[#This Row],[PRODUCER]])</f>
        <v>Haut Brion</v>
      </c>
      <c r="C440" s="1178" t="s">
        <v>20496</v>
      </c>
      <c r="D440" s="1178" t="s">
        <v>897</v>
      </c>
      <c r="E440" s="1179">
        <v>2023</v>
      </c>
      <c r="F440" s="1282" t="s">
        <v>20220</v>
      </c>
      <c r="G440" s="1368" t="s">
        <v>20342</v>
      </c>
      <c r="H440" s="1178" t="s">
        <v>20343</v>
      </c>
      <c r="I440" s="1178" t="s">
        <v>2734</v>
      </c>
      <c r="J440" s="1178" t="s">
        <v>662</v>
      </c>
      <c r="K440" s="1178" t="s">
        <v>20344</v>
      </c>
      <c r="L440" s="1178" t="s">
        <v>20481</v>
      </c>
      <c r="M440" s="1369"/>
      <c r="N440" s="1178"/>
      <c r="O440" s="1178">
        <v>6</v>
      </c>
      <c r="P440" s="1178">
        <v>0</v>
      </c>
    </row>
    <row r="441" spans="1:16">
      <c r="A441" s="1178" t="s">
        <v>118</v>
      </c>
      <c r="B441" s="1371" t="str">
        <f>HYPERLINK(IFERROR("#Main_Tariff!A"&amp;MATCH(Raeburn_Main_Tariff[[#This Row],[Product Code]],Main_Tariff!I:I,0),"#Main_Tariff!A"&amp;MATCH("*"&amp;RIGHT(A441,8)&amp;"*",Main_Tariff!A:A,0)),Raeburn_Main_Tariff[[#This Row],[PRODUCER]])</f>
        <v>Haut Brion</v>
      </c>
      <c r="C441" s="1178" t="s">
        <v>20496</v>
      </c>
      <c r="D441" s="1178" t="s">
        <v>897</v>
      </c>
      <c r="E441" s="1179">
        <v>2022</v>
      </c>
      <c r="F441" s="1282" t="s">
        <v>20220</v>
      </c>
      <c r="G441" s="1368" t="s">
        <v>5258</v>
      </c>
      <c r="H441" s="1178" t="s">
        <v>20224</v>
      </c>
      <c r="I441" s="1178" t="s">
        <v>2736</v>
      </c>
      <c r="J441" s="1178" t="s">
        <v>662</v>
      </c>
      <c r="K441" s="1178" t="s">
        <v>20344</v>
      </c>
      <c r="L441" s="1178" t="s">
        <v>20481</v>
      </c>
      <c r="M441" s="1369"/>
      <c r="N441" s="1178"/>
      <c r="O441" s="1178">
        <v>6</v>
      </c>
      <c r="P441" s="1178">
        <v>14.5</v>
      </c>
    </row>
    <row r="442" spans="1:16">
      <c r="A442" s="1178" t="s">
        <v>118</v>
      </c>
      <c r="B442" s="1371" t="str">
        <f>HYPERLINK(IFERROR("#Main_Tariff!A"&amp;MATCH(Raeburn_Main_Tariff[[#This Row],[Product Code]],Main_Tariff!I:I,0),"#Main_Tariff!A"&amp;MATCH("*"&amp;RIGHT(A442,8)&amp;"*",Main_Tariff!A:A,0)),Raeburn_Main_Tariff[[#This Row],[PRODUCER]])</f>
        <v>Haut Brion</v>
      </c>
      <c r="C442" s="1178" t="s">
        <v>20496</v>
      </c>
      <c r="D442" s="1178" t="s">
        <v>897</v>
      </c>
      <c r="E442" s="1179">
        <v>2021</v>
      </c>
      <c r="F442" s="1282" t="s">
        <v>20220</v>
      </c>
      <c r="G442" s="1368">
        <v>140.75</v>
      </c>
      <c r="H442" s="1178" t="s">
        <v>20221</v>
      </c>
      <c r="I442" s="1178" t="s">
        <v>2738</v>
      </c>
      <c r="J442" s="1178" t="s">
        <v>662</v>
      </c>
      <c r="K442" s="1178" t="s">
        <v>20344</v>
      </c>
      <c r="L442" s="1178" t="s">
        <v>20481</v>
      </c>
      <c r="M442" s="1369"/>
      <c r="N442" s="1178"/>
      <c r="O442" s="1178">
        <v>3</v>
      </c>
      <c r="P442" s="1178">
        <v>13</v>
      </c>
    </row>
    <row r="443" spans="1:16">
      <c r="A443" s="1178" t="s">
        <v>118</v>
      </c>
      <c r="B443" s="1371" t="str">
        <f>HYPERLINK(IFERROR("#Main_Tariff!A"&amp;MATCH(Raeburn_Main_Tariff[[#This Row],[Product Code]],Main_Tariff!I:I,0),"#Main_Tariff!A"&amp;MATCH("*"&amp;RIGHT(A443,8)&amp;"*",Main_Tariff!A:A,0)),Raeburn_Main_Tariff[[#This Row],[PRODUCER]])</f>
        <v>Haut Brion</v>
      </c>
      <c r="C443" s="1178" t="s">
        <v>20496</v>
      </c>
      <c r="D443" s="1178" t="s">
        <v>897</v>
      </c>
      <c r="E443" s="1179">
        <v>2020</v>
      </c>
      <c r="F443" s="1282" t="s">
        <v>20220</v>
      </c>
      <c r="G443" s="1368">
        <v>153</v>
      </c>
      <c r="H443" s="1178" t="s">
        <v>20224</v>
      </c>
      <c r="I443" s="1178" t="s">
        <v>2740</v>
      </c>
      <c r="J443" s="1178" t="s">
        <v>662</v>
      </c>
      <c r="K443" s="1178" t="s">
        <v>20344</v>
      </c>
      <c r="L443" s="1178" t="s">
        <v>20481</v>
      </c>
      <c r="M443" s="1369"/>
      <c r="N443" s="1178"/>
      <c r="O443" s="1178">
        <v>6</v>
      </c>
      <c r="P443" s="1178">
        <v>13</v>
      </c>
    </row>
    <row r="444" spans="1:16">
      <c r="A444" s="1178" t="s">
        <v>118</v>
      </c>
      <c r="B444" s="1371" t="str">
        <f>HYPERLINK(IFERROR("#Main_Tariff!A"&amp;MATCH(Raeburn_Main_Tariff[[#This Row],[Product Code]],Main_Tariff!I:I,0),"#Main_Tariff!A"&amp;MATCH("*"&amp;RIGHT(A444,8)&amp;"*",Main_Tariff!A:A,0)),Raeburn_Main_Tariff[[#This Row],[PRODUCER]])</f>
        <v>Haut Brion</v>
      </c>
      <c r="C444" s="1178" t="s">
        <v>20497</v>
      </c>
      <c r="D444" s="1178" t="s">
        <v>897</v>
      </c>
      <c r="E444" s="1179">
        <v>2023</v>
      </c>
      <c r="F444" s="1282" t="s">
        <v>20220</v>
      </c>
      <c r="G444" s="1368" t="s">
        <v>20342</v>
      </c>
      <c r="H444" s="1178" t="s">
        <v>20343</v>
      </c>
      <c r="I444" s="1178" t="s">
        <v>2743</v>
      </c>
      <c r="J444" s="1178" t="s">
        <v>662</v>
      </c>
      <c r="K444" s="1178" t="s">
        <v>20344</v>
      </c>
      <c r="L444" s="1178" t="s">
        <v>20481</v>
      </c>
      <c r="M444" s="1369" t="s">
        <v>23257</v>
      </c>
      <c r="N444" s="1178"/>
      <c r="O444" s="1178">
        <v>3</v>
      </c>
      <c r="P444" s="1178">
        <v>0</v>
      </c>
    </row>
    <row r="445" spans="1:16">
      <c r="A445" s="1178" t="s">
        <v>118</v>
      </c>
      <c r="B445" s="1371" t="str">
        <f>HYPERLINK(IFERROR("#Main_Tariff!A"&amp;MATCH(Raeburn_Main_Tariff[[#This Row],[Product Code]],Main_Tariff!I:I,0),"#Main_Tariff!A"&amp;MATCH("*"&amp;RIGHT(A445,8)&amp;"*",Main_Tariff!A:A,0)),Raeburn_Main_Tariff[[#This Row],[PRODUCER]])</f>
        <v>Haut Brion</v>
      </c>
      <c r="C445" s="1178" t="s">
        <v>20497</v>
      </c>
      <c r="D445" s="1178" t="s">
        <v>897</v>
      </c>
      <c r="E445" s="1179">
        <v>2022</v>
      </c>
      <c r="F445" s="1282" t="s">
        <v>20220</v>
      </c>
      <c r="G445" s="1368" t="s">
        <v>5258</v>
      </c>
      <c r="H445" s="1178" t="s">
        <v>20224</v>
      </c>
      <c r="I445" s="1178" t="s">
        <v>2744</v>
      </c>
      <c r="J445" s="1178" t="s">
        <v>662</v>
      </c>
      <c r="K445" s="1178" t="s">
        <v>20344</v>
      </c>
      <c r="L445" s="1178" t="s">
        <v>20481</v>
      </c>
      <c r="M445" s="1369" t="s">
        <v>23257</v>
      </c>
      <c r="N445" s="1178"/>
      <c r="O445" s="1178">
        <v>6</v>
      </c>
      <c r="P445" s="1178">
        <v>14.5</v>
      </c>
    </row>
    <row r="446" spans="1:16">
      <c r="A446" s="1178" t="s">
        <v>118</v>
      </c>
      <c r="B446" s="1371" t="str">
        <f>HYPERLINK(IFERROR("#Main_Tariff!A"&amp;MATCH(Raeburn_Main_Tariff[[#This Row],[Product Code]],Main_Tariff!I:I,0),"#Main_Tariff!A"&amp;MATCH("*"&amp;RIGHT(A446,8)&amp;"*",Main_Tariff!A:A,0)),Raeburn_Main_Tariff[[#This Row],[PRODUCER]])</f>
        <v>Haut Brion</v>
      </c>
      <c r="C446" s="1178" t="s">
        <v>20497</v>
      </c>
      <c r="D446" s="1178" t="s">
        <v>897</v>
      </c>
      <c r="E446" s="1179">
        <v>2021</v>
      </c>
      <c r="F446" s="1282" t="s">
        <v>20220</v>
      </c>
      <c r="G446" s="1368" t="s">
        <v>5258</v>
      </c>
      <c r="H446" s="1178" t="s">
        <v>20221</v>
      </c>
      <c r="I446" s="1178" t="s">
        <v>2746</v>
      </c>
      <c r="J446" s="1178" t="s">
        <v>662</v>
      </c>
      <c r="K446" s="1178" t="s">
        <v>20344</v>
      </c>
      <c r="L446" s="1178" t="s">
        <v>20481</v>
      </c>
      <c r="M446" s="1369" t="s">
        <v>23257</v>
      </c>
      <c r="N446" s="1178"/>
      <c r="O446" s="1178">
        <v>6</v>
      </c>
      <c r="P446" s="1178">
        <v>13</v>
      </c>
    </row>
    <row r="447" spans="1:16">
      <c r="A447" s="1178" t="s">
        <v>118</v>
      </c>
      <c r="B447" s="1371" t="str">
        <f>HYPERLINK(IFERROR("#Main_Tariff!A"&amp;MATCH(Raeburn_Main_Tariff[[#This Row],[Product Code]],Main_Tariff!I:I,0),"#Main_Tariff!A"&amp;MATCH("*"&amp;RIGHT(A447,8)&amp;"*",Main_Tariff!A:A,0)),Raeburn_Main_Tariff[[#This Row],[PRODUCER]])</f>
        <v>Haut Brion</v>
      </c>
      <c r="C447" s="1178" t="s">
        <v>20497</v>
      </c>
      <c r="D447" s="1178" t="s">
        <v>897</v>
      </c>
      <c r="E447" s="1179">
        <v>2020</v>
      </c>
      <c r="F447" s="1282" t="s">
        <v>20220</v>
      </c>
      <c r="G447" s="1368" t="s">
        <v>5258</v>
      </c>
      <c r="H447" s="1178" t="s">
        <v>20221</v>
      </c>
      <c r="I447" s="1178" t="s">
        <v>2747</v>
      </c>
      <c r="J447" s="1178" t="s">
        <v>662</v>
      </c>
      <c r="K447" s="1178" t="s">
        <v>20344</v>
      </c>
      <c r="L447" s="1178" t="s">
        <v>20481</v>
      </c>
      <c r="M447" s="1369" t="s">
        <v>23257</v>
      </c>
      <c r="N447" s="1178"/>
      <c r="O447" s="1178">
        <v>6</v>
      </c>
      <c r="P447" s="1178">
        <v>13</v>
      </c>
    </row>
    <row r="448" spans="1:16">
      <c r="A448" s="1178" t="s">
        <v>118</v>
      </c>
      <c r="B448" s="1371" t="str">
        <f>HYPERLINK(IFERROR("#Main_Tariff!A"&amp;MATCH(Raeburn_Main_Tariff[[#This Row],[Product Code]],Main_Tariff!I:I,0),"#Main_Tariff!A"&amp;MATCH("*"&amp;RIGHT(A448,8)&amp;"*",Main_Tariff!A:A,0)),Raeburn_Main_Tariff[[#This Row],[PRODUCER]])</f>
        <v>Haut Brion</v>
      </c>
      <c r="C448" s="1178" t="s">
        <v>20497</v>
      </c>
      <c r="D448" s="1178" t="s">
        <v>897</v>
      </c>
      <c r="E448" s="1179">
        <v>2019</v>
      </c>
      <c r="F448" s="1282" t="s">
        <v>20220</v>
      </c>
      <c r="G448" s="1368" t="s">
        <v>5258</v>
      </c>
      <c r="H448" s="1178" t="s">
        <v>20221</v>
      </c>
      <c r="I448" s="1178" t="s">
        <v>2748</v>
      </c>
      <c r="J448" s="1178" t="s">
        <v>662</v>
      </c>
      <c r="K448" s="1178" t="s">
        <v>20344</v>
      </c>
      <c r="L448" s="1178" t="s">
        <v>20481</v>
      </c>
      <c r="M448" s="1369" t="s">
        <v>23257</v>
      </c>
      <c r="N448" s="1178"/>
      <c r="O448" s="1178">
        <v>3</v>
      </c>
      <c r="P448" s="1178">
        <v>13.5</v>
      </c>
    </row>
    <row r="449" spans="1:16">
      <c r="A449" s="1178" t="s">
        <v>119</v>
      </c>
      <c r="B449" s="1371" t="str">
        <f>HYPERLINK(IFERROR("#Main_Tariff!A"&amp;MATCH(Raeburn_Main_Tariff[[#This Row],[Product Code]],Main_Tariff!I:I,0),"#Main_Tariff!A"&amp;MATCH("*"&amp;RIGHT(A449,8)&amp;"*",Main_Tariff!A:A,0)),Raeburn_Main_Tariff[[#This Row],[PRODUCER]])</f>
        <v>La Mission Haut Brion</v>
      </c>
      <c r="C449" s="1178" t="s">
        <v>20498</v>
      </c>
      <c r="D449" s="1178" t="s">
        <v>897</v>
      </c>
      <c r="E449" s="1179">
        <v>2022</v>
      </c>
      <c r="F449" s="1282" t="s">
        <v>20220</v>
      </c>
      <c r="G449" s="1368" t="s">
        <v>5258</v>
      </c>
      <c r="H449" s="1178" t="s">
        <v>20224</v>
      </c>
      <c r="I449" s="1178" t="s">
        <v>2750</v>
      </c>
      <c r="J449" s="1178" t="s">
        <v>662</v>
      </c>
      <c r="K449" s="1178" t="s">
        <v>20344</v>
      </c>
      <c r="L449" s="1178" t="s">
        <v>20481</v>
      </c>
      <c r="M449" s="1369"/>
      <c r="N449" s="1178"/>
      <c r="O449" s="1178">
        <v>6</v>
      </c>
      <c r="P449" s="1178">
        <v>14</v>
      </c>
    </row>
    <row r="450" spans="1:16">
      <c r="A450" s="1178" t="s">
        <v>119</v>
      </c>
      <c r="B450" s="1371" t="str">
        <f>HYPERLINK(IFERROR("#Main_Tariff!A"&amp;MATCH(Raeburn_Main_Tariff[[#This Row],[Product Code]],Main_Tariff!I:I,0),"#Main_Tariff!A"&amp;MATCH("*"&amp;RIGHT(A450,8)&amp;"*",Main_Tariff!A:A,0)),Raeburn_Main_Tariff[[#This Row],[PRODUCER]])</f>
        <v>La Mission Haut Brion</v>
      </c>
      <c r="C450" s="1178" t="s">
        <v>20498</v>
      </c>
      <c r="D450" s="1178" t="s">
        <v>897</v>
      </c>
      <c r="E450" s="1179">
        <v>2021</v>
      </c>
      <c r="F450" s="1282" t="s">
        <v>20220</v>
      </c>
      <c r="G450" s="1368">
        <v>74</v>
      </c>
      <c r="H450" s="1178" t="s">
        <v>20221</v>
      </c>
      <c r="I450" s="1178" t="s">
        <v>2752</v>
      </c>
      <c r="J450" s="1178" t="s">
        <v>662</v>
      </c>
      <c r="K450" s="1178" t="s">
        <v>20344</v>
      </c>
      <c r="L450" s="1178" t="s">
        <v>20481</v>
      </c>
      <c r="M450" s="1369"/>
      <c r="N450" s="1178"/>
      <c r="O450" s="1178">
        <v>6</v>
      </c>
      <c r="P450" s="1178">
        <v>13.5</v>
      </c>
    </row>
    <row r="451" spans="1:16">
      <c r="A451" s="1178" t="s">
        <v>119</v>
      </c>
      <c r="B451" s="1371" t="str">
        <f>HYPERLINK(IFERROR("#Main_Tariff!A"&amp;MATCH(Raeburn_Main_Tariff[[#This Row],[Product Code]],Main_Tariff!I:I,0),"#Main_Tariff!A"&amp;MATCH("*"&amp;RIGHT(A451,8)&amp;"*",Main_Tariff!A:A,0)),Raeburn_Main_Tariff[[#This Row],[PRODUCER]])</f>
        <v>La Mission Haut Brion</v>
      </c>
      <c r="C451" s="1178" t="s">
        <v>20499</v>
      </c>
      <c r="D451" s="1178" t="s">
        <v>897</v>
      </c>
      <c r="E451" s="1179">
        <v>2022</v>
      </c>
      <c r="F451" s="1282" t="s">
        <v>20220</v>
      </c>
      <c r="G451" s="1368" t="s">
        <v>5258</v>
      </c>
      <c r="H451" s="1178" t="s">
        <v>20224</v>
      </c>
      <c r="I451" s="1178" t="s">
        <v>2754</v>
      </c>
      <c r="J451" s="1178" t="s">
        <v>662</v>
      </c>
      <c r="K451" s="1178" t="s">
        <v>20344</v>
      </c>
      <c r="L451" s="1178" t="s">
        <v>20481</v>
      </c>
      <c r="M451" s="1369" t="s">
        <v>23258</v>
      </c>
      <c r="N451" s="1178"/>
      <c r="O451" s="1178">
        <v>6</v>
      </c>
      <c r="P451" s="1178">
        <v>14</v>
      </c>
    </row>
    <row r="452" spans="1:16">
      <c r="A452" s="1178" t="s">
        <v>119</v>
      </c>
      <c r="B452" s="1371" t="str">
        <f>HYPERLINK(IFERROR("#Main_Tariff!A"&amp;MATCH(Raeburn_Main_Tariff[[#This Row],[Product Code]],Main_Tariff!I:I,0),"#Main_Tariff!A"&amp;MATCH("*"&amp;RIGHT(A452,8)&amp;"*",Main_Tariff!A:A,0)),Raeburn_Main_Tariff[[#This Row],[PRODUCER]])</f>
        <v>La Mission Haut Brion</v>
      </c>
      <c r="C452" s="1178" t="s">
        <v>20499</v>
      </c>
      <c r="D452" s="1178" t="s">
        <v>897</v>
      </c>
      <c r="E452" s="1179">
        <v>2021</v>
      </c>
      <c r="F452" s="1282" t="s">
        <v>20220</v>
      </c>
      <c r="G452" s="1368">
        <v>280.5</v>
      </c>
      <c r="H452" s="1178" t="s">
        <v>20221</v>
      </c>
      <c r="I452" s="1178" t="s">
        <v>2756</v>
      </c>
      <c r="J452" s="1178" t="s">
        <v>662</v>
      </c>
      <c r="K452" s="1178" t="s">
        <v>20344</v>
      </c>
      <c r="L452" s="1178" t="s">
        <v>20481</v>
      </c>
      <c r="M452" s="1369" t="s">
        <v>23258</v>
      </c>
      <c r="N452" s="1178"/>
      <c r="O452" s="1178">
        <v>6</v>
      </c>
      <c r="P452" s="1178">
        <v>13.5</v>
      </c>
    </row>
    <row r="453" spans="1:16">
      <c r="A453" s="1178" t="s">
        <v>119</v>
      </c>
      <c r="B453" s="1371" t="str">
        <f>HYPERLINK(IFERROR("#Main_Tariff!A"&amp;MATCH(Raeburn_Main_Tariff[[#This Row],[Product Code]],Main_Tariff!I:I,0),"#Main_Tariff!A"&amp;MATCH("*"&amp;RIGHT(A453,8)&amp;"*",Main_Tariff!A:A,0)),Raeburn_Main_Tariff[[#This Row],[PRODUCER]])</f>
        <v>La Mission Haut Brion</v>
      </c>
      <c r="C453" s="1178" t="s">
        <v>20499</v>
      </c>
      <c r="D453" s="1178" t="s">
        <v>897</v>
      </c>
      <c r="E453" s="1179">
        <v>2020</v>
      </c>
      <c r="F453" s="1282" t="s">
        <v>20220</v>
      </c>
      <c r="G453" s="1368">
        <v>313.5</v>
      </c>
      <c r="H453" s="1178" t="s">
        <v>20224</v>
      </c>
      <c r="I453" s="1178" t="s">
        <v>2758</v>
      </c>
      <c r="J453" s="1178" t="s">
        <v>662</v>
      </c>
      <c r="K453" s="1178" t="s">
        <v>20344</v>
      </c>
      <c r="L453" s="1178" t="s">
        <v>20481</v>
      </c>
      <c r="M453" s="1369" t="s">
        <v>23258</v>
      </c>
      <c r="N453" s="1178"/>
      <c r="O453" s="1178">
        <v>6</v>
      </c>
      <c r="P453" s="1178">
        <v>13</v>
      </c>
    </row>
    <row r="454" spans="1:16">
      <c r="A454" s="1178" t="s">
        <v>120</v>
      </c>
      <c r="B454" s="1371" t="str">
        <f>HYPERLINK(IFERROR("#Main_Tariff!A"&amp;MATCH(Raeburn_Main_Tariff[[#This Row],[Product Code]],Main_Tariff!I:I,0),"#Main_Tariff!A"&amp;MATCH("*"&amp;RIGHT(A454,8)&amp;"*",Main_Tariff!A:A,0)),Raeburn_Main_Tariff[[#This Row],[PRODUCER]])</f>
        <v>Malartic-Lagraviere</v>
      </c>
      <c r="C454" s="1178" t="s">
        <v>20500</v>
      </c>
      <c r="D454" s="1178" t="s">
        <v>897</v>
      </c>
      <c r="E454" s="1179">
        <v>2022</v>
      </c>
      <c r="F454" s="1282" t="s">
        <v>20220</v>
      </c>
      <c r="G454" s="1368" t="s">
        <v>5258</v>
      </c>
      <c r="H454" s="1178" t="s">
        <v>20221</v>
      </c>
      <c r="I454" s="1178" t="s">
        <v>23365</v>
      </c>
      <c r="J454" s="1178" t="s">
        <v>662</v>
      </c>
      <c r="K454" s="1178" t="s">
        <v>20344</v>
      </c>
      <c r="L454" s="1178" t="s">
        <v>20481</v>
      </c>
      <c r="M454" s="1369" t="s">
        <v>23258</v>
      </c>
      <c r="N454" s="1178"/>
      <c r="O454" s="1178">
        <v>6</v>
      </c>
      <c r="P454" s="1178">
        <v>13</v>
      </c>
    </row>
    <row r="455" spans="1:16">
      <c r="A455" s="1178" t="s">
        <v>120</v>
      </c>
      <c r="B455" s="1371" t="str">
        <f>HYPERLINK(IFERROR("#Main_Tariff!A"&amp;MATCH(Raeburn_Main_Tariff[[#This Row],[Product Code]],Main_Tariff!I:I,0),"#Main_Tariff!A"&amp;MATCH("*"&amp;RIGHT(A455,8)&amp;"*",Main_Tariff!A:A,0)),Raeburn_Main_Tariff[[#This Row],[PRODUCER]])</f>
        <v>Malartic-Lagraviere</v>
      </c>
      <c r="C455" s="1178" t="s">
        <v>20500</v>
      </c>
      <c r="D455" s="1178" t="s">
        <v>897</v>
      </c>
      <c r="E455" s="1179">
        <v>2020</v>
      </c>
      <c r="F455" s="1282" t="s">
        <v>20220</v>
      </c>
      <c r="G455" s="1368">
        <v>42.5</v>
      </c>
      <c r="H455" s="1178" t="s">
        <v>20221</v>
      </c>
      <c r="I455" s="1178" t="s">
        <v>2761</v>
      </c>
      <c r="J455" s="1178" t="s">
        <v>662</v>
      </c>
      <c r="K455" s="1178" t="s">
        <v>20344</v>
      </c>
      <c r="L455" s="1178" t="s">
        <v>20481</v>
      </c>
      <c r="M455" s="1369" t="s">
        <v>23258</v>
      </c>
      <c r="N455" s="1178"/>
      <c r="O455" s="1178">
        <v>6</v>
      </c>
      <c r="P455" s="1178">
        <v>13</v>
      </c>
    </row>
    <row r="456" spans="1:16">
      <c r="A456" s="1178" t="s">
        <v>120</v>
      </c>
      <c r="B456" s="1371" t="str">
        <f>HYPERLINK(IFERROR("#Main_Tariff!A"&amp;MATCH(Raeburn_Main_Tariff[[#This Row],[Product Code]],Main_Tariff!I:I,0),"#Main_Tariff!A"&amp;MATCH("*"&amp;RIGHT(A456,8)&amp;"*",Main_Tariff!A:A,0)),Raeburn_Main_Tariff[[#This Row],[PRODUCER]])</f>
        <v>Malartic-Lagraviere</v>
      </c>
      <c r="C456" s="1178" t="s">
        <v>20500</v>
      </c>
      <c r="D456" s="1178" t="s">
        <v>897</v>
      </c>
      <c r="E456" s="1179">
        <v>2019</v>
      </c>
      <c r="F456" s="1282" t="s">
        <v>20220</v>
      </c>
      <c r="G456" s="1368">
        <v>40</v>
      </c>
      <c r="H456" s="1178" t="s">
        <v>20221</v>
      </c>
      <c r="I456" s="1178" t="s">
        <v>2762</v>
      </c>
      <c r="J456" s="1178" t="s">
        <v>662</v>
      </c>
      <c r="K456" s="1178" t="s">
        <v>20344</v>
      </c>
      <c r="L456" s="1178" t="s">
        <v>20481</v>
      </c>
      <c r="M456" s="1369" t="s">
        <v>23258</v>
      </c>
      <c r="N456" s="1178"/>
      <c r="O456" s="1178">
        <v>6</v>
      </c>
      <c r="P456" s="1178">
        <v>13</v>
      </c>
    </row>
    <row r="457" spans="1:16">
      <c r="A457" s="1178" t="s">
        <v>121</v>
      </c>
      <c r="B457" s="1371" t="str">
        <f>HYPERLINK(IFERROR("#Main_Tariff!A"&amp;MATCH(Raeburn_Main_Tariff[[#This Row],[Product Code]],Main_Tariff!I:I,0),"#Main_Tariff!A"&amp;MATCH("*"&amp;RIGHT(A457,8)&amp;"*",Main_Tariff!A:A,0)),Raeburn_Main_Tariff[[#This Row],[PRODUCER]])</f>
        <v>Pape Clément</v>
      </c>
      <c r="C457" s="1178" t="s">
        <v>20501</v>
      </c>
      <c r="D457" s="1178" t="s">
        <v>897</v>
      </c>
      <c r="E457" s="1179">
        <v>2022</v>
      </c>
      <c r="F457" s="1282" t="s">
        <v>20220</v>
      </c>
      <c r="G457" s="1368" t="s">
        <v>5258</v>
      </c>
      <c r="H457" s="1178" t="s">
        <v>20221</v>
      </c>
      <c r="I457" s="1178" t="s">
        <v>2774</v>
      </c>
      <c r="J457" s="1178" t="s">
        <v>662</v>
      </c>
      <c r="K457" s="1178" t="s">
        <v>20344</v>
      </c>
      <c r="L457" s="1178" t="s">
        <v>20481</v>
      </c>
      <c r="M457" s="1369" t="s">
        <v>23258</v>
      </c>
      <c r="N457" s="1178"/>
      <c r="O457" s="1178">
        <v>6</v>
      </c>
      <c r="P457" s="1178">
        <v>14</v>
      </c>
    </row>
    <row r="458" spans="1:16">
      <c r="A458" s="1178" t="s">
        <v>121</v>
      </c>
      <c r="B458" s="1371" t="str">
        <f>HYPERLINK(IFERROR("#Main_Tariff!A"&amp;MATCH(Raeburn_Main_Tariff[[#This Row],[Product Code]],Main_Tariff!I:I,0),"#Main_Tariff!A"&amp;MATCH("*"&amp;RIGHT(A458,8)&amp;"*",Main_Tariff!A:A,0)),Raeburn_Main_Tariff[[#This Row],[PRODUCER]])</f>
        <v>Pape Clément</v>
      </c>
      <c r="C458" s="1178" t="s">
        <v>20501</v>
      </c>
      <c r="D458" s="1178" t="s">
        <v>897</v>
      </c>
      <c r="E458" s="1179">
        <v>2020</v>
      </c>
      <c r="F458" s="1282" t="s">
        <v>20220</v>
      </c>
      <c r="G458" s="1368">
        <v>83</v>
      </c>
      <c r="H458" s="1178" t="s">
        <v>20221</v>
      </c>
      <c r="I458" s="1178" t="s">
        <v>2776</v>
      </c>
      <c r="J458" s="1178" t="s">
        <v>662</v>
      </c>
      <c r="K458" s="1178" t="s">
        <v>20344</v>
      </c>
      <c r="L458" s="1178" t="s">
        <v>20481</v>
      </c>
      <c r="M458" s="1369" t="s">
        <v>23258</v>
      </c>
      <c r="N458" s="1178"/>
      <c r="O458" s="1178">
        <v>6</v>
      </c>
      <c r="P458" s="1178">
        <v>13</v>
      </c>
    </row>
    <row r="459" spans="1:16">
      <c r="A459" s="1178" t="s">
        <v>121</v>
      </c>
      <c r="B459" s="1371" t="str">
        <f>HYPERLINK(IFERROR("#Main_Tariff!A"&amp;MATCH(Raeburn_Main_Tariff[[#This Row],[Product Code]],Main_Tariff!I:I,0),"#Main_Tariff!A"&amp;MATCH("*"&amp;RIGHT(A459,8)&amp;"*",Main_Tariff!A:A,0)),Raeburn_Main_Tariff[[#This Row],[PRODUCER]])</f>
        <v>Pape Clément</v>
      </c>
      <c r="C459" s="1178" t="s">
        <v>20501</v>
      </c>
      <c r="D459" s="1178" t="s">
        <v>897</v>
      </c>
      <c r="E459" s="1179">
        <v>2019</v>
      </c>
      <c r="F459" s="1282" t="s">
        <v>20220</v>
      </c>
      <c r="G459" s="1368" t="s">
        <v>5258</v>
      </c>
      <c r="H459" s="1178" t="s">
        <v>20221</v>
      </c>
      <c r="I459" s="1178" t="s">
        <v>2778</v>
      </c>
      <c r="J459" s="1178" t="s">
        <v>662</v>
      </c>
      <c r="K459" s="1178" t="s">
        <v>20344</v>
      </c>
      <c r="L459" s="1178" t="s">
        <v>20481</v>
      </c>
      <c r="M459" s="1369" t="s">
        <v>23258</v>
      </c>
      <c r="N459" s="1178"/>
      <c r="O459" s="1178">
        <v>6</v>
      </c>
      <c r="P459" s="1178">
        <v>13</v>
      </c>
    </row>
    <row r="460" spans="1:16">
      <c r="A460" s="1178" t="s">
        <v>122</v>
      </c>
      <c r="B460" s="1371" t="str">
        <f>HYPERLINK(IFERROR("#Main_Tariff!A"&amp;MATCH(Raeburn_Main_Tariff[[#This Row],[Product Code]],Main_Tariff!I:I,0),"#Main_Tariff!A"&amp;MATCH("*"&amp;RIGHT(A460,8)&amp;"*",Main_Tariff!A:A,0)),Raeburn_Main_Tariff[[#This Row],[PRODUCER]])</f>
        <v>Smith-Haut Lafitte</v>
      </c>
      <c r="C460" s="1178" t="s">
        <v>20502</v>
      </c>
      <c r="D460" s="1178" t="s">
        <v>1129</v>
      </c>
      <c r="E460" s="1179">
        <v>2021</v>
      </c>
      <c r="F460" s="1282" t="s">
        <v>20220</v>
      </c>
      <c r="G460" s="1368" t="s">
        <v>5258</v>
      </c>
      <c r="H460" s="1178" t="s">
        <v>20224</v>
      </c>
      <c r="I460" s="1178" t="s">
        <v>2782</v>
      </c>
      <c r="J460" s="1178" t="s">
        <v>662</v>
      </c>
      <c r="K460" s="1178" t="s">
        <v>20344</v>
      </c>
      <c r="L460" s="1178" t="s">
        <v>20481</v>
      </c>
      <c r="M460" s="1369" t="s">
        <v>23258</v>
      </c>
      <c r="N460" s="1178" t="s">
        <v>20244</v>
      </c>
      <c r="O460" s="1178">
        <v>3</v>
      </c>
      <c r="P460" s="1178">
        <v>14</v>
      </c>
    </row>
    <row r="461" spans="1:16">
      <c r="A461" s="1178" t="s">
        <v>122</v>
      </c>
      <c r="B461" s="1371" t="str">
        <f>HYPERLINK(IFERROR("#Main_Tariff!A"&amp;MATCH(Raeburn_Main_Tariff[[#This Row],[Product Code]],Main_Tariff!I:I,0),"#Main_Tariff!A"&amp;MATCH("*"&amp;RIGHT(A461,8)&amp;"*",Main_Tariff!A:A,0)),Raeburn_Main_Tariff[[#This Row],[PRODUCER]])</f>
        <v>Smith-Haut Lafitte</v>
      </c>
      <c r="C461" s="1178" t="s">
        <v>20502</v>
      </c>
      <c r="D461" s="1178" t="s">
        <v>1129</v>
      </c>
      <c r="E461" s="1179">
        <v>2019</v>
      </c>
      <c r="F461" s="1282" t="s">
        <v>20220</v>
      </c>
      <c r="G461" s="1368" t="s">
        <v>5258</v>
      </c>
      <c r="H461" s="1178" t="s">
        <v>20224</v>
      </c>
      <c r="I461" s="1178" t="s">
        <v>2784</v>
      </c>
      <c r="J461" s="1178" t="s">
        <v>662</v>
      </c>
      <c r="K461" s="1178" t="s">
        <v>20344</v>
      </c>
      <c r="L461" s="1178" t="s">
        <v>20481</v>
      </c>
      <c r="M461" s="1369" t="s">
        <v>23258</v>
      </c>
      <c r="N461" s="1178" t="s">
        <v>20244</v>
      </c>
      <c r="O461" s="1178">
        <v>6</v>
      </c>
      <c r="P461" s="1178">
        <v>15</v>
      </c>
    </row>
    <row r="462" spans="1:16">
      <c r="A462" s="1178" t="s">
        <v>122</v>
      </c>
      <c r="B462" s="1371" t="str">
        <f>HYPERLINK(IFERROR("#Main_Tariff!A"&amp;MATCH(Raeburn_Main_Tariff[[#This Row],[Product Code]],Main_Tariff!I:I,0),"#Main_Tariff!A"&amp;MATCH("*"&amp;RIGHT(A462,8)&amp;"*",Main_Tariff!A:A,0)),Raeburn_Main_Tariff[[#This Row],[PRODUCER]])</f>
        <v>Smith-Haut Lafitte</v>
      </c>
      <c r="C462" s="1178" t="s">
        <v>20503</v>
      </c>
      <c r="D462" s="1178" t="s">
        <v>897</v>
      </c>
      <c r="E462" s="1179">
        <v>2019</v>
      </c>
      <c r="F462" s="1282" t="s">
        <v>20220</v>
      </c>
      <c r="G462" s="1368">
        <v>30</v>
      </c>
      <c r="H462" s="1178" t="s">
        <v>20221</v>
      </c>
      <c r="I462" s="1178" t="s">
        <v>2787</v>
      </c>
      <c r="J462" s="1178" t="s">
        <v>662</v>
      </c>
      <c r="K462" s="1178" t="s">
        <v>20344</v>
      </c>
      <c r="L462" s="1178" t="s">
        <v>20481</v>
      </c>
      <c r="M462" s="1369"/>
      <c r="N462" s="1178" t="s">
        <v>20244</v>
      </c>
      <c r="O462" s="1178">
        <v>6</v>
      </c>
      <c r="P462" s="1178">
        <v>13</v>
      </c>
    </row>
    <row r="463" spans="1:16">
      <c r="A463" s="1178" t="s">
        <v>122</v>
      </c>
      <c r="B463" s="1371" t="str">
        <f>HYPERLINK(IFERROR("#Main_Tariff!A"&amp;MATCH(Raeburn_Main_Tariff[[#This Row],[Product Code]],Main_Tariff!I:I,0),"#Main_Tariff!A"&amp;MATCH("*"&amp;RIGHT(A463,8)&amp;"*",Main_Tariff!A:A,0)),Raeburn_Main_Tariff[[#This Row],[PRODUCER]])</f>
        <v>Smith-Haut Lafitte</v>
      </c>
      <c r="C463" s="1178" t="s">
        <v>20504</v>
      </c>
      <c r="D463" s="1178" t="s">
        <v>897</v>
      </c>
      <c r="E463" s="1179">
        <v>2022</v>
      </c>
      <c r="F463" s="1282" t="s">
        <v>20220</v>
      </c>
      <c r="G463" s="1368" t="s">
        <v>20342</v>
      </c>
      <c r="H463" s="1178" t="s">
        <v>20343</v>
      </c>
      <c r="I463" s="1178" t="s">
        <v>2789</v>
      </c>
      <c r="J463" s="1178" t="s">
        <v>662</v>
      </c>
      <c r="K463" s="1178" t="s">
        <v>20344</v>
      </c>
      <c r="L463" s="1178" t="s">
        <v>20481</v>
      </c>
      <c r="M463" s="1369" t="s">
        <v>23258</v>
      </c>
      <c r="N463" s="1178" t="s">
        <v>20244</v>
      </c>
      <c r="O463" s="1178">
        <v>6</v>
      </c>
      <c r="P463" s="1178">
        <v>13</v>
      </c>
    </row>
    <row r="464" spans="1:16">
      <c r="A464" s="1178" t="s">
        <v>122</v>
      </c>
      <c r="B464" s="1371" t="str">
        <f>HYPERLINK(IFERROR("#Main_Tariff!A"&amp;MATCH(Raeburn_Main_Tariff[[#This Row],[Product Code]],Main_Tariff!I:I,0),"#Main_Tariff!A"&amp;MATCH("*"&amp;RIGHT(A464,8)&amp;"*",Main_Tariff!A:A,0)),Raeburn_Main_Tariff[[#This Row],[PRODUCER]])</f>
        <v>Smith-Haut Lafitte</v>
      </c>
      <c r="C464" s="1178" t="s">
        <v>20504</v>
      </c>
      <c r="D464" s="1178" t="s">
        <v>897</v>
      </c>
      <c r="E464" s="1179">
        <v>2021</v>
      </c>
      <c r="F464" s="1282" t="s">
        <v>20220</v>
      </c>
      <c r="G464" s="1368">
        <v>118</v>
      </c>
      <c r="H464" s="1178" t="s">
        <v>20221</v>
      </c>
      <c r="I464" s="1178" t="s">
        <v>2790</v>
      </c>
      <c r="J464" s="1178" t="s">
        <v>662</v>
      </c>
      <c r="K464" s="1178" t="s">
        <v>20344</v>
      </c>
      <c r="L464" s="1178" t="s">
        <v>20481</v>
      </c>
      <c r="M464" s="1369" t="s">
        <v>23258</v>
      </c>
      <c r="N464" s="1178" t="s">
        <v>20244</v>
      </c>
      <c r="O464" s="1178">
        <v>6</v>
      </c>
      <c r="P464" s="1178">
        <v>13.5</v>
      </c>
    </row>
    <row r="465" spans="1:16">
      <c r="A465" s="1178" t="s">
        <v>122</v>
      </c>
      <c r="B465" s="1371" t="str">
        <f>HYPERLINK(IFERROR("#Main_Tariff!A"&amp;MATCH(Raeburn_Main_Tariff[[#This Row],[Product Code]],Main_Tariff!I:I,0),"#Main_Tariff!A"&amp;MATCH("*"&amp;RIGHT(A465,8)&amp;"*",Main_Tariff!A:A,0)),Raeburn_Main_Tariff[[#This Row],[PRODUCER]])</f>
        <v>Smith-Haut Lafitte</v>
      </c>
      <c r="C465" s="1178" t="s">
        <v>20504</v>
      </c>
      <c r="D465" s="1178" t="s">
        <v>897</v>
      </c>
      <c r="E465" s="1179">
        <v>2020</v>
      </c>
      <c r="F465" s="1282" t="s">
        <v>20220</v>
      </c>
      <c r="G465" s="1368">
        <v>123.75</v>
      </c>
      <c r="H465" s="1178" t="s">
        <v>20221</v>
      </c>
      <c r="I465" s="1178" t="s">
        <v>2792</v>
      </c>
      <c r="J465" s="1178" t="s">
        <v>662</v>
      </c>
      <c r="K465" s="1178" t="s">
        <v>20344</v>
      </c>
      <c r="L465" s="1178" t="s">
        <v>20481</v>
      </c>
      <c r="M465" s="1369" t="s">
        <v>23258</v>
      </c>
      <c r="N465" s="1178" t="s">
        <v>20244</v>
      </c>
      <c r="O465" s="1178">
        <v>6</v>
      </c>
      <c r="P465" s="1178">
        <v>13</v>
      </c>
    </row>
    <row r="466" spans="1:16">
      <c r="A466" s="1178" t="s">
        <v>122</v>
      </c>
      <c r="B466" s="1371" t="str">
        <f>HYPERLINK(IFERROR("#Main_Tariff!A"&amp;MATCH(Raeburn_Main_Tariff[[#This Row],[Product Code]],Main_Tariff!I:I,0),"#Main_Tariff!A"&amp;MATCH("*"&amp;RIGHT(A466,8)&amp;"*",Main_Tariff!A:A,0)),Raeburn_Main_Tariff[[#This Row],[PRODUCER]])</f>
        <v>Smith-Haut Lafitte</v>
      </c>
      <c r="C466" s="1178" t="s">
        <v>20504</v>
      </c>
      <c r="D466" s="1178" t="s">
        <v>897</v>
      </c>
      <c r="E466" s="1179">
        <v>2019</v>
      </c>
      <c r="F466" s="1282" t="s">
        <v>20220</v>
      </c>
      <c r="G466" s="1368" t="s">
        <v>5258</v>
      </c>
      <c r="H466" s="1178" t="s">
        <v>20224</v>
      </c>
      <c r="I466" s="1178" t="s">
        <v>2794</v>
      </c>
      <c r="J466" s="1178" t="s">
        <v>662</v>
      </c>
      <c r="K466" s="1178" t="s">
        <v>20344</v>
      </c>
      <c r="L466" s="1178" t="s">
        <v>20481</v>
      </c>
      <c r="M466" s="1369" t="s">
        <v>23258</v>
      </c>
      <c r="N466" s="1178" t="s">
        <v>20244</v>
      </c>
      <c r="O466" s="1178">
        <v>6</v>
      </c>
      <c r="P466" s="1178">
        <v>13</v>
      </c>
    </row>
    <row r="467" spans="1:16">
      <c r="A467" s="1178" t="s">
        <v>125</v>
      </c>
      <c r="B467" s="1371" t="str">
        <f>HYPERLINK(IFERROR("#Main_Tariff!A"&amp;MATCH(Raeburn_Main_Tariff[[#This Row],[Product Code]],Main_Tariff!I:I,0),"#Main_Tariff!A"&amp;MATCH("*"&amp;RIGHT(A467,8)&amp;"*",Main_Tariff!A:A,0)),Raeburn_Main_Tariff[[#This Row],[PRODUCER]])</f>
        <v>Cantemerle</v>
      </c>
      <c r="C467" s="1178" t="s">
        <v>20505</v>
      </c>
      <c r="D467" s="1178" t="s">
        <v>897</v>
      </c>
      <c r="E467" s="1179">
        <v>2022</v>
      </c>
      <c r="F467" s="1282" t="s">
        <v>20220</v>
      </c>
      <c r="G467" s="1368" t="s">
        <v>5258</v>
      </c>
      <c r="H467" s="1178" t="s">
        <v>20221</v>
      </c>
      <c r="I467" s="1178" t="s">
        <v>2803</v>
      </c>
      <c r="J467" s="1178" t="s">
        <v>662</v>
      </c>
      <c r="K467" s="1178" t="s">
        <v>20344</v>
      </c>
      <c r="L467" s="1178" t="s">
        <v>18803</v>
      </c>
      <c r="M467" s="1369" t="s">
        <v>23261</v>
      </c>
      <c r="N467" s="1178"/>
      <c r="O467" s="1178">
        <v>6</v>
      </c>
      <c r="P467" s="1178">
        <v>13.5</v>
      </c>
    </row>
    <row r="468" spans="1:16">
      <c r="A468" s="1178" t="s">
        <v>125</v>
      </c>
      <c r="B468" s="1371" t="str">
        <f>HYPERLINK(IFERROR("#Main_Tariff!A"&amp;MATCH(Raeburn_Main_Tariff[[#This Row],[Product Code]],Main_Tariff!I:I,0),"#Main_Tariff!A"&amp;MATCH("*"&amp;RIGHT(A468,8)&amp;"*",Main_Tariff!A:A,0)),Raeburn_Main_Tariff[[#This Row],[PRODUCER]])</f>
        <v>Cantemerle</v>
      </c>
      <c r="C468" s="1178" t="s">
        <v>20505</v>
      </c>
      <c r="D468" s="1178" t="s">
        <v>897</v>
      </c>
      <c r="E468" s="1179">
        <v>2020</v>
      </c>
      <c r="F468" s="1282" t="s">
        <v>20220</v>
      </c>
      <c r="G468" s="1368">
        <v>31</v>
      </c>
      <c r="H468" s="1178" t="s">
        <v>20221</v>
      </c>
      <c r="I468" s="1178" t="s">
        <v>2805</v>
      </c>
      <c r="J468" s="1178" t="s">
        <v>662</v>
      </c>
      <c r="K468" s="1178" t="s">
        <v>20344</v>
      </c>
      <c r="L468" s="1178" t="s">
        <v>18803</v>
      </c>
      <c r="M468" s="1369" t="s">
        <v>23261</v>
      </c>
      <c r="N468" s="1178"/>
      <c r="O468" s="1178">
        <v>6</v>
      </c>
      <c r="P468" s="1178">
        <v>13</v>
      </c>
    </row>
    <row r="469" spans="1:16">
      <c r="A469" s="1178" t="s">
        <v>125</v>
      </c>
      <c r="B469" s="1371" t="str">
        <f>HYPERLINK(IFERROR("#Main_Tariff!A"&amp;MATCH(Raeburn_Main_Tariff[[#This Row],[Product Code]],Main_Tariff!I:I,0),"#Main_Tariff!A"&amp;MATCH("*"&amp;RIGHT(A469,8)&amp;"*",Main_Tariff!A:A,0)),Raeburn_Main_Tariff[[#This Row],[PRODUCER]])</f>
        <v>Cantemerle</v>
      </c>
      <c r="C469" s="1178" t="s">
        <v>20505</v>
      </c>
      <c r="D469" s="1178" t="s">
        <v>897</v>
      </c>
      <c r="E469" s="1179">
        <v>2019</v>
      </c>
      <c r="F469" s="1282" t="s">
        <v>20220</v>
      </c>
      <c r="G469" s="1368">
        <v>31</v>
      </c>
      <c r="H469" s="1178" t="s">
        <v>20224</v>
      </c>
      <c r="I469" s="1178" t="s">
        <v>2807</v>
      </c>
      <c r="J469" s="1178" t="s">
        <v>662</v>
      </c>
      <c r="K469" s="1178" t="s">
        <v>20344</v>
      </c>
      <c r="L469" s="1178" t="s">
        <v>18803</v>
      </c>
      <c r="M469" s="1369" t="s">
        <v>23261</v>
      </c>
      <c r="N469" s="1178"/>
      <c r="O469" s="1178">
        <v>6</v>
      </c>
      <c r="P469" s="1178">
        <v>13</v>
      </c>
    </row>
    <row r="470" spans="1:16">
      <c r="A470" s="1178" t="s">
        <v>125</v>
      </c>
      <c r="B470" s="1371" t="str">
        <f>HYPERLINK(IFERROR("#Main_Tariff!A"&amp;MATCH(Raeburn_Main_Tariff[[#This Row],[Product Code]],Main_Tariff!I:I,0),"#Main_Tariff!A"&amp;MATCH("*"&amp;RIGHT(A470,8)&amp;"*",Main_Tariff!A:A,0)),Raeburn_Main_Tariff[[#This Row],[PRODUCER]])</f>
        <v>Cantemerle</v>
      </c>
      <c r="C470" s="1178" t="s">
        <v>20506</v>
      </c>
      <c r="D470" s="1178" t="s">
        <v>897</v>
      </c>
      <c r="E470" s="1179">
        <v>2011</v>
      </c>
      <c r="F470" s="1282" t="s">
        <v>20240</v>
      </c>
      <c r="G470" s="1368">
        <v>60</v>
      </c>
      <c r="H470" s="1178" t="s">
        <v>20224</v>
      </c>
      <c r="I470" s="1178" t="s">
        <v>2809</v>
      </c>
      <c r="J470" s="1178" t="s">
        <v>662</v>
      </c>
      <c r="K470" s="1178" t="s">
        <v>20344</v>
      </c>
      <c r="L470" s="1178" t="s">
        <v>18803</v>
      </c>
      <c r="M470" s="1369" t="s">
        <v>23261</v>
      </c>
      <c r="N470" s="1178"/>
      <c r="O470" s="1178">
        <v>6</v>
      </c>
      <c r="P470" s="1178">
        <v>13</v>
      </c>
    </row>
    <row r="471" spans="1:16">
      <c r="A471" s="1178" t="s">
        <v>126</v>
      </c>
      <c r="B471" s="1371" t="str">
        <f>HYPERLINK(IFERROR("#Main_Tariff!A"&amp;MATCH(Raeburn_Main_Tariff[[#This Row],[Product Code]],Main_Tariff!I:I,0),"#Main_Tariff!A"&amp;MATCH("*"&amp;RIGHT(A471,8)&amp;"*",Main_Tariff!A:A,0)),Raeburn_Main_Tariff[[#This Row],[PRODUCER]])</f>
        <v>La Lagune</v>
      </c>
      <c r="C471" s="1178" t="s">
        <v>20507</v>
      </c>
      <c r="D471" s="1178" t="s">
        <v>897</v>
      </c>
      <c r="E471" s="1179">
        <v>2020</v>
      </c>
      <c r="F471" s="1282" t="s">
        <v>20220</v>
      </c>
      <c r="G471" s="1368">
        <v>39.75</v>
      </c>
      <c r="H471" s="1178" t="s">
        <v>20221</v>
      </c>
      <c r="I471" s="1178" t="s">
        <v>2813</v>
      </c>
      <c r="J471" s="1178" t="s">
        <v>662</v>
      </c>
      <c r="K471" s="1178" t="s">
        <v>20344</v>
      </c>
      <c r="L471" s="1178" t="s">
        <v>18803</v>
      </c>
      <c r="M471" s="1369" t="s">
        <v>23262</v>
      </c>
      <c r="N471" s="1178" t="s">
        <v>20244</v>
      </c>
      <c r="O471" s="1178">
        <v>6</v>
      </c>
      <c r="P471" s="1178">
        <v>14</v>
      </c>
    </row>
    <row r="472" spans="1:16">
      <c r="A472" s="1178" t="s">
        <v>126</v>
      </c>
      <c r="B472" s="1371" t="str">
        <f>HYPERLINK(IFERROR("#Main_Tariff!A"&amp;MATCH(Raeburn_Main_Tariff[[#This Row],[Product Code]],Main_Tariff!I:I,0),"#Main_Tariff!A"&amp;MATCH("*"&amp;RIGHT(A472,8)&amp;"*",Main_Tariff!A:A,0)),Raeburn_Main_Tariff[[#This Row],[PRODUCER]])</f>
        <v>La Lagune</v>
      </c>
      <c r="C472" s="1178" t="s">
        <v>20507</v>
      </c>
      <c r="D472" s="1178" t="s">
        <v>897</v>
      </c>
      <c r="E472" s="1179">
        <v>2019</v>
      </c>
      <c r="F472" s="1282" t="s">
        <v>20220</v>
      </c>
      <c r="G472" s="1368" t="s">
        <v>5258</v>
      </c>
      <c r="H472" s="1178" t="s">
        <v>20221</v>
      </c>
      <c r="I472" s="1178" t="s">
        <v>2815</v>
      </c>
      <c r="J472" s="1178" t="s">
        <v>662</v>
      </c>
      <c r="K472" s="1178" t="s">
        <v>20344</v>
      </c>
      <c r="L472" s="1178" t="s">
        <v>18803</v>
      </c>
      <c r="M472" s="1369" t="s">
        <v>23262</v>
      </c>
      <c r="N472" s="1178" t="s">
        <v>20244</v>
      </c>
      <c r="O472" s="1178">
        <v>6</v>
      </c>
      <c r="P472" s="1178">
        <v>13.5</v>
      </c>
    </row>
    <row r="473" spans="1:16">
      <c r="A473" s="1178" t="s">
        <v>126</v>
      </c>
      <c r="B473" s="1371" t="str">
        <f>HYPERLINK(IFERROR("#Main_Tariff!A"&amp;MATCH(Raeburn_Main_Tariff[[#This Row],[Product Code]],Main_Tariff!I:I,0),"#Main_Tariff!A"&amp;MATCH("*"&amp;RIGHT(A473,8)&amp;"*",Main_Tariff!A:A,0)),Raeburn_Main_Tariff[[#This Row],[PRODUCER]])</f>
        <v>La Lagune</v>
      </c>
      <c r="C473" s="1178" t="s">
        <v>20508</v>
      </c>
      <c r="D473" s="1178" t="s">
        <v>897</v>
      </c>
      <c r="E473" s="1179">
        <v>2019</v>
      </c>
      <c r="F473" s="1282" t="s">
        <v>20240</v>
      </c>
      <c r="G473" s="1368" t="s">
        <v>5258</v>
      </c>
      <c r="H473" s="1178" t="s">
        <v>20221</v>
      </c>
      <c r="I473" s="1178" t="s">
        <v>2817</v>
      </c>
      <c r="J473" s="1178" t="s">
        <v>662</v>
      </c>
      <c r="K473" s="1178" t="s">
        <v>20344</v>
      </c>
      <c r="L473" s="1178" t="s">
        <v>18803</v>
      </c>
      <c r="M473" s="1369" t="s">
        <v>23262</v>
      </c>
      <c r="N473" s="1178" t="s">
        <v>20244</v>
      </c>
      <c r="O473" s="1178">
        <v>6</v>
      </c>
      <c r="P473" s="1178">
        <v>14</v>
      </c>
    </row>
    <row r="474" spans="1:16">
      <c r="A474" s="1178" t="s">
        <v>127</v>
      </c>
      <c r="B474" s="1371" t="str">
        <f>HYPERLINK(IFERROR("#Main_Tariff!A"&amp;MATCH(Raeburn_Main_Tariff[[#This Row],[Product Code]],Main_Tariff!I:I,0),"#Main_Tariff!A"&amp;MATCH("*"&amp;RIGHT(A474,8)&amp;"*",Main_Tariff!A:A,0)),Raeburn_Main_Tariff[[#This Row],[PRODUCER]])</f>
        <v>Villegeorge</v>
      </c>
      <c r="C474" s="1178" t="s">
        <v>20509</v>
      </c>
      <c r="D474" s="1178" t="s">
        <v>897</v>
      </c>
      <c r="E474" s="1179">
        <v>2012</v>
      </c>
      <c r="F474" s="1282" t="s">
        <v>20220</v>
      </c>
      <c r="G474" s="1368">
        <v>20.5</v>
      </c>
      <c r="H474" s="1178" t="s">
        <v>20221</v>
      </c>
      <c r="I474" s="1178" t="s">
        <v>2823</v>
      </c>
      <c r="J474" s="1178" t="s">
        <v>662</v>
      </c>
      <c r="K474" s="1178" t="s">
        <v>20344</v>
      </c>
      <c r="L474" s="1178" t="s">
        <v>18803</v>
      </c>
      <c r="M474" s="1369"/>
      <c r="N474" s="1178"/>
      <c r="O474" s="1178">
        <v>6</v>
      </c>
      <c r="P474" s="1178">
        <v>13</v>
      </c>
    </row>
    <row r="475" spans="1:16">
      <c r="A475" s="1178" t="s">
        <v>20510</v>
      </c>
      <c r="B475" s="1371" t="str">
        <f>HYPERLINK(IFERROR("#Main_Tariff!A"&amp;MATCH(Raeburn_Main_Tariff[[#This Row],[Product Code]],Main_Tariff!I:I,0),"#Main_Tariff!A"&amp;MATCH("*"&amp;RIGHT(A475,8)&amp;"*",Main_Tariff!A:A,0)),Raeburn_Main_Tariff[[#This Row],[PRODUCER]])</f>
        <v>Bel-Air Marquis d'Aligre</v>
      </c>
      <c r="C475" s="1178" t="s">
        <v>20511</v>
      </c>
      <c r="D475" s="1178" t="s">
        <v>897</v>
      </c>
      <c r="E475" s="1179">
        <v>2010</v>
      </c>
      <c r="F475" s="1282" t="s">
        <v>20220</v>
      </c>
      <c r="G475" s="1368">
        <v>51</v>
      </c>
      <c r="H475" s="1178" t="s">
        <v>20224</v>
      </c>
      <c r="I475" s="1178" t="s">
        <v>2854</v>
      </c>
      <c r="J475" s="1178" t="s">
        <v>662</v>
      </c>
      <c r="K475" s="1178" t="s">
        <v>20344</v>
      </c>
      <c r="L475" s="1178" t="s">
        <v>128</v>
      </c>
      <c r="M475" s="1369" t="s">
        <v>23298</v>
      </c>
      <c r="N475" s="1178"/>
      <c r="O475" s="1178">
        <v>12</v>
      </c>
      <c r="P475" s="1178">
        <v>12.5</v>
      </c>
    </row>
    <row r="476" spans="1:16">
      <c r="A476" s="1178" t="s">
        <v>20510</v>
      </c>
      <c r="B476" s="1371" t="str">
        <f>HYPERLINK(IFERROR("#Main_Tariff!A"&amp;MATCH(Raeburn_Main_Tariff[[#This Row],[Product Code]],Main_Tariff!I:I,0),"#Main_Tariff!A"&amp;MATCH("*"&amp;RIGHT(A476,8)&amp;"*",Main_Tariff!A:A,0)),Raeburn_Main_Tariff[[#This Row],[PRODUCER]])</f>
        <v>Bel-Air Marquis d'Aligre</v>
      </c>
      <c r="C476" s="1178" t="s">
        <v>20511</v>
      </c>
      <c r="D476" s="1178" t="s">
        <v>897</v>
      </c>
      <c r="E476" s="1179">
        <v>2009</v>
      </c>
      <c r="F476" s="1282" t="s">
        <v>20220</v>
      </c>
      <c r="G476" s="1368">
        <v>51</v>
      </c>
      <c r="H476" s="1178" t="s">
        <v>20224</v>
      </c>
      <c r="I476" s="1178" t="s">
        <v>2856</v>
      </c>
      <c r="J476" s="1178" t="s">
        <v>662</v>
      </c>
      <c r="K476" s="1178" t="s">
        <v>20344</v>
      </c>
      <c r="L476" s="1178" t="s">
        <v>128</v>
      </c>
      <c r="M476" s="1369" t="s">
        <v>23298</v>
      </c>
      <c r="N476" s="1178"/>
      <c r="O476" s="1178">
        <v>12</v>
      </c>
      <c r="P476" s="1178">
        <v>13</v>
      </c>
    </row>
    <row r="477" spans="1:16">
      <c r="A477" s="1178" t="s">
        <v>130</v>
      </c>
      <c r="B477" s="1371" t="str">
        <f>HYPERLINK(IFERROR("#Main_Tariff!A"&amp;MATCH(Raeburn_Main_Tariff[[#This Row],[Product Code]],Main_Tariff!I:I,0),"#Main_Tariff!A"&amp;MATCH("*"&amp;RIGHT(A477,8)&amp;"*",Main_Tariff!A:A,0)),Raeburn_Main_Tariff[[#This Row],[PRODUCER]])</f>
        <v>Brane-Cantenac</v>
      </c>
      <c r="C477" s="1178" t="s">
        <v>20512</v>
      </c>
      <c r="D477" s="1178" t="s">
        <v>897</v>
      </c>
      <c r="E477" s="1179">
        <v>2019</v>
      </c>
      <c r="F477" s="1282" t="s">
        <v>20220</v>
      </c>
      <c r="G477" s="1368">
        <v>30.5</v>
      </c>
      <c r="H477" s="1178" t="s">
        <v>20221</v>
      </c>
      <c r="I477" s="1178" t="s">
        <v>2882</v>
      </c>
      <c r="J477" s="1178" t="s">
        <v>662</v>
      </c>
      <c r="K477" s="1178" t="s">
        <v>20344</v>
      </c>
      <c r="L477" s="1178" t="s">
        <v>128</v>
      </c>
      <c r="M477" s="1369"/>
      <c r="N477" s="1178"/>
      <c r="O477" s="1178">
        <v>6</v>
      </c>
      <c r="P477" s="1178">
        <v>13</v>
      </c>
    </row>
    <row r="478" spans="1:16">
      <c r="A478" s="1178" t="s">
        <v>130</v>
      </c>
      <c r="B478" s="1371" t="str">
        <f>HYPERLINK(IFERROR("#Main_Tariff!A"&amp;MATCH(Raeburn_Main_Tariff[[#This Row],[Product Code]],Main_Tariff!I:I,0),"#Main_Tariff!A"&amp;MATCH("*"&amp;RIGHT(A478,8)&amp;"*",Main_Tariff!A:A,0)),Raeburn_Main_Tariff[[#This Row],[PRODUCER]])</f>
        <v>Brane-Cantenac</v>
      </c>
      <c r="C478" s="1178" t="s">
        <v>20512</v>
      </c>
      <c r="D478" s="1178" t="s">
        <v>897</v>
      </c>
      <c r="E478" s="1179">
        <v>2018</v>
      </c>
      <c r="F478" s="1282" t="s">
        <v>20220</v>
      </c>
      <c r="G478" s="1368">
        <v>31.75</v>
      </c>
      <c r="H478" s="1178" t="s">
        <v>20221</v>
      </c>
      <c r="I478" s="1178" t="s">
        <v>2884</v>
      </c>
      <c r="J478" s="1178" t="s">
        <v>662</v>
      </c>
      <c r="K478" s="1178" t="s">
        <v>20344</v>
      </c>
      <c r="L478" s="1178" t="s">
        <v>128</v>
      </c>
      <c r="M478" s="1369"/>
      <c r="N478" s="1178"/>
      <c r="O478" s="1178">
        <v>6</v>
      </c>
      <c r="P478" s="1178">
        <v>13</v>
      </c>
    </row>
    <row r="479" spans="1:16">
      <c r="A479" s="1178" t="s">
        <v>130</v>
      </c>
      <c r="B479" s="1371" t="str">
        <f>HYPERLINK(IFERROR("#Main_Tariff!A"&amp;MATCH(Raeburn_Main_Tariff[[#This Row],[Product Code]],Main_Tariff!I:I,0),"#Main_Tariff!A"&amp;MATCH("*"&amp;RIGHT(A479,8)&amp;"*",Main_Tariff!A:A,0)),Raeburn_Main_Tariff[[#This Row],[PRODUCER]])</f>
        <v>Brane-Cantenac</v>
      </c>
      <c r="C479" s="1178" t="s">
        <v>20513</v>
      </c>
      <c r="D479" s="1178" t="s">
        <v>897</v>
      </c>
      <c r="E479" s="1179">
        <v>2022</v>
      </c>
      <c r="F479" s="1282" t="s">
        <v>20220</v>
      </c>
      <c r="G479" s="1368" t="s">
        <v>20342</v>
      </c>
      <c r="H479" s="1178" t="s">
        <v>20343</v>
      </c>
      <c r="I479" s="1178" t="s">
        <v>2886</v>
      </c>
      <c r="J479" s="1178" t="s">
        <v>662</v>
      </c>
      <c r="K479" s="1178" t="s">
        <v>20344</v>
      </c>
      <c r="L479" s="1178" t="s">
        <v>128</v>
      </c>
      <c r="M479" s="1369" t="s">
        <v>23263</v>
      </c>
      <c r="N479" s="1178"/>
      <c r="O479" s="1178">
        <v>6</v>
      </c>
      <c r="P479" s="1178">
        <v>0</v>
      </c>
    </row>
    <row r="480" spans="1:16">
      <c r="A480" s="1178" t="s">
        <v>130</v>
      </c>
      <c r="B480" s="1371" t="str">
        <f>HYPERLINK(IFERROR("#Main_Tariff!A"&amp;MATCH(Raeburn_Main_Tariff[[#This Row],[Product Code]],Main_Tariff!I:I,0),"#Main_Tariff!A"&amp;MATCH("*"&amp;RIGHT(A480,8)&amp;"*",Main_Tariff!A:A,0)),Raeburn_Main_Tariff[[#This Row],[PRODUCER]])</f>
        <v>Brane-Cantenac</v>
      </c>
      <c r="C480" s="1178" t="s">
        <v>20513</v>
      </c>
      <c r="D480" s="1178" t="s">
        <v>897</v>
      </c>
      <c r="E480" s="1179">
        <v>2021</v>
      </c>
      <c r="F480" s="1282" t="s">
        <v>20220</v>
      </c>
      <c r="G480" s="1368">
        <v>64.5</v>
      </c>
      <c r="H480" s="1178" t="s">
        <v>20221</v>
      </c>
      <c r="I480" s="1178" t="s">
        <v>2888</v>
      </c>
      <c r="J480" s="1178" t="s">
        <v>662</v>
      </c>
      <c r="K480" s="1178" t="s">
        <v>20344</v>
      </c>
      <c r="L480" s="1178" t="s">
        <v>128</v>
      </c>
      <c r="M480" s="1369" t="s">
        <v>23263</v>
      </c>
      <c r="N480" s="1178"/>
      <c r="O480" s="1178">
        <v>6</v>
      </c>
      <c r="P480" s="1178">
        <v>13</v>
      </c>
    </row>
    <row r="481" spans="1:16">
      <c r="A481" s="1178" t="s">
        <v>130</v>
      </c>
      <c r="B481" s="1371" t="str">
        <f>HYPERLINK(IFERROR("#Main_Tariff!A"&amp;MATCH(Raeburn_Main_Tariff[[#This Row],[Product Code]],Main_Tariff!I:I,0),"#Main_Tariff!A"&amp;MATCH("*"&amp;RIGHT(A481,8)&amp;"*",Main_Tariff!A:A,0)),Raeburn_Main_Tariff[[#This Row],[PRODUCER]])</f>
        <v>Brane-Cantenac</v>
      </c>
      <c r="C481" s="1178" t="s">
        <v>20513</v>
      </c>
      <c r="D481" s="1178" t="s">
        <v>897</v>
      </c>
      <c r="E481" s="1179">
        <v>2020</v>
      </c>
      <c r="F481" s="1282" t="s">
        <v>20220</v>
      </c>
      <c r="G481" s="1368">
        <v>65.5</v>
      </c>
      <c r="H481" s="1178" t="s">
        <v>20221</v>
      </c>
      <c r="I481" s="1178" t="s">
        <v>2890</v>
      </c>
      <c r="J481" s="1178" t="s">
        <v>662</v>
      </c>
      <c r="K481" s="1178" t="s">
        <v>20344</v>
      </c>
      <c r="L481" s="1178" t="s">
        <v>128</v>
      </c>
      <c r="M481" s="1369" t="s">
        <v>23263</v>
      </c>
      <c r="N481" s="1178"/>
      <c r="O481" s="1178">
        <v>6</v>
      </c>
      <c r="P481" s="1178">
        <v>13</v>
      </c>
    </row>
    <row r="482" spans="1:16">
      <c r="A482" s="1178" t="s">
        <v>131</v>
      </c>
      <c r="B482" s="1371" t="str">
        <f>HYPERLINK(IFERROR("#Main_Tariff!A"&amp;MATCH(Raeburn_Main_Tariff[[#This Row],[Product Code]],Main_Tariff!I:I,0),"#Main_Tariff!A"&amp;MATCH("*"&amp;RIGHT(A482,8)&amp;"*",Main_Tariff!A:A,0)),Raeburn_Main_Tariff[[#This Row],[PRODUCER]])</f>
        <v>Dauzac</v>
      </c>
      <c r="C482" s="1178" t="s">
        <v>20514</v>
      </c>
      <c r="D482" s="1178" t="s">
        <v>897</v>
      </c>
      <c r="E482" s="1179">
        <v>2021</v>
      </c>
      <c r="F482" s="1282" t="s">
        <v>20220</v>
      </c>
      <c r="G482" s="1368">
        <v>47</v>
      </c>
      <c r="H482" s="1178" t="s">
        <v>20221</v>
      </c>
      <c r="I482" s="1178" t="s">
        <v>2894</v>
      </c>
      <c r="J482" s="1178" t="s">
        <v>662</v>
      </c>
      <c r="K482" s="1178" t="s">
        <v>20344</v>
      </c>
      <c r="L482" s="1178" t="s">
        <v>128</v>
      </c>
      <c r="M482" s="1369" t="s">
        <v>23261</v>
      </c>
      <c r="N482" s="1178"/>
      <c r="O482" s="1178">
        <v>6</v>
      </c>
      <c r="P482" s="1178">
        <v>13</v>
      </c>
    </row>
    <row r="483" spans="1:16">
      <c r="A483" s="1178" t="s">
        <v>132</v>
      </c>
      <c r="B483" s="1371" t="str">
        <f>HYPERLINK(IFERROR("#Main_Tariff!A"&amp;MATCH(Raeburn_Main_Tariff[[#This Row],[Product Code]],Main_Tariff!I:I,0),"#Main_Tariff!A"&amp;MATCH("*"&amp;RIGHT(A483,8)&amp;"*",Main_Tariff!A:A,0)),Raeburn_Main_Tariff[[#This Row],[PRODUCER]])</f>
        <v>Desmirail</v>
      </c>
      <c r="C483" s="1178" t="s">
        <v>20515</v>
      </c>
      <c r="D483" s="1178" t="s">
        <v>897</v>
      </c>
      <c r="E483" s="1179">
        <v>2020</v>
      </c>
      <c r="F483" s="1282" t="s">
        <v>20280</v>
      </c>
      <c r="G483" s="1368">
        <v>18.25</v>
      </c>
      <c r="H483" s="1178" t="s">
        <v>20221</v>
      </c>
      <c r="I483" s="1178" t="s">
        <v>2905</v>
      </c>
      <c r="J483" s="1178" t="s">
        <v>662</v>
      </c>
      <c r="K483" s="1178" t="s">
        <v>20344</v>
      </c>
      <c r="L483" s="1178" t="s">
        <v>128</v>
      </c>
      <c r="M483" s="1369" t="s">
        <v>23262</v>
      </c>
      <c r="N483" s="1178"/>
      <c r="O483" s="1178">
        <v>12</v>
      </c>
      <c r="P483" s="1178">
        <v>13</v>
      </c>
    </row>
    <row r="484" spans="1:16">
      <c r="A484" s="1178" t="s">
        <v>132</v>
      </c>
      <c r="B484" s="1371" t="str">
        <f>HYPERLINK(IFERROR("#Main_Tariff!A"&amp;MATCH(Raeburn_Main_Tariff[[#This Row],[Product Code]],Main_Tariff!I:I,0),"#Main_Tariff!A"&amp;MATCH("*"&amp;RIGHT(A484,8)&amp;"*",Main_Tariff!A:A,0)),Raeburn_Main_Tariff[[#This Row],[PRODUCER]])</f>
        <v>Desmirail</v>
      </c>
      <c r="C484" s="1178" t="s">
        <v>20516</v>
      </c>
      <c r="D484" s="1178" t="s">
        <v>897</v>
      </c>
      <c r="E484" s="1179">
        <v>2019</v>
      </c>
      <c r="F484" s="1282" t="s">
        <v>20220</v>
      </c>
      <c r="G484" s="1368">
        <v>16.5</v>
      </c>
      <c r="H484" s="1178" t="s">
        <v>20221</v>
      </c>
      <c r="I484" s="1178" t="s">
        <v>2907</v>
      </c>
      <c r="J484" s="1178" t="s">
        <v>662</v>
      </c>
      <c r="K484" s="1178" t="s">
        <v>20344</v>
      </c>
      <c r="L484" s="1178" t="s">
        <v>128</v>
      </c>
      <c r="M484" s="1369"/>
      <c r="N484" s="1178"/>
      <c r="O484" s="1178">
        <v>6</v>
      </c>
      <c r="P484" s="1178">
        <v>13</v>
      </c>
    </row>
    <row r="485" spans="1:16">
      <c r="A485" s="1178" t="s">
        <v>132</v>
      </c>
      <c r="B485" s="1371" t="str">
        <f>HYPERLINK(IFERROR("#Main_Tariff!A"&amp;MATCH(Raeburn_Main_Tariff[[#This Row],[Product Code]],Main_Tariff!I:I,0),"#Main_Tariff!A"&amp;MATCH("*"&amp;RIGHT(A485,8)&amp;"*",Main_Tariff!A:A,0)),Raeburn_Main_Tariff[[#This Row],[PRODUCER]])</f>
        <v>Desmirail</v>
      </c>
      <c r="C485" s="1178" t="s">
        <v>20517</v>
      </c>
      <c r="D485" s="1178" t="s">
        <v>897</v>
      </c>
      <c r="E485" s="1179">
        <v>2020</v>
      </c>
      <c r="F485" s="1282" t="s">
        <v>20220</v>
      </c>
      <c r="G485" s="1368">
        <v>36</v>
      </c>
      <c r="H485" s="1178" t="s">
        <v>20221</v>
      </c>
      <c r="I485" s="1178" t="s">
        <v>2909</v>
      </c>
      <c r="J485" s="1178" t="s">
        <v>662</v>
      </c>
      <c r="K485" s="1178" t="s">
        <v>20344</v>
      </c>
      <c r="L485" s="1178" t="s">
        <v>128</v>
      </c>
      <c r="M485" s="1369" t="s">
        <v>23262</v>
      </c>
      <c r="N485" s="1178"/>
      <c r="O485" s="1178">
        <v>6</v>
      </c>
      <c r="P485" s="1178">
        <v>13</v>
      </c>
    </row>
    <row r="486" spans="1:16">
      <c r="A486" s="1178" t="s">
        <v>132</v>
      </c>
      <c r="B486" s="1371" t="str">
        <f>HYPERLINK(IFERROR("#Main_Tariff!A"&amp;MATCH(Raeburn_Main_Tariff[[#This Row],[Product Code]],Main_Tariff!I:I,0),"#Main_Tariff!A"&amp;MATCH("*"&amp;RIGHT(A486,8)&amp;"*",Main_Tariff!A:A,0)),Raeburn_Main_Tariff[[#This Row],[PRODUCER]])</f>
        <v>Desmirail</v>
      </c>
      <c r="C486" s="1178" t="s">
        <v>23299</v>
      </c>
      <c r="D486" s="1178" t="s">
        <v>897</v>
      </c>
      <c r="E486" s="1179">
        <v>2020</v>
      </c>
      <c r="F486" s="1282" t="s">
        <v>20240</v>
      </c>
      <c r="G486" s="1368">
        <v>73.5</v>
      </c>
      <c r="H486" s="1178" t="s">
        <v>20221</v>
      </c>
      <c r="I486" s="1178" t="s">
        <v>2911</v>
      </c>
      <c r="J486" s="1178" t="s">
        <v>662</v>
      </c>
      <c r="K486" s="1178" t="s">
        <v>20344</v>
      </c>
      <c r="L486" s="1178" t="s">
        <v>128</v>
      </c>
      <c r="M486" s="1369" t="s">
        <v>23262</v>
      </c>
      <c r="N486" s="1178"/>
      <c r="O486" s="1178">
        <v>6</v>
      </c>
      <c r="P486" s="1178">
        <v>13</v>
      </c>
    </row>
    <row r="487" spans="1:16">
      <c r="A487" s="1178" t="s">
        <v>133</v>
      </c>
      <c r="B487" s="1371" t="str">
        <f>HYPERLINK(IFERROR("#Main_Tariff!A"&amp;MATCH(Raeburn_Main_Tariff[[#This Row],[Product Code]],Main_Tariff!I:I,0),"#Main_Tariff!A"&amp;MATCH("*"&amp;RIGHT(A487,8)&amp;"*",Main_Tariff!A:A,0)),Raeburn_Main_Tariff[[#This Row],[PRODUCER]])</f>
        <v>Durfort Vivens</v>
      </c>
      <c r="C487" s="1178" t="s">
        <v>20518</v>
      </c>
      <c r="D487" s="1178" t="s">
        <v>1129</v>
      </c>
      <c r="E487" s="1179">
        <v>2022</v>
      </c>
      <c r="F487" s="1282" t="s">
        <v>20220</v>
      </c>
      <c r="G487" s="1368">
        <v>26.75</v>
      </c>
      <c r="H487" s="1178" t="s">
        <v>20221</v>
      </c>
      <c r="I487" s="1178" t="s">
        <v>2928</v>
      </c>
      <c r="J487" s="1178" t="s">
        <v>662</v>
      </c>
      <c r="K487" s="1178" t="s">
        <v>20344</v>
      </c>
      <c r="L487" s="1178" t="s">
        <v>128</v>
      </c>
      <c r="M487" s="1369" t="s">
        <v>23263</v>
      </c>
      <c r="N487" s="1178" t="s">
        <v>20244</v>
      </c>
      <c r="O487" s="1178">
        <v>6</v>
      </c>
      <c r="P487" s="1178">
        <v>12.5</v>
      </c>
    </row>
    <row r="488" spans="1:16">
      <c r="A488" s="1178" t="s">
        <v>133</v>
      </c>
      <c r="B488" s="1371" t="str">
        <f>HYPERLINK(IFERROR("#Main_Tariff!A"&amp;MATCH(Raeburn_Main_Tariff[[#This Row],[Product Code]],Main_Tariff!I:I,0),"#Main_Tariff!A"&amp;MATCH("*"&amp;RIGHT(A488,8)&amp;"*",Main_Tariff!A:A,0)),Raeburn_Main_Tariff[[#This Row],[PRODUCER]])</f>
        <v>Durfort Vivens</v>
      </c>
      <c r="C488" s="1178" t="s">
        <v>20519</v>
      </c>
      <c r="D488" s="1178" t="s">
        <v>897</v>
      </c>
      <c r="E488" s="1179">
        <v>2020</v>
      </c>
      <c r="F488" s="1282" t="s">
        <v>20220</v>
      </c>
      <c r="G488" s="1368">
        <v>29</v>
      </c>
      <c r="H488" s="1178" t="s">
        <v>20221</v>
      </c>
      <c r="I488" s="1178" t="s">
        <v>2932</v>
      </c>
      <c r="J488" s="1178" t="s">
        <v>662</v>
      </c>
      <c r="K488" s="1178" t="s">
        <v>20344</v>
      </c>
      <c r="L488" s="1178" t="s">
        <v>128</v>
      </c>
      <c r="M488" s="1369"/>
      <c r="N488" s="1178" t="s">
        <v>20244</v>
      </c>
      <c r="O488" s="1178">
        <v>6</v>
      </c>
      <c r="P488" s="1178">
        <v>13.5</v>
      </c>
    </row>
    <row r="489" spans="1:16">
      <c r="A489" s="1178" t="s">
        <v>133</v>
      </c>
      <c r="B489" s="1371" t="str">
        <f>HYPERLINK(IFERROR("#Main_Tariff!A"&amp;MATCH(Raeburn_Main_Tariff[[#This Row],[Product Code]],Main_Tariff!I:I,0),"#Main_Tariff!A"&amp;MATCH("*"&amp;RIGHT(A489,8)&amp;"*",Main_Tariff!A:A,0)),Raeburn_Main_Tariff[[#This Row],[PRODUCER]])</f>
        <v>Durfort Vivens</v>
      </c>
      <c r="C489" s="1178" t="s">
        <v>20519</v>
      </c>
      <c r="D489" s="1178" t="s">
        <v>897</v>
      </c>
      <c r="E489" s="1179">
        <v>2019</v>
      </c>
      <c r="F489" s="1282" t="s">
        <v>20220</v>
      </c>
      <c r="G489" s="1368">
        <v>29</v>
      </c>
      <c r="H489" s="1178" t="s">
        <v>20221</v>
      </c>
      <c r="I489" s="1178" t="s">
        <v>2934</v>
      </c>
      <c r="J489" s="1178" t="s">
        <v>662</v>
      </c>
      <c r="K489" s="1178" t="s">
        <v>20344</v>
      </c>
      <c r="L489" s="1178" t="s">
        <v>128</v>
      </c>
      <c r="M489" s="1369"/>
      <c r="N489" s="1178" t="s">
        <v>20244</v>
      </c>
      <c r="O489" s="1178">
        <v>6</v>
      </c>
      <c r="P489" s="1178">
        <v>13</v>
      </c>
    </row>
    <row r="490" spans="1:16">
      <c r="A490" s="1178" t="s">
        <v>133</v>
      </c>
      <c r="B490" s="1371" t="str">
        <f>HYPERLINK(IFERROR("#Main_Tariff!A"&amp;MATCH(Raeburn_Main_Tariff[[#This Row],[Product Code]],Main_Tariff!I:I,0),"#Main_Tariff!A"&amp;MATCH("*"&amp;RIGHT(A490,8)&amp;"*",Main_Tariff!A:A,0)),Raeburn_Main_Tariff[[#This Row],[PRODUCER]])</f>
        <v>Durfort Vivens</v>
      </c>
      <c r="C490" s="1178" t="s">
        <v>20520</v>
      </c>
      <c r="D490" s="1178" t="s">
        <v>897</v>
      </c>
      <c r="E490" s="1179">
        <v>2016</v>
      </c>
      <c r="F490" s="1282" t="s">
        <v>20220</v>
      </c>
      <c r="G490" s="1368">
        <v>33.5</v>
      </c>
      <c r="H490" s="1178" t="s">
        <v>20221</v>
      </c>
      <c r="I490" s="1178" t="s">
        <v>2937</v>
      </c>
      <c r="J490" s="1178" t="s">
        <v>662</v>
      </c>
      <c r="K490" s="1178" t="s">
        <v>20344</v>
      </c>
      <c r="L490" s="1178" t="s">
        <v>128</v>
      </c>
      <c r="M490" s="1369"/>
      <c r="N490" s="1178" t="s">
        <v>20244</v>
      </c>
      <c r="O490" s="1178">
        <v>6</v>
      </c>
      <c r="P490" s="1178">
        <v>13.5</v>
      </c>
    </row>
    <row r="491" spans="1:16">
      <c r="A491" s="1178" t="s">
        <v>133</v>
      </c>
      <c r="B491" s="1371" t="str">
        <f>HYPERLINK(IFERROR("#Main_Tariff!A"&amp;MATCH(Raeburn_Main_Tariff[[#This Row],[Product Code]],Main_Tariff!I:I,0),"#Main_Tariff!A"&amp;MATCH("*"&amp;RIGHT(A491,8)&amp;"*",Main_Tariff!A:A,0)),Raeburn_Main_Tariff[[#This Row],[PRODUCER]])</f>
        <v>Durfort Vivens</v>
      </c>
      <c r="C491" s="1178" t="s">
        <v>20521</v>
      </c>
      <c r="D491" s="1178" t="s">
        <v>897</v>
      </c>
      <c r="E491" s="1179">
        <v>2019</v>
      </c>
      <c r="F491" s="1282" t="s">
        <v>20220</v>
      </c>
      <c r="G491" s="1368">
        <v>28.5</v>
      </c>
      <c r="H491" s="1178" t="s">
        <v>20221</v>
      </c>
      <c r="I491" s="1178" t="s">
        <v>2940</v>
      </c>
      <c r="J491" s="1178" t="s">
        <v>662</v>
      </c>
      <c r="K491" s="1178" t="s">
        <v>20344</v>
      </c>
      <c r="L491" s="1178" t="s">
        <v>128</v>
      </c>
      <c r="M491" s="1369"/>
      <c r="N491" s="1178" t="s">
        <v>20244</v>
      </c>
      <c r="O491" s="1178">
        <v>6</v>
      </c>
      <c r="P491" s="1178">
        <v>13</v>
      </c>
    </row>
    <row r="492" spans="1:16">
      <c r="A492" s="1178" t="s">
        <v>133</v>
      </c>
      <c r="B492" s="1371" t="str">
        <f>HYPERLINK(IFERROR("#Main_Tariff!A"&amp;MATCH(Raeburn_Main_Tariff[[#This Row],[Product Code]],Main_Tariff!I:I,0),"#Main_Tariff!A"&amp;MATCH("*"&amp;RIGHT(A492,8)&amp;"*",Main_Tariff!A:A,0)),Raeburn_Main_Tariff[[#This Row],[PRODUCER]])</f>
        <v>Durfort Vivens</v>
      </c>
      <c r="C492" s="1178" t="s">
        <v>20522</v>
      </c>
      <c r="D492" s="1178" t="s">
        <v>897</v>
      </c>
      <c r="E492" s="1179">
        <v>2019</v>
      </c>
      <c r="F492" s="1282" t="s">
        <v>20220</v>
      </c>
      <c r="G492" s="1368">
        <v>32.5</v>
      </c>
      <c r="H492" s="1178" t="s">
        <v>20221</v>
      </c>
      <c r="I492" s="1178" t="s">
        <v>2942</v>
      </c>
      <c r="J492" s="1178" t="s">
        <v>662</v>
      </c>
      <c r="K492" s="1178" t="s">
        <v>20344</v>
      </c>
      <c r="L492" s="1178" t="s">
        <v>128</v>
      </c>
      <c r="M492" s="1369"/>
      <c r="N492" s="1178" t="s">
        <v>20244</v>
      </c>
      <c r="O492" s="1178">
        <v>6</v>
      </c>
      <c r="P492" s="1178">
        <v>13.5</v>
      </c>
    </row>
    <row r="493" spans="1:16">
      <c r="A493" s="1178" t="s">
        <v>133</v>
      </c>
      <c r="B493" s="1371" t="str">
        <f>HYPERLINK(IFERROR("#Main_Tariff!A"&amp;MATCH(Raeburn_Main_Tariff[[#This Row],[Product Code]],Main_Tariff!I:I,0),"#Main_Tariff!A"&amp;MATCH("*"&amp;RIGHT(A493,8)&amp;"*",Main_Tariff!A:A,0)),Raeburn_Main_Tariff[[#This Row],[PRODUCER]])</f>
        <v>Durfort Vivens</v>
      </c>
      <c r="C493" s="1178" t="s">
        <v>20523</v>
      </c>
      <c r="D493" s="1178" t="s">
        <v>897</v>
      </c>
      <c r="E493" s="1179">
        <v>2019</v>
      </c>
      <c r="F493" s="1282" t="s">
        <v>20220</v>
      </c>
      <c r="G493" s="1368">
        <v>32.5</v>
      </c>
      <c r="H493" s="1178" t="s">
        <v>20221</v>
      </c>
      <c r="I493" s="1178" t="s">
        <v>2944</v>
      </c>
      <c r="J493" s="1178" t="s">
        <v>662</v>
      </c>
      <c r="K493" s="1178" t="s">
        <v>20344</v>
      </c>
      <c r="L493" s="1178" t="s">
        <v>128</v>
      </c>
      <c r="M493" s="1369"/>
      <c r="N493" s="1178" t="s">
        <v>20244</v>
      </c>
      <c r="O493" s="1178">
        <v>6</v>
      </c>
      <c r="P493" s="1178">
        <v>14</v>
      </c>
    </row>
    <row r="494" spans="1:16">
      <c r="A494" s="1178" t="s">
        <v>133</v>
      </c>
      <c r="B494" s="1371" t="str">
        <f>HYPERLINK(IFERROR("#Main_Tariff!A"&amp;MATCH(Raeburn_Main_Tariff[[#This Row],[Product Code]],Main_Tariff!I:I,0),"#Main_Tariff!A"&amp;MATCH("*"&amp;RIGHT(A494,8)&amp;"*",Main_Tariff!A:A,0)),Raeburn_Main_Tariff[[#This Row],[PRODUCER]])</f>
        <v>Durfort Vivens</v>
      </c>
      <c r="C494" s="1178" t="s">
        <v>20524</v>
      </c>
      <c r="D494" s="1178" t="s">
        <v>897</v>
      </c>
      <c r="E494" s="1179">
        <v>2019</v>
      </c>
      <c r="F494" s="1282" t="s">
        <v>20240</v>
      </c>
      <c r="G494" s="1368">
        <v>57</v>
      </c>
      <c r="H494" s="1178" t="s">
        <v>20224</v>
      </c>
      <c r="I494" s="1178" t="s">
        <v>2946</v>
      </c>
      <c r="J494" s="1178" t="s">
        <v>662</v>
      </c>
      <c r="K494" s="1178" t="s">
        <v>20344</v>
      </c>
      <c r="L494" s="1178" t="s">
        <v>128</v>
      </c>
      <c r="M494" s="1369"/>
      <c r="N494" s="1178" t="s">
        <v>20244</v>
      </c>
      <c r="O494" s="1178">
        <v>3</v>
      </c>
      <c r="P494" s="1178">
        <v>13</v>
      </c>
    </row>
    <row r="495" spans="1:16">
      <c r="A495" s="1178" t="s">
        <v>133</v>
      </c>
      <c r="B495" s="1371" t="str">
        <f>HYPERLINK(IFERROR("#Main_Tariff!A"&amp;MATCH(Raeburn_Main_Tariff[[#This Row],[Product Code]],Main_Tariff!I:I,0),"#Main_Tariff!A"&amp;MATCH("*"&amp;RIGHT(A495,8)&amp;"*",Main_Tariff!A:A,0)),Raeburn_Main_Tariff[[#This Row],[PRODUCER]])</f>
        <v>Durfort Vivens</v>
      </c>
      <c r="C495" s="1178" t="s">
        <v>20525</v>
      </c>
      <c r="D495" s="1178" t="s">
        <v>897</v>
      </c>
      <c r="E495" s="1179">
        <v>2019</v>
      </c>
      <c r="F495" s="1282" t="s">
        <v>20240</v>
      </c>
      <c r="G495" s="1368">
        <v>65</v>
      </c>
      <c r="H495" s="1178" t="s">
        <v>20224</v>
      </c>
      <c r="I495" s="1178" t="s">
        <v>2948</v>
      </c>
      <c r="J495" s="1178" t="s">
        <v>662</v>
      </c>
      <c r="K495" s="1178" t="s">
        <v>20344</v>
      </c>
      <c r="L495" s="1178" t="s">
        <v>128</v>
      </c>
      <c r="M495" s="1369"/>
      <c r="N495" s="1178" t="s">
        <v>20244</v>
      </c>
      <c r="O495" s="1178">
        <v>3</v>
      </c>
      <c r="P495" s="1178">
        <v>13.5</v>
      </c>
    </row>
    <row r="496" spans="1:16">
      <c r="A496" s="1178" t="s">
        <v>133</v>
      </c>
      <c r="B496" s="1371" t="str">
        <f>HYPERLINK(IFERROR("#Main_Tariff!A"&amp;MATCH(Raeburn_Main_Tariff[[#This Row],[Product Code]],Main_Tariff!I:I,0),"#Main_Tariff!A"&amp;MATCH("*"&amp;RIGHT(A496,8)&amp;"*",Main_Tariff!A:A,0)),Raeburn_Main_Tariff[[#This Row],[PRODUCER]])</f>
        <v>Durfort Vivens</v>
      </c>
      <c r="C496" s="1178" t="s">
        <v>20526</v>
      </c>
      <c r="D496" s="1178" t="s">
        <v>897</v>
      </c>
      <c r="E496" s="1179">
        <v>2019</v>
      </c>
      <c r="F496" s="1282" t="s">
        <v>20240</v>
      </c>
      <c r="G496" s="1368">
        <v>65</v>
      </c>
      <c r="H496" s="1178" t="s">
        <v>20221</v>
      </c>
      <c r="I496" s="1178" t="s">
        <v>2950</v>
      </c>
      <c r="J496" s="1178" t="s">
        <v>662</v>
      </c>
      <c r="K496" s="1178" t="s">
        <v>20344</v>
      </c>
      <c r="L496" s="1178" t="s">
        <v>128</v>
      </c>
      <c r="M496" s="1369"/>
      <c r="N496" s="1178" t="s">
        <v>20244</v>
      </c>
      <c r="O496" s="1178">
        <v>3</v>
      </c>
      <c r="P496" s="1178">
        <v>14</v>
      </c>
    </row>
    <row r="497" spans="1:16">
      <c r="A497" s="1178" t="s">
        <v>133</v>
      </c>
      <c r="B497" s="1371" t="str">
        <f>HYPERLINK(IFERROR("#Main_Tariff!A"&amp;MATCH(Raeburn_Main_Tariff[[#This Row],[Product Code]],Main_Tariff!I:I,0),"#Main_Tariff!A"&amp;MATCH("*"&amp;RIGHT(A497,8)&amp;"*",Main_Tariff!A:A,0)),Raeburn_Main_Tariff[[#This Row],[PRODUCER]])</f>
        <v>Durfort Vivens</v>
      </c>
      <c r="C497" s="1178" t="s">
        <v>20527</v>
      </c>
      <c r="D497" s="1178" t="s">
        <v>897</v>
      </c>
      <c r="E497" s="1179">
        <v>2020</v>
      </c>
      <c r="F497" s="1282" t="s">
        <v>20280</v>
      </c>
      <c r="G497" s="1368">
        <v>30.75</v>
      </c>
      <c r="H497" s="1178" t="s">
        <v>20221</v>
      </c>
      <c r="I497" s="1178" t="s">
        <v>2954</v>
      </c>
      <c r="J497" s="1178" t="s">
        <v>662</v>
      </c>
      <c r="K497" s="1178" t="s">
        <v>20344</v>
      </c>
      <c r="L497" s="1178" t="s">
        <v>128</v>
      </c>
      <c r="M497" s="1369" t="s">
        <v>23263</v>
      </c>
      <c r="N497" s="1178" t="s">
        <v>20244</v>
      </c>
      <c r="O497" s="1178">
        <v>12</v>
      </c>
      <c r="P497" s="1178">
        <v>13</v>
      </c>
    </row>
    <row r="498" spans="1:16">
      <c r="A498" s="1178" t="s">
        <v>133</v>
      </c>
      <c r="B498" s="1371" t="str">
        <f>HYPERLINK(IFERROR("#Main_Tariff!A"&amp;MATCH(Raeburn_Main_Tariff[[#This Row],[Product Code]],Main_Tariff!I:I,0),"#Main_Tariff!A"&amp;MATCH("*"&amp;RIGHT(A498,8)&amp;"*",Main_Tariff!A:A,0)),Raeburn_Main_Tariff[[#This Row],[PRODUCER]])</f>
        <v>Durfort Vivens</v>
      </c>
      <c r="C498" s="1178" t="s">
        <v>20528</v>
      </c>
      <c r="D498" s="1178" t="s">
        <v>897</v>
      </c>
      <c r="E498" s="1179">
        <v>2023</v>
      </c>
      <c r="F498" s="1282" t="s">
        <v>20220</v>
      </c>
      <c r="G498" s="1368" t="s">
        <v>20342</v>
      </c>
      <c r="H498" s="1178" t="s">
        <v>20343</v>
      </c>
      <c r="I498" s="1178" t="s">
        <v>2957</v>
      </c>
      <c r="J498" s="1178" t="s">
        <v>662</v>
      </c>
      <c r="K498" s="1178" t="s">
        <v>20344</v>
      </c>
      <c r="L498" s="1178" t="s">
        <v>128</v>
      </c>
      <c r="M498" s="1369" t="s">
        <v>23263</v>
      </c>
      <c r="N498" s="1178" t="s">
        <v>20244</v>
      </c>
      <c r="O498" s="1178">
        <v>6</v>
      </c>
      <c r="P498" s="1178">
        <v>0</v>
      </c>
    </row>
    <row r="499" spans="1:16">
      <c r="A499" s="1178" t="s">
        <v>133</v>
      </c>
      <c r="B499" s="1371" t="str">
        <f>HYPERLINK(IFERROR("#Main_Tariff!A"&amp;MATCH(Raeburn_Main_Tariff[[#This Row],[Product Code]],Main_Tariff!I:I,0),"#Main_Tariff!A"&amp;MATCH("*"&amp;RIGHT(A499,8)&amp;"*",Main_Tariff!A:A,0)),Raeburn_Main_Tariff[[#This Row],[PRODUCER]])</f>
        <v>Durfort Vivens</v>
      </c>
      <c r="C499" s="1178" t="s">
        <v>20528</v>
      </c>
      <c r="D499" s="1178" t="s">
        <v>897</v>
      </c>
      <c r="E499" s="1179">
        <v>2022</v>
      </c>
      <c r="F499" s="1282" t="s">
        <v>20220</v>
      </c>
      <c r="G499" s="1368" t="s">
        <v>5258</v>
      </c>
      <c r="H499" s="1178" t="s">
        <v>20221</v>
      </c>
      <c r="I499" s="1178" t="s">
        <v>2959</v>
      </c>
      <c r="J499" s="1178" t="s">
        <v>662</v>
      </c>
      <c r="K499" s="1178" t="s">
        <v>20344</v>
      </c>
      <c r="L499" s="1178" t="s">
        <v>128</v>
      </c>
      <c r="M499" s="1369" t="s">
        <v>23263</v>
      </c>
      <c r="N499" s="1178" t="s">
        <v>20244</v>
      </c>
      <c r="O499" s="1178">
        <v>6</v>
      </c>
      <c r="P499" s="1178">
        <v>13.5</v>
      </c>
    </row>
    <row r="500" spans="1:16">
      <c r="A500" s="1178" t="s">
        <v>133</v>
      </c>
      <c r="B500" s="1371" t="str">
        <f>HYPERLINK(IFERROR("#Main_Tariff!A"&amp;MATCH(Raeburn_Main_Tariff[[#This Row],[Product Code]],Main_Tariff!I:I,0),"#Main_Tariff!A"&amp;MATCH("*"&amp;RIGHT(A500,8)&amp;"*",Main_Tariff!A:A,0)),Raeburn_Main_Tariff[[#This Row],[PRODUCER]])</f>
        <v>Durfort Vivens</v>
      </c>
      <c r="C500" s="1178" t="s">
        <v>20528</v>
      </c>
      <c r="D500" s="1178" t="s">
        <v>897</v>
      </c>
      <c r="E500" s="1179">
        <v>2021</v>
      </c>
      <c r="F500" s="1282" t="s">
        <v>20220</v>
      </c>
      <c r="G500" s="1368">
        <v>60</v>
      </c>
      <c r="H500" s="1178" t="s">
        <v>20221</v>
      </c>
      <c r="I500" s="1178" t="s">
        <v>2961</v>
      </c>
      <c r="J500" s="1178" t="s">
        <v>662</v>
      </c>
      <c r="K500" s="1178" t="s">
        <v>20344</v>
      </c>
      <c r="L500" s="1178" t="s">
        <v>128</v>
      </c>
      <c r="M500" s="1369" t="s">
        <v>23263</v>
      </c>
      <c r="N500" s="1178" t="s">
        <v>20244</v>
      </c>
      <c r="O500" s="1178">
        <v>6</v>
      </c>
      <c r="P500" s="1178">
        <v>13</v>
      </c>
    </row>
    <row r="501" spans="1:16">
      <c r="A501" s="1178" t="s">
        <v>133</v>
      </c>
      <c r="B501" s="1371" t="str">
        <f>HYPERLINK(IFERROR("#Main_Tariff!A"&amp;MATCH(Raeburn_Main_Tariff[[#This Row],[Product Code]],Main_Tariff!I:I,0),"#Main_Tariff!A"&amp;MATCH("*"&amp;RIGHT(A501,8)&amp;"*",Main_Tariff!A:A,0)),Raeburn_Main_Tariff[[#This Row],[PRODUCER]])</f>
        <v>Durfort Vivens</v>
      </c>
      <c r="C501" s="1178" t="s">
        <v>20528</v>
      </c>
      <c r="D501" s="1178" t="s">
        <v>897</v>
      </c>
      <c r="E501" s="1179">
        <v>2020</v>
      </c>
      <c r="F501" s="1282" t="s">
        <v>20220</v>
      </c>
      <c r="G501" s="1368">
        <v>60</v>
      </c>
      <c r="H501" s="1178" t="s">
        <v>20221</v>
      </c>
      <c r="I501" s="1178" t="s">
        <v>2963</v>
      </c>
      <c r="J501" s="1178" t="s">
        <v>662</v>
      </c>
      <c r="K501" s="1178" t="s">
        <v>20344</v>
      </c>
      <c r="L501" s="1178" t="s">
        <v>128</v>
      </c>
      <c r="M501" s="1369" t="s">
        <v>23263</v>
      </c>
      <c r="N501" s="1178" t="s">
        <v>20244</v>
      </c>
      <c r="O501" s="1178">
        <v>6</v>
      </c>
      <c r="P501" s="1178">
        <v>13</v>
      </c>
    </row>
    <row r="502" spans="1:16">
      <c r="A502" s="1178" t="s">
        <v>133</v>
      </c>
      <c r="B502" s="1371" t="str">
        <f>HYPERLINK(IFERROR("#Main_Tariff!A"&amp;MATCH(Raeburn_Main_Tariff[[#This Row],[Product Code]],Main_Tariff!I:I,0),"#Main_Tariff!A"&amp;MATCH("*"&amp;RIGHT(A502,8)&amp;"*",Main_Tariff!A:A,0)),Raeburn_Main_Tariff[[#This Row],[PRODUCER]])</f>
        <v>Durfort Vivens</v>
      </c>
      <c r="C502" s="1178" t="s">
        <v>20528</v>
      </c>
      <c r="D502" s="1178" t="s">
        <v>897</v>
      </c>
      <c r="E502" s="1179">
        <v>2019</v>
      </c>
      <c r="F502" s="1282" t="s">
        <v>20220</v>
      </c>
      <c r="G502" s="1368">
        <v>57.5</v>
      </c>
      <c r="H502" s="1178" t="s">
        <v>20221</v>
      </c>
      <c r="I502" s="1178" t="s">
        <v>2965</v>
      </c>
      <c r="J502" s="1178" t="s">
        <v>662</v>
      </c>
      <c r="K502" s="1178" t="s">
        <v>20344</v>
      </c>
      <c r="L502" s="1178" t="s">
        <v>128</v>
      </c>
      <c r="M502" s="1369" t="s">
        <v>23263</v>
      </c>
      <c r="N502" s="1178" t="s">
        <v>20244</v>
      </c>
      <c r="O502" s="1178">
        <v>6</v>
      </c>
      <c r="P502" s="1178">
        <v>13.5</v>
      </c>
    </row>
    <row r="503" spans="1:16">
      <c r="A503" s="1178" t="s">
        <v>133</v>
      </c>
      <c r="B503" s="1371" t="str">
        <f>HYPERLINK(IFERROR("#Main_Tariff!A"&amp;MATCH(Raeburn_Main_Tariff[[#This Row],[Product Code]],Main_Tariff!I:I,0),"#Main_Tariff!A"&amp;MATCH("*"&amp;RIGHT(A503,8)&amp;"*",Main_Tariff!A:A,0)),Raeburn_Main_Tariff[[#This Row],[PRODUCER]])</f>
        <v>Durfort Vivens</v>
      </c>
      <c r="C503" s="1178" t="s">
        <v>20528</v>
      </c>
      <c r="D503" s="1178" t="s">
        <v>897</v>
      </c>
      <c r="E503" s="1179">
        <v>2018</v>
      </c>
      <c r="F503" s="1282" t="s">
        <v>20220</v>
      </c>
      <c r="G503" s="1368" t="s">
        <v>5258</v>
      </c>
      <c r="H503" s="1178" t="s">
        <v>20224</v>
      </c>
      <c r="I503" s="1178" t="s">
        <v>2967</v>
      </c>
      <c r="J503" s="1178" t="s">
        <v>662</v>
      </c>
      <c r="K503" s="1178" t="s">
        <v>20344</v>
      </c>
      <c r="L503" s="1178" t="s">
        <v>128</v>
      </c>
      <c r="M503" s="1369" t="s">
        <v>23263</v>
      </c>
      <c r="N503" s="1178" t="s">
        <v>20244</v>
      </c>
      <c r="O503" s="1178">
        <v>3</v>
      </c>
      <c r="P503" s="1178">
        <v>13</v>
      </c>
    </row>
    <row r="504" spans="1:16">
      <c r="A504" s="1178" t="s">
        <v>133</v>
      </c>
      <c r="B504" s="1371" t="str">
        <f>HYPERLINK(IFERROR("#Main_Tariff!A"&amp;MATCH(Raeburn_Main_Tariff[[#This Row],[Product Code]],Main_Tariff!I:I,0),"#Main_Tariff!A"&amp;MATCH("*"&amp;RIGHT(A504,8)&amp;"*",Main_Tariff!A:A,0)),Raeburn_Main_Tariff[[#This Row],[PRODUCER]])</f>
        <v>Durfort Vivens</v>
      </c>
      <c r="C504" s="1178" t="s">
        <v>20528</v>
      </c>
      <c r="D504" s="1178" t="s">
        <v>897</v>
      </c>
      <c r="E504" s="1179">
        <v>2014</v>
      </c>
      <c r="F504" s="1282" t="s">
        <v>20220</v>
      </c>
      <c r="G504" s="1368">
        <v>60</v>
      </c>
      <c r="H504" s="1178" t="s">
        <v>20221</v>
      </c>
      <c r="I504" s="1178" t="s">
        <v>2969</v>
      </c>
      <c r="J504" s="1178" t="s">
        <v>662</v>
      </c>
      <c r="K504" s="1178" t="s">
        <v>20344</v>
      </c>
      <c r="L504" s="1178" t="s">
        <v>128</v>
      </c>
      <c r="M504" s="1369" t="s">
        <v>23263</v>
      </c>
      <c r="N504" s="1178"/>
      <c r="O504" s="1178">
        <v>6</v>
      </c>
      <c r="P504" s="1178">
        <v>13.5</v>
      </c>
    </row>
    <row r="505" spans="1:16">
      <c r="A505" s="1178" t="s">
        <v>133</v>
      </c>
      <c r="B505" s="1371" t="str">
        <f>HYPERLINK(IFERROR("#Main_Tariff!A"&amp;MATCH(Raeburn_Main_Tariff[[#This Row],[Product Code]],Main_Tariff!I:I,0),"#Main_Tariff!A"&amp;MATCH("*"&amp;RIGHT(A505,8)&amp;"*",Main_Tariff!A:A,0)),Raeburn_Main_Tariff[[#This Row],[PRODUCER]])</f>
        <v>Durfort Vivens</v>
      </c>
      <c r="C505" s="1178" t="s">
        <v>20528</v>
      </c>
      <c r="D505" s="1178" t="s">
        <v>897</v>
      </c>
      <c r="E505" s="1179">
        <v>2010</v>
      </c>
      <c r="F505" s="1282" t="s">
        <v>20220</v>
      </c>
      <c r="G505" s="1368">
        <v>79.5</v>
      </c>
      <c r="H505" s="1178" t="s">
        <v>20221</v>
      </c>
      <c r="I505" s="1178" t="s">
        <v>2971</v>
      </c>
      <c r="J505" s="1178" t="s">
        <v>662</v>
      </c>
      <c r="K505" s="1178" t="s">
        <v>20344</v>
      </c>
      <c r="L505" s="1178" t="s">
        <v>128</v>
      </c>
      <c r="M505" s="1369" t="s">
        <v>23263</v>
      </c>
      <c r="N505" s="1178"/>
      <c r="O505" s="1178">
        <v>6</v>
      </c>
      <c r="P505" s="1178">
        <v>14</v>
      </c>
    </row>
    <row r="506" spans="1:16">
      <c r="A506" s="1178" t="s">
        <v>133</v>
      </c>
      <c r="B506" s="1371" t="str">
        <f>HYPERLINK(IFERROR("#Main_Tariff!A"&amp;MATCH(Raeburn_Main_Tariff[[#This Row],[Product Code]],Main_Tariff!I:I,0),"#Main_Tariff!A"&amp;MATCH("*"&amp;RIGHT(A506,8)&amp;"*",Main_Tariff!A:A,0)),Raeburn_Main_Tariff[[#This Row],[PRODUCER]])</f>
        <v>Durfort Vivens</v>
      </c>
      <c r="C506" s="1178" t="s">
        <v>20528</v>
      </c>
      <c r="D506" s="1178" t="s">
        <v>897</v>
      </c>
      <c r="E506" s="1179">
        <v>2007</v>
      </c>
      <c r="F506" s="1282" t="s">
        <v>20220</v>
      </c>
      <c r="G506" s="1368">
        <v>60</v>
      </c>
      <c r="H506" s="1178" t="s">
        <v>20277</v>
      </c>
      <c r="I506" s="1178" t="s">
        <v>2973</v>
      </c>
      <c r="J506" s="1178" t="s">
        <v>662</v>
      </c>
      <c r="K506" s="1178" t="s">
        <v>20344</v>
      </c>
      <c r="L506" s="1178" t="s">
        <v>128</v>
      </c>
      <c r="M506" s="1369" t="s">
        <v>23263</v>
      </c>
      <c r="N506" s="1178"/>
      <c r="O506" s="1178">
        <v>12</v>
      </c>
      <c r="P506" s="1178">
        <v>12.5</v>
      </c>
    </row>
    <row r="507" spans="1:16">
      <c r="A507" s="1178" t="s">
        <v>133</v>
      </c>
      <c r="B507" s="1371" t="str">
        <f>HYPERLINK(IFERROR("#Main_Tariff!A"&amp;MATCH(Raeburn_Main_Tariff[[#This Row],[Product Code]],Main_Tariff!I:I,0),"#Main_Tariff!A"&amp;MATCH("*"&amp;RIGHT(A507,8)&amp;"*",Main_Tariff!A:A,0)),Raeburn_Main_Tariff[[#This Row],[PRODUCER]])</f>
        <v>Durfort Vivens</v>
      </c>
      <c r="C507" s="1178" t="s">
        <v>20529</v>
      </c>
      <c r="D507" s="1178" t="s">
        <v>897</v>
      </c>
      <c r="E507" s="1179">
        <v>2019</v>
      </c>
      <c r="F507" s="1282" t="s">
        <v>20240</v>
      </c>
      <c r="G507" s="1368">
        <v>114</v>
      </c>
      <c r="H507" s="1178" t="s">
        <v>20224</v>
      </c>
      <c r="I507" s="1178" t="s">
        <v>2976</v>
      </c>
      <c r="J507" s="1178" t="s">
        <v>662</v>
      </c>
      <c r="K507" s="1178" t="s">
        <v>20344</v>
      </c>
      <c r="L507" s="1178" t="s">
        <v>128</v>
      </c>
      <c r="M507" s="1369" t="s">
        <v>23263</v>
      </c>
      <c r="N507" s="1178" t="s">
        <v>20244</v>
      </c>
      <c r="O507" s="1178">
        <v>3</v>
      </c>
      <c r="P507" s="1178">
        <v>13.5</v>
      </c>
    </row>
    <row r="508" spans="1:16">
      <c r="A508" s="1178" t="s">
        <v>133</v>
      </c>
      <c r="B508" s="1371" t="str">
        <f>HYPERLINK(IFERROR("#Main_Tariff!A"&amp;MATCH(Raeburn_Main_Tariff[[#This Row],[Product Code]],Main_Tariff!I:I,0),"#Main_Tariff!A"&amp;MATCH("*"&amp;RIGHT(A508,8)&amp;"*",Main_Tariff!A:A,0)),Raeburn_Main_Tariff[[#This Row],[PRODUCER]])</f>
        <v>Durfort Vivens</v>
      </c>
      <c r="C508" s="1178" t="s">
        <v>20530</v>
      </c>
      <c r="D508" s="1178" t="s">
        <v>897</v>
      </c>
      <c r="E508" s="1179">
        <v>2019</v>
      </c>
      <c r="F508" s="1282" t="s">
        <v>20288</v>
      </c>
      <c r="G508" s="1368">
        <v>228</v>
      </c>
      <c r="H508" s="1178" t="s">
        <v>20224</v>
      </c>
      <c r="I508" s="1178" t="s">
        <v>2978</v>
      </c>
      <c r="J508" s="1178" t="s">
        <v>662</v>
      </c>
      <c r="K508" s="1178" t="s">
        <v>20344</v>
      </c>
      <c r="L508" s="1178" t="s">
        <v>128</v>
      </c>
      <c r="M508" s="1369" t="s">
        <v>23263</v>
      </c>
      <c r="N508" s="1178" t="s">
        <v>20244</v>
      </c>
      <c r="O508" s="1178">
        <v>1</v>
      </c>
      <c r="P508" s="1178">
        <v>13.5</v>
      </c>
    </row>
    <row r="509" spans="1:16">
      <c r="A509" s="1178" t="s">
        <v>133</v>
      </c>
      <c r="B509" s="1371" t="str">
        <f>HYPERLINK(IFERROR("#Main_Tariff!A"&amp;MATCH(Raeburn_Main_Tariff[[#This Row],[Product Code]],Main_Tariff!I:I,0),"#Main_Tariff!A"&amp;MATCH("*"&amp;RIGHT(A509,8)&amp;"*",Main_Tariff!A:A,0)),Raeburn_Main_Tariff[[#This Row],[PRODUCER]])</f>
        <v>Durfort Vivens</v>
      </c>
      <c r="C509" s="1178" t="s">
        <v>20529</v>
      </c>
      <c r="D509" s="1178" t="s">
        <v>897</v>
      </c>
      <c r="E509" s="1179">
        <v>2015</v>
      </c>
      <c r="F509" s="1282" t="s">
        <v>20240</v>
      </c>
      <c r="G509" s="1368">
        <v>114</v>
      </c>
      <c r="H509" s="1178" t="s">
        <v>20224</v>
      </c>
      <c r="I509" s="1178" t="s">
        <v>2980</v>
      </c>
      <c r="J509" s="1178" t="s">
        <v>662</v>
      </c>
      <c r="K509" s="1178" t="s">
        <v>20344</v>
      </c>
      <c r="L509" s="1178" t="s">
        <v>128</v>
      </c>
      <c r="M509" s="1369" t="s">
        <v>23263</v>
      </c>
      <c r="N509" s="1178"/>
      <c r="O509" s="1178">
        <v>3</v>
      </c>
      <c r="P509" s="1178">
        <v>13</v>
      </c>
    </row>
    <row r="510" spans="1:16">
      <c r="A510" s="1178" t="s">
        <v>133</v>
      </c>
      <c r="B510" s="1371" t="str">
        <f>HYPERLINK(IFERROR("#Main_Tariff!A"&amp;MATCH(Raeburn_Main_Tariff[[#This Row],[Product Code]],Main_Tariff!I:I,0),"#Main_Tariff!A"&amp;MATCH("*"&amp;RIGHT(A510,8)&amp;"*",Main_Tariff!A:A,0)),Raeburn_Main_Tariff[[#This Row],[PRODUCER]])</f>
        <v>Durfort Vivens</v>
      </c>
      <c r="C510" s="1178" t="s">
        <v>20529</v>
      </c>
      <c r="D510" s="1178" t="s">
        <v>897</v>
      </c>
      <c r="E510" s="1179">
        <v>2009</v>
      </c>
      <c r="F510" s="1282" t="s">
        <v>20240</v>
      </c>
      <c r="G510" s="1368">
        <v>164</v>
      </c>
      <c r="H510" s="1178" t="s">
        <v>20224</v>
      </c>
      <c r="I510" s="1178" t="s">
        <v>2982</v>
      </c>
      <c r="J510" s="1178" t="s">
        <v>662</v>
      </c>
      <c r="K510" s="1178" t="s">
        <v>20344</v>
      </c>
      <c r="L510" s="1178" t="s">
        <v>128</v>
      </c>
      <c r="M510" s="1369" t="s">
        <v>23263</v>
      </c>
      <c r="N510" s="1178"/>
      <c r="O510" s="1178">
        <v>3</v>
      </c>
      <c r="P510" s="1178">
        <v>13</v>
      </c>
    </row>
    <row r="511" spans="1:16">
      <c r="A511" s="1178" t="s">
        <v>20531</v>
      </c>
      <c r="B511" s="1371" t="str">
        <f>HYPERLINK(IFERROR("#Main_Tariff!A"&amp;MATCH(Raeburn_Main_Tariff[[#This Row],[Product Code]],Main_Tariff!I:I,0),"#Main_Tariff!A"&amp;MATCH("*"&amp;RIGHT(A511,8)&amp;"*",Main_Tariff!A:A,0)),Raeburn_Main_Tariff[[#This Row],[PRODUCER]])</f>
        <v>Ferrière</v>
      </c>
      <c r="C511" s="1178" t="s">
        <v>20532</v>
      </c>
      <c r="D511" s="1178" t="s">
        <v>897</v>
      </c>
      <c r="E511" s="1179">
        <v>2019</v>
      </c>
      <c r="F511" s="1282" t="s">
        <v>20280</v>
      </c>
      <c r="G511" s="1368">
        <v>19.25</v>
      </c>
      <c r="H511" s="1178" t="s">
        <v>20221</v>
      </c>
      <c r="I511" s="1178" t="s">
        <v>3005</v>
      </c>
      <c r="J511" s="1178" t="s">
        <v>662</v>
      </c>
      <c r="K511" s="1178" t="s">
        <v>20344</v>
      </c>
      <c r="L511" s="1178" t="s">
        <v>128</v>
      </c>
      <c r="M511" s="1369" t="s">
        <v>23262</v>
      </c>
      <c r="N511" s="1178" t="s">
        <v>20244</v>
      </c>
      <c r="O511" s="1178">
        <v>12</v>
      </c>
      <c r="P511" s="1178">
        <v>13.5</v>
      </c>
    </row>
    <row r="512" spans="1:16">
      <c r="A512" s="1178" t="s">
        <v>20531</v>
      </c>
      <c r="B512" s="1371" t="str">
        <f>HYPERLINK(IFERROR("#Main_Tariff!A"&amp;MATCH(Raeburn_Main_Tariff[[#This Row],[Product Code]],Main_Tariff!I:I,0),"#Main_Tariff!A"&amp;MATCH("*"&amp;RIGHT(A512,8)&amp;"*",Main_Tariff!A:A,0)),Raeburn_Main_Tariff[[#This Row],[PRODUCER]])</f>
        <v>Ferrière</v>
      </c>
      <c r="C512" s="1178" t="s">
        <v>20533</v>
      </c>
      <c r="D512" s="1178" t="s">
        <v>897</v>
      </c>
      <c r="E512" s="1179">
        <v>2023</v>
      </c>
      <c r="F512" s="1282" t="s">
        <v>20220</v>
      </c>
      <c r="G512" s="1368" t="s">
        <v>20342</v>
      </c>
      <c r="H512" s="1178" t="s">
        <v>20343</v>
      </c>
      <c r="I512" s="1178" t="s">
        <v>3007</v>
      </c>
      <c r="J512" s="1178" t="s">
        <v>662</v>
      </c>
      <c r="K512" s="1178" t="s">
        <v>20344</v>
      </c>
      <c r="L512" s="1178" t="s">
        <v>128</v>
      </c>
      <c r="M512" s="1369" t="s">
        <v>23262</v>
      </c>
      <c r="N512" s="1178" t="s">
        <v>20244</v>
      </c>
      <c r="O512" s="1178">
        <v>6</v>
      </c>
      <c r="P512" s="1178">
        <v>13</v>
      </c>
    </row>
    <row r="513" spans="1:16">
      <c r="A513" s="1178" t="s">
        <v>20531</v>
      </c>
      <c r="B513" s="1371" t="str">
        <f>HYPERLINK(IFERROR("#Main_Tariff!A"&amp;MATCH(Raeburn_Main_Tariff[[#This Row],[Product Code]],Main_Tariff!I:I,0),"#Main_Tariff!A"&amp;MATCH("*"&amp;RIGHT(A513,8)&amp;"*",Main_Tariff!A:A,0)),Raeburn_Main_Tariff[[#This Row],[PRODUCER]])</f>
        <v>Ferrière</v>
      </c>
      <c r="C513" s="1178" t="s">
        <v>20533</v>
      </c>
      <c r="D513" s="1178" t="s">
        <v>897</v>
      </c>
      <c r="E513" s="1179">
        <v>2022</v>
      </c>
      <c r="F513" s="1282" t="s">
        <v>20220</v>
      </c>
      <c r="G513" s="1368" t="s">
        <v>20342</v>
      </c>
      <c r="H513" s="1178" t="s">
        <v>20343</v>
      </c>
      <c r="I513" s="1178" t="s">
        <v>3009</v>
      </c>
      <c r="J513" s="1178" t="s">
        <v>662</v>
      </c>
      <c r="K513" s="1178" t="s">
        <v>20344</v>
      </c>
      <c r="L513" s="1178" t="s">
        <v>128</v>
      </c>
      <c r="M513" s="1369" t="s">
        <v>23262</v>
      </c>
      <c r="N513" s="1178" t="s">
        <v>20244</v>
      </c>
      <c r="O513" s="1178">
        <v>6</v>
      </c>
      <c r="P513" s="1178">
        <v>13</v>
      </c>
    </row>
    <row r="514" spans="1:16">
      <c r="A514" s="1178" t="s">
        <v>20531</v>
      </c>
      <c r="B514" s="1371" t="str">
        <f>HYPERLINK(IFERROR("#Main_Tariff!A"&amp;MATCH(Raeburn_Main_Tariff[[#This Row],[Product Code]],Main_Tariff!I:I,0),"#Main_Tariff!A"&amp;MATCH("*"&amp;RIGHT(A514,8)&amp;"*",Main_Tariff!A:A,0)),Raeburn_Main_Tariff[[#This Row],[PRODUCER]])</f>
        <v>Ferrière</v>
      </c>
      <c r="C514" s="1178" t="s">
        <v>20533</v>
      </c>
      <c r="D514" s="1178" t="s">
        <v>897</v>
      </c>
      <c r="E514" s="1179">
        <v>2021</v>
      </c>
      <c r="F514" s="1282" t="s">
        <v>20220</v>
      </c>
      <c r="G514" s="1368">
        <v>39.5</v>
      </c>
      <c r="H514" s="1178" t="s">
        <v>20221</v>
      </c>
      <c r="I514" s="1178" t="s">
        <v>3011</v>
      </c>
      <c r="J514" s="1178" t="s">
        <v>662</v>
      </c>
      <c r="K514" s="1178" t="s">
        <v>20344</v>
      </c>
      <c r="L514" s="1178" t="s">
        <v>128</v>
      </c>
      <c r="M514" s="1369" t="s">
        <v>23262</v>
      </c>
      <c r="N514" s="1178" t="s">
        <v>20244</v>
      </c>
      <c r="O514" s="1178">
        <v>12</v>
      </c>
      <c r="P514" s="1178">
        <v>13</v>
      </c>
    </row>
    <row r="515" spans="1:16">
      <c r="A515" s="1178" t="s">
        <v>20531</v>
      </c>
      <c r="B515" s="1371" t="str">
        <f>HYPERLINK(IFERROR("#Main_Tariff!A"&amp;MATCH(Raeburn_Main_Tariff[[#This Row],[Product Code]],Main_Tariff!I:I,0),"#Main_Tariff!A"&amp;MATCH("*"&amp;RIGHT(A515,8)&amp;"*",Main_Tariff!A:A,0)),Raeburn_Main_Tariff[[#This Row],[PRODUCER]])</f>
        <v>Ferrière</v>
      </c>
      <c r="C515" s="1178" t="s">
        <v>20533</v>
      </c>
      <c r="D515" s="1178" t="s">
        <v>897</v>
      </c>
      <c r="E515" s="1179">
        <v>2020</v>
      </c>
      <c r="F515" s="1282" t="s">
        <v>20220</v>
      </c>
      <c r="G515" s="1368">
        <v>41.25</v>
      </c>
      <c r="H515" s="1178" t="s">
        <v>20221</v>
      </c>
      <c r="I515" s="1178" t="s">
        <v>3013</v>
      </c>
      <c r="J515" s="1178" t="s">
        <v>662</v>
      </c>
      <c r="K515" s="1178" t="s">
        <v>20344</v>
      </c>
      <c r="L515" s="1178" t="s">
        <v>128</v>
      </c>
      <c r="M515" s="1369" t="s">
        <v>23262</v>
      </c>
      <c r="N515" s="1178" t="s">
        <v>20244</v>
      </c>
      <c r="O515" s="1178">
        <v>6</v>
      </c>
      <c r="P515" s="1178">
        <v>13.5</v>
      </c>
    </row>
    <row r="516" spans="1:16">
      <c r="A516" s="1178" t="s">
        <v>20531</v>
      </c>
      <c r="B516" s="1371" t="str">
        <f>HYPERLINK(IFERROR("#Main_Tariff!A"&amp;MATCH(Raeburn_Main_Tariff[[#This Row],[Product Code]],Main_Tariff!I:I,0),"#Main_Tariff!A"&amp;MATCH("*"&amp;RIGHT(A516,8)&amp;"*",Main_Tariff!A:A,0)),Raeburn_Main_Tariff[[#This Row],[PRODUCER]])</f>
        <v>Ferrière</v>
      </c>
      <c r="C516" s="1178" t="s">
        <v>20533</v>
      </c>
      <c r="D516" s="1178" t="s">
        <v>897</v>
      </c>
      <c r="E516" s="1179">
        <v>2019</v>
      </c>
      <c r="F516" s="1282" t="s">
        <v>20220</v>
      </c>
      <c r="G516" s="1368" t="s">
        <v>5258</v>
      </c>
      <c r="H516" s="1178" t="s">
        <v>20221</v>
      </c>
      <c r="I516" s="1178" t="s">
        <v>3015</v>
      </c>
      <c r="J516" s="1178" t="s">
        <v>662</v>
      </c>
      <c r="K516" s="1178" t="s">
        <v>20344</v>
      </c>
      <c r="L516" s="1178" t="s">
        <v>128</v>
      </c>
      <c r="M516" s="1369" t="s">
        <v>23262</v>
      </c>
      <c r="N516" s="1178" t="s">
        <v>20244</v>
      </c>
      <c r="O516" s="1178">
        <v>6</v>
      </c>
      <c r="P516" s="1178">
        <v>13.5</v>
      </c>
    </row>
    <row r="517" spans="1:16">
      <c r="A517" s="1178" t="s">
        <v>20531</v>
      </c>
      <c r="B517" s="1371" t="str">
        <f>HYPERLINK(IFERROR("#Main_Tariff!A"&amp;MATCH(Raeburn_Main_Tariff[[#This Row],[Product Code]],Main_Tariff!I:I,0),"#Main_Tariff!A"&amp;MATCH("*"&amp;RIGHT(A517,8)&amp;"*",Main_Tariff!A:A,0)),Raeburn_Main_Tariff[[#This Row],[PRODUCER]])</f>
        <v>Ferrière</v>
      </c>
      <c r="C517" s="1178" t="s">
        <v>20533</v>
      </c>
      <c r="D517" s="1178" t="s">
        <v>897</v>
      </c>
      <c r="E517" s="1179">
        <v>2009</v>
      </c>
      <c r="F517" s="1282" t="s">
        <v>20220</v>
      </c>
      <c r="G517" s="1368">
        <v>73.5</v>
      </c>
      <c r="H517" s="1178" t="s">
        <v>20221</v>
      </c>
      <c r="I517" s="1178" t="s">
        <v>3016</v>
      </c>
      <c r="J517" s="1178" t="s">
        <v>662</v>
      </c>
      <c r="K517" s="1178" t="s">
        <v>20344</v>
      </c>
      <c r="L517" s="1178" t="s">
        <v>128</v>
      </c>
      <c r="M517" s="1369" t="s">
        <v>23262</v>
      </c>
      <c r="N517" s="1178"/>
      <c r="O517" s="1178">
        <v>12</v>
      </c>
      <c r="P517" s="1178">
        <v>14</v>
      </c>
    </row>
    <row r="518" spans="1:16">
      <c r="A518" s="1178" t="s">
        <v>135</v>
      </c>
      <c r="B518" s="1371" t="str">
        <f>HYPERLINK(IFERROR("#Main_Tariff!A"&amp;MATCH(Raeburn_Main_Tariff[[#This Row],[Product Code]],Main_Tariff!I:I,0),"#Main_Tariff!A"&amp;MATCH("*"&amp;RIGHT(A518,8)&amp;"*",Main_Tariff!A:A,0)),Raeburn_Main_Tariff[[#This Row],[PRODUCER]])</f>
        <v>Giscours</v>
      </c>
      <c r="C518" s="1178" t="s">
        <v>20534</v>
      </c>
      <c r="D518" s="1178" t="s">
        <v>897</v>
      </c>
      <c r="E518" s="1179">
        <v>2022</v>
      </c>
      <c r="F518" s="1282" t="s">
        <v>20220</v>
      </c>
      <c r="G518" s="1368" t="s">
        <v>20342</v>
      </c>
      <c r="H518" s="1178" t="s">
        <v>20343</v>
      </c>
      <c r="I518" s="1178" t="s">
        <v>3025</v>
      </c>
      <c r="J518" s="1178" t="s">
        <v>662</v>
      </c>
      <c r="K518" s="1178" t="s">
        <v>20344</v>
      </c>
      <c r="L518" s="1178" t="s">
        <v>128</v>
      </c>
      <c r="M518" s="1369" t="s">
        <v>23262</v>
      </c>
      <c r="N518" s="1178"/>
      <c r="O518" s="1178">
        <v>6</v>
      </c>
      <c r="P518" s="1178">
        <v>0</v>
      </c>
    </row>
    <row r="519" spans="1:16">
      <c r="A519" s="1178" t="s">
        <v>135</v>
      </c>
      <c r="B519" s="1371" t="str">
        <f>HYPERLINK(IFERROR("#Main_Tariff!A"&amp;MATCH(Raeburn_Main_Tariff[[#This Row],[Product Code]],Main_Tariff!I:I,0),"#Main_Tariff!A"&amp;MATCH("*"&amp;RIGHT(A519,8)&amp;"*",Main_Tariff!A:A,0)),Raeburn_Main_Tariff[[#This Row],[PRODUCER]])</f>
        <v>Giscours</v>
      </c>
      <c r="C519" s="1178" t="s">
        <v>20534</v>
      </c>
      <c r="D519" s="1178" t="s">
        <v>897</v>
      </c>
      <c r="E519" s="1179">
        <v>2019</v>
      </c>
      <c r="F519" s="1282" t="s">
        <v>20220</v>
      </c>
      <c r="G519" s="1368" t="s">
        <v>5258</v>
      </c>
      <c r="H519" s="1178" t="s">
        <v>20221</v>
      </c>
      <c r="I519" s="1178" t="s">
        <v>3027</v>
      </c>
      <c r="J519" s="1178" t="s">
        <v>662</v>
      </c>
      <c r="K519" s="1178" t="s">
        <v>20344</v>
      </c>
      <c r="L519" s="1178" t="s">
        <v>128</v>
      </c>
      <c r="M519" s="1369" t="s">
        <v>23262</v>
      </c>
      <c r="N519" s="1178"/>
      <c r="O519" s="1178">
        <v>6</v>
      </c>
      <c r="P519" s="1178">
        <v>13</v>
      </c>
    </row>
    <row r="520" spans="1:16">
      <c r="A520" s="1178" t="s">
        <v>20535</v>
      </c>
      <c r="B520" s="1371" t="str">
        <f>HYPERLINK(IFERROR("#Main_Tariff!A"&amp;MATCH(Raeburn_Main_Tariff[[#This Row],[Product Code]],Main_Tariff!I:I,0),"#Main_Tariff!A"&amp;MATCH("*"&amp;RIGHT(A520,8)&amp;"*",Main_Tariff!A:A,0)),Raeburn_Main_Tariff[[#This Row],[PRODUCER]])</f>
        <v>Laroque (Margaux)</v>
      </c>
      <c r="C520" s="1178" t="s">
        <v>20536</v>
      </c>
      <c r="D520" s="1178" t="s">
        <v>897</v>
      </c>
      <c r="E520" s="1179">
        <v>2014</v>
      </c>
      <c r="F520" s="1282" t="s">
        <v>20220</v>
      </c>
      <c r="G520" s="1368">
        <v>23</v>
      </c>
      <c r="H520" s="1178" t="s">
        <v>20221</v>
      </c>
      <c r="I520" s="1178" t="s">
        <v>3038</v>
      </c>
      <c r="J520" s="1178" t="s">
        <v>662</v>
      </c>
      <c r="K520" s="1178" t="s">
        <v>20344</v>
      </c>
      <c r="L520" s="1178" t="s">
        <v>128</v>
      </c>
      <c r="M520" s="1369"/>
      <c r="N520" s="1178"/>
      <c r="O520" s="1178">
        <v>6</v>
      </c>
      <c r="P520" s="1178">
        <v>13</v>
      </c>
    </row>
    <row r="521" spans="1:16">
      <c r="A521" s="1178" t="s">
        <v>136</v>
      </c>
      <c r="B521" s="1371" t="str">
        <f>HYPERLINK(IFERROR("#Main_Tariff!A"&amp;MATCH(Raeburn_Main_Tariff[[#This Row],[Product Code]],Main_Tariff!I:I,0),"#Main_Tariff!A"&amp;MATCH("*"&amp;RIGHT(A521,8)&amp;"*",Main_Tariff!A:A,0)),Raeburn_Main_Tariff[[#This Row],[PRODUCER]])</f>
        <v>Malescot St. Exupéry</v>
      </c>
      <c r="C521" s="1178" t="s">
        <v>20537</v>
      </c>
      <c r="D521" s="1178" t="s">
        <v>897</v>
      </c>
      <c r="E521" s="1179">
        <v>2021</v>
      </c>
      <c r="F521" s="1282" t="s">
        <v>20220</v>
      </c>
      <c r="G521" s="1368">
        <v>52.5</v>
      </c>
      <c r="H521" s="1178" t="s">
        <v>20221</v>
      </c>
      <c r="I521" s="1178" t="s">
        <v>3050</v>
      </c>
      <c r="J521" s="1178" t="s">
        <v>662</v>
      </c>
      <c r="K521" s="1178" t="s">
        <v>20344</v>
      </c>
      <c r="L521" s="1178" t="s">
        <v>128</v>
      </c>
      <c r="M521" s="1369" t="s">
        <v>23262</v>
      </c>
      <c r="N521" s="1178"/>
      <c r="O521" s="1178">
        <v>6</v>
      </c>
      <c r="P521" s="1178">
        <v>13</v>
      </c>
    </row>
    <row r="522" spans="1:16">
      <c r="A522" s="1178" t="s">
        <v>128</v>
      </c>
      <c r="B522" s="1371" t="str">
        <f>HYPERLINK(IFERROR("#Main_Tariff!A"&amp;MATCH(Raeburn_Main_Tariff[[#This Row],[Product Code]],Main_Tariff!I:I,0),"#Main_Tariff!A"&amp;MATCH("*"&amp;RIGHT(A522,8)&amp;"*",Main_Tariff!A:A,0)),Raeburn_Main_Tariff[[#This Row],[PRODUCER]])</f>
        <v>Margaux</v>
      </c>
      <c r="C522" s="1178" t="s">
        <v>20538</v>
      </c>
      <c r="D522" s="1178" t="s">
        <v>897</v>
      </c>
      <c r="E522" s="1179">
        <v>2023</v>
      </c>
      <c r="F522" s="1282" t="s">
        <v>20220</v>
      </c>
      <c r="G522" s="1368" t="s">
        <v>20342</v>
      </c>
      <c r="H522" s="1178" t="s">
        <v>20343</v>
      </c>
      <c r="I522" s="1178" t="s">
        <v>3058</v>
      </c>
      <c r="J522" s="1178" t="s">
        <v>662</v>
      </c>
      <c r="K522" s="1178" t="s">
        <v>20344</v>
      </c>
      <c r="L522" s="1178" t="s">
        <v>128</v>
      </c>
      <c r="M522" s="1369"/>
      <c r="N522" s="1178"/>
      <c r="O522" s="1178">
        <v>6</v>
      </c>
      <c r="P522" s="1178">
        <v>12.5</v>
      </c>
    </row>
    <row r="523" spans="1:16">
      <c r="A523" s="1178" t="s">
        <v>128</v>
      </c>
      <c r="B523" s="1371" t="str">
        <f>HYPERLINK(IFERROR("#Main_Tariff!A"&amp;MATCH(Raeburn_Main_Tariff[[#This Row],[Product Code]],Main_Tariff!I:I,0),"#Main_Tariff!A"&amp;MATCH("*"&amp;RIGHT(A523,8)&amp;"*",Main_Tariff!A:A,0)),Raeburn_Main_Tariff[[#This Row],[PRODUCER]])</f>
        <v>Margaux</v>
      </c>
      <c r="C523" s="1178" t="s">
        <v>20538</v>
      </c>
      <c r="D523" s="1178" t="s">
        <v>897</v>
      </c>
      <c r="E523" s="1179">
        <v>2022</v>
      </c>
      <c r="F523" s="1282" t="s">
        <v>20220</v>
      </c>
      <c r="G523" s="1368" t="s">
        <v>20342</v>
      </c>
      <c r="H523" s="1178" t="s">
        <v>20343</v>
      </c>
      <c r="I523" s="1178" t="s">
        <v>3060</v>
      </c>
      <c r="J523" s="1178" t="s">
        <v>662</v>
      </c>
      <c r="K523" s="1178" t="s">
        <v>20344</v>
      </c>
      <c r="L523" s="1178" t="s">
        <v>128</v>
      </c>
      <c r="M523" s="1369"/>
      <c r="N523" s="1178"/>
      <c r="O523" s="1178">
        <v>6</v>
      </c>
      <c r="P523" s="1178">
        <v>0</v>
      </c>
    </row>
    <row r="524" spans="1:16">
      <c r="A524" s="1178" t="s">
        <v>128</v>
      </c>
      <c r="B524" s="1371" t="str">
        <f>HYPERLINK(IFERROR("#Main_Tariff!A"&amp;MATCH(Raeburn_Main_Tariff[[#This Row],[Product Code]],Main_Tariff!I:I,0),"#Main_Tariff!A"&amp;MATCH("*"&amp;RIGHT(A524,8)&amp;"*",Main_Tariff!A:A,0)),Raeburn_Main_Tariff[[#This Row],[PRODUCER]])</f>
        <v>Margaux</v>
      </c>
      <c r="C524" s="1178" t="s">
        <v>20538</v>
      </c>
      <c r="D524" s="1178" t="s">
        <v>897</v>
      </c>
      <c r="E524" s="1179">
        <v>2021</v>
      </c>
      <c r="F524" s="1282" t="s">
        <v>20220</v>
      </c>
      <c r="G524" s="1368">
        <v>174.75</v>
      </c>
      <c r="H524" s="1178" t="s">
        <v>20221</v>
      </c>
      <c r="I524" s="1178" t="s">
        <v>3062</v>
      </c>
      <c r="J524" s="1178" t="s">
        <v>662</v>
      </c>
      <c r="K524" s="1178" t="s">
        <v>20344</v>
      </c>
      <c r="L524" s="1178" t="s">
        <v>128</v>
      </c>
      <c r="M524" s="1369"/>
      <c r="N524" s="1178"/>
      <c r="O524" s="1178">
        <v>6</v>
      </c>
      <c r="P524" s="1178">
        <v>13</v>
      </c>
    </row>
    <row r="525" spans="1:16">
      <c r="A525" s="1178" t="s">
        <v>128</v>
      </c>
      <c r="B525" s="1371" t="str">
        <f>HYPERLINK(IFERROR("#Main_Tariff!A"&amp;MATCH(Raeburn_Main_Tariff[[#This Row],[Product Code]],Main_Tariff!I:I,0),"#Main_Tariff!A"&amp;MATCH("*"&amp;RIGHT(A525,8)&amp;"*",Main_Tariff!A:A,0)),Raeburn_Main_Tariff[[#This Row],[PRODUCER]])</f>
        <v>Margaux</v>
      </c>
      <c r="C525" s="1178" t="s">
        <v>20538</v>
      </c>
      <c r="D525" s="1178" t="s">
        <v>897</v>
      </c>
      <c r="E525" s="1179">
        <v>2020</v>
      </c>
      <c r="F525" s="1282" t="s">
        <v>20220</v>
      </c>
      <c r="G525" s="1368" t="s">
        <v>5258</v>
      </c>
      <c r="H525" s="1178" t="s">
        <v>20221</v>
      </c>
      <c r="I525" s="1178" t="s">
        <v>3064</v>
      </c>
      <c r="J525" s="1178" t="s">
        <v>662</v>
      </c>
      <c r="K525" s="1178" t="s">
        <v>20344</v>
      </c>
      <c r="L525" s="1178" t="s">
        <v>128</v>
      </c>
      <c r="M525" s="1369"/>
      <c r="N525" s="1178"/>
      <c r="O525" s="1178">
        <v>6</v>
      </c>
      <c r="P525" s="1178">
        <v>13</v>
      </c>
    </row>
    <row r="526" spans="1:16">
      <c r="A526" s="1178" t="s">
        <v>128</v>
      </c>
      <c r="B526" s="1371" t="str">
        <f>HYPERLINK(IFERROR("#Main_Tariff!A"&amp;MATCH(Raeburn_Main_Tariff[[#This Row],[Product Code]],Main_Tariff!I:I,0),"#Main_Tariff!A"&amp;MATCH("*"&amp;RIGHT(A526,8)&amp;"*",Main_Tariff!A:A,0)),Raeburn_Main_Tariff[[#This Row],[PRODUCER]])</f>
        <v>Margaux</v>
      </c>
      <c r="C526" s="1178" t="s">
        <v>20539</v>
      </c>
      <c r="D526" s="1178" t="s">
        <v>897</v>
      </c>
      <c r="E526" s="1179">
        <v>2023</v>
      </c>
      <c r="F526" s="1282" t="s">
        <v>20220</v>
      </c>
      <c r="G526" s="1368" t="s">
        <v>20342</v>
      </c>
      <c r="H526" s="1178" t="s">
        <v>20343</v>
      </c>
      <c r="I526" s="1178" t="s">
        <v>3067</v>
      </c>
      <c r="J526" s="1178" t="s">
        <v>662</v>
      </c>
      <c r="K526" s="1178" t="s">
        <v>20344</v>
      </c>
      <c r="L526" s="1178" t="s">
        <v>128</v>
      </c>
      <c r="M526" s="1369" t="s">
        <v>23257</v>
      </c>
      <c r="N526" s="1178"/>
      <c r="O526" s="1178">
        <v>6</v>
      </c>
      <c r="P526" s="1178">
        <v>13</v>
      </c>
    </row>
    <row r="527" spans="1:16">
      <c r="A527" s="1178" t="s">
        <v>128</v>
      </c>
      <c r="B527" s="1371" t="str">
        <f>HYPERLINK(IFERROR("#Main_Tariff!A"&amp;MATCH(Raeburn_Main_Tariff[[#This Row],[Product Code]],Main_Tariff!I:I,0),"#Main_Tariff!A"&amp;MATCH("*"&amp;RIGHT(A527,8)&amp;"*",Main_Tariff!A:A,0)),Raeburn_Main_Tariff[[#This Row],[PRODUCER]])</f>
        <v>Margaux</v>
      </c>
      <c r="C527" s="1178" t="s">
        <v>20539</v>
      </c>
      <c r="D527" s="1178" t="s">
        <v>897</v>
      </c>
      <c r="E527" s="1179">
        <v>2022</v>
      </c>
      <c r="F527" s="1282" t="s">
        <v>20220</v>
      </c>
      <c r="G527" s="1368" t="s">
        <v>20342</v>
      </c>
      <c r="H527" s="1178" t="s">
        <v>20343</v>
      </c>
      <c r="I527" s="1178" t="s">
        <v>3069</v>
      </c>
      <c r="J527" s="1178" t="s">
        <v>662</v>
      </c>
      <c r="K527" s="1178" t="s">
        <v>20344</v>
      </c>
      <c r="L527" s="1178" t="s">
        <v>128</v>
      </c>
      <c r="M527" s="1369" t="s">
        <v>23257</v>
      </c>
      <c r="N527" s="1178"/>
      <c r="O527" s="1178">
        <v>6</v>
      </c>
      <c r="P527" s="1178">
        <v>13</v>
      </c>
    </row>
    <row r="528" spans="1:16">
      <c r="A528" s="1178" t="s">
        <v>128</v>
      </c>
      <c r="B528" s="1371" t="str">
        <f>HYPERLINK(IFERROR("#Main_Tariff!A"&amp;MATCH(Raeburn_Main_Tariff[[#This Row],[Product Code]],Main_Tariff!I:I,0),"#Main_Tariff!A"&amp;MATCH("*"&amp;RIGHT(A528,8)&amp;"*",Main_Tariff!A:A,0)),Raeburn_Main_Tariff[[#This Row],[PRODUCER]])</f>
        <v>Margaux</v>
      </c>
      <c r="C528" s="1178" t="s">
        <v>20539</v>
      </c>
      <c r="D528" s="1178" t="s">
        <v>897</v>
      </c>
      <c r="E528" s="1179">
        <v>2021</v>
      </c>
      <c r="F528" s="1282" t="s">
        <v>20220</v>
      </c>
      <c r="G528" s="1368" t="s">
        <v>5258</v>
      </c>
      <c r="H528" s="1178" t="s">
        <v>20224</v>
      </c>
      <c r="I528" s="1178" t="s">
        <v>3071</v>
      </c>
      <c r="J528" s="1178" t="s">
        <v>662</v>
      </c>
      <c r="K528" s="1178" t="s">
        <v>20344</v>
      </c>
      <c r="L528" s="1178" t="s">
        <v>128</v>
      </c>
      <c r="M528" s="1369" t="s">
        <v>23257</v>
      </c>
      <c r="N528" s="1178"/>
      <c r="O528" s="1178">
        <v>3</v>
      </c>
      <c r="P528" s="1178">
        <v>13</v>
      </c>
    </row>
    <row r="529" spans="1:16">
      <c r="A529" s="1178" t="s">
        <v>137</v>
      </c>
      <c r="B529" s="1371" t="str">
        <f>HYPERLINK(IFERROR("#Main_Tariff!A"&amp;MATCH(Raeburn_Main_Tariff[[#This Row],[Product Code]],Main_Tariff!I:I,0),"#Main_Tariff!A"&amp;MATCH("*"&amp;RIGHT(A529,8)&amp;"*",Main_Tariff!A:A,0)),Raeburn_Main_Tariff[[#This Row],[PRODUCER]])</f>
        <v>Palmer</v>
      </c>
      <c r="C529" s="1178" t="s">
        <v>20540</v>
      </c>
      <c r="D529" s="1178" t="s">
        <v>897</v>
      </c>
      <c r="E529" s="1179">
        <v>2022</v>
      </c>
      <c r="F529" s="1282" t="s">
        <v>20220</v>
      </c>
      <c r="G529" s="1368" t="s">
        <v>20342</v>
      </c>
      <c r="H529" s="1178" t="s">
        <v>20343</v>
      </c>
      <c r="I529" s="1178" t="s">
        <v>3079</v>
      </c>
      <c r="J529" s="1178" t="s">
        <v>662</v>
      </c>
      <c r="K529" s="1178" t="s">
        <v>20344</v>
      </c>
      <c r="L529" s="1178" t="s">
        <v>128</v>
      </c>
      <c r="M529" s="1369"/>
      <c r="N529" s="1178" t="s">
        <v>20244</v>
      </c>
      <c r="O529" s="1178">
        <v>6</v>
      </c>
      <c r="P529" s="1178">
        <v>0</v>
      </c>
    </row>
    <row r="530" spans="1:16">
      <c r="A530" s="1178" t="s">
        <v>137</v>
      </c>
      <c r="B530" s="1371" t="str">
        <f>HYPERLINK(IFERROR("#Main_Tariff!A"&amp;MATCH(Raeburn_Main_Tariff[[#This Row],[Product Code]],Main_Tariff!I:I,0),"#Main_Tariff!A"&amp;MATCH("*"&amp;RIGHT(A530,8)&amp;"*",Main_Tariff!A:A,0)),Raeburn_Main_Tariff[[#This Row],[PRODUCER]])</f>
        <v>Palmer</v>
      </c>
      <c r="C530" s="1178" t="s">
        <v>20540</v>
      </c>
      <c r="D530" s="1178" t="s">
        <v>897</v>
      </c>
      <c r="E530" s="1179">
        <v>2021</v>
      </c>
      <c r="F530" s="1282" t="s">
        <v>20220</v>
      </c>
      <c r="G530" s="1368">
        <v>74.75</v>
      </c>
      <c r="H530" s="1178" t="s">
        <v>20224</v>
      </c>
      <c r="I530" s="1178" t="s">
        <v>3081</v>
      </c>
      <c r="J530" s="1178" t="s">
        <v>662</v>
      </c>
      <c r="K530" s="1178" t="s">
        <v>20344</v>
      </c>
      <c r="L530" s="1178" t="s">
        <v>128</v>
      </c>
      <c r="M530" s="1369"/>
      <c r="N530" s="1178" t="s">
        <v>20244</v>
      </c>
      <c r="O530" s="1178">
        <v>6</v>
      </c>
      <c r="P530" s="1178">
        <v>13</v>
      </c>
    </row>
    <row r="531" spans="1:16">
      <c r="A531" s="1178" t="s">
        <v>137</v>
      </c>
      <c r="B531" s="1371" t="str">
        <f>HYPERLINK(IFERROR("#Main_Tariff!A"&amp;MATCH(Raeburn_Main_Tariff[[#This Row],[Product Code]],Main_Tariff!I:I,0),"#Main_Tariff!A"&amp;MATCH("*"&amp;RIGHT(A531,8)&amp;"*",Main_Tariff!A:A,0)),Raeburn_Main_Tariff[[#This Row],[PRODUCER]])</f>
        <v>Palmer</v>
      </c>
      <c r="C531" s="1178" t="s">
        <v>20541</v>
      </c>
      <c r="D531" s="1178" t="s">
        <v>897</v>
      </c>
      <c r="E531" s="1179">
        <v>2022</v>
      </c>
      <c r="F531" s="1282" t="s">
        <v>20220</v>
      </c>
      <c r="G531" s="1368" t="s">
        <v>20342</v>
      </c>
      <c r="H531" s="1178" t="s">
        <v>20343</v>
      </c>
      <c r="I531" s="1178" t="s">
        <v>3083</v>
      </c>
      <c r="J531" s="1178" t="s">
        <v>662</v>
      </c>
      <c r="K531" s="1178" t="s">
        <v>20344</v>
      </c>
      <c r="L531" s="1178" t="s">
        <v>128</v>
      </c>
      <c r="M531" s="1369" t="s">
        <v>23262</v>
      </c>
      <c r="N531" s="1178" t="s">
        <v>20244</v>
      </c>
      <c r="O531" s="1178">
        <v>6</v>
      </c>
      <c r="P531" s="1178">
        <v>0</v>
      </c>
    </row>
    <row r="532" spans="1:16">
      <c r="A532" s="1178" t="s">
        <v>137</v>
      </c>
      <c r="B532" s="1371" t="str">
        <f>HYPERLINK(IFERROR("#Main_Tariff!A"&amp;MATCH(Raeburn_Main_Tariff[[#This Row],[Product Code]],Main_Tariff!I:I,0),"#Main_Tariff!A"&amp;MATCH("*"&amp;RIGHT(A532,8)&amp;"*",Main_Tariff!A:A,0)),Raeburn_Main_Tariff[[#This Row],[PRODUCER]])</f>
        <v>Palmer</v>
      </c>
      <c r="C532" s="1178" t="s">
        <v>20541</v>
      </c>
      <c r="D532" s="1178" t="s">
        <v>897</v>
      </c>
      <c r="E532" s="1179">
        <v>2021</v>
      </c>
      <c r="F532" s="1282" t="s">
        <v>20220</v>
      </c>
      <c r="G532" s="1368">
        <v>298.5</v>
      </c>
      <c r="H532" s="1178" t="s">
        <v>20224</v>
      </c>
      <c r="I532" s="1178" t="s">
        <v>3085</v>
      </c>
      <c r="J532" s="1178" t="s">
        <v>662</v>
      </c>
      <c r="K532" s="1178" t="s">
        <v>20344</v>
      </c>
      <c r="L532" s="1178" t="s">
        <v>128</v>
      </c>
      <c r="M532" s="1369" t="s">
        <v>23262</v>
      </c>
      <c r="N532" s="1178" t="s">
        <v>20244</v>
      </c>
      <c r="O532" s="1178">
        <v>3</v>
      </c>
      <c r="P532" s="1178">
        <v>13.5</v>
      </c>
    </row>
    <row r="533" spans="1:16">
      <c r="A533" s="1178" t="s">
        <v>137</v>
      </c>
      <c r="B533" s="1371" t="str">
        <f>HYPERLINK(IFERROR("#Main_Tariff!A"&amp;MATCH(Raeburn_Main_Tariff[[#This Row],[Product Code]],Main_Tariff!I:I,0),"#Main_Tariff!A"&amp;MATCH("*"&amp;RIGHT(A533,8)&amp;"*",Main_Tariff!A:A,0)),Raeburn_Main_Tariff[[#This Row],[PRODUCER]])</f>
        <v>Palmer</v>
      </c>
      <c r="C533" s="1178" t="s">
        <v>20541</v>
      </c>
      <c r="D533" s="1178" t="s">
        <v>897</v>
      </c>
      <c r="E533" s="1179">
        <v>2020</v>
      </c>
      <c r="F533" s="1282" t="s">
        <v>20220</v>
      </c>
      <c r="G533" s="1368">
        <v>299.5</v>
      </c>
      <c r="H533" s="1178" t="s">
        <v>20221</v>
      </c>
      <c r="I533" s="1178" t="s">
        <v>3087</v>
      </c>
      <c r="J533" s="1178" t="s">
        <v>662</v>
      </c>
      <c r="K533" s="1178" t="s">
        <v>20344</v>
      </c>
      <c r="L533" s="1178" t="s">
        <v>128</v>
      </c>
      <c r="M533" s="1369" t="s">
        <v>23262</v>
      </c>
      <c r="N533" s="1178" t="s">
        <v>20244</v>
      </c>
      <c r="O533" s="1178">
        <v>6</v>
      </c>
      <c r="P533" s="1178">
        <v>13</v>
      </c>
    </row>
    <row r="534" spans="1:16">
      <c r="A534" s="1178" t="s">
        <v>138</v>
      </c>
      <c r="B534" s="1371" t="str">
        <f>HYPERLINK(IFERROR("#Main_Tariff!A"&amp;MATCH(Raeburn_Main_Tariff[[#This Row],[Product Code]],Main_Tariff!I:I,0),"#Main_Tariff!A"&amp;MATCH("*"&amp;RIGHT(A534,8)&amp;"*",Main_Tariff!A:A,0)),Raeburn_Main_Tariff[[#This Row],[PRODUCER]])</f>
        <v>Rauzan-Segla</v>
      </c>
      <c r="C534" s="1178" t="s">
        <v>20542</v>
      </c>
      <c r="D534" s="1178" t="s">
        <v>897</v>
      </c>
      <c r="E534" s="1179">
        <v>2022</v>
      </c>
      <c r="F534" s="1282" t="s">
        <v>20220</v>
      </c>
      <c r="G534" s="1368" t="s">
        <v>20342</v>
      </c>
      <c r="H534" s="1178" t="s">
        <v>20343</v>
      </c>
      <c r="I534" s="1178" t="s">
        <v>3094</v>
      </c>
      <c r="J534" s="1178" t="s">
        <v>662</v>
      </c>
      <c r="K534" s="1178" t="s">
        <v>20344</v>
      </c>
      <c r="L534" s="1178" t="s">
        <v>128</v>
      </c>
      <c r="M534" s="1369" t="s">
        <v>23263</v>
      </c>
      <c r="N534" s="1178"/>
      <c r="O534" s="1178">
        <v>6</v>
      </c>
      <c r="P534" s="1178">
        <v>0</v>
      </c>
    </row>
    <row r="535" spans="1:16">
      <c r="A535" s="1178" t="s">
        <v>138</v>
      </c>
      <c r="B535" s="1371" t="str">
        <f>HYPERLINK(IFERROR("#Main_Tariff!A"&amp;MATCH(Raeburn_Main_Tariff[[#This Row],[Product Code]],Main_Tariff!I:I,0),"#Main_Tariff!A"&amp;MATCH("*"&amp;RIGHT(A535,8)&amp;"*",Main_Tariff!A:A,0)),Raeburn_Main_Tariff[[#This Row],[PRODUCER]])</f>
        <v>Rauzan-Segla</v>
      </c>
      <c r="C535" s="1178" t="s">
        <v>20542</v>
      </c>
      <c r="D535" s="1178" t="s">
        <v>897</v>
      </c>
      <c r="E535" s="1179">
        <v>2021</v>
      </c>
      <c r="F535" s="1282" t="s">
        <v>20220</v>
      </c>
      <c r="G535" s="1368">
        <v>79.75</v>
      </c>
      <c r="H535" s="1178" t="s">
        <v>20221</v>
      </c>
      <c r="I535" s="1178" t="s">
        <v>3096</v>
      </c>
      <c r="J535" s="1178" t="s">
        <v>662</v>
      </c>
      <c r="K535" s="1178" t="s">
        <v>20344</v>
      </c>
      <c r="L535" s="1178" t="s">
        <v>128</v>
      </c>
      <c r="M535" s="1369" t="s">
        <v>23263</v>
      </c>
      <c r="N535" s="1178"/>
      <c r="O535" s="1178">
        <v>6</v>
      </c>
      <c r="P535" s="1178">
        <v>13</v>
      </c>
    </row>
    <row r="536" spans="1:16">
      <c r="A536" s="1178" t="s">
        <v>138</v>
      </c>
      <c r="B536" s="1371" t="str">
        <f>HYPERLINK(IFERROR("#Main_Tariff!A"&amp;MATCH(Raeburn_Main_Tariff[[#This Row],[Product Code]],Main_Tariff!I:I,0),"#Main_Tariff!A"&amp;MATCH("*"&amp;RIGHT(A536,8)&amp;"*",Main_Tariff!A:A,0)),Raeburn_Main_Tariff[[#This Row],[PRODUCER]])</f>
        <v>Rauzan-Segla</v>
      </c>
      <c r="C536" s="1178" t="s">
        <v>20542</v>
      </c>
      <c r="D536" s="1178" t="s">
        <v>897</v>
      </c>
      <c r="E536" s="1179">
        <v>2020</v>
      </c>
      <c r="F536" s="1282" t="s">
        <v>20220</v>
      </c>
      <c r="G536" s="1368">
        <v>87.5</v>
      </c>
      <c r="H536" s="1178" t="s">
        <v>20221</v>
      </c>
      <c r="I536" s="1178" t="s">
        <v>3098</v>
      </c>
      <c r="J536" s="1178" t="s">
        <v>662</v>
      </c>
      <c r="K536" s="1178" t="s">
        <v>20344</v>
      </c>
      <c r="L536" s="1178" t="s">
        <v>128</v>
      </c>
      <c r="M536" s="1369" t="s">
        <v>23263</v>
      </c>
      <c r="N536" s="1178"/>
      <c r="O536" s="1178">
        <v>6</v>
      </c>
      <c r="P536" s="1178">
        <v>13</v>
      </c>
    </row>
    <row r="537" spans="1:16">
      <c r="A537" s="1178" t="s">
        <v>138</v>
      </c>
      <c r="B537" s="1371" t="str">
        <f>HYPERLINK(IFERROR("#Main_Tariff!A"&amp;MATCH(Raeburn_Main_Tariff[[#This Row],[Product Code]],Main_Tariff!I:I,0),"#Main_Tariff!A"&amp;MATCH("*"&amp;RIGHT(A537,8)&amp;"*",Main_Tariff!A:A,0)),Raeburn_Main_Tariff[[#This Row],[PRODUCER]])</f>
        <v>Rauzan-Segla</v>
      </c>
      <c r="C537" s="1178" t="s">
        <v>20542</v>
      </c>
      <c r="D537" s="1178" t="s">
        <v>897</v>
      </c>
      <c r="E537" s="1179">
        <v>2019</v>
      </c>
      <c r="F537" s="1282" t="s">
        <v>20220</v>
      </c>
      <c r="G537" s="1368">
        <v>85.5</v>
      </c>
      <c r="H537" s="1178" t="s">
        <v>20221</v>
      </c>
      <c r="I537" s="1178" t="s">
        <v>3099</v>
      </c>
      <c r="J537" s="1178" t="s">
        <v>662</v>
      </c>
      <c r="K537" s="1178" t="s">
        <v>20344</v>
      </c>
      <c r="L537" s="1178" t="s">
        <v>128</v>
      </c>
      <c r="M537" s="1369" t="s">
        <v>23263</v>
      </c>
      <c r="N537" s="1178"/>
      <c r="O537" s="1178">
        <v>6</v>
      </c>
      <c r="P537" s="1178">
        <v>13</v>
      </c>
    </row>
    <row r="538" spans="1:16">
      <c r="A538" s="1178" t="s">
        <v>139</v>
      </c>
      <c r="B538" s="1371" t="str">
        <f>HYPERLINK(IFERROR("#Main_Tariff!A"&amp;MATCH(Raeburn_Main_Tariff[[#This Row],[Product Code]],Main_Tariff!I:I,0),"#Main_Tariff!A"&amp;MATCH("*"&amp;RIGHT(A538,8)&amp;"*",Main_Tariff!A:A,0)),Raeburn_Main_Tariff[[#This Row],[PRODUCER]])</f>
        <v>du Tertre</v>
      </c>
      <c r="C538" s="1178" t="s">
        <v>20543</v>
      </c>
      <c r="D538" s="1178" t="s">
        <v>897</v>
      </c>
      <c r="E538" s="1179">
        <v>2020</v>
      </c>
      <c r="F538" s="1282" t="s">
        <v>20220</v>
      </c>
      <c r="G538" s="1368">
        <v>41</v>
      </c>
      <c r="H538" s="1178" t="s">
        <v>20221</v>
      </c>
      <c r="I538" s="1178" t="s">
        <v>3108</v>
      </c>
      <c r="J538" s="1178" t="s">
        <v>662</v>
      </c>
      <c r="K538" s="1178" t="s">
        <v>20344</v>
      </c>
      <c r="L538" s="1178" t="s">
        <v>128</v>
      </c>
      <c r="M538" s="1369" t="s">
        <v>23261</v>
      </c>
      <c r="N538" s="1178"/>
      <c r="O538" s="1178">
        <v>6</v>
      </c>
      <c r="P538" s="1178">
        <v>13</v>
      </c>
    </row>
    <row r="539" spans="1:16">
      <c r="A539" s="1178" t="s">
        <v>139</v>
      </c>
      <c r="B539" s="1371" t="str">
        <f>HYPERLINK(IFERROR("#Main_Tariff!A"&amp;MATCH(Raeburn_Main_Tariff[[#This Row],[Product Code]],Main_Tariff!I:I,0),"#Main_Tariff!A"&amp;MATCH("*"&amp;RIGHT(A539,8)&amp;"*",Main_Tariff!A:A,0)),Raeburn_Main_Tariff[[#This Row],[PRODUCER]])</f>
        <v>du Tertre</v>
      </c>
      <c r="C539" s="1178" t="s">
        <v>20543</v>
      </c>
      <c r="D539" s="1178" t="s">
        <v>897</v>
      </c>
      <c r="E539" s="1179">
        <v>2019</v>
      </c>
      <c r="F539" s="1282" t="s">
        <v>20220</v>
      </c>
      <c r="G539" s="1368">
        <v>39</v>
      </c>
      <c r="H539" s="1178" t="s">
        <v>20224</v>
      </c>
      <c r="I539" s="1178" t="s">
        <v>3110</v>
      </c>
      <c r="J539" s="1178" t="s">
        <v>662</v>
      </c>
      <c r="K539" s="1178" t="s">
        <v>20344</v>
      </c>
      <c r="L539" s="1178" t="s">
        <v>128</v>
      </c>
      <c r="M539" s="1369" t="s">
        <v>23261</v>
      </c>
      <c r="N539" s="1178"/>
      <c r="O539" s="1178">
        <v>6</v>
      </c>
      <c r="P539" s="1178">
        <v>13.5</v>
      </c>
    </row>
    <row r="540" spans="1:16">
      <c r="A540" s="1178" t="s">
        <v>139</v>
      </c>
      <c r="B540" s="1371" t="str">
        <f>HYPERLINK(IFERROR("#Main_Tariff!A"&amp;MATCH(Raeburn_Main_Tariff[[#This Row],[Product Code]],Main_Tariff!I:I,0),"#Main_Tariff!A"&amp;MATCH("*"&amp;RIGHT(A540,8)&amp;"*",Main_Tariff!A:A,0)),Raeburn_Main_Tariff[[#This Row],[PRODUCER]])</f>
        <v>du Tertre</v>
      </c>
      <c r="C540" s="1178" t="s">
        <v>20543</v>
      </c>
      <c r="D540" s="1178" t="s">
        <v>897</v>
      </c>
      <c r="E540" s="1179">
        <v>2016</v>
      </c>
      <c r="F540" s="1282" t="s">
        <v>20220</v>
      </c>
      <c r="G540" s="1368">
        <v>44</v>
      </c>
      <c r="H540" s="1178" t="s">
        <v>20221</v>
      </c>
      <c r="I540" s="1178" t="s">
        <v>3112</v>
      </c>
      <c r="J540" s="1178" t="s">
        <v>662</v>
      </c>
      <c r="K540" s="1178" t="s">
        <v>20344</v>
      </c>
      <c r="L540" s="1178" t="s">
        <v>128</v>
      </c>
      <c r="M540" s="1369" t="s">
        <v>23261</v>
      </c>
      <c r="N540" s="1178"/>
      <c r="O540" s="1178">
        <v>6</v>
      </c>
      <c r="P540" s="1178">
        <v>13</v>
      </c>
    </row>
    <row r="541" spans="1:16">
      <c r="A541" s="1178" t="s">
        <v>139</v>
      </c>
      <c r="B541" s="1371" t="str">
        <f>HYPERLINK(IFERROR("#Main_Tariff!A"&amp;MATCH(Raeburn_Main_Tariff[[#This Row],[Product Code]],Main_Tariff!I:I,0),"#Main_Tariff!A"&amp;MATCH("*"&amp;RIGHT(A541,8)&amp;"*",Main_Tariff!A:A,0)),Raeburn_Main_Tariff[[#This Row],[PRODUCER]])</f>
        <v>du Tertre</v>
      </c>
      <c r="C541" s="1178" t="s">
        <v>20544</v>
      </c>
      <c r="D541" s="1178" t="s">
        <v>897</v>
      </c>
      <c r="E541" s="1179">
        <v>2015</v>
      </c>
      <c r="F541" s="1282" t="s">
        <v>20240</v>
      </c>
      <c r="G541" s="1368">
        <v>82</v>
      </c>
      <c r="H541" s="1178" t="s">
        <v>20224</v>
      </c>
      <c r="I541" s="1178" t="s">
        <v>3113</v>
      </c>
      <c r="J541" s="1178" t="s">
        <v>662</v>
      </c>
      <c r="K541" s="1178" t="s">
        <v>20344</v>
      </c>
      <c r="L541" s="1178" t="s">
        <v>128</v>
      </c>
      <c r="M541" s="1369" t="s">
        <v>23261</v>
      </c>
      <c r="N541" s="1178"/>
      <c r="O541" s="1178">
        <v>3</v>
      </c>
      <c r="P541" s="1178">
        <v>13</v>
      </c>
    </row>
    <row r="542" spans="1:16">
      <c r="A542" s="1178" t="s">
        <v>141</v>
      </c>
      <c r="B542" s="1371" t="str">
        <f>HYPERLINK(IFERROR("#Main_Tariff!A"&amp;MATCH(Raeburn_Main_Tariff[[#This Row],[Product Code]],Main_Tariff!I:I,0),"#Main_Tariff!A"&amp;MATCH("*"&amp;RIGHT(A542,8)&amp;"*",Main_Tariff!A:A,0)),Raeburn_Main_Tariff[[#This Row],[PRODUCER]])</f>
        <v>Chasse-Spleen</v>
      </c>
      <c r="C542" s="1178" t="s">
        <v>20545</v>
      </c>
      <c r="D542" s="1178" t="s">
        <v>1129</v>
      </c>
      <c r="E542" s="1179">
        <v>2016</v>
      </c>
      <c r="F542" s="1282" t="s">
        <v>20220</v>
      </c>
      <c r="G542" s="1368">
        <v>23.5</v>
      </c>
      <c r="H542" s="1178" t="s">
        <v>20277</v>
      </c>
      <c r="I542" s="1178" t="s">
        <v>3122</v>
      </c>
      <c r="J542" s="1178" t="s">
        <v>662</v>
      </c>
      <c r="K542" s="1178" t="s">
        <v>20344</v>
      </c>
      <c r="L542" s="1178" t="s">
        <v>140</v>
      </c>
      <c r="M542" s="1369"/>
      <c r="N542" s="1178"/>
      <c r="O542" s="1178">
        <v>12</v>
      </c>
      <c r="P542" s="1178">
        <v>12.5</v>
      </c>
    </row>
    <row r="543" spans="1:16">
      <c r="A543" s="1178" t="s">
        <v>142</v>
      </c>
      <c r="B543" s="1371" t="str">
        <f>HYPERLINK(IFERROR("#Main_Tariff!A"&amp;MATCH(Raeburn_Main_Tariff[[#This Row],[Product Code]],Main_Tariff!I:I,0),"#Main_Tariff!A"&amp;MATCH("*"&amp;RIGHT(A543,8)&amp;"*",Main_Tariff!A:A,0)),Raeburn_Main_Tariff[[#This Row],[PRODUCER]])</f>
        <v>Duplessis</v>
      </c>
      <c r="C543" s="1178" t="s">
        <v>20546</v>
      </c>
      <c r="D543" s="1178" t="s">
        <v>897</v>
      </c>
      <c r="E543" s="1179">
        <v>2003</v>
      </c>
      <c r="F543" s="1282" t="s">
        <v>20240</v>
      </c>
      <c r="G543" s="1368">
        <v>50</v>
      </c>
      <c r="H543" s="1178" t="s">
        <v>20224</v>
      </c>
      <c r="I543" s="1178" t="s">
        <v>3130</v>
      </c>
      <c r="J543" s="1178" t="s">
        <v>662</v>
      </c>
      <c r="K543" s="1178" t="s">
        <v>20344</v>
      </c>
      <c r="L543" s="1178" t="s">
        <v>140</v>
      </c>
      <c r="M543" s="1369" t="s">
        <v>23300</v>
      </c>
      <c r="N543" s="1178"/>
      <c r="O543" s="1178">
        <v>6</v>
      </c>
      <c r="P543" s="1178">
        <v>13</v>
      </c>
    </row>
    <row r="544" spans="1:16">
      <c r="A544" s="1178" t="s">
        <v>143</v>
      </c>
      <c r="B544" s="1371" t="str">
        <f>HYPERLINK(IFERROR("#Main_Tariff!A"&amp;MATCH(Raeburn_Main_Tariff[[#This Row],[Product Code]],Main_Tariff!I:I,0),"#Main_Tariff!A"&amp;MATCH("*"&amp;RIGHT(A544,8)&amp;"*",Main_Tariff!A:A,0)),Raeburn_Main_Tariff[[#This Row],[PRODUCER]])</f>
        <v>Mauvesin-Barton</v>
      </c>
      <c r="C544" s="1178" t="s">
        <v>20547</v>
      </c>
      <c r="D544" s="1178" t="s">
        <v>897</v>
      </c>
      <c r="E544" s="1179">
        <v>2023</v>
      </c>
      <c r="F544" s="1282" t="s">
        <v>20220</v>
      </c>
      <c r="G544" s="1368" t="s">
        <v>20342</v>
      </c>
      <c r="H544" s="1178" t="s">
        <v>20343</v>
      </c>
      <c r="I544" s="1178" t="s">
        <v>3132</v>
      </c>
      <c r="J544" s="1178" t="s">
        <v>662</v>
      </c>
      <c r="K544" s="1178" t="s">
        <v>20344</v>
      </c>
      <c r="L544" s="1178" t="s">
        <v>140</v>
      </c>
      <c r="M544" s="1369"/>
      <c r="N544" s="1178"/>
      <c r="O544" s="1178">
        <v>6</v>
      </c>
      <c r="P544" s="1178">
        <v>13.5</v>
      </c>
    </row>
    <row r="545" spans="1:16">
      <c r="A545" s="1178" t="s">
        <v>143</v>
      </c>
      <c r="B545" s="1371" t="str">
        <f>HYPERLINK(IFERROR("#Main_Tariff!A"&amp;MATCH(Raeburn_Main_Tariff[[#This Row],[Product Code]],Main_Tariff!I:I,0),"#Main_Tariff!A"&amp;MATCH("*"&amp;RIGHT(A545,8)&amp;"*",Main_Tariff!A:A,0)),Raeburn_Main_Tariff[[#This Row],[PRODUCER]])</f>
        <v>Mauvesin-Barton</v>
      </c>
      <c r="C545" s="1178" t="s">
        <v>20547</v>
      </c>
      <c r="D545" s="1178" t="s">
        <v>897</v>
      </c>
      <c r="E545" s="1179">
        <v>2022</v>
      </c>
      <c r="F545" s="1282" t="s">
        <v>20220</v>
      </c>
      <c r="G545" s="1368" t="s">
        <v>5258</v>
      </c>
      <c r="H545" s="1178" t="s">
        <v>20221</v>
      </c>
      <c r="I545" s="1178" t="s">
        <v>3134</v>
      </c>
      <c r="J545" s="1178" t="s">
        <v>662</v>
      </c>
      <c r="K545" s="1178" t="s">
        <v>20344</v>
      </c>
      <c r="L545" s="1178" t="s">
        <v>140</v>
      </c>
      <c r="M545" s="1369"/>
      <c r="N545" s="1178"/>
      <c r="O545" s="1178">
        <v>6</v>
      </c>
      <c r="P545" s="1178">
        <v>14</v>
      </c>
    </row>
    <row r="546" spans="1:16">
      <c r="A546" s="1178" t="s">
        <v>143</v>
      </c>
      <c r="B546" s="1371" t="str">
        <f>HYPERLINK(IFERROR("#Main_Tariff!A"&amp;MATCH(Raeburn_Main_Tariff[[#This Row],[Product Code]],Main_Tariff!I:I,0),"#Main_Tariff!A"&amp;MATCH("*"&amp;RIGHT(A546,8)&amp;"*",Main_Tariff!A:A,0)),Raeburn_Main_Tariff[[#This Row],[PRODUCER]])</f>
        <v>Mauvesin-Barton</v>
      </c>
      <c r="C546" s="1178" t="s">
        <v>20547</v>
      </c>
      <c r="D546" s="1178" t="s">
        <v>897</v>
      </c>
      <c r="E546" s="1179">
        <v>2021</v>
      </c>
      <c r="F546" s="1282" t="s">
        <v>20220</v>
      </c>
      <c r="G546" s="1368">
        <v>20.5</v>
      </c>
      <c r="H546" s="1178" t="s">
        <v>20221</v>
      </c>
      <c r="I546" s="1178" t="s">
        <v>3136</v>
      </c>
      <c r="J546" s="1178" t="s">
        <v>662</v>
      </c>
      <c r="K546" s="1178" t="s">
        <v>20344</v>
      </c>
      <c r="L546" s="1178" t="s">
        <v>140</v>
      </c>
      <c r="M546" s="1369"/>
      <c r="N546" s="1178"/>
      <c r="O546" s="1178">
        <v>6</v>
      </c>
      <c r="P546" s="1178">
        <v>13</v>
      </c>
    </row>
    <row r="547" spans="1:16">
      <c r="A547" s="1178" t="s">
        <v>143</v>
      </c>
      <c r="B547" s="1371" t="str">
        <f>HYPERLINK(IFERROR("#Main_Tariff!A"&amp;MATCH(Raeburn_Main_Tariff[[#This Row],[Product Code]],Main_Tariff!I:I,0),"#Main_Tariff!A"&amp;MATCH("*"&amp;RIGHT(A547,8)&amp;"*",Main_Tariff!A:A,0)),Raeburn_Main_Tariff[[#This Row],[PRODUCER]])</f>
        <v>Mauvesin-Barton</v>
      </c>
      <c r="C547" s="1178" t="s">
        <v>20547</v>
      </c>
      <c r="D547" s="1178" t="s">
        <v>897</v>
      </c>
      <c r="E547" s="1179">
        <v>2020</v>
      </c>
      <c r="F547" s="1282" t="s">
        <v>20220</v>
      </c>
      <c r="G547" s="1368">
        <v>20.5</v>
      </c>
      <c r="H547" s="1178" t="s">
        <v>20221</v>
      </c>
      <c r="I547" s="1178" t="s">
        <v>3138</v>
      </c>
      <c r="J547" s="1178" t="s">
        <v>662</v>
      </c>
      <c r="K547" s="1178" t="s">
        <v>20344</v>
      </c>
      <c r="L547" s="1178" t="s">
        <v>140</v>
      </c>
      <c r="M547" s="1369"/>
      <c r="N547" s="1178"/>
      <c r="O547" s="1178">
        <v>6</v>
      </c>
      <c r="P547" s="1178">
        <v>13</v>
      </c>
    </row>
    <row r="548" spans="1:16">
      <c r="A548" s="1178" t="s">
        <v>143</v>
      </c>
      <c r="B548" s="1371" t="str">
        <f>HYPERLINK(IFERROR("#Main_Tariff!A"&amp;MATCH(Raeburn_Main_Tariff[[#This Row],[Product Code]],Main_Tariff!I:I,0),"#Main_Tariff!A"&amp;MATCH("*"&amp;RIGHT(A548,8)&amp;"*",Main_Tariff!A:A,0)),Raeburn_Main_Tariff[[#This Row],[PRODUCER]])</f>
        <v>Mauvesin-Barton</v>
      </c>
      <c r="C548" s="1178" t="s">
        <v>20547</v>
      </c>
      <c r="D548" s="1178" t="s">
        <v>897</v>
      </c>
      <c r="E548" s="1179">
        <v>2019</v>
      </c>
      <c r="F548" s="1282" t="s">
        <v>20220</v>
      </c>
      <c r="G548" s="1368">
        <v>20.5</v>
      </c>
      <c r="H548" s="1178" t="s">
        <v>20221</v>
      </c>
      <c r="I548" s="1178" t="s">
        <v>3140</v>
      </c>
      <c r="J548" s="1178" t="s">
        <v>662</v>
      </c>
      <c r="K548" s="1178" t="s">
        <v>20344</v>
      </c>
      <c r="L548" s="1178" t="s">
        <v>140</v>
      </c>
      <c r="M548" s="1369"/>
      <c r="N548" s="1178"/>
      <c r="O548" s="1178">
        <v>12</v>
      </c>
      <c r="P548" s="1178">
        <v>13</v>
      </c>
    </row>
    <row r="549" spans="1:16">
      <c r="A549" s="1178" t="s">
        <v>143</v>
      </c>
      <c r="B549" s="1371" t="str">
        <f>HYPERLINK(IFERROR("#Main_Tariff!A"&amp;MATCH(Raeburn_Main_Tariff[[#This Row],[Product Code]],Main_Tariff!I:I,0),"#Main_Tariff!A"&amp;MATCH("*"&amp;RIGHT(A549,8)&amp;"*",Main_Tariff!A:A,0)),Raeburn_Main_Tariff[[#This Row],[PRODUCER]])</f>
        <v>Mauvesin-Barton</v>
      </c>
      <c r="C549" s="1178" t="s">
        <v>20547</v>
      </c>
      <c r="D549" s="1178" t="s">
        <v>897</v>
      </c>
      <c r="E549" s="1179">
        <v>2016</v>
      </c>
      <c r="F549" s="1282" t="s">
        <v>20220</v>
      </c>
      <c r="G549" s="1368">
        <v>21</v>
      </c>
      <c r="H549" s="1178" t="s">
        <v>20221</v>
      </c>
      <c r="I549" s="1178" t="s">
        <v>3142</v>
      </c>
      <c r="J549" s="1178" t="s">
        <v>662</v>
      </c>
      <c r="K549" s="1178" t="s">
        <v>20344</v>
      </c>
      <c r="L549" s="1178" t="s">
        <v>140</v>
      </c>
      <c r="M549" s="1369"/>
      <c r="N549" s="1178"/>
      <c r="O549" s="1178">
        <v>12</v>
      </c>
      <c r="P549" s="1178">
        <v>13</v>
      </c>
    </row>
    <row r="550" spans="1:16">
      <c r="A550" s="1178" t="s">
        <v>144</v>
      </c>
      <c r="B550" s="1371" t="str">
        <f>HYPERLINK(IFERROR("#Main_Tariff!A"&amp;MATCH(Raeburn_Main_Tariff[[#This Row],[Product Code]],Main_Tariff!I:I,0),"#Main_Tariff!A"&amp;MATCH("*"&amp;RIGHT(A550,8)&amp;"*",Main_Tariff!A:A,0)),Raeburn_Main_Tariff[[#This Row],[PRODUCER]])</f>
        <v>Poujeaux</v>
      </c>
      <c r="C550" s="1178" t="s">
        <v>20548</v>
      </c>
      <c r="D550" s="1178" t="s">
        <v>897</v>
      </c>
      <c r="E550" s="1179">
        <v>2019</v>
      </c>
      <c r="F550" s="1282" t="s">
        <v>20220</v>
      </c>
      <c r="G550" s="1368">
        <v>27.5</v>
      </c>
      <c r="H550" s="1178" t="s">
        <v>20221</v>
      </c>
      <c r="I550" s="1178" t="s">
        <v>3148</v>
      </c>
      <c r="J550" s="1178" t="s">
        <v>662</v>
      </c>
      <c r="K550" s="1178" t="s">
        <v>20344</v>
      </c>
      <c r="L550" s="1178" t="s">
        <v>140</v>
      </c>
      <c r="M550" s="1369"/>
      <c r="N550" s="1178"/>
      <c r="O550" s="1178">
        <v>6</v>
      </c>
      <c r="P550" s="1178">
        <v>13.5</v>
      </c>
    </row>
    <row r="551" spans="1:16">
      <c r="A551" s="1178" t="s">
        <v>146</v>
      </c>
      <c r="B551" s="1371" t="str">
        <f>HYPERLINK(IFERROR("#Main_Tariff!A"&amp;MATCH(Raeburn_Main_Tariff[[#This Row],[Product Code]],Main_Tariff!I:I,0),"#Main_Tariff!A"&amp;MATCH("*"&amp;RIGHT(A551,8)&amp;"*",Main_Tariff!A:A,0)),Raeburn_Main_Tariff[[#This Row],[PRODUCER]])</f>
        <v>Beychevelle</v>
      </c>
      <c r="C551" s="1178" t="s">
        <v>20549</v>
      </c>
      <c r="D551" s="1178" t="s">
        <v>897</v>
      </c>
      <c r="E551" s="1179">
        <v>2022</v>
      </c>
      <c r="F551" s="1282" t="s">
        <v>20220</v>
      </c>
      <c r="G551" s="1368" t="s">
        <v>5258</v>
      </c>
      <c r="H551" s="1178" t="s">
        <v>20224</v>
      </c>
      <c r="I551" s="1178" t="s">
        <v>23366</v>
      </c>
      <c r="J551" s="1178" t="s">
        <v>662</v>
      </c>
      <c r="K551" s="1178" t="s">
        <v>20344</v>
      </c>
      <c r="L551" s="1178" t="s">
        <v>145</v>
      </c>
      <c r="M551" s="1369" t="s">
        <v>23264</v>
      </c>
      <c r="N551" s="1178"/>
      <c r="O551" s="1178">
        <v>6</v>
      </c>
      <c r="P551" s="1178">
        <v>14</v>
      </c>
    </row>
    <row r="552" spans="1:16">
      <c r="A552" s="1178" t="s">
        <v>146</v>
      </c>
      <c r="B552" s="1371" t="str">
        <f>HYPERLINK(IFERROR("#Main_Tariff!A"&amp;MATCH(Raeburn_Main_Tariff[[#This Row],[Product Code]],Main_Tariff!I:I,0),"#Main_Tariff!A"&amp;MATCH("*"&amp;RIGHT(A552,8)&amp;"*",Main_Tariff!A:A,0)),Raeburn_Main_Tariff[[#This Row],[PRODUCER]])</f>
        <v>Beychevelle</v>
      </c>
      <c r="C552" s="1178" t="s">
        <v>20549</v>
      </c>
      <c r="D552" s="1178" t="s">
        <v>897</v>
      </c>
      <c r="E552" s="1179">
        <v>2021</v>
      </c>
      <c r="F552" s="1282" t="s">
        <v>20220</v>
      </c>
      <c r="G552" s="1368">
        <v>79</v>
      </c>
      <c r="H552" s="1178" t="s">
        <v>20221</v>
      </c>
      <c r="I552" s="1178" t="s">
        <v>3159</v>
      </c>
      <c r="J552" s="1178" t="s">
        <v>662</v>
      </c>
      <c r="K552" s="1178" t="s">
        <v>20344</v>
      </c>
      <c r="L552" s="1178" t="s">
        <v>145</v>
      </c>
      <c r="M552" s="1369" t="s">
        <v>23264</v>
      </c>
      <c r="N552" s="1178"/>
      <c r="O552" s="1178">
        <v>6</v>
      </c>
      <c r="P552" s="1178">
        <v>13.5</v>
      </c>
    </row>
    <row r="553" spans="1:16">
      <c r="A553" s="1178" t="s">
        <v>147</v>
      </c>
      <c r="B553" s="1371" t="str">
        <f>HYPERLINK(IFERROR("#Main_Tariff!A"&amp;MATCH(Raeburn_Main_Tariff[[#This Row],[Product Code]],Main_Tariff!I:I,0),"#Main_Tariff!A"&amp;MATCH("*"&amp;RIGHT(A553,8)&amp;"*",Main_Tariff!A:A,0)),Raeburn_Main_Tariff[[#This Row],[PRODUCER]])</f>
        <v>Branaire Ducru</v>
      </c>
      <c r="C553" s="1178" t="s">
        <v>20550</v>
      </c>
      <c r="D553" s="1178" t="s">
        <v>897</v>
      </c>
      <c r="E553" s="1179">
        <v>2022</v>
      </c>
      <c r="F553" s="1282" t="s">
        <v>20220</v>
      </c>
      <c r="G553" s="1368" t="s">
        <v>5258</v>
      </c>
      <c r="H553" s="1178" t="s">
        <v>20224</v>
      </c>
      <c r="I553" s="1178" t="s">
        <v>3170</v>
      </c>
      <c r="J553" s="1178" t="s">
        <v>662</v>
      </c>
      <c r="K553" s="1178" t="s">
        <v>20344</v>
      </c>
      <c r="L553" s="1178" t="s">
        <v>145</v>
      </c>
      <c r="M553" s="1369" t="s">
        <v>23264</v>
      </c>
      <c r="N553" s="1178"/>
      <c r="O553" s="1178">
        <v>6</v>
      </c>
      <c r="P553" s="1178">
        <v>14.5</v>
      </c>
    </row>
    <row r="554" spans="1:16">
      <c r="A554" s="1178" t="s">
        <v>147</v>
      </c>
      <c r="B554" s="1371" t="str">
        <f>HYPERLINK(IFERROR("#Main_Tariff!A"&amp;MATCH(Raeburn_Main_Tariff[[#This Row],[Product Code]],Main_Tariff!I:I,0),"#Main_Tariff!A"&amp;MATCH("*"&amp;RIGHT(A554,8)&amp;"*",Main_Tariff!A:A,0)),Raeburn_Main_Tariff[[#This Row],[PRODUCER]])</f>
        <v>Branaire Ducru</v>
      </c>
      <c r="C554" s="1178" t="s">
        <v>20550</v>
      </c>
      <c r="D554" s="1178" t="s">
        <v>897</v>
      </c>
      <c r="E554" s="1179">
        <v>2021</v>
      </c>
      <c r="F554" s="1282" t="s">
        <v>20220</v>
      </c>
      <c r="G554" s="1368">
        <v>45.25</v>
      </c>
      <c r="H554" s="1178" t="s">
        <v>20221</v>
      </c>
      <c r="I554" s="1178" t="s">
        <v>3172</v>
      </c>
      <c r="J554" s="1178" t="s">
        <v>662</v>
      </c>
      <c r="K554" s="1178" t="s">
        <v>20344</v>
      </c>
      <c r="L554" s="1178" t="s">
        <v>145</v>
      </c>
      <c r="M554" s="1369" t="s">
        <v>23264</v>
      </c>
      <c r="N554" s="1178"/>
      <c r="O554" s="1178">
        <v>12</v>
      </c>
      <c r="P554" s="1178">
        <v>13</v>
      </c>
    </row>
    <row r="555" spans="1:16">
      <c r="A555" s="1178" t="s">
        <v>147</v>
      </c>
      <c r="B555" s="1371" t="str">
        <f>HYPERLINK(IFERROR("#Main_Tariff!A"&amp;MATCH(Raeburn_Main_Tariff[[#This Row],[Product Code]],Main_Tariff!I:I,0),"#Main_Tariff!A"&amp;MATCH("*"&amp;RIGHT(A555,8)&amp;"*",Main_Tariff!A:A,0)),Raeburn_Main_Tariff[[#This Row],[PRODUCER]])</f>
        <v>Branaire Ducru</v>
      </c>
      <c r="C555" s="1178" t="s">
        <v>20550</v>
      </c>
      <c r="D555" s="1178" t="s">
        <v>897</v>
      </c>
      <c r="E555" s="1179">
        <v>2017</v>
      </c>
      <c r="F555" s="1282" t="s">
        <v>20220</v>
      </c>
      <c r="G555" s="1368">
        <v>55.5</v>
      </c>
      <c r="H555" s="1178" t="s">
        <v>20224</v>
      </c>
      <c r="I555" s="1178" t="s">
        <v>3174</v>
      </c>
      <c r="J555" s="1178" t="s">
        <v>662</v>
      </c>
      <c r="K555" s="1178" t="s">
        <v>20344</v>
      </c>
      <c r="L555" s="1178" t="s">
        <v>145</v>
      </c>
      <c r="M555" s="1369" t="s">
        <v>23264</v>
      </c>
      <c r="N555" s="1178"/>
      <c r="O555" s="1178">
        <v>6</v>
      </c>
      <c r="P555" s="1178">
        <v>13</v>
      </c>
    </row>
    <row r="556" spans="1:16">
      <c r="A556" s="1178" t="s">
        <v>147</v>
      </c>
      <c r="B556" s="1371" t="str">
        <f>HYPERLINK(IFERROR("#Main_Tariff!A"&amp;MATCH(Raeburn_Main_Tariff[[#This Row],[Product Code]],Main_Tariff!I:I,0),"#Main_Tariff!A"&amp;MATCH("*"&amp;RIGHT(A556,8)&amp;"*",Main_Tariff!A:A,0)),Raeburn_Main_Tariff[[#This Row],[PRODUCER]])</f>
        <v>Branaire Ducru</v>
      </c>
      <c r="C556" s="1178" t="s">
        <v>20551</v>
      </c>
      <c r="D556" s="1178" t="s">
        <v>897</v>
      </c>
      <c r="E556" s="1179">
        <v>2011</v>
      </c>
      <c r="F556" s="1282" t="s">
        <v>20240</v>
      </c>
      <c r="G556" s="1368">
        <v>80.5</v>
      </c>
      <c r="H556" s="1178" t="s">
        <v>20224</v>
      </c>
      <c r="I556" s="1178" t="s">
        <v>3176</v>
      </c>
      <c r="J556" s="1178" t="s">
        <v>662</v>
      </c>
      <c r="K556" s="1178" t="s">
        <v>20344</v>
      </c>
      <c r="L556" s="1178" t="s">
        <v>145</v>
      </c>
      <c r="M556" s="1369" t="s">
        <v>23264</v>
      </c>
      <c r="N556" s="1178"/>
      <c r="O556" s="1178">
        <v>6</v>
      </c>
      <c r="P556" s="1178">
        <v>13</v>
      </c>
    </row>
    <row r="557" spans="1:16">
      <c r="A557" s="1178" t="s">
        <v>148</v>
      </c>
      <c r="B557" s="1371" t="str">
        <f>HYPERLINK(IFERROR("#Main_Tariff!A"&amp;MATCH(Raeburn_Main_Tariff[[#This Row],[Product Code]],Main_Tariff!I:I,0),"#Main_Tariff!A"&amp;MATCH("*"&amp;RIGHT(A557,8)&amp;"*",Main_Tariff!A:A,0)),Raeburn_Main_Tariff[[#This Row],[PRODUCER]])</f>
        <v>Clos du Marquis</v>
      </c>
      <c r="C557" s="1178" t="s">
        <v>148</v>
      </c>
      <c r="D557" s="1178" t="s">
        <v>897</v>
      </c>
      <c r="E557" s="1179">
        <v>2019</v>
      </c>
      <c r="F557" s="1282" t="s">
        <v>20220</v>
      </c>
      <c r="G557" s="1368">
        <v>46.25</v>
      </c>
      <c r="H557" s="1178" t="s">
        <v>20277</v>
      </c>
      <c r="I557" s="1178" t="s">
        <v>3182</v>
      </c>
      <c r="J557" s="1178" t="s">
        <v>662</v>
      </c>
      <c r="K557" s="1178" t="s">
        <v>20344</v>
      </c>
      <c r="L557" s="1178" t="s">
        <v>145</v>
      </c>
      <c r="M557" s="1369"/>
      <c r="N557" s="1178"/>
      <c r="O557" s="1178">
        <v>6</v>
      </c>
      <c r="P557" s="1178">
        <v>13</v>
      </c>
    </row>
    <row r="558" spans="1:16">
      <c r="A558" s="1178" t="s">
        <v>149</v>
      </c>
      <c r="B558" s="1371" t="str">
        <f>HYPERLINK(IFERROR("#Main_Tariff!A"&amp;MATCH(Raeburn_Main_Tariff[[#This Row],[Product Code]],Main_Tariff!I:I,0),"#Main_Tariff!A"&amp;MATCH("*"&amp;RIGHT(A558,8)&amp;"*",Main_Tariff!A:A,0)),Raeburn_Main_Tariff[[#This Row],[PRODUCER]])</f>
        <v>Ducru-Beaucaillou</v>
      </c>
      <c r="C558" s="1178" t="s">
        <v>20552</v>
      </c>
      <c r="D558" s="1178" t="s">
        <v>897</v>
      </c>
      <c r="E558" s="1179">
        <v>2020</v>
      </c>
      <c r="F558" s="1282" t="s">
        <v>20220</v>
      </c>
      <c r="G558" s="1368">
        <v>201.5</v>
      </c>
      <c r="H558" s="1178" t="s">
        <v>20224</v>
      </c>
      <c r="I558" s="1178" t="s">
        <v>3195</v>
      </c>
      <c r="J558" s="1178" t="s">
        <v>662</v>
      </c>
      <c r="K558" s="1178" t="s">
        <v>20344</v>
      </c>
      <c r="L558" s="1178" t="s">
        <v>145</v>
      </c>
      <c r="M558" s="1369" t="s">
        <v>23263</v>
      </c>
      <c r="N558" s="1178"/>
      <c r="O558" s="1178">
        <v>6</v>
      </c>
      <c r="P558" s="1178">
        <v>13</v>
      </c>
    </row>
    <row r="559" spans="1:16">
      <c r="A559" s="1178" t="s">
        <v>150</v>
      </c>
      <c r="B559" s="1371" t="str">
        <f>HYPERLINK(IFERROR("#Main_Tariff!A"&amp;MATCH(Raeburn_Main_Tariff[[#This Row],[Product Code]],Main_Tariff!I:I,0),"#Main_Tariff!A"&amp;MATCH("*"&amp;RIGHT(A559,8)&amp;"*",Main_Tariff!A:A,0)),Raeburn_Main_Tariff[[#This Row],[PRODUCER]])</f>
        <v>Gloria</v>
      </c>
      <c r="C559" s="1178" t="s">
        <v>20553</v>
      </c>
      <c r="D559" s="1178" t="s">
        <v>897</v>
      </c>
      <c r="E559" s="1179">
        <v>2019</v>
      </c>
      <c r="F559" s="1282" t="s">
        <v>20220</v>
      </c>
      <c r="G559" s="1368" t="s">
        <v>5258</v>
      </c>
      <c r="H559" s="1178" t="s">
        <v>20221</v>
      </c>
      <c r="I559" s="1178" t="s">
        <v>3198</v>
      </c>
      <c r="J559" s="1178" t="s">
        <v>662</v>
      </c>
      <c r="K559" s="1178" t="s">
        <v>20344</v>
      </c>
      <c r="L559" s="1178" t="s">
        <v>145</v>
      </c>
      <c r="M559" s="1369"/>
      <c r="N559" s="1178"/>
      <c r="O559" s="1178">
        <v>6</v>
      </c>
      <c r="P559" s="1178">
        <v>13.5</v>
      </c>
    </row>
    <row r="560" spans="1:16">
      <c r="A560" s="1178" t="s">
        <v>151</v>
      </c>
      <c r="B560" s="1371" t="str">
        <f>HYPERLINK(IFERROR("#Main_Tariff!A"&amp;MATCH(Raeburn_Main_Tariff[[#This Row],[Product Code]],Main_Tariff!I:I,0),"#Main_Tariff!A"&amp;MATCH("*"&amp;RIGHT(A560,8)&amp;"*",Main_Tariff!A:A,0)),Raeburn_Main_Tariff[[#This Row],[PRODUCER]])</f>
        <v>Gruaud Larose</v>
      </c>
      <c r="C560" s="1178" t="s">
        <v>20554</v>
      </c>
      <c r="D560" s="1178" t="s">
        <v>897</v>
      </c>
      <c r="E560" s="1179">
        <v>2022</v>
      </c>
      <c r="F560" s="1282" t="s">
        <v>20220</v>
      </c>
      <c r="G560" s="1368" t="s">
        <v>5258</v>
      </c>
      <c r="H560" s="1178" t="s">
        <v>20221</v>
      </c>
      <c r="I560" s="1178" t="s">
        <v>3216</v>
      </c>
      <c r="J560" s="1178" t="s">
        <v>662</v>
      </c>
      <c r="K560" s="1178" t="s">
        <v>20344</v>
      </c>
      <c r="L560" s="1178" t="s">
        <v>145</v>
      </c>
      <c r="M560" s="1369"/>
      <c r="N560" s="1178" t="s">
        <v>20244</v>
      </c>
      <c r="O560" s="1178">
        <v>6</v>
      </c>
      <c r="P560" s="1178">
        <v>13.5</v>
      </c>
    </row>
    <row r="561" spans="1:16">
      <c r="A561" s="1178" t="s">
        <v>151</v>
      </c>
      <c r="B561" s="1371" t="str">
        <f>HYPERLINK(IFERROR("#Main_Tariff!A"&amp;MATCH(Raeburn_Main_Tariff[[#This Row],[Product Code]],Main_Tariff!I:I,0),"#Main_Tariff!A"&amp;MATCH("*"&amp;RIGHT(A561,8)&amp;"*",Main_Tariff!A:A,0)),Raeburn_Main_Tariff[[#This Row],[PRODUCER]])</f>
        <v>Gruaud Larose</v>
      </c>
      <c r="C561" s="1178" t="s">
        <v>20554</v>
      </c>
      <c r="D561" s="1178" t="s">
        <v>897</v>
      </c>
      <c r="E561" s="1179">
        <v>2019</v>
      </c>
      <c r="F561" s="1282" t="s">
        <v>20220</v>
      </c>
      <c r="G561" s="1368">
        <v>32</v>
      </c>
      <c r="H561" s="1178" t="s">
        <v>20221</v>
      </c>
      <c r="I561" s="1178" t="s">
        <v>3218</v>
      </c>
      <c r="J561" s="1178" t="s">
        <v>662</v>
      </c>
      <c r="K561" s="1178" t="s">
        <v>20344</v>
      </c>
      <c r="L561" s="1178" t="s">
        <v>145</v>
      </c>
      <c r="M561" s="1369"/>
      <c r="N561" s="1178"/>
      <c r="O561" s="1178">
        <v>6</v>
      </c>
      <c r="P561" s="1178">
        <v>13.5</v>
      </c>
    </row>
    <row r="562" spans="1:16">
      <c r="A562" s="1178" t="s">
        <v>151</v>
      </c>
      <c r="B562" s="1371" t="str">
        <f>HYPERLINK(IFERROR("#Main_Tariff!A"&amp;MATCH(Raeburn_Main_Tariff[[#This Row],[Product Code]],Main_Tariff!I:I,0),"#Main_Tariff!A"&amp;MATCH("*"&amp;RIGHT(A562,8)&amp;"*",Main_Tariff!A:A,0)),Raeburn_Main_Tariff[[#This Row],[PRODUCER]])</f>
        <v>Gruaud Larose</v>
      </c>
      <c r="C562" s="1178" t="s">
        <v>20555</v>
      </c>
      <c r="D562" s="1178" t="s">
        <v>897</v>
      </c>
      <c r="E562" s="1179">
        <v>2022</v>
      </c>
      <c r="F562" s="1282" t="s">
        <v>20220</v>
      </c>
      <c r="G562" s="1368" t="s">
        <v>5258</v>
      </c>
      <c r="H562" s="1178" t="s">
        <v>20221</v>
      </c>
      <c r="I562" s="1178" t="s">
        <v>3221</v>
      </c>
      <c r="J562" s="1178" t="s">
        <v>662</v>
      </c>
      <c r="K562" s="1178" t="s">
        <v>20344</v>
      </c>
      <c r="L562" s="1178" t="s">
        <v>145</v>
      </c>
      <c r="M562" s="1369" t="s">
        <v>23263</v>
      </c>
      <c r="N562" s="1178" t="s">
        <v>20244</v>
      </c>
      <c r="O562" s="1178">
        <v>6</v>
      </c>
      <c r="P562" s="1178">
        <v>13.5</v>
      </c>
    </row>
    <row r="563" spans="1:16">
      <c r="A563" s="1178" t="s">
        <v>151</v>
      </c>
      <c r="B563" s="1371" t="str">
        <f>HYPERLINK(IFERROR("#Main_Tariff!A"&amp;MATCH(Raeburn_Main_Tariff[[#This Row],[Product Code]],Main_Tariff!I:I,0),"#Main_Tariff!A"&amp;MATCH("*"&amp;RIGHT(A563,8)&amp;"*",Main_Tariff!A:A,0)),Raeburn_Main_Tariff[[#This Row],[PRODUCER]])</f>
        <v>Gruaud Larose</v>
      </c>
      <c r="C563" s="1178" t="s">
        <v>20555</v>
      </c>
      <c r="D563" s="1178" t="s">
        <v>897</v>
      </c>
      <c r="E563" s="1179">
        <v>2021</v>
      </c>
      <c r="F563" s="1282" t="s">
        <v>20220</v>
      </c>
      <c r="G563" s="1368">
        <v>83</v>
      </c>
      <c r="H563" s="1178" t="s">
        <v>20221</v>
      </c>
      <c r="I563" s="1178" t="s">
        <v>3223</v>
      </c>
      <c r="J563" s="1178" t="s">
        <v>662</v>
      </c>
      <c r="K563" s="1178" t="s">
        <v>20344</v>
      </c>
      <c r="L563" s="1178" t="s">
        <v>145</v>
      </c>
      <c r="M563" s="1369" t="s">
        <v>23263</v>
      </c>
      <c r="N563" s="1178"/>
      <c r="O563" s="1178">
        <v>6</v>
      </c>
      <c r="P563" s="1178">
        <v>13</v>
      </c>
    </row>
    <row r="564" spans="1:16">
      <c r="A564" s="1178" t="s">
        <v>151</v>
      </c>
      <c r="B564" s="1371" t="str">
        <f>HYPERLINK(IFERROR("#Main_Tariff!A"&amp;MATCH(Raeburn_Main_Tariff[[#This Row],[Product Code]],Main_Tariff!I:I,0),"#Main_Tariff!A"&amp;MATCH("*"&amp;RIGHT(A564,8)&amp;"*",Main_Tariff!A:A,0)),Raeburn_Main_Tariff[[#This Row],[PRODUCER]])</f>
        <v>Gruaud Larose</v>
      </c>
      <c r="C564" s="1178" t="s">
        <v>20555</v>
      </c>
      <c r="D564" s="1178" t="s">
        <v>897</v>
      </c>
      <c r="E564" s="1179">
        <v>2019</v>
      </c>
      <c r="F564" s="1282" t="s">
        <v>20220</v>
      </c>
      <c r="G564" s="1368" t="s">
        <v>5258</v>
      </c>
      <c r="H564" s="1178" t="s">
        <v>20221</v>
      </c>
      <c r="I564" s="1178" t="s">
        <v>3225</v>
      </c>
      <c r="J564" s="1178" t="s">
        <v>662</v>
      </c>
      <c r="K564" s="1178" t="s">
        <v>20344</v>
      </c>
      <c r="L564" s="1178" t="s">
        <v>145</v>
      </c>
      <c r="M564" s="1369" t="s">
        <v>23263</v>
      </c>
      <c r="N564" s="1178"/>
      <c r="O564" s="1178">
        <v>6</v>
      </c>
      <c r="P564" s="1178">
        <v>13.5</v>
      </c>
    </row>
    <row r="565" spans="1:16">
      <c r="A565" s="1178" t="s">
        <v>152</v>
      </c>
      <c r="B565" s="1371" t="str">
        <f>HYPERLINK(IFERROR("#Main_Tariff!A"&amp;MATCH(Raeburn_Main_Tariff[[#This Row],[Product Code]],Main_Tariff!I:I,0),"#Main_Tariff!A"&amp;MATCH("*"&amp;RIGHT(A565,8)&amp;"*",Main_Tariff!A:A,0)),Raeburn_Main_Tariff[[#This Row],[PRODUCER]])</f>
        <v>Lagrange</v>
      </c>
      <c r="C565" s="1178" t="s">
        <v>20556</v>
      </c>
      <c r="D565" s="1178" t="s">
        <v>897</v>
      </c>
      <c r="E565" s="1179">
        <v>2022</v>
      </c>
      <c r="F565" s="1282" t="s">
        <v>20220</v>
      </c>
      <c r="G565" s="1368" t="s">
        <v>20342</v>
      </c>
      <c r="H565" s="1178" t="s">
        <v>20343</v>
      </c>
      <c r="I565" s="1178" t="s">
        <v>3228</v>
      </c>
      <c r="J565" s="1178" t="s">
        <v>662</v>
      </c>
      <c r="K565" s="1178" t="s">
        <v>20344</v>
      </c>
      <c r="L565" s="1178" t="s">
        <v>145</v>
      </c>
      <c r="M565" s="1369" t="s">
        <v>23262</v>
      </c>
      <c r="N565" s="1178"/>
      <c r="O565" s="1178">
        <v>6</v>
      </c>
      <c r="P565" s="1178">
        <v>0</v>
      </c>
    </row>
    <row r="566" spans="1:16">
      <c r="A566" s="1178" t="s">
        <v>152</v>
      </c>
      <c r="B566" s="1371" t="str">
        <f>HYPERLINK(IFERROR("#Main_Tariff!A"&amp;MATCH(Raeburn_Main_Tariff[[#This Row],[Product Code]],Main_Tariff!I:I,0),"#Main_Tariff!A"&amp;MATCH("*"&amp;RIGHT(A566,8)&amp;"*",Main_Tariff!A:A,0)),Raeburn_Main_Tariff[[#This Row],[PRODUCER]])</f>
        <v>Lagrange</v>
      </c>
      <c r="C566" s="1178" t="s">
        <v>20556</v>
      </c>
      <c r="D566" s="1178" t="s">
        <v>897</v>
      </c>
      <c r="E566" s="1179">
        <v>2019</v>
      </c>
      <c r="F566" s="1282" t="s">
        <v>20220</v>
      </c>
      <c r="G566" s="1368" t="s">
        <v>5258</v>
      </c>
      <c r="H566" s="1178" t="s">
        <v>20221</v>
      </c>
      <c r="I566" s="1178" t="s">
        <v>3230</v>
      </c>
      <c r="J566" s="1178" t="s">
        <v>662</v>
      </c>
      <c r="K566" s="1178" t="s">
        <v>20344</v>
      </c>
      <c r="L566" s="1178" t="s">
        <v>145</v>
      </c>
      <c r="M566" s="1369" t="s">
        <v>23262</v>
      </c>
      <c r="N566" s="1178"/>
      <c r="O566" s="1178">
        <v>6</v>
      </c>
      <c r="P566" s="1178">
        <v>13.5</v>
      </c>
    </row>
    <row r="567" spans="1:16">
      <c r="A567" s="1178" t="s">
        <v>153</v>
      </c>
      <c r="B567" s="1371" t="str">
        <f>HYPERLINK(IFERROR("#Main_Tariff!A"&amp;MATCH(Raeburn_Main_Tariff[[#This Row],[Product Code]],Main_Tariff!I:I,0),"#Main_Tariff!A"&amp;MATCH("*"&amp;RIGHT(A567,8)&amp;"*",Main_Tariff!A:A,0)),Raeburn_Main_Tariff[[#This Row],[PRODUCER]])</f>
        <v>Langoa-Barton</v>
      </c>
      <c r="C567" s="1178" t="s">
        <v>20557</v>
      </c>
      <c r="D567" s="1178" t="s">
        <v>897</v>
      </c>
      <c r="E567" s="1179">
        <v>2023</v>
      </c>
      <c r="F567" s="1282" t="s">
        <v>20220</v>
      </c>
      <c r="G567" s="1368" t="s">
        <v>20342</v>
      </c>
      <c r="H567" s="1178" t="s">
        <v>20343</v>
      </c>
      <c r="I567" s="1178" t="s">
        <v>3242</v>
      </c>
      <c r="J567" s="1178" t="s">
        <v>662</v>
      </c>
      <c r="K567" s="1178" t="s">
        <v>20344</v>
      </c>
      <c r="L567" s="1178" t="s">
        <v>145</v>
      </c>
      <c r="M567" s="1369" t="s">
        <v>23262</v>
      </c>
      <c r="N567" s="1178"/>
      <c r="O567" s="1178">
        <v>6</v>
      </c>
      <c r="P567" s="1178">
        <v>13</v>
      </c>
    </row>
    <row r="568" spans="1:16">
      <c r="A568" s="1178" t="s">
        <v>153</v>
      </c>
      <c r="B568" s="1371" t="str">
        <f>HYPERLINK(IFERROR("#Main_Tariff!A"&amp;MATCH(Raeburn_Main_Tariff[[#This Row],[Product Code]],Main_Tariff!I:I,0),"#Main_Tariff!A"&amp;MATCH("*"&amp;RIGHT(A568,8)&amp;"*",Main_Tariff!A:A,0)),Raeburn_Main_Tariff[[#This Row],[PRODUCER]])</f>
        <v>Langoa-Barton</v>
      </c>
      <c r="C568" s="1178" t="s">
        <v>20557</v>
      </c>
      <c r="D568" s="1178" t="s">
        <v>897</v>
      </c>
      <c r="E568" s="1179">
        <v>2022</v>
      </c>
      <c r="F568" s="1282" t="s">
        <v>20220</v>
      </c>
      <c r="G568" s="1368" t="s">
        <v>5258</v>
      </c>
      <c r="H568" s="1178" t="s">
        <v>20221</v>
      </c>
      <c r="I568" s="1178" t="s">
        <v>3243</v>
      </c>
      <c r="J568" s="1178" t="s">
        <v>662</v>
      </c>
      <c r="K568" s="1178" t="s">
        <v>20344</v>
      </c>
      <c r="L568" s="1178" t="s">
        <v>145</v>
      </c>
      <c r="M568" s="1369" t="s">
        <v>23262</v>
      </c>
      <c r="N568" s="1178"/>
      <c r="O568" s="1178">
        <v>6</v>
      </c>
      <c r="P568" s="1178">
        <v>14</v>
      </c>
    </row>
    <row r="569" spans="1:16">
      <c r="A569" s="1178" t="s">
        <v>153</v>
      </c>
      <c r="B569" s="1371" t="str">
        <f>HYPERLINK(IFERROR("#Main_Tariff!A"&amp;MATCH(Raeburn_Main_Tariff[[#This Row],[Product Code]],Main_Tariff!I:I,0),"#Main_Tariff!A"&amp;MATCH("*"&amp;RIGHT(A569,8)&amp;"*",Main_Tariff!A:A,0)),Raeburn_Main_Tariff[[#This Row],[PRODUCER]])</f>
        <v>Langoa-Barton</v>
      </c>
      <c r="C569" s="1178" t="s">
        <v>20558</v>
      </c>
      <c r="D569" s="1178" t="s">
        <v>897</v>
      </c>
      <c r="E569" s="1179">
        <v>2021</v>
      </c>
      <c r="F569" s="1282" t="s">
        <v>20220</v>
      </c>
      <c r="G569" s="1368">
        <v>43</v>
      </c>
      <c r="H569" s="1178" t="s">
        <v>20221</v>
      </c>
      <c r="I569" s="1178" t="s">
        <v>3245</v>
      </c>
      <c r="J569" s="1178" t="s">
        <v>662</v>
      </c>
      <c r="K569" s="1178" t="s">
        <v>20344</v>
      </c>
      <c r="L569" s="1178" t="s">
        <v>145</v>
      </c>
      <c r="M569" s="1369" t="s">
        <v>23262</v>
      </c>
      <c r="N569" s="1178"/>
      <c r="O569" s="1178">
        <v>6</v>
      </c>
      <c r="P569" s="1178">
        <v>13</v>
      </c>
    </row>
    <row r="570" spans="1:16">
      <c r="A570" s="1178" t="s">
        <v>153</v>
      </c>
      <c r="B570" s="1371" t="str">
        <f>HYPERLINK(IFERROR("#Main_Tariff!A"&amp;MATCH(Raeburn_Main_Tariff[[#This Row],[Product Code]],Main_Tariff!I:I,0),"#Main_Tariff!A"&amp;MATCH("*"&amp;RIGHT(A570,8)&amp;"*",Main_Tariff!A:A,0)),Raeburn_Main_Tariff[[#This Row],[PRODUCER]])</f>
        <v>Langoa-Barton</v>
      </c>
      <c r="C570" s="1178" t="s">
        <v>20557</v>
      </c>
      <c r="D570" s="1178" t="s">
        <v>897</v>
      </c>
      <c r="E570" s="1179">
        <v>2019</v>
      </c>
      <c r="F570" s="1282" t="s">
        <v>20220</v>
      </c>
      <c r="G570" s="1368" t="s">
        <v>5258</v>
      </c>
      <c r="H570" s="1178" t="s">
        <v>20221</v>
      </c>
      <c r="I570" s="1178" t="s">
        <v>3247</v>
      </c>
      <c r="J570" s="1178" t="s">
        <v>662</v>
      </c>
      <c r="K570" s="1178" t="s">
        <v>20344</v>
      </c>
      <c r="L570" s="1178" t="s">
        <v>145</v>
      </c>
      <c r="M570" s="1369" t="s">
        <v>23262</v>
      </c>
      <c r="N570" s="1178"/>
      <c r="O570" s="1178">
        <v>6</v>
      </c>
      <c r="P570" s="1178">
        <v>13</v>
      </c>
    </row>
    <row r="571" spans="1:16">
      <c r="A571" s="1178" t="s">
        <v>153</v>
      </c>
      <c r="B571" s="1371" t="str">
        <f>HYPERLINK(IFERROR("#Main_Tariff!A"&amp;MATCH(Raeburn_Main_Tariff[[#This Row],[Product Code]],Main_Tariff!I:I,0),"#Main_Tariff!A"&amp;MATCH("*"&amp;RIGHT(A571,8)&amp;"*",Main_Tariff!A:A,0)),Raeburn_Main_Tariff[[#This Row],[PRODUCER]])</f>
        <v>Langoa-Barton</v>
      </c>
      <c r="C571" s="1178" t="s">
        <v>20557</v>
      </c>
      <c r="D571" s="1178" t="s">
        <v>897</v>
      </c>
      <c r="E571" s="1179">
        <v>2017</v>
      </c>
      <c r="F571" s="1282" t="s">
        <v>20220</v>
      </c>
      <c r="G571" s="1368">
        <v>46.5</v>
      </c>
      <c r="H571" s="1178" t="s">
        <v>20224</v>
      </c>
      <c r="I571" s="1178" t="s">
        <v>3250</v>
      </c>
      <c r="J571" s="1178" t="s">
        <v>662</v>
      </c>
      <c r="K571" s="1178" t="s">
        <v>20344</v>
      </c>
      <c r="L571" s="1178" t="s">
        <v>145</v>
      </c>
      <c r="M571" s="1369" t="s">
        <v>23262</v>
      </c>
      <c r="N571" s="1178"/>
      <c r="O571" s="1178">
        <v>6</v>
      </c>
      <c r="P571" s="1178">
        <v>13</v>
      </c>
    </row>
    <row r="572" spans="1:16">
      <c r="A572" s="1178" t="s">
        <v>23367</v>
      </c>
      <c r="B572" s="1371" t="str">
        <f>HYPERLINK(IFERROR("#Main_Tariff!A"&amp;MATCH(Raeburn_Main_Tariff[[#This Row],[Product Code]],Main_Tariff!I:I,0),"#Main_Tariff!A"&amp;MATCH("*"&amp;RIGHT(A572,8)&amp;"*",Main_Tariff!A:A,0)),Raeburn_Main_Tariff[[#This Row],[PRODUCER]])</f>
        <v>Léoville Barton</v>
      </c>
      <c r="C572" s="1178" t="s">
        <v>23368</v>
      </c>
      <c r="D572" s="1178" t="s">
        <v>897</v>
      </c>
      <c r="E572" s="1179">
        <v>2022</v>
      </c>
      <c r="F572" s="1282" t="s">
        <v>20220</v>
      </c>
      <c r="G572" s="1368" t="s">
        <v>5258</v>
      </c>
      <c r="H572" s="1178" t="s">
        <v>20221</v>
      </c>
      <c r="I572" s="1178" t="s">
        <v>3254</v>
      </c>
      <c r="J572" s="1178" t="s">
        <v>662</v>
      </c>
      <c r="K572" s="1178" t="s">
        <v>20344</v>
      </c>
      <c r="L572" s="1178" t="s">
        <v>145</v>
      </c>
      <c r="M572" s="1369" t="s">
        <v>23262</v>
      </c>
      <c r="N572" s="1178"/>
      <c r="O572" s="1178">
        <v>6</v>
      </c>
      <c r="P572" s="1178">
        <v>14</v>
      </c>
    </row>
    <row r="573" spans="1:16">
      <c r="A573" s="1178" t="s">
        <v>23367</v>
      </c>
      <c r="B573" s="1371" t="str">
        <f>HYPERLINK(IFERROR("#Main_Tariff!A"&amp;MATCH(Raeburn_Main_Tariff[[#This Row],[Product Code]],Main_Tariff!I:I,0),"#Main_Tariff!A"&amp;MATCH("*"&amp;RIGHT(A573,8)&amp;"*",Main_Tariff!A:A,0)),Raeburn_Main_Tariff[[#This Row],[PRODUCER]])</f>
        <v>Léoville Barton</v>
      </c>
      <c r="C573" s="1178" t="s">
        <v>23368</v>
      </c>
      <c r="D573" s="1178" t="s">
        <v>897</v>
      </c>
      <c r="E573" s="1179">
        <v>2021</v>
      </c>
      <c r="F573" s="1282" t="s">
        <v>20220</v>
      </c>
      <c r="G573" s="1368">
        <v>75</v>
      </c>
      <c r="H573" s="1178" t="s">
        <v>20221</v>
      </c>
      <c r="I573" s="1178" t="s">
        <v>3255</v>
      </c>
      <c r="J573" s="1178" t="s">
        <v>662</v>
      </c>
      <c r="K573" s="1178" t="s">
        <v>20344</v>
      </c>
      <c r="L573" s="1178" t="s">
        <v>145</v>
      </c>
      <c r="M573" s="1369" t="s">
        <v>23262</v>
      </c>
      <c r="N573" s="1178"/>
      <c r="O573" s="1178">
        <v>6</v>
      </c>
      <c r="P573" s="1178">
        <v>13.5</v>
      </c>
    </row>
    <row r="574" spans="1:16">
      <c r="A574" s="1178" t="s">
        <v>23367</v>
      </c>
      <c r="B574" s="1371" t="str">
        <f>HYPERLINK(IFERROR("#Main_Tariff!A"&amp;MATCH(Raeburn_Main_Tariff[[#This Row],[Product Code]],Main_Tariff!I:I,0),"#Main_Tariff!A"&amp;MATCH("*"&amp;RIGHT(A574,8)&amp;"*",Main_Tariff!A:A,0)),Raeburn_Main_Tariff[[#This Row],[PRODUCER]])</f>
        <v>Léoville Barton</v>
      </c>
      <c r="C574" s="1178" t="s">
        <v>23368</v>
      </c>
      <c r="D574" s="1178" t="s">
        <v>897</v>
      </c>
      <c r="E574" s="1179">
        <v>2020</v>
      </c>
      <c r="F574" s="1282" t="s">
        <v>20220</v>
      </c>
      <c r="G574" s="1368">
        <v>80</v>
      </c>
      <c r="H574" s="1178" t="s">
        <v>20221</v>
      </c>
      <c r="I574" s="1178" t="s">
        <v>3256</v>
      </c>
      <c r="J574" s="1178" t="s">
        <v>662</v>
      </c>
      <c r="K574" s="1178" t="s">
        <v>20344</v>
      </c>
      <c r="L574" s="1178" t="s">
        <v>145</v>
      </c>
      <c r="M574" s="1369" t="s">
        <v>23262</v>
      </c>
      <c r="N574" s="1178"/>
      <c r="O574" s="1178">
        <v>6</v>
      </c>
      <c r="P574" s="1178">
        <v>13.5</v>
      </c>
    </row>
    <row r="575" spans="1:16">
      <c r="A575" s="1178" t="s">
        <v>23367</v>
      </c>
      <c r="B575" s="1371" t="str">
        <f>HYPERLINK(IFERROR("#Main_Tariff!A"&amp;MATCH(Raeburn_Main_Tariff[[#This Row],[Product Code]],Main_Tariff!I:I,0),"#Main_Tariff!A"&amp;MATCH("*"&amp;RIGHT(A575,8)&amp;"*",Main_Tariff!A:A,0)),Raeburn_Main_Tariff[[#This Row],[PRODUCER]])</f>
        <v>Léoville Barton</v>
      </c>
      <c r="C575" s="1178" t="s">
        <v>23368</v>
      </c>
      <c r="D575" s="1178" t="s">
        <v>897</v>
      </c>
      <c r="E575" s="1179">
        <v>2019</v>
      </c>
      <c r="F575" s="1282" t="s">
        <v>20220</v>
      </c>
      <c r="G575" s="1368" t="s">
        <v>5258</v>
      </c>
      <c r="H575" s="1178" t="s">
        <v>20224</v>
      </c>
      <c r="I575" s="1178" t="s">
        <v>3258</v>
      </c>
      <c r="J575" s="1178" t="s">
        <v>662</v>
      </c>
      <c r="K575" s="1178" t="s">
        <v>20344</v>
      </c>
      <c r="L575" s="1178" t="s">
        <v>145</v>
      </c>
      <c r="M575" s="1369" t="s">
        <v>23262</v>
      </c>
      <c r="N575" s="1178"/>
      <c r="O575" s="1178">
        <v>6</v>
      </c>
      <c r="P575" s="1178">
        <v>12.5</v>
      </c>
    </row>
    <row r="576" spans="1:16">
      <c r="A576" s="1178" t="s">
        <v>20559</v>
      </c>
      <c r="B576" s="1371" t="str">
        <f>HYPERLINK(IFERROR("#Main_Tariff!A"&amp;MATCH(Raeburn_Main_Tariff[[#This Row],[Product Code]],Main_Tariff!I:I,0),"#Main_Tariff!A"&amp;MATCH("*"&amp;RIGHT(A576,8)&amp;"*",Main_Tariff!A:A,0)),Raeburn_Main_Tariff[[#This Row],[PRODUCER]])</f>
        <v>Léoville Las Cases</v>
      </c>
      <c r="C576" s="1178" t="s">
        <v>20560</v>
      </c>
      <c r="D576" s="1178" t="s">
        <v>897</v>
      </c>
      <c r="E576" s="1179">
        <v>2019</v>
      </c>
      <c r="F576" s="1282" t="s">
        <v>20220</v>
      </c>
      <c r="G576" s="1368">
        <v>49</v>
      </c>
      <c r="H576" s="1178" t="s">
        <v>20221</v>
      </c>
      <c r="I576" s="1178" t="s">
        <v>3263</v>
      </c>
      <c r="J576" s="1178" t="s">
        <v>662</v>
      </c>
      <c r="K576" s="1178" t="s">
        <v>20344</v>
      </c>
      <c r="L576" s="1178" t="s">
        <v>145</v>
      </c>
      <c r="M576" s="1369"/>
      <c r="N576" s="1178"/>
      <c r="O576" s="1178">
        <v>6</v>
      </c>
      <c r="P576" s="1178">
        <v>13</v>
      </c>
    </row>
    <row r="577" spans="1:16">
      <c r="A577" s="1178" t="s">
        <v>20559</v>
      </c>
      <c r="B577" s="1371" t="str">
        <f>HYPERLINK(IFERROR("#Main_Tariff!A"&amp;MATCH(Raeburn_Main_Tariff[[#This Row],[Product Code]],Main_Tariff!I:I,0),"#Main_Tariff!A"&amp;MATCH("*"&amp;RIGHT(A577,8)&amp;"*",Main_Tariff!A:A,0)),Raeburn_Main_Tariff[[#This Row],[PRODUCER]])</f>
        <v>Léoville Las Cases</v>
      </c>
      <c r="C577" s="1178" t="s">
        <v>20561</v>
      </c>
      <c r="D577" s="1178" t="s">
        <v>897</v>
      </c>
      <c r="E577" s="1179">
        <v>2021</v>
      </c>
      <c r="F577" s="1282" t="s">
        <v>20220</v>
      </c>
      <c r="G577" s="1368" t="s">
        <v>5258</v>
      </c>
      <c r="H577" s="1178" t="s">
        <v>20224</v>
      </c>
      <c r="I577" s="1178" t="s">
        <v>3265</v>
      </c>
      <c r="J577" s="1178" t="s">
        <v>662</v>
      </c>
      <c r="K577" s="1178" t="s">
        <v>20344</v>
      </c>
      <c r="L577" s="1178" t="s">
        <v>145</v>
      </c>
      <c r="M577" s="1369" t="s">
        <v>23263</v>
      </c>
      <c r="N577" s="1178"/>
      <c r="O577" s="1178">
        <v>6</v>
      </c>
      <c r="P577" s="1178">
        <v>13</v>
      </c>
    </row>
    <row r="578" spans="1:16">
      <c r="A578" s="1178" t="s">
        <v>20559</v>
      </c>
      <c r="B578" s="1371" t="str">
        <f>HYPERLINK(IFERROR("#Main_Tariff!A"&amp;MATCH(Raeburn_Main_Tariff[[#This Row],[Product Code]],Main_Tariff!I:I,0),"#Main_Tariff!A"&amp;MATCH("*"&amp;RIGHT(A578,8)&amp;"*",Main_Tariff!A:A,0)),Raeburn_Main_Tariff[[#This Row],[PRODUCER]])</f>
        <v>Léoville Las Cases</v>
      </c>
      <c r="C578" s="1178" t="s">
        <v>20561</v>
      </c>
      <c r="D578" s="1178" t="s">
        <v>897</v>
      </c>
      <c r="E578" s="1179">
        <v>2020</v>
      </c>
      <c r="F578" s="1282" t="s">
        <v>20220</v>
      </c>
      <c r="G578" s="1368" t="s">
        <v>5258</v>
      </c>
      <c r="H578" s="1178" t="s">
        <v>20221</v>
      </c>
      <c r="I578" s="1178" t="s">
        <v>3266</v>
      </c>
      <c r="J578" s="1178" t="s">
        <v>662</v>
      </c>
      <c r="K578" s="1178" t="s">
        <v>20344</v>
      </c>
      <c r="L578" s="1178" t="s">
        <v>145</v>
      </c>
      <c r="M578" s="1369" t="s">
        <v>23263</v>
      </c>
      <c r="N578" s="1178"/>
      <c r="O578" s="1178">
        <v>6</v>
      </c>
      <c r="P578" s="1178">
        <v>13</v>
      </c>
    </row>
    <row r="579" spans="1:16">
      <c r="A579" s="1178" t="s">
        <v>20559</v>
      </c>
      <c r="B579" s="1371" t="str">
        <f>HYPERLINK(IFERROR("#Main_Tariff!A"&amp;MATCH(Raeburn_Main_Tariff[[#This Row],[Product Code]],Main_Tariff!I:I,0),"#Main_Tariff!A"&amp;MATCH("*"&amp;RIGHT(A579,8)&amp;"*",Main_Tariff!A:A,0)),Raeburn_Main_Tariff[[#This Row],[PRODUCER]])</f>
        <v>Léoville Las Cases</v>
      </c>
      <c r="C579" s="1178" t="s">
        <v>20561</v>
      </c>
      <c r="D579" s="1178" t="s">
        <v>897</v>
      </c>
      <c r="E579" s="1179">
        <v>2019</v>
      </c>
      <c r="F579" s="1282" t="s">
        <v>20220</v>
      </c>
      <c r="G579" s="1368" t="s">
        <v>5258</v>
      </c>
      <c r="H579" s="1178" t="s">
        <v>20221</v>
      </c>
      <c r="I579" s="1178" t="s">
        <v>3268</v>
      </c>
      <c r="J579" s="1178" t="s">
        <v>662</v>
      </c>
      <c r="K579" s="1178" t="s">
        <v>20344</v>
      </c>
      <c r="L579" s="1178" t="s">
        <v>145</v>
      </c>
      <c r="M579" s="1369" t="s">
        <v>23263</v>
      </c>
      <c r="N579" s="1178"/>
      <c r="O579" s="1178">
        <v>6</v>
      </c>
      <c r="P579" s="1178">
        <v>13</v>
      </c>
    </row>
    <row r="580" spans="1:16">
      <c r="A580" s="1178" t="s">
        <v>20562</v>
      </c>
      <c r="B580" s="1371" t="str">
        <f>HYPERLINK(IFERROR("#Main_Tariff!A"&amp;MATCH(Raeburn_Main_Tariff[[#This Row],[Product Code]],Main_Tariff!I:I,0),"#Main_Tariff!A"&amp;MATCH("*"&amp;RIGHT(A580,8)&amp;"*",Main_Tariff!A:A,0)),Raeburn_Main_Tariff[[#This Row],[PRODUCER]])</f>
        <v>Léoville-Poyferré</v>
      </c>
      <c r="C580" s="1178" t="s">
        <v>20563</v>
      </c>
      <c r="D580" s="1178" t="s">
        <v>897</v>
      </c>
      <c r="E580" s="1179">
        <v>2023</v>
      </c>
      <c r="F580" s="1282" t="s">
        <v>20220</v>
      </c>
      <c r="G580" s="1368" t="s">
        <v>20342</v>
      </c>
      <c r="H580" s="1178" t="s">
        <v>20343</v>
      </c>
      <c r="I580" s="1178" t="s">
        <v>3278</v>
      </c>
      <c r="J580" s="1178" t="s">
        <v>662</v>
      </c>
      <c r="K580" s="1178" t="s">
        <v>20344</v>
      </c>
      <c r="L580" s="1178" t="s">
        <v>145</v>
      </c>
      <c r="M580" s="1369" t="s">
        <v>23263</v>
      </c>
      <c r="N580" s="1178"/>
      <c r="O580" s="1178">
        <v>6</v>
      </c>
      <c r="P580" s="1178">
        <v>0</v>
      </c>
    </row>
    <row r="581" spans="1:16">
      <c r="A581" s="1178" t="s">
        <v>20562</v>
      </c>
      <c r="B581" s="1371" t="str">
        <f>HYPERLINK(IFERROR("#Main_Tariff!A"&amp;MATCH(Raeburn_Main_Tariff[[#This Row],[Product Code]],Main_Tariff!I:I,0),"#Main_Tariff!A"&amp;MATCH("*"&amp;RIGHT(A581,8)&amp;"*",Main_Tariff!A:A,0)),Raeburn_Main_Tariff[[#This Row],[PRODUCER]])</f>
        <v>Léoville-Poyferré</v>
      </c>
      <c r="C581" s="1178" t="s">
        <v>20563</v>
      </c>
      <c r="D581" s="1178" t="s">
        <v>897</v>
      </c>
      <c r="E581" s="1179">
        <v>2020</v>
      </c>
      <c r="F581" s="1282" t="s">
        <v>20220</v>
      </c>
      <c r="G581" s="1368">
        <v>95</v>
      </c>
      <c r="H581" s="1178" t="s">
        <v>20221</v>
      </c>
      <c r="I581" s="1178" t="s">
        <v>3279</v>
      </c>
      <c r="J581" s="1178" t="s">
        <v>662</v>
      </c>
      <c r="K581" s="1178" t="s">
        <v>20344</v>
      </c>
      <c r="L581" s="1178" t="s">
        <v>145</v>
      </c>
      <c r="M581" s="1369" t="s">
        <v>23263</v>
      </c>
      <c r="N581" s="1178"/>
      <c r="O581" s="1178">
        <v>6</v>
      </c>
      <c r="P581" s="1178">
        <v>13</v>
      </c>
    </row>
    <row r="582" spans="1:16">
      <c r="A582" s="1178" t="s">
        <v>157</v>
      </c>
      <c r="B582" s="1371" t="str">
        <f>HYPERLINK(IFERROR("#Main_Tariff!A"&amp;MATCH(Raeburn_Main_Tariff[[#This Row],[Product Code]],Main_Tariff!I:I,0),"#Main_Tariff!A"&amp;MATCH("*"&amp;RIGHT(A582,8)&amp;"*",Main_Tariff!A:A,0)),Raeburn_Main_Tariff[[#This Row],[PRODUCER]])</f>
        <v>Saint-Pierre</v>
      </c>
      <c r="C582" s="1178" t="s">
        <v>20564</v>
      </c>
      <c r="D582" s="1178" t="s">
        <v>897</v>
      </c>
      <c r="E582" s="1179">
        <v>2019</v>
      </c>
      <c r="F582" s="1282" t="s">
        <v>20220</v>
      </c>
      <c r="G582" s="1368" t="s">
        <v>5258</v>
      </c>
      <c r="H582" s="1178" t="s">
        <v>20221</v>
      </c>
      <c r="I582" s="1178" t="s">
        <v>3284</v>
      </c>
      <c r="J582" s="1178" t="s">
        <v>662</v>
      </c>
      <c r="K582" s="1178" t="s">
        <v>20344</v>
      </c>
      <c r="L582" s="1178" t="s">
        <v>145</v>
      </c>
      <c r="M582" s="1369" t="s">
        <v>23264</v>
      </c>
      <c r="N582" s="1178"/>
      <c r="O582" s="1178">
        <v>6</v>
      </c>
      <c r="P582" s="1178">
        <v>13.5</v>
      </c>
    </row>
    <row r="583" spans="1:16">
      <c r="A583" s="1178" t="s">
        <v>157</v>
      </c>
      <c r="B583" s="1371" t="str">
        <f>HYPERLINK(IFERROR("#Main_Tariff!A"&amp;MATCH(Raeburn_Main_Tariff[[#This Row],[Product Code]],Main_Tariff!I:I,0),"#Main_Tariff!A"&amp;MATCH("*"&amp;RIGHT(A583,8)&amp;"*",Main_Tariff!A:A,0)),Raeburn_Main_Tariff[[#This Row],[PRODUCER]])</f>
        <v>Saint-Pierre</v>
      </c>
      <c r="C583" s="1178" t="s">
        <v>20564</v>
      </c>
      <c r="D583" s="1178" t="s">
        <v>897</v>
      </c>
      <c r="E583" s="1179">
        <v>2016</v>
      </c>
      <c r="F583" s="1282" t="s">
        <v>20220</v>
      </c>
      <c r="G583" s="1368">
        <v>64</v>
      </c>
      <c r="H583" s="1178" t="s">
        <v>20221</v>
      </c>
      <c r="I583" s="1178" t="s">
        <v>3286</v>
      </c>
      <c r="J583" s="1178" t="s">
        <v>662</v>
      </c>
      <c r="K583" s="1178" t="s">
        <v>20344</v>
      </c>
      <c r="L583" s="1178" t="s">
        <v>145</v>
      </c>
      <c r="M583" s="1369" t="s">
        <v>23264</v>
      </c>
      <c r="N583" s="1178"/>
      <c r="O583" s="1178">
        <v>6</v>
      </c>
      <c r="P583" s="1178">
        <v>13</v>
      </c>
    </row>
    <row r="584" spans="1:16">
      <c r="A584" s="1178" t="s">
        <v>158</v>
      </c>
      <c r="B584" s="1371" t="str">
        <f>HYPERLINK(IFERROR("#Main_Tariff!A"&amp;MATCH(Raeburn_Main_Tariff[[#This Row],[Product Code]],Main_Tariff!I:I,0),"#Main_Tariff!A"&amp;MATCH("*"&amp;RIGHT(A584,8)&amp;"*",Main_Tariff!A:A,0)),Raeburn_Main_Tariff[[#This Row],[PRODUCER]])</f>
        <v>Talbot</v>
      </c>
      <c r="C584" s="1178" t="s">
        <v>20565</v>
      </c>
      <c r="D584" s="1178" t="s">
        <v>897</v>
      </c>
      <c r="E584" s="1179">
        <v>2020</v>
      </c>
      <c r="F584" s="1282" t="s">
        <v>20220</v>
      </c>
      <c r="G584" s="1368">
        <v>55.5</v>
      </c>
      <c r="H584" s="1178" t="s">
        <v>20221</v>
      </c>
      <c r="I584" s="1178" t="s">
        <v>3295</v>
      </c>
      <c r="J584" s="1178" t="s">
        <v>662</v>
      </c>
      <c r="K584" s="1178" t="s">
        <v>20344</v>
      </c>
      <c r="L584" s="1178" t="s">
        <v>145</v>
      </c>
      <c r="M584" s="1369" t="s">
        <v>23264</v>
      </c>
      <c r="N584" s="1178"/>
      <c r="O584" s="1178">
        <v>6</v>
      </c>
      <c r="P584" s="1178">
        <v>13.5</v>
      </c>
    </row>
    <row r="585" spans="1:16">
      <c r="A585" s="1178" t="s">
        <v>160</v>
      </c>
      <c r="B585" s="1371" t="str">
        <f>HYPERLINK(IFERROR("#Main_Tariff!A"&amp;MATCH(Raeburn_Main_Tariff[[#This Row],[Product Code]],Main_Tariff!I:I,0),"#Main_Tariff!A"&amp;MATCH("*"&amp;RIGHT(A585,8)&amp;"*",Main_Tariff!A:A,0)),Raeburn_Main_Tariff[[#This Row],[PRODUCER]])</f>
        <v>d'Armailhac</v>
      </c>
      <c r="C585" s="1178" t="s">
        <v>20566</v>
      </c>
      <c r="D585" s="1178" t="s">
        <v>897</v>
      </c>
      <c r="E585" s="1179">
        <v>2023</v>
      </c>
      <c r="F585" s="1282" t="s">
        <v>20220</v>
      </c>
      <c r="G585" s="1368" t="s">
        <v>20342</v>
      </c>
      <c r="H585" s="1178" t="s">
        <v>20343</v>
      </c>
      <c r="I585" s="1178" t="s">
        <v>3306</v>
      </c>
      <c r="J585" s="1178" t="s">
        <v>662</v>
      </c>
      <c r="K585" s="1178" t="s">
        <v>20344</v>
      </c>
      <c r="L585" s="1178" t="s">
        <v>159</v>
      </c>
      <c r="M585" s="1369" t="s">
        <v>23261</v>
      </c>
      <c r="N585" s="1178"/>
      <c r="O585" s="1178">
        <v>6</v>
      </c>
      <c r="P585" s="1178">
        <v>0</v>
      </c>
    </row>
    <row r="586" spans="1:16">
      <c r="A586" s="1178" t="s">
        <v>160</v>
      </c>
      <c r="B586" s="1371" t="str">
        <f>HYPERLINK(IFERROR("#Main_Tariff!A"&amp;MATCH(Raeburn_Main_Tariff[[#This Row],[Product Code]],Main_Tariff!I:I,0),"#Main_Tariff!A"&amp;MATCH("*"&amp;RIGHT(A586,8)&amp;"*",Main_Tariff!A:A,0)),Raeburn_Main_Tariff[[#This Row],[PRODUCER]])</f>
        <v>d'Armailhac</v>
      </c>
      <c r="C586" s="1178" t="s">
        <v>20566</v>
      </c>
      <c r="D586" s="1178" t="s">
        <v>897</v>
      </c>
      <c r="E586" s="1179">
        <v>2022</v>
      </c>
      <c r="F586" s="1282" t="s">
        <v>20220</v>
      </c>
      <c r="G586" s="1368" t="s">
        <v>5258</v>
      </c>
      <c r="H586" s="1178" t="s">
        <v>20224</v>
      </c>
      <c r="I586" s="1178" t="s">
        <v>3308</v>
      </c>
      <c r="J586" s="1178" t="s">
        <v>662</v>
      </c>
      <c r="K586" s="1178" t="s">
        <v>20344</v>
      </c>
      <c r="L586" s="1178" t="s">
        <v>159</v>
      </c>
      <c r="M586" s="1369" t="s">
        <v>23261</v>
      </c>
      <c r="N586" s="1178"/>
      <c r="O586" s="1178">
        <v>6</v>
      </c>
      <c r="P586" s="1178">
        <v>14.5</v>
      </c>
    </row>
    <row r="587" spans="1:16">
      <c r="A587" s="1178" t="s">
        <v>160</v>
      </c>
      <c r="B587" s="1371" t="str">
        <f>HYPERLINK(IFERROR("#Main_Tariff!A"&amp;MATCH(Raeburn_Main_Tariff[[#This Row],[Product Code]],Main_Tariff!I:I,0),"#Main_Tariff!A"&amp;MATCH("*"&amp;RIGHT(A587,8)&amp;"*",Main_Tariff!A:A,0)),Raeburn_Main_Tariff[[#This Row],[PRODUCER]])</f>
        <v>d'Armailhac</v>
      </c>
      <c r="C587" s="1178" t="s">
        <v>20566</v>
      </c>
      <c r="D587" s="1178" t="s">
        <v>897</v>
      </c>
      <c r="E587" s="1179">
        <v>2021</v>
      </c>
      <c r="F587" s="1282" t="s">
        <v>20220</v>
      </c>
      <c r="G587" s="1368">
        <v>46.75</v>
      </c>
      <c r="H587" s="1178" t="s">
        <v>20221</v>
      </c>
      <c r="I587" s="1178" t="s">
        <v>3310</v>
      </c>
      <c r="J587" s="1178" t="s">
        <v>662</v>
      </c>
      <c r="K587" s="1178" t="s">
        <v>20344</v>
      </c>
      <c r="L587" s="1178" t="s">
        <v>159</v>
      </c>
      <c r="M587" s="1369" t="s">
        <v>23261</v>
      </c>
      <c r="N587" s="1178"/>
      <c r="O587" s="1178">
        <v>6</v>
      </c>
      <c r="P587" s="1178">
        <v>13</v>
      </c>
    </row>
    <row r="588" spans="1:16">
      <c r="A588" s="1178" t="s">
        <v>160</v>
      </c>
      <c r="B588" s="1371" t="str">
        <f>HYPERLINK(IFERROR("#Main_Tariff!A"&amp;MATCH(Raeburn_Main_Tariff[[#This Row],[Product Code]],Main_Tariff!I:I,0),"#Main_Tariff!A"&amp;MATCH("*"&amp;RIGHT(A588,8)&amp;"*",Main_Tariff!A:A,0)),Raeburn_Main_Tariff[[#This Row],[PRODUCER]])</f>
        <v>d'Armailhac</v>
      </c>
      <c r="C588" s="1178" t="s">
        <v>20566</v>
      </c>
      <c r="D588" s="1178" t="s">
        <v>897</v>
      </c>
      <c r="E588" s="1179">
        <v>2020</v>
      </c>
      <c r="F588" s="1282" t="s">
        <v>20220</v>
      </c>
      <c r="G588" s="1368">
        <v>46.75</v>
      </c>
      <c r="H588" s="1178" t="s">
        <v>20221</v>
      </c>
      <c r="I588" s="1178" t="s">
        <v>3312</v>
      </c>
      <c r="J588" s="1178" t="s">
        <v>662</v>
      </c>
      <c r="K588" s="1178" t="s">
        <v>20344</v>
      </c>
      <c r="L588" s="1178" t="s">
        <v>159</v>
      </c>
      <c r="M588" s="1369" t="s">
        <v>23261</v>
      </c>
      <c r="N588" s="1178"/>
      <c r="O588" s="1178">
        <v>6</v>
      </c>
      <c r="P588" s="1178">
        <v>13</v>
      </c>
    </row>
    <row r="589" spans="1:16">
      <c r="A589" s="1178" t="s">
        <v>161</v>
      </c>
      <c r="B589" s="1371" t="str">
        <f>HYPERLINK(IFERROR("#Main_Tariff!A"&amp;MATCH(Raeburn_Main_Tariff[[#This Row],[Product Code]],Main_Tariff!I:I,0),"#Main_Tariff!A"&amp;MATCH("*"&amp;RIGHT(A589,8)&amp;"*",Main_Tariff!A:A,0)),Raeburn_Main_Tariff[[#This Row],[PRODUCER]])</f>
        <v>Clerc Milon</v>
      </c>
      <c r="C589" s="1178" t="s">
        <v>20567</v>
      </c>
      <c r="D589" s="1178" t="s">
        <v>897</v>
      </c>
      <c r="E589" s="1179">
        <v>2022</v>
      </c>
      <c r="F589" s="1282" t="s">
        <v>20220</v>
      </c>
      <c r="G589" s="1368">
        <v>83</v>
      </c>
      <c r="H589" s="1178" t="s">
        <v>20224</v>
      </c>
      <c r="I589" s="1178" t="s">
        <v>3317</v>
      </c>
      <c r="J589" s="1178" t="s">
        <v>662</v>
      </c>
      <c r="K589" s="1178" t="s">
        <v>20344</v>
      </c>
      <c r="L589" s="1178" t="s">
        <v>159</v>
      </c>
      <c r="M589" s="1369" t="s">
        <v>23261</v>
      </c>
      <c r="N589" s="1178"/>
      <c r="O589" s="1178">
        <v>6</v>
      </c>
      <c r="P589" s="1178">
        <v>14.5</v>
      </c>
    </row>
    <row r="590" spans="1:16">
      <c r="A590" s="1178" t="s">
        <v>162</v>
      </c>
      <c r="B590" s="1371" t="str">
        <f>HYPERLINK(IFERROR("#Main_Tariff!A"&amp;MATCH(Raeburn_Main_Tariff[[#This Row],[Product Code]],Main_Tariff!I:I,0),"#Main_Tariff!A"&amp;MATCH("*"&amp;RIGHT(A590,8)&amp;"*",Main_Tariff!A:A,0)),Raeburn_Main_Tariff[[#This Row],[PRODUCER]])</f>
        <v>Duhart-Milon</v>
      </c>
      <c r="C590" s="1178" t="s">
        <v>20568</v>
      </c>
      <c r="D590" s="1178" t="s">
        <v>897</v>
      </c>
      <c r="E590" s="1179">
        <v>2023</v>
      </c>
      <c r="F590" s="1282" t="s">
        <v>20220</v>
      </c>
      <c r="G590" s="1368" t="s">
        <v>20342</v>
      </c>
      <c r="H590" s="1178" t="s">
        <v>20343</v>
      </c>
      <c r="I590" s="1178" t="s">
        <v>3326</v>
      </c>
      <c r="J590" s="1178" t="s">
        <v>662</v>
      </c>
      <c r="K590" s="1178" t="s">
        <v>20344</v>
      </c>
      <c r="L590" s="1178" t="s">
        <v>159</v>
      </c>
      <c r="M590" s="1369" t="s">
        <v>23264</v>
      </c>
      <c r="N590" s="1178"/>
      <c r="O590" s="1178">
        <v>6</v>
      </c>
      <c r="P590" s="1178">
        <v>0</v>
      </c>
    </row>
    <row r="591" spans="1:16">
      <c r="A591" s="1178" t="s">
        <v>162</v>
      </c>
      <c r="B591" s="1371" t="str">
        <f>HYPERLINK(IFERROR("#Main_Tariff!A"&amp;MATCH(Raeburn_Main_Tariff[[#This Row],[Product Code]],Main_Tariff!I:I,0),"#Main_Tariff!A"&amp;MATCH("*"&amp;RIGHT(A591,8)&amp;"*",Main_Tariff!A:A,0)),Raeburn_Main_Tariff[[#This Row],[PRODUCER]])</f>
        <v>Duhart-Milon</v>
      </c>
      <c r="C591" s="1178" t="s">
        <v>20568</v>
      </c>
      <c r="D591" s="1178" t="s">
        <v>897</v>
      </c>
      <c r="E591" s="1179">
        <v>2022</v>
      </c>
      <c r="F591" s="1282" t="s">
        <v>20220</v>
      </c>
      <c r="G591" s="1368" t="s">
        <v>5258</v>
      </c>
      <c r="H591" s="1178" t="s">
        <v>20224</v>
      </c>
      <c r="I591" s="1178" t="s">
        <v>3327</v>
      </c>
      <c r="J591" s="1178" t="s">
        <v>662</v>
      </c>
      <c r="K591" s="1178" t="s">
        <v>20344</v>
      </c>
      <c r="L591" s="1178" t="s">
        <v>159</v>
      </c>
      <c r="M591" s="1369" t="s">
        <v>23264</v>
      </c>
      <c r="N591" s="1178"/>
      <c r="O591" s="1178">
        <v>6</v>
      </c>
      <c r="P591" s="1178">
        <v>13.5</v>
      </c>
    </row>
    <row r="592" spans="1:16">
      <c r="A592" s="1178" t="s">
        <v>162</v>
      </c>
      <c r="B592" s="1371" t="str">
        <f>HYPERLINK(IFERROR("#Main_Tariff!A"&amp;MATCH(Raeburn_Main_Tariff[[#This Row],[Product Code]],Main_Tariff!I:I,0),"#Main_Tariff!A"&amp;MATCH("*"&amp;RIGHT(A592,8)&amp;"*",Main_Tariff!A:A,0)),Raeburn_Main_Tariff[[#This Row],[PRODUCER]])</f>
        <v>Duhart-Milon</v>
      </c>
      <c r="C592" s="1178" t="s">
        <v>20568</v>
      </c>
      <c r="D592" s="1178" t="s">
        <v>897</v>
      </c>
      <c r="E592" s="1179">
        <v>2021</v>
      </c>
      <c r="F592" s="1282" t="s">
        <v>20220</v>
      </c>
      <c r="G592" s="1368">
        <v>74</v>
      </c>
      <c r="H592" s="1178" t="s">
        <v>20221</v>
      </c>
      <c r="I592" s="1178" t="s">
        <v>3329</v>
      </c>
      <c r="J592" s="1178" t="s">
        <v>662</v>
      </c>
      <c r="K592" s="1178" t="s">
        <v>20344</v>
      </c>
      <c r="L592" s="1178" t="s">
        <v>159</v>
      </c>
      <c r="M592" s="1369" t="s">
        <v>23264</v>
      </c>
      <c r="N592" s="1178"/>
      <c r="O592" s="1178">
        <v>6</v>
      </c>
      <c r="P592" s="1178">
        <v>13</v>
      </c>
    </row>
    <row r="593" spans="1:16">
      <c r="A593" s="1178" t="s">
        <v>162</v>
      </c>
      <c r="B593" s="1371" t="str">
        <f>HYPERLINK(IFERROR("#Main_Tariff!A"&amp;MATCH(Raeburn_Main_Tariff[[#This Row],[Product Code]],Main_Tariff!I:I,0),"#Main_Tariff!A"&amp;MATCH("*"&amp;RIGHT(A593,8)&amp;"*",Main_Tariff!A:A,0)),Raeburn_Main_Tariff[[#This Row],[PRODUCER]])</f>
        <v>Duhart-Milon</v>
      </c>
      <c r="C593" s="1178" t="s">
        <v>20568</v>
      </c>
      <c r="D593" s="1178" t="s">
        <v>897</v>
      </c>
      <c r="E593" s="1179">
        <v>2020</v>
      </c>
      <c r="F593" s="1282" t="s">
        <v>20220</v>
      </c>
      <c r="G593" s="1368">
        <v>74</v>
      </c>
      <c r="H593" s="1178" t="s">
        <v>20221</v>
      </c>
      <c r="I593" s="1178" t="s">
        <v>3331</v>
      </c>
      <c r="J593" s="1178" t="s">
        <v>662</v>
      </c>
      <c r="K593" s="1178" t="s">
        <v>20344</v>
      </c>
      <c r="L593" s="1178" t="s">
        <v>159</v>
      </c>
      <c r="M593" s="1369" t="s">
        <v>23264</v>
      </c>
      <c r="N593" s="1178"/>
      <c r="O593" s="1178">
        <v>6</v>
      </c>
      <c r="P593" s="1178">
        <v>13</v>
      </c>
    </row>
    <row r="594" spans="1:16">
      <c r="A594" s="1178" t="s">
        <v>163</v>
      </c>
      <c r="B594" s="1371" t="str">
        <f>HYPERLINK(IFERROR("#Main_Tariff!A"&amp;MATCH(Raeburn_Main_Tariff[[#This Row],[Product Code]],Main_Tariff!I:I,0),"#Main_Tariff!A"&amp;MATCH("*"&amp;RIGHT(A594,8)&amp;"*",Main_Tariff!A:A,0)),Raeburn_Main_Tariff[[#This Row],[PRODUCER]])</f>
        <v>Grand-Puy Lacoste</v>
      </c>
      <c r="C594" s="1178" t="s">
        <v>20569</v>
      </c>
      <c r="D594" s="1178" t="s">
        <v>897</v>
      </c>
      <c r="E594" s="1179">
        <v>2022</v>
      </c>
      <c r="F594" s="1282" t="s">
        <v>20220</v>
      </c>
      <c r="G594" s="1368" t="s">
        <v>5258</v>
      </c>
      <c r="H594" s="1178" t="s">
        <v>20221</v>
      </c>
      <c r="I594" s="1178" t="s">
        <v>3337</v>
      </c>
      <c r="J594" s="1178" t="s">
        <v>662</v>
      </c>
      <c r="K594" s="1178" t="s">
        <v>20344</v>
      </c>
      <c r="L594" s="1178" t="s">
        <v>159</v>
      </c>
      <c r="M594" s="1369"/>
      <c r="N594" s="1178"/>
      <c r="O594" s="1178">
        <v>6</v>
      </c>
      <c r="P594" s="1178">
        <v>14</v>
      </c>
    </row>
    <row r="595" spans="1:16">
      <c r="A595" s="1178" t="s">
        <v>163</v>
      </c>
      <c r="B595" s="1371" t="str">
        <f>HYPERLINK(IFERROR("#Main_Tariff!A"&amp;MATCH(Raeburn_Main_Tariff[[#This Row],[Product Code]],Main_Tariff!I:I,0),"#Main_Tariff!A"&amp;MATCH("*"&amp;RIGHT(A595,8)&amp;"*",Main_Tariff!A:A,0)),Raeburn_Main_Tariff[[#This Row],[PRODUCER]])</f>
        <v>Grand-Puy Lacoste</v>
      </c>
      <c r="C595" s="1178" t="s">
        <v>20569</v>
      </c>
      <c r="D595" s="1178" t="s">
        <v>897</v>
      </c>
      <c r="E595" s="1179">
        <v>2020</v>
      </c>
      <c r="F595" s="1282" t="s">
        <v>20220</v>
      </c>
      <c r="G595" s="1368">
        <v>29.25</v>
      </c>
      <c r="H595" s="1178" t="s">
        <v>20221</v>
      </c>
      <c r="I595" s="1178" t="s">
        <v>3339</v>
      </c>
      <c r="J595" s="1178" t="s">
        <v>662</v>
      </c>
      <c r="K595" s="1178" t="s">
        <v>20344</v>
      </c>
      <c r="L595" s="1178" t="s">
        <v>159</v>
      </c>
      <c r="M595" s="1369"/>
      <c r="N595" s="1178"/>
      <c r="O595" s="1178">
        <v>6</v>
      </c>
      <c r="P595" s="1178">
        <v>13</v>
      </c>
    </row>
    <row r="596" spans="1:16">
      <c r="A596" s="1178" t="s">
        <v>163</v>
      </c>
      <c r="B596" s="1371" t="str">
        <f>HYPERLINK(IFERROR("#Main_Tariff!A"&amp;MATCH(Raeburn_Main_Tariff[[#This Row],[Product Code]],Main_Tariff!I:I,0),"#Main_Tariff!A"&amp;MATCH("*"&amp;RIGHT(A596,8)&amp;"*",Main_Tariff!A:A,0)),Raeburn_Main_Tariff[[#This Row],[PRODUCER]])</f>
        <v>Grand-Puy Lacoste</v>
      </c>
      <c r="C596" s="1178" t="s">
        <v>20569</v>
      </c>
      <c r="D596" s="1178" t="s">
        <v>897</v>
      </c>
      <c r="E596" s="1179">
        <v>2019</v>
      </c>
      <c r="F596" s="1282" t="s">
        <v>20220</v>
      </c>
      <c r="G596" s="1368">
        <v>29.25</v>
      </c>
      <c r="H596" s="1178" t="s">
        <v>20221</v>
      </c>
      <c r="I596" s="1178" t="s">
        <v>3341</v>
      </c>
      <c r="J596" s="1178" t="s">
        <v>662</v>
      </c>
      <c r="K596" s="1178" t="s">
        <v>20344</v>
      </c>
      <c r="L596" s="1178" t="s">
        <v>159</v>
      </c>
      <c r="M596" s="1369"/>
      <c r="N596" s="1178"/>
      <c r="O596" s="1178">
        <v>12</v>
      </c>
      <c r="P596" s="1178">
        <v>14.5</v>
      </c>
    </row>
    <row r="597" spans="1:16">
      <c r="A597" s="1178" t="s">
        <v>163</v>
      </c>
      <c r="B597" s="1371" t="str">
        <f>HYPERLINK(IFERROR("#Main_Tariff!A"&amp;MATCH(Raeburn_Main_Tariff[[#This Row],[Product Code]],Main_Tariff!I:I,0),"#Main_Tariff!A"&amp;MATCH("*"&amp;RIGHT(A597,8)&amp;"*",Main_Tariff!A:A,0)),Raeburn_Main_Tariff[[#This Row],[PRODUCER]])</f>
        <v>Grand-Puy Lacoste</v>
      </c>
      <c r="C597" s="1178" t="s">
        <v>20570</v>
      </c>
      <c r="D597" s="1178" t="s">
        <v>897</v>
      </c>
      <c r="E597" s="1179">
        <v>2022</v>
      </c>
      <c r="F597" s="1282" t="s">
        <v>20220</v>
      </c>
      <c r="G597" s="1368" t="s">
        <v>5258</v>
      </c>
      <c r="H597" s="1178" t="s">
        <v>20221</v>
      </c>
      <c r="I597" s="1178" t="s">
        <v>23369</v>
      </c>
      <c r="J597" s="1178" t="s">
        <v>662</v>
      </c>
      <c r="K597" s="1178" t="s">
        <v>20344</v>
      </c>
      <c r="L597" s="1178" t="s">
        <v>159</v>
      </c>
      <c r="M597" s="1369" t="s">
        <v>23261</v>
      </c>
      <c r="N597" s="1178"/>
      <c r="O597" s="1178">
        <v>6</v>
      </c>
      <c r="P597" s="1178">
        <v>14</v>
      </c>
    </row>
    <row r="598" spans="1:16">
      <c r="A598" s="1178" t="s">
        <v>163</v>
      </c>
      <c r="B598" s="1371" t="str">
        <f>HYPERLINK(IFERROR("#Main_Tariff!A"&amp;MATCH(Raeburn_Main_Tariff[[#This Row],[Product Code]],Main_Tariff!I:I,0),"#Main_Tariff!A"&amp;MATCH("*"&amp;RIGHT(A598,8)&amp;"*",Main_Tariff!A:A,0)),Raeburn_Main_Tariff[[#This Row],[PRODUCER]])</f>
        <v>Grand-Puy Lacoste</v>
      </c>
      <c r="C598" s="1178" t="s">
        <v>20570</v>
      </c>
      <c r="D598" s="1178" t="s">
        <v>897</v>
      </c>
      <c r="E598" s="1179">
        <v>2021</v>
      </c>
      <c r="F598" s="1282" t="s">
        <v>20220</v>
      </c>
      <c r="G598" s="1368">
        <v>68.5</v>
      </c>
      <c r="H598" s="1178" t="s">
        <v>20221</v>
      </c>
      <c r="I598" s="1178" t="s">
        <v>3345</v>
      </c>
      <c r="J598" s="1178" t="s">
        <v>662</v>
      </c>
      <c r="K598" s="1178" t="s">
        <v>20344</v>
      </c>
      <c r="L598" s="1178" t="s">
        <v>159</v>
      </c>
      <c r="M598" s="1369" t="s">
        <v>23261</v>
      </c>
      <c r="N598" s="1178"/>
      <c r="O598" s="1178">
        <v>6</v>
      </c>
      <c r="P598" s="1178">
        <v>13</v>
      </c>
    </row>
    <row r="599" spans="1:16">
      <c r="A599" s="1178" t="s">
        <v>163</v>
      </c>
      <c r="B599" s="1371" t="str">
        <f>HYPERLINK(IFERROR("#Main_Tariff!A"&amp;MATCH(Raeburn_Main_Tariff[[#This Row],[Product Code]],Main_Tariff!I:I,0),"#Main_Tariff!A"&amp;MATCH("*"&amp;RIGHT(A599,8)&amp;"*",Main_Tariff!A:A,0)),Raeburn_Main_Tariff[[#This Row],[PRODUCER]])</f>
        <v>Grand-Puy Lacoste</v>
      </c>
      <c r="C599" s="1178" t="s">
        <v>20570</v>
      </c>
      <c r="D599" s="1178" t="s">
        <v>897</v>
      </c>
      <c r="E599" s="1179">
        <v>2020</v>
      </c>
      <c r="F599" s="1282" t="s">
        <v>20220</v>
      </c>
      <c r="G599" s="1368">
        <v>69.5</v>
      </c>
      <c r="H599" s="1178" t="s">
        <v>20221</v>
      </c>
      <c r="I599" s="1178" t="s">
        <v>3347</v>
      </c>
      <c r="J599" s="1178" t="s">
        <v>662</v>
      </c>
      <c r="K599" s="1178" t="s">
        <v>20344</v>
      </c>
      <c r="L599" s="1178" t="s">
        <v>159</v>
      </c>
      <c r="M599" s="1369" t="s">
        <v>23261</v>
      </c>
      <c r="N599" s="1178"/>
      <c r="O599" s="1178">
        <v>6</v>
      </c>
      <c r="P599" s="1178">
        <v>13</v>
      </c>
    </row>
    <row r="600" spans="1:16">
      <c r="A600" s="1178" t="s">
        <v>163</v>
      </c>
      <c r="B600" s="1371" t="str">
        <f>HYPERLINK(IFERROR("#Main_Tariff!A"&amp;MATCH(Raeburn_Main_Tariff[[#This Row],[Product Code]],Main_Tariff!I:I,0),"#Main_Tariff!A"&amp;MATCH("*"&amp;RIGHT(A600,8)&amp;"*",Main_Tariff!A:A,0)),Raeburn_Main_Tariff[[#This Row],[PRODUCER]])</f>
        <v>Grand-Puy Lacoste</v>
      </c>
      <c r="C600" s="1178" t="s">
        <v>20570</v>
      </c>
      <c r="D600" s="1178" t="s">
        <v>897</v>
      </c>
      <c r="E600" s="1179">
        <v>2019</v>
      </c>
      <c r="F600" s="1282" t="s">
        <v>20220</v>
      </c>
      <c r="G600" s="1368" t="s">
        <v>5258</v>
      </c>
      <c r="H600" s="1178" t="s">
        <v>20221</v>
      </c>
      <c r="I600" s="1178" t="s">
        <v>3349</v>
      </c>
      <c r="J600" s="1178" t="s">
        <v>662</v>
      </c>
      <c r="K600" s="1178" t="s">
        <v>20344</v>
      </c>
      <c r="L600" s="1178" t="s">
        <v>159</v>
      </c>
      <c r="M600" s="1369" t="s">
        <v>23261</v>
      </c>
      <c r="N600" s="1178"/>
      <c r="O600" s="1178">
        <v>6</v>
      </c>
      <c r="P600" s="1178">
        <v>13</v>
      </c>
    </row>
    <row r="601" spans="1:16">
      <c r="A601" s="1178" t="s">
        <v>163</v>
      </c>
      <c r="B601" s="1371" t="str">
        <f>HYPERLINK(IFERROR("#Main_Tariff!A"&amp;MATCH(Raeburn_Main_Tariff[[#This Row],[Product Code]],Main_Tariff!I:I,0),"#Main_Tariff!A"&amp;MATCH("*"&amp;RIGHT(A601,8)&amp;"*",Main_Tariff!A:A,0)),Raeburn_Main_Tariff[[#This Row],[PRODUCER]])</f>
        <v>Grand-Puy Lacoste</v>
      </c>
      <c r="C601" s="1178" t="s">
        <v>20571</v>
      </c>
      <c r="D601" s="1178" t="s">
        <v>897</v>
      </c>
      <c r="E601" s="1179">
        <v>2020</v>
      </c>
      <c r="F601" s="1282" t="s">
        <v>20572</v>
      </c>
      <c r="G601" s="1368" t="s">
        <v>5258</v>
      </c>
      <c r="H601" s="1178" t="s">
        <v>20221</v>
      </c>
      <c r="I601" s="1178" t="s">
        <v>3351</v>
      </c>
      <c r="J601" s="1178" t="s">
        <v>662</v>
      </c>
      <c r="K601" s="1178" t="s">
        <v>20344</v>
      </c>
      <c r="L601" s="1178" t="s">
        <v>159</v>
      </c>
      <c r="M601" s="1369" t="s">
        <v>23261</v>
      </c>
      <c r="N601" s="1178"/>
      <c r="O601" s="1178">
        <v>1</v>
      </c>
      <c r="P601" s="1178">
        <v>13</v>
      </c>
    </row>
    <row r="602" spans="1:16">
      <c r="A602" s="1178" t="s">
        <v>163</v>
      </c>
      <c r="B602" s="1371" t="str">
        <f>HYPERLINK(IFERROR("#Main_Tariff!A"&amp;MATCH(Raeburn_Main_Tariff[[#This Row],[Product Code]],Main_Tariff!I:I,0),"#Main_Tariff!A"&amp;MATCH("*"&amp;RIGHT(A602,8)&amp;"*",Main_Tariff!A:A,0)),Raeburn_Main_Tariff[[#This Row],[PRODUCER]])</f>
        <v>Grand-Puy Lacoste</v>
      </c>
      <c r="C602" s="1178" t="s">
        <v>20573</v>
      </c>
      <c r="D602" s="1178" t="s">
        <v>897</v>
      </c>
      <c r="E602" s="1179">
        <v>2020</v>
      </c>
      <c r="F602" s="1282" t="s">
        <v>20572</v>
      </c>
      <c r="G602" s="1368" t="s">
        <v>5258</v>
      </c>
      <c r="H602" s="1178" t="s">
        <v>20221</v>
      </c>
      <c r="I602" s="1178" t="s">
        <v>3352</v>
      </c>
      <c r="J602" s="1178" t="s">
        <v>662</v>
      </c>
      <c r="K602" s="1178" t="s">
        <v>20344</v>
      </c>
      <c r="L602" s="1178" t="s">
        <v>159</v>
      </c>
      <c r="M602" s="1369" t="s">
        <v>23261</v>
      </c>
      <c r="N602" s="1178"/>
      <c r="O602" s="1178">
        <v>1</v>
      </c>
      <c r="P602" s="1178">
        <v>13</v>
      </c>
    </row>
    <row r="603" spans="1:16">
      <c r="A603" s="1178" t="s">
        <v>20574</v>
      </c>
      <c r="B603" s="1371" t="str">
        <f>HYPERLINK(IFERROR("#Main_Tariff!A"&amp;MATCH(Raeburn_Main_Tariff[[#This Row],[Product Code]],Main_Tariff!I:I,0),"#Main_Tariff!A"&amp;MATCH("*"&amp;RIGHT(A603,8)&amp;"*",Main_Tariff!A:A,0)),Raeburn_Main_Tariff[[#This Row],[PRODUCER]])</f>
        <v>Haut-Bages-Liberal</v>
      </c>
      <c r="C603" s="1178" t="s">
        <v>20575</v>
      </c>
      <c r="D603" s="1178" t="s">
        <v>897</v>
      </c>
      <c r="E603" s="1179">
        <v>2021</v>
      </c>
      <c r="F603" s="1282" t="s">
        <v>20220</v>
      </c>
      <c r="G603" s="1368">
        <v>22.5</v>
      </c>
      <c r="H603" s="1178" t="s">
        <v>20221</v>
      </c>
      <c r="I603" s="1178" t="s">
        <v>3356</v>
      </c>
      <c r="J603" s="1178" t="s">
        <v>662</v>
      </c>
      <c r="K603" s="1178" t="s">
        <v>20344</v>
      </c>
      <c r="L603" s="1178" t="s">
        <v>18803</v>
      </c>
      <c r="M603" s="1369"/>
      <c r="N603" s="1178" t="s">
        <v>20244</v>
      </c>
      <c r="O603" s="1178">
        <v>6</v>
      </c>
      <c r="P603" s="1178">
        <v>13</v>
      </c>
    </row>
    <row r="604" spans="1:16">
      <c r="A604" s="1178" t="s">
        <v>20574</v>
      </c>
      <c r="B604" s="1371" t="str">
        <f>HYPERLINK(IFERROR("#Main_Tariff!A"&amp;MATCH(Raeburn_Main_Tariff[[#This Row],[Product Code]],Main_Tariff!I:I,0),"#Main_Tariff!A"&amp;MATCH("*"&amp;RIGHT(A604,8)&amp;"*",Main_Tariff!A:A,0)),Raeburn_Main_Tariff[[#This Row],[PRODUCER]])</f>
        <v>Haut-Bages-Liberal</v>
      </c>
      <c r="C604" s="1178" t="s">
        <v>20575</v>
      </c>
      <c r="D604" s="1178" t="s">
        <v>897</v>
      </c>
      <c r="E604" s="1179">
        <v>2020</v>
      </c>
      <c r="F604" s="1282" t="s">
        <v>20220</v>
      </c>
      <c r="G604" s="1368">
        <v>22.5</v>
      </c>
      <c r="H604" s="1178" t="s">
        <v>20221</v>
      </c>
      <c r="I604" s="1178" t="s">
        <v>3358</v>
      </c>
      <c r="J604" s="1178" t="s">
        <v>662</v>
      </c>
      <c r="K604" s="1178" t="s">
        <v>20344</v>
      </c>
      <c r="L604" s="1178" t="s">
        <v>18803</v>
      </c>
      <c r="M604" s="1369"/>
      <c r="N604" s="1178" t="s">
        <v>20244</v>
      </c>
      <c r="O604" s="1178">
        <v>6</v>
      </c>
      <c r="P604" s="1178">
        <v>12.5</v>
      </c>
    </row>
    <row r="605" spans="1:16">
      <c r="A605" s="1178" t="s">
        <v>20574</v>
      </c>
      <c r="B605" s="1371" t="str">
        <f>HYPERLINK(IFERROR("#Main_Tariff!A"&amp;MATCH(Raeburn_Main_Tariff[[#This Row],[Product Code]],Main_Tariff!I:I,0),"#Main_Tariff!A"&amp;MATCH("*"&amp;RIGHT(A605,8)&amp;"*",Main_Tariff!A:A,0)),Raeburn_Main_Tariff[[#This Row],[PRODUCER]])</f>
        <v>Haut-Bages-Liberal</v>
      </c>
      <c r="C605" s="1178" t="s">
        <v>20576</v>
      </c>
      <c r="D605" s="1178" t="s">
        <v>897</v>
      </c>
      <c r="E605" s="1179">
        <v>2016</v>
      </c>
      <c r="F605" s="1282" t="s">
        <v>20220</v>
      </c>
      <c r="G605" s="1368">
        <v>25.5</v>
      </c>
      <c r="H605" s="1178" t="s">
        <v>20221</v>
      </c>
      <c r="I605" s="1178" t="s">
        <v>3360</v>
      </c>
      <c r="J605" s="1178" t="s">
        <v>662</v>
      </c>
      <c r="K605" s="1178" t="s">
        <v>20344</v>
      </c>
      <c r="L605" s="1178" t="s">
        <v>159</v>
      </c>
      <c r="M605" s="1369"/>
      <c r="N605" s="1178"/>
      <c r="O605" s="1178">
        <v>6</v>
      </c>
      <c r="P605" s="1178">
        <v>13.5</v>
      </c>
    </row>
    <row r="606" spans="1:16">
      <c r="A606" s="1178" t="s">
        <v>20574</v>
      </c>
      <c r="B606" s="1371" t="str">
        <f>HYPERLINK(IFERROR("#Main_Tariff!A"&amp;MATCH(Raeburn_Main_Tariff[[#This Row],[Product Code]],Main_Tariff!I:I,0),"#Main_Tariff!A"&amp;MATCH("*"&amp;RIGHT(A606,8)&amp;"*",Main_Tariff!A:A,0)),Raeburn_Main_Tariff[[#This Row],[PRODUCER]])</f>
        <v>Haut-Bages-Liberal</v>
      </c>
      <c r="C606" s="1178" t="s">
        <v>20577</v>
      </c>
      <c r="D606" s="1178" t="s">
        <v>897</v>
      </c>
      <c r="E606" s="1179">
        <v>2023</v>
      </c>
      <c r="F606" s="1282" t="s">
        <v>20220</v>
      </c>
      <c r="G606" s="1368" t="s">
        <v>20342</v>
      </c>
      <c r="H606" s="1178" t="s">
        <v>20343</v>
      </c>
      <c r="I606" s="1178" t="s">
        <v>3363</v>
      </c>
      <c r="J606" s="1178" t="s">
        <v>662</v>
      </c>
      <c r="K606" s="1178" t="s">
        <v>20344</v>
      </c>
      <c r="L606" s="1178" t="s">
        <v>159</v>
      </c>
      <c r="M606" s="1369" t="s">
        <v>23261</v>
      </c>
      <c r="N606" s="1178" t="s">
        <v>20244</v>
      </c>
      <c r="O606" s="1178">
        <v>6</v>
      </c>
      <c r="P606" s="1178">
        <v>0</v>
      </c>
    </row>
    <row r="607" spans="1:16">
      <c r="A607" s="1178" t="s">
        <v>20574</v>
      </c>
      <c r="B607" s="1371" t="str">
        <f>HYPERLINK(IFERROR("#Main_Tariff!A"&amp;MATCH(Raeburn_Main_Tariff[[#This Row],[Product Code]],Main_Tariff!I:I,0),"#Main_Tariff!A"&amp;MATCH("*"&amp;RIGHT(A607,8)&amp;"*",Main_Tariff!A:A,0)),Raeburn_Main_Tariff[[#This Row],[PRODUCER]])</f>
        <v>Haut-Bages-Liberal</v>
      </c>
      <c r="C607" s="1178" t="s">
        <v>20577</v>
      </c>
      <c r="D607" s="1178" t="s">
        <v>897</v>
      </c>
      <c r="E607" s="1179">
        <v>2022</v>
      </c>
      <c r="F607" s="1282" t="s">
        <v>20220</v>
      </c>
      <c r="G607" s="1368" t="s">
        <v>5258</v>
      </c>
      <c r="H607" s="1178" t="s">
        <v>20224</v>
      </c>
      <c r="I607" s="1178" t="s">
        <v>3365</v>
      </c>
      <c r="J607" s="1178" t="s">
        <v>662</v>
      </c>
      <c r="K607" s="1178" t="s">
        <v>20344</v>
      </c>
      <c r="L607" s="1178" t="s">
        <v>159</v>
      </c>
      <c r="M607" s="1369" t="s">
        <v>23261</v>
      </c>
      <c r="N607" s="1178" t="s">
        <v>20244</v>
      </c>
      <c r="O607" s="1178">
        <v>6</v>
      </c>
      <c r="P607" s="1178">
        <v>13.5</v>
      </c>
    </row>
    <row r="608" spans="1:16">
      <c r="A608" s="1178" t="s">
        <v>20574</v>
      </c>
      <c r="B608" s="1371" t="str">
        <f>HYPERLINK(IFERROR("#Main_Tariff!A"&amp;MATCH(Raeburn_Main_Tariff[[#This Row],[Product Code]],Main_Tariff!I:I,0),"#Main_Tariff!A"&amp;MATCH("*"&amp;RIGHT(A608,8)&amp;"*",Main_Tariff!A:A,0)),Raeburn_Main_Tariff[[#This Row],[PRODUCER]])</f>
        <v>Haut-Bages-Liberal</v>
      </c>
      <c r="C608" s="1178" t="s">
        <v>20577</v>
      </c>
      <c r="D608" s="1178" t="s">
        <v>897</v>
      </c>
      <c r="E608" s="1179">
        <v>2021</v>
      </c>
      <c r="F608" s="1282" t="s">
        <v>20220</v>
      </c>
      <c r="G608" s="1368">
        <v>39.5</v>
      </c>
      <c r="H608" s="1178" t="s">
        <v>20221</v>
      </c>
      <c r="I608" s="1178" t="s">
        <v>3367</v>
      </c>
      <c r="J608" s="1178" t="s">
        <v>662</v>
      </c>
      <c r="K608" s="1178" t="s">
        <v>20344</v>
      </c>
      <c r="L608" s="1178" t="s">
        <v>159</v>
      </c>
      <c r="M608" s="1369" t="s">
        <v>23261</v>
      </c>
      <c r="N608" s="1178" t="s">
        <v>20244</v>
      </c>
      <c r="O608" s="1178">
        <v>12</v>
      </c>
      <c r="P608" s="1178">
        <v>13.5</v>
      </c>
    </row>
    <row r="609" spans="1:16">
      <c r="A609" s="1178" t="s">
        <v>20574</v>
      </c>
      <c r="B609" s="1371" t="str">
        <f>HYPERLINK(IFERROR("#Main_Tariff!A"&amp;MATCH(Raeburn_Main_Tariff[[#This Row],[Product Code]],Main_Tariff!I:I,0),"#Main_Tariff!A"&amp;MATCH("*"&amp;RIGHT(A609,8)&amp;"*",Main_Tariff!A:A,0)),Raeburn_Main_Tariff[[#This Row],[PRODUCER]])</f>
        <v>Haut-Bages-Liberal</v>
      </c>
      <c r="C609" s="1178" t="s">
        <v>20577</v>
      </c>
      <c r="D609" s="1178" t="s">
        <v>897</v>
      </c>
      <c r="E609" s="1179">
        <v>2020</v>
      </c>
      <c r="F609" s="1282" t="s">
        <v>20220</v>
      </c>
      <c r="G609" s="1368">
        <v>39.5</v>
      </c>
      <c r="H609" s="1178" t="s">
        <v>20221</v>
      </c>
      <c r="I609" s="1178" t="s">
        <v>3369</v>
      </c>
      <c r="J609" s="1178" t="s">
        <v>662</v>
      </c>
      <c r="K609" s="1178" t="s">
        <v>20344</v>
      </c>
      <c r="L609" s="1178" t="s">
        <v>159</v>
      </c>
      <c r="M609" s="1369" t="s">
        <v>23261</v>
      </c>
      <c r="N609" s="1178" t="s">
        <v>20244</v>
      </c>
      <c r="O609" s="1178">
        <v>6</v>
      </c>
      <c r="P609" s="1178">
        <v>13.5</v>
      </c>
    </row>
    <row r="610" spans="1:16">
      <c r="A610" s="1178" t="s">
        <v>20574</v>
      </c>
      <c r="B610" s="1371" t="str">
        <f>HYPERLINK(IFERROR("#Main_Tariff!A"&amp;MATCH(Raeburn_Main_Tariff[[#This Row],[Product Code]],Main_Tariff!I:I,0),"#Main_Tariff!A"&amp;MATCH("*"&amp;RIGHT(A610,8)&amp;"*",Main_Tariff!A:A,0)),Raeburn_Main_Tariff[[#This Row],[PRODUCER]])</f>
        <v>Haut-Bages-Liberal</v>
      </c>
      <c r="C610" s="1178" t="s">
        <v>20577</v>
      </c>
      <c r="D610" s="1178" t="s">
        <v>897</v>
      </c>
      <c r="E610" s="1179">
        <v>2019</v>
      </c>
      <c r="F610" s="1282" t="s">
        <v>20220</v>
      </c>
      <c r="G610" s="1368">
        <v>37.5</v>
      </c>
      <c r="H610" s="1178" t="s">
        <v>20221</v>
      </c>
      <c r="I610" s="1178" t="s">
        <v>3370</v>
      </c>
      <c r="J610" s="1178" t="s">
        <v>662</v>
      </c>
      <c r="K610" s="1178" t="s">
        <v>20344</v>
      </c>
      <c r="L610" s="1178" t="s">
        <v>159</v>
      </c>
      <c r="M610" s="1369" t="s">
        <v>23261</v>
      </c>
      <c r="N610" s="1178"/>
      <c r="O610" s="1178">
        <v>6</v>
      </c>
      <c r="P610" s="1178">
        <v>13.5</v>
      </c>
    </row>
    <row r="611" spans="1:16">
      <c r="A611" s="1178" t="s">
        <v>20574</v>
      </c>
      <c r="B611" s="1371" t="str">
        <f>HYPERLINK(IFERROR("#Main_Tariff!A"&amp;MATCH(Raeburn_Main_Tariff[[#This Row],[Product Code]],Main_Tariff!I:I,0),"#Main_Tariff!A"&amp;MATCH("*"&amp;RIGHT(A611,8)&amp;"*",Main_Tariff!A:A,0)),Raeburn_Main_Tariff[[#This Row],[PRODUCER]])</f>
        <v>Haut-Bages-Liberal</v>
      </c>
      <c r="C611" s="1178" t="s">
        <v>20577</v>
      </c>
      <c r="D611" s="1178" t="s">
        <v>897</v>
      </c>
      <c r="E611" s="1179">
        <v>1995</v>
      </c>
      <c r="F611" s="1282" t="s">
        <v>20220</v>
      </c>
      <c r="G611" s="1368">
        <v>79.5</v>
      </c>
      <c r="H611" s="1178" t="s">
        <v>20221</v>
      </c>
      <c r="I611" s="1178" t="s">
        <v>3372</v>
      </c>
      <c r="J611" s="1178" t="s">
        <v>662</v>
      </c>
      <c r="K611" s="1178" t="s">
        <v>20344</v>
      </c>
      <c r="L611" s="1178" t="s">
        <v>159</v>
      </c>
      <c r="M611" s="1369" t="s">
        <v>23261</v>
      </c>
      <c r="N611" s="1178"/>
      <c r="O611" s="1178">
        <v>12</v>
      </c>
      <c r="P611" s="1178">
        <v>13.5</v>
      </c>
    </row>
    <row r="612" spans="1:16">
      <c r="A612" s="1178" t="s">
        <v>20574</v>
      </c>
      <c r="B612" s="1371" t="str">
        <f>HYPERLINK(IFERROR("#Main_Tariff!A"&amp;MATCH(Raeburn_Main_Tariff[[#This Row],[Product Code]],Main_Tariff!I:I,0),"#Main_Tariff!A"&amp;MATCH("*"&amp;RIGHT(A612,8)&amp;"*",Main_Tariff!A:A,0)),Raeburn_Main_Tariff[[#This Row],[PRODUCER]])</f>
        <v>Haut-Bages-Liberal</v>
      </c>
      <c r="C612" s="1178" t="s">
        <v>20578</v>
      </c>
      <c r="D612" s="1178" t="s">
        <v>897</v>
      </c>
      <c r="E612" s="1179">
        <v>2019</v>
      </c>
      <c r="F612" s="1282" t="s">
        <v>20240</v>
      </c>
      <c r="G612" s="1368">
        <v>75</v>
      </c>
      <c r="H612" s="1178" t="s">
        <v>20221</v>
      </c>
      <c r="I612" s="1178" t="s">
        <v>3374</v>
      </c>
      <c r="J612" s="1178" t="s">
        <v>662</v>
      </c>
      <c r="K612" s="1178" t="s">
        <v>20344</v>
      </c>
      <c r="L612" s="1178" t="s">
        <v>159</v>
      </c>
      <c r="M612" s="1369" t="s">
        <v>23261</v>
      </c>
      <c r="N612" s="1178"/>
      <c r="O612" s="1178">
        <v>6</v>
      </c>
      <c r="P612" s="1178">
        <v>13.5</v>
      </c>
    </row>
    <row r="613" spans="1:16">
      <c r="A613" s="1178" t="s">
        <v>20574</v>
      </c>
      <c r="B613" s="1371" t="str">
        <f>HYPERLINK(IFERROR("#Main_Tariff!A"&amp;MATCH(Raeburn_Main_Tariff[[#This Row],[Product Code]],Main_Tariff!I:I,0),"#Main_Tariff!A"&amp;MATCH("*"&amp;RIGHT(A613,8)&amp;"*",Main_Tariff!A:A,0)),Raeburn_Main_Tariff[[#This Row],[PRODUCER]])</f>
        <v>Haut-Bages-Liberal</v>
      </c>
      <c r="C613" s="1178" t="s">
        <v>20578</v>
      </c>
      <c r="D613" s="1178" t="s">
        <v>897</v>
      </c>
      <c r="E613" s="1179">
        <v>1995</v>
      </c>
      <c r="F613" s="1282" t="s">
        <v>20240</v>
      </c>
      <c r="G613" s="1368">
        <v>160</v>
      </c>
      <c r="H613" s="1178" t="s">
        <v>20224</v>
      </c>
      <c r="I613" s="1178" t="s">
        <v>3376</v>
      </c>
      <c r="J613" s="1178" t="s">
        <v>662</v>
      </c>
      <c r="K613" s="1178" t="s">
        <v>20344</v>
      </c>
      <c r="L613" s="1178" t="s">
        <v>159</v>
      </c>
      <c r="M613" s="1369" t="s">
        <v>23261</v>
      </c>
      <c r="N613" s="1178"/>
      <c r="O613" s="1178">
        <v>6</v>
      </c>
      <c r="P613" s="1178">
        <v>14</v>
      </c>
    </row>
    <row r="614" spans="1:16">
      <c r="A614" s="1178" t="s">
        <v>165</v>
      </c>
      <c r="B614" s="1371" t="str">
        <f>HYPERLINK(IFERROR("#Main_Tariff!A"&amp;MATCH(Raeburn_Main_Tariff[[#This Row],[Product Code]],Main_Tariff!I:I,0),"#Main_Tariff!A"&amp;MATCH("*"&amp;RIGHT(A614,8)&amp;"*",Main_Tariff!A:A,0)),Raeburn_Main_Tariff[[#This Row],[PRODUCER]])</f>
        <v>Lafite Rothschild</v>
      </c>
      <c r="C614" s="1178" t="s">
        <v>20579</v>
      </c>
      <c r="D614" s="1178" t="s">
        <v>897</v>
      </c>
      <c r="E614" s="1179">
        <v>2023</v>
      </c>
      <c r="F614" s="1282" t="s">
        <v>20220</v>
      </c>
      <c r="G614" s="1368" t="s">
        <v>20342</v>
      </c>
      <c r="H614" s="1178" t="s">
        <v>20343</v>
      </c>
      <c r="I614" s="1178" t="s">
        <v>3385</v>
      </c>
      <c r="J614" s="1178" t="s">
        <v>662</v>
      </c>
      <c r="K614" s="1178" t="s">
        <v>20344</v>
      </c>
      <c r="L614" s="1178" t="s">
        <v>159</v>
      </c>
      <c r="M614" s="1369"/>
      <c r="N614" s="1178"/>
      <c r="O614" s="1178">
        <v>6</v>
      </c>
      <c r="P614" s="1178">
        <v>0</v>
      </c>
    </row>
    <row r="615" spans="1:16">
      <c r="A615" s="1178" t="s">
        <v>165</v>
      </c>
      <c r="B615" s="1371" t="str">
        <f>HYPERLINK(IFERROR("#Main_Tariff!A"&amp;MATCH(Raeburn_Main_Tariff[[#This Row],[Product Code]],Main_Tariff!I:I,0),"#Main_Tariff!A"&amp;MATCH("*"&amp;RIGHT(A615,8)&amp;"*",Main_Tariff!A:A,0)),Raeburn_Main_Tariff[[#This Row],[PRODUCER]])</f>
        <v>Lafite Rothschild</v>
      </c>
      <c r="C615" s="1178" t="s">
        <v>20579</v>
      </c>
      <c r="D615" s="1178" t="s">
        <v>897</v>
      </c>
      <c r="E615" s="1179">
        <v>2022</v>
      </c>
      <c r="F615" s="1282" t="s">
        <v>20220</v>
      </c>
      <c r="G615" s="1368" t="s">
        <v>5258</v>
      </c>
      <c r="H615" s="1178" t="s">
        <v>20224</v>
      </c>
      <c r="I615" s="1178" t="s">
        <v>3387</v>
      </c>
      <c r="J615" s="1178" t="s">
        <v>662</v>
      </c>
      <c r="K615" s="1178" t="s">
        <v>20344</v>
      </c>
      <c r="L615" s="1178" t="s">
        <v>159</v>
      </c>
      <c r="M615" s="1369"/>
      <c r="N615" s="1178"/>
      <c r="O615" s="1178">
        <v>6</v>
      </c>
      <c r="P615" s="1178">
        <v>13</v>
      </c>
    </row>
    <row r="616" spans="1:16">
      <c r="A616" s="1178" t="s">
        <v>165</v>
      </c>
      <c r="B616" s="1371" t="str">
        <f>HYPERLINK(IFERROR("#Main_Tariff!A"&amp;MATCH(Raeburn_Main_Tariff[[#This Row],[Product Code]],Main_Tariff!I:I,0),"#Main_Tariff!A"&amp;MATCH("*"&amp;RIGHT(A616,8)&amp;"*",Main_Tariff!A:A,0)),Raeburn_Main_Tariff[[#This Row],[PRODUCER]])</f>
        <v>Lafite Rothschild</v>
      </c>
      <c r="C616" s="1178" t="s">
        <v>20579</v>
      </c>
      <c r="D616" s="1178" t="s">
        <v>897</v>
      </c>
      <c r="E616" s="1179">
        <v>2021</v>
      </c>
      <c r="F616" s="1282" t="s">
        <v>20220</v>
      </c>
      <c r="G616" s="1368">
        <v>201.5</v>
      </c>
      <c r="H616" s="1178" t="s">
        <v>20224</v>
      </c>
      <c r="I616" s="1178" t="s">
        <v>3389</v>
      </c>
      <c r="J616" s="1178" t="s">
        <v>662</v>
      </c>
      <c r="K616" s="1178" t="s">
        <v>20344</v>
      </c>
      <c r="L616" s="1178" t="s">
        <v>159</v>
      </c>
      <c r="M616" s="1369"/>
      <c r="N616" s="1178"/>
      <c r="O616" s="1178">
        <v>6</v>
      </c>
      <c r="P616" s="1178">
        <v>12.5</v>
      </c>
    </row>
    <row r="617" spans="1:16">
      <c r="A617" s="1178" t="s">
        <v>165</v>
      </c>
      <c r="B617" s="1371" t="str">
        <f>HYPERLINK(IFERROR("#Main_Tariff!A"&amp;MATCH(Raeburn_Main_Tariff[[#This Row],[Product Code]],Main_Tariff!I:I,0),"#Main_Tariff!A"&amp;MATCH("*"&amp;RIGHT(A617,8)&amp;"*",Main_Tariff!A:A,0)),Raeburn_Main_Tariff[[#This Row],[PRODUCER]])</f>
        <v>Lafite Rothschild</v>
      </c>
      <c r="C617" s="1178" t="s">
        <v>20579</v>
      </c>
      <c r="D617" s="1178" t="s">
        <v>897</v>
      </c>
      <c r="E617" s="1179">
        <v>2020</v>
      </c>
      <c r="F617" s="1282" t="s">
        <v>20220</v>
      </c>
      <c r="G617" s="1368">
        <v>213.5</v>
      </c>
      <c r="H617" s="1178" t="s">
        <v>20224</v>
      </c>
      <c r="I617" s="1178" t="s">
        <v>3391</v>
      </c>
      <c r="J617" s="1178" t="s">
        <v>662</v>
      </c>
      <c r="K617" s="1178" t="s">
        <v>20344</v>
      </c>
      <c r="L617" s="1178" t="s">
        <v>159</v>
      </c>
      <c r="M617" s="1369"/>
      <c r="N617" s="1178"/>
      <c r="O617" s="1178">
        <v>6</v>
      </c>
      <c r="P617" s="1178">
        <v>13</v>
      </c>
    </row>
    <row r="618" spans="1:16">
      <c r="A618" s="1178" t="s">
        <v>165</v>
      </c>
      <c r="B618" s="1371" t="str">
        <f>HYPERLINK(IFERROR("#Main_Tariff!A"&amp;MATCH(Raeburn_Main_Tariff[[#This Row],[Product Code]],Main_Tariff!I:I,0),"#Main_Tariff!A"&amp;MATCH("*"&amp;RIGHT(A618,8)&amp;"*",Main_Tariff!A:A,0)),Raeburn_Main_Tariff[[#This Row],[PRODUCER]])</f>
        <v>Lafite Rothschild</v>
      </c>
      <c r="C618" s="1178" t="s">
        <v>20580</v>
      </c>
      <c r="D618" s="1178" t="s">
        <v>897</v>
      </c>
      <c r="E618" s="1179">
        <v>2023</v>
      </c>
      <c r="F618" s="1282" t="s">
        <v>20220</v>
      </c>
      <c r="G618" s="1368" t="s">
        <v>20342</v>
      </c>
      <c r="H618" s="1178" t="s">
        <v>20343</v>
      </c>
      <c r="I618" s="1178" t="s">
        <v>3394</v>
      </c>
      <c r="J618" s="1178" t="s">
        <v>662</v>
      </c>
      <c r="K618" s="1178" t="s">
        <v>20344</v>
      </c>
      <c r="L618" s="1178" t="s">
        <v>159</v>
      </c>
      <c r="M618" s="1369" t="s">
        <v>23257</v>
      </c>
      <c r="N618" s="1178"/>
      <c r="O618" s="1178">
        <v>6</v>
      </c>
      <c r="P618" s="1178">
        <v>0</v>
      </c>
    </row>
    <row r="619" spans="1:16">
      <c r="A619" s="1178" t="s">
        <v>165</v>
      </c>
      <c r="B619" s="1371" t="str">
        <f>HYPERLINK(IFERROR("#Main_Tariff!A"&amp;MATCH(Raeburn_Main_Tariff[[#This Row],[Product Code]],Main_Tariff!I:I,0),"#Main_Tariff!A"&amp;MATCH("*"&amp;RIGHT(A619,8)&amp;"*",Main_Tariff!A:A,0)),Raeburn_Main_Tariff[[#This Row],[PRODUCER]])</f>
        <v>Lafite Rothschild</v>
      </c>
      <c r="C619" s="1178" t="s">
        <v>20580</v>
      </c>
      <c r="D619" s="1178" t="s">
        <v>897</v>
      </c>
      <c r="E619" s="1179">
        <v>2022</v>
      </c>
      <c r="F619" s="1282" t="s">
        <v>20220</v>
      </c>
      <c r="G619" s="1368" t="s">
        <v>5258</v>
      </c>
      <c r="H619" s="1178" t="s">
        <v>20224</v>
      </c>
      <c r="I619" s="1178" t="s">
        <v>3395</v>
      </c>
      <c r="J619" s="1178" t="s">
        <v>662</v>
      </c>
      <c r="K619" s="1178" t="s">
        <v>20344</v>
      </c>
      <c r="L619" s="1178" t="s">
        <v>159</v>
      </c>
      <c r="M619" s="1369" t="s">
        <v>23257</v>
      </c>
      <c r="N619" s="1178"/>
      <c r="O619" s="1178">
        <v>6</v>
      </c>
      <c r="P619" s="1178">
        <v>13.5</v>
      </c>
    </row>
    <row r="620" spans="1:16">
      <c r="A620" s="1178" t="s">
        <v>165</v>
      </c>
      <c r="B620" s="1371" t="str">
        <f>HYPERLINK(IFERROR("#Main_Tariff!A"&amp;MATCH(Raeburn_Main_Tariff[[#This Row],[Product Code]],Main_Tariff!I:I,0),"#Main_Tariff!A"&amp;MATCH("*"&amp;RIGHT(A620,8)&amp;"*",Main_Tariff!A:A,0)),Raeburn_Main_Tariff[[#This Row],[PRODUCER]])</f>
        <v>Lafite Rothschild</v>
      </c>
      <c r="C620" s="1178" t="s">
        <v>20580</v>
      </c>
      <c r="D620" s="1178" t="s">
        <v>897</v>
      </c>
      <c r="E620" s="1179">
        <v>2021</v>
      </c>
      <c r="F620" s="1282" t="s">
        <v>20220</v>
      </c>
      <c r="G620" s="1368" t="s">
        <v>5258</v>
      </c>
      <c r="H620" s="1178" t="s">
        <v>20221</v>
      </c>
      <c r="I620" s="1178" t="s">
        <v>3396</v>
      </c>
      <c r="J620" s="1178" t="s">
        <v>662</v>
      </c>
      <c r="K620" s="1178" t="s">
        <v>20344</v>
      </c>
      <c r="L620" s="1178" t="s">
        <v>159</v>
      </c>
      <c r="M620" s="1369" t="s">
        <v>23257</v>
      </c>
      <c r="N620" s="1178"/>
      <c r="O620" s="1178">
        <v>6</v>
      </c>
      <c r="P620" s="1178">
        <v>12.5</v>
      </c>
    </row>
    <row r="621" spans="1:16">
      <c r="A621" s="1178" t="s">
        <v>165</v>
      </c>
      <c r="B621" s="1371" t="str">
        <f>HYPERLINK(IFERROR("#Main_Tariff!A"&amp;MATCH(Raeburn_Main_Tariff[[#This Row],[Product Code]],Main_Tariff!I:I,0),"#Main_Tariff!A"&amp;MATCH("*"&amp;RIGHT(A621,8)&amp;"*",Main_Tariff!A:A,0)),Raeburn_Main_Tariff[[#This Row],[PRODUCER]])</f>
        <v>Lafite Rothschild</v>
      </c>
      <c r="C621" s="1178" t="s">
        <v>20580</v>
      </c>
      <c r="D621" s="1178" t="s">
        <v>897</v>
      </c>
      <c r="E621" s="1179">
        <v>2020</v>
      </c>
      <c r="F621" s="1282" t="s">
        <v>20220</v>
      </c>
      <c r="G621" s="1368" t="s">
        <v>5258</v>
      </c>
      <c r="H621" s="1178" t="s">
        <v>20221</v>
      </c>
      <c r="I621" s="1178" t="s">
        <v>3398</v>
      </c>
      <c r="J621" s="1178" t="s">
        <v>662</v>
      </c>
      <c r="K621" s="1178" t="s">
        <v>20344</v>
      </c>
      <c r="L621" s="1178" t="s">
        <v>159</v>
      </c>
      <c r="M621" s="1369" t="s">
        <v>23257</v>
      </c>
      <c r="N621" s="1178"/>
      <c r="O621" s="1178">
        <v>6</v>
      </c>
      <c r="P621" s="1178">
        <v>12.5</v>
      </c>
    </row>
    <row r="622" spans="1:16">
      <c r="A622" s="1178" t="s">
        <v>165</v>
      </c>
      <c r="B622" s="1371" t="str">
        <f>HYPERLINK(IFERROR("#Main_Tariff!A"&amp;MATCH(Raeburn_Main_Tariff[[#This Row],[Product Code]],Main_Tariff!I:I,0),"#Main_Tariff!A"&amp;MATCH("*"&amp;RIGHT(A622,8)&amp;"*",Main_Tariff!A:A,0)),Raeburn_Main_Tariff[[#This Row],[PRODUCER]])</f>
        <v>Lafite Rothschild</v>
      </c>
      <c r="C622" s="1178" t="s">
        <v>20580</v>
      </c>
      <c r="D622" s="1178" t="s">
        <v>897</v>
      </c>
      <c r="E622" s="1179">
        <v>2017</v>
      </c>
      <c r="F622" s="1282" t="s">
        <v>20220</v>
      </c>
      <c r="G622" s="1368">
        <v>525.5</v>
      </c>
      <c r="H622" s="1178" t="s">
        <v>20224</v>
      </c>
      <c r="I622" s="1178" t="s">
        <v>3400</v>
      </c>
      <c r="J622" s="1178" t="s">
        <v>662</v>
      </c>
      <c r="K622" s="1178" t="s">
        <v>20344</v>
      </c>
      <c r="L622" s="1178" t="s">
        <v>159</v>
      </c>
      <c r="M622" s="1369" t="s">
        <v>23257</v>
      </c>
      <c r="N622" s="1178"/>
      <c r="O622" s="1178">
        <v>6</v>
      </c>
      <c r="P622" s="1178">
        <v>13</v>
      </c>
    </row>
    <row r="623" spans="1:16">
      <c r="A623" s="1178" t="s">
        <v>166</v>
      </c>
      <c r="B623" s="1371" t="str">
        <f>HYPERLINK(IFERROR("#Main_Tariff!A"&amp;MATCH(Raeburn_Main_Tariff[[#This Row],[Product Code]],Main_Tariff!I:I,0),"#Main_Tariff!A"&amp;MATCH("*"&amp;RIGHT(A623,8)&amp;"*",Main_Tariff!A:A,0)),Raeburn_Main_Tariff[[#This Row],[PRODUCER]])</f>
        <v>Lynch-Bages</v>
      </c>
      <c r="C623" s="1178" t="s">
        <v>20581</v>
      </c>
      <c r="D623" s="1178" t="s">
        <v>1129</v>
      </c>
      <c r="E623" s="1179">
        <v>2021</v>
      </c>
      <c r="F623" s="1282" t="s">
        <v>20220</v>
      </c>
      <c r="G623" s="1368">
        <v>49</v>
      </c>
      <c r="H623" s="1178" t="s">
        <v>20224</v>
      </c>
      <c r="I623" s="1178" t="s">
        <v>3407</v>
      </c>
      <c r="J623" s="1178" t="s">
        <v>662</v>
      </c>
      <c r="K623" s="1178" t="s">
        <v>20344</v>
      </c>
      <c r="L623" s="1178" t="s">
        <v>159</v>
      </c>
      <c r="M623" s="1369"/>
      <c r="N623" s="1178"/>
      <c r="O623" s="1178">
        <v>6</v>
      </c>
      <c r="P623" s="1178">
        <v>13</v>
      </c>
    </row>
    <row r="624" spans="1:16">
      <c r="A624" s="1178" t="s">
        <v>166</v>
      </c>
      <c r="B624" s="1371" t="str">
        <f>HYPERLINK(IFERROR("#Main_Tariff!A"&amp;MATCH(Raeburn_Main_Tariff[[#This Row],[Product Code]],Main_Tariff!I:I,0),"#Main_Tariff!A"&amp;MATCH("*"&amp;RIGHT(A624,8)&amp;"*",Main_Tariff!A:A,0)),Raeburn_Main_Tariff[[#This Row],[PRODUCER]])</f>
        <v>Lynch-Bages</v>
      </c>
      <c r="C624" s="1178" t="s">
        <v>20582</v>
      </c>
      <c r="D624" s="1178" t="s">
        <v>897</v>
      </c>
      <c r="E624" s="1179">
        <v>2022</v>
      </c>
      <c r="F624" s="1282" t="s">
        <v>20220</v>
      </c>
      <c r="G624" s="1368" t="s">
        <v>5258</v>
      </c>
      <c r="H624" s="1178" t="s">
        <v>20224</v>
      </c>
      <c r="I624" s="1178" t="s">
        <v>23370</v>
      </c>
      <c r="J624" s="1178" t="s">
        <v>662</v>
      </c>
      <c r="K624" s="1178" t="s">
        <v>20344</v>
      </c>
      <c r="L624" s="1178" t="s">
        <v>159</v>
      </c>
      <c r="M624" s="1369" t="s">
        <v>23261</v>
      </c>
      <c r="N624" s="1178"/>
      <c r="O624" s="1178">
        <v>6</v>
      </c>
      <c r="P624" s="1178">
        <v>14.5</v>
      </c>
    </row>
    <row r="625" spans="1:16">
      <c r="A625" s="1178" t="s">
        <v>166</v>
      </c>
      <c r="B625" s="1371" t="str">
        <f>HYPERLINK(IFERROR("#Main_Tariff!A"&amp;MATCH(Raeburn_Main_Tariff[[#This Row],[Product Code]],Main_Tariff!I:I,0),"#Main_Tariff!A"&amp;MATCH("*"&amp;RIGHT(A625,8)&amp;"*",Main_Tariff!A:A,0)),Raeburn_Main_Tariff[[#This Row],[PRODUCER]])</f>
        <v>Lynch-Bages</v>
      </c>
      <c r="C625" s="1178" t="s">
        <v>20582</v>
      </c>
      <c r="D625" s="1178" t="s">
        <v>897</v>
      </c>
      <c r="E625" s="1179">
        <v>2021</v>
      </c>
      <c r="F625" s="1282" t="s">
        <v>20220</v>
      </c>
      <c r="G625" s="1368">
        <v>116.5</v>
      </c>
      <c r="H625" s="1178" t="s">
        <v>20221</v>
      </c>
      <c r="I625" s="1178" t="s">
        <v>3409</v>
      </c>
      <c r="J625" s="1178" t="s">
        <v>662</v>
      </c>
      <c r="K625" s="1178" t="s">
        <v>20344</v>
      </c>
      <c r="L625" s="1178" t="s">
        <v>159</v>
      </c>
      <c r="M625" s="1369" t="s">
        <v>23261</v>
      </c>
      <c r="N625" s="1178"/>
      <c r="O625" s="1178">
        <v>6</v>
      </c>
      <c r="P625" s="1178">
        <v>13</v>
      </c>
    </row>
    <row r="626" spans="1:16">
      <c r="A626" s="1178" t="s">
        <v>166</v>
      </c>
      <c r="B626" s="1371" t="str">
        <f>HYPERLINK(IFERROR("#Main_Tariff!A"&amp;MATCH(Raeburn_Main_Tariff[[#This Row],[Product Code]],Main_Tariff!I:I,0),"#Main_Tariff!A"&amp;MATCH("*"&amp;RIGHT(A626,8)&amp;"*",Main_Tariff!A:A,0)),Raeburn_Main_Tariff[[#This Row],[PRODUCER]])</f>
        <v>Lynch-Bages</v>
      </c>
      <c r="C626" s="1178" t="s">
        <v>20582</v>
      </c>
      <c r="D626" s="1178" t="s">
        <v>897</v>
      </c>
      <c r="E626" s="1179">
        <v>2020</v>
      </c>
      <c r="F626" s="1282" t="s">
        <v>20220</v>
      </c>
      <c r="G626" s="1368">
        <v>116.5</v>
      </c>
      <c r="H626" s="1178" t="s">
        <v>20221</v>
      </c>
      <c r="I626" s="1178" t="s">
        <v>3411</v>
      </c>
      <c r="J626" s="1178" t="s">
        <v>662</v>
      </c>
      <c r="K626" s="1178" t="s">
        <v>20344</v>
      </c>
      <c r="L626" s="1178" t="s">
        <v>159</v>
      </c>
      <c r="M626" s="1369" t="s">
        <v>23261</v>
      </c>
      <c r="N626" s="1178"/>
      <c r="O626" s="1178">
        <v>6</v>
      </c>
      <c r="P626" s="1178">
        <v>13</v>
      </c>
    </row>
    <row r="627" spans="1:16">
      <c r="A627" s="1178" t="s">
        <v>20583</v>
      </c>
      <c r="B627" s="1371" t="str">
        <f>HYPERLINK(IFERROR("#Main_Tariff!A"&amp;MATCH(Raeburn_Main_Tariff[[#This Row],[Product Code]],Main_Tariff!I:I,0),"#Main_Tariff!A"&amp;MATCH("*"&amp;RIGHT(A627,8)&amp;"*",Main_Tariff!A:A,0)),Raeburn_Main_Tariff[[#This Row],[PRODUCER]])</f>
        <v>Mouton-Rothschild</v>
      </c>
      <c r="C627" s="1178" t="s">
        <v>20584</v>
      </c>
      <c r="D627" s="1178" t="s">
        <v>897</v>
      </c>
      <c r="E627" s="1179">
        <v>2023</v>
      </c>
      <c r="F627" s="1282" t="s">
        <v>20220</v>
      </c>
      <c r="G627" s="1368" t="s">
        <v>20342</v>
      </c>
      <c r="H627" s="1178" t="s">
        <v>20343</v>
      </c>
      <c r="I627" s="1178" t="s">
        <v>3418</v>
      </c>
      <c r="J627" s="1178" t="s">
        <v>662</v>
      </c>
      <c r="K627" s="1178" t="s">
        <v>20344</v>
      </c>
      <c r="L627" s="1178" t="s">
        <v>159</v>
      </c>
      <c r="M627" s="1369"/>
      <c r="N627" s="1178"/>
      <c r="O627" s="1178">
        <v>6</v>
      </c>
      <c r="P627" s="1178">
        <v>0</v>
      </c>
    </row>
    <row r="628" spans="1:16">
      <c r="A628" s="1178" t="s">
        <v>20583</v>
      </c>
      <c r="B628" s="1371" t="str">
        <f>HYPERLINK(IFERROR("#Main_Tariff!A"&amp;MATCH(Raeburn_Main_Tariff[[#This Row],[Product Code]],Main_Tariff!I:I,0),"#Main_Tariff!A"&amp;MATCH("*"&amp;RIGHT(A628,8)&amp;"*",Main_Tariff!A:A,0)),Raeburn_Main_Tariff[[#This Row],[PRODUCER]])</f>
        <v>Mouton-Rothschild</v>
      </c>
      <c r="C628" s="1178" t="s">
        <v>20584</v>
      </c>
      <c r="D628" s="1178" t="s">
        <v>897</v>
      </c>
      <c r="E628" s="1179">
        <v>2022</v>
      </c>
      <c r="F628" s="1282" t="s">
        <v>20220</v>
      </c>
      <c r="G628" s="1368" t="s">
        <v>5258</v>
      </c>
      <c r="H628" s="1178" t="s">
        <v>20224</v>
      </c>
      <c r="I628" s="1178" t="s">
        <v>3419</v>
      </c>
      <c r="J628" s="1178" t="s">
        <v>662</v>
      </c>
      <c r="K628" s="1178" t="s">
        <v>20344</v>
      </c>
      <c r="L628" s="1178" t="s">
        <v>159</v>
      </c>
      <c r="M628" s="1369"/>
      <c r="N628" s="1178"/>
      <c r="O628" s="1178">
        <v>6</v>
      </c>
      <c r="P628" s="1178">
        <v>14</v>
      </c>
    </row>
    <row r="629" spans="1:16">
      <c r="A629" s="1178" t="s">
        <v>20583</v>
      </c>
      <c r="B629" s="1371" t="str">
        <f>HYPERLINK(IFERROR("#Main_Tariff!A"&amp;MATCH(Raeburn_Main_Tariff[[#This Row],[Product Code]],Main_Tariff!I:I,0),"#Main_Tariff!A"&amp;MATCH("*"&amp;RIGHT(A629,8)&amp;"*",Main_Tariff!A:A,0)),Raeburn_Main_Tariff[[#This Row],[PRODUCER]])</f>
        <v>Mouton-Rothschild</v>
      </c>
      <c r="C629" s="1178" t="s">
        <v>20584</v>
      </c>
      <c r="D629" s="1178" t="s">
        <v>897</v>
      </c>
      <c r="E629" s="1179">
        <v>2021</v>
      </c>
      <c r="F629" s="1282" t="s">
        <v>20220</v>
      </c>
      <c r="G629" s="1368">
        <v>211</v>
      </c>
      <c r="H629" s="1178" t="s">
        <v>20224</v>
      </c>
      <c r="I629" s="1178" t="s">
        <v>3421</v>
      </c>
      <c r="J629" s="1178" t="s">
        <v>662</v>
      </c>
      <c r="K629" s="1178" t="s">
        <v>20344</v>
      </c>
      <c r="L629" s="1178" t="s">
        <v>159</v>
      </c>
      <c r="M629" s="1369"/>
      <c r="N629" s="1178"/>
      <c r="O629" s="1178">
        <v>6</v>
      </c>
      <c r="P629" s="1178">
        <v>13</v>
      </c>
    </row>
    <row r="630" spans="1:16">
      <c r="A630" s="1178" t="s">
        <v>20583</v>
      </c>
      <c r="B630" s="1371" t="str">
        <f>HYPERLINK(IFERROR("#Main_Tariff!A"&amp;MATCH(Raeburn_Main_Tariff[[#This Row],[Product Code]],Main_Tariff!I:I,0),"#Main_Tariff!A"&amp;MATCH("*"&amp;RIGHT(A630,8)&amp;"*",Main_Tariff!A:A,0)),Raeburn_Main_Tariff[[#This Row],[PRODUCER]])</f>
        <v>Mouton-Rothschild</v>
      </c>
      <c r="C630" s="1178" t="s">
        <v>20584</v>
      </c>
      <c r="D630" s="1178" t="s">
        <v>897</v>
      </c>
      <c r="E630" s="1179">
        <v>2020</v>
      </c>
      <c r="F630" s="1282" t="s">
        <v>20220</v>
      </c>
      <c r="G630" s="1368">
        <v>211.5</v>
      </c>
      <c r="H630" s="1178" t="s">
        <v>20224</v>
      </c>
      <c r="I630" s="1178" t="s">
        <v>3422</v>
      </c>
      <c r="J630" s="1178" t="s">
        <v>662</v>
      </c>
      <c r="K630" s="1178" t="s">
        <v>20344</v>
      </c>
      <c r="L630" s="1178" t="s">
        <v>159</v>
      </c>
      <c r="M630" s="1369"/>
      <c r="N630" s="1178"/>
      <c r="O630" s="1178">
        <v>3</v>
      </c>
      <c r="P630" s="1178">
        <v>13</v>
      </c>
    </row>
    <row r="631" spans="1:16">
      <c r="A631" s="1178" t="s">
        <v>20583</v>
      </c>
      <c r="B631" s="1371" t="str">
        <f>HYPERLINK(IFERROR("#Main_Tariff!A"&amp;MATCH(Raeburn_Main_Tariff[[#This Row],[Product Code]],Main_Tariff!I:I,0),"#Main_Tariff!A"&amp;MATCH("*"&amp;RIGHT(A631,8)&amp;"*",Main_Tariff!A:A,0)),Raeburn_Main_Tariff[[#This Row],[PRODUCER]])</f>
        <v>Mouton-Rothschild</v>
      </c>
      <c r="C631" s="1178" t="s">
        <v>20585</v>
      </c>
      <c r="D631" s="1178" t="s">
        <v>897</v>
      </c>
      <c r="E631" s="1179">
        <v>2023</v>
      </c>
      <c r="F631" s="1282" t="s">
        <v>20220</v>
      </c>
      <c r="G631" s="1368" t="s">
        <v>20342</v>
      </c>
      <c r="H631" s="1178" t="s">
        <v>20343</v>
      </c>
      <c r="I631" s="1178" t="s">
        <v>3425</v>
      </c>
      <c r="J631" s="1178" t="s">
        <v>662</v>
      </c>
      <c r="K631" s="1178" t="s">
        <v>20344</v>
      </c>
      <c r="L631" s="1178" t="s">
        <v>159</v>
      </c>
      <c r="M631" s="1369" t="s">
        <v>23257</v>
      </c>
      <c r="N631" s="1178"/>
      <c r="O631" s="1178">
        <v>6</v>
      </c>
      <c r="P631" s="1178">
        <v>14</v>
      </c>
    </row>
    <row r="632" spans="1:16">
      <c r="A632" s="1178" t="s">
        <v>20583</v>
      </c>
      <c r="B632" s="1371" t="str">
        <f>HYPERLINK(IFERROR("#Main_Tariff!A"&amp;MATCH(Raeburn_Main_Tariff[[#This Row],[Product Code]],Main_Tariff!I:I,0),"#Main_Tariff!A"&amp;MATCH("*"&amp;RIGHT(A632,8)&amp;"*",Main_Tariff!A:A,0)),Raeburn_Main_Tariff[[#This Row],[PRODUCER]])</f>
        <v>Mouton-Rothschild</v>
      </c>
      <c r="C632" s="1178" t="s">
        <v>20585</v>
      </c>
      <c r="D632" s="1178" t="s">
        <v>897</v>
      </c>
      <c r="E632" s="1179">
        <v>2022</v>
      </c>
      <c r="F632" s="1282" t="s">
        <v>20220</v>
      </c>
      <c r="G632" s="1368" t="s">
        <v>5258</v>
      </c>
      <c r="H632" s="1178" t="s">
        <v>20224</v>
      </c>
      <c r="I632" s="1178" t="s">
        <v>3427</v>
      </c>
      <c r="J632" s="1178" t="s">
        <v>662</v>
      </c>
      <c r="K632" s="1178" t="s">
        <v>20344</v>
      </c>
      <c r="L632" s="1178" t="s">
        <v>159</v>
      </c>
      <c r="M632" s="1369" t="s">
        <v>23257</v>
      </c>
      <c r="N632" s="1178"/>
      <c r="O632" s="1178">
        <v>6</v>
      </c>
      <c r="P632" s="1178">
        <v>14</v>
      </c>
    </row>
    <row r="633" spans="1:16">
      <c r="A633" s="1178" t="s">
        <v>20583</v>
      </c>
      <c r="B633" s="1371" t="str">
        <f>HYPERLINK(IFERROR("#Main_Tariff!A"&amp;MATCH(Raeburn_Main_Tariff[[#This Row],[Product Code]],Main_Tariff!I:I,0),"#Main_Tariff!A"&amp;MATCH("*"&amp;RIGHT(A633,8)&amp;"*",Main_Tariff!A:A,0)),Raeburn_Main_Tariff[[#This Row],[PRODUCER]])</f>
        <v>Mouton-Rothschild</v>
      </c>
      <c r="C633" s="1178" t="s">
        <v>20585</v>
      </c>
      <c r="D633" s="1178" t="s">
        <v>897</v>
      </c>
      <c r="E633" s="1179">
        <v>2021</v>
      </c>
      <c r="F633" s="1282" t="s">
        <v>20220</v>
      </c>
      <c r="G633" s="1368" t="s">
        <v>5258</v>
      </c>
      <c r="H633" s="1178" t="s">
        <v>20221</v>
      </c>
      <c r="I633" s="1178" t="s">
        <v>3429</v>
      </c>
      <c r="J633" s="1178" t="s">
        <v>662</v>
      </c>
      <c r="K633" s="1178" t="s">
        <v>20344</v>
      </c>
      <c r="L633" s="1178" t="s">
        <v>159</v>
      </c>
      <c r="M633" s="1369" t="s">
        <v>23257</v>
      </c>
      <c r="N633" s="1178"/>
      <c r="O633" s="1178">
        <v>6</v>
      </c>
      <c r="P633" s="1178">
        <v>13</v>
      </c>
    </row>
    <row r="634" spans="1:16">
      <c r="A634" s="1178" t="s">
        <v>20583</v>
      </c>
      <c r="B634" s="1371" t="str">
        <f>HYPERLINK(IFERROR("#Main_Tariff!A"&amp;MATCH(Raeburn_Main_Tariff[[#This Row],[Product Code]],Main_Tariff!I:I,0),"#Main_Tariff!A"&amp;MATCH("*"&amp;RIGHT(A634,8)&amp;"*",Main_Tariff!A:A,0)),Raeburn_Main_Tariff[[#This Row],[PRODUCER]])</f>
        <v>Mouton-Rothschild</v>
      </c>
      <c r="C634" s="1178" t="s">
        <v>20585</v>
      </c>
      <c r="D634" s="1178" t="s">
        <v>897</v>
      </c>
      <c r="E634" s="1179">
        <v>2020</v>
      </c>
      <c r="F634" s="1282" t="s">
        <v>20220</v>
      </c>
      <c r="G634" s="1368" t="s">
        <v>5258</v>
      </c>
      <c r="H634" s="1178" t="s">
        <v>20221</v>
      </c>
      <c r="I634" s="1178" t="s">
        <v>3431</v>
      </c>
      <c r="J634" s="1178" t="s">
        <v>662</v>
      </c>
      <c r="K634" s="1178" t="s">
        <v>20344</v>
      </c>
      <c r="L634" s="1178" t="s">
        <v>159</v>
      </c>
      <c r="M634" s="1369" t="s">
        <v>23257</v>
      </c>
      <c r="N634" s="1178"/>
      <c r="O634" s="1178">
        <v>6</v>
      </c>
      <c r="P634" s="1178">
        <v>13</v>
      </c>
    </row>
    <row r="635" spans="1:16">
      <c r="A635" s="1178" t="s">
        <v>20586</v>
      </c>
      <c r="B635" s="1371" t="str">
        <f>HYPERLINK(IFERROR("#Main_Tariff!A"&amp;MATCH(Raeburn_Main_Tariff[[#This Row],[Product Code]],Main_Tariff!I:I,0),"#Main_Tariff!A"&amp;MATCH("*"&amp;RIGHT(A635,8)&amp;"*",Main_Tariff!A:A,0)),Raeburn_Main_Tariff[[#This Row],[PRODUCER]])</f>
        <v>Pichon-Lalande</v>
      </c>
      <c r="C635" s="1178" t="s">
        <v>20587</v>
      </c>
      <c r="D635" s="1178" t="s">
        <v>897</v>
      </c>
      <c r="E635" s="1179">
        <v>2022</v>
      </c>
      <c r="F635" s="1282" t="s">
        <v>20220</v>
      </c>
      <c r="G635" s="1368" t="s">
        <v>5258</v>
      </c>
      <c r="H635" s="1178" t="s">
        <v>20221</v>
      </c>
      <c r="I635" s="1178" t="s">
        <v>3436</v>
      </c>
      <c r="J635" s="1178" t="s">
        <v>662</v>
      </c>
      <c r="K635" s="1178" t="s">
        <v>20344</v>
      </c>
      <c r="L635" s="1178" t="s">
        <v>159</v>
      </c>
      <c r="M635" s="1369"/>
      <c r="N635" s="1178"/>
      <c r="O635" s="1178">
        <v>6</v>
      </c>
      <c r="P635" s="1178">
        <v>13.5</v>
      </c>
    </row>
    <row r="636" spans="1:16">
      <c r="A636" s="1178" t="s">
        <v>20586</v>
      </c>
      <c r="B636" s="1371" t="str">
        <f>HYPERLINK(IFERROR("#Main_Tariff!A"&amp;MATCH(Raeburn_Main_Tariff[[#This Row],[Product Code]],Main_Tariff!I:I,0),"#Main_Tariff!A"&amp;MATCH("*"&amp;RIGHT(A636,8)&amp;"*",Main_Tariff!A:A,0)),Raeburn_Main_Tariff[[#This Row],[PRODUCER]])</f>
        <v>Pichon-Lalande</v>
      </c>
      <c r="C636" s="1178" t="s">
        <v>20587</v>
      </c>
      <c r="D636" s="1178" t="s">
        <v>897</v>
      </c>
      <c r="E636" s="1179">
        <v>2021</v>
      </c>
      <c r="F636" s="1282" t="s">
        <v>20220</v>
      </c>
      <c r="G636" s="1368">
        <v>47.25</v>
      </c>
      <c r="H636" s="1178" t="s">
        <v>20224</v>
      </c>
      <c r="I636" s="1178" t="s">
        <v>3438</v>
      </c>
      <c r="J636" s="1178" t="s">
        <v>662</v>
      </c>
      <c r="K636" s="1178" t="s">
        <v>20344</v>
      </c>
      <c r="L636" s="1178" t="s">
        <v>159</v>
      </c>
      <c r="M636" s="1369"/>
      <c r="N636" s="1178"/>
      <c r="O636" s="1178">
        <v>3</v>
      </c>
      <c r="P636" s="1178">
        <v>13</v>
      </c>
    </row>
    <row r="637" spans="1:16">
      <c r="A637" s="1178" t="s">
        <v>20586</v>
      </c>
      <c r="B637" s="1371" t="str">
        <f>HYPERLINK(IFERROR("#Main_Tariff!A"&amp;MATCH(Raeburn_Main_Tariff[[#This Row],[Product Code]],Main_Tariff!I:I,0),"#Main_Tariff!A"&amp;MATCH("*"&amp;RIGHT(A637,8)&amp;"*",Main_Tariff!A:A,0)),Raeburn_Main_Tariff[[#This Row],[PRODUCER]])</f>
        <v>Pichon-Lalande</v>
      </c>
      <c r="C637" s="1178" t="s">
        <v>20587</v>
      </c>
      <c r="D637" s="1178" t="s">
        <v>897</v>
      </c>
      <c r="E637" s="1179">
        <v>2020</v>
      </c>
      <c r="F637" s="1282" t="s">
        <v>20220</v>
      </c>
      <c r="G637" s="1368">
        <v>46.75</v>
      </c>
      <c r="H637" s="1178" t="s">
        <v>20224</v>
      </c>
      <c r="I637" s="1178" t="s">
        <v>3440</v>
      </c>
      <c r="J637" s="1178" t="s">
        <v>662</v>
      </c>
      <c r="K637" s="1178" t="s">
        <v>20344</v>
      </c>
      <c r="L637" s="1178" t="s">
        <v>159</v>
      </c>
      <c r="M637" s="1369"/>
      <c r="N637" s="1178"/>
      <c r="O637" s="1178">
        <v>6</v>
      </c>
      <c r="P637" s="1178">
        <v>13</v>
      </c>
    </row>
    <row r="638" spans="1:16">
      <c r="A638" s="1178" t="s">
        <v>20586</v>
      </c>
      <c r="B638" s="1371" t="str">
        <f>HYPERLINK(IFERROR("#Main_Tariff!A"&amp;MATCH(Raeburn_Main_Tariff[[#This Row],[Product Code]],Main_Tariff!I:I,0),"#Main_Tariff!A"&amp;MATCH("*"&amp;RIGHT(A638,8)&amp;"*",Main_Tariff!A:A,0)),Raeburn_Main_Tariff[[#This Row],[PRODUCER]])</f>
        <v>Pichon-Lalande</v>
      </c>
      <c r="C638" s="1178" t="s">
        <v>20587</v>
      </c>
      <c r="D638" s="1178" t="s">
        <v>897</v>
      </c>
      <c r="E638" s="1179">
        <v>2019</v>
      </c>
      <c r="F638" s="1282" t="s">
        <v>20220</v>
      </c>
      <c r="G638" s="1368">
        <v>37.5</v>
      </c>
      <c r="H638" s="1178" t="s">
        <v>20221</v>
      </c>
      <c r="I638" s="1178" t="s">
        <v>3442</v>
      </c>
      <c r="J638" s="1178" t="s">
        <v>662</v>
      </c>
      <c r="K638" s="1178" t="s">
        <v>20344</v>
      </c>
      <c r="L638" s="1178" t="s">
        <v>159</v>
      </c>
      <c r="M638" s="1369"/>
      <c r="N638" s="1178"/>
      <c r="O638" s="1178">
        <v>6</v>
      </c>
      <c r="P638" s="1178">
        <v>13</v>
      </c>
    </row>
    <row r="639" spans="1:16">
      <c r="A639" s="1178" t="s">
        <v>20586</v>
      </c>
      <c r="B639" s="1371" t="str">
        <f>HYPERLINK(IFERROR("#Main_Tariff!A"&amp;MATCH(Raeburn_Main_Tariff[[#This Row],[Product Code]],Main_Tariff!I:I,0),"#Main_Tariff!A"&amp;MATCH("*"&amp;RIGHT(A639,8)&amp;"*",Main_Tariff!A:A,0)),Raeburn_Main_Tariff[[#This Row],[PRODUCER]])</f>
        <v>Pichon-Lalande</v>
      </c>
      <c r="C639" s="1178" t="s">
        <v>20588</v>
      </c>
      <c r="D639" s="1178" t="s">
        <v>897</v>
      </c>
      <c r="E639" s="1179">
        <v>2023</v>
      </c>
      <c r="F639" s="1282" t="s">
        <v>20220</v>
      </c>
      <c r="G639" s="1368" t="s">
        <v>20342</v>
      </c>
      <c r="H639" s="1178" t="s">
        <v>20343</v>
      </c>
      <c r="I639" s="1178" t="s">
        <v>3445</v>
      </c>
      <c r="J639" s="1178" t="s">
        <v>662</v>
      </c>
      <c r="K639" s="1178" t="s">
        <v>20344</v>
      </c>
      <c r="L639" s="1178" t="s">
        <v>159</v>
      </c>
      <c r="M639" s="1369" t="s">
        <v>23263</v>
      </c>
      <c r="N639" s="1178"/>
      <c r="O639" s="1178">
        <v>6</v>
      </c>
      <c r="P639" s="1178">
        <v>13</v>
      </c>
    </row>
    <row r="640" spans="1:16">
      <c r="A640" s="1178" t="s">
        <v>20586</v>
      </c>
      <c r="B640" s="1371" t="str">
        <f>HYPERLINK(IFERROR("#Main_Tariff!A"&amp;MATCH(Raeburn_Main_Tariff[[#This Row],[Product Code]],Main_Tariff!I:I,0),"#Main_Tariff!A"&amp;MATCH("*"&amp;RIGHT(A640,8)&amp;"*",Main_Tariff!A:A,0)),Raeburn_Main_Tariff[[#This Row],[PRODUCER]])</f>
        <v>Pichon-Lalande</v>
      </c>
      <c r="C640" s="1178" t="s">
        <v>20588</v>
      </c>
      <c r="D640" s="1178" t="s">
        <v>897</v>
      </c>
      <c r="E640" s="1179">
        <v>2022</v>
      </c>
      <c r="F640" s="1282" t="s">
        <v>20220</v>
      </c>
      <c r="G640" s="1368" t="s">
        <v>5258</v>
      </c>
      <c r="H640" s="1178" t="s">
        <v>20224</v>
      </c>
      <c r="I640" s="1178" t="s">
        <v>3447</v>
      </c>
      <c r="J640" s="1178" t="s">
        <v>662</v>
      </c>
      <c r="K640" s="1178" t="s">
        <v>20344</v>
      </c>
      <c r="L640" s="1178" t="s">
        <v>159</v>
      </c>
      <c r="M640" s="1369" t="s">
        <v>23263</v>
      </c>
      <c r="N640" s="1178"/>
      <c r="O640" s="1178">
        <v>6</v>
      </c>
      <c r="P640" s="1178">
        <v>13</v>
      </c>
    </row>
    <row r="641" spans="1:16">
      <c r="A641" s="1178" t="s">
        <v>20586</v>
      </c>
      <c r="B641" s="1371" t="str">
        <f>HYPERLINK(IFERROR("#Main_Tariff!A"&amp;MATCH(Raeburn_Main_Tariff[[#This Row],[Product Code]],Main_Tariff!I:I,0),"#Main_Tariff!A"&amp;MATCH("*"&amp;RIGHT(A641,8)&amp;"*",Main_Tariff!A:A,0)),Raeburn_Main_Tariff[[#This Row],[PRODUCER]])</f>
        <v>Pichon-Lalande</v>
      </c>
      <c r="C641" s="1178" t="s">
        <v>20588</v>
      </c>
      <c r="D641" s="1178" t="s">
        <v>897</v>
      </c>
      <c r="E641" s="1179">
        <v>2021</v>
      </c>
      <c r="F641" s="1282" t="s">
        <v>20220</v>
      </c>
      <c r="G641" s="1368">
        <v>167.5</v>
      </c>
      <c r="H641" s="1178" t="s">
        <v>20224</v>
      </c>
      <c r="I641" s="1178" t="s">
        <v>3448</v>
      </c>
      <c r="J641" s="1178" t="s">
        <v>662</v>
      </c>
      <c r="K641" s="1178" t="s">
        <v>20344</v>
      </c>
      <c r="L641" s="1178" t="s">
        <v>159</v>
      </c>
      <c r="M641" s="1369" t="s">
        <v>23263</v>
      </c>
      <c r="N641" s="1178"/>
      <c r="O641" s="1178">
        <v>6</v>
      </c>
      <c r="P641" s="1178">
        <v>13</v>
      </c>
    </row>
    <row r="642" spans="1:16">
      <c r="A642" s="1178" t="s">
        <v>20586</v>
      </c>
      <c r="B642" s="1371" t="str">
        <f>HYPERLINK(IFERROR("#Main_Tariff!A"&amp;MATCH(Raeburn_Main_Tariff[[#This Row],[Product Code]],Main_Tariff!I:I,0),"#Main_Tariff!A"&amp;MATCH("*"&amp;RIGHT(A642,8)&amp;"*",Main_Tariff!A:A,0)),Raeburn_Main_Tariff[[#This Row],[PRODUCER]])</f>
        <v>Pichon-Lalande</v>
      </c>
      <c r="C642" s="1178" t="s">
        <v>20588</v>
      </c>
      <c r="D642" s="1178" t="s">
        <v>897</v>
      </c>
      <c r="E642" s="1179">
        <v>2020</v>
      </c>
      <c r="F642" s="1282" t="s">
        <v>20220</v>
      </c>
      <c r="G642" s="1368">
        <v>168</v>
      </c>
      <c r="H642" s="1178" t="s">
        <v>20221</v>
      </c>
      <c r="I642" s="1178" t="s">
        <v>3449</v>
      </c>
      <c r="J642" s="1178" t="s">
        <v>662</v>
      </c>
      <c r="K642" s="1178" t="s">
        <v>20344</v>
      </c>
      <c r="L642" s="1178" t="s">
        <v>159</v>
      </c>
      <c r="M642" s="1369" t="s">
        <v>23263</v>
      </c>
      <c r="N642" s="1178"/>
      <c r="O642" s="1178">
        <v>6</v>
      </c>
      <c r="P642" s="1178">
        <v>13</v>
      </c>
    </row>
    <row r="643" spans="1:16">
      <c r="A643" s="1178" t="s">
        <v>20586</v>
      </c>
      <c r="B643" s="1371" t="str">
        <f>HYPERLINK(IFERROR("#Main_Tariff!A"&amp;MATCH(Raeburn_Main_Tariff[[#This Row],[Product Code]],Main_Tariff!I:I,0),"#Main_Tariff!A"&amp;MATCH("*"&amp;RIGHT(A643,8)&amp;"*",Main_Tariff!A:A,0)),Raeburn_Main_Tariff[[#This Row],[PRODUCER]])</f>
        <v>Pichon-Lalande</v>
      </c>
      <c r="C643" s="1178" t="s">
        <v>20588</v>
      </c>
      <c r="D643" s="1178" t="s">
        <v>897</v>
      </c>
      <c r="E643" s="1179">
        <v>2019</v>
      </c>
      <c r="F643" s="1282" t="s">
        <v>20220</v>
      </c>
      <c r="G643" s="1368">
        <v>134</v>
      </c>
      <c r="H643" s="1178" t="s">
        <v>20224</v>
      </c>
      <c r="I643" s="1178" t="s">
        <v>3451</v>
      </c>
      <c r="J643" s="1178" t="s">
        <v>662</v>
      </c>
      <c r="K643" s="1178" t="s">
        <v>20344</v>
      </c>
      <c r="L643" s="1178" t="s">
        <v>159</v>
      </c>
      <c r="M643" s="1369" t="s">
        <v>23263</v>
      </c>
      <c r="N643" s="1178"/>
      <c r="O643" s="1178">
        <v>6</v>
      </c>
      <c r="P643" s="1178">
        <v>13</v>
      </c>
    </row>
    <row r="644" spans="1:16">
      <c r="A644" s="1178" t="s">
        <v>20586</v>
      </c>
      <c r="B644" s="1371" t="str">
        <f>HYPERLINK(IFERROR("#Main_Tariff!A"&amp;MATCH(Raeburn_Main_Tariff[[#This Row],[Product Code]],Main_Tariff!I:I,0),"#Main_Tariff!A"&amp;MATCH("*"&amp;RIGHT(A644,8)&amp;"*",Main_Tariff!A:A,0)),Raeburn_Main_Tariff[[#This Row],[PRODUCER]])</f>
        <v>Pichon-Lalande</v>
      </c>
      <c r="C644" s="1178" t="s">
        <v>20588</v>
      </c>
      <c r="D644" s="1178" t="s">
        <v>897</v>
      </c>
      <c r="E644" s="1179">
        <v>2017</v>
      </c>
      <c r="F644" s="1282" t="s">
        <v>20220</v>
      </c>
      <c r="G644" s="1368">
        <v>118</v>
      </c>
      <c r="H644" s="1178" t="s">
        <v>20224</v>
      </c>
      <c r="I644" s="1178" t="s">
        <v>3453</v>
      </c>
      <c r="J644" s="1178" t="s">
        <v>662</v>
      </c>
      <c r="K644" s="1178" t="s">
        <v>20344</v>
      </c>
      <c r="L644" s="1178" t="s">
        <v>159</v>
      </c>
      <c r="M644" s="1369" t="s">
        <v>23263</v>
      </c>
      <c r="N644" s="1178"/>
      <c r="O644" s="1178">
        <v>6</v>
      </c>
      <c r="P644" s="1178">
        <v>13</v>
      </c>
    </row>
    <row r="645" spans="1:16">
      <c r="A645" s="1178" t="s">
        <v>20586</v>
      </c>
      <c r="B645" s="1371" t="str">
        <f>HYPERLINK(IFERROR("#Main_Tariff!A"&amp;MATCH(Raeburn_Main_Tariff[[#This Row],[Product Code]],Main_Tariff!I:I,0),"#Main_Tariff!A"&amp;MATCH("*"&amp;RIGHT(A645,8)&amp;"*",Main_Tariff!A:A,0)),Raeburn_Main_Tariff[[#This Row],[PRODUCER]])</f>
        <v>Pichon-Lalande</v>
      </c>
      <c r="C645" s="1178" t="s">
        <v>20588</v>
      </c>
      <c r="D645" s="1178" t="s">
        <v>897</v>
      </c>
      <c r="E645" s="1179">
        <v>2013</v>
      </c>
      <c r="F645" s="1282" t="s">
        <v>20220</v>
      </c>
      <c r="G645" s="1368" t="s">
        <v>5258</v>
      </c>
      <c r="H645" s="1178" t="s">
        <v>20221</v>
      </c>
      <c r="I645" s="1178" t="s">
        <v>3455</v>
      </c>
      <c r="J645" s="1178" t="s">
        <v>662</v>
      </c>
      <c r="K645" s="1178" t="s">
        <v>20344</v>
      </c>
      <c r="L645" s="1178" t="s">
        <v>159</v>
      </c>
      <c r="M645" s="1369" t="s">
        <v>23263</v>
      </c>
      <c r="N645" s="1178"/>
      <c r="O645" s="1178">
        <v>12</v>
      </c>
      <c r="P645" s="1178">
        <v>13</v>
      </c>
    </row>
    <row r="646" spans="1:16">
      <c r="A646" s="1178" t="s">
        <v>169</v>
      </c>
      <c r="B646" s="1371" t="str">
        <f>HYPERLINK(IFERROR("#Main_Tariff!A"&amp;MATCH(Raeburn_Main_Tariff[[#This Row],[Product Code]],Main_Tariff!I:I,0),"#Main_Tariff!A"&amp;MATCH("*"&amp;RIGHT(A646,8)&amp;"*",Main_Tariff!A:A,0)),Raeburn_Main_Tariff[[#This Row],[PRODUCER]])</f>
        <v>Pontet Canet</v>
      </c>
      <c r="C646" s="1178" t="s">
        <v>20589</v>
      </c>
      <c r="D646" s="1178" t="s">
        <v>897</v>
      </c>
      <c r="E646" s="1179">
        <v>2020</v>
      </c>
      <c r="F646" s="1282" t="s">
        <v>20220</v>
      </c>
      <c r="G646" s="1368">
        <v>97.5</v>
      </c>
      <c r="H646" s="1178" t="s">
        <v>20221</v>
      </c>
      <c r="I646" s="1178" t="s">
        <v>3457</v>
      </c>
      <c r="J646" s="1178" t="s">
        <v>662</v>
      </c>
      <c r="K646" s="1178" t="s">
        <v>20344</v>
      </c>
      <c r="L646" s="1178" t="s">
        <v>159</v>
      </c>
      <c r="M646" s="1369" t="s">
        <v>23261</v>
      </c>
      <c r="N646" s="1178" t="s">
        <v>20244</v>
      </c>
      <c r="O646" s="1178">
        <v>6</v>
      </c>
      <c r="P646" s="1178">
        <v>13</v>
      </c>
    </row>
    <row r="647" spans="1:16">
      <c r="A647" s="1178" t="s">
        <v>169</v>
      </c>
      <c r="B647" s="1371" t="str">
        <f>HYPERLINK(IFERROR("#Main_Tariff!A"&amp;MATCH(Raeburn_Main_Tariff[[#This Row],[Product Code]],Main_Tariff!I:I,0),"#Main_Tariff!A"&amp;MATCH("*"&amp;RIGHT(A647,8)&amp;"*",Main_Tariff!A:A,0)),Raeburn_Main_Tariff[[#This Row],[PRODUCER]])</f>
        <v>Pontet Canet</v>
      </c>
      <c r="C647" s="1178" t="s">
        <v>20589</v>
      </c>
      <c r="D647" s="1178" t="s">
        <v>897</v>
      </c>
      <c r="E647" s="1179">
        <v>2019</v>
      </c>
      <c r="F647" s="1282" t="s">
        <v>20220</v>
      </c>
      <c r="G647" s="1368" t="s">
        <v>5258</v>
      </c>
      <c r="H647" s="1178" t="s">
        <v>20224</v>
      </c>
      <c r="I647" s="1178" t="s">
        <v>3459</v>
      </c>
      <c r="J647" s="1178" t="s">
        <v>662</v>
      </c>
      <c r="K647" s="1178" t="s">
        <v>20344</v>
      </c>
      <c r="L647" s="1178" t="s">
        <v>159</v>
      </c>
      <c r="M647" s="1369" t="s">
        <v>23261</v>
      </c>
      <c r="N647" s="1178" t="s">
        <v>20244</v>
      </c>
      <c r="O647" s="1178">
        <v>6</v>
      </c>
      <c r="P647" s="1178">
        <v>13</v>
      </c>
    </row>
    <row r="648" spans="1:16">
      <c r="A648" s="1178" t="s">
        <v>171</v>
      </c>
      <c r="B648" s="1371" t="str">
        <f>HYPERLINK(IFERROR("#Main_Tariff!A"&amp;MATCH(Raeburn_Main_Tariff[[#This Row],[Product Code]],Main_Tariff!I:I,0),"#Main_Tariff!A"&amp;MATCH("*"&amp;RIGHT(A648,8)&amp;"*",Main_Tariff!A:A,0)),Raeburn_Main_Tariff[[#This Row],[PRODUCER]])</f>
        <v>Calon-Segur</v>
      </c>
      <c r="C648" s="1178" t="s">
        <v>20590</v>
      </c>
      <c r="D648" s="1178" t="s">
        <v>897</v>
      </c>
      <c r="E648" s="1179">
        <v>2021</v>
      </c>
      <c r="F648" s="1282" t="s">
        <v>20220</v>
      </c>
      <c r="G648" s="1368" t="s">
        <v>5258</v>
      </c>
      <c r="H648" s="1178" t="s">
        <v>20224</v>
      </c>
      <c r="I648" s="1178" t="s">
        <v>3480</v>
      </c>
      <c r="J648" s="1178" t="s">
        <v>662</v>
      </c>
      <c r="K648" s="1178" t="s">
        <v>20344</v>
      </c>
      <c r="L648" s="1178" t="s">
        <v>170</v>
      </c>
      <c r="M648" s="1369" t="s">
        <v>23262</v>
      </c>
      <c r="N648" s="1178"/>
      <c r="O648" s="1178">
        <v>6</v>
      </c>
      <c r="P648" s="1178">
        <v>13</v>
      </c>
    </row>
    <row r="649" spans="1:16">
      <c r="A649" s="1178" t="s">
        <v>171</v>
      </c>
      <c r="B649" s="1371" t="str">
        <f>HYPERLINK(IFERROR("#Main_Tariff!A"&amp;MATCH(Raeburn_Main_Tariff[[#This Row],[Product Code]],Main_Tariff!I:I,0),"#Main_Tariff!A"&amp;MATCH("*"&amp;RIGHT(A649,8)&amp;"*",Main_Tariff!A:A,0)),Raeburn_Main_Tariff[[#This Row],[PRODUCER]])</f>
        <v>Calon-Segur</v>
      </c>
      <c r="C649" s="1178" t="s">
        <v>20590</v>
      </c>
      <c r="D649" s="1178" t="s">
        <v>897</v>
      </c>
      <c r="E649" s="1179">
        <v>2020</v>
      </c>
      <c r="F649" s="1282" t="s">
        <v>20220</v>
      </c>
      <c r="G649" s="1368">
        <v>102</v>
      </c>
      <c r="H649" s="1178" t="s">
        <v>20224</v>
      </c>
      <c r="I649" s="1178" t="s">
        <v>3482</v>
      </c>
      <c r="J649" s="1178" t="s">
        <v>662</v>
      </c>
      <c r="K649" s="1178" t="s">
        <v>20344</v>
      </c>
      <c r="L649" s="1178" t="s">
        <v>170</v>
      </c>
      <c r="M649" s="1369" t="s">
        <v>23262</v>
      </c>
      <c r="N649" s="1178"/>
      <c r="O649" s="1178">
        <v>6</v>
      </c>
      <c r="P649" s="1178">
        <v>13</v>
      </c>
    </row>
    <row r="650" spans="1:16">
      <c r="A650" s="1178" t="s">
        <v>20591</v>
      </c>
      <c r="B650" s="1371" t="str">
        <f>HYPERLINK(IFERROR("#Main_Tariff!A"&amp;MATCH(Raeburn_Main_Tariff[[#This Row],[Product Code]],Main_Tariff!I:I,0),"#Main_Tariff!A"&amp;MATCH("*"&amp;RIGHT(A650,8)&amp;"*",Main_Tariff!A:A,0)),Raeburn_Main_Tariff[[#This Row],[PRODUCER]])</f>
        <v>Capbern</v>
      </c>
      <c r="C650" s="1178" t="s">
        <v>20592</v>
      </c>
      <c r="D650" s="1178" t="s">
        <v>897</v>
      </c>
      <c r="E650" s="1179">
        <v>2006</v>
      </c>
      <c r="F650" s="1282" t="s">
        <v>20280</v>
      </c>
      <c r="G650" s="1368">
        <v>12.5</v>
      </c>
      <c r="H650" s="1178" t="s">
        <v>20277</v>
      </c>
      <c r="I650" s="1178" t="s">
        <v>3486</v>
      </c>
      <c r="J650" s="1178" t="s">
        <v>662</v>
      </c>
      <c r="K650" s="1178" t="s">
        <v>20344</v>
      </c>
      <c r="L650" s="1178" t="s">
        <v>170</v>
      </c>
      <c r="M650" s="1369"/>
      <c r="N650" s="1178"/>
      <c r="O650" s="1178">
        <v>12</v>
      </c>
      <c r="P650" s="1178">
        <v>13</v>
      </c>
    </row>
    <row r="651" spans="1:16">
      <c r="A651" s="1178" t="s">
        <v>20591</v>
      </c>
      <c r="B651" s="1371" t="str">
        <f>HYPERLINK(IFERROR("#Main_Tariff!A"&amp;MATCH(Raeburn_Main_Tariff[[#This Row],[Product Code]],Main_Tariff!I:I,0),"#Main_Tariff!A"&amp;MATCH("*"&amp;RIGHT(A651,8)&amp;"*",Main_Tariff!A:A,0)),Raeburn_Main_Tariff[[#This Row],[PRODUCER]])</f>
        <v>Capbern</v>
      </c>
      <c r="C651" s="1178" t="s">
        <v>20593</v>
      </c>
      <c r="D651" s="1178" t="s">
        <v>897</v>
      </c>
      <c r="E651" s="1179">
        <v>2021</v>
      </c>
      <c r="F651" s="1282" t="s">
        <v>20220</v>
      </c>
      <c r="G651" s="1368" t="s">
        <v>20342</v>
      </c>
      <c r="H651" s="1178" t="s">
        <v>20343</v>
      </c>
      <c r="I651" s="1178" t="s">
        <v>3488</v>
      </c>
      <c r="J651" s="1178" t="s">
        <v>662</v>
      </c>
      <c r="K651" s="1178" t="s">
        <v>20344</v>
      </c>
      <c r="L651" s="1178" t="s">
        <v>170</v>
      </c>
      <c r="M651" s="1369"/>
      <c r="N651" s="1178"/>
      <c r="O651" s="1178">
        <v>6</v>
      </c>
      <c r="P651" s="1178">
        <v>0</v>
      </c>
    </row>
    <row r="652" spans="1:16">
      <c r="A652" s="1178" t="s">
        <v>20591</v>
      </c>
      <c r="B652" s="1371" t="str">
        <f>HYPERLINK(IFERROR("#Main_Tariff!A"&amp;MATCH(Raeburn_Main_Tariff[[#This Row],[Product Code]],Main_Tariff!I:I,0),"#Main_Tariff!A"&amp;MATCH("*"&amp;RIGHT(A652,8)&amp;"*",Main_Tariff!A:A,0)),Raeburn_Main_Tariff[[#This Row],[PRODUCER]])</f>
        <v>Capbern</v>
      </c>
      <c r="C652" s="1178" t="s">
        <v>20594</v>
      </c>
      <c r="D652" s="1178" t="s">
        <v>897</v>
      </c>
      <c r="E652" s="1179">
        <v>2021</v>
      </c>
      <c r="F652" s="1282" t="s">
        <v>20240</v>
      </c>
      <c r="G652" s="1368" t="s">
        <v>20342</v>
      </c>
      <c r="H652" s="1178" t="s">
        <v>20343</v>
      </c>
      <c r="I652" s="1178" t="s">
        <v>3490</v>
      </c>
      <c r="J652" s="1178" t="s">
        <v>662</v>
      </c>
      <c r="K652" s="1178" t="s">
        <v>20344</v>
      </c>
      <c r="L652" s="1178" t="s">
        <v>170</v>
      </c>
      <c r="M652" s="1369"/>
      <c r="N652" s="1178"/>
      <c r="O652" s="1178">
        <v>6</v>
      </c>
      <c r="P652" s="1178">
        <v>0</v>
      </c>
    </row>
    <row r="653" spans="1:16">
      <c r="A653" s="1178" t="s">
        <v>173</v>
      </c>
      <c r="B653" s="1371" t="str">
        <f>HYPERLINK(IFERROR("#Main_Tariff!A"&amp;MATCH(Raeburn_Main_Tariff[[#This Row],[Product Code]],Main_Tariff!I:I,0),"#Main_Tariff!A"&amp;MATCH("*"&amp;RIGHT(A653,8)&amp;"*",Main_Tariff!A:A,0)),Raeburn_Main_Tariff[[#This Row],[PRODUCER]])</f>
        <v>Cos d'Estournel</v>
      </c>
      <c r="C653" s="1178" t="s">
        <v>20595</v>
      </c>
      <c r="D653" s="1178" t="s">
        <v>897</v>
      </c>
      <c r="E653" s="1179">
        <v>2021</v>
      </c>
      <c r="F653" s="1282" t="s">
        <v>20220</v>
      </c>
      <c r="G653" s="1368">
        <v>182</v>
      </c>
      <c r="H653" s="1178" t="s">
        <v>20221</v>
      </c>
      <c r="I653" s="1178" t="s">
        <v>3500</v>
      </c>
      <c r="J653" s="1178" t="s">
        <v>662</v>
      </c>
      <c r="K653" s="1178" t="s">
        <v>20344</v>
      </c>
      <c r="L653" s="1178" t="s">
        <v>170</v>
      </c>
      <c r="M653" s="1369" t="s">
        <v>23263</v>
      </c>
      <c r="N653" s="1178"/>
      <c r="O653" s="1178">
        <v>6</v>
      </c>
      <c r="P653" s="1178">
        <v>13</v>
      </c>
    </row>
    <row r="654" spans="1:16">
      <c r="A654" s="1178" t="s">
        <v>174</v>
      </c>
      <c r="B654" s="1371" t="str">
        <f>HYPERLINK(IFERROR("#Main_Tariff!A"&amp;MATCH(Raeburn_Main_Tariff[[#This Row],[Product Code]],Main_Tariff!I:I,0),"#Main_Tariff!A"&amp;MATCH("*"&amp;RIGHT(A654,8)&amp;"*",Main_Tariff!A:A,0)),Raeburn_Main_Tariff[[#This Row],[PRODUCER]])</f>
        <v>Domeyne</v>
      </c>
      <c r="C654" s="1178" t="s">
        <v>20596</v>
      </c>
      <c r="D654" s="1178" t="s">
        <v>897</v>
      </c>
      <c r="E654" s="1179">
        <v>2012</v>
      </c>
      <c r="F654" s="1282" t="s">
        <v>20220</v>
      </c>
      <c r="G654" s="1368">
        <v>25.5</v>
      </c>
      <c r="H654" s="1178" t="s">
        <v>20221</v>
      </c>
      <c r="I654" s="1178" t="s">
        <v>3508</v>
      </c>
      <c r="J654" s="1178" t="s">
        <v>662</v>
      </c>
      <c r="K654" s="1178" t="s">
        <v>20344</v>
      </c>
      <c r="L654" s="1178" t="s">
        <v>170</v>
      </c>
      <c r="M654" s="1369"/>
      <c r="N654" s="1178"/>
      <c r="O654" s="1178">
        <v>6</v>
      </c>
      <c r="P654" s="1178">
        <v>13.5</v>
      </c>
    </row>
    <row r="655" spans="1:16">
      <c r="A655" s="1178" t="s">
        <v>175</v>
      </c>
      <c r="B655" s="1371" t="str">
        <f>HYPERLINK(IFERROR("#Main_Tariff!A"&amp;MATCH(Raeburn_Main_Tariff[[#This Row],[Product Code]],Main_Tariff!I:I,0),"#Main_Tariff!A"&amp;MATCH("*"&amp;RIGHT(A655,8)&amp;"*",Main_Tariff!A:A,0)),Raeburn_Main_Tariff[[#This Row],[PRODUCER]])</f>
        <v>Lafon-Rochet</v>
      </c>
      <c r="C655" s="1178" t="s">
        <v>20597</v>
      </c>
      <c r="D655" s="1178" t="s">
        <v>897</v>
      </c>
      <c r="E655" s="1179">
        <v>2020</v>
      </c>
      <c r="F655" s="1282" t="s">
        <v>20220</v>
      </c>
      <c r="G655" s="1368">
        <v>39</v>
      </c>
      <c r="H655" s="1178" t="s">
        <v>20221</v>
      </c>
      <c r="I655" s="1178" t="s">
        <v>3517</v>
      </c>
      <c r="J655" s="1178" t="s">
        <v>662</v>
      </c>
      <c r="K655" s="1178" t="s">
        <v>20344</v>
      </c>
      <c r="L655" s="1178" t="s">
        <v>170</v>
      </c>
      <c r="M655" s="1369" t="s">
        <v>23264</v>
      </c>
      <c r="N655" s="1178"/>
      <c r="O655" s="1178">
        <v>6</v>
      </c>
      <c r="P655" s="1178">
        <v>13</v>
      </c>
    </row>
    <row r="656" spans="1:16">
      <c r="A656" s="1178" t="s">
        <v>175</v>
      </c>
      <c r="B656" s="1371" t="str">
        <f>HYPERLINK(IFERROR("#Main_Tariff!A"&amp;MATCH(Raeburn_Main_Tariff[[#This Row],[Product Code]],Main_Tariff!I:I,0),"#Main_Tariff!A"&amp;MATCH("*"&amp;RIGHT(A656,8)&amp;"*",Main_Tariff!A:A,0)),Raeburn_Main_Tariff[[#This Row],[PRODUCER]])</f>
        <v>Lafon-Rochet</v>
      </c>
      <c r="C656" s="1178" t="s">
        <v>20597</v>
      </c>
      <c r="D656" s="1178" t="s">
        <v>897</v>
      </c>
      <c r="E656" s="1179">
        <v>2019</v>
      </c>
      <c r="F656" s="1282" t="s">
        <v>20220</v>
      </c>
      <c r="G656" s="1368" t="s">
        <v>5258</v>
      </c>
      <c r="H656" s="1178" t="s">
        <v>20221</v>
      </c>
      <c r="I656" s="1178" t="s">
        <v>3519</v>
      </c>
      <c r="J656" s="1178" t="s">
        <v>662</v>
      </c>
      <c r="K656" s="1178" t="s">
        <v>20344</v>
      </c>
      <c r="L656" s="1178" t="s">
        <v>170</v>
      </c>
      <c r="M656" s="1369" t="s">
        <v>23264</v>
      </c>
      <c r="N656" s="1178"/>
      <c r="O656" s="1178">
        <v>6</v>
      </c>
      <c r="P656" s="1178">
        <v>13</v>
      </c>
    </row>
    <row r="657" spans="1:16">
      <c r="A657" s="1178" t="s">
        <v>176</v>
      </c>
      <c r="B657" s="1371" t="str">
        <f>HYPERLINK(IFERROR("#Main_Tariff!A"&amp;MATCH(Raeburn_Main_Tariff[[#This Row],[Product Code]],Main_Tariff!I:I,0),"#Main_Tariff!A"&amp;MATCH("*"&amp;RIGHT(A657,8)&amp;"*",Main_Tariff!A:A,0)),Raeburn_Main_Tariff[[#This Row],[PRODUCER]])</f>
        <v>Lilian-Ladouys</v>
      </c>
      <c r="C657" s="1178" t="s">
        <v>20598</v>
      </c>
      <c r="D657" s="1178" t="s">
        <v>897</v>
      </c>
      <c r="E657" s="1179">
        <v>2017</v>
      </c>
      <c r="F657" s="1282" t="s">
        <v>20220</v>
      </c>
      <c r="G657" s="1368">
        <v>18</v>
      </c>
      <c r="H657" s="1178" t="s">
        <v>20221</v>
      </c>
      <c r="I657" s="1178" t="s">
        <v>3526</v>
      </c>
      <c r="J657" s="1178" t="s">
        <v>662</v>
      </c>
      <c r="K657" s="1178" t="s">
        <v>20344</v>
      </c>
      <c r="L657" s="1178" t="s">
        <v>170</v>
      </c>
      <c r="M657" s="1369"/>
      <c r="N657" s="1178"/>
      <c r="O657" s="1178">
        <v>6</v>
      </c>
      <c r="P657" s="1178">
        <v>13</v>
      </c>
    </row>
    <row r="658" spans="1:16">
      <c r="A658" s="1178" t="s">
        <v>176</v>
      </c>
      <c r="B658" s="1371" t="str">
        <f>HYPERLINK(IFERROR("#Main_Tariff!A"&amp;MATCH(Raeburn_Main_Tariff[[#This Row],[Product Code]],Main_Tariff!I:I,0),"#Main_Tariff!A"&amp;MATCH("*"&amp;RIGHT(A658,8)&amp;"*",Main_Tariff!A:A,0)),Raeburn_Main_Tariff[[#This Row],[PRODUCER]])</f>
        <v>Lilian-Ladouys</v>
      </c>
      <c r="C658" s="1178" t="s">
        <v>20599</v>
      </c>
      <c r="D658" s="1178" t="s">
        <v>897</v>
      </c>
      <c r="E658" s="1179">
        <v>2022</v>
      </c>
      <c r="F658" s="1282" t="s">
        <v>20220</v>
      </c>
      <c r="G658" s="1368">
        <v>23.25</v>
      </c>
      <c r="H658" s="1178" t="s">
        <v>20221</v>
      </c>
      <c r="I658" s="1178" t="s">
        <v>3529</v>
      </c>
      <c r="J658" s="1178" t="s">
        <v>662</v>
      </c>
      <c r="K658" s="1178" t="s">
        <v>20344</v>
      </c>
      <c r="L658" s="1178" t="s">
        <v>170</v>
      </c>
      <c r="M658" s="1369" t="s">
        <v>23301</v>
      </c>
      <c r="N658" s="1178"/>
      <c r="O658" s="1178">
        <v>6</v>
      </c>
      <c r="P658" s="1178">
        <v>13</v>
      </c>
    </row>
    <row r="659" spans="1:16">
      <c r="A659" s="1178" t="s">
        <v>176</v>
      </c>
      <c r="B659" s="1371" t="str">
        <f>HYPERLINK(IFERROR("#Main_Tariff!A"&amp;MATCH(Raeburn_Main_Tariff[[#This Row],[Product Code]],Main_Tariff!I:I,0),"#Main_Tariff!A"&amp;MATCH("*"&amp;RIGHT(A659,8)&amp;"*",Main_Tariff!A:A,0)),Raeburn_Main_Tariff[[#This Row],[PRODUCER]])</f>
        <v>Lilian-Ladouys</v>
      </c>
      <c r="C659" s="1178" t="s">
        <v>20599</v>
      </c>
      <c r="D659" s="1178" t="s">
        <v>897</v>
      </c>
      <c r="E659" s="1179">
        <v>2021</v>
      </c>
      <c r="F659" s="1282" t="s">
        <v>20220</v>
      </c>
      <c r="G659" s="1368">
        <v>22</v>
      </c>
      <c r="H659" s="1178" t="s">
        <v>20221</v>
      </c>
      <c r="I659" s="1178" t="s">
        <v>3531</v>
      </c>
      <c r="J659" s="1178" t="s">
        <v>662</v>
      </c>
      <c r="K659" s="1178" t="s">
        <v>20344</v>
      </c>
      <c r="L659" s="1178" t="s">
        <v>170</v>
      </c>
      <c r="M659" s="1369" t="s">
        <v>23301</v>
      </c>
      <c r="N659" s="1178"/>
      <c r="O659" s="1178">
        <v>6</v>
      </c>
      <c r="P659" s="1178">
        <v>13.5</v>
      </c>
    </row>
    <row r="660" spans="1:16">
      <c r="A660" s="1178" t="s">
        <v>176</v>
      </c>
      <c r="B660" s="1371" t="str">
        <f>HYPERLINK(IFERROR("#Main_Tariff!A"&amp;MATCH(Raeburn_Main_Tariff[[#This Row],[Product Code]],Main_Tariff!I:I,0),"#Main_Tariff!A"&amp;MATCH("*"&amp;RIGHT(A660,8)&amp;"*",Main_Tariff!A:A,0)),Raeburn_Main_Tariff[[#This Row],[PRODUCER]])</f>
        <v>Lilian-Ladouys</v>
      </c>
      <c r="C660" s="1178" t="s">
        <v>20599</v>
      </c>
      <c r="D660" s="1178" t="s">
        <v>897</v>
      </c>
      <c r="E660" s="1179">
        <v>2020</v>
      </c>
      <c r="F660" s="1282" t="s">
        <v>20220</v>
      </c>
      <c r="G660" s="1368">
        <v>22</v>
      </c>
      <c r="H660" s="1178" t="s">
        <v>20221</v>
      </c>
      <c r="I660" s="1178" t="s">
        <v>3533</v>
      </c>
      <c r="J660" s="1178" t="s">
        <v>662</v>
      </c>
      <c r="K660" s="1178" t="s">
        <v>20344</v>
      </c>
      <c r="L660" s="1178" t="s">
        <v>170</v>
      </c>
      <c r="M660" s="1369" t="s">
        <v>23301</v>
      </c>
      <c r="N660" s="1178"/>
      <c r="O660" s="1178">
        <v>6</v>
      </c>
      <c r="P660" s="1178">
        <v>13</v>
      </c>
    </row>
    <row r="661" spans="1:16">
      <c r="A661" s="1178" t="s">
        <v>176</v>
      </c>
      <c r="B661" s="1371" t="str">
        <f>HYPERLINK(IFERROR("#Main_Tariff!A"&amp;MATCH(Raeburn_Main_Tariff[[#This Row],[Product Code]],Main_Tariff!I:I,0),"#Main_Tariff!A"&amp;MATCH("*"&amp;RIGHT(A661,8)&amp;"*",Main_Tariff!A:A,0)),Raeburn_Main_Tariff[[#This Row],[PRODUCER]])</f>
        <v>Lilian-Ladouys</v>
      </c>
      <c r="C661" s="1178" t="s">
        <v>20599</v>
      </c>
      <c r="D661" s="1178" t="s">
        <v>897</v>
      </c>
      <c r="E661" s="1179">
        <v>2019</v>
      </c>
      <c r="F661" s="1282" t="s">
        <v>20220</v>
      </c>
      <c r="G661" s="1368">
        <v>22</v>
      </c>
      <c r="H661" s="1178" t="s">
        <v>20221</v>
      </c>
      <c r="I661" s="1178" t="s">
        <v>3535</v>
      </c>
      <c r="J661" s="1178" t="s">
        <v>662</v>
      </c>
      <c r="K661" s="1178" t="s">
        <v>20344</v>
      </c>
      <c r="L661" s="1178" t="s">
        <v>170</v>
      </c>
      <c r="M661" s="1369" t="s">
        <v>23301</v>
      </c>
      <c r="N661" s="1178"/>
      <c r="O661" s="1178">
        <v>6</v>
      </c>
      <c r="P661" s="1178">
        <v>13</v>
      </c>
    </row>
    <row r="662" spans="1:16">
      <c r="A662" s="1178" t="s">
        <v>176</v>
      </c>
      <c r="B662" s="1371" t="str">
        <f>HYPERLINK(IFERROR("#Main_Tariff!A"&amp;MATCH(Raeburn_Main_Tariff[[#This Row],[Product Code]],Main_Tariff!I:I,0),"#Main_Tariff!A"&amp;MATCH("*"&amp;RIGHT(A662,8)&amp;"*",Main_Tariff!A:A,0)),Raeburn_Main_Tariff[[#This Row],[PRODUCER]])</f>
        <v>Lilian-Ladouys</v>
      </c>
      <c r="C662" s="1178" t="s">
        <v>20599</v>
      </c>
      <c r="D662" s="1178" t="s">
        <v>897</v>
      </c>
      <c r="E662" s="1179">
        <v>2016</v>
      </c>
      <c r="F662" s="1282" t="s">
        <v>20220</v>
      </c>
      <c r="G662" s="1368">
        <v>24</v>
      </c>
      <c r="H662" s="1178" t="s">
        <v>20224</v>
      </c>
      <c r="I662" s="1178" t="s">
        <v>23351</v>
      </c>
      <c r="J662" s="1178" t="s">
        <v>662</v>
      </c>
      <c r="K662" s="1178" t="s">
        <v>20344</v>
      </c>
      <c r="L662" s="1178" t="s">
        <v>170</v>
      </c>
      <c r="M662" s="1369" t="s">
        <v>23300</v>
      </c>
      <c r="N662" s="1178"/>
      <c r="O662" s="1178">
        <v>6</v>
      </c>
      <c r="P662" s="1178">
        <v>13</v>
      </c>
    </row>
    <row r="663" spans="1:16">
      <c r="A663" s="1178" t="s">
        <v>176</v>
      </c>
      <c r="B663" s="1371" t="str">
        <f>HYPERLINK(IFERROR("#Main_Tariff!A"&amp;MATCH(Raeburn_Main_Tariff[[#This Row],[Product Code]],Main_Tariff!I:I,0),"#Main_Tariff!A"&amp;MATCH("*"&amp;RIGHT(A663,8)&amp;"*",Main_Tariff!A:A,0)),Raeburn_Main_Tariff[[#This Row],[PRODUCER]])</f>
        <v>Lilian-Ladouys</v>
      </c>
      <c r="C663" s="1178" t="s">
        <v>20599</v>
      </c>
      <c r="D663" s="1178" t="s">
        <v>897</v>
      </c>
      <c r="E663" s="1179">
        <v>2015</v>
      </c>
      <c r="F663" s="1282" t="s">
        <v>20220</v>
      </c>
      <c r="G663" s="1368">
        <v>24</v>
      </c>
      <c r="H663" s="1178" t="s">
        <v>20221</v>
      </c>
      <c r="I663" s="1178" t="s">
        <v>3536</v>
      </c>
      <c r="J663" s="1178" t="s">
        <v>662</v>
      </c>
      <c r="K663" s="1178" t="s">
        <v>20344</v>
      </c>
      <c r="L663" s="1178" t="s">
        <v>170</v>
      </c>
      <c r="M663" s="1369" t="s">
        <v>23300</v>
      </c>
      <c r="N663" s="1178"/>
      <c r="O663" s="1178">
        <v>12</v>
      </c>
      <c r="P663" s="1178">
        <v>13</v>
      </c>
    </row>
    <row r="664" spans="1:16">
      <c r="A664" s="1178" t="s">
        <v>177</v>
      </c>
      <c r="B664" s="1371" t="str">
        <f>HYPERLINK(IFERROR("#Main_Tariff!A"&amp;MATCH(Raeburn_Main_Tariff[[#This Row],[Product Code]],Main_Tariff!I:I,0),"#Main_Tariff!A"&amp;MATCH("*"&amp;RIGHT(A664,8)&amp;"*",Main_Tariff!A:A,0)),Raeburn_Main_Tariff[[#This Row],[PRODUCER]])</f>
        <v>Meyney</v>
      </c>
      <c r="C664" s="1178" t="s">
        <v>20600</v>
      </c>
      <c r="D664" s="1178" t="s">
        <v>897</v>
      </c>
      <c r="E664" s="1179">
        <v>2008</v>
      </c>
      <c r="F664" s="1282" t="s">
        <v>20220</v>
      </c>
      <c r="G664" s="1368">
        <v>37.5</v>
      </c>
      <c r="H664" s="1178" t="s">
        <v>20221</v>
      </c>
      <c r="I664" s="1178" t="s">
        <v>3542</v>
      </c>
      <c r="J664" s="1178" t="s">
        <v>662</v>
      </c>
      <c r="K664" s="1178" t="s">
        <v>20344</v>
      </c>
      <c r="L664" s="1178" t="s">
        <v>170</v>
      </c>
      <c r="M664" s="1369"/>
      <c r="N664" s="1178"/>
      <c r="O664" s="1178">
        <v>6</v>
      </c>
      <c r="P664" s="1178">
        <v>13</v>
      </c>
    </row>
    <row r="665" spans="1:16">
      <c r="A665" s="1178" t="s">
        <v>178</v>
      </c>
      <c r="B665" s="1371" t="str">
        <f>HYPERLINK(IFERROR("#Main_Tariff!A"&amp;MATCH(Raeburn_Main_Tariff[[#This Row],[Product Code]],Main_Tariff!I:I,0),"#Main_Tariff!A"&amp;MATCH("*"&amp;RIGHT(A665,8)&amp;"*",Main_Tariff!A:A,0)),Raeburn_Main_Tariff[[#This Row],[PRODUCER]])</f>
        <v>Montrose</v>
      </c>
      <c r="C665" s="1178" t="s">
        <v>20601</v>
      </c>
      <c r="D665" s="1178" t="s">
        <v>897</v>
      </c>
      <c r="E665" s="1179">
        <v>2022</v>
      </c>
      <c r="F665" s="1282" t="s">
        <v>20220</v>
      </c>
      <c r="G665" s="1368" t="s">
        <v>5258</v>
      </c>
      <c r="H665" s="1178" t="s">
        <v>20221</v>
      </c>
      <c r="I665" s="1178" t="s">
        <v>3550</v>
      </c>
      <c r="J665" s="1178" t="s">
        <v>662</v>
      </c>
      <c r="K665" s="1178" t="s">
        <v>20344</v>
      </c>
      <c r="L665" s="1178" t="s">
        <v>170</v>
      </c>
      <c r="M665" s="1369"/>
      <c r="N665" s="1178"/>
      <c r="O665" s="1178">
        <v>6</v>
      </c>
      <c r="P665" s="1178">
        <v>14.5</v>
      </c>
    </row>
    <row r="666" spans="1:16">
      <c r="A666" s="1178" t="s">
        <v>178</v>
      </c>
      <c r="B666" s="1371" t="str">
        <f>HYPERLINK(IFERROR("#Main_Tariff!A"&amp;MATCH(Raeburn_Main_Tariff[[#This Row],[Product Code]],Main_Tariff!I:I,0),"#Main_Tariff!A"&amp;MATCH("*"&amp;RIGHT(A666,8)&amp;"*",Main_Tariff!A:A,0)),Raeburn_Main_Tariff[[#This Row],[PRODUCER]])</f>
        <v>Montrose</v>
      </c>
      <c r="C666" s="1178" t="s">
        <v>20601</v>
      </c>
      <c r="D666" s="1178" t="s">
        <v>897</v>
      </c>
      <c r="E666" s="1179">
        <v>2021</v>
      </c>
      <c r="F666" s="1282" t="s">
        <v>20220</v>
      </c>
      <c r="G666" s="1368">
        <v>38.5</v>
      </c>
      <c r="H666" s="1178" t="s">
        <v>20221</v>
      </c>
      <c r="I666" s="1178" t="s">
        <v>3552</v>
      </c>
      <c r="J666" s="1178" t="s">
        <v>662</v>
      </c>
      <c r="K666" s="1178" t="s">
        <v>20344</v>
      </c>
      <c r="L666" s="1178" t="s">
        <v>170</v>
      </c>
      <c r="M666" s="1369"/>
      <c r="N666" s="1178"/>
      <c r="O666" s="1178">
        <v>6</v>
      </c>
      <c r="P666" s="1178">
        <v>13.5</v>
      </c>
    </row>
    <row r="667" spans="1:16">
      <c r="A667" s="1178" t="s">
        <v>178</v>
      </c>
      <c r="B667" s="1371" t="str">
        <f>HYPERLINK(IFERROR("#Main_Tariff!A"&amp;MATCH(Raeburn_Main_Tariff[[#This Row],[Product Code]],Main_Tariff!I:I,0),"#Main_Tariff!A"&amp;MATCH("*"&amp;RIGHT(A667,8)&amp;"*",Main_Tariff!A:A,0)),Raeburn_Main_Tariff[[#This Row],[PRODUCER]])</f>
        <v>Montrose</v>
      </c>
      <c r="C667" s="1178" t="s">
        <v>20601</v>
      </c>
      <c r="D667" s="1178" t="s">
        <v>897</v>
      </c>
      <c r="E667" s="1179">
        <v>2020</v>
      </c>
      <c r="F667" s="1282" t="s">
        <v>20220</v>
      </c>
      <c r="G667" s="1368">
        <v>42.5</v>
      </c>
      <c r="H667" s="1178" t="s">
        <v>20221</v>
      </c>
      <c r="I667" s="1178" t="s">
        <v>3554</v>
      </c>
      <c r="J667" s="1178" t="s">
        <v>662</v>
      </c>
      <c r="K667" s="1178" t="s">
        <v>20344</v>
      </c>
      <c r="L667" s="1178" t="s">
        <v>170</v>
      </c>
      <c r="M667" s="1369"/>
      <c r="N667" s="1178"/>
      <c r="O667" s="1178">
        <v>6</v>
      </c>
      <c r="P667" s="1178">
        <v>13</v>
      </c>
    </row>
    <row r="668" spans="1:16">
      <c r="A668" s="1178" t="s">
        <v>178</v>
      </c>
      <c r="B668" s="1371" t="str">
        <f>HYPERLINK(IFERROR("#Main_Tariff!A"&amp;MATCH(Raeburn_Main_Tariff[[#This Row],[Product Code]],Main_Tariff!I:I,0),"#Main_Tariff!A"&amp;MATCH("*"&amp;RIGHT(A668,8)&amp;"*",Main_Tariff!A:A,0)),Raeburn_Main_Tariff[[#This Row],[PRODUCER]])</f>
        <v>Montrose</v>
      </c>
      <c r="C668" s="1178" t="s">
        <v>20601</v>
      </c>
      <c r="D668" s="1178" t="s">
        <v>897</v>
      </c>
      <c r="E668" s="1179">
        <v>2019</v>
      </c>
      <c r="F668" s="1282" t="s">
        <v>20220</v>
      </c>
      <c r="G668" s="1368">
        <v>37.5</v>
      </c>
      <c r="H668" s="1178" t="s">
        <v>20221</v>
      </c>
      <c r="I668" s="1178" t="s">
        <v>3555</v>
      </c>
      <c r="J668" s="1178" t="s">
        <v>662</v>
      </c>
      <c r="K668" s="1178" t="s">
        <v>20344</v>
      </c>
      <c r="L668" s="1178" t="s">
        <v>170</v>
      </c>
      <c r="M668" s="1369"/>
      <c r="N668" s="1178"/>
      <c r="O668" s="1178">
        <v>6</v>
      </c>
      <c r="P668" s="1178">
        <v>13</v>
      </c>
    </row>
    <row r="669" spans="1:16">
      <c r="A669" s="1178" t="s">
        <v>178</v>
      </c>
      <c r="B669" s="1371" t="str">
        <f>HYPERLINK(IFERROR("#Main_Tariff!A"&amp;MATCH(Raeburn_Main_Tariff[[#This Row],[Product Code]],Main_Tariff!I:I,0),"#Main_Tariff!A"&amp;MATCH("*"&amp;RIGHT(A669,8)&amp;"*",Main_Tariff!A:A,0)),Raeburn_Main_Tariff[[#This Row],[PRODUCER]])</f>
        <v>Montrose</v>
      </c>
      <c r="C669" s="1178" t="s">
        <v>20602</v>
      </c>
      <c r="D669" s="1178" t="s">
        <v>897</v>
      </c>
      <c r="E669" s="1179">
        <v>2023</v>
      </c>
      <c r="F669" s="1282" t="s">
        <v>20220</v>
      </c>
      <c r="G669" s="1368" t="s">
        <v>20342</v>
      </c>
      <c r="H669" s="1178" t="s">
        <v>20343</v>
      </c>
      <c r="I669" s="1178" t="s">
        <v>3556</v>
      </c>
      <c r="J669" s="1178" t="s">
        <v>662</v>
      </c>
      <c r="K669" s="1178" t="s">
        <v>20344</v>
      </c>
      <c r="L669" s="1178" t="s">
        <v>170</v>
      </c>
      <c r="M669" s="1369" t="s">
        <v>23263</v>
      </c>
      <c r="N669" s="1178"/>
      <c r="O669" s="1178">
        <v>6</v>
      </c>
      <c r="P669" s="1178">
        <v>0</v>
      </c>
    </row>
    <row r="670" spans="1:16">
      <c r="A670" s="1178" t="s">
        <v>178</v>
      </c>
      <c r="B670" s="1371" t="str">
        <f>HYPERLINK(IFERROR("#Main_Tariff!A"&amp;MATCH(Raeburn_Main_Tariff[[#This Row],[Product Code]],Main_Tariff!I:I,0),"#Main_Tariff!A"&amp;MATCH("*"&amp;RIGHT(A670,8)&amp;"*",Main_Tariff!A:A,0)),Raeburn_Main_Tariff[[#This Row],[PRODUCER]])</f>
        <v>Montrose</v>
      </c>
      <c r="C670" s="1178" t="s">
        <v>20602</v>
      </c>
      <c r="D670" s="1178" t="s">
        <v>897</v>
      </c>
      <c r="E670" s="1179">
        <v>2022</v>
      </c>
      <c r="F670" s="1282" t="s">
        <v>20220</v>
      </c>
      <c r="G670" s="1368" t="s">
        <v>20342</v>
      </c>
      <c r="H670" s="1178" t="s">
        <v>20343</v>
      </c>
      <c r="I670" s="1178" t="s">
        <v>3557</v>
      </c>
      <c r="J670" s="1178" t="s">
        <v>662</v>
      </c>
      <c r="K670" s="1178" t="s">
        <v>20344</v>
      </c>
      <c r="L670" s="1178" t="s">
        <v>170</v>
      </c>
      <c r="M670" s="1369" t="s">
        <v>23263</v>
      </c>
      <c r="N670" s="1178"/>
      <c r="O670" s="1178">
        <v>6</v>
      </c>
      <c r="P670" s="1178">
        <v>0</v>
      </c>
    </row>
    <row r="671" spans="1:16">
      <c r="A671" s="1178" t="s">
        <v>178</v>
      </c>
      <c r="B671" s="1371" t="str">
        <f>HYPERLINK(IFERROR("#Main_Tariff!A"&amp;MATCH(Raeburn_Main_Tariff[[#This Row],[Product Code]],Main_Tariff!I:I,0),"#Main_Tariff!A"&amp;MATCH("*"&amp;RIGHT(A671,8)&amp;"*",Main_Tariff!A:A,0)),Raeburn_Main_Tariff[[#This Row],[PRODUCER]])</f>
        <v>Montrose</v>
      </c>
      <c r="C671" s="1178" t="s">
        <v>20602</v>
      </c>
      <c r="D671" s="1178" t="s">
        <v>897</v>
      </c>
      <c r="E671" s="1179">
        <v>2021</v>
      </c>
      <c r="F671" s="1282" t="s">
        <v>20220</v>
      </c>
      <c r="G671" s="1368">
        <v>145.5</v>
      </c>
      <c r="H671" s="1178" t="s">
        <v>20221</v>
      </c>
      <c r="I671" s="1178" t="s">
        <v>3558</v>
      </c>
      <c r="J671" s="1178" t="s">
        <v>662</v>
      </c>
      <c r="K671" s="1178" t="s">
        <v>20344</v>
      </c>
      <c r="L671" s="1178" t="s">
        <v>170</v>
      </c>
      <c r="M671" s="1369" t="s">
        <v>23263</v>
      </c>
      <c r="N671" s="1178"/>
      <c r="O671" s="1178">
        <v>6</v>
      </c>
      <c r="P671" s="1178">
        <v>13</v>
      </c>
    </row>
    <row r="672" spans="1:16">
      <c r="A672" s="1178" t="s">
        <v>178</v>
      </c>
      <c r="B672" s="1371" t="str">
        <f>HYPERLINK(IFERROR("#Main_Tariff!A"&amp;MATCH(Raeburn_Main_Tariff[[#This Row],[Product Code]],Main_Tariff!I:I,0),"#Main_Tariff!A"&amp;MATCH("*"&amp;RIGHT(A672,8)&amp;"*",Main_Tariff!A:A,0)),Raeburn_Main_Tariff[[#This Row],[PRODUCER]])</f>
        <v>Montrose</v>
      </c>
      <c r="C672" s="1178" t="s">
        <v>20602</v>
      </c>
      <c r="D672" s="1178" t="s">
        <v>897</v>
      </c>
      <c r="E672" s="1179">
        <v>2020</v>
      </c>
      <c r="F672" s="1282" t="s">
        <v>20220</v>
      </c>
      <c r="G672" s="1368">
        <v>163.5</v>
      </c>
      <c r="H672" s="1178" t="s">
        <v>20221</v>
      </c>
      <c r="I672" s="1178" t="s">
        <v>3559</v>
      </c>
      <c r="J672" s="1178" t="s">
        <v>662</v>
      </c>
      <c r="K672" s="1178" t="s">
        <v>20344</v>
      </c>
      <c r="L672" s="1178" t="s">
        <v>170</v>
      </c>
      <c r="M672" s="1369" t="s">
        <v>23263</v>
      </c>
      <c r="N672" s="1178"/>
      <c r="O672" s="1178">
        <v>6</v>
      </c>
      <c r="P672" s="1178">
        <v>13</v>
      </c>
    </row>
    <row r="673" spans="1:16">
      <c r="A673" s="1178" t="s">
        <v>178</v>
      </c>
      <c r="B673" s="1371" t="str">
        <f>HYPERLINK(IFERROR("#Main_Tariff!A"&amp;MATCH(Raeburn_Main_Tariff[[#This Row],[Product Code]],Main_Tariff!I:I,0),"#Main_Tariff!A"&amp;MATCH("*"&amp;RIGHT(A673,8)&amp;"*",Main_Tariff!A:A,0)),Raeburn_Main_Tariff[[#This Row],[PRODUCER]])</f>
        <v>Montrose</v>
      </c>
      <c r="C673" s="1178" t="s">
        <v>20602</v>
      </c>
      <c r="D673" s="1178" t="s">
        <v>897</v>
      </c>
      <c r="E673" s="1179">
        <v>2019</v>
      </c>
      <c r="F673" s="1282" t="s">
        <v>20220</v>
      </c>
      <c r="G673" s="1368" t="s">
        <v>5258</v>
      </c>
      <c r="H673" s="1178" t="s">
        <v>20224</v>
      </c>
      <c r="I673" s="1178" t="s">
        <v>3560</v>
      </c>
      <c r="J673" s="1178" t="s">
        <v>662</v>
      </c>
      <c r="K673" s="1178" t="s">
        <v>20344</v>
      </c>
      <c r="L673" s="1178" t="s">
        <v>170</v>
      </c>
      <c r="M673" s="1369" t="s">
        <v>23263</v>
      </c>
      <c r="N673" s="1178"/>
      <c r="O673" s="1178">
        <v>6</v>
      </c>
      <c r="P673" s="1178">
        <v>14.5</v>
      </c>
    </row>
    <row r="674" spans="1:16">
      <c r="A674" s="1178" t="s">
        <v>179</v>
      </c>
      <c r="B674" s="1371" t="str">
        <f>HYPERLINK(IFERROR("#Main_Tariff!A"&amp;MATCH(Raeburn_Main_Tariff[[#This Row],[Product Code]],Main_Tariff!I:I,0),"#Main_Tariff!A"&amp;MATCH("*"&amp;RIGHT(A674,8)&amp;"*",Main_Tariff!A:A,0)),Raeburn_Main_Tariff[[#This Row],[PRODUCER]])</f>
        <v>de Pez</v>
      </c>
      <c r="C674" s="1178" t="s">
        <v>20603</v>
      </c>
      <c r="D674" s="1178" t="s">
        <v>897</v>
      </c>
      <c r="E674" s="1179">
        <v>2022</v>
      </c>
      <c r="F674" s="1282" t="s">
        <v>20220</v>
      </c>
      <c r="G674" s="1368" t="s">
        <v>20342</v>
      </c>
      <c r="H674" s="1178" t="s">
        <v>20343</v>
      </c>
      <c r="I674" s="1178" t="s">
        <v>3562</v>
      </c>
      <c r="J674" s="1178" t="s">
        <v>662</v>
      </c>
      <c r="K674" s="1178" t="s">
        <v>20344</v>
      </c>
      <c r="L674" s="1178" t="s">
        <v>170</v>
      </c>
      <c r="M674" s="1369"/>
      <c r="N674" s="1178"/>
      <c r="O674" s="1178">
        <v>6</v>
      </c>
      <c r="P674" s="1178">
        <v>0</v>
      </c>
    </row>
    <row r="675" spans="1:16">
      <c r="A675" s="1178" t="s">
        <v>180</v>
      </c>
      <c r="B675" s="1371" t="str">
        <f>HYPERLINK(IFERROR("#Main_Tariff!A"&amp;MATCH(Raeburn_Main_Tariff[[#This Row],[Product Code]],Main_Tariff!I:I,0),"#Main_Tariff!A"&amp;MATCH("*"&amp;RIGHT(A675,8)&amp;"*",Main_Tariff!A:A,0)),Raeburn_Main_Tariff[[#This Row],[PRODUCER]])</f>
        <v>Phelan-Segur</v>
      </c>
      <c r="C675" s="1178" t="s">
        <v>20604</v>
      </c>
      <c r="D675" s="1178" t="s">
        <v>897</v>
      </c>
      <c r="E675" s="1179">
        <v>2020</v>
      </c>
      <c r="F675" s="1282" t="s">
        <v>20220</v>
      </c>
      <c r="G675" s="1368">
        <v>44.5</v>
      </c>
      <c r="H675" s="1178" t="s">
        <v>20221</v>
      </c>
      <c r="I675" s="1178" t="s">
        <v>3568</v>
      </c>
      <c r="J675" s="1178" t="s">
        <v>662</v>
      </c>
      <c r="K675" s="1178" t="s">
        <v>20344</v>
      </c>
      <c r="L675" s="1178" t="s">
        <v>170</v>
      </c>
      <c r="M675" s="1369"/>
      <c r="N675" s="1178"/>
      <c r="O675" s="1178">
        <v>6</v>
      </c>
      <c r="P675" s="1178">
        <v>13</v>
      </c>
    </row>
    <row r="676" spans="1:16">
      <c r="A676" s="1178" t="s">
        <v>180</v>
      </c>
      <c r="B676" s="1371" t="str">
        <f>HYPERLINK(IFERROR("#Main_Tariff!A"&amp;MATCH(Raeburn_Main_Tariff[[#This Row],[Product Code]],Main_Tariff!I:I,0),"#Main_Tariff!A"&amp;MATCH("*"&amp;RIGHT(A676,8)&amp;"*",Main_Tariff!A:A,0)),Raeburn_Main_Tariff[[#This Row],[PRODUCER]])</f>
        <v>Phelan-Segur</v>
      </c>
      <c r="C676" s="1178" t="s">
        <v>20604</v>
      </c>
      <c r="D676" s="1178" t="s">
        <v>897</v>
      </c>
      <c r="E676" s="1179">
        <v>2019</v>
      </c>
      <c r="F676" s="1282" t="s">
        <v>20220</v>
      </c>
      <c r="G676" s="1368">
        <v>41.5</v>
      </c>
      <c r="H676" s="1178" t="s">
        <v>20221</v>
      </c>
      <c r="I676" s="1178" t="s">
        <v>3569</v>
      </c>
      <c r="J676" s="1178" t="s">
        <v>662</v>
      </c>
      <c r="K676" s="1178" t="s">
        <v>20344</v>
      </c>
      <c r="L676" s="1178" t="s">
        <v>170</v>
      </c>
      <c r="M676" s="1369"/>
      <c r="N676" s="1178"/>
      <c r="O676" s="1178">
        <v>6</v>
      </c>
      <c r="P676" s="1178">
        <v>13</v>
      </c>
    </row>
    <row r="677" spans="1:16">
      <c r="A677" s="1178" t="s">
        <v>182</v>
      </c>
      <c r="B677" s="1371" t="str">
        <f>HYPERLINK(IFERROR("#Main_Tariff!A"&amp;MATCH(Raeburn_Main_Tariff[[#This Row],[Product Code]],Main_Tariff!I:I,0),"#Main_Tariff!A"&amp;MATCH("*"&amp;RIGHT(A677,8)&amp;"*",Main_Tariff!A:A,0)),Raeburn_Main_Tariff[[#This Row],[PRODUCER]])</f>
        <v>Clos Manou</v>
      </c>
      <c r="C677" s="1178" t="s">
        <v>20605</v>
      </c>
      <c r="D677" s="1178" t="s">
        <v>897</v>
      </c>
      <c r="E677" s="1179">
        <v>2022</v>
      </c>
      <c r="F677" s="1282" t="s">
        <v>20220</v>
      </c>
      <c r="G677" s="1368" t="s">
        <v>5258</v>
      </c>
      <c r="H677" s="1178" t="s">
        <v>20221</v>
      </c>
      <c r="I677" s="1178" t="s">
        <v>3579</v>
      </c>
      <c r="J677" s="1178" t="s">
        <v>662</v>
      </c>
      <c r="K677" s="1178" t="s">
        <v>20344</v>
      </c>
      <c r="L677" s="1178" t="s">
        <v>20606</v>
      </c>
      <c r="M677" s="1369"/>
      <c r="N677" s="1178"/>
      <c r="O677" s="1178">
        <v>6</v>
      </c>
      <c r="P677" s="1178">
        <v>14</v>
      </c>
    </row>
    <row r="678" spans="1:16">
      <c r="A678" s="1178" t="s">
        <v>182</v>
      </c>
      <c r="B678" s="1371" t="str">
        <f>HYPERLINK(IFERROR("#Main_Tariff!A"&amp;MATCH(Raeburn_Main_Tariff[[#This Row],[Product Code]],Main_Tariff!I:I,0),"#Main_Tariff!A"&amp;MATCH("*"&amp;RIGHT(A678,8)&amp;"*",Main_Tariff!A:A,0)),Raeburn_Main_Tariff[[#This Row],[PRODUCER]])</f>
        <v>Clos Manou</v>
      </c>
      <c r="C678" s="1178" t="s">
        <v>20605</v>
      </c>
      <c r="D678" s="1178" t="s">
        <v>897</v>
      </c>
      <c r="E678" s="1179">
        <v>2021</v>
      </c>
      <c r="F678" s="1282" t="s">
        <v>20220</v>
      </c>
      <c r="G678" s="1368">
        <v>15.5</v>
      </c>
      <c r="H678" s="1178" t="s">
        <v>20221</v>
      </c>
      <c r="I678" s="1178" t="s">
        <v>3581</v>
      </c>
      <c r="J678" s="1178" t="s">
        <v>662</v>
      </c>
      <c r="K678" s="1178" t="s">
        <v>20344</v>
      </c>
      <c r="L678" s="1178" t="s">
        <v>20606</v>
      </c>
      <c r="M678" s="1369"/>
      <c r="N678" s="1178"/>
      <c r="O678" s="1178">
        <v>6</v>
      </c>
      <c r="P678" s="1178">
        <v>13</v>
      </c>
    </row>
    <row r="679" spans="1:16">
      <c r="A679" s="1178" t="s">
        <v>182</v>
      </c>
      <c r="B679" s="1371" t="str">
        <f>HYPERLINK(IFERROR("#Main_Tariff!A"&amp;MATCH(Raeburn_Main_Tariff[[#This Row],[Product Code]],Main_Tariff!I:I,0),"#Main_Tariff!A"&amp;MATCH("*"&amp;RIGHT(A679,8)&amp;"*",Main_Tariff!A:A,0)),Raeburn_Main_Tariff[[#This Row],[PRODUCER]])</f>
        <v>Clos Manou</v>
      </c>
      <c r="C679" s="1178" t="s">
        <v>182</v>
      </c>
      <c r="D679" s="1178" t="s">
        <v>897</v>
      </c>
      <c r="E679" s="1179">
        <v>2022</v>
      </c>
      <c r="F679" s="1282" t="s">
        <v>20220</v>
      </c>
      <c r="G679" s="1368" t="s">
        <v>20342</v>
      </c>
      <c r="H679" s="1178" t="s">
        <v>20343</v>
      </c>
      <c r="I679" s="1178" t="s">
        <v>3584</v>
      </c>
      <c r="J679" s="1178" t="s">
        <v>662</v>
      </c>
      <c r="K679" s="1178" t="s">
        <v>20344</v>
      </c>
      <c r="L679" s="1178" t="s">
        <v>20606</v>
      </c>
      <c r="M679" s="1369"/>
      <c r="N679" s="1178"/>
      <c r="O679" s="1178">
        <v>3</v>
      </c>
      <c r="P679" s="1178">
        <v>13.5</v>
      </c>
    </row>
    <row r="680" spans="1:16">
      <c r="A680" s="1178" t="s">
        <v>182</v>
      </c>
      <c r="B680" s="1371" t="str">
        <f>HYPERLINK(IFERROR("#Main_Tariff!A"&amp;MATCH(Raeburn_Main_Tariff[[#This Row],[Product Code]],Main_Tariff!I:I,0),"#Main_Tariff!A"&amp;MATCH("*"&amp;RIGHT(A680,8)&amp;"*",Main_Tariff!A:A,0)),Raeburn_Main_Tariff[[#This Row],[PRODUCER]])</f>
        <v>Clos Manou</v>
      </c>
      <c r="C680" s="1178" t="s">
        <v>182</v>
      </c>
      <c r="D680" s="1178" t="s">
        <v>897</v>
      </c>
      <c r="E680" s="1179">
        <v>2021</v>
      </c>
      <c r="F680" s="1282" t="s">
        <v>20220</v>
      </c>
      <c r="G680" s="1368">
        <v>25.5</v>
      </c>
      <c r="H680" s="1178" t="s">
        <v>20221</v>
      </c>
      <c r="I680" s="1178" t="s">
        <v>3586</v>
      </c>
      <c r="J680" s="1178" t="s">
        <v>662</v>
      </c>
      <c r="K680" s="1178" t="s">
        <v>20344</v>
      </c>
      <c r="L680" s="1178" t="s">
        <v>20606</v>
      </c>
      <c r="M680" s="1369"/>
      <c r="N680" s="1178"/>
      <c r="O680" s="1178">
        <v>6</v>
      </c>
      <c r="P680" s="1178">
        <v>13</v>
      </c>
    </row>
    <row r="681" spans="1:16">
      <c r="A681" s="1178" t="s">
        <v>182</v>
      </c>
      <c r="B681" s="1371" t="str">
        <f>HYPERLINK(IFERROR("#Main_Tariff!A"&amp;MATCH(Raeburn_Main_Tariff[[#This Row],[Product Code]],Main_Tariff!I:I,0),"#Main_Tariff!A"&amp;MATCH("*"&amp;RIGHT(A681,8)&amp;"*",Main_Tariff!A:A,0)),Raeburn_Main_Tariff[[#This Row],[PRODUCER]])</f>
        <v>Clos Manou</v>
      </c>
      <c r="C681" s="1178" t="s">
        <v>182</v>
      </c>
      <c r="D681" s="1178" t="s">
        <v>897</v>
      </c>
      <c r="E681" s="1179">
        <v>2020</v>
      </c>
      <c r="F681" s="1282" t="s">
        <v>20220</v>
      </c>
      <c r="G681" s="1368">
        <v>25.5</v>
      </c>
      <c r="H681" s="1178" t="s">
        <v>20221</v>
      </c>
      <c r="I681" s="1178" t="s">
        <v>3588</v>
      </c>
      <c r="J681" s="1178" t="s">
        <v>662</v>
      </c>
      <c r="K681" s="1178" t="s">
        <v>20344</v>
      </c>
      <c r="L681" s="1178" t="s">
        <v>20606</v>
      </c>
      <c r="M681" s="1369"/>
      <c r="N681" s="1178"/>
      <c r="O681" s="1178">
        <v>6</v>
      </c>
      <c r="P681" s="1178">
        <v>13</v>
      </c>
    </row>
    <row r="682" spans="1:16">
      <c r="A682" s="1178" t="s">
        <v>182</v>
      </c>
      <c r="B682" s="1371" t="str">
        <f>HYPERLINK(IFERROR("#Main_Tariff!A"&amp;MATCH(Raeburn_Main_Tariff[[#This Row],[Product Code]],Main_Tariff!I:I,0),"#Main_Tariff!A"&amp;MATCH("*"&amp;RIGHT(A682,8)&amp;"*",Main_Tariff!A:A,0)),Raeburn_Main_Tariff[[#This Row],[PRODUCER]])</f>
        <v>Clos Manou</v>
      </c>
      <c r="C682" s="1178" t="s">
        <v>182</v>
      </c>
      <c r="D682" s="1178" t="s">
        <v>897</v>
      </c>
      <c r="E682" s="1179">
        <v>2019</v>
      </c>
      <c r="F682" s="1282" t="s">
        <v>20220</v>
      </c>
      <c r="G682" s="1368">
        <v>30</v>
      </c>
      <c r="H682" s="1178" t="s">
        <v>20221</v>
      </c>
      <c r="I682" s="1178" t="s">
        <v>3590</v>
      </c>
      <c r="J682" s="1178" t="s">
        <v>662</v>
      </c>
      <c r="K682" s="1178" t="s">
        <v>20344</v>
      </c>
      <c r="L682" s="1178" t="s">
        <v>20606</v>
      </c>
      <c r="M682" s="1369"/>
      <c r="N682" s="1178"/>
      <c r="O682" s="1178">
        <v>6</v>
      </c>
      <c r="P682" s="1178">
        <v>13</v>
      </c>
    </row>
    <row r="683" spans="1:16">
      <c r="A683" s="1178" t="s">
        <v>182</v>
      </c>
      <c r="B683" s="1371" t="str">
        <f>HYPERLINK(IFERROR("#Main_Tariff!A"&amp;MATCH(Raeburn_Main_Tariff[[#This Row],[Product Code]],Main_Tariff!I:I,0),"#Main_Tariff!A"&amp;MATCH("*"&amp;RIGHT(A683,8)&amp;"*",Main_Tariff!A:A,0)),Raeburn_Main_Tariff[[#This Row],[PRODUCER]])</f>
        <v>Clos Manou</v>
      </c>
      <c r="C683" s="1178" t="s">
        <v>182</v>
      </c>
      <c r="D683" s="1178" t="s">
        <v>897</v>
      </c>
      <c r="E683" s="1179">
        <v>2012</v>
      </c>
      <c r="F683" s="1282" t="s">
        <v>20220</v>
      </c>
      <c r="G683" s="1368">
        <v>23</v>
      </c>
      <c r="H683" s="1178" t="s">
        <v>20221</v>
      </c>
      <c r="I683" s="1178" t="s">
        <v>3592</v>
      </c>
      <c r="J683" s="1178" t="s">
        <v>662</v>
      </c>
      <c r="K683" s="1178" t="s">
        <v>20344</v>
      </c>
      <c r="L683" s="1178" t="s">
        <v>20606</v>
      </c>
      <c r="M683" s="1369"/>
      <c r="N683" s="1178"/>
      <c r="O683" s="1178">
        <v>12</v>
      </c>
      <c r="P683" s="1178">
        <v>13</v>
      </c>
    </row>
    <row r="684" spans="1:16">
      <c r="A684" s="1178" t="s">
        <v>182</v>
      </c>
      <c r="B684" s="1371" t="str">
        <f>HYPERLINK(IFERROR("#Main_Tariff!A"&amp;MATCH(Raeburn_Main_Tariff[[#This Row],[Product Code]],Main_Tariff!I:I,0),"#Main_Tariff!A"&amp;MATCH("*"&amp;RIGHT(A684,8)&amp;"*",Main_Tariff!A:A,0)),Raeburn_Main_Tariff[[#This Row],[PRODUCER]])</f>
        <v>Clos Manou</v>
      </c>
      <c r="C684" s="1178" t="s">
        <v>20607</v>
      </c>
      <c r="D684" s="1178" t="s">
        <v>897</v>
      </c>
      <c r="E684" s="1179">
        <v>2022</v>
      </c>
      <c r="F684" s="1282" t="s">
        <v>20220</v>
      </c>
      <c r="G684" s="1368" t="s">
        <v>20342</v>
      </c>
      <c r="H684" s="1178" t="s">
        <v>20343</v>
      </c>
      <c r="I684" s="1178" t="s">
        <v>3596</v>
      </c>
      <c r="J684" s="1178" t="s">
        <v>662</v>
      </c>
      <c r="K684" s="1178" t="s">
        <v>20344</v>
      </c>
      <c r="L684" s="1178" t="s">
        <v>20606</v>
      </c>
      <c r="M684" s="1369"/>
      <c r="N684" s="1178"/>
      <c r="O684" s="1178">
        <v>3</v>
      </c>
      <c r="P684" s="1178">
        <v>13.5</v>
      </c>
    </row>
    <row r="685" spans="1:16">
      <c r="A685" s="1178" t="s">
        <v>182</v>
      </c>
      <c r="B685" s="1371" t="str">
        <f>HYPERLINK(IFERROR("#Main_Tariff!A"&amp;MATCH(Raeburn_Main_Tariff[[#This Row],[Product Code]],Main_Tariff!I:I,0),"#Main_Tariff!A"&amp;MATCH("*"&amp;RIGHT(A685,8)&amp;"*",Main_Tariff!A:A,0)),Raeburn_Main_Tariff[[#This Row],[PRODUCER]])</f>
        <v>Clos Manou</v>
      </c>
      <c r="C685" s="1178" t="s">
        <v>20607</v>
      </c>
      <c r="D685" s="1178" t="s">
        <v>897</v>
      </c>
      <c r="E685" s="1179">
        <v>2021</v>
      </c>
      <c r="F685" s="1282" t="s">
        <v>20220</v>
      </c>
      <c r="G685" s="1368" t="s">
        <v>5258</v>
      </c>
      <c r="H685" s="1178" t="s">
        <v>20221</v>
      </c>
      <c r="I685" s="1178" t="s">
        <v>3598</v>
      </c>
      <c r="J685" s="1178" t="s">
        <v>662</v>
      </c>
      <c r="K685" s="1178" t="s">
        <v>20344</v>
      </c>
      <c r="L685" s="1178" t="s">
        <v>20606</v>
      </c>
      <c r="M685" s="1369"/>
      <c r="N685" s="1178"/>
      <c r="O685" s="1178">
        <v>4</v>
      </c>
      <c r="P685" s="1178">
        <v>13.5</v>
      </c>
    </row>
    <row r="686" spans="1:16">
      <c r="A686" s="1178" t="s">
        <v>182</v>
      </c>
      <c r="B686" s="1371" t="str">
        <f>HYPERLINK(IFERROR("#Main_Tariff!A"&amp;MATCH(Raeburn_Main_Tariff[[#This Row],[Product Code]],Main_Tariff!I:I,0),"#Main_Tariff!A"&amp;MATCH("*"&amp;RIGHT(A686,8)&amp;"*",Main_Tariff!A:A,0)),Raeburn_Main_Tariff[[#This Row],[PRODUCER]])</f>
        <v>Clos Manou</v>
      </c>
      <c r="C686" s="1178" t="s">
        <v>20607</v>
      </c>
      <c r="D686" s="1178" t="s">
        <v>897</v>
      </c>
      <c r="E686" s="1179">
        <v>2020</v>
      </c>
      <c r="F686" s="1282" t="s">
        <v>20220</v>
      </c>
      <c r="G686" s="1368" t="s">
        <v>5258</v>
      </c>
      <c r="H686" s="1178" t="s">
        <v>20221</v>
      </c>
      <c r="I686" s="1178" t="s">
        <v>3600</v>
      </c>
      <c r="J686" s="1178" t="s">
        <v>662</v>
      </c>
      <c r="K686" s="1178" t="s">
        <v>20344</v>
      </c>
      <c r="L686" s="1178" t="s">
        <v>20606</v>
      </c>
      <c r="M686" s="1369"/>
      <c r="N686" s="1178"/>
      <c r="O686" s="1178">
        <v>4</v>
      </c>
      <c r="P686" s="1178">
        <v>14</v>
      </c>
    </row>
    <row r="687" spans="1:16">
      <c r="A687" s="1178" t="s">
        <v>183</v>
      </c>
      <c r="B687" s="1371" t="str">
        <f>HYPERLINK(IFERROR("#Main_Tariff!A"&amp;MATCH(Raeburn_Main_Tariff[[#This Row],[Product Code]],Main_Tariff!I:I,0),"#Main_Tariff!A"&amp;MATCH("*"&amp;RIGHT(A687,8)&amp;"*",Main_Tariff!A:A,0)),Raeburn_Main_Tariff[[#This Row],[PRODUCER]])</f>
        <v>Potensac</v>
      </c>
      <c r="C687" s="1178" t="s">
        <v>20608</v>
      </c>
      <c r="D687" s="1178" t="s">
        <v>897</v>
      </c>
      <c r="E687" s="1179">
        <v>2020</v>
      </c>
      <c r="F687" s="1282" t="s">
        <v>20220</v>
      </c>
      <c r="G687" s="1368">
        <v>27</v>
      </c>
      <c r="H687" s="1178" t="s">
        <v>20221</v>
      </c>
      <c r="I687" s="1178" t="s">
        <v>3626</v>
      </c>
      <c r="J687" s="1178" t="s">
        <v>662</v>
      </c>
      <c r="K687" s="1178" t="s">
        <v>20344</v>
      </c>
      <c r="L687" s="1178" t="s">
        <v>20606</v>
      </c>
      <c r="M687" s="1369"/>
      <c r="N687" s="1178"/>
      <c r="O687" s="1178">
        <v>6</v>
      </c>
      <c r="P687" s="1178">
        <v>13</v>
      </c>
    </row>
    <row r="688" spans="1:16">
      <c r="A688" s="1178" t="s">
        <v>183</v>
      </c>
      <c r="B688" s="1371" t="str">
        <f>HYPERLINK(IFERROR("#Main_Tariff!A"&amp;MATCH(Raeburn_Main_Tariff[[#This Row],[Product Code]],Main_Tariff!I:I,0),"#Main_Tariff!A"&amp;MATCH("*"&amp;RIGHT(A688,8)&amp;"*",Main_Tariff!A:A,0)),Raeburn_Main_Tariff[[#This Row],[PRODUCER]])</f>
        <v>Potensac</v>
      </c>
      <c r="C688" s="1178" t="s">
        <v>20608</v>
      </c>
      <c r="D688" s="1178" t="s">
        <v>897</v>
      </c>
      <c r="E688" s="1179">
        <v>2019</v>
      </c>
      <c r="F688" s="1282" t="s">
        <v>20220</v>
      </c>
      <c r="G688" s="1368">
        <v>25</v>
      </c>
      <c r="H688" s="1178" t="s">
        <v>20221</v>
      </c>
      <c r="I688" s="1178" t="s">
        <v>3628</v>
      </c>
      <c r="J688" s="1178" t="s">
        <v>662</v>
      </c>
      <c r="K688" s="1178" t="s">
        <v>20344</v>
      </c>
      <c r="L688" s="1178" t="s">
        <v>20606</v>
      </c>
      <c r="M688" s="1369"/>
      <c r="N688" s="1178"/>
      <c r="O688" s="1178">
        <v>6</v>
      </c>
      <c r="P688" s="1178">
        <v>13</v>
      </c>
    </row>
    <row r="689" spans="1:16">
      <c r="A689" s="1178" t="s">
        <v>185</v>
      </c>
      <c r="B689" s="1371" t="str">
        <f>HYPERLINK(IFERROR("#Main_Tariff!A"&amp;MATCH(Raeburn_Main_Tariff[[#This Row],[Product Code]],Main_Tariff!I:I,0),"#Main_Tariff!A"&amp;MATCH("*"&amp;RIGHT(A689,8)&amp;"*",Main_Tariff!A:A,0)),Raeburn_Main_Tariff[[#This Row],[PRODUCER]])</f>
        <v>Tour Haut-Caussan</v>
      </c>
      <c r="C689" s="1178" t="s">
        <v>20609</v>
      </c>
      <c r="D689" s="1178" t="s">
        <v>897</v>
      </c>
      <c r="E689" s="1179">
        <v>1996</v>
      </c>
      <c r="F689" s="1282" t="s">
        <v>20220</v>
      </c>
      <c r="G689" s="1368">
        <v>39.5</v>
      </c>
      <c r="H689" s="1178" t="s">
        <v>20221</v>
      </c>
      <c r="I689" s="1178" t="s">
        <v>3666</v>
      </c>
      <c r="J689" s="1178" t="s">
        <v>662</v>
      </c>
      <c r="K689" s="1178" t="s">
        <v>20344</v>
      </c>
      <c r="L689" s="1178" t="s">
        <v>20606</v>
      </c>
      <c r="M689" s="1369"/>
      <c r="N689" s="1178"/>
      <c r="O689" s="1178">
        <v>12</v>
      </c>
      <c r="P689" s="1178">
        <v>12.5</v>
      </c>
    </row>
    <row r="690" spans="1:16">
      <c r="A690" s="1178" t="s">
        <v>184</v>
      </c>
      <c r="B690" s="1371" t="str">
        <f>HYPERLINK(IFERROR("#Main_Tariff!A"&amp;MATCH(Raeburn_Main_Tariff[[#This Row],[Product Code]],Main_Tariff!I:I,0),"#Main_Tariff!A"&amp;MATCH("*"&amp;RIGHT(A690,8)&amp;"*",Main_Tariff!A:A,0)),Raeburn_Main_Tariff[[#This Row],[PRODUCER]])</f>
        <v>Sociando-Mallet</v>
      </c>
      <c r="C690" s="1178" t="s">
        <v>20610</v>
      </c>
      <c r="D690" s="1178" t="s">
        <v>897</v>
      </c>
      <c r="E690" s="1179">
        <v>2012</v>
      </c>
      <c r="F690" s="1282" t="s">
        <v>20220</v>
      </c>
      <c r="G690" s="1368">
        <v>44.5</v>
      </c>
      <c r="H690" s="1178" t="s">
        <v>20221</v>
      </c>
      <c r="I690" s="1178" t="s">
        <v>3632</v>
      </c>
      <c r="J690" s="1178" t="s">
        <v>662</v>
      </c>
      <c r="K690" s="1178" t="s">
        <v>20344</v>
      </c>
      <c r="L690" s="1178" t="s">
        <v>20611</v>
      </c>
      <c r="M690" s="1369"/>
      <c r="N690" s="1178"/>
      <c r="O690" s="1178">
        <v>6</v>
      </c>
      <c r="P690" s="1178">
        <v>13</v>
      </c>
    </row>
    <row r="691" spans="1:16">
      <c r="A691" s="1178" t="s">
        <v>184</v>
      </c>
      <c r="B691" s="1371" t="str">
        <f>HYPERLINK(IFERROR("#Main_Tariff!A"&amp;MATCH(Raeburn_Main_Tariff[[#This Row],[Product Code]],Main_Tariff!I:I,0),"#Main_Tariff!A"&amp;MATCH("*"&amp;RIGHT(A691,8)&amp;"*",Main_Tariff!A:A,0)),Raeburn_Main_Tariff[[#This Row],[PRODUCER]])</f>
        <v>Sociando-Mallet</v>
      </c>
      <c r="C691" s="1178" t="s">
        <v>20610</v>
      </c>
      <c r="D691" s="1178" t="s">
        <v>897</v>
      </c>
      <c r="E691" s="1179">
        <v>2011</v>
      </c>
      <c r="F691" s="1282" t="s">
        <v>20220</v>
      </c>
      <c r="G691" s="1368">
        <v>44.5</v>
      </c>
      <c r="H691" s="1178" t="s">
        <v>20221</v>
      </c>
      <c r="I691" s="1178" t="s">
        <v>3634</v>
      </c>
      <c r="J691" s="1178" t="s">
        <v>662</v>
      </c>
      <c r="K691" s="1178" t="s">
        <v>20344</v>
      </c>
      <c r="L691" s="1178" t="s">
        <v>20611</v>
      </c>
      <c r="M691" s="1369"/>
      <c r="N691" s="1178"/>
      <c r="O691" s="1178">
        <v>6</v>
      </c>
      <c r="P691" s="1178">
        <v>13</v>
      </c>
    </row>
    <row r="692" spans="1:16">
      <c r="A692" s="1178" t="s">
        <v>184</v>
      </c>
      <c r="B692" s="1371" t="str">
        <f>HYPERLINK(IFERROR("#Main_Tariff!A"&amp;MATCH(Raeburn_Main_Tariff[[#This Row],[Product Code]],Main_Tariff!I:I,0),"#Main_Tariff!A"&amp;MATCH("*"&amp;RIGHT(A692,8)&amp;"*",Main_Tariff!A:A,0)),Raeburn_Main_Tariff[[#This Row],[PRODUCER]])</f>
        <v>Sociando-Mallet</v>
      </c>
      <c r="C692" s="1178" t="s">
        <v>20610</v>
      </c>
      <c r="D692" s="1178" t="s">
        <v>897</v>
      </c>
      <c r="E692" s="1179">
        <v>2009</v>
      </c>
      <c r="F692" s="1282" t="s">
        <v>20220</v>
      </c>
      <c r="G692" s="1368">
        <v>57.5</v>
      </c>
      <c r="H692" s="1178" t="s">
        <v>20221</v>
      </c>
      <c r="I692" s="1178" t="s">
        <v>3636</v>
      </c>
      <c r="J692" s="1178" t="s">
        <v>662</v>
      </c>
      <c r="K692" s="1178" t="s">
        <v>20344</v>
      </c>
      <c r="L692" s="1178" t="s">
        <v>20611</v>
      </c>
      <c r="M692" s="1369"/>
      <c r="N692" s="1178"/>
      <c r="O692" s="1178">
        <v>6</v>
      </c>
      <c r="P692" s="1178">
        <v>13</v>
      </c>
    </row>
    <row r="693" spans="1:16">
      <c r="A693" s="1178" t="s">
        <v>184</v>
      </c>
      <c r="B693" s="1371" t="str">
        <f>HYPERLINK(IFERROR("#Main_Tariff!A"&amp;MATCH(Raeburn_Main_Tariff[[#This Row],[Product Code]],Main_Tariff!I:I,0),"#Main_Tariff!A"&amp;MATCH("*"&amp;RIGHT(A693,8)&amp;"*",Main_Tariff!A:A,0)),Raeburn_Main_Tariff[[#This Row],[PRODUCER]])</f>
        <v>Sociando-Mallet</v>
      </c>
      <c r="C693" s="1178" t="s">
        <v>20610</v>
      </c>
      <c r="D693" s="1178" t="s">
        <v>897</v>
      </c>
      <c r="E693" s="1179">
        <v>2008</v>
      </c>
      <c r="F693" s="1282" t="s">
        <v>20220</v>
      </c>
      <c r="G693" s="1368">
        <v>53.5</v>
      </c>
      <c r="H693" s="1178" t="s">
        <v>20221</v>
      </c>
      <c r="I693" s="1178" t="s">
        <v>3638</v>
      </c>
      <c r="J693" s="1178" t="s">
        <v>662</v>
      </c>
      <c r="K693" s="1178" t="s">
        <v>20344</v>
      </c>
      <c r="L693" s="1178" t="s">
        <v>20611</v>
      </c>
      <c r="M693" s="1369"/>
      <c r="N693" s="1178"/>
      <c r="O693" s="1178">
        <v>6</v>
      </c>
      <c r="P693" s="1178">
        <v>13</v>
      </c>
    </row>
    <row r="694" spans="1:16">
      <c r="A694" s="1178" t="s">
        <v>184</v>
      </c>
      <c r="B694" s="1371" t="str">
        <f>HYPERLINK(IFERROR("#Main_Tariff!A"&amp;MATCH(Raeburn_Main_Tariff[[#This Row],[Product Code]],Main_Tariff!I:I,0),"#Main_Tariff!A"&amp;MATCH("*"&amp;RIGHT(A694,8)&amp;"*",Main_Tariff!A:A,0)),Raeburn_Main_Tariff[[#This Row],[PRODUCER]])</f>
        <v>Sociando-Mallet</v>
      </c>
      <c r="C694" s="1178" t="s">
        <v>20610</v>
      </c>
      <c r="D694" s="1178" t="s">
        <v>897</v>
      </c>
      <c r="E694" s="1179">
        <v>2004</v>
      </c>
      <c r="F694" s="1282" t="s">
        <v>20220</v>
      </c>
      <c r="G694" s="1368">
        <v>43</v>
      </c>
      <c r="H694" s="1178" t="s">
        <v>20277</v>
      </c>
      <c r="I694" s="1178" t="s">
        <v>3640</v>
      </c>
      <c r="J694" s="1178" t="s">
        <v>662</v>
      </c>
      <c r="K694" s="1178" t="s">
        <v>20344</v>
      </c>
      <c r="L694" s="1178" t="s">
        <v>20611</v>
      </c>
      <c r="M694" s="1369"/>
      <c r="N694" s="1178"/>
      <c r="O694" s="1178">
        <v>6</v>
      </c>
      <c r="P694" s="1178">
        <v>13</v>
      </c>
    </row>
    <row r="695" spans="1:16">
      <c r="A695" s="1178" t="s">
        <v>184</v>
      </c>
      <c r="B695" s="1371" t="str">
        <f>HYPERLINK(IFERROR("#Main_Tariff!A"&amp;MATCH(Raeburn_Main_Tariff[[#This Row],[Product Code]],Main_Tariff!I:I,0),"#Main_Tariff!A"&amp;MATCH("*"&amp;RIGHT(A695,8)&amp;"*",Main_Tariff!A:A,0)),Raeburn_Main_Tariff[[#This Row],[PRODUCER]])</f>
        <v>Sociando-Mallet</v>
      </c>
      <c r="C695" s="1178" t="s">
        <v>20610</v>
      </c>
      <c r="D695" s="1178" t="s">
        <v>897</v>
      </c>
      <c r="E695" s="1179">
        <v>2002</v>
      </c>
      <c r="F695" s="1282" t="s">
        <v>20220</v>
      </c>
      <c r="G695" s="1368">
        <v>56</v>
      </c>
      <c r="H695" s="1178" t="s">
        <v>20224</v>
      </c>
      <c r="I695" s="1178" t="s">
        <v>3642</v>
      </c>
      <c r="J695" s="1178" t="s">
        <v>662</v>
      </c>
      <c r="K695" s="1178" t="s">
        <v>20344</v>
      </c>
      <c r="L695" s="1178" t="s">
        <v>20611</v>
      </c>
      <c r="M695" s="1369"/>
      <c r="N695" s="1178"/>
      <c r="O695" s="1178">
        <v>6</v>
      </c>
      <c r="P695" s="1178">
        <v>13</v>
      </c>
    </row>
    <row r="696" spans="1:16">
      <c r="A696" s="1178" t="s">
        <v>184</v>
      </c>
      <c r="B696" s="1371" t="str">
        <f>HYPERLINK(IFERROR("#Main_Tariff!A"&amp;MATCH(Raeburn_Main_Tariff[[#This Row],[Product Code]],Main_Tariff!I:I,0),"#Main_Tariff!A"&amp;MATCH("*"&amp;RIGHT(A696,8)&amp;"*",Main_Tariff!A:A,0)),Raeburn_Main_Tariff[[#This Row],[PRODUCER]])</f>
        <v>Sociando-Mallet</v>
      </c>
      <c r="C696" s="1178" t="s">
        <v>20612</v>
      </c>
      <c r="D696" s="1178" t="s">
        <v>897</v>
      </c>
      <c r="E696" s="1179">
        <v>2010</v>
      </c>
      <c r="F696" s="1282" t="s">
        <v>20240</v>
      </c>
      <c r="G696" s="1368">
        <v>120</v>
      </c>
      <c r="H696" s="1178" t="s">
        <v>20277</v>
      </c>
      <c r="I696" s="1178" t="s">
        <v>3644</v>
      </c>
      <c r="J696" s="1178" t="s">
        <v>662</v>
      </c>
      <c r="K696" s="1178" t="s">
        <v>20344</v>
      </c>
      <c r="L696" s="1178" t="s">
        <v>20611</v>
      </c>
      <c r="M696" s="1369"/>
      <c r="N696" s="1178"/>
      <c r="O696" s="1178">
        <v>6</v>
      </c>
      <c r="P696" s="1178">
        <v>13</v>
      </c>
    </row>
    <row r="697" spans="1:16">
      <c r="A697" s="1178" t="s">
        <v>20613</v>
      </c>
      <c r="B697" s="1371" t="str">
        <f>HYPERLINK(IFERROR("#Main_Tariff!A"&amp;MATCH(Raeburn_Main_Tariff[[#This Row],[Product Code]],Main_Tariff!I:I,0),"#Main_Tariff!A"&amp;MATCH("*"&amp;RIGHT(A697,8)&amp;"*",Main_Tariff!A:A,0)),Raeburn_Main_Tariff[[#This Row],[PRODUCER]])</f>
        <v>Domaine De L'Alliance</v>
      </c>
      <c r="C697" s="1178" t="s">
        <v>20614</v>
      </c>
      <c r="D697" s="1178" t="s">
        <v>1129</v>
      </c>
      <c r="E697" s="1179">
        <v>2020</v>
      </c>
      <c r="F697" s="1282" t="s">
        <v>20220</v>
      </c>
      <c r="G697" s="1368">
        <v>27.5</v>
      </c>
      <c r="H697" s="1178" t="s">
        <v>20221</v>
      </c>
      <c r="I697" s="1178" t="s">
        <v>3679</v>
      </c>
      <c r="J697" s="1178" t="s">
        <v>662</v>
      </c>
      <c r="K697" s="1178" t="s">
        <v>20344</v>
      </c>
      <c r="L697" s="1178" t="s">
        <v>3759</v>
      </c>
      <c r="M697" s="1369"/>
      <c r="N697" s="1178" t="s">
        <v>20244</v>
      </c>
      <c r="O697" s="1178">
        <v>12</v>
      </c>
      <c r="P697" s="1178">
        <v>13</v>
      </c>
    </row>
    <row r="698" spans="1:16">
      <c r="A698" s="1178" t="s">
        <v>189</v>
      </c>
      <c r="B698" s="1371" t="str">
        <f>HYPERLINK(IFERROR("#Main_Tariff!A"&amp;MATCH(Raeburn_Main_Tariff[[#This Row],[Product Code]],Main_Tariff!I:I,0),"#Main_Tariff!A"&amp;MATCH("*"&amp;RIGHT(A698,8)&amp;"*",Main_Tariff!A:A,0)),Raeburn_Main_Tariff[[#This Row],[PRODUCER]])</f>
        <v>Climens</v>
      </c>
      <c r="C698" s="1178" t="s">
        <v>20615</v>
      </c>
      <c r="D698" s="1178" t="s">
        <v>1129</v>
      </c>
      <c r="E698" s="1179">
        <v>2020</v>
      </c>
      <c r="F698" s="1282" t="s">
        <v>20220</v>
      </c>
      <c r="G698" s="1368">
        <v>30.5</v>
      </c>
      <c r="H698" s="1178" t="s">
        <v>20221</v>
      </c>
      <c r="I698" s="1178" t="s">
        <v>1431</v>
      </c>
      <c r="J698" s="1178" t="s">
        <v>662</v>
      </c>
      <c r="K698" s="1178" t="s">
        <v>20344</v>
      </c>
      <c r="L698" s="1178" t="s">
        <v>3759</v>
      </c>
      <c r="M698" s="1369" t="s">
        <v>23297</v>
      </c>
      <c r="N698" s="1178" t="s">
        <v>20244</v>
      </c>
      <c r="O698" s="1178">
        <v>6</v>
      </c>
      <c r="P698" s="1178">
        <v>12</v>
      </c>
    </row>
    <row r="699" spans="1:16">
      <c r="A699" s="1178" t="s">
        <v>20616</v>
      </c>
      <c r="B699" s="1371" t="str">
        <f>HYPERLINK(IFERROR("#Main_Tariff!A"&amp;MATCH(Raeburn_Main_Tariff[[#This Row],[Product Code]],Main_Tariff!I:I,0),"#Main_Tariff!A"&amp;MATCH("*"&amp;RIGHT(A699,8)&amp;"*",Main_Tariff!A:A,0)),Raeburn_Main_Tariff[[#This Row],[PRODUCER]])</f>
        <v>Clos des Lunes</v>
      </c>
      <c r="C699" s="1178" t="s">
        <v>20617</v>
      </c>
      <c r="D699" s="1178" t="s">
        <v>1129</v>
      </c>
      <c r="E699" s="1179">
        <v>2019</v>
      </c>
      <c r="F699" s="1282" t="s">
        <v>20220</v>
      </c>
      <c r="G699" s="1368">
        <v>34</v>
      </c>
      <c r="H699" s="1178" t="s">
        <v>20224</v>
      </c>
      <c r="I699" s="1178" t="s">
        <v>1435</v>
      </c>
      <c r="J699" s="1178" t="s">
        <v>662</v>
      </c>
      <c r="K699" s="1178" t="s">
        <v>20344</v>
      </c>
      <c r="L699" s="1178" t="s">
        <v>3759</v>
      </c>
      <c r="M699" s="1369"/>
      <c r="N699" s="1178"/>
      <c r="O699" s="1178">
        <v>3</v>
      </c>
      <c r="P699" s="1178">
        <v>15</v>
      </c>
    </row>
    <row r="700" spans="1:16">
      <c r="A700" s="1178" t="s">
        <v>190</v>
      </c>
      <c r="B700" s="1371" t="str">
        <f>HYPERLINK(IFERROR("#Main_Tariff!A"&amp;MATCH(Raeburn_Main_Tariff[[#This Row],[Product Code]],Main_Tariff!I:I,0),"#Main_Tariff!A"&amp;MATCH("*"&amp;RIGHT(A700,8)&amp;"*",Main_Tariff!A:A,0)),Raeburn_Main_Tariff[[#This Row],[PRODUCER]])</f>
        <v>Coutet</v>
      </c>
      <c r="C700" s="1178" t="s">
        <v>20618</v>
      </c>
      <c r="D700" s="1178" t="s">
        <v>1410</v>
      </c>
      <c r="E700" s="1179">
        <v>2020</v>
      </c>
      <c r="F700" s="1282" t="s">
        <v>20220</v>
      </c>
      <c r="G700" s="1368">
        <v>39.5</v>
      </c>
      <c r="H700" s="1178" t="s">
        <v>20224</v>
      </c>
      <c r="I700" s="1178" t="s">
        <v>3706</v>
      </c>
      <c r="J700" s="1178" t="s">
        <v>662</v>
      </c>
      <c r="K700" s="1178" t="s">
        <v>20344</v>
      </c>
      <c r="L700" s="1178" t="s">
        <v>188</v>
      </c>
      <c r="M700" s="1369" t="s">
        <v>23297</v>
      </c>
      <c r="N700" s="1178"/>
      <c r="O700" s="1178">
        <v>6</v>
      </c>
      <c r="P700" s="1178">
        <v>13</v>
      </c>
    </row>
    <row r="701" spans="1:16">
      <c r="A701" s="1178" t="s">
        <v>191</v>
      </c>
      <c r="B701" s="1371" t="str">
        <f>HYPERLINK(IFERROR("#Main_Tariff!A"&amp;MATCH(Raeburn_Main_Tariff[[#This Row],[Product Code]],Main_Tariff!I:I,0),"#Main_Tariff!A"&amp;MATCH("*"&amp;RIGHT(A701,8)&amp;"*",Main_Tariff!A:A,0)),Raeburn_Main_Tariff[[#This Row],[PRODUCER]])</f>
        <v>de Fargues</v>
      </c>
      <c r="C701" s="1178" t="s">
        <v>20619</v>
      </c>
      <c r="D701" s="1178" t="s">
        <v>1410</v>
      </c>
      <c r="E701" s="1179">
        <v>2003</v>
      </c>
      <c r="F701" s="1282" t="s">
        <v>20220</v>
      </c>
      <c r="G701" s="1368">
        <v>60</v>
      </c>
      <c r="H701" s="1178" t="s">
        <v>20221</v>
      </c>
      <c r="I701" s="1178" t="s">
        <v>3713</v>
      </c>
      <c r="J701" s="1178" t="s">
        <v>662</v>
      </c>
      <c r="K701" s="1178" t="s">
        <v>20344</v>
      </c>
      <c r="L701" s="1178" t="s">
        <v>3759</v>
      </c>
      <c r="M701" s="1369"/>
      <c r="N701" s="1178"/>
      <c r="O701" s="1178">
        <v>12</v>
      </c>
      <c r="P701" s="1178">
        <v>13</v>
      </c>
    </row>
    <row r="702" spans="1:16">
      <c r="A702" s="1178" t="s">
        <v>192</v>
      </c>
      <c r="B702" s="1371" t="str">
        <f>HYPERLINK(IFERROR("#Main_Tariff!A"&amp;MATCH(Raeburn_Main_Tariff[[#This Row],[Product Code]],Main_Tariff!I:I,0),"#Main_Tariff!A"&amp;MATCH("*"&amp;RIGHT(A702,8)&amp;"*",Main_Tariff!A:A,0)),Raeburn_Main_Tariff[[#This Row],[PRODUCER]])</f>
        <v>Guiraud</v>
      </c>
      <c r="C702" s="1178" t="s">
        <v>20620</v>
      </c>
      <c r="D702" s="1178" t="s">
        <v>1410</v>
      </c>
      <c r="E702" s="1179">
        <v>2020</v>
      </c>
      <c r="F702" s="1282" t="s">
        <v>20220</v>
      </c>
      <c r="G702" s="1368">
        <v>49</v>
      </c>
      <c r="H702" s="1178" t="s">
        <v>20221</v>
      </c>
      <c r="I702" s="1178" t="s">
        <v>3720</v>
      </c>
      <c r="J702" s="1178" t="s">
        <v>662</v>
      </c>
      <c r="K702" s="1178" t="s">
        <v>20344</v>
      </c>
      <c r="L702" s="1178" t="s">
        <v>3759</v>
      </c>
      <c r="M702" s="1369" t="s">
        <v>23297</v>
      </c>
      <c r="N702" s="1178" t="s">
        <v>20244</v>
      </c>
      <c r="O702" s="1178">
        <v>6</v>
      </c>
      <c r="P702" s="1178">
        <v>13</v>
      </c>
    </row>
    <row r="703" spans="1:16">
      <c r="A703" s="1178" t="s">
        <v>192</v>
      </c>
      <c r="B703" s="1371" t="str">
        <f>HYPERLINK(IFERROR("#Main_Tariff!A"&amp;MATCH(Raeburn_Main_Tariff[[#This Row],[Product Code]],Main_Tariff!I:I,0),"#Main_Tariff!A"&amp;MATCH("*"&amp;RIGHT(A703,8)&amp;"*",Main_Tariff!A:A,0)),Raeburn_Main_Tariff[[#This Row],[PRODUCER]])</f>
        <v>Guiraud</v>
      </c>
      <c r="C703" s="1178" t="s">
        <v>20620</v>
      </c>
      <c r="D703" s="1178" t="s">
        <v>1410</v>
      </c>
      <c r="E703" s="1179">
        <v>2009</v>
      </c>
      <c r="F703" s="1282" t="s">
        <v>20220</v>
      </c>
      <c r="G703" s="1368">
        <v>57</v>
      </c>
      <c r="H703" s="1178" t="s">
        <v>20221</v>
      </c>
      <c r="I703" s="1178" t="s">
        <v>3722</v>
      </c>
      <c r="J703" s="1178" t="s">
        <v>662</v>
      </c>
      <c r="K703" s="1178" t="s">
        <v>20344</v>
      </c>
      <c r="L703" s="1178" t="s">
        <v>3759</v>
      </c>
      <c r="M703" s="1369" t="s">
        <v>23297</v>
      </c>
      <c r="N703" s="1178"/>
      <c r="O703" s="1178">
        <v>6</v>
      </c>
      <c r="P703" s="1178">
        <v>13.5</v>
      </c>
    </row>
    <row r="704" spans="1:16">
      <c r="A704" s="1178" t="s">
        <v>20621</v>
      </c>
      <c r="B704" s="1371" t="str">
        <f>HYPERLINK(IFERROR("#Main_Tariff!A"&amp;MATCH(Raeburn_Main_Tariff[[#This Row],[Product Code]],Main_Tariff!I:I,0),"#Main_Tariff!A"&amp;MATCH("*"&amp;RIGHT(A704,8)&amp;"*",Main_Tariff!A:A,0)),Raeburn_Main_Tariff[[#This Row],[PRODUCER]])</f>
        <v>Lafon</v>
      </c>
      <c r="C704" s="1178" t="s">
        <v>20622</v>
      </c>
      <c r="D704" s="1178" t="s">
        <v>1410</v>
      </c>
      <c r="E704" s="1179">
        <v>2022</v>
      </c>
      <c r="F704" s="1282" t="s">
        <v>20220</v>
      </c>
      <c r="G704" s="1368">
        <v>19.5</v>
      </c>
      <c r="H704" s="1178" t="s">
        <v>20221</v>
      </c>
      <c r="I704" s="1178" t="s">
        <v>3743</v>
      </c>
      <c r="J704" s="1178" t="s">
        <v>662</v>
      </c>
      <c r="K704" s="1178" t="s">
        <v>20344</v>
      </c>
      <c r="L704" s="1178" t="s">
        <v>3759</v>
      </c>
      <c r="M704" s="1369"/>
      <c r="N704" s="1178"/>
      <c r="O704" s="1178">
        <v>6</v>
      </c>
      <c r="P704" s="1178">
        <v>13</v>
      </c>
    </row>
    <row r="705" spans="1:16">
      <c r="A705" s="1178" t="s">
        <v>193</v>
      </c>
      <c r="B705" s="1371" t="str">
        <f>HYPERLINK(IFERROR("#Main_Tariff!A"&amp;MATCH(Raeburn_Main_Tariff[[#This Row],[Product Code]],Main_Tariff!I:I,0),"#Main_Tariff!A"&amp;MATCH("*"&amp;RIGHT(A705,8)&amp;"*",Main_Tariff!A:A,0)),Raeburn_Main_Tariff[[#This Row],[PRODUCER]])</f>
        <v>du Mayne</v>
      </c>
      <c r="C705" s="1178" t="s">
        <v>20623</v>
      </c>
      <c r="D705" s="1178" t="s">
        <v>1410</v>
      </c>
      <c r="E705" s="1179">
        <v>2020</v>
      </c>
      <c r="F705" s="1282" t="s">
        <v>20220</v>
      </c>
      <c r="G705" s="1368">
        <v>20.95</v>
      </c>
      <c r="H705" s="1178" t="s">
        <v>20221</v>
      </c>
      <c r="I705" s="1178" t="s">
        <v>3752</v>
      </c>
      <c r="J705" s="1178" t="s">
        <v>662</v>
      </c>
      <c r="K705" s="1178" t="s">
        <v>20344</v>
      </c>
      <c r="L705" s="1178" t="s">
        <v>3759</v>
      </c>
      <c r="M705" s="1369"/>
      <c r="N705" s="1178"/>
      <c r="O705" s="1178">
        <v>6</v>
      </c>
      <c r="P705" s="1178">
        <v>13.5</v>
      </c>
    </row>
    <row r="706" spans="1:16">
      <c r="A706" s="1178" t="s">
        <v>194</v>
      </c>
      <c r="B706" s="1371" t="str">
        <f>HYPERLINK(IFERROR("#Main_Tariff!A"&amp;MATCH(Raeburn_Main_Tariff[[#This Row],[Product Code]],Main_Tariff!I:I,0),"#Main_Tariff!A"&amp;MATCH("*"&amp;RIGHT(A706,8)&amp;"*",Main_Tariff!A:A,0)),Raeburn_Main_Tariff[[#This Row],[PRODUCER]])</f>
        <v>Rayne Vigneau</v>
      </c>
      <c r="C706" s="1178" t="s">
        <v>20624</v>
      </c>
      <c r="D706" s="1178" t="s">
        <v>1410</v>
      </c>
      <c r="E706" s="1179">
        <v>2021</v>
      </c>
      <c r="F706" s="1282" t="s">
        <v>20220</v>
      </c>
      <c r="G706" s="1368">
        <v>45</v>
      </c>
      <c r="H706" s="1178" t="s">
        <v>20221</v>
      </c>
      <c r="I706" s="1178" t="s">
        <v>3758</v>
      </c>
      <c r="J706" s="1178" t="s">
        <v>662</v>
      </c>
      <c r="K706" s="1178" t="s">
        <v>20344</v>
      </c>
      <c r="L706" s="1178" t="s">
        <v>3759</v>
      </c>
      <c r="M706" s="1369" t="s">
        <v>23297</v>
      </c>
      <c r="N706" s="1178"/>
      <c r="O706" s="1178">
        <v>6</v>
      </c>
      <c r="P706" s="1178">
        <v>13.5</v>
      </c>
    </row>
    <row r="707" spans="1:16">
      <c r="A707" s="1178" t="s">
        <v>195</v>
      </c>
      <c r="B707" s="1371" t="str">
        <f>HYPERLINK(IFERROR("#Main_Tariff!A"&amp;MATCH(Raeburn_Main_Tariff[[#This Row],[Product Code]],Main_Tariff!I:I,0),"#Main_Tariff!A"&amp;MATCH("*"&amp;RIGHT(A707,8)&amp;"*",Main_Tariff!A:A,0)),Raeburn_Main_Tariff[[#This Row],[PRODUCER]])</f>
        <v>Rieussec</v>
      </c>
      <c r="C707" s="1178" t="s">
        <v>20625</v>
      </c>
      <c r="D707" s="1178" t="s">
        <v>1410</v>
      </c>
      <c r="E707" s="1179">
        <v>2019</v>
      </c>
      <c r="F707" s="1282" t="s">
        <v>20220</v>
      </c>
      <c r="G707" s="1368">
        <v>99</v>
      </c>
      <c r="H707" s="1178" t="s">
        <v>20224</v>
      </c>
      <c r="I707" s="1178" t="s">
        <v>3763</v>
      </c>
      <c r="J707" s="1178" t="s">
        <v>662</v>
      </c>
      <c r="K707" s="1178" t="s">
        <v>20344</v>
      </c>
      <c r="L707" s="1178" t="s">
        <v>3759</v>
      </c>
      <c r="M707" s="1369" t="s">
        <v>23297</v>
      </c>
      <c r="N707" s="1178"/>
      <c r="O707" s="1178">
        <v>4</v>
      </c>
      <c r="P707" s="1178">
        <v>14</v>
      </c>
    </row>
    <row r="708" spans="1:16">
      <c r="A708" s="1178" t="s">
        <v>196</v>
      </c>
      <c r="B708" s="1371" t="str">
        <f>HYPERLINK(IFERROR("#Main_Tariff!A"&amp;MATCH(Raeburn_Main_Tariff[[#This Row],[Product Code]],Main_Tariff!I:I,0),"#Main_Tariff!A"&amp;MATCH("*"&amp;RIGHT(A708,8)&amp;"*",Main_Tariff!A:A,0)),Raeburn_Main_Tariff[[#This Row],[PRODUCER]])</f>
        <v>Suduiraut</v>
      </c>
      <c r="C708" s="1178" t="s">
        <v>20626</v>
      </c>
      <c r="D708" s="1178" t="s">
        <v>1410</v>
      </c>
      <c r="E708" s="1179">
        <v>2022</v>
      </c>
      <c r="F708" s="1282" t="s">
        <v>20220</v>
      </c>
      <c r="G708" s="1368" t="s">
        <v>20342</v>
      </c>
      <c r="H708" s="1178" t="s">
        <v>20343</v>
      </c>
      <c r="I708" s="1178" t="s">
        <v>3770</v>
      </c>
      <c r="J708" s="1178" t="s">
        <v>662</v>
      </c>
      <c r="K708" s="1178" t="s">
        <v>20344</v>
      </c>
      <c r="L708" s="1178" t="s">
        <v>3759</v>
      </c>
      <c r="M708" s="1369" t="s">
        <v>23297</v>
      </c>
      <c r="N708" s="1178"/>
      <c r="O708" s="1178">
        <v>6</v>
      </c>
      <c r="P708" s="1178">
        <v>13.5</v>
      </c>
    </row>
    <row r="709" spans="1:16">
      <c r="A709" s="1178" t="s">
        <v>196</v>
      </c>
      <c r="B709" s="1371" t="str">
        <f>HYPERLINK(IFERROR("#Main_Tariff!A"&amp;MATCH(Raeburn_Main_Tariff[[#This Row],[Product Code]],Main_Tariff!I:I,0),"#Main_Tariff!A"&amp;MATCH("*"&amp;RIGHT(A709,8)&amp;"*",Main_Tariff!A:A,0)),Raeburn_Main_Tariff[[#This Row],[PRODUCER]])</f>
        <v>Suduiraut</v>
      </c>
      <c r="C709" s="1178" t="s">
        <v>20626</v>
      </c>
      <c r="D709" s="1178" t="s">
        <v>1410</v>
      </c>
      <c r="E709" s="1179">
        <v>2021</v>
      </c>
      <c r="F709" s="1282" t="s">
        <v>20220</v>
      </c>
      <c r="G709" s="1368">
        <v>77</v>
      </c>
      <c r="H709" s="1178" t="s">
        <v>20224</v>
      </c>
      <c r="I709" s="1178" t="s">
        <v>3772</v>
      </c>
      <c r="J709" s="1178" t="s">
        <v>662</v>
      </c>
      <c r="K709" s="1178" t="s">
        <v>20344</v>
      </c>
      <c r="L709" s="1178" t="s">
        <v>3759</v>
      </c>
      <c r="M709" s="1369" t="s">
        <v>23297</v>
      </c>
      <c r="N709" s="1178"/>
      <c r="O709" s="1178">
        <v>3</v>
      </c>
      <c r="P709" s="1178">
        <v>14</v>
      </c>
    </row>
    <row r="710" spans="1:16">
      <c r="A710" s="1178" t="s">
        <v>197</v>
      </c>
      <c r="B710" s="1371" t="str">
        <f>HYPERLINK(IFERROR("#Main_Tariff!A"&amp;MATCH(Raeburn_Main_Tariff[[#This Row],[Product Code]],Main_Tariff!I:I,0),"#Main_Tariff!A"&amp;MATCH("*"&amp;RIGHT(A710,8)&amp;"*",Main_Tariff!A:A,0)),Raeburn_Main_Tariff[[#This Row],[PRODUCER]])</f>
        <v>d'Yquem</v>
      </c>
      <c r="C710" s="1178" t="s">
        <v>20627</v>
      </c>
      <c r="D710" s="1178" t="s">
        <v>1410</v>
      </c>
      <c r="E710" s="1179">
        <v>2016</v>
      </c>
      <c r="F710" s="1282" t="s">
        <v>20280</v>
      </c>
      <c r="G710" s="1368" t="s">
        <v>5258</v>
      </c>
      <c r="H710" s="1178" t="s">
        <v>20224</v>
      </c>
      <c r="I710" s="1178" t="s">
        <v>3778</v>
      </c>
      <c r="J710" s="1178" t="s">
        <v>662</v>
      </c>
      <c r="K710" s="1178" t="s">
        <v>20344</v>
      </c>
      <c r="L710" s="1178" t="s">
        <v>3759</v>
      </c>
      <c r="M710" s="1369" t="s">
        <v>23302</v>
      </c>
      <c r="N710" s="1178"/>
      <c r="O710" s="1178">
        <v>6</v>
      </c>
      <c r="P710" s="1178">
        <v>14</v>
      </c>
    </row>
    <row r="711" spans="1:16">
      <c r="A711" s="1178" t="s">
        <v>20628</v>
      </c>
      <c r="B711" s="1371" t="str">
        <f>HYPERLINK(IFERROR("#Main_Tariff!A"&amp;MATCH(Raeburn_Main_Tariff[[#This Row],[Product Code]],Main_Tariff!I:I,0),"#Main_Tariff!A"&amp;MATCH("*"&amp;RIGHT(A711,8)&amp;"*",Main_Tariff!A:A,0)),Raeburn_Main_Tariff[[#This Row],[PRODUCER]])</f>
        <v>Tirecul la Gravière</v>
      </c>
      <c r="C711" s="1178" t="s">
        <v>20629</v>
      </c>
      <c r="D711" s="1178" t="s">
        <v>1129</v>
      </c>
      <c r="E711" s="1179">
        <v>2008</v>
      </c>
      <c r="F711" s="1282" t="s">
        <v>20220</v>
      </c>
      <c r="G711" s="1368">
        <v>12</v>
      </c>
      <c r="H711" s="1178" t="s">
        <v>20465</v>
      </c>
      <c r="I711" s="1178" t="s">
        <v>3814</v>
      </c>
      <c r="J711" s="1178" t="s">
        <v>662</v>
      </c>
      <c r="K711" s="1178" t="s">
        <v>20630</v>
      </c>
      <c r="L711" s="1178" t="s">
        <v>199</v>
      </c>
      <c r="M711" s="1369"/>
      <c r="N711" s="1178" t="s">
        <v>20244</v>
      </c>
      <c r="O711" s="1178">
        <v>6</v>
      </c>
      <c r="P711" s="1178">
        <v>13</v>
      </c>
    </row>
    <row r="712" spans="1:16">
      <c r="A712" s="1178" t="s">
        <v>20628</v>
      </c>
      <c r="B712" s="1371" t="str">
        <f>HYPERLINK(IFERROR("#Main_Tariff!A"&amp;MATCH(Raeburn_Main_Tariff[[#This Row],[Product Code]],Main_Tariff!I:I,0),"#Main_Tariff!A"&amp;MATCH("*"&amp;RIGHT(A712,8)&amp;"*",Main_Tariff!A:A,0)),Raeburn_Main_Tariff[[#This Row],[PRODUCER]])</f>
        <v>Tirecul la Gravière</v>
      </c>
      <c r="C712" s="1178" t="s">
        <v>20631</v>
      </c>
      <c r="D712" s="1178" t="s">
        <v>1410</v>
      </c>
      <c r="E712" s="1179">
        <v>2022</v>
      </c>
      <c r="F712" s="1282" t="s">
        <v>20313</v>
      </c>
      <c r="G712" s="1368">
        <v>12.75</v>
      </c>
      <c r="H712" s="1178" t="s">
        <v>20221</v>
      </c>
      <c r="I712" s="1178" t="s">
        <v>3817</v>
      </c>
      <c r="J712" s="1178" t="s">
        <v>662</v>
      </c>
      <c r="K712" s="1178" t="s">
        <v>20630</v>
      </c>
      <c r="L712" s="1178" t="s">
        <v>199</v>
      </c>
      <c r="M712" s="1369"/>
      <c r="N712" s="1178" t="s">
        <v>20244</v>
      </c>
      <c r="O712" s="1178">
        <v>12</v>
      </c>
      <c r="P712" s="1178">
        <v>12.5</v>
      </c>
    </row>
    <row r="713" spans="1:16">
      <c r="A713" s="1178" t="s">
        <v>20628</v>
      </c>
      <c r="B713" s="1371" t="str">
        <f>HYPERLINK(IFERROR("#Main_Tariff!A"&amp;MATCH(Raeburn_Main_Tariff[[#This Row],[Product Code]],Main_Tariff!I:I,0),"#Main_Tariff!A"&amp;MATCH("*"&amp;RIGHT(A713,8)&amp;"*",Main_Tariff!A:A,0)),Raeburn_Main_Tariff[[#This Row],[PRODUCER]])</f>
        <v>Tirecul la Gravière</v>
      </c>
      <c r="C713" s="1178" t="s">
        <v>20631</v>
      </c>
      <c r="D713" s="1178" t="s">
        <v>1410</v>
      </c>
      <c r="E713" s="1179">
        <v>2021</v>
      </c>
      <c r="F713" s="1282" t="s">
        <v>20313</v>
      </c>
      <c r="G713" s="1368">
        <v>12.75</v>
      </c>
      <c r="H713" s="1178" t="s">
        <v>20221</v>
      </c>
      <c r="I713" s="1178" t="s">
        <v>3818</v>
      </c>
      <c r="J713" s="1178" t="s">
        <v>662</v>
      </c>
      <c r="K713" s="1178" t="s">
        <v>20630</v>
      </c>
      <c r="L713" s="1178" t="s">
        <v>199</v>
      </c>
      <c r="M713" s="1369"/>
      <c r="N713" s="1178" t="s">
        <v>20244</v>
      </c>
      <c r="O713" s="1178">
        <v>12</v>
      </c>
      <c r="P713" s="1178">
        <v>12.5</v>
      </c>
    </row>
    <row r="714" spans="1:16">
      <c r="A714" s="1178" t="s">
        <v>20628</v>
      </c>
      <c r="B714" s="1371" t="str">
        <f>HYPERLINK(IFERROR("#Main_Tariff!A"&amp;MATCH(Raeburn_Main_Tariff[[#This Row],[Product Code]],Main_Tariff!I:I,0),"#Main_Tariff!A"&amp;MATCH("*"&amp;RIGHT(A714,8)&amp;"*",Main_Tariff!A:A,0)),Raeburn_Main_Tariff[[#This Row],[PRODUCER]])</f>
        <v>Tirecul la Gravière</v>
      </c>
      <c r="C714" s="1178" t="s">
        <v>20632</v>
      </c>
      <c r="D714" s="1178" t="s">
        <v>1410</v>
      </c>
      <c r="E714" s="1179">
        <v>2021</v>
      </c>
      <c r="F714" s="1282" t="s">
        <v>20313</v>
      </c>
      <c r="G714" s="1368">
        <v>20.5</v>
      </c>
      <c r="H714" s="1178" t="s">
        <v>20221</v>
      </c>
      <c r="I714" s="1178" t="s">
        <v>3820</v>
      </c>
      <c r="J714" s="1178" t="s">
        <v>662</v>
      </c>
      <c r="K714" s="1178" t="s">
        <v>20630</v>
      </c>
      <c r="L714" s="1178" t="s">
        <v>199</v>
      </c>
      <c r="M714" s="1369"/>
      <c r="N714" s="1178" t="s">
        <v>20244</v>
      </c>
      <c r="O714" s="1178">
        <v>12</v>
      </c>
      <c r="P714" s="1178">
        <v>12</v>
      </c>
    </row>
    <row r="715" spans="1:16">
      <c r="A715" s="1178" t="s">
        <v>20628</v>
      </c>
      <c r="B715" s="1371" t="str">
        <f>HYPERLINK(IFERROR("#Main_Tariff!A"&amp;MATCH(Raeburn_Main_Tariff[[#This Row],[Product Code]],Main_Tariff!I:I,0),"#Main_Tariff!A"&amp;MATCH("*"&amp;RIGHT(A715,8)&amp;"*",Main_Tariff!A:A,0)),Raeburn_Main_Tariff[[#This Row],[PRODUCER]])</f>
        <v>Tirecul la Gravière</v>
      </c>
      <c r="C715" s="1178" t="s">
        <v>20633</v>
      </c>
      <c r="D715" s="1178" t="s">
        <v>1410</v>
      </c>
      <c r="E715" s="1179">
        <v>2003</v>
      </c>
      <c r="F715" s="1282" t="s">
        <v>20313</v>
      </c>
      <c r="G715" s="1368">
        <v>53.5</v>
      </c>
      <c r="H715" s="1178" t="s">
        <v>20221</v>
      </c>
      <c r="I715" s="1178" t="s">
        <v>3823</v>
      </c>
      <c r="J715" s="1178" t="s">
        <v>662</v>
      </c>
      <c r="K715" s="1178" t="s">
        <v>20630</v>
      </c>
      <c r="L715" s="1178" t="s">
        <v>199</v>
      </c>
      <c r="M715" s="1369"/>
      <c r="N715" s="1178"/>
      <c r="O715" s="1178">
        <v>12</v>
      </c>
      <c r="P715" s="1178">
        <v>12.5</v>
      </c>
    </row>
    <row r="716" spans="1:16">
      <c r="A716" s="1178" t="s">
        <v>20628</v>
      </c>
      <c r="B716" s="1371" t="str">
        <f>HYPERLINK(IFERROR("#Main_Tariff!A"&amp;MATCH(Raeburn_Main_Tariff[[#This Row],[Product Code]],Main_Tariff!I:I,0),"#Main_Tariff!A"&amp;MATCH("*"&amp;RIGHT(A716,8)&amp;"*",Main_Tariff!A:A,0)),Raeburn_Main_Tariff[[#This Row],[PRODUCER]])</f>
        <v>Tirecul la Gravière</v>
      </c>
      <c r="C716" s="1178" t="s">
        <v>20633</v>
      </c>
      <c r="D716" s="1178" t="s">
        <v>1410</v>
      </c>
      <c r="E716" s="1179">
        <v>2001</v>
      </c>
      <c r="F716" s="1282" t="s">
        <v>20313</v>
      </c>
      <c r="G716" s="1368">
        <v>76</v>
      </c>
      <c r="H716" s="1178" t="s">
        <v>20221</v>
      </c>
      <c r="I716" s="1178" t="s">
        <v>3825</v>
      </c>
      <c r="J716" s="1178" t="s">
        <v>662</v>
      </c>
      <c r="K716" s="1178" t="s">
        <v>20630</v>
      </c>
      <c r="L716" s="1178" t="s">
        <v>199</v>
      </c>
      <c r="M716" s="1369"/>
      <c r="N716" s="1178"/>
      <c r="O716" s="1178">
        <v>12</v>
      </c>
      <c r="P716" s="1178">
        <v>12.5</v>
      </c>
    </row>
    <row r="717" spans="1:16">
      <c r="A717" s="1178" t="s">
        <v>202</v>
      </c>
      <c r="B717" s="1371" t="str">
        <f>HYPERLINK(IFERROR("#Main_Tariff!A"&amp;MATCH(Raeburn_Main_Tariff[[#This Row],[Product Code]],Main_Tariff!I:I,0),"#Main_Tariff!A"&amp;MATCH("*"&amp;RIGHT(A717,8)&amp;"*",Main_Tariff!A:A,0)),Raeburn_Main_Tariff[[#This Row],[PRODUCER]])</f>
        <v>Clos de Gamot</v>
      </c>
      <c r="C717" s="1178" t="s">
        <v>20634</v>
      </c>
      <c r="D717" s="1178" t="s">
        <v>897</v>
      </c>
      <c r="E717" s="1179">
        <v>2015</v>
      </c>
      <c r="F717" s="1282" t="s">
        <v>20220</v>
      </c>
      <c r="G717" s="1368">
        <v>13.5</v>
      </c>
      <c r="H717" s="1178" t="s">
        <v>20221</v>
      </c>
      <c r="I717" s="1178" t="s">
        <v>3856</v>
      </c>
      <c r="J717" s="1178" t="s">
        <v>662</v>
      </c>
      <c r="K717" s="1178" t="s">
        <v>20630</v>
      </c>
      <c r="L717" s="1178" t="s">
        <v>201</v>
      </c>
      <c r="M717" s="1369"/>
      <c r="N717" s="1178"/>
      <c r="O717" s="1178">
        <v>6</v>
      </c>
      <c r="P717" s="1178">
        <v>13</v>
      </c>
    </row>
    <row r="718" spans="1:16">
      <c r="A718" s="1178" t="s">
        <v>202</v>
      </c>
      <c r="B718" s="1371" t="str">
        <f>HYPERLINK(IFERROR("#Main_Tariff!A"&amp;MATCH(Raeburn_Main_Tariff[[#This Row],[Product Code]],Main_Tariff!I:I,0),"#Main_Tariff!A"&amp;MATCH("*"&amp;RIGHT(A718,8)&amp;"*",Main_Tariff!A:A,0)),Raeburn_Main_Tariff[[#This Row],[PRODUCER]])</f>
        <v>Clos de Gamot</v>
      </c>
      <c r="C718" s="1178" t="s">
        <v>20635</v>
      </c>
      <c r="D718" s="1178" t="s">
        <v>897</v>
      </c>
      <c r="E718" s="1179">
        <v>2019</v>
      </c>
      <c r="F718" s="1282" t="s">
        <v>20220</v>
      </c>
      <c r="G718" s="1368">
        <v>15.25</v>
      </c>
      <c r="H718" s="1178" t="s">
        <v>20221</v>
      </c>
      <c r="I718" s="1178" t="s">
        <v>3858</v>
      </c>
      <c r="J718" s="1178" t="s">
        <v>662</v>
      </c>
      <c r="K718" s="1178" t="s">
        <v>20630</v>
      </c>
      <c r="L718" s="1178" t="s">
        <v>201</v>
      </c>
      <c r="M718" s="1369"/>
      <c r="N718" s="1178"/>
      <c r="O718" s="1178">
        <v>6</v>
      </c>
      <c r="P718" s="1178">
        <v>13.5</v>
      </c>
    </row>
    <row r="719" spans="1:16">
      <c r="A719" s="1178" t="s">
        <v>202</v>
      </c>
      <c r="B719" s="1371" t="str">
        <f>HYPERLINK(IFERROR("#Main_Tariff!A"&amp;MATCH(Raeburn_Main_Tariff[[#This Row],[Product Code]],Main_Tariff!I:I,0),"#Main_Tariff!A"&amp;MATCH("*"&amp;RIGHT(A719,8)&amp;"*",Main_Tariff!A:A,0)),Raeburn_Main_Tariff[[#This Row],[PRODUCER]])</f>
        <v>Clos de Gamot</v>
      </c>
      <c r="C719" s="1178" t="s">
        <v>20636</v>
      </c>
      <c r="D719" s="1178" t="s">
        <v>897</v>
      </c>
      <c r="E719" s="1179">
        <v>2019</v>
      </c>
      <c r="F719" s="1282" t="s">
        <v>20240</v>
      </c>
      <c r="G719" s="1368">
        <v>31.5</v>
      </c>
      <c r="H719" s="1178" t="s">
        <v>20224</v>
      </c>
      <c r="I719" s="1178" t="s">
        <v>3860</v>
      </c>
      <c r="J719" s="1178" t="s">
        <v>662</v>
      </c>
      <c r="K719" s="1178" t="s">
        <v>20630</v>
      </c>
      <c r="L719" s="1178" t="s">
        <v>201</v>
      </c>
      <c r="M719" s="1369"/>
      <c r="N719" s="1178"/>
      <c r="O719" s="1178">
        <v>6</v>
      </c>
      <c r="P719" s="1178">
        <v>13.5</v>
      </c>
    </row>
    <row r="720" spans="1:16">
      <c r="A720" s="1178" t="s">
        <v>202</v>
      </c>
      <c r="B720" s="1371" t="str">
        <f>HYPERLINK(IFERROR("#Main_Tariff!A"&amp;MATCH(Raeburn_Main_Tariff[[#This Row],[Product Code]],Main_Tariff!I:I,0),"#Main_Tariff!A"&amp;MATCH("*"&amp;RIGHT(A720,8)&amp;"*",Main_Tariff!A:A,0)),Raeburn_Main_Tariff[[#This Row],[PRODUCER]])</f>
        <v>Clos de Gamot</v>
      </c>
      <c r="C720" s="1178" t="s">
        <v>20637</v>
      </c>
      <c r="D720" s="1178" t="s">
        <v>897</v>
      </c>
      <c r="E720" s="1179">
        <v>2018</v>
      </c>
      <c r="F720" s="1282" t="s">
        <v>20220</v>
      </c>
      <c r="G720" s="1368">
        <v>27.5</v>
      </c>
      <c r="H720" s="1178" t="s">
        <v>20221</v>
      </c>
      <c r="I720" s="1178" t="s">
        <v>3862</v>
      </c>
      <c r="J720" s="1178" t="s">
        <v>662</v>
      </c>
      <c r="K720" s="1178" t="s">
        <v>20630</v>
      </c>
      <c r="L720" s="1178" t="s">
        <v>201</v>
      </c>
      <c r="M720" s="1369"/>
      <c r="N720" s="1178"/>
      <c r="O720" s="1178">
        <v>6</v>
      </c>
      <c r="P720" s="1178">
        <v>14.5</v>
      </c>
    </row>
    <row r="721" spans="1:16">
      <c r="A721" s="1178" t="s">
        <v>202</v>
      </c>
      <c r="B721" s="1371" t="str">
        <f>HYPERLINK(IFERROR("#Main_Tariff!A"&amp;MATCH(Raeburn_Main_Tariff[[#This Row],[Product Code]],Main_Tariff!I:I,0),"#Main_Tariff!A"&amp;MATCH("*"&amp;RIGHT(A721,8)&amp;"*",Main_Tariff!A:A,0)),Raeburn_Main_Tariff[[#This Row],[PRODUCER]])</f>
        <v>Clos de Gamot</v>
      </c>
      <c r="C721" s="1178" t="s">
        <v>20638</v>
      </c>
      <c r="D721" s="1178" t="s">
        <v>897</v>
      </c>
      <c r="E721" s="1179">
        <v>2001</v>
      </c>
      <c r="F721" s="1282" t="s">
        <v>20220</v>
      </c>
      <c r="G721" s="1368">
        <v>29.5</v>
      </c>
      <c r="H721" s="1178" t="s">
        <v>20221</v>
      </c>
      <c r="I721" s="1178" t="s">
        <v>3863</v>
      </c>
      <c r="J721" s="1178" t="s">
        <v>662</v>
      </c>
      <c r="K721" s="1178" t="s">
        <v>20630</v>
      </c>
      <c r="L721" s="1178" t="s">
        <v>201</v>
      </c>
      <c r="M721" s="1369"/>
      <c r="N721" s="1178"/>
      <c r="O721" s="1178">
        <v>6</v>
      </c>
      <c r="P721" s="1178">
        <v>13</v>
      </c>
    </row>
    <row r="722" spans="1:16">
      <c r="A722" s="1178" t="s">
        <v>202</v>
      </c>
      <c r="B722" s="1371" t="str">
        <f>HYPERLINK(IFERROR("#Main_Tariff!A"&amp;MATCH(Raeburn_Main_Tariff[[#This Row],[Product Code]],Main_Tariff!I:I,0),"#Main_Tariff!A"&amp;MATCH("*"&amp;RIGHT(A722,8)&amp;"*",Main_Tariff!A:A,0)),Raeburn_Main_Tariff[[#This Row],[PRODUCER]])</f>
        <v>Clos de Gamot</v>
      </c>
      <c r="C722" s="1178" t="s">
        <v>20638</v>
      </c>
      <c r="D722" s="1178" t="s">
        <v>897</v>
      </c>
      <c r="E722" s="1179">
        <v>2000</v>
      </c>
      <c r="F722" s="1282" t="s">
        <v>20220</v>
      </c>
      <c r="G722" s="1368">
        <v>29.5</v>
      </c>
      <c r="H722" s="1178" t="s">
        <v>20221</v>
      </c>
      <c r="I722" s="1178" t="s">
        <v>3864</v>
      </c>
      <c r="J722" s="1178" t="s">
        <v>662</v>
      </c>
      <c r="K722" s="1178" t="s">
        <v>20630</v>
      </c>
      <c r="L722" s="1178" t="s">
        <v>201</v>
      </c>
      <c r="M722" s="1369"/>
      <c r="N722" s="1178"/>
      <c r="O722" s="1178">
        <v>6</v>
      </c>
      <c r="P722" s="1178">
        <v>13</v>
      </c>
    </row>
    <row r="723" spans="1:16">
      <c r="A723" s="1178" t="s">
        <v>20639</v>
      </c>
      <c r="B723" s="1371" t="str">
        <f>HYPERLINK(IFERROR("#Main_Tariff!A"&amp;MATCH(Raeburn_Main_Tariff[[#This Row],[Product Code]],Main_Tariff!I:I,0),"#Main_Tariff!A"&amp;MATCH("*"&amp;RIGHT(A723,8)&amp;"*",Main_Tariff!A:A,0)),Raeburn_Main_Tariff[[#This Row],[PRODUCER]])</f>
        <v>Domaine de Chantemerle</v>
      </c>
      <c r="C723" s="1178" t="s">
        <v>20640</v>
      </c>
      <c r="D723" s="1178" t="s">
        <v>1129</v>
      </c>
      <c r="E723" s="1179">
        <v>2021</v>
      </c>
      <c r="F723" s="1282" t="s">
        <v>20220</v>
      </c>
      <c r="G723" s="1368">
        <v>16.95</v>
      </c>
      <c r="H723" s="1178" t="s">
        <v>20221</v>
      </c>
      <c r="I723" s="1178" t="s">
        <v>3883</v>
      </c>
      <c r="J723" s="1178" t="s">
        <v>662</v>
      </c>
      <c r="K723" s="1178" t="s">
        <v>267</v>
      </c>
      <c r="L723" s="1178" t="s">
        <v>204</v>
      </c>
      <c r="M723" s="1369"/>
      <c r="N723" s="1178"/>
      <c r="O723" s="1178">
        <v>12</v>
      </c>
      <c r="P723" s="1178">
        <v>12.5</v>
      </c>
    </row>
    <row r="724" spans="1:16">
      <c r="A724" s="1178" t="s">
        <v>20639</v>
      </c>
      <c r="B724" s="1371" t="str">
        <f>HYPERLINK(IFERROR("#Main_Tariff!A"&amp;MATCH(Raeburn_Main_Tariff[[#This Row],[Product Code]],Main_Tariff!I:I,0),"#Main_Tariff!A"&amp;MATCH("*"&amp;RIGHT(A724,8)&amp;"*",Main_Tariff!A:A,0)),Raeburn_Main_Tariff[[#This Row],[PRODUCER]])</f>
        <v>Domaine de Chantemerle</v>
      </c>
      <c r="C724" s="1178" t="s">
        <v>204</v>
      </c>
      <c r="D724" s="1178" t="s">
        <v>1129</v>
      </c>
      <c r="E724" s="1179">
        <v>2023</v>
      </c>
      <c r="F724" s="1282" t="s">
        <v>20220</v>
      </c>
      <c r="G724" s="1368">
        <v>18.5</v>
      </c>
      <c r="H724" s="1178" t="s">
        <v>20221</v>
      </c>
      <c r="I724" s="1178" t="s">
        <v>3885</v>
      </c>
      <c r="J724" s="1178" t="s">
        <v>662</v>
      </c>
      <c r="K724" s="1178" t="s">
        <v>267</v>
      </c>
      <c r="L724" s="1178" t="s">
        <v>204</v>
      </c>
      <c r="M724" s="1369"/>
      <c r="N724" s="1178"/>
      <c r="O724" s="1178">
        <v>12</v>
      </c>
      <c r="P724" s="1178">
        <v>12.5</v>
      </c>
    </row>
    <row r="725" spans="1:16">
      <c r="A725" s="1178" t="s">
        <v>20639</v>
      </c>
      <c r="B725" s="1371" t="str">
        <f>HYPERLINK(IFERROR("#Main_Tariff!A"&amp;MATCH(Raeburn_Main_Tariff[[#This Row],[Product Code]],Main_Tariff!I:I,0),"#Main_Tariff!A"&amp;MATCH("*"&amp;RIGHT(A725,8)&amp;"*",Main_Tariff!A:A,0)),Raeburn_Main_Tariff[[#This Row],[PRODUCER]])</f>
        <v>Domaine de Chantemerle</v>
      </c>
      <c r="C725" s="1178" t="s">
        <v>204</v>
      </c>
      <c r="D725" s="1178" t="s">
        <v>1129</v>
      </c>
      <c r="E725" s="1179">
        <v>2018</v>
      </c>
      <c r="F725" s="1282" t="s">
        <v>20220</v>
      </c>
      <c r="G725" s="1368">
        <v>18</v>
      </c>
      <c r="H725" s="1178" t="s">
        <v>20221</v>
      </c>
      <c r="I725" s="1178" t="s">
        <v>3887</v>
      </c>
      <c r="J725" s="1178" t="s">
        <v>662</v>
      </c>
      <c r="K725" s="1178" t="s">
        <v>267</v>
      </c>
      <c r="L725" s="1178" t="s">
        <v>204</v>
      </c>
      <c r="M725" s="1369"/>
      <c r="N725" s="1178"/>
      <c r="O725" s="1178">
        <v>12</v>
      </c>
      <c r="P725" s="1178">
        <v>12.5</v>
      </c>
    </row>
    <row r="726" spans="1:16">
      <c r="A726" s="1178" t="s">
        <v>20639</v>
      </c>
      <c r="B726" s="1371" t="str">
        <f>HYPERLINK(IFERROR("#Main_Tariff!A"&amp;MATCH(Raeburn_Main_Tariff[[#This Row],[Product Code]],Main_Tariff!I:I,0),"#Main_Tariff!A"&amp;MATCH("*"&amp;RIGHT(A726,8)&amp;"*",Main_Tariff!A:A,0)),Raeburn_Main_Tariff[[#This Row],[PRODUCER]])</f>
        <v>Domaine de Chantemerle</v>
      </c>
      <c r="C726" s="1178" t="s">
        <v>20641</v>
      </c>
      <c r="D726" s="1178" t="s">
        <v>1129</v>
      </c>
      <c r="E726" s="1179">
        <v>2022</v>
      </c>
      <c r="F726" s="1282" t="s">
        <v>20220</v>
      </c>
      <c r="G726" s="1368">
        <v>24.5</v>
      </c>
      <c r="H726" s="1178" t="s">
        <v>20221</v>
      </c>
      <c r="I726" s="1178" t="s">
        <v>3889</v>
      </c>
      <c r="J726" s="1178" t="s">
        <v>662</v>
      </c>
      <c r="K726" s="1178" t="s">
        <v>267</v>
      </c>
      <c r="L726" s="1178" t="s">
        <v>204</v>
      </c>
      <c r="M726" s="1369" t="s">
        <v>23297</v>
      </c>
      <c r="N726" s="1178"/>
      <c r="O726" s="1178">
        <v>6</v>
      </c>
      <c r="P726" s="1178">
        <v>12.5</v>
      </c>
    </row>
    <row r="727" spans="1:16">
      <c r="A727" s="1178" t="s">
        <v>20639</v>
      </c>
      <c r="B727" s="1371" t="str">
        <f>HYPERLINK(IFERROR("#Main_Tariff!A"&amp;MATCH(Raeburn_Main_Tariff[[#This Row],[Product Code]],Main_Tariff!I:I,0),"#Main_Tariff!A"&amp;MATCH("*"&amp;RIGHT(A727,8)&amp;"*",Main_Tariff!A:A,0)),Raeburn_Main_Tariff[[#This Row],[PRODUCER]])</f>
        <v>Domaine de Chantemerle</v>
      </c>
      <c r="C727" s="1178" t="s">
        <v>20641</v>
      </c>
      <c r="D727" s="1178" t="s">
        <v>1129</v>
      </c>
      <c r="E727" s="1179">
        <v>2021</v>
      </c>
      <c r="F727" s="1282" t="s">
        <v>20220</v>
      </c>
      <c r="G727" s="1368">
        <v>24.5</v>
      </c>
      <c r="H727" s="1178" t="s">
        <v>20221</v>
      </c>
      <c r="I727" s="1178" t="s">
        <v>3891</v>
      </c>
      <c r="J727" s="1178" t="s">
        <v>662</v>
      </c>
      <c r="K727" s="1178" t="s">
        <v>267</v>
      </c>
      <c r="L727" s="1178" t="s">
        <v>204</v>
      </c>
      <c r="M727" s="1369" t="s">
        <v>23297</v>
      </c>
      <c r="N727" s="1178"/>
      <c r="O727" s="1178">
        <v>12</v>
      </c>
      <c r="P727" s="1178">
        <v>12.5</v>
      </c>
    </row>
    <row r="728" spans="1:16">
      <c r="A728" s="1178" t="s">
        <v>20639</v>
      </c>
      <c r="B728" s="1371" t="str">
        <f>HYPERLINK(IFERROR("#Main_Tariff!A"&amp;MATCH(Raeburn_Main_Tariff[[#This Row],[Product Code]],Main_Tariff!I:I,0),"#Main_Tariff!A"&amp;MATCH("*"&amp;RIGHT(A728,8)&amp;"*",Main_Tariff!A:A,0)),Raeburn_Main_Tariff[[#This Row],[PRODUCER]])</f>
        <v>Domaine de Chantemerle</v>
      </c>
      <c r="C728" s="1178" t="s">
        <v>20642</v>
      </c>
      <c r="D728" s="1178" t="s">
        <v>1129</v>
      </c>
      <c r="E728" s="1179">
        <v>2020</v>
      </c>
      <c r="F728" s="1282" t="s">
        <v>20220</v>
      </c>
      <c r="G728" s="1368" t="s">
        <v>5258</v>
      </c>
      <c r="H728" s="1178" t="s">
        <v>20221</v>
      </c>
      <c r="I728" s="1178" t="s">
        <v>3893</v>
      </c>
      <c r="J728" s="1178" t="s">
        <v>662</v>
      </c>
      <c r="K728" s="1178" t="s">
        <v>267</v>
      </c>
      <c r="L728" s="1178" t="s">
        <v>204</v>
      </c>
      <c r="M728" s="1369" t="s">
        <v>23297</v>
      </c>
      <c r="N728" s="1178"/>
      <c r="O728" s="1178">
        <v>12</v>
      </c>
      <c r="P728" s="1178">
        <v>12.5</v>
      </c>
    </row>
    <row r="729" spans="1:16">
      <c r="A729" s="1178" t="s">
        <v>20643</v>
      </c>
      <c r="B729" s="1371" t="str">
        <f>HYPERLINK(IFERROR("#Main_Tariff!A"&amp;MATCH(Raeburn_Main_Tariff[[#This Row],[Product Code]],Main_Tariff!I:I,0),"#Main_Tariff!A"&amp;MATCH("*"&amp;RIGHT(A729,8)&amp;"*",Main_Tariff!A:A,0)),Raeburn_Main_Tariff[[#This Row],[PRODUCER]])</f>
        <v>Domaine Chaude Écuelle</v>
      </c>
      <c r="C729" s="1178" t="s">
        <v>204</v>
      </c>
      <c r="D729" s="1178" t="s">
        <v>1129</v>
      </c>
      <c r="E729" s="1179">
        <v>2020</v>
      </c>
      <c r="F729" s="1282" t="s">
        <v>20220</v>
      </c>
      <c r="G729" s="1368">
        <v>18.5</v>
      </c>
      <c r="H729" s="1178" t="s">
        <v>20221</v>
      </c>
      <c r="I729" s="1178" t="s">
        <v>3902</v>
      </c>
      <c r="J729" s="1178" t="s">
        <v>662</v>
      </c>
      <c r="K729" s="1178" t="s">
        <v>267</v>
      </c>
      <c r="L729" s="1178" t="s">
        <v>204</v>
      </c>
      <c r="M729" s="1369"/>
      <c r="N729" s="1178"/>
      <c r="O729" s="1178">
        <v>12</v>
      </c>
      <c r="P729" s="1178">
        <v>12.5</v>
      </c>
    </row>
    <row r="730" spans="1:16">
      <c r="A730" s="1178" t="s">
        <v>20643</v>
      </c>
      <c r="B730" s="1371" t="str">
        <f>HYPERLINK(IFERROR("#Main_Tariff!A"&amp;MATCH(Raeburn_Main_Tariff[[#This Row],[Product Code]],Main_Tariff!I:I,0),"#Main_Tariff!A"&amp;MATCH("*"&amp;RIGHT(A730,8)&amp;"*",Main_Tariff!A:A,0)),Raeburn_Main_Tariff[[#This Row],[PRODUCER]])</f>
        <v>Domaine Chaude Écuelle</v>
      </c>
      <c r="C730" s="1178" t="s">
        <v>20644</v>
      </c>
      <c r="D730" s="1178" t="s">
        <v>1129</v>
      </c>
      <c r="E730" s="1179">
        <v>2020</v>
      </c>
      <c r="F730" s="1282" t="s">
        <v>20220</v>
      </c>
      <c r="G730" s="1368">
        <v>24.5</v>
      </c>
      <c r="H730" s="1178" t="s">
        <v>20277</v>
      </c>
      <c r="I730" s="1178" t="s">
        <v>3904</v>
      </c>
      <c r="J730" s="1178" t="s">
        <v>662</v>
      </c>
      <c r="K730" s="1178" t="s">
        <v>267</v>
      </c>
      <c r="L730" s="1178" t="s">
        <v>204</v>
      </c>
      <c r="M730" s="1369" t="s">
        <v>23297</v>
      </c>
      <c r="N730" s="1178"/>
      <c r="O730" s="1178">
        <v>12</v>
      </c>
      <c r="P730" s="1178">
        <v>13</v>
      </c>
    </row>
    <row r="731" spans="1:16">
      <c r="A731" s="1178" t="s">
        <v>207</v>
      </c>
      <c r="B731" s="1371" t="str">
        <f>HYPERLINK(IFERROR("#Main_Tariff!A"&amp;MATCH(Raeburn_Main_Tariff[[#This Row],[Product Code]],Main_Tariff!I:I,0),"#Main_Tariff!A"&amp;MATCH("*"&amp;RIGHT(A731,8)&amp;"*",Main_Tariff!A:A,0)),Raeburn_Main_Tariff[[#This Row],[PRODUCER]])</f>
        <v>Thierry Laffay</v>
      </c>
      <c r="C731" s="1178" t="s">
        <v>20645</v>
      </c>
      <c r="D731" s="1178" t="s">
        <v>1129</v>
      </c>
      <c r="E731" s="1179">
        <v>2021</v>
      </c>
      <c r="F731" s="1282" t="s">
        <v>20220</v>
      </c>
      <c r="G731" s="1368">
        <v>19.95</v>
      </c>
      <c r="H731" s="1178" t="s">
        <v>20221</v>
      </c>
      <c r="I731" s="1178" t="s">
        <v>3929</v>
      </c>
      <c r="J731" s="1178" t="s">
        <v>662</v>
      </c>
      <c r="K731" s="1178" t="s">
        <v>267</v>
      </c>
      <c r="L731" s="1178" t="s">
        <v>204</v>
      </c>
      <c r="M731" s="1369"/>
      <c r="N731" s="1178"/>
      <c r="O731" s="1178">
        <v>6</v>
      </c>
      <c r="P731" s="1178">
        <v>12.5</v>
      </c>
    </row>
    <row r="732" spans="1:16">
      <c r="A732" s="1178" t="s">
        <v>207</v>
      </c>
      <c r="B732" s="1371" t="str">
        <f>HYPERLINK(IFERROR("#Main_Tariff!A"&amp;MATCH(Raeburn_Main_Tariff[[#This Row],[Product Code]],Main_Tariff!I:I,0),"#Main_Tariff!A"&amp;MATCH("*"&amp;RIGHT(A732,8)&amp;"*",Main_Tariff!A:A,0)),Raeburn_Main_Tariff[[#This Row],[PRODUCER]])</f>
        <v>Thierry Laffay</v>
      </c>
      <c r="C732" s="1178" t="s">
        <v>20646</v>
      </c>
      <c r="D732" s="1178" t="s">
        <v>1129</v>
      </c>
      <c r="E732" s="1179">
        <v>2022</v>
      </c>
      <c r="F732" s="1282" t="s">
        <v>20220</v>
      </c>
      <c r="G732" s="1368">
        <v>26.95</v>
      </c>
      <c r="H732" s="1178" t="s">
        <v>20221</v>
      </c>
      <c r="I732" s="1178" t="s">
        <v>3933</v>
      </c>
      <c r="J732" s="1178" t="s">
        <v>662</v>
      </c>
      <c r="K732" s="1178" t="s">
        <v>267</v>
      </c>
      <c r="L732" s="1178" t="s">
        <v>204</v>
      </c>
      <c r="M732" s="1369" t="s">
        <v>23297</v>
      </c>
      <c r="N732" s="1178"/>
      <c r="O732" s="1178">
        <v>6</v>
      </c>
      <c r="P732" s="1178">
        <v>12.5</v>
      </c>
    </row>
    <row r="733" spans="1:16">
      <c r="A733" s="1178" t="s">
        <v>207</v>
      </c>
      <c r="B733" s="1371" t="str">
        <f>HYPERLINK(IFERROR("#Main_Tariff!A"&amp;MATCH(Raeburn_Main_Tariff[[#This Row],[Product Code]],Main_Tariff!I:I,0),"#Main_Tariff!A"&amp;MATCH("*"&amp;RIGHT(A733,8)&amp;"*",Main_Tariff!A:A,0)),Raeburn_Main_Tariff[[#This Row],[PRODUCER]])</f>
        <v>Thierry Laffay</v>
      </c>
      <c r="C733" s="1178" t="s">
        <v>20647</v>
      </c>
      <c r="D733" s="1178" t="s">
        <v>1129</v>
      </c>
      <c r="E733" s="1179">
        <v>2022</v>
      </c>
      <c r="F733" s="1282" t="s">
        <v>20220</v>
      </c>
      <c r="G733" s="1368">
        <v>26.95</v>
      </c>
      <c r="H733" s="1178" t="s">
        <v>20221</v>
      </c>
      <c r="I733" s="1178" t="s">
        <v>3935</v>
      </c>
      <c r="J733" s="1178" t="s">
        <v>662</v>
      </c>
      <c r="K733" s="1178" t="s">
        <v>267</v>
      </c>
      <c r="L733" s="1178" t="s">
        <v>204</v>
      </c>
      <c r="M733" s="1369" t="s">
        <v>23297</v>
      </c>
      <c r="N733" s="1178"/>
      <c r="O733" s="1178">
        <v>6</v>
      </c>
      <c r="P733" s="1178">
        <v>12.5</v>
      </c>
    </row>
    <row r="734" spans="1:16">
      <c r="A734" s="1178" t="s">
        <v>207</v>
      </c>
      <c r="B734" s="1371" t="str">
        <f>HYPERLINK(IFERROR("#Main_Tariff!A"&amp;MATCH(Raeburn_Main_Tariff[[#This Row],[Product Code]],Main_Tariff!I:I,0),"#Main_Tariff!A"&amp;MATCH("*"&amp;RIGHT(A734,8)&amp;"*",Main_Tariff!A:A,0)),Raeburn_Main_Tariff[[#This Row],[PRODUCER]])</f>
        <v>Thierry Laffay</v>
      </c>
      <c r="C734" s="1178" t="s">
        <v>20648</v>
      </c>
      <c r="D734" s="1178" t="s">
        <v>1129</v>
      </c>
      <c r="E734" s="1179">
        <v>2019</v>
      </c>
      <c r="F734" s="1282" t="s">
        <v>20220</v>
      </c>
      <c r="G734" s="1368">
        <v>26.95</v>
      </c>
      <c r="H734" s="1178" t="s">
        <v>20221</v>
      </c>
      <c r="I734" s="1178" t="s">
        <v>3937</v>
      </c>
      <c r="J734" s="1178" t="s">
        <v>662</v>
      </c>
      <c r="K734" s="1178" t="s">
        <v>267</v>
      </c>
      <c r="L734" s="1178" t="s">
        <v>204</v>
      </c>
      <c r="M734" s="1369" t="s">
        <v>23297</v>
      </c>
      <c r="N734" s="1178"/>
      <c r="O734" s="1178">
        <v>6</v>
      </c>
      <c r="P734" s="1178">
        <v>12.5</v>
      </c>
    </row>
    <row r="735" spans="1:16">
      <c r="A735" s="1178" t="s">
        <v>207</v>
      </c>
      <c r="B735" s="1371" t="str">
        <f>HYPERLINK(IFERROR("#Main_Tariff!A"&amp;MATCH(Raeburn_Main_Tariff[[#This Row],[Product Code]],Main_Tariff!I:I,0),"#Main_Tariff!A"&amp;MATCH("*"&amp;RIGHT(A735,8)&amp;"*",Main_Tariff!A:A,0)),Raeburn_Main_Tariff[[#This Row],[PRODUCER]])</f>
        <v>Thierry Laffay</v>
      </c>
      <c r="C735" s="1178" t="s">
        <v>20649</v>
      </c>
      <c r="D735" s="1178" t="s">
        <v>1129</v>
      </c>
      <c r="E735" s="1179">
        <v>2022</v>
      </c>
      <c r="F735" s="1282" t="s">
        <v>20220</v>
      </c>
      <c r="G735" s="1368">
        <v>46</v>
      </c>
      <c r="H735" s="1178" t="s">
        <v>20221</v>
      </c>
      <c r="I735" s="1178" t="s">
        <v>3940</v>
      </c>
      <c r="J735" s="1178" t="s">
        <v>662</v>
      </c>
      <c r="K735" s="1178" t="s">
        <v>267</v>
      </c>
      <c r="L735" s="1178" t="s">
        <v>204</v>
      </c>
      <c r="M735" s="1369" t="s">
        <v>23296</v>
      </c>
      <c r="N735" s="1178"/>
      <c r="O735" s="1178">
        <v>6</v>
      </c>
      <c r="P735" s="1178">
        <v>12.5</v>
      </c>
    </row>
    <row r="736" spans="1:16">
      <c r="A736" s="1178" t="s">
        <v>207</v>
      </c>
      <c r="B736" s="1371" t="str">
        <f>HYPERLINK(IFERROR("#Main_Tariff!A"&amp;MATCH(Raeburn_Main_Tariff[[#This Row],[Product Code]],Main_Tariff!I:I,0),"#Main_Tariff!A"&amp;MATCH("*"&amp;RIGHT(A736,8)&amp;"*",Main_Tariff!A:A,0)),Raeburn_Main_Tariff[[#This Row],[PRODUCER]])</f>
        <v>Thierry Laffay</v>
      </c>
      <c r="C736" s="1178" t="s">
        <v>20649</v>
      </c>
      <c r="D736" s="1178" t="s">
        <v>1129</v>
      </c>
      <c r="E736" s="1179">
        <v>2021</v>
      </c>
      <c r="F736" s="1282" t="s">
        <v>20220</v>
      </c>
      <c r="G736" s="1368">
        <v>44</v>
      </c>
      <c r="H736" s="1178" t="s">
        <v>20221</v>
      </c>
      <c r="I736" s="1178" t="s">
        <v>3942</v>
      </c>
      <c r="J736" s="1178" t="s">
        <v>662</v>
      </c>
      <c r="K736" s="1178" t="s">
        <v>267</v>
      </c>
      <c r="L736" s="1178" t="s">
        <v>204</v>
      </c>
      <c r="M736" s="1369" t="s">
        <v>23296</v>
      </c>
      <c r="N736" s="1178"/>
      <c r="O736" s="1178">
        <v>6</v>
      </c>
      <c r="P736" s="1178">
        <v>12.5</v>
      </c>
    </row>
    <row r="737" spans="1:16">
      <c r="A737" s="1178" t="s">
        <v>207</v>
      </c>
      <c r="B737" s="1371" t="str">
        <f>HYPERLINK(IFERROR("#Main_Tariff!A"&amp;MATCH(Raeburn_Main_Tariff[[#This Row],[Product Code]],Main_Tariff!I:I,0),"#Main_Tariff!A"&amp;MATCH("*"&amp;RIGHT(A737,8)&amp;"*",Main_Tariff!A:A,0)),Raeburn_Main_Tariff[[#This Row],[PRODUCER]])</f>
        <v>Thierry Laffay</v>
      </c>
      <c r="C737" s="1178" t="s">
        <v>20649</v>
      </c>
      <c r="D737" s="1178" t="s">
        <v>1129</v>
      </c>
      <c r="E737" s="1179">
        <v>2020</v>
      </c>
      <c r="F737" s="1282" t="s">
        <v>20220</v>
      </c>
      <c r="G737" s="1368">
        <v>44</v>
      </c>
      <c r="H737" s="1178" t="s">
        <v>20224</v>
      </c>
      <c r="I737" s="1178" t="s">
        <v>3944</v>
      </c>
      <c r="J737" s="1178" t="s">
        <v>662</v>
      </c>
      <c r="K737" s="1178" t="s">
        <v>267</v>
      </c>
      <c r="L737" s="1178" t="s">
        <v>204</v>
      </c>
      <c r="M737" s="1369" t="s">
        <v>23296</v>
      </c>
      <c r="N737" s="1178"/>
      <c r="O737" s="1178">
        <v>6</v>
      </c>
      <c r="P737" s="1178">
        <v>13</v>
      </c>
    </row>
    <row r="738" spans="1:16">
      <c r="A738" s="1178" t="s">
        <v>207</v>
      </c>
      <c r="B738" s="1371" t="str">
        <f>HYPERLINK(IFERROR("#Main_Tariff!A"&amp;MATCH(Raeburn_Main_Tariff[[#This Row],[Product Code]],Main_Tariff!I:I,0),"#Main_Tariff!A"&amp;MATCH("*"&amp;RIGHT(A738,8)&amp;"*",Main_Tariff!A:A,0)),Raeburn_Main_Tariff[[#This Row],[PRODUCER]])</f>
        <v>Thierry Laffay</v>
      </c>
      <c r="C738" s="1178" t="s">
        <v>20650</v>
      </c>
      <c r="D738" s="1178" t="s">
        <v>1129</v>
      </c>
      <c r="E738" s="1179">
        <v>2018</v>
      </c>
      <c r="F738" s="1282" t="s">
        <v>20220</v>
      </c>
      <c r="G738" s="1368">
        <v>39.5</v>
      </c>
      <c r="H738" s="1178" t="s">
        <v>20221</v>
      </c>
      <c r="I738" s="1178" t="s">
        <v>3946</v>
      </c>
      <c r="J738" s="1178" t="s">
        <v>662</v>
      </c>
      <c r="K738" s="1178" t="s">
        <v>267</v>
      </c>
      <c r="L738" s="1178" t="s">
        <v>204</v>
      </c>
      <c r="M738" s="1369" t="s">
        <v>23296</v>
      </c>
      <c r="N738" s="1178"/>
      <c r="O738" s="1178">
        <v>6</v>
      </c>
      <c r="P738" s="1178">
        <v>13</v>
      </c>
    </row>
    <row r="739" spans="1:16">
      <c r="A739" s="1178" t="s">
        <v>207</v>
      </c>
      <c r="B739" s="1371" t="str">
        <f>HYPERLINK(IFERROR("#Main_Tariff!A"&amp;MATCH(Raeburn_Main_Tariff[[#This Row],[Product Code]],Main_Tariff!I:I,0),"#Main_Tariff!A"&amp;MATCH("*"&amp;RIGHT(A739,8)&amp;"*",Main_Tariff!A:A,0)),Raeburn_Main_Tariff[[#This Row],[PRODUCER]])</f>
        <v>Thierry Laffay</v>
      </c>
      <c r="C739" s="1178" t="s">
        <v>20650</v>
      </c>
      <c r="D739" s="1178" t="s">
        <v>1129</v>
      </c>
      <c r="E739" s="1179">
        <v>2017</v>
      </c>
      <c r="F739" s="1282" t="s">
        <v>20220</v>
      </c>
      <c r="G739" s="1368">
        <v>39.5</v>
      </c>
      <c r="H739" s="1178" t="s">
        <v>20277</v>
      </c>
      <c r="I739" s="1178" t="s">
        <v>3947</v>
      </c>
      <c r="J739" s="1178" t="s">
        <v>662</v>
      </c>
      <c r="K739" s="1178" t="s">
        <v>267</v>
      </c>
      <c r="L739" s="1178" t="s">
        <v>204</v>
      </c>
      <c r="M739" s="1369" t="s">
        <v>23296</v>
      </c>
      <c r="N739" s="1178"/>
      <c r="O739" s="1178">
        <v>6</v>
      </c>
      <c r="P739" s="1178">
        <v>13</v>
      </c>
    </row>
    <row r="740" spans="1:16">
      <c r="A740" s="1178" t="s">
        <v>207</v>
      </c>
      <c r="B740" s="1371" t="str">
        <f>HYPERLINK(IFERROR("#Main_Tariff!A"&amp;MATCH(Raeburn_Main_Tariff[[#This Row],[Product Code]],Main_Tariff!I:I,0),"#Main_Tariff!A"&amp;MATCH("*"&amp;RIGHT(A740,8)&amp;"*",Main_Tariff!A:A,0)),Raeburn_Main_Tariff[[#This Row],[PRODUCER]])</f>
        <v>Thierry Laffay</v>
      </c>
      <c r="C740" s="1178" t="s">
        <v>20650</v>
      </c>
      <c r="D740" s="1178" t="s">
        <v>1129</v>
      </c>
      <c r="E740" s="1179">
        <v>2015</v>
      </c>
      <c r="F740" s="1282" t="s">
        <v>20220</v>
      </c>
      <c r="G740" s="1368">
        <v>38</v>
      </c>
      <c r="H740" s="1178" t="s">
        <v>20277</v>
      </c>
      <c r="I740" s="1178" t="s">
        <v>3948</v>
      </c>
      <c r="J740" s="1178" t="s">
        <v>662</v>
      </c>
      <c r="K740" s="1178" t="s">
        <v>267</v>
      </c>
      <c r="L740" s="1178" t="s">
        <v>204</v>
      </c>
      <c r="M740" s="1369" t="s">
        <v>23296</v>
      </c>
      <c r="N740" s="1178"/>
      <c r="O740" s="1178">
        <v>6</v>
      </c>
      <c r="P740" s="1178">
        <v>13</v>
      </c>
    </row>
    <row r="741" spans="1:16">
      <c r="A741" s="1178" t="s">
        <v>20651</v>
      </c>
      <c r="B741" s="1371" t="str">
        <f>HYPERLINK(IFERROR("#Main_Tariff!A"&amp;MATCH(Raeburn_Main_Tariff[[#This Row],[Product Code]],Main_Tariff!I:I,0),"#Main_Tariff!A"&amp;MATCH("*"&amp;RIGHT(A741,8)&amp;"*",Main_Tariff!A:A,0)),Raeburn_Main_Tariff[[#This Row],[PRODUCER]])</f>
        <v>Domaine Goisot</v>
      </c>
      <c r="C741" s="1178" t="s">
        <v>20652</v>
      </c>
      <c r="D741" s="1178" t="s">
        <v>1129</v>
      </c>
      <c r="E741" s="1179">
        <v>2022</v>
      </c>
      <c r="F741" s="1282" t="s">
        <v>20220</v>
      </c>
      <c r="G741" s="1368">
        <v>17</v>
      </c>
      <c r="H741" s="1178" t="s">
        <v>20277</v>
      </c>
      <c r="I741" s="1178" t="s">
        <v>3992</v>
      </c>
      <c r="J741" s="1178" t="s">
        <v>662</v>
      </c>
      <c r="K741" s="1178" t="s">
        <v>267</v>
      </c>
      <c r="L741" s="1178" t="s">
        <v>20653</v>
      </c>
      <c r="M741" s="1369"/>
      <c r="N741" s="1178" t="s">
        <v>20244</v>
      </c>
      <c r="O741" s="1178">
        <v>12</v>
      </c>
      <c r="P741" s="1178">
        <v>13</v>
      </c>
    </row>
    <row r="742" spans="1:16">
      <c r="A742" s="1178" t="s">
        <v>20651</v>
      </c>
      <c r="B742" s="1371" t="str">
        <f>HYPERLINK(IFERROR("#Main_Tariff!A"&amp;MATCH(Raeburn_Main_Tariff[[#This Row],[Product Code]],Main_Tariff!I:I,0),"#Main_Tariff!A"&amp;MATCH("*"&amp;RIGHT(A742,8)&amp;"*",Main_Tariff!A:A,0)),Raeburn_Main_Tariff[[#This Row],[PRODUCER]])</f>
        <v>Domaine Goisot</v>
      </c>
      <c r="C742" s="1178" t="s">
        <v>20654</v>
      </c>
      <c r="D742" s="1178" t="s">
        <v>1129</v>
      </c>
      <c r="E742" s="1179">
        <v>2018</v>
      </c>
      <c r="F742" s="1282" t="s">
        <v>20220</v>
      </c>
      <c r="G742" s="1368">
        <v>17</v>
      </c>
      <c r="H742" s="1178" t="s">
        <v>20221</v>
      </c>
      <c r="I742" s="1178" t="s">
        <v>3994</v>
      </c>
      <c r="J742" s="1178" t="s">
        <v>662</v>
      </c>
      <c r="K742" s="1178" t="s">
        <v>267</v>
      </c>
      <c r="L742" s="1178" t="s">
        <v>20653</v>
      </c>
      <c r="M742" s="1369"/>
      <c r="N742" s="1178" t="s">
        <v>20244</v>
      </c>
      <c r="O742" s="1178">
        <v>12</v>
      </c>
      <c r="P742" s="1178">
        <v>12.7</v>
      </c>
    </row>
    <row r="743" spans="1:16">
      <c r="A743" s="1178" t="s">
        <v>20651</v>
      </c>
      <c r="B743" s="1371" t="str">
        <f>HYPERLINK(IFERROR("#Main_Tariff!A"&amp;MATCH(Raeburn_Main_Tariff[[#This Row],[Product Code]],Main_Tariff!I:I,0),"#Main_Tariff!A"&amp;MATCH("*"&amp;RIGHT(A743,8)&amp;"*",Main_Tariff!A:A,0)),Raeburn_Main_Tariff[[#This Row],[PRODUCER]])</f>
        <v>Domaine Goisot</v>
      </c>
      <c r="C743" s="1178" t="s">
        <v>20654</v>
      </c>
      <c r="D743" s="1178" t="s">
        <v>1129</v>
      </c>
      <c r="E743" s="1179">
        <v>2017</v>
      </c>
      <c r="F743" s="1282" t="s">
        <v>20220</v>
      </c>
      <c r="G743" s="1368">
        <v>17</v>
      </c>
      <c r="H743" s="1178" t="s">
        <v>20277</v>
      </c>
      <c r="I743" s="1178" t="s">
        <v>3996</v>
      </c>
      <c r="J743" s="1178" t="s">
        <v>662</v>
      </c>
      <c r="K743" s="1178" t="s">
        <v>267</v>
      </c>
      <c r="L743" s="1178" t="s">
        <v>20653</v>
      </c>
      <c r="M743" s="1369"/>
      <c r="N743" s="1178"/>
      <c r="O743" s="1178">
        <v>12</v>
      </c>
      <c r="P743" s="1178">
        <v>12.7</v>
      </c>
    </row>
    <row r="744" spans="1:16">
      <c r="A744" s="1178" t="s">
        <v>20651</v>
      </c>
      <c r="B744" s="1371" t="str">
        <f>HYPERLINK(IFERROR("#Main_Tariff!A"&amp;MATCH(Raeburn_Main_Tariff[[#This Row],[Product Code]],Main_Tariff!I:I,0),"#Main_Tariff!A"&amp;MATCH("*"&amp;RIGHT(A744,8)&amp;"*",Main_Tariff!A:A,0)),Raeburn_Main_Tariff[[#This Row],[PRODUCER]])</f>
        <v>Domaine Goisot</v>
      </c>
      <c r="C744" s="1178" t="s">
        <v>20655</v>
      </c>
      <c r="D744" s="1178" t="s">
        <v>1129</v>
      </c>
      <c r="E744" s="1179">
        <v>2017</v>
      </c>
      <c r="F744" s="1282" t="s">
        <v>20220</v>
      </c>
      <c r="G744" s="1368">
        <v>22.5</v>
      </c>
      <c r="H744" s="1178" t="s">
        <v>20221</v>
      </c>
      <c r="I744" s="1178" t="s">
        <v>3998</v>
      </c>
      <c r="J744" s="1178" t="s">
        <v>662</v>
      </c>
      <c r="K744" s="1178" t="s">
        <v>267</v>
      </c>
      <c r="L744" s="1178" t="s">
        <v>20653</v>
      </c>
      <c r="M744" s="1369"/>
      <c r="N744" s="1178"/>
      <c r="O744" s="1178">
        <v>12</v>
      </c>
      <c r="P744" s="1178">
        <v>12.7</v>
      </c>
    </row>
    <row r="745" spans="1:16">
      <c r="A745" s="1178" t="s">
        <v>20651</v>
      </c>
      <c r="B745" s="1371" t="str">
        <f>HYPERLINK(IFERROR("#Main_Tariff!A"&amp;MATCH(Raeburn_Main_Tariff[[#This Row],[Product Code]],Main_Tariff!I:I,0),"#Main_Tariff!A"&amp;MATCH("*"&amp;RIGHT(A745,8)&amp;"*",Main_Tariff!A:A,0)),Raeburn_Main_Tariff[[#This Row],[PRODUCER]])</f>
        <v>Domaine Goisot</v>
      </c>
      <c r="C745" s="1178" t="s">
        <v>20656</v>
      </c>
      <c r="D745" s="1178" t="s">
        <v>1129</v>
      </c>
      <c r="E745" s="1179">
        <v>2022</v>
      </c>
      <c r="F745" s="1282" t="s">
        <v>20220</v>
      </c>
      <c r="G745" s="1368">
        <v>18.5</v>
      </c>
      <c r="H745" s="1178" t="s">
        <v>20221</v>
      </c>
      <c r="I745" s="1178" t="s">
        <v>4002</v>
      </c>
      <c r="J745" s="1178" t="s">
        <v>662</v>
      </c>
      <c r="K745" s="1178" t="s">
        <v>267</v>
      </c>
      <c r="L745" s="1178" t="s">
        <v>20653</v>
      </c>
      <c r="M745" s="1369"/>
      <c r="N745" s="1178" t="s">
        <v>20244</v>
      </c>
      <c r="O745" s="1178">
        <v>12</v>
      </c>
      <c r="P745" s="1178">
        <v>13</v>
      </c>
    </row>
    <row r="746" spans="1:16">
      <c r="A746" s="1178" t="s">
        <v>20651</v>
      </c>
      <c r="B746" s="1371" t="str">
        <f>HYPERLINK(IFERROR("#Main_Tariff!A"&amp;MATCH(Raeburn_Main_Tariff[[#This Row],[Product Code]],Main_Tariff!I:I,0),"#Main_Tariff!A"&amp;MATCH("*"&amp;RIGHT(A746,8)&amp;"*",Main_Tariff!A:A,0)),Raeburn_Main_Tariff[[#This Row],[PRODUCER]])</f>
        <v>Domaine Goisot</v>
      </c>
      <c r="C746" s="1178" t="s">
        <v>20657</v>
      </c>
      <c r="D746" s="1178" t="s">
        <v>1129</v>
      </c>
      <c r="E746" s="1179">
        <v>2020</v>
      </c>
      <c r="F746" s="1282" t="s">
        <v>20220</v>
      </c>
      <c r="G746" s="1368">
        <v>22.5</v>
      </c>
      <c r="H746" s="1178" t="s">
        <v>20221</v>
      </c>
      <c r="I746" s="1178" t="s">
        <v>4007</v>
      </c>
      <c r="J746" s="1178" t="s">
        <v>662</v>
      </c>
      <c r="K746" s="1178" t="s">
        <v>267</v>
      </c>
      <c r="L746" s="1178" t="s">
        <v>20653</v>
      </c>
      <c r="M746" s="1369"/>
      <c r="N746" s="1178" t="s">
        <v>20244</v>
      </c>
      <c r="O746" s="1178">
        <v>12</v>
      </c>
      <c r="P746" s="1178">
        <v>13</v>
      </c>
    </row>
    <row r="747" spans="1:16">
      <c r="A747" s="1178" t="s">
        <v>20651</v>
      </c>
      <c r="B747" s="1371" t="str">
        <f>HYPERLINK(IFERROR("#Main_Tariff!A"&amp;MATCH(Raeburn_Main_Tariff[[#This Row],[Product Code]],Main_Tariff!I:I,0),"#Main_Tariff!A"&amp;MATCH("*"&amp;RIGHT(A747,8)&amp;"*",Main_Tariff!A:A,0)),Raeburn_Main_Tariff[[#This Row],[PRODUCER]])</f>
        <v>Domaine Goisot</v>
      </c>
      <c r="C747" s="1178" t="s">
        <v>20658</v>
      </c>
      <c r="D747" s="1178" t="s">
        <v>1129</v>
      </c>
      <c r="E747" s="1179">
        <v>2020</v>
      </c>
      <c r="F747" s="1282" t="s">
        <v>20220</v>
      </c>
      <c r="G747" s="1368">
        <v>22.5</v>
      </c>
      <c r="H747" s="1178" t="s">
        <v>20221</v>
      </c>
      <c r="I747" s="1178" t="s">
        <v>4009</v>
      </c>
      <c r="J747" s="1178" t="s">
        <v>662</v>
      </c>
      <c r="K747" s="1178" t="s">
        <v>267</v>
      </c>
      <c r="L747" s="1178" t="s">
        <v>20653</v>
      </c>
      <c r="M747" s="1369"/>
      <c r="N747" s="1178" t="s">
        <v>20244</v>
      </c>
      <c r="O747" s="1178">
        <v>12</v>
      </c>
      <c r="P747" s="1178">
        <v>13</v>
      </c>
    </row>
    <row r="748" spans="1:16">
      <c r="A748" s="1178" t="s">
        <v>20651</v>
      </c>
      <c r="B748" s="1371" t="str">
        <f>HYPERLINK(IFERROR("#Main_Tariff!A"&amp;MATCH(Raeburn_Main_Tariff[[#This Row],[Product Code]],Main_Tariff!I:I,0),"#Main_Tariff!A"&amp;MATCH("*"&amp;RIGHT(A748,8)&amp;"*",Main_Tariff!A:A,0)),Raeburn_Main_Tariff[[#This Row],[PRODUCER]])</f>
        <v>Domaine Goisot</v>
      </c>
      <c r="C748" s="1178" t="s">
        <v>20658</v>
      </c>
      <c r="D748" s="1178" t="s">
        <v>1129</v>
      </c>
      <c r="E748" s="1179">
        <v>2015</v>
      </c>
      <c r="F748" s="1282" t="s">
        <v>20220</v>
      </c>
      <c r="G748" s="1368">
        <v>22.5</v>
      </c>
      <c r="H748" s="1178" t="s">
        <v>20221</v>
      </c>
      <c r="I748" s="1178" t="s">
        <v>4011</v>
      </c>
      <c r="J748" s="1178" t="s">
        <v>662</v>
      </c>
      <c r="K748" s="1178" t="s">
        <v>267</v>
      </c>
      <c r="L748" s="1178" t="s">
        <v>20653</v>
      </c>
      <c r="M748" s="1369"/>
      <c r="N748" s="1178"/>
      <c r="O748" s="1178">
        <v>12</v>
      </c>
      <c r="P748" s="1178">
        <v>13</v>
      </c>
    </row>
    <row r="749" spans="1:16">
      <c r="A749" s="1178" t="s">
        <v>20651</v>
      </c>
      <c r="B749" s="1371" t="str">
        <f>HYPERLINK(IFERROR("#Main_Tariff!A"&amp;MATCH(Raeburn_Main_Tariff[[#This Row],[Product Code]],Main_Tariff!I:I,0),"#Main_Tariff!A"&amp;MATCH("*"&amp;RIGHT(A749,8)&amp;"*",Main_Tariff!A:A,0)),Raeburn_Main_Tariff[[#This Row],[PRODUCER]])</f>
        <v>Domaine Goisot</v>
      </c>
      <c r="C749" s="1178" t="s">
        <v>20659</v>
      </c>
      <c r="D749" s="1178" t="s">
        <v>1129</v>
      </c>
      <c r="E749" s="1179">
        <v>2020</v>
      </c>
      <c r="F749" s="1282" t="s">
        <v>20220</v>
      </c>
      <c r="G749" s="1368">
        <v>22.5</v>
      </c>
      <c r="H749" s="1178" t="s">
        <v>20221</v>
      </c>
      <c r="I749" s="1178" t="s">
        <v>4013</v>
      </c>
      <c r="J749" s="1178" t="s">
        <v>662</v>
      </c>
      <c r="K749" s="1178" t="s">
        <v>267</v>
      </c>
      <c r="L749" s="1178" t="s">
        <v>20653</v>
      </c>
      <c r="M749" s="1369"/>
      <c r="N749" s="1178" t="s">
        <v>20244</v>
      </c>
      <c r="O749" s="1178">
        <v>12</v>
      </c>
      <c r="P749" s="1178">
        <v>13</v>
      </c>
    </row>
    <row r="750" spans="1:16">
      <c r="A750" s="1178" t="s">
        <v>20651</v>
      </c>
      <c r="B750" s="1371" t="str">
        <f>HYPERLINK(IFERROR("#Main_Tariff!A"&amp;MATCH(Raeburn_Main_Tariff[[#This Row],[Product Code]],Main_Tariff!I:I,0),"#Main_Tariff!A"&amp;MATCH("*"&amp;RIGHT(A750,8)&amp;"*",Main_Tariff!A:A,0)),Raeburn_Main_Tariff[[#This Row],[PRODUCER]])</f>
        <v>Domaine Goisot</v>
      </c>
      <c r="C750" s="1178" t="s">
        <v>20659</v>
      </c>
      <c r="D750" s="1178" t="s">
        <v>1129</v>
      </c>
      <c r="E750" s="1179">
        <v>2017</v>
      </c>
      <c r="F750" s="1282" t="s">
        <v>20220</v>
      </c>
      <c r="G750" s="1368">
        <v>22.5</v>
      </c>
      <c r="H750" s="1178" t="s">
        <v>20221</v>
      </c>
      <c r="I750" s="1178" t="s">
        <v>4015</v>
      </c>
      <c r="J750" s="1178" t="s">
        <v>662</v>
      </c>
      <c r="K750" s="1178" t="s">
        <v>267</v>
      </c>
      <c r="L750" s="1178" t="s">
        <v>20653</v>
      </c>
      <c r="M750" s="1369"/>
      <c r="N750" s="1178"/>
      <c r="O750" s="1178">
        <v>12</v>
      </c>
      <c r="P750" s="1178">
        <v>13</v>
      </c>
    </row>
    <row r="751" spans="1:16">
      <c r="A751" s="1178" t="s">
        <v>20651</v>
      </c>
      <c r="B751" s="1371" t="str">
        <f>HYPERLINK(IFERROR("#Main_Tariff!A"&amp;MATCH(Raeburn_Main_Tariff[[#This Row],[Product Code]],Main_Tariff!I:I,0),"#Main_Tariff!A"&amp;MATCH("*"&amp;RIGHT(A751,8)&amp;"*",Main_Tariff!A:A,0)),Raeburn_Main_Tariff[[#This Row],[PRODUCER]])</f>
        <v>Domaine Goisot</v>
      </c>
      <c r="C751" s="1178" t="s">
        <v>20659</v>
      </c>
      <c r="D751" s="1178" t="s">
        <v>1129</v>
      </c>
      <c r="E751" s="1179">
        <v>2015</v>
      </c>
      <c r="F751" s="1282" t="s">
        <v>20220</v>
      </c>
      <c r="G751" s="1368">
        <v>22.5</v>
      </c>
      <c r="H751" s="1178" t="s">
        <v>20221</v>
      </c>
      <c r="I751" s="1178" t="s">
        <v>4017</v>
      </c>
      <c r="J751" s="1178" t="s">
        <v>662</v>
      </c>
      <c r="K751" s="1178" t="s">
        <v>267</v>
      </c>
      <c r="L751" s="1178" t="s">
        <v>20653</v>
      </c>
      <c r="M751" s="1369"/>
      <c r="N751" s="1178"/>
      <c r="O751" s="1178">
        <v>12</v>
      </c>
      <c r="P751" s="1178">
        <v>13</v>
      </c>
    </row>
    <row r="752" spans="1:16">
      <c r="A752" s="1178" t="s">
        <v>20651</v>
      </c>
      <c r="B752" s="1371" t="str">
        <f>HYPERLINK(IFERROR("#Main_Tariff!A"&amp;MATCH(Raeburn_Main_Tariff[[#This Row],[Product Code]],Main_Tariff!I:I,0),"#Main_Tariff!A"&amp;MATCH("*"&amp;RIGHT(A752,8)&amp;"*",Main_Tariff!A:A,0)),Raeburn_Main_Tariff[[#This Row],[PRODUCER]])</f>
        <v>Domaine Goisot</v>
      </c>
      <c r="C752" s="1178" t="s">
        <v>20660</v>
      </c>
      <c r="D752" s="1178" t="s">
        <v>1129</v>
      </c>
      <c r="E752" s="1179">
        <v>2021</v>
      </c>
      <c r="F752" s="1282" t="s">
        <v>20220</v>
      </c>
      <c r="G752" s="1368">
        <v>22.5</v>
      </c>
      <c r="H752" s="1178" t="s">
        <v>20221</v>
      </c>
      <c r="I752" s="1178" t="s">
        <v>4018</v>
      </c>
      <c r="J752" s="1178" t="s">
        <v>662</v>
      </c>
      <c r="K752" s="1178" t="s">
        <v>267</v>
      </c>
      <c r="L752" s="1178" t="s">
        <v>20653</v>
      </c>
      <c r="M752" s="1369"/>
      <c r="N752" s="1178" t="s">
        <v>20244</v>
      </c>
      <c r="O752" s="1178">
        <v>12</v>
      </c>
      <c r="P752" s="1178">
        <v>13</v>
      </c>
    </row>
    <row r="753" spans="1:16">
      <c r="A753" s="1178" t="s">
        <v>20651</v>
      </c>
      <c r="B753" s="1371" t="str">
        <f>HYPERLINK(IFERROR("#Main_Tariff!A"&amp;MATCH(Raeburn_Main_Tariff[[#This Row],[Product Code]],Main_Tariff!I:I,0),"#Main_Tariff!A"&amp;MATCH("*"&amp;RIGHT(A753,8)&amp;"*",Main_Tariff!A:A,0)),Raeburn_Main_Tariff[[#This Row],[PRODUCER]])</f>
        <v>Domaine Goisot</v>
      </c>
      <c r="C753" s="1178" t="s">
        <v>20661</v>
      </c>
      <c r="D753" s="1178" t="s">
        <v>897</v>
      </c>
      <c r="E753" s="1179">
        <v>2021</v>
      </c>
      <c r="F753" s="1282" t="s">
        <v>20220</v>
      </c>
      <c r="G753" s="1368">
        <v>19.5</v>
      </c>
      <c r="H753" s="1178" t="s">
        <v>20221</v>
      </c>
      <c r="I753" s="1178" t="s">
        <v>4022</v>
      </c>
      <c r="J753" s="1178" t="s">
        <v>662</v>
      </c>
      <c r="K753" s="1178" t="s">
        <v>267</v>
      </c>
      <c r="L753" s="1178" t="s">
        <v>20653</v>
      </c>
      <c r="M753" s="1369"/>
      <c r="N753" s="1178" t="s">
        <v>20244</v>
      </c>
      <c r="O753" s="1178">
        <v>12</v>
      </c>
      <c r="P753" s="1178">
        <v>13</v>
      </c>
    </row>
    <row r="754" spans="1:16">
      <c r="A754" s="1178" t="s">
        <v>20651</v>
      </c>
      <c r="B754" s="1371" t="str">
        <f>HYPERLINK(IFERROR("#Main_Tariff!A"&amp;MATCH(Raeburn_Main_Tariff[[#This Row],[Product Code]],Main_Tariff!I:I,0),"#Main_Tariff!A"&amp;MATCH("*"&amp;RIGHT(A754,8)&amp;"*",Main_Tariff!A:A,0)),Raeburn_Main_Tariff[[#This Row],[PRODUCER]])</f>
        <v>Domaine Goisot</v>
      </c>
      <c r="C754" s="1178" t="s">
        <v>20661</v>
      </c>
      <c r="D754" s="1178" t="s">
        <v>897</v>
      </c>
      <c r="E754" s="1179">
        <v>2014</v>
      </c>
      <c r="F754" s="1282" t="s">
        <v>20220</v>
      </c>
      <c r="G754" s="1368">
        <v>20</v>
      </c>
      <c r="H754" s="1178" t="s">
        <v>20277</v>
      </c>
      <c r="I754" s="1178" t="s">
        <v>4024</v>
      </c>
      <c r="J754" s="1178" t="s">
        <v>662</v>
      </c>
      <c r="K754" s="1178" t="s">
        <v>267</v>
      </c>
      <c r="L754" s="1178" t="s">
        <v>20653</v>
      </c>
      <c r="M754" s="1369"/>
      <c r="N754" s="1178"/>
      <c r="O754" s="1178">
        <v>12</v>
      </c>
      <c r="P754" s="1178">
        <v>13</v>
      </c>
    </row>
    <row r="755" spans="1:16">
      <c r="A755" s="1178" t="s">
        <v>20651</v>
      </c>
      <c r="B755" s="1371" t="str">
        <f>HYPERLINK(IFERROR("#Main_Tariff!A"&amp;MATCH(Raeburn_Main_Tariff[[#This Row],[Product Code]],Main_Tariff!I:I,0),"#Main_Tariff!A"&amp;MATCH("*"&amp;RIGHT(A755,8)&amp;"*",Main_Tariff!A:A,0)),Raeburn_Main_Tariff[[#This Row],[PRODUCER]])</f>
        <v>Domaine Goisot</v>
      </c>
      <c r="C755" s="1178" t="s">
        <v>20662</v>
      </c>
      <c r="D755" s="1178" t="s">
        <v>897</v>
      </c>
      <c r="E755" s="1179">
        <v>2019</v>
      </c>
      <c r="F755" s="1282" t="s">
        <v>20220</v>
      </c>
      <c r="G755" s="1368">
        <v>25.5</v>
      </c>
      <c r="H755" s="1178" t="s">
        <v>20221</v>
      </c>
      <c r="I755" s="1178" t="s">
        <v>4029</v>
      </c>
      <c r="J755" s="1178" t="s">
        <v>662</v>
      </c>
      <c r="K755" s="1178" t="s">
        <v>267</v>
      </c>
      <c r="L755" s="1178" t="s">
        <v>20653</v>
      </c>
      <c r="M755" s="1369"/>
      <c r="N755" s="1178" t="s">
        <v>20244</v>
      </c>
      <c r="O755" s="1178">
        <v>12</v>
      </c>
      <c r="P755" s="1178">
        <v>14</v>
      </c>
    </row>
    <row r="756" spans="1:16">
      <c r="A756" s="1178" t="s">
        <v>20651</v>
      </c>
      <c r="B756" s="1371" t="str">
        <f>HYPERLINK(IFERROR("#Main_Tariff!A"&amp;MATCH(Raeburn_Main_Tariff[[#This Row],[Product Code]],Main_Tariff!I:I,0),"#Main_Tariff!A"&amp;MATCH("*"&amp;RIGHT(A756,8)&amp;"*",Main_Tariff!A:A,0)),Raeburn_Main_Tariff[[#This Row],[PRODUCER]])</f>
        <v>Domaine Goisot</v>
      </c>
      <c r="C756" s="1178" t="s">
        <v>20662</v>
      </c>
      <c r="D756" s="1178" t="s">
        <v>897</v>
      </c>
      <c r="E756" s="1179">
        <v>2017</v>
      </c>
      <c r="F756" s="1282" t="s">
        <v>20220</v>
      </c>
      <c r="G756" s="1368">
        <v>25.5</v>
      </c>
      <c r="H756" s="1178" t="s">
        <v>20221</v>
      </c>
      <c r="I756" s="1178" t="s">
        <v>4031</v>
      </c>
      <c r="J756" s="1178" t="s">
        <v>662</v>
      </c>
      <c r="K756" s="1178" t="s">
        <v>267</v>
      </c>
      <c r="L756" s="1178" t="s">
        <v>20653</v>
      </c>
      <c r="M756" s="1369"/>
      <c r="N756" s="1178"/>
      <c r="O756" s="1178">
        <v>12</v>
      </c>
      <c r="P756" s="1178">
        <v>13</v>
      </c>
    </row>
    <row r="757" spans="1:16">
      <c r="A757" s="1178" t="s">
        <v>20651</v>
      </c>
      <c r="B757" s="1371" t="str">
        <f>HYPERLINK(IFERROR("#Main_Tariff!A"&amp;MATCH(Raeburn_Main_Tariff[[#This Row],[Product Code]],Main_Tariff!I:I,0),"#Main_Tariff!A"&amp;MATCH("*"&amp;RIGHT(A757,8)&amp;"*",Main_Tariff!A:A,0)),Raeburn_Main_Tariff[[#This Row],[PRODUCER]])</f>
        <v>Domaine Goisot</v>
      </c>
      <c r="C757" s="1178" t="s">
        <v>20663</v>
      </c>
      <c r="D757" s="1178" t="s">
        <v>897</v>
      </c>
      <c r="E757" s="1179">
        <v>2011</v>
      </c>
      <c r="F757" s="1282" t="s">
        <v>20220</v>
      </c>
      <c r="G757" s="1368">
        <v>26</v>
      </c>
      <c r="H757" s="1178" t="s">
        <v>20221</v>
      </c>
      <c r="I757" s="1178" t="s">
        <v>4033</v>
      </c>
      <c r="J757" s="1178" t="s">
        <v>662</v>
      </c>
      <c r="K757" s="1178" t="s">
        <v>267</v>
      </c>
      <c r="L757" s="1178" t="s">
        <v>20653</v>
      </c>
      <c r="M757" s="1369"/>
      <c r="N757" s="1178"/>
      <c r="O757" s="1178">
        <v>12</v>
      </c>
      <c r="P757" s="1178">
        <v>13</v>
      </c>
    </row>
    <row r="758" spans="1:16">
      <c r="A758" s="1178" t="s">
        <v>20651</v>
      </c>
      <c r="B758" s="1371" t="str">
        <f>HYPERLINK(IFERROR("#Main_Tariff!A"&amp;MATCH(Raeburn_Main_Tariff[[#This Row],[Product Code]],Main_Tariff!I:I,0),"#Main_Tariff!A"&amp;MATCH("*"&amp;RIGHT(A758,8)&amp;"*",Main_Tariff!A:A,0)),Raeburn_Main_Tariff[[#This Row],[PRODUCER]])</f>
        <v>Domaine Goisot</v>
      </c>
      <c r="C758" s="1178" t="s">
        <v>20664</v>
      </c>
      <c r="D758" s="1178" t="s">
        <v>897</v>
      </c>
      <c r="E758" s="1179">
        <v>2020</v>
      </c>
      <c r="F758" s="1282" t="s">
        <v>20220</v>
      </c>
      <c r="G758" s="1368">
        <v>25.5</v>
      </c>
      <c r="H758" s="1178" t="s">
        <v>20221</v>
      </c>
      <c r="I758" s="1178" t="s">
        <v>4035</v>
      </c>
      <c r="J758" s="1178" t="s">
        <v>662</v>
      </c>
      <c r="K758" s="1178" t="s">
        <v>267</v>
      </c>
      <c r="L758" s="1178" t="s">
        <v>20653</v>
      </c>
      <c r="M758" s="1369"/>
      <c r="N758" s="1178" t="s">
        <v>20244</v>
      </c>
      <c r="O758" s="1178">
        <v>12</v>
      </c>
      <c r="P758" s="1178">
        <v>13</v>
      </c>
    </row>
    <row r="759" spans="1:16">
      <c r="A759" s="1178" t="s">
        <v>20651</v>
      </c>
      <c r="B759" s="1371" t="str">
        <f>HYPERLINK(IFERROR("#Main_Tariff!A"&amp;MATCH(Raeburn_Main_Tariff[[#This Row],[Product Code]],Main_Tariff!I:I,0),"#Main_Tariff!A"&amp;MATCH("*"&amp;RIGHT(A759,8)&amp;"*",Main_Tariff!A:A,0)),Raeburn_Main_Tariff[[#This Row],[PRODUCER]])</f>
        <v>Domaine Goisot</v>
      </c>
      <c r="C759" s="1178" t="s">
        <v>20665</v>
      </c>
      <c r="D759" s="1178" t="s">
        <v>897</v>
      </c>
      <c r="E759" s="1179">
        <v>2021</v>
      </c>
      <c r="F759" s="1282" t="s">
        <v>20220</v>
      </c>
      <c r="G759" s="1368">
        <v>25.75</v>
      </c>
      <c r="H759" s="1178" t="s">
        <v>20221</v>
      </c>
      <c r="I759" s="1178" t="s">
        <v>4037</v>
      </c>
      <c r="J759" s="1178" t="s">
        <v>662</v>
      </c>
      <c r="K759" s="1178" t="s">
        <v>267</v>
      </c>
      <c r="L759" s="1178" t="s">
        <v>20653</v>
      </c>
      <c r="M759" s="1369"/>
      <c r="N759" s="1178" t="s">
        <v>20244</v>
      </c>
      <c r="O759" s="1178">
        <v>12</v>
      </c>
      <c r="P759" s="1178">
        <v>13</v>
      </c>
    </row>
    <row r="760" spans="1:16">
      <c r="A760" s="1178" t="s">
        <v>20651</v>
      </c>
      <c r="B760" s="1371" t="str">
        <f>HYPERLINK(IFERROR("#Main_Tariff!A"&amp;MATCH(Raeburn_Main_Tariff[[#This Row],[Product Code]],Main_Tariff!I:I,0),"#Main_Tariff!A"&amp;MATCH("*"&amp;RIGHT(A760,8)&amp;"*",Main_Tariff!A:A,0)),Raeburn_Main_Tariff[[#This Row],[PRODUCER]])</f>
        <v>Domaine Goisot</v>
      </c>
      <c r="C760" s="1178" t="s">
        <v>20665</v>
      </c>
      <c r="D760" s="1178" t="s">
        <v>897</v>
      </c>
      <c r="E760" s="1179">
        <v>2017</v>
      </c>
      <c r="F760" s="1282" t="s">
        <v>20220</v>
      </c>
      <c r="G760" s="1368">
        <v>25.5</v>
      </c>
      <c r="H760" s="1178" t="s">
        <v>20221</v>
      </c>
      <c r="I760" s="1178" t="s">
        <v>4039</v>
      </c>
      <c r="J760" s="1178" t="s">
        <v>662</v>
      </c>
      <c r="K760" s="1178" t="s">
        <v>267</v>
      </c>
      <c r="L760" s="1178" t="s">
        <v>20653</v>
      </c>
      <c r="M760" s="1369"/>
      <c r="N760" s="1178"/>
      <c r="O760" s="1178">
        <v>12</v>
      </c>
      <c r="P760" s="1178">
        <v>13</v>
      </c>
    </row>
    <row r="761" spans="1:16">
      <c r="A761" s="1178" t="s">
        <v>20651</v>
      </c>
      <c r="B761" s="1371" t="str">
        <f>HYPERLINK(IFERROR("#Main_Tariff!A"&amp;MATCH(Raeburn_Main_Tariff[[#This Row],[Product Code]],Main_Tariff!I:I,0),"#Main_Tariff!A"&amp;MATCH("*"&amp;RIGHT(A761,8)&amp;"*",Main_Tariff!A:A,0)),Raeburn_Main_Tariff[[#This Row],[PRODUCER]])</f>
        <v>Domaine Goisot</v>
      </c>
      <c r="C761" s="1178" t="s">
        <v>20665</v>
      </c>
      <c r="D761" s="1178" t="s">
        <v>897</v>
      </c>
      <c r="E761" s="1179">
        <v>2016</v>
      </c>
      <c r="F761" s="1282" t="s">
        <v>20220</v>
      </c>
      <c r="G761" s="1368">
        <v>25.5</v>
      </c>
      <c r="H761" s="1178" t="s">
        <v>20277</v>
      </c>
      <c r="I761" s="1178" t="s">
        <v>4041</v>
      </c>
      <c r="J761" s="1178" t="s">
        <v>662</v>
      </c>
      <c r="K761" s="1178" t="s">
        <v>267</v>
      </c>
      <c r="L761" s="1178" t="s">
        <v>20653</v>
      </c>
      <c r="M761" s="1369"/>
      <c r="N761" s="1178"/>
      <c r="O761" s="1178">
        <v>12</v>
      </c>
      <c r="P761" s="1178">
        <v>13</v>
      </c>
    </row>
    <row r="762" spans="1:16">
      <c r="A762" s="1178" t="s">
        <v>20651</v>
      </c>
      <c r="B762" s="1371" t="str">
        <f>HYPERLINK(IFERROR("#Main_Tariff!A"&amp;MATCH(Raeburn_Main_Tariff[[#This Row],[Product Code]],Main_Tariff!I:I,0),"#Main_Tariff!A"&amp;MATCH("*"&amp;RIGHT(A762,8)&amp;"*",Main_Tariff!A:A,0)),Raeburn_Main_Tariff[[#This Row],[PRODUCER]])</f>
        <v>Domaine Goisot</v>
      </c>
      <c r="C762" s="1178" t="s">
        <v>20665</v>
      </c>
      <c r="D762" s="1178" t="s">
        <v>897</v>
      </c>
      <c r="E762" s="1179">
        <v>2011</v>
      </c>
      <c r="F762" s="1282" t="s">
        <v>20220</v>
      </c>
      <c r="G762" s="1368">
        <v>24</v>
      </c>
      <c r="H762" s="1178" t="s">
        <v>20221</v>
      </c>
      <c r="I762" s="1178" t="s">
        <v>4043</v>
      </c>
      <c r="J762" s="1178" t="s">
        <v>662</v>
      </c>
      <c r="K762" s="1178" t="s">
        <v>267</v>
      </c>
      <c r="L762" s="1178" t="s">
        <v>20653</v>
      </c>
      <c r="M762" s="1369"/>
      <c r="N762" s="1178"/>
      <c r="O762" s="1178">
        <v>12</v>
      </c>
      <c r="P762" s="1178">
        <v>13</v>
      </c>
    </row>
    <row r="763" spans="1:16">
      <c r="A763" s="1178" t="s">
        <v>20666</v>
      </c>
      <c r="B763" s="1371" t="str">
        <f>HYPERLINK(IFERROR("#Main_Tariff!A"&amp;MATCH(Raeburn_Main_Tariff[[#This Row],[Product Code]],Main_Tariff!I:I,0),"#Main_Tariff!A"&amp;MATCH("*"&amp;RIGHT(A763,8)&amp;"*",Main_Tariff!A:A,0)),Raeburn_Main_Tariff[[#This Row],[PRODUCER]])</f>
        <v>J&amp;J Archambaud</v>
      </c>
      <c r="C763" s="1178" t="s">
        <v>20667</v>
      </c>
      <c r="D763" s="1178" t="s">
        <v>897</v>
      </c>
      <c r="E763" s="1179">
        <v>2022</v>
      </c>
      <c r="F763" s="1282" t="s">
        <v>20220</v>
      </c>
      <c r="G763" s="1368">
        <v>26.25</v>
      </c>
      <c r="H763" s="1178" t="s">
        <v>20221</v>
      </c>
      <c r="I763" s="1178" t="s">
        <v>4113</v>
      </c>
      <c r="J763" s="1178" t="s">
        <v>662</v>
      </c>
      <c r="K763" s="1178" t="s">
        <v>267</v>
      </c>
      <c r="L763" s="1178" t="s">
        <v>211</v>
      </c>
      <c r="M763" s="1369"/>
      <c r="N763" s="1178" t="s">
        <v>20244</v>
      </c>
      <c r="O763" s="1178">
        <v>12</v>
      </c>
      <c r="P763" s="1178">
        <v>12</v>
      </c>
    </row>
    <row r="764" spans="1:16">
      <c r="A764" s="1178" t="s">
        <v>20666</v>
      </c>
      <c r="B764" s="1371" t="str">
        <f>HYPERLINK(IFERROR("#Main_Tariff!A"&amp;MATCH(Raeburn_Main_Tariff[[#This Row],[Product Code]],Main_Tariff!I:I,0),"#Main_Tariff!A"&amp;MATCH("*"&amp;RIGHT(A764,8)&amp;"*",Main_Tariff!A:A,0)),Raeburn_Main_Tariff[[#This Row],[PRODUCER]])</f>
        <v>J&amp;J Archambaud</v>
      </c>
      <c r="C764" s="1178" t="s">
        <v>20668</v>
      </c>
      <c r="D764" s="1178" t="s">
        <v>897</v>
      </c>
      <c r="E764" s="1179">
        <v>2022</v>
      </c>
      <c r="F764" s="1282" t="s">
        <v>20220</v>
      </c>
      <c r="G764" s="1368">
        <v>65</v>
      </c>
      <c r="H764" s="1178" t="s">
        <v>20221</v>
      </c>
      <c r="I764" s="1178" t="s">
        <v>4115</v>
      </c>
      <c r="J764" s="1178" t="s">
        <v>662</v>
      </c>
      <c r="K764" s="1178" t="s">
        <v>267</v>
      </c>
      <c r="L764" s="1178" t="s">
        <v>211</v>
      </c>
      <c r="M764" s="1369"/>
      <c r="N764" s="1178" t="s">
        <v>20244</v>
      </c>
      <c r="O764" s="1178">
        <v>12</v>
      </c>
      <c r="P764" s="1178">
        <v>13.5</v>
      </c>
    </row>
    <row r="765" spans="1:16">
      <c r="A765" s="1178" t="s">
        <v>20666</v>
      </c>
      <c r="B765" s="1371" t="str">
        <f>HYPERLINK(IFERROR("#Main_Tariff!A"&amp;MATCH(Raeburn_Main_Tariff[[#This Row],[Product Code]],Main_Tariff!I:I,0),"#Main_Tariff!A"&amp;MATCH("*"&amp;RIGHT(A765,8)&amp;"*",Main_Tariff!A:A,0)),Raeburn_Main_Tariff[[#This Row],[PRODUCER]])</f>
        <v>J&amp;J Archambaud</v>
      </c>
      <c r="C765" s="1178" t="s">
        <v>20669</v>
      </c>
      <c r="D765" s="1178" t="s">
        <v>897</v>
      </c>
      <c r="E765" s="1179">
        <v>2022</v>
      </c>
      <c r="F765" s="1282" t="s">
        <v>20220</v>
      </c>
      <c r="G765" s="1368">
        <v>185</v>
      </c>
      <c r="H765" s="1178" t="s">
        <v>20221</v>
      </c>
      <c r="I765" s="1178" t="s">
        <v>4117</v>
      </c>
      <c r="J765" s="1178" t="s">
        <v>662</v>
      </c>
      <c r="K765" s="1178" t="s">
        <v>267</v>
      </c>
      <c r="L765" s="1178" t="s">
        <v>211</v>
      </c>
      <c r="M765" s="1369" t="s">
        <v>23297</v>
      </c>
      <c r="N765" s="1178" t="s">
        <v>20244</v>
      </c>
      <c r="O765" s="1178">
        <v>6</v>
      </c>
      <c r="P765" s="1178">
        <v>13</v>
      </c>
    </row>
    <row r="766" spans="1:16">
      <c r="A766" s="1178" t="s">
        <v>20666</v>
      </c>
      <c r="B766" s="1371" t="str">
        <f>HYPERLINK(IFERROR("#Main_Tariff!A"&amp;MATCH(Raeburn_Main_Tariff[[#This Row],[Product Code]],Main_Tariff!I:I,0),"#Main_Tariff!A"&amp;MATCH("*"&amp;RIGHT(A766,8)&amp;"*",Main_Tariff!A:A,0)),Raeburn_Main_Tariff[[#This Row],[PRODUCER]])</f>
        <v>J&amp;J Archambaud</v>
      </c>
      <c r="C766" s="1178" t="s">
        <v>20670</v>
      </c>
      <c r="D766" s="1178" t="s">
        <v>897</v>
      </c>
      <c r="E766" s="1179">
        <v>2022</v>
      </c>
      <c r="F766" s="1282" t="s">
        <v>20220</v>
      </c>
      <c r="G766" s="1368">
        <v>230</v>
      </c>
      <c r="H766" s="1178" t="s">
        <v>20221</v>
      </c>
      <c r="I766" s="1178" t="s">
        <v>4119</v>
      </c>
      <c r="J766" s="1178" t="s">
        <v>662</v>
      </c>
      <c r="K766" s="1178" t="s">
        <v>267</v>
      </c>
      <c r="L766" s="1178" t="s">
        <v>211</v>
      </c>
      <c r="M766" s="1369" t="s">
        <v>23296</v>
      </c>
      <c r="N766" s="1178" t="s">
        <v>20244</v>
      </c>
      <c r="O766" s="1178">
        <v>6</v>
      </c>
      <c r="P766" s="1178">
        <v>13</v>
      </c>
    </row>
    <row r="767" spans="1:16">
      <c r="A767" s="1178" t="s">
        <v>215</v>
      </c>
      <c r="B767" s="1371" t="str">
        <f>HYPERLINK(IFERROR("#Main_Tariff!A"&amp;MATCH(Raeburn_Main_Tariff[[#This Row],[Product Code]],Main_Tariff!I:I,0),"#Main_Tariff!A"&amp;MATCH("*"&amp;RIGHT(A767,8)&amp;"*",Main_Tariff!A:A,0)),Raeburn_Main_Tariff[[#This Row],[PRODUCER]])</f>
        <v>Cyprien Arlaud</v>
      </c>
      <c r="C767" s="1178" t="s">
        <v>20671</v>
      </c>
      <c r="D767" s="1178" t="s">
        <v>1129</v>
      </c>
      <c r="E767" s="1179">
        <v>2022</v>
      </c>
      <c r="F767" s="1282" t="s">
        <v>20220</v>
      </c>
      <c r="G767" s="1368">
        <v>32</v>
      </c>
      <c r="H767" s="1178" t="s">
        <v>20221</v>
      </c>
      <c r="I767" s="1178" t="s">
        <v>4153</v>
      </c>
      <c r="J767" s="1178" t="s">
        <v>662</v>
      </c>
      <c r="K767" s="1178" t="s">
        <v>267</v>
      </c>
      <c r="L767" s="1178" t="s">
        <v>211</v>
      </c>
      <c r="M767" s="1369"/>
      <c r="N767" s="1178" t="s">
        <v>20244</v>
      </c>
      <c r="O767" s="1178">
        <v>6</v>
      </c>
      <c r="P767" s="1178">
        <v>13</v>
      </c>
    </row>
    <row r="768" spans="1:16">
      <c r="A768" s="1178" t="s">
        <v>215</v>
      </c>
      <c r="B768" s="1371" t="str">
        <f>HYPERLINK(IFERROR("#Main_Tariff!A"&amp;MATCH(Raeburn_Main_Tariff[[#This Row],[Product Code]],Main_Tariff!I:I,0),"#Main_Tariff!A"&amp;MATCH("*"&amp;RIGHT(A768,8)&amp;"*",Main_Tariff!A:A,0)),Raeburn_Main_Tariff[[#This Row],[PRODUCER]])</f>
        <v>Cyprien Arlaud</v>
      </c>
      <c r="C768" s="1178" t="s">
        <v>20672</v>
      </c>
      <c r="D768" s="1178" t="s">
        <v>897</v>
      </c>
      <c r="E768" s="1179">
        <v>2022</v>
      </c>
      <c r="F768" s="1282" t="s">
        <v>20220</v>
      </c>
      <c r="G768" s="1368">
        <v>23.5</v>
      </c>
      <c r="H768" s="1178" t="s">
        <v>20221</v>
      </c>
      <c r="I768" s="1178" t="s">
        <v>4157</v>
      </c>
      <c r="J768" s="1178" t="s">
        <v>662</v>
      </c>
      <c r="K768" s="1178" t="s">
        <v>267</v>
      </c>
      <c r="L768" s="1178" t="s">
        <v>211</v>
      </c>
      <c r="M768" s="1369"/>
      <c r="N768" s="1178"/>
      <c r="O768" s="1178">
        <v>6</v>
      </c>
      <c r="P768" s="1178">
        <v>12.5</v>
      </c>
    </row>
    <row r="769" spans="1:16">
      <c r="A769" s="1178" t="s">
        <v>215</v>
      </c>
      <c r="B769" s="1371" t="str">
        <f>HYPERLINK(IFERROR("#Main_Tariff!A"&amp;MATCH(Raeburn_Main_Tariff[[#This Row],[Product Code]],Main_Tariff!I:I,0),"#Main_Tariff!A"&amp;MATCH("*"&amp;RIGHT(A769,8)&amp;"*",Main_Tariff!A:A,0)),Raeburn_Main_Tariff[[#This Row],[PRODUCER]])</f>
        <v>Cyprien Arlaud</v>
      </c>
      <c r="C769" s="1178" t="s">
        <v>20672</v>
      </c>
      <c r="D769" s="1178" t="s">
        <v>897</v>
      </c>
      <c r="E769" s="1179">
        <v>2021</v>
      </c>
      <c r="F769" s="1282" t="s">
        <v>20220</v>
      </c>
      <c r="G769" s="1368">
        <v>21.25</v>
      </c>
      <c r="H769" s="1178" t="s">
        <v>20221</v>
      </c>
      <c r="I769" s="1178" t="s">
        <v>4159</v>
      </c>
      <c r="J769" s="1178" t="s">
        <v>662</v>
      </c>
      <c r="K769" s="1178" t="s">
        <v>267</v>
      </c>
      <c r="L769" s="1178" t="s">
        <v>211</v>
      </c>
      <c r="M769" s="1369"/>
      <c r="N769" s="1178" t="s">
        <v>20244</v>
      </c>
      <c r="O769" s="1178">
        <v>6</v>
      </c>
      <c r="P769" s="1178">
        <v>12.5</v>
      </c>
    </row>
    <row r="770" spans="1:16">
      <c r="A770" s="1178" t="s">
        <v>215</v>
      </c>
      <c r="B770" s="1371" t="str">
        <f>HYPERLINK(IFERROR("#Main_Tariff!A"&amp;MATCH(Raeburn_Main_Tariff[[#This Row],[Product Code]],Main_Tariff!I:I,0),"#Main_Tariff!A"&amp;MATCH("*"&amp;RIGHT(A770,8)&amp;"*",Main_Tariff!A:A,0)),Raeburn_Main_Tariff[[#This Row],[PRODUCER]])</f>
        <v>Cyprien Arlaud</v>
      </c>
      <c r="C770" s="1178" t="s">
        <v>20672</v>
      </c>
      <c r="D770" s="1178" t="s">
        <v>897</v>
      </c>
      <c r="E770" s="1179">
        <v>2020</v>
      </c>
      <c r="F770" s="1282" t="s">
        <v>20220</v>
      </c>
      <c r="G770" s="1368">
        <v>21.25</v>
      </c>
      <c r="H770" s="1178" t="s">
        <v>20221</v>
      </c>
      <c r="I770" s="1178" t="s">
        <v>4161</v>
      </c>
      <c r="J770" s="1178" t="s">
        <v>662</v>
      </c>
      <c r="K770" s="1178" t="s">
        <v>267</v>
      </c>
      <c r="L770" s="1178" t="s">
        <v>211</v>
      </c>
      <c r="M770" s="1369"/>
      <c r="N770" s="1178" t="s">
        <v>20244</v>
      </c>
      <c r="O770" s="1178">
        <v>6</v>
      </c>
      <c r="P770" s="1178">
        <v>13</v>
      </c>
    </row>
    <row r="771" spans="1:16">
      <c r="A771" s="1178" t="s">
        <v>215</v>
      </c>
      <c r="B771" s="1371" t="str">
        <f>HYPERLINK(IFERROR("#Main_Tariff!A"&amp;MATCH(Raeburn_Main_Tariff[[#This Row],[Product Code]],Main_Tariff!I:I,0),"#Main_Tariff!A"&amp;MATCH("*"&amp;RIGHT(A771,8)&amp;"*",Main_Tariff!A:A,0)),Raeburn_Main_Tariff[[#This Row],[PRODUCER]])</f>
        <v>Cyprien Arlaud</v>
      </c>
      <c r="C771" s="1178" t="s">
        <v>20672</v>
      </c>
      <c r="D771" s="1178" t="s">
        <v>897</v>
      </c>
      <c r="E771" s="1179">
        <v>2019</v>
      </c>
      <c r="F771" s="1282" t="s">
        <v>20220</v>
      </c>
      <c r="G771" s="1368">
        <v>21.25</v>
      </c>
      <c r="H771" s="1178" t="s">
        <v>20221</v>
      </c>
      <c r="I771" s="1178" t="s">
        <v>4163</v>
      </c>
      <c r="J771" s="1178" t="s">
        <v>662</v>
      </c>
      <c r="K771" s="1178" t="s">
        <v>267</v>
      </c>
      <c r="L771" s="1178" t="s">
        <v>211</v>
      </c>
      <c r="M771" s="1369"/>
      <c r="N771" s="1178" t="s">
        <v>20244</v>
      </c>
      <c r="O771" s="1178">
        <v>6</v>
      </c>
      <c r="P771" s="1178">
        <v>13.5</v>
      </c>
    </row>
    <row r="772" spans="1:16">
      <c r="A772" s="1178" t="s">
        <v>20673</v>
      </c>
      <c r="B772" s="1371" t="str">
        <f>HYPERLINK(IFERROR("#Main_Tariff!A"&amp;MATCH(Raeburn_Main_Tariff[[#This Row],[Product Code]],Main_Tariff!I:I,0),"#Main_Tariff!A"&amp;MATCH("*"&amp;RIGHT(A772,8)&amp;"*",Main_Tariff!A:A,0)),Raeburn_Main_Tariff[[#This Row],[PRODUCER]])</f>
        <v>Et Arlaud</v>
      </c>
      <c r="C772" s="1178" t="s">
        <v>20674</v>
      </c>
      <c r="D772" s="1178" t="s">
        <v>897</v>
      </c>
      <c r="E772" s="1179">
        <v>2018</v>
      </c>
      <c r="F772" s="1282" t="s">
        <v>20220</v>
      </c>
      <c r="G772" s="1368">
        <v>18.5</v>
      </c>
      <c r="H772" s="1178" t="s">
        <v>20221</v>
      </c>
      <c r="I772" s="1178" t="s">
        <v>4165</v>
      </c>
      <c r="J772" s="1178" t="s">
        <v>662</v>
      </c>
      <c r="K772" s="1178" t="s">
        <v>267</v>
      </c>
      <c r="L772" s="1178" t="s">
        <v>211</v>
      </c>
      <c r="M772" s="1369"/>
      <c r="N772" s="1178" t="s">
        <v>20244</v>
      </c>
      <c r="O772" s="1178">
        <v>6</v>
      </c>
      <c r="P772" s="1178">
        <v>13.5</v>
      </c>
    </row>
    <row r="773" spans="1:16">
      <c r="A773" s="1178" t="s">
        <v>20673</v>
      </c>
      <c r="B773" s="1371" t="str">
        <f>HYPERLINK(IFERROR("#Main_Tariff!A"&amp;MATCH(Raeburn_Main_Tariff[[#This Row],[Product Code]],Main_Tariff!I:I,0),"#Main_Tariff!A"&amp;MATCH("*"&amp;RIGHT(A773,8)&amp;"*",Main_Tariff!A:A,0)),Raeburn_Main_Tariff[[#This Row],[PRODUCER]])</f>
        <v>Et Arlaud</v>
      </c>
      <c r="C773" s="1178" t="s">
        <v>20674</v>
      </c>
      <c r="D773" s="1178" t="s">
        <v>897</v>
      </c>
      <c r="E773" s="1179">
        <v>2017</v>
      </c>
      <c r="F773" s="1282" t="s">
        <v>20220</v>
      </c>
      <c r="G773" s="1368">
        <v>18.5</v>
      </c>
      <c r="H773" s="1178" t="s">
        <v>20221</v>
      </c>
      <c r="I773" s="1178" t="s">
        <v>4167</v>
      </c>
      <c r="J773" s="1178" t="s">
        <v>662</v>
      </c>
      <c r="K773" s="1178" t="s">
        <v>267</v>
      </c>
      <c r="L773" s="1178" t="s">
        <v>211</v>
      </c>
      <c r="M773" s="1369"/>
      <c r="N773" s="1178" t="s">
        <v>20244</v>
      </c>
      <c r="O773" s="1178">
        <v>6</v>
      </c>
      <c r="P773" s="1178">
        <v>12.5</v>
      </c>
    </row>
    <row r="774" spans="1:16">
      <c r="A774" s="1178" t="s">
        <v>20673</v>
      </c>
      <c r="B774" s="1371" t="str">
        <f>HYPERLINK(IFERROR("#Main_Tariff!A"&amp;MATCH(Raeburn_Main_Tariff[[#This Row],[Product Code]],Main_Tariff!I:I,0),"#Main_Tariff!A"&amp;MATCH("*"&amp;RIGHT(A774,8)&amp;"*",Main_Tariff!A:A,0)),Raeburn_Main_Tariff[[#This Row],[PRODUCER]])</f>
        <v>Et Arlaud</v>
      </c>
      <c r="C774" s="1178" t="s">
        <v>20674</v>
      </c>
      <c r="D774" s="1178" t="s">
        <v>897</v>
      </c>
      <c r="E774" s="1179">
        <v>2016</v>
      </c>
      <c r="F774" s="1282" t="s">
        <v>20220</v>
      </c>
      <c r="G774" s="1368">
        <v>18.5</v>
      </c>
      <c r="H774" s="1178" t="s">
        <v>20277</v>
      </c>
      <c r="I774" s="1178" t="s">
        <v>4169</v>
      </c>
      <c r="J774" s="1178" t="s">
        <v>662</v>
      </c>
      <c r="K774" s="1178" t="s">
        <v>267</v>
      </c>
      <c r="L774" s="1178" t="s">
        <v>211</v>
      </c>
      <c r="M774" s="1369"/>
      <c r="N774" s="1178"/>
      <c r="O774" s="1178">
        <v>6</v>
      </c>
      <c r="P774" s="1178">
        <v>12.5</v>
      </c>
    </row>
    <row r="775" spans="1:16">
      <c r="A775" s="1178" t="s">
        <v>215</v>
      </c>
      <c r="B775" s="1371" t="str">
        <f>HYPERLINK(IFERROR("#Main_Tariff!A"&amp;MATCH(Raeburn_Main_Tariff[[#This Row],[Product Code]],Main_Tariff!I:I,0),"#Main_Tariff!A"&amp;MATCH("*"&amp;RIGHT(A775,8)&amp;"*",Main_Tariff!A:A,0)),Raeburn_Main_Tariff[[#This Row],[PRODUCER]])</f>
        <v>Cyprien Arlaud</v>
      </c>
      <c r="C775" s="1178" t="s">
        <v>20675</v>
      </c>
      <c r="D775" s="1178" t="s">
        <v>897</v>
      </c>
      <c r="E775" s="1179">
        <v>2022</v>
      </c>
      <c r="F775" s="1282" t="s">
        <v>20220</v>
      </c>
      <c r="G775" s="1368">
        <v>24.75</v>
      </c>
      <c r="H775" s="1178" t="s">
        <v>20221</v>
      </c>
      <c r="I775" s="1178" t="s">
        <v>4170</v>
      </c>
      <c r="J775" s="1178" t="s">
        <v>662</v>
      </c>
      <c r="K775" s="1178" t="s">
        <v>267</v>
      </c>
      <c r="L775" s="1178" t="s">
        <v>211</v>
      </c>
      <c r="M775" s="1369"/>
      <c r="N775" s="1178" t="s">
        <v>20244</v>
      </c>
      <c r="O775" s="1178">
        <v>6</v>
      </c>
      <c r="P775" s="1178">
        <v>12</v>
      </c>
    </row>
    <row r="776" spans="1:16">
      <c r="A776" s="1178" t="s">
        <v>215</v>
      </c>
      <c r="B776" s="1371" t="str">
        <f>HYPERLINK(IFERROR("#Main_Tariff!A"&amp;MATCH(Raeburn_Main_Tariff[[#This Row],[Product Code]],Main_Tariff!I:I,0),"#Main_Tariff!A"&amp;MATCH("*"&amp;RIGHT(A776,8)&amp;"*",Main_Tariff!A:A,0)),Raeburn_Main_Tariff[[#This Row],[PRODUCER]])</f>
        <v>Cyprien Arlaud</v>
      </c>
      <c r="C776" s="1178" t="s">
        <v>20675</v>
      </c>
      <c r="D776" s="1178" t="s">
        <v>897</v>
      </c>
      <c r="E776" s="1179">
        <v>2021</v>
      </c>
      <c r="F776" s="1282" t="s">
        <v>20220</v>
      </c>
      <c r="G776" s="1368">
        <v>23</v>
      </c>
      <c r="H776" s="1178" t="s">
        <v>20221</v>
      </c>
      <c r="I776" s="1178" t="s">
        <v>4171</v>
      </c>
      <c r="J776" s="1178" t="s">
        <v>662</v>
      </c>
      <c r="K776" s="1178" t="s">
        <v>267</v>
      </c>
      <c r="L776" s="1178" t="s">
        <v>211</v>
      </c>
      <c r="M776" s="1369"/>
      <c r="N776" s="1178" t="s">
        <v>20244</v>
      </c>
      <c r="O776" s="1178">
        <v>6</v>
      </c>
      <c r="P776" s="1178">
        <v>12.5</v>
      </c>
    </row>
    <row r="777" spans="1:16">
      <c r="A777" s="1178" t="s">
        <v>215</v>
      </c>
      <c r="B777" s="1371" t="str">
        <f>HYPERLINK(IFERROR("#Main_Tariff!A"&amp;MATCH(Raeburn_Main_Tariff[[#This Row],[Product Code]],Main_Tariff!I:I,0),"#Main_Tariff!A"&amp;MATCH("*"&amp;RIGHT(A777,8)&amp;"*",Main_Tariff!A:A,0)),Raeburn_Main_Tariff[[#This Row],[PRODUCER]])</f>
        <v>Cyprien Arlaud</v>
      </c>
      <c r="C777" s="1178" t="s">
        <v>20675</v>
      </c>
      <c r="D777" s="1178" t="s">
        <v>897</v>
      </c>
      <c r="E777" s="1179">
        <v>2020</v>
      </c>
      <c r="F777" s="1282" t="s">
        <v>20220</v>
      </c>
      <c r="G777" s="1368">
        <v>23</v>
      </c>
      <c r="H777" s="1178" t="s">
        <v>20221</v>
      </c>
      <c r="I777" s="1178" t="s">
        <v>4173</v>
      </c>
      <c r="J777" s="1178" t="s">
        <v>662</v>
      </c>
      <c r="K777" s="1178" t="s">
        <v>267</v>
      </c>
      <c r="L777" s="1178" t="s">
        <v>211</v>
      </c>
      <c r="M777" s="1369"/>
      <c r="N777" s="1178" t="s">
        <v>20244</v>
      </c>
      <c r="O777" s="1178">
        <v>6</v>
      </c>
      <c r="P777" s="1178">
        <v>12.5</v>
      </c>
    </row>
    <row r="778" spans="1:16">
      <c r="A778" s="1178" t="s">
        <v>20673</v>
      </c>
      <c r="B778" s="1371" t="str">
        <f>HYPERLINK(IFERROR("#Main_Tariff!A"&amp;MATCH(Raeburn_Main_Tariff[[#This Row],[Product Code]],Main_Tariff!I:I,0),"#Main_Tariff!A"&amp;MATCH("*"&amp;RIGHT(A778,8)&amp;"*",Main_Tariff!A:A,0)),Raeburn_Main_Tariff[[#This Row],[PRODUCER]])</f>
        <v>Et Arlaud</v>
      </c>
      <c r="C778" s="1178" t="s">
        <v>20676</v>
      </c>
      <c r="D778" s="1178" t="s">
        <v>897</v>
      </c>
      <c r="E778" s="1179">
        <v>2019</v>
      </c>
      <c r="F778" s="1282" t="s">
        <v>20220</v>
      </c>
      <c r="G778" s="1368">
        <v>23</v>
      </c>
      <c r="H778" s="1178" t="s">
        <v>20221</v>
      </c>
      <c r="I778" s="1178" t="s">
        <v>4175</v>
      </c>
      <c r="J778" s="1178" t="s">
        <v>662</v>
      </c>
      <c r="K778" s="1178" t="s">
        <v>267</v>
      </c>
      <c r="L778" s="1178" t="s">
        <v>211</v>
      </c>
      <c r="M778" s="1369"/>
      <c r="N778" s="1178" t="s">
        <v>20244</v>
      </c>
      <c r="O778" s="1178">
        <v>6</v>
      </c>
      <c r="P778" s="1178">
        <v>12.5</v>
      </c>
    </row>
    <row r="779" spans="1:16">
      <c r="A779" s="1178" t="s">
        <v>20673</v>
      </c>
      <c r="B779" s="1371" t="str">
        <f>HYPERLINK(IFERROR("#Main_Tariff!A"&amp;MATCH(Raeburn_Main_Tariff[[#This Row],[Product Code]],Main_Tariff!I:I,0),"#Main_Tariff!A"&amp;MATCH("*"&amp;RIGHT(A779,8)&amp;"*",Main_Tariff!A:A,0)),Raeburn_Main_Tariff[[#This Row],[PRODUCER]])</f>
        <v>Et Arlaud</v>
      </c>
      <c r="C779" s="1178" t="s">
        <v>20676</v>
      </c>
      <c r="D779" s="1178" t="s">
        <v>897</v>
      </c>
      <c r="E779" s="1179">
        <v>2018</v>
      </c>
      <c r="F779" s="1282" t="s">
        <v>20220</v>
      </c>
      <c r="G779" s="1368">
        <v>22</v>
      </c>
      <c r="H779" s="1178" t="s">
        <v>20221</v>
      </c>
      <c r="I779" s="1178" t="s">
        <v>4177</v>
      </c>
      <c r="J779" s="1178" t="s">
        <v>662</v>
      </c>
      <c r="K779" s="1178" t="s">
        <v>267</v>
      </c>
      <c r="L779" s="1178" t="s">
        <v>211</v>
      </c>
      <c r="M779" s="1369"/>
      <c r="N779" s="1178"/>
      <c r="O779" s="1178">
        <v>6</v>
      </c>
      <c r="P779" s="1178">
        <v>12.5</v>
      </c>
    </row>
    <row r="780" spans="1:16">
      <c r="A780" s="1178" t="s">
        <v>20673</v>
      </c>
      <c r="B780" s="1371" t="str">
        <f>HYPERLINK(IFERROR("#Main_Tariff!A"&amp;MATCH(Raeburn_Main_Tariff[[#This Row],[Product Code]],Main_Tariff!I:I,0),"#Main_Tariff!A"&amp;MATCH("*"&amp;RIGHT(A780,8)&amp;"*",Main_Tariff!A:A,0)),Raeburn_Main_Tariff[[#This Row],[PRODUCER]])</f>
        <v>Et Arlaud</v>
      </c>
      <c r="C780" s="1178" t="s">
        <v>20676</v>
      </c>
      <c r="D780" s="1178" t="s">
        <v>897</v>
      </c>
      <c r="E780" s="1179">
        <v>2017</v>
      </c>
      <c r="F780" s="1282" t="s">
        <v>20220</v>
      </c>
      <c r="G780" s="1368">
        <v>22</v>
      </c>
      <c r="H780" s="1178" t="s">
        <v>20221</v>
      </c>
      <c r="I780" s="1178" t="s">
        <v>4179</v>
      </c>
      <c r="J780" s="1178" t="s">
        <v>662</v>
      </c>
      <c r="K780" s="1178" t="s">
        <v>267</v>
      </c>
      <c r="L780" s="1178" t="s">
        <v>211</v>
      </c>
      <c r="M780" s="1369"/>
      <c r="N780" s="1178"/>
      <c r="O780" s="1178">
        <v>6</v>
      </c>
      <c r="P780" s="1178">
        <v>12.5</v>
      </c>
    </row>
    <row r="781" spans="1:16">
      <c r="A781" s="1178" t="s">
        <v>20673</v>
      </c>
      <c r="B781" s="1371" t="str">
        <f>HYPERLINK(IFERROR("#Main_Tariff!A"&amp;MATCH(Raeburn_Main_Tariff[[#This Row],[Product Code]],Main_Tariff!I:I,0),"#Main_Tariff!A"&amp;MATCH("*"&amp;RIGHT(A781,8)&amp;"*",Main_Tariff!A:A,0)),Raeburn_Main_Tariff[[#This Row],[PRODUCER]])</f>
        <v>Et Arlaud</v>
      </c>
      <c r="C781" s="1178" t="s">
        <v>20676</v>
      </c>
      <c r="D781" s="1178" t="s">
        <v>897</v>
      </c>
      <c r="E781" s="1179">
        <v>2016</v>
      </c>
      <c r="F781" s="1282" t="s">
        <v>20220</v>
      </c>
      <c r="G781" s="1368">
        <v>22</v>
      </c>
      <c r="H781" s="1178" t="s">
        <v>20221</v>
      </c>
      <c r="I781" s="1178" t="s">
        <v>4181</v>
      </c>
      <c r="J781" s="1178" t="s">
        <v>662</v>
      </c>
      <c r="K781" s="1178" t="s">
        <v>267</v>
      </c>
      <c r="L781" s="1178" t="s">
        <v>211</v>
      </c>
      <c r="M781" s="1369"/>
      <c r="N781" s="1178"/>
      <c r="O781" s="1178">
        <v>6</v>
      </c>
      <c r="P781" s="1178">
        <v>12.5</v>
      </c>
    </row>
    <row r="782" spans="1:16">
      <c r="A782" s="1178" t="s">
        <v>20673</v>
      </c>
      <c r="B782" s="1371" t="str">
        <f>HYPERLINK(IFERROR("#Main_Tariff!A"&amp;MATCH(Raeburn_Main_Tariff[[#This Row],[Product Code]],Main_Tariff!I:I,0),"#Main_Tariff!A"&amp;MATCH("*"&amp;RIGHT(A782,8)&amp;"*",Main_Tariff!A:A,0)),Raeburn_Main_Tariff[[#This Row],[PRODUCER]])</f>
        <v>Et Arlaud</v>
      </c>
      <c r="C782" s="1178" t="s">
        <v>20676</v>
      </c>
      <c r="D782" s="1178" t="s">
        <v>897</v>
      </c>
      <c r="E782" s="1179">
        <v>2015</v>
      </c>
      <c r="F782" s="1282" t="s">
        <v>20220</v>
      </c>
      <c r="G782" s="1368">
        <v>22</v>
      </c>
      <c r="H782" s="1178" t="s">
        <v>20221</v>
      </c>
      <c r="I782" s="1178" t="s">
        <v>4183</v>
      </c>
      <c r="J782" s="1178" t="s">
        <v>662</v>
      </c>
      <c r="K782" s="1178" t="s">
        <v>267</v>
      </c>
      <c r="L782" s="1178" t="s">
        <v>211</v>
      </c>
      <c r="M782" s="1369"/>
      <c r="N782" s="1178"/>
      <c r="O782" s="1178">
        <v>6</v>
      </c>
      <c r="P782" s="1178">
        <v>12.5</v>
      </c>
    </row>
    <row r="783" spans="1:16">
      <c r="A783" s="1178" t="s">
        <v>20673</v>
      </c>
      <c r="B783" s="1371" t="str">
        <f>HYPERLINK(IFERROR("#Main_Tariff!A"&amp;MATCH(Raeburn_Main_Tariff[[#This Row],[Product Code]],Main_Tariff!I:I,0),"#Main_Tariff!A"&amp;MATCH("*"&amp;RIGHT(A783,8)&amp;"*",Main_Tariff!A:A,0)),Raeburn_Main_Tariff[[#This Row],[PRODUCER]])</f>
        <v>Et Arlaud</v>
      </c>
      <c r="C783" s="1178" t="s">
        <v>20676</v>
      </c>
      <c r="D783" s="1178" t="s">
        <v>897</v>
      </c>
      <c r="E783" s="1179">
        <v>2014</v>
      </c>
      <c r="F783" s="1282" t="s">
        <v>20220</v>
      </c>
      <c r="G783" s="1368">
        <v>22</v>
      </c>
      <c r="H783" s="1178" t="s">
        <v>20221</v>
      </c>
      <c r="I783" s="1178" t="s">
        <v>4185</v>
      </c>
      <c r="J783" s="1178" t="s">
        <v>662</v>
      </c>
      <c r="K783" s="1178" t="s">
        <v>267</v>
      </c>
      <c r="L783" s="1178" t="s">
        <v>211</v>
      </c>
      <c r="M783" s="1369"/>
      <c r="N783" s="1178"/>
      <c r="O783" s="1178">
        <v>6</v>
      </c>
      <c r="P783" s="1178">
        <v>13</v>
      </c>
    </row>
    <row r="784" spans="1:16">
      <c r="A784" s="1178" t="s">
        <v>20677</v>
      </c>
      <c r="B784" s="1371" t="str">
        <f>HYPERLINK(IFERROR("#Main_Tariff!A"&amp;MATCH(Raeburn_Main_Tariff[[#This Row],[Product Code]],Main_Tariff!I:I,0),"#Main_Tariff!A"&amp;MATCH("*"&amp;RIGHT(A784,8)&amp;"*",Main_Tariff!A:A,0)),Raeburn_Main_Tariff[[#This Row],[PRODUCER]])</f>
        <v>Domaine Arlaud</v>
      </c>
      <c r="C784" s="1178" t="s">
        <v>20678</v>
      </c>
      <c r="D784" s="1178" t="s">
        <v>897</v>
      </c>
      <c r="E784" s="1179">
        <v>2022</v>
      </c>
      <c r="F784" s="1282" t="s">
        <v>20220</v>
      </c>
      <c r="G784" s="1368">
        <v>24.75</v>
      </c>
      <c r="H784" s="1178" t="s">
        <v>20221</v>
      </c>
      <c r="I784" s="1178" t="s">
        <v>4187</v>
      </c>
      <c r="J784" s="1178" t="s">
        <v>662</v>
      </c>
      <c r="K784" s="1178" t="s">
        <v>267</v>
      </c>
      <c r="L784" s="1178" t="s">
        <v>211</v>
      </c>
      <c r="M784" s="1369"/>
      <c r="N784" s="1178" t="s">
        <v>20244</v>
      </c>
      <c r="O784" s="1178">
        <v>6</v>
      </c>
      <c r="P784" s="1178">
        <v>13</v>
      </c>
    </row>
    <row r="785" spans="1:16">
      <c r="A785" s="1178" t="s">
        <v>20677</v>
      </c>
      <c r="B785" s="1371" t="str">
        <f>HYPERLINK(IFERROR("#Main_Tariff!A"&amp;MATCH(Raeburn_Main_Tariff[[#This Row],[Product Code]],Main_Tariff!I:I,0),"#Main_Tariff!A"&amp;MATCH("*"&amp;RIGHT(A785,8)&amp;"*",Main_Tariff!A:A,0)),Raeburn_Main_Tariff[[#This Row],[PRODUCER]])</f>
        <v>Domaine Arlaud</v>
      </c>
      <c r="C785" s="1178" t="s">
        <v>20678</v>
      </c>
      <c r="D785" s="1178" t="s">
        <v>897</v>
      </c>
      <c r="E785" s="1179">
        <v>2021</v>
      </c>
      <c r="F785" s="1282" t="s">
        <v>20220</v>
      </c>
      <c r="G785" s="1368">
        <v>23.75</v>
      </c>
      <c r="H785" s="1178" t="s">
        <v>20221</v>
      </c>
      <c r="I785" s="1178" t="s">
        <v>4189</v>
      </c>
      <c r="J785" s="1178" t="s">
        <v>662</v>
      </c>
      <c r="K785" s="1178" t="s">
        <v>267</v>
      </c>
      <c r="L785" s="1178" t="s">
        <v>211</v>
      </c>
      <c r="M785" s="1369"/>
      <c r="N785" s="1178" t="s">
        <v>20244</v>
      </c>
      <c r="O785" s="1178">
        <v>6</v>
      </c>
      <c r="P785" s="1178">
        <v>12.5</v>
      </c>
    </row>
    <row r="786" spans="1:16">
      <c r="A786" s="1178" t="s">
        <v>20677</v>
      </c>
      <c r="B786" s="1371" t="str">
        <f>HYPERLINK(IFERROR("#Main_Tariff!A"&amp;MATCH(Raeburn_Main_Tariff[[#This Row],[Product Code]],Main_Tariff!I:I,0),"#Main_Tariff!A"&amp;MATCH("*"&amp;RIGHT(A786,8)&amp;"*",Main_Tariff!A:A,0)),Raeburn_Main_Tariff[[#This Row],[PRODUCER]])</f>
        <v>Domaine Arlaud</v>
      </c>
      <c r="C786" s="1178" t="s">
        <v>20678</v>
      </c>
      <c r="D786" s="1178" t="s">
        <v>897</v>
      </c>
      <c r="E786" s="1179">
        <v>2019</v>
      </c>
      <c r="F786" s="1282" t="s">
        <v>20220</v>
      </c>
      <c r="G786" s="1368">
        <v>23.5</v>
      </c>
      <c r="H786" s="1178" t="s">
        <v>20221</v>
      </c>
      <c r="I786" s="1178" t="s">
        <v>4191</v>
      </c>
      <c r="J786" s="1178" t="s">
        <v>662</v>
      </c>
      <c r="K786" s="1178" t="s">
        <v>267</v>
      </c>
      <c r="L786" s="1178" t="s">
        <v>211</v>
      </c>
      <c r="M786" s="1369"/>
      <c r="N786" s="1178" t="s">
        <v>20244</v>
      </c>
      <c r="O786" s="1178">
        <v>12</v>
      </c>
      <c r="P786" s="1178">
        <v>13.5</v>
      </c>
    </row>
    <row r="787" spans="1:16">
      <c r="A787" s="1178" t="s">
        <v>20677</v>
      </c>
      <c r="B787" s="1371" t="str">
        <f>HYPERLINK(IFERROR("#Main_Tariff!A"&amp;MATCH(Raeburn_Main_Tariff[[#This Row],[Product Code]],Main_Tariff!I:I,0),"#Main_Tariff!A"&amp;MATCH("*"&amp;RIGHT(A787,8)&amp;"*",Main_Tariff!A:A,0)),Raeburn_Main_Tariff[[#This Row],[PRODUCER]])</f>
        <v>Domaine Arlaud</v>
      </c>
      <c r="C787" s="1178" t="s">
        <v>20678</v>
      </c>
      <c r="D787" s="1178" t="s">
        <v>897</v>
      </c>
      <c r="E787" s="1179">
        <v>2018</v>
      </c>
      <c r="F787" s="1282" t="s">
        <v>20220</v>
      </c>
      <c r="G787" s="1368">
        <v>23.5</v>
      </c>
      <c r="H787" s="1178" t="s">
        <v>20221</v>
      </c>
      <c r="I787" s="1178" t="s">
        <v>4193</v>
      </c>
      <c r="J787" s="1178" t="s">
        <v>662</v>
      </c>
      <c r="K787" s="1178" t="s">
        <v>267</v>
      </c>
      <c r="L787" s="1178" t="s">
        <v>211</v>
      </c>
      <c r="M787" s="1369"/>
      <c r="N787" s="1178" t="s">
        <v>20244</v>
      </c>
      <c r="O787" s="1178">
        <v>6</v>
      </c>
      <c r="P787" s="1178">
        <v>14</v>
      </c>
    </row>
    <row r="788" spans="1:16">
      <c r="A788" s="1178" t="s">
        <v>20677</v>
      </c>
      <c r="B788" s="1371" t="str">
        <f>HYPERLINK(IFERROR("#Main_Tariff!A"&amp;MATCH(Raeburn_Main_Tariff[[#This Row],[Product Code]],Main_Tariff!I:I,0),"#Main_Tariff!A"&amp;MATCH("*"&amp;RIGHT(A788,8)&amp;"*",Main_Tariff!A:A,0)),Raeburn_Main_Tariff[[#This Row],[PRODUCER]])</f>
        <v>Domaine Arlaud</v>
      </c>
      <c r="C788" s="1178" t="s">
        <v>20679</v>
      </c>
      <c r="D788" s="1178" t="s">
        <v>897</v>
      </c>
      <c r="E788" s="1179">
        <v>2022</v>
      </c>
      <c r="F788" s="1282" t="s">
        <v>20220</v>
      </c>
      <c r="G788" s="1368">
        <v>46.5</v>
      </c>
      <c r="H788" s="1178" t="s">
        <v>20221</v>
      </c>
      <c r="I788" s="1178" t="s">
        <v>4197</v>
      </c>
      <c r="J788" s="1178" t="s">
        <v>662</v>
      </c>
      <c r="K788" s="1178" t="s">
        <v>267</v>
      </c>
      <c r="L788" s="1178" t="s">
        <v>211</v>
      </c>
      <c r="M788" s="1369"/>
      <c r="N788" s="1178" t="s">
        <v>20244</v>
      </c>
      <c r="O788" s="1178">
        <v>6</v>
      </c>
      <c r="P788" s="1178">
        <v>13.5</v>
      </c>
    </row>
    <row r="789" spans="1:16">
      <c r="A789" s="1178" t="s">
        <v>215</v>
      </c>
      <c r="B789" s="1371" t="str">
        <f>HYPERLINK(IFERROR("#Main_Tariff!A"&amp;MATCH(Raeburn_Main_Tariff[[#This Row],[Product Code]],Main_Tariff!I:I,0),"#Main_Tariff!A"&amp;MATCH("*"&amp;RIGHT(A789,8)&amp;"*",Main_Tariff!A:A,0)),Raeburn_Main_Tariff[[#This Row],[PRODUCER]])</f>
        <v>Cyprien Arlaud</v>
      </c>
      <c r="C789" s="1178" t="s">
        <v>20680</v>
      </c>
      <c r="D789" s="1178" t="s">
        <v>897</v>
      </c>
      <c r="E789" s="1179">
        <v>2022</v>
      </c>
      <c r="F789" s="1282" t="s">
        <v>20220</v>
      </c>
      <c r="G789" s="1368">
        <v>44</v>
      </c>
      <c r="H789" s="1178" t="s">
        <v>20221</v>
      </c>
      <c r="I789" s="1178" t="s">
        <v>4199</v>
      </c>
      <c r="J789" s="1178" t="s">
        <v>662</v>
      </c>
      <c r="K789" s="1178" t="s">
        <v>267</v>
      </c>
      <c r="L789" s="1178" t="s">
        <v>211</v>
      </c>
      <c r="M789" s="1369"/>
      <c r="N789" s="1178"/>
      <c r="O789" s="1178">
        <v>6</v>
      </c>
      <c r="P789" s="1178">
        <v>13</v>
      </c>
    </row>
    <row r="790" spans="1:16">
      <c r="A790" s="1178" t="s">
        <v>20673</v>
      </c>
      <c r="B790" s="1371" t="str">
        <f>HYPERLINK(IFERROR("#Main_Tariff!A"&amp;MATCH(Raeburn_Main_Tariff[[#This Row],[Product Code]],Main_Tariff!I:I,0),"#Main_Tariff!A"&amp;MATCH("*"&amp;RIGHT(A790,8)&amp;"*",Main_Tariff!A:A,0)),Raeburn_Main_Tariff[[#This Row],[PRODUCER]])</f>
        <v>Et Arlaud</v>
      </c>
      <c r="C790" s="1178" t="s">
        <v>20681</v>
      </c>
      <c r="D790" s="1178" t="s">
        <v>897</v>
      </c>
      <c r="E790" s="1179">
        <v>2019</v>
      </c>
      <c r="F790" s="1282" t="s">
        <v>20220</v>
      </c>
      <c r="G790" s="1368">
        <v>41</v>
      </c>
      <c r="H790" s="1178" t="s">
        <v>20224</v>
      </c>
      <c r="I790" s="1178" t="s">
        <v>4201</v>
      </c>
      <c r="J790" s="1178" t="s">
        <v>662</v>
      </c>
      <c r="K790" s="1178" t="s">
        <v>267</v>
      </c>
      <c r="L790" s="1178" t="s">
        <v>211</v>
      </c>
      <c r="M790" s="1369"/>
      <c r="N790" s="1178"/>
      <c r="O790" s="1178">
        <v>6</v>
      </c>
      <c r="P790" s="1178">
        <v>13.5</v>
      </c>
    </row>
    <row r="791" spans="1:16">
      <c r="A791" s="1178" t="s">
        <v>20673</v>
      </c>
      <c r="B791" s="1371" t="str">
        <f>HYPERLINK(IFERROR("#Main_Tariff!A"&amp;MATCH(Raeburn_Main_Tariff[[#This Row],[Product Code]],Main_Tariff!I:I,0),"#Main_Tariff!A"&amp;MATCH("*"&amp;RIGHT(A791,8)&amp;"*",Main_Tariff!A:A,0)),Raeburn_Main_Tariff[[#This Row],[PRODUCER]])</f>
        <v>Et Arlaud</v>
      </c>
      <c r="C791" s="1178" t="s">
        <v>20681</v>
      </c>
      <c r="D791" s="1178" t="s">
        <v>897</v>
      </c>
      <c r="E791" s="1179">
        <v>2018</v>
      </c>
      <c r="F791" s="1282" t="s">
        <v>20220</v>
      </c>
      <c r="G791" s="1368">
        <v>37</v>
      </c>
      <c r="H791" s="1178" t="s">
        <v>20221</v>
      </c>
      <c r="I791" s="1178" t="s">
        <v>4203</v>
      </c>
      <c r="J791" s="1178" t="s">
        <v>662</v>
      </c>
      <c r="K791" s="1178" t="s">
        <v>267</v>
      </c>
      <c r="L791" s="1178" t="s">
        <v>211</v>
      </c>
      <c r="M791" s="1369"/>
      <c r="N791" s="1178"/>
      <c r="O791" s="1178">
        <v>6</v>
      </c>
      <c r="P791" s="1178">
        <v>13.5</v>
      </c>
    </row>
    <row r="792" spans="1:16">
      <c r="A792" s="1178" t="s">
        <v>20673</v>
      </c>
      <c r="B792" s="1371" t="str">
        <f>HYPERLINK(IFERROR("#Main_Tariff!A"&amp;MATCH(Raeburn_Main_Tariff[[#This Row],[Product Code]],Main_Tariff!I:I,0),"#Main_Tariff!A"&amp;MATCH("*"&amp;RIGHT(A792,8)&amp;"*",Main_Tariff!A:A,0)),Raeburn_Main_Tariff[[#This Row],[PRODUCER]])</f>
        <v>Et Arlaud</v>
      </c>
      <c r="C792" s="1178" t="s">
        <v>20681</v>
      </c>
      <c r="D792" s="1178" t="s">
        <v>897</v>
      </c>
      <c r="E792" s="1179">
        <v>2016</v>
      </c>
      <c r="F792" s="1282" t="s">
        <v>20220</v>
      </c>
      <c r="G792" s="1368">
        <v>37</v>
      </c>
      <c r="H792" s="1178" t="s">
        <v>20224</v>
      </c>
      <c r="I792" s="1178" t="s">
        <v>4205</v>
      </c>
      <c r="J792" s="1178" t="s">
        <v>662</v>
      </c>
      <c r="K792" s="1178" t="s">
        <v>267</v>
      </c>
      <c r="L792" s="1178" t="s">
        <v>211</v>
      </c>
      <c r="M792" s="1369"/>
      <c r="N792" s="1178"/>
      <c r="O792" s="1178">
        <v>6</v>
      </c>
      <c r="P792" s="1178">
        <v>13</v>
      </c>
    </row>
    <row r="793" spans="1:16">
      <c r="A793" s="1178" t="s">
        <v>20673</v>
      </c>
      <c r="B793" s="1371" t="str">
        <f>HYPERLINK(IFERROR("#Main_Tariff!A"&amp;MATCH(Raeburn_Main_Tariff[[#This Row],[Product Code]],Main_Tariff!I:I,0),"#Main_Tariff!A"&amp;MATCH("*"&amp;RIGHT(A793,8)&amp;"*",Main_Tariff!A:A,0)),Raeburn_Main_Tariff[[#This Row],[PRODUCER]])</f>
        <v>Et Arlaud</v>
      </c>
      <c r="C793" s="1178" t="s">
        <v>20681</v>
      </c>
      <c r="D793" s="1178" t="s">
        <v>897</v>
      </c>
      <c r="E793" s="1179">
        <v>2013</v>
      </c>
      <c r="F793" s="1282" t="s">
        <v>20220</v>
      </c>
      <c r="G793" s="1368">
        <v>36</v>
      </c>
      <c r="H793" s="1178" t="s">
        <v>20224</v>
      </c>
      <c r="I793" s="1178" t="s">
        <v>4207</v>
      </c>
      <c r="J793" s="1178" t="s">
        <v>662</v>
      </c>
      <c r="K793" s="1178" t="s">
        <v>267</v>
      </c>
      <c r="L793" s="1178" t="s">
        <v>211</v>
      </c>
      <c r="M793" s="1369"/>
      <c r="N793" s="1178"/>
      <c r="O793" s="1178">
        <v>12</v>
      </c>
      <c r="P793" s="1178">
        <v>12.5</v>
      </c>
    </row>
    <row r="794" spans="1:16">
      <c r="A794" s="1178" t="s">
        <v>215</v>
      </c>
      <c r="B794" s="1371" t="str">
        <f>HYPERLINK(IFERROR("#Main_Tariff!A"&amp;MATCH(Raeburn_Main_Tariff[[#This Row],[Product Code]],Main_Tariff!I:I,0),"#Main_Tariff!A"&amp;MATCH("*"&amp;RIGHT(A794,8)&amp;"*",Main_Tariff!A:A,0)),Raeburn_Main_Tariff[[#This Row],[PRODUCER]])</f>
        <v>Cyprien Arlaud</v>
      </c>
      <c r="C794" s="1178" t="s">
        <v>20682</v>
      </c>
      <c r="D794" s="1178" t="s">
        <v>897</v>
      </c>
      <c r="E794" s="1179">
        <v>2022</v>
      </c>
      <c r="F794" s="1282" t="s">
        <v>20220</v>
      </c>
      <c r="G794" s="1368">
        <v>63</v>
      </c>
      <c r="H794" s="1178" t="s">
        <v>20221</v>
      </c>
      <c r="I794" s="1178" t="s">
        <v>4209</v>
      </c>
      <c r="J794" s="1178" t="s">
        <v>662</v>
      </c>
      <c r="K794" s="1178" t="s">
        <v>267</v>
      </c>
      <c r="L794" s="1178" t="s">
        <v>211</v>
      </c>
      <c r="M794" s="1369"/>
      <c r="N794" s="1178" t="s">
        <v>20244</v>
      </c>
      <c r="O794" s="1178">
        <v>6</v>
      </c>
      <c r="P794" s="1178">
        <v>13.5</v>
      </c>
    </row>
    <row r="795" spans="1:16">
      <c r="A795" s="1178" t="s">
        <v>215</v>
      </c>
      <c r="B795" s="1371" t="str">
        <f>HYPERLINK(IFERROR("#Main_Tariff!A"&amp;MATCH(Raeburn_Main_Tariff[[#This Row],[Product Code]],Main_Tariff!I:I,0),"#Main_Tariff!A"&amp;MATCH("*"&amp;RIGHT(A795,8)&amp;"*",Main_Tariff!A:A,0)),Raeburn_Main_Tariff[[#This Row],[PRODUCER]])</f>
        <v>Cyprien Arlaud</v>
      </c>
      <c r="C795" s="1178" t="s">
        <v>20682</v>
      </c>
      <c r="D795" s="1178" t="s">
        <v>897</v>
      </c>
      <c r="E795" s="1179">
        <v>2020</v>
      </c>
      <c r="F795" s="1282" t="s">
        <v>20220</v>
      </c>
      <c r="G795" s="1368">
        <v>55.5</v>
      </c>
      <c r="H795" s="1178" t="s">
        <v>20224</v>
      </c>
      <c r="I795" s="1178" t="s">
        <v>4211</v>
      </c>
      <c r="J795" s="1178" t="s">
        <v>662</v>
      </c>
      <c r="K795" s="1178" t="s">
        <v>267</v>
      </c>
      <c r="L795" s="1178" t="s">
        <v>211</v>
      </c>
      <c r="M795" s="1369"/>
      <c r="N795" s="1178" t="s">
        <v>20244</v>
      </c>
      <c r="O795" s="1178">
        <v>6</v>
      </c>
      <c r="P795" s="1178">
        <v>14.5</v>
      </c>
    </row>
    <row r="796" spans="1:16">
      <c r="A796" s="1178" t="s">
        <v>20673</v>
      </c>
      <c r="B796" s="1371" t="str">
        <f>HYPERLINK(IFERROR("#Main_Tariff!A"&amp;MATCH(Raeburn_Main_Tariff[[#This Row],[Product Code]],Main_Tariff!I:I,0),"#Main_Tariff!A"&amp;MATCH("*"&amp;RIGHT(A796,8)&amp;"*",Main_Tariff!A:A,0)),Raeburn_Main_Tariff[[#This Row],[PRODUCER]])</f>
        <v>Et Arlaud</v>
      </c>
      <c r="C796" s="1178" t="s">
        <v>20683</v>
      </c>
      <c r="D796" s="1178" t="s">
        <v>897</v>
      </c>
      <c r="E796" s="1179">
        <v>2018</v>
      </c>
      <c r="F796" s="1282" t="s">
        <v>20220</v>
      </c>
      <c r="G796" s="1368">
        <v>49.5</v>
      </c>
      <c r="H796" s="1178" t="s">
        <v>20277</v>
      </c>
      <c r="I796" s="1178" t="s">
        <v>4213</v>
      </c>
      <c r="J796" s="1178" t="s">
        <v>662</v>
      </c>
      <c r="K796" s="1178" t="s">
        <v>267</v>
      </c>
      <c r="L796" s="1178" t="s">
        <v>211</v>
      </c>
      <c r="M796" s="1369"/>
      <c r="N796" s="1178"/>
      <c r="O796" s="1178">
        <v>6</v>
      </c>
      <c r="P796" s="1178">
        <v>14</v>
      </c>
    </row>
    <row r="797" spans="1:16">
      <c r="A797" s="1178" t="s">
        <v>215</v>
      </c>
      <c r="B797" s="1371" t="str">
        <f>HYPERLINK(IFERROR("#Main_Tariff!A"&amp;MATCH(Raeburn_Main_Tariff[[#This Row],[Product Code]],Main_Tariff!I:I,0),"#Main_Tariff!A"&amp;MATCH("*"&amp;RIGHT(A797,8)&amp;"*",Main_Tariff!A:A,0)),Raeburn_Main_Tariff[[#This Row],[PRODUCER]])</f>
        <v>Cyprien Arlaud</v>
      </c>
      <c r="C797" s="1178" t="s">
        <v>20684</v>
      </c>
      <c r="D797" s="1178" t="s">
        <v>897</v>
      </c>
      <c r="E797" s="1179">
        <v>2022</v>
      </c>
      <c r="F797" s="1282" t="s">
        <v>20220</v>
      </c>
      <c r="G797" s="1368">
        <v>69</v>
      </c>
      <c r="H797" s="1178" t="s">
        <v>20221</v>
      </c>
      <c r="I797" s="1178" t="s">
        <v>4215</v>
      </c>
      <c r="J797" s="1178" t="s">
        <v>662</v>
      </c>
      <c r="K797" s="1178" t="s">
        <v>267</v>
      </c>
      <c r="L797" s="1178" t="s">
        <v>211</v>
      </c>
      <c r="M797" s="1369"/>
      <c r="N797" s="1178" t="s">
        <v>20244</v>
      </c>
      <c r="O797" s="1178">
        <v>6</v>
      </c>
      <c r="P797" s="1178">
        <v>13.5</v>
      </c>
    </row>
    <row r="798" spans="1:16">
      <c r="A798" s="1178" t="s">
        <v>215</v>
      </c>
      <c r="B798" s="1371" t="str">
        <f>HYPERLINK(IFERROR("#Main_Tariff!A"&amp;MATCH(Raeburn_Main_Tariff[[#This Row],[Product Code]],Main_Tariff!I:I,0),"#Main_Tariff!A"&amp;MATCH("*"&amp;RIGHT(A798,8)&amp;"*",Main_Tariff!A:A,0)),Raeburn_Main_Tariff[[#This Row],[PRODUCER]])</f>
        <v>Cyprien Arlaud</v>
      </c>
      <c r="C798" s="1178" t="s">
        <v>20684</v>
      </c>
      <c r="D798" s="1178" t="s">
        <v>897</v>
      </c>
      <c r="E798" s="1179">
        <v>2021</v>
      </c>
      <c r="F798" s="1282" t="s">
        <v>20220</v>
      </c>
      <c r="G798" s="1368">
        <v>61</v>
      </c>
      <c r="H798" s="1178" t="s">
        <v>20221</v>
      </c>
      <c r="I798" s="1178" t="s">
        <v>4217</v>
      </c>
      <c r="J798" s="1178" t="s">
        <v>662</v>
      </c>
      <c r="K798" s="1178" t="s">
        <v>267</v>
      </c>
      <c r="L798" s="1178" t="s">
        <v>211</v>
      </c>
      <c r="M798" s="1369"/>
      <c r="N798" s="1178" t="s">
        <v>20244</v>
      </c>
      <c r="O798" s="1178">
        <v>6</v>
      </c>
      <c r="P798" s="1178">
        <v>13</v>
      </c>
    </row>
    <row r="799" spans="1:16">
      <c r="A799" s="1178" t="s">
        <v>215</v>
      </c>
      <c r="B799" s="1371" t="str">
        <f>HYPERLINK(IFERROR("#Main_Tariff!A"&amp;MATCH(Raeburn_Main_Tariff[[#This Row],[Product Code]],Main_Tariff!I:I,0),"#Main_Tariff!A"&amp;MATCH("*"&amp;RIGHT(A799,8)&amp;"*",Main_Tariff!A:A,0)),Raeburn_Main_Tariff[[#This Row],[PRODUCER]])</f>
        <v>Cyprien Arlaud</v>
      </c>
      <c r="C799" s="1178" t="s">
        <v>20684</v>
      </c>
      <c r="D799" s="1178" t="s">
        <v>897</v>
      </c>
      <c r="E799" s="1179">
        <v>2020</v>
      </c>
      <c r="F799" s="1282" t="s">
        <v>20220</v>
      </c>
      <c r="G799" s="1368">
        <v>60</v>
      </c>
      <c r="H799" s="1178" t="s">
        <v>20224</v>
      </c>
      <c r="I799" s="1178" t="s">
        <v>4219</v>
      </c>
      <c r="J799" s="1178" t="s">
        <v>662</v>
      </c>
      <c r="K799" s="1178" t="s">
        <v>267</v>
      </c>
      <c r="L799" s="1178" t="s">
        <v>211</v>
      </c>
      <c r="M799" s="1369"/>
      <c r="N799" s="1178" t="s">
        <v>20244</v>
      </c>
      <c r="O799" s="1178">
        <v>6</v>
      </c>
      <c r="P799" s="1178">
        <v>14.5</v>
      </c>
    </row>
    <row r="800" spans="1:16">
      <c r="A800" s="1178" t="s">
        <v>20673</v>
      </c>
      <c r="B800" s="1371" t="str">
        <f>HYPERLINK(IFERROR("#Main_Tariff!A"&amp;MATCH(Raeburn_Main_Tariff[[#This Row],[Product Code]],Main_Tariff!I:I,0),"#Main_Tariff!A"&amp;MATCH("*"&amp;RIGHT(A800,8)&amp;"*",Main_Tariff!A:A,0)),Raeburn_Main_Tariff[[#This Row],[PRODUCER]])</f>
        <v>Et Arlaud</v>
      </c>
      <c r="C800" s="1178" t="s">
        <v>20685</v>
      </c>
      <c r="D800" s="1178" t="s">
        <v>897</v>
      </c>
      <c r="E800" s="1179">
        <v>2019</v>
      </c>
      <c r="F800" s="1282" t="s">
        <v>20220</v>
      </c>
      <c r="G800" s="1368">
        <v>60</v>
      </c>
      <c r="H800" s="1178" t="s">
        <v>20221</v>
      </c>
      <c r="I800" s="1178" t="s">
        <v>4221</v>
      </c>
      <c r="J800" s="1178" t="s">
        <v>662</v>
      </c>
      <c r="K800" s="1178" t="s">
        <v>267</v>
      </c>
      <c r="L800" s="1178" t="s">
        <v>211</v>
      </c>
      <c r="M800" s="1369"/>
      <c r="N800" s="1178" t="s">
        <v>20244</v>
      </c>
      <c r="O800" s="1178">
        <v>6</v>
      </c>
      <c r="P800" s="1178">
        <v>14</v>
      </c>
    </row>
    <row r="801" spans="1:16">
      <c r="A801" s="1178" t="s">
        <v>20673</v>
      </c>
      <c r="B801" s="1371" t="str">
        <f>HYPERLINK(IFERROR("#Main_Tariff!A"&amp;MATCH(Raeburn_Main_Tariff[[#This Row],[Product Code]],Main_Tariff!I:I,0),"#Main_Tariff!A"&amp;MATCH("*"&amp;RIGHT(A801,8)&amp;"*",Main_Tariff!A:A,0)),Raeburn_Main_Tariff[[#This Row],[PRODUCER]])</f>
        <v>Et Arlaud</v>
      </c>
      <c r="C801" s="1178" t="s">
        <v>20685</v>
      </c>
      <c r="D801" s="1178" t="s">
        <v>897</v>
      </c>
      <c r="E801" s="1179">
        <v>2018</v>
      </c>
      <c r="F801" s="1282" t="s">
        <v>20220</v>
      </c>
      <c r="G801" s="1368">
        <v>53</v>
      </c>
      <c r="H801" s="1178" t="s">
        <v>20221</v>
      </c>
      <c r="I801" s="1178" t="s">
        <v>4223</v>
      </c>
      <c r="J801" s="1178" t="s">
        <v>662</v>
      </c>
      <c r="K801" s="1178" t="s">
        <v>267</v>
      </c>
      <c r="L801" s="1178" t="s">
        <v>211</v>
      </c>
      <c r="M801" s="1369"/>
      <c r="N801" s="1178"/>
      <c r="O801" s="1178">
        <v>6</v>
      </c>
      <c r="P801" s="1178">
        <v>14</v>
      </c>
    </row>
    <row r="802" spans="1:16">
      <c r="A802" s="1178" t="s">
        <v>20673</v>
      </c>
      <c r="B802" s="1371" t="str">
        <f>HYPERLINK(IFERROR("#Main_Tariff!A"&amp;MATCH(Raeburn_Main_Tariff[[#This Row],[Product Code]],Main_Tariff!I:I,0),"#Main_Tariff!A"&amp;MATCH("*"&amp;RIGHT(A802,8)&amp;"*",Main_Tariff!A:A,0)),Raeburn_Main_Tariff[[#This Row],[PRODUCER]])</f>
        <v>Et Arlaud</v>
      </c>
      <c r="C802" s="1178" t="s">
        <v>20685</v>
      </c>
      <c r="D802" s="1178" t="s">
        <v>897</v>
      </c>
      <c r="E802" s="1179">
        <v>2017</v>
      </c>
      <c r="F802" s="1282" t="s">
        <v>20220</v>
      </c>
      <c r="G802" s="1368">
        <v>50.5</v>
      </c>
      <c r="H802" s="1178" t="s">
        <v>20277</v>
      </c>
      <c r="I802" s="1178" t="s">
        <v>4225</v>
      </c>
      <c r="J802" s="1178" t="s">
        <v>662</v>
      </c>
      <c r="K802" s="1178" t="s">
        <v>267</v>
      </c>
      <c r="L802" s="1178" t="s">
        <v>211</v>
      </c>
      <c r="M802" s="1369"/>
      <c r="N802" s="1178"/>
      <c r="O802" s="1178">
        <v>6</v>
      </c>
      <c r="P802" s="1178">
        <v>13</v>
      </c>
    </row>
    <row r="803" spans="1:16">
      <c r="A803" s="1178" t="s">
        <v>20673</v>
      </c>
      <c r="B803" s="1371" t="str">
        <f>HYPERLINK(IFERROR("#Main_Tariff!A"&amp;MATCH(Raeburn_Main_Tariff[[#This Row],[Product Code]],Main_Tariff!I:I,0),"#Main_Tariff!A"&amp;MATCH("*"&amp;RIGHT(A803,8)&amp;"*",Main_Tariff!A:A,0)),Raeburn_Main_Tariff[[#This Row],[PRODUCER]])</f>
        <v>Et Arlaud</v>
      </c>
      <c r="C803" s="1178" t="s">
        <v>20685</v>
      </c>
      <c r="D803" s="1178" t="s">
        <v>897</v>
      </c>
      <c r="E803" s="1179">
        <v>2014</v>
      </c>
      <c r="F803" s="1282" t="s">
        <v>20220</v>
      </c>
      <c r="G803" s="1368">
        <v>49.5</v>
      </c>
      <c r="H803" s="1178" t="s">
        <v>20277</v>
      </c>
      <c r="I803" s="1178" t="s">
        <v>4227</v>
      </c>
      <c r="J803" s="1178" t="s">
        <v>662</v>
      </c>
      <c r="K803" s="1178" t="s">
        <v>267</v>
      </c>
      <c r="L803" s="1178" t="s">
        <v>211</v>
      </c>
      <c r="M803" s="1369"/>
      <c r="N803" s="1178"/>
      <c r="O803" s="1178">
        <v>6</v>
      </c>
      <c r="P803" s="1178">
        <v>13</v>
      </c>
    </row>
    <row r="804" spans="1:16">
      <c r="A804" s="1178" t="s">
        <v>20673</v>
      </c>
      <c r="B804" s="1371" t="str">
        <f>HYPERLINK(IFERROR("#Main_Tariff!A"&amp;MATCH(Raeburn_Main_Tariff[[#This Row],[Product Code]],Main_Tariff!I:I,0),"#Main_Tariff!A"&amp;MATCH("*"&amp;RIGHT(A804,8)&amp;"*",Main_Tariff!A:A,0)),Raeburn_Main_Tariff[[#This Row],[PRODUCER]])</f>
        <v>Et Arlaud</v>
      </c>
      <c r="C804" s="1178" t="s">
        <v>20685</v>
      </c>
      <c r="D804" s="1178" t="s">
        <v>897</v>
      </c>
      <c r="E804" s="1179">
        <v>2013</v>
      </c>
      <c r="F804" s="1282" t="s">
        <v>20220</v>
      </c>
      <c r="G804" s="1368">
        <v>49.5</v>
      </c>
      <c r="H804" s="1178" t="s">
        <v>20224</v>
      </c>
      <c r="I804" s="1178" t="s">
        <v>4229</v>
      </c>
      <c r="J804" s="1178" t="s">
        <v>662</v>
      </c>
      <c r="K804" s="1178" t="s">
        <v>267</v>
      </c>
      <c r="L804" s="1178" t="s">
        <v>211</v>
      </c>
      <c r="M804" s="1369"/>
      <c r="N804" s="1178"/>
      <c r="O804" s="1178">
        <v>6</v>
      </c>
      <c r="P804" s="1178">
        <v>12.5</v>
      </c>
    </row>
    <row r="805" spans="1:16">
      <c r="A805" s="1178" t="s">
        <v>20677</v>
      </c>
      <c r="B805" s="1371" t="str">
        <f>HYPERLINK(IFERROR("#Main_Tariff!A"&amp;MATCH(Raeburn_Main_Tariff[[#This Row],[Product Code]],Main_Tariff!I:I,0),"#Main_Tariff!A"&amp;MATCH("*"&amp;RIGHT(A805,8)&amp;"*",Main_Tariff!A:A,0)),Raeburn_Main_Tariff[[#This Row],[PRODUCER]])</f>
        <v>Domaine Arlaud</v>
      </c>
      <c r="C805" s="1178" t="s">
        <v>20686</v>
      </c>
      <c r="D805" s="1178" t="s">
        <v>897</v>
      </c>
      <c r="E805" s="1179">
        <v>2022</v>
      </c>
      <c r="F805" s="1282" t="s">
        <v>20220</v>
      </c>
      <c r="G805" s="1368">
        <v>145</v>
      </c>
      <c r="H805" s="1178" t="s">
        <v>20221</v>
      </c>
      <c r="I805" s="1178" t="s">
        <v>4233</v>
      </c>
      <c r="J805" s="1178" t="s">
        <v>662</v>
      </c>
      <c r="K805" s="1178" t="s">
        <v>267</v>
      </c>
      <c r="L805" s="1178" t="s">
        <v>211</v>
      </c>
      <c r="M805" s="1369" t="s">
        <v>23297</v>
      </c>
      <c r="N805" s="1178" t="s">
        <v>20244</v>
      </c>
      <c r="O805" s="1178">
        <v>6</v>
      </c>
      <c r="P805" s="1178">
        <v>13.5</v>
      </c>
    </row>
    <row r="806" spans="1:16">
      <c r="A806" s="1178" t="s">
        <v>20677</v>
      </c>
      <c r="B806" s="1371" t="str">
        <f>HYPERLINK(IFERROR("#Main_Tariff!A"&amp;MATCH(Raeburn_Main_Tariff[[#This Row],[Product Code]],Main_Tariff!I:I,0),"#Main_Tariff!A"&amp;MATCH("*"&amp;RIGHT(A806,8)&amp;"*",Main_Tariff!A:A,0)),Raeburn_Main_Tariff[[#This Row],[PRODUCER]])</f>
        <v>Domaine Arlaud</v>
      </c>
      <c r="C806" s="1178" t="s">
        <v>20686</v>
      </c>
      <c r="D806" s="1178" t="s">
        <v>897</v>
      </c>
      <c r="E806" s="1179">
        <v>2020</v>
      </c>
      <c r="F806" s="1282" t="s">
        <v>20220</v>
      </c>
      <c r="G806" s="1368">
        <v>125.5</v>
      </c>
      <c r="H806" s="1178" t="s">
        <v>20224</v>
      </c>
      <c r="I806" s="1178" t="s">
        <v>4234</v>
      </c>
      <c r="J806" s="1178" t="s">
        <v>662</v>
      </c>
      <c r="K806" s="1178" t="s">
        <v>267</v>
      </c>
      <c r="L806" s="1178" t="s">
        <v>211</v>
      </c>
      <c r="M806" s="1369" t="s">
        <v>23297</v>
      </c>
      <c r="N806" s="1178" t="s">
        <v>20244</v>
      </c>
      <c r="O806" s="1178">
        <v>6</v>
      </c>
      <c r="P806" s="1178">
        <v>13.5</v>
      </c>
    </row>
    <row r="807" spans="1:16">
      <c r="A807" s="1178" t="s">
        <v>20677</v>
      </c>
      <c r="B807" s="1371" t="str">
        <f>HYPERLINK(IFERROR("#Main_Tariff!A"&amp;MATCH(Raeburn_Main_Tariff[[#This Row],[Product Code]],Main_Tariff!I:I,0),"#Main_Tariff!A"&amp;MATCH("*"&amp;RIGHT(A807,8)&amp;"*",Main_Tariff!A:A,0)),Raeburn_Main_Tariff[[#This Row],[PRODUCER]])</f>
        <v>Domaine Arlaud</v>
      </c>
      <c r="C807" s="1178" t="s">
        <v>20686</v>
      </c>
      <c r="D807" s="1178" t="s">
        <v>897</v>
      </c>
      <c r="E807" s="1179">
        <v>2018</v>
      </c>
      <c r="F807" s="1282" t="s">
        <v>20220</v>
      </c>
      <c r="G807" s="1368">
        <v>100</v>
      </c>
      <c r="H807" s="1178" t="s">
        <v>20224</v>
      </c>
      <c r="I807" s="1178" t="s">
        <v>4236</v>
      </c>
      <c r="J807" s="1178" t="s">
        <v>662</v>
      </c>
      <c r="K807" s="1178" t="s">
        <v>267</v>
      </c>
      <c r="L807" s="1178" t="s">
        <v>211</v>
      </c>
      <c r="M807" s="1369" t="s">
        <v>23297</v>
      </c>
      <c r="N807" s="1178" t="s">
        <v>20244</v>
      </c>
      <c r="O807" s="1178">
        <v>6</v>
      </c>
      <c r="P807" s="1178">
        <v>13.5</v>
      </c>
    </row>
    <row r="808" spans="1:16">
      <c r="A808" s="1178" t="s">
        <v>20677</v>
      </c>
      <c r="B808" s="1371" t="str">
        <f>HYPERLINK(IFERROR("#Main_Tariff!A"&amp;MATCH(Raeburn_Main_Tariff[[#This Row],[Product Code]],Main_Tariff!I:I,0),"#Main_Tariff!A"&amp;MATCH("*"&amp;RIGHT(A808,8)&amp;"*",Main_Tariff!A:A,0)),Raeburn_Main_Tariff[[#This Row],[PRODUCER]])</f>
        <v>Domaine Arlaud</v>
      </c>
      <c r="C808" s="1178" t="s">
        <v>20686</v>
      </c>
      <c r="D808" s="1178" t="s">
        <v>897</v>
      </c>
      <c r="E808" s="1179">
        <v>2017</v>
      </c>
      <c r="F808" s="1282" t="s">
        <v>20220</v>
      </c>
      <c r="G808" s="1368">
        <v>100</v>
      </c>
      <c r="H808" s="1178" t="s">
        <v>20224</v>
      </c>
      <c r="I808" s="1178" t="s">
        <v>4238</v>
      </c>
      <c r="J808" s="1178" t="s">
        <v>662</v>
      </c>
      <c r="K808" s="1178" t="s">
        <v>267</v>
      </c>
      <c r="L808" s="1178" t="s">
        <v>211</v>
      </c>
      <c r="M808" s="1369" t="s">
        <v>23297</v>
      </c>
      <c r="N808" s="1178" t="s">
        <v>20244</v>
      </c>
      <c r="O808" s="1178">
        <v>6</v>
      </c>
      <c r="P808" s="1178">
        <v>13.5</v>
      </c>
    </row>
    <row r="809" spans="1:16">
      <c r="A809" s="1178" t="s">
        <v>20677</v>
      </c>
      <c r="B809" s="1371" t="str">
        <f>HYPERLINK(IFERROR("#Main_Tariff!A"&amp;MATCH(Raeburn_Main_Tariff[[#This Row],[Product Code]],Main_Tariff!I:I,0),"#Main_Tariff!A"&amp;MATCH("*"&amp;RIGHT(A809,8)&amp;"*",Main_Tariff!A:A,0)),Raeburn_Main_Tariff[[#This Row],[PRODUCER]])</f>
        <v>Domaine Arlaud</v>
      </c>
      <c r="C809" s="1178" t="s">
        <v>20687</v>
      </c>
      <c r="D809" s="1178" t="s">
        <v>897</v>
      </c>
      <c r="E809" s="1179">
        <v>2022</v>
      </c>
      <c r="F809" s="1282" t="s">
        <v>20220</v>
      </c>
      <c r="G809" s="1368">
        <v>67</v>
      </c>
      <c r="H809" s="1178" t="s">
        <v>20221</v>
      </c>
      <c r="I809" s="1178" t="s">
        <v>4239</v>
      </c>
      <c r="J809" s="1178" t="s">
        <v>662</v>
      </c>
      <c r="K809" s="1178" t="s">
        <v>267</v>
      </c>
      <c r="L809" s="1178" t="s">
        <v>211</v>
      </c>
      <c r="M809" s="1369" t="s">
        <v>23297</v>
      </c>
      <c r="N809" s="1178" t="s">
        <v>20244</v>
      </c>
      <c r="O809" s="1178">
        <v>6</v>
      </c>
      <c r="P809" s="1178">
        <v>13.5</v>
      </c>
    </row>
    <row r="810" spans="1:16">
      <c r="A810" s="1178" t="s">
        <v>20677</v>
      </c>
      <c r="B810" s="1371" t="str">
        <f>HYPERLINK(IFERROR("#Main_Tariff!A"&amp;MATCH(Raeburn_Main_Tariff[[#This Row],[Product Code]],Main_Tariff!I:I,0),"#Main_Tariff!A"&amp;MATCH("*"&amp;RIGHT(A810,8)&amp;"*",Main_Tariff!A:A,0)),Raeburn_Main_Tariff[[#This Row],[PRODUCER]])</f>
        <v>Domaine Arlaud</v>
      </c>
      <c r="C810" s="1178" t="s">
        <v>20687</v>
      </c>
      <c r="D810" s="1178" t="s">
        <v>897</v>
      </c>
      <c r="E810" s="1179">
        <v>2021</v>
      </c>
      <c r="F810" s="1282" t="s">
        <v>20220</v>
      </c>
      <c r="G810" s="1368">
        <v>63.5</v>
      </c>
      <c r="H810" s="1178" t="s">
        <v>20224</v>
      </c>
      <c r="I810" s="1178" t="s">
        <v>4240</v>
      </c>
      <c r="J810" s="1178" t="s">
        <v>662</v>
      </c>
      <c r="K810" s="1178" t="s">
        <v>267</v>
      </c>
      <c r="L810" s="1178" t="s">
        <v>211</v>
      </c>
      <c r="M810" s="1369" t="s">
        <v>23297</v>
      </c>
      <c r="N810" s="1178" t="s">
        <v>20244</v>
      </c>
      <c r="O810" s="1178">
        <v>6</v>
      </c>
      <c r="P810" s="1178">
        <v>13</v>
      </c>
    </row>
    <row r="811" spans="1:16">
      <c r="A811" s="1178" t="s">
        <v>20677</v>
      </c>
      <c r="B811" s="1371" t="str">
        <f>HYPERLINK(IFERROR("#Main_Tariff!A"&amp;MATCH(Raeburn_Main_Tariff[[#This Row],[Product Code]],Main_Tariff!I:I,0),"#Main_Tariff!A"&amp;MATCH("*"&amp;RIGHT(A811,8)&amp;"*",Main_Tariff!A:A,0)),Raeburn_Main_Tariff[[#This Row],[PRODUCER]])</f>
        <v>Domaine Arlaud</v>
      </c>
      <c r="C811" s="1178" t="s">
        <v>20687</v>
      </c>
      <c r="D811" s="1178" t="s">
        <v>897</v>
      </c>
      <c r="E811" s="1179">
        <v>2017</v>
      </c>
      <c r="F811" s="1282" t="s">
        <v>20220</v>
      </c>
      <c r="G811" s="1368">
        <v>61</v>
      </c>
      <c r="H811" s="1178" t="s">
        <v>20224</v>
      </c>
      <c r="I811" s="1178" t="s">
        <v>4241</v>
      </c>
      <c r="J811" s="1178" t="s">
        <v>662</v>
      </c>
      <c r="K811" s="1178" t="s">
        <v>267</v>
      </c>
      <c r="L811" s="1178" t="s">
        <v>211</v>
      </c>
      <c r="M811" s="1369" t="s">
        <v>23297</v>
      </c>
      <c r="N811" s="1178" t="s">
        <v>20244</v>
      </c>
      <c r="O811" s="1178">
        <v>6</v>
      </c>
      <c r="P811" s="1178">
        <v>13</v>
      </c>
    </row>
    <row r="812" spans="1:16">
      <c r="A812" s="1178" t="s">
        <v>20677</v>
      </c>
      <c r="B812" s="1371" t="str">
        <f>HYPERLINK(IFERROR("#Main_Tariff!A"&amp;MATCH(Raeburn_Main_Tariff[[#This Row],[Product Code]],Main_Tariff!I:I,0),"#Main_Tariff!A"&amp;MATCH("*"&amp;RIGHT(A812,8)&amp;"*",Main_Tariff!A:A,0)),Raeburn_Main_Tariff[[#This Row],[PRODUCER]])</f>
        <v>Domaine Arlaud</v>
      </c>
      <c r="C812" s="1178" t="s">
        <v>20687</v>
      </c>
      <c r="D812" s="1178" t="s">
        <v>897</v>
      </c>
      <c r="E812" s="1179">
        <v>2014</v>
      </c>
      <c r="F812" s="1282" t="s">
        <v>20220</v>
      </c>
      <c r="G812" s="1368">
        <v>61</v>
      </c>
      <c r="H812" s="1178" t="s">
        <v>20224</v>
      </c>
      <c r="I812" s="1178" t="s">
        <v>4242</v>
      </c>
      <c r="J812" s="1178" t="s">
        <v>662</v>
      </c>
      <c r="K812" s="1178" t="s">
        <v>267</v>
      </c>
      <c r="L812" s="1178" t="s">
        <v>211</v>
      </c>
      <c r="M812" s="1369" t="s">
        <v>23297</v>
      </c>
      <c r="N812" s="1178" t="s">
        <v>20244</v>
      </c>
      <c r="O812" s="1178">
        <v>6</v>
      </c>
      <c r="P812" s="1178">
        <v>13</v>
      </c>
    </row>
    <row r="813" spans="1:16">
      <c r="A813" s="1178" t="s">
        <v>20677</v>
      </c>
      <c r="B813" s="1371" t="str">
        <f>HYPERLINK(IFERROR("#Main_Tariff!A"&amp;MATCH(Raeburn_Main_Tariff[[#This Row],[Product Code]],Main_Tariff!I:I,0),"#Main_Tariff!A"&amp;MATCH("*"&amp;RIGHT(A813,8)&amp;"*",Main_Tariff!A:A,0)),Raeburn_Main_Tariff[[#This Row],[PRODUCER]])</f>
        <v>Domaine Arlaud</v>
      </c>
      <c r="C813" s="1178" t="s">
        <v>20688</v>
      </c>
      <c r="D813" s="1178" t="s">
        <v>897</v>
      </c>
      <c r="E813" s="1179">
        <v>2022</v>
      </c>
      <c r="F813" s="1282" t="s">
        <v>20220</v>
      </c>
      <c r="G813" s="1368">
        <v>115</v>
      </c>
      <c r="H813" s="1178" t="s">
        <v>20221</v>
      </c>
      <c r="I813" s="1178" t="s">
        <v>4243</v>
      </c>
      <c r="J813" s="1178" t="s">
        <v>662</v>
      </c>
      <c r="K813" s="1178" t="s">
        <v>267</v>
      </c>
      <c r="L813" s="1178" t="s">
        <v>211</v>
      </c>
      <c r="M813" s="1369" t="s">
        <v>23297</v>
      </c>
      <c r="N813" s="1178" t="s">
        <v>20244</v>
      </c>
      <c r="O813" s="1178">
        <v>6</v>
      </c>
      <c r="P813" s="1178">
        <v>13.5</v>
      </c>
    </row>
    <row r="814" spans="1:16">
      <c r="A814" s="1178" t="s">
        <v>20677</v>
      </c>
      <c r="B814" s="1371" t="str">
        <f>HYPERLINK(IFERROR("#Main_Tariff!A"&amp;MATCH(Raeburn_Main_Tariff[[#This Row],[Product Code]],Main_Tariff!I:I,0),"#Main_Tariff!A"&amp;MATCH("*"&amp;RIGHT(A814,8)&amp;"*",Main_Tariff!A:A,0)),Raeburn_Main_Tariff[[#This Row],[PRODUCER]])</f>
        <v>Domaine Arlaud</v>
      </c>
      <c r="C814" s="1178" t="s">
        <v>20688</v>
      </c>
      <c r="D814" s="1178" t="s">
        <v>897</v>
      </c>
      <c r="E814" s="1179">
        <v>2021</v>
      </c>
      <c r="F814" s="1282" t="s">
        <v>20220</v>
      </c>
      <c r="G814" s="1368">
        <v>110</v>
      </c>
      <c r="H814" s="1178" t="s">
        <v>20224</v>
      </c>
      <c r="I814" s="1178" t="s">
        <v>4244</v>
      </c>
      <c r="J814" s="1178" t="s">
        <v>662</v>
      </c>
      <c r="K814" s="1178" t="s">
        <v>267</v>
      </c>
      <c r="L814" s="1178" t="s">
        <v>211</v>
      </c>
      <c r="M814" s="1369" t="s">
        <v>23297</v>
      </c>
      <c r="N814" s="1178" t="s">
        <v>20244</v>
      </c>
      <c r="O814" s="1178">
        <v>6</v>
      </c>
      <c r="P814" s="1178">
        <v>13</v>
      </c>
    </row>
    <row r="815" spans="1:16">
      <c r="A815" s="1178" t="s">
        <v>20677</v>
      </c>
      <c r="B815" s="1371" t="str">
        <f>HYPERLINK(IFERROR("#Main_Tariff!A"&amp;MATCH(Raeburn_Main_Tariff[[#This Row],[Product Code]],Main_Tariff!I:I,0),"#Main_Tariff!A"&amp;MATCH("*"&amp;RIGHT(A815,8)&amp;"*",Main_Tariff!A:A,0)),Raeburn_Main_Tariff[[#This Row],[PRODUCER]])</f>
        <v>Domaine Arlaud</v>
      </c>
      <c r="C815" s="1178" t="s">
        <v>20689</v>
      </c>
      <c r="D815" s="1178" t="s">
        <v>897</v>
      </c>
      <c r="E815" s="1179"/>
      <c r="F815" s="1282" t="s">
        <v>20220</v>
      </c>
      <c r="G815" s="1368"/>
      <c r="H815" s="1178" t="s">
        <v>3907</v>
      </c>
      <c r="I815" s="1178" t="s">
        <v>4245</v>
      </c>
      <c r="J815" s="1178" t="s">
        <v>662</v>
      </c>
      <c r="K815" s="1178" t="s">
        <v>267</v>
      </c>
      <c r="L815" s="1178" t="s">
        <v>211</v>
      </c>
      <c r="M815" s="1369" t="s">
        <v>23297</v>
      </c>
      <c r="N815" s="1178"/>
      <c r="O815" s="1178">
        <v>6</v>
      </c>
      <c r="P815" s="1178">
        <v>12.5</v>
      </c>
    </row>
    <row r="816" spans="1:16">
      <c r="A816" s="1178" t="s">
        <v>20677</v>
      </c>
      <c r="B816" s="1371" t="str">
        <f>HYPERLINK(IFERROR("#Main_Tariff!A"&amp;MATCH(Raeburn_Main_Tariff[[#This Row],[Product Code]],Main_Tariff!I:I,0),"#Main_Tariff!A"&amp;MATCH("*"&amp;RIGHT(A816,8)&amp;"*",Main_Tariff!A:A,0)),Raeburn_Main_Tariff[[#This Row],[PRODUCER]])</f>
        <v>Domaine Arlaud</v>
      </c>
      <c r="C816" s="1178" t="s">
        <v>20690</v>
      </c>
      <c r="D816" s="1178" t="s">
        <v>897</v>
      </c>
      <c r="E816" s="1179">
        <v>2022</v>
      </c>
      <c r="F816" s="1282" t="s">
        <v>20220</v>
      </c>
      <c r="G816" s="1368">
        <v>125</v>
      </c>
      <c r="H816" s="1178" t="s">
        <v>20224</v>
      </c>
      <c r="I816" s="1178" t="s">
        <v>4246</v>
      </c>
      <c r="J816" s="1178" t="s">
        <v>662</v>
      </c>
      <c r="K816" s="1178" t="s">
        <v>267</v>
      </c>
      <c r="L816" s="1178" t="s">
        <v>211</v>
      </c>
      <c r="M816" s="1369" t="s">
        <v>23297</v>
      </c>
      <c r="N816" s="1178" t="s">
        <v>20244</v>
      </c>
      <c r="O816" s="1178">
        <v>3</v>
      </c>
      <c r="P816" s="1178">
        <v>13</v>
      </c>
    </row>
    <row r="817" spans="1:16">
      <c r="A817" s="1178" t="s">
        <v>20677</v>
      </c>
      <c r="B817" s="1371" t="str">
        <f>HYPERLINK(IFERROR("#Main_Tariff!A"&amp;MATCH(Raeburn_Main_Tariff[[#This Row],[Product Code]],Main_Tariff!I:I,0),"#Main_Tariff!A"&amp;MATCH("*"&amp;RIGHT(A817,8)&amp;"*",Main_Tariff!A:A,0)),Raeburn_Main_Tariff[[#This Row],[PRODUCER]])</f>
        <v>Domaine Arlaud</v>
      </c>
      <c r="C817" s="1178" t="s">
        <v>20690</v>
      </c>
      <c r="D817" s="1178" t="s">
        <v>897</v>
      </c>
      <c r="E817" s="1179">
        <v>2021</v>
      </c>
      <c r="F817" s="1282" t="s">
        <v>20220</v>
      </c>
      <c r="G817" s="1368">
        <v>115</v>
      </c>
      <c r="H817" s="1178" t="s">
        <v>20224</v>
      </c>
      <c r="I817" s="1178" t="s">
        <v>4247</v>
      </c>
      <c r="J817" s="1178" t="s">
        <v>662</v>
      </c>
      <c r="K817" s="1178" t="s">
        <v>267</v>
      </c>
      <c r="L817" s="1178" t="s">
        <v>211</v>
      </c>
      <c r="M817" s="1369" t="s">
        <v>23297</v>
      </c>
      <c r="N817" s="1178" t="s">
        <v>20244</v>
      </c>
      <c r="O817" s="1178">
        <v>3</v>
      </c>
      <c r="P817" s="1178">
        <v>13</v>
      </c>
    </row>
    <row r="818" spans="1:16">
      <c r="A818" s="1178" t="s">
        <v>20677</v>
      </c>
      <c r="B818" s="1371" t="str">
        <f>HYPERLINK(IFERROR("#Main_Tariff!A"&amp;MATCH(Raeburn_Main_Tariff[[#This Row],[Product Code]],Main_Tariff!I:I,0),"#Main_Tariff!A"&amp;MATCH("*"&amp;RIGHT(A818,8)&amp;"*",Main_Tariff!A:A,0)),Raeburn_Main_Tariff[[#This Row],[PRODUCER]])</f>
        <v>Domaine Arlaud</v>
      </c>
      <c r="C818" s="1178" t="s">
        <v>20691</v>
      </c>
      <c r="D818" s="1178" t="s">
        <v>897</v>
      </c>
      <c r="E818" s="1179">
        <v>2022</v>
      </c>
      <c r="F818" s="1282" t="s">
        <v>20220</v>
      </c>
      <c r="G818" s="1368">
        <v>125</v>
      </c>
      <c r="H818" s="1178" t="s">
        <v>20224</v>
      </c>
      <c r="I818" s="1178" t="s">
        <v>4248</v>
      </c>
      <c r="J818" s="1178" t="s">
        <v>662</v>
      </c>
      <c r="K818" s="1178" t="s">
        <v>267</v>
      </c>
      <c r="L818" s="1178" t="s">
        <v>211</v>
      </c>
      <c r="M818" s="1369" t="s">
        <v>23297</v>
      </c>
      <c r="N818" s="1178" t="s">
        <v>20244</v>
      </c>
      <c r="O818" s="1178">
        <v>6</v>
      </c>
      <c r="P818" s="1178">
        <v>13.5</v>
      </c>
    </row>
    <row r="819" spans="1:16">
      <c r="A819" s="1178" t="s">
        <v>20677</v>
      </c>
      <c r="B819" s="1371" t="str">
        <f>HYPERLINK(IFERROR("#Main_Tariff!A"&amp;MATCH(Raeburn_Main_Tariff[[#This Row],[Product Code]],Main_Tariff!I:I,0),"#Main_Tariff!A"&amp;MATCH("*"&amp;RIGHT(A819,8)&amp;"*",Main_Tariff!A:A,0)),Raeburn_Main_Tariff[[#This Row],[PRODUCER]])</f>
        <v>Domaine Arlaud</v>
      </c>
      <c r="C819" s="1178" t="s">
        <v>20691</v>
      </c>
      <c r="D819" s="1178" t="s">
        <v>897</v>
      </c>
      <c r="E819" s="1179">
        <v>2021</v>
      </c>
      <c r="F819" s="1282" t="s">
        <v>20220</v>
      </c>
      <c r="G819" s="1368">
        <v>115</v>
      </c>
      <c r="H819" s="1178" t="s">
        <v>20224</v>
      </c>
      <c r="I819" s="1178" t="s">
        <v>4249</v>
      </c>
      <c r="J819" s="1178" t="s">
        <v>662</v>
      </c>
      <c r="K819" s="1178" t="s">
        <v>267</v>
      </c>
      <c r="L819" s="1178" t="s">
        <v>211</v>
      </c>
      <c r="M819" s="1369" t="s">
        <v>23297</v>
      </c>
      <c r="N819" s="1178" t="s">
        <v>20244</v>
      </c>
      <c r="O819" s="1178">
        <v>6</v>
      </c>
      <c r="P819" s="1178">
        <v>13</v>
      </c>
    </row>
    <row r="820" spans="1:16">
      <c r="A820" s="1178" t="s">
        <v>20673</v>
      </c>
      <c r="B820" s="1371" t="str">
        <f>HYPERLINK(IFERROR("#Main_Tariff!A"&amp;MATCH(Raeburn_Main_Tariff[[#This Row],[Product Code]],Main_Tariff!I:I,0),"#Main_Tariff!A"&amp;MATCH("*"&amp;RIGHT(A820,8)&amp;"*",Main_Tariff!A:A,0)),Raeburn_Main_Tariff[[#This Row],[PRODUCER]])</f>
        <v>Et Arlaud</v>
      </c>
      <c r="C820" s="1178" t="s">
        <v>20692</v>
      </c>
      <c r="D820" s="1178" t="s">
        <v>897</v>
      </c>
      <c r="E820" s="1179">
        <v>2018</v>
      </c>
      <c r="F820" s="1282" t="s">
        <v>20220</v>
      </c>
      <c r="G820" s="1368">
        <v>100</v>
      </c>
      <c r="H820" s="1178" t="s">
        <v>20224</v>
      </c>
      <c r="I820" s="1178" t="s">
        <v>4250</v>
      </c>
      <c r="J820" s="1178" t="s">
        <v>662</v>
      </c>
      <c r="K820" s="1178" t="s">
        <v>267</v>
      </c>
      <c r="L820" s="1178" t="s">
        <v>211</v>
      </c>
      <c r="M820" s="1369" t="s">
        <v>23297</v>
      </c>
      <c r="N820" s="1178"/>
      <c r="O820" s="1178">
        <v>6</v>
      </c>
      <c r="P820" s="1178">
        <v>13.5</v>
      </c>
    </row>
    <row r="821" spans="1:16">
      <c r="A821" s="1178" t="s">
        <v>20677</v>
      </c>
      <c r="B821" s="1371" t="str">
        <f>HYPERLINK(IFERROR("#Main_Tariff!A"&amp;MATCH(Raeburn_Main_Tariff[[#This Row],[Product Code]],Main_Tariff!I:I,0),"#Main_Tariff!A"&amp;MATCH("*"&amp;RIGHT(A821,8)&amp;"*",Main_Tariff!A:A,0)),Raeburn_Main_Tariff[[#This Row],[PRODUCER]])</f>
        <v>Domaine Arlaud</v>
      </c>
      <c r="C821" s="1178" t="s">
        <v>20693</v>
      </c>
      <c r="D821" s="1178" t="s">
        <v>897</v>
      </c>
      <c r="E821" s="1179">
        <v>2022</v>
      </c>
      <c r="F821" s="1282" t="s">
        <v>20220</v>
      </c>
      <c r="G821" s="1368">
        <v>79.5</v>
      </c>
      <c r="H821" s="1178" t="s">
        <v>20221</v>
      </c>
      <c r="I821" s="1178" t="s">
        <v>4251</v>
      </c>
      <c r="J821" s="1178" t="s">
        <v>662</v>
      </c>
      <c r="K821" s="1178" t="s">
        <v>267</v>
      </c>
      <c r="L821" s="1178" t="s">
        <v>211</v>
      </c>
      <c r="M821" s="1369" t="s">
        <v>23297</v>
      </c>
      <c r="N821" s="1178"/>
      <c r="O821" s="1178">
        <v>6</v>
      </c>
      <c r="P821" s="1178">
        <v>13.5</v>
      </c>
    </row>
    <row r="822" spans="1:16">
      <c r="A822" s="1178" t="s">
        <v>20677</v>
      </c>
      <c r="B822" s="1371" t="str">
        <f>HYPERLINK(IFERROR("#Main_Tariff!A"&amp;MATCH(Raeburn_Main_Tariff[[#This Row],[Product Code]],Main_Tariff!I:I,0),"#Main_Tariff!A"&amp;MATCH("*"&amp;RIGHT(A822,8)&amp;"*",Main_Tariff!A:A,0)),Raeburn_Main_Tariff[[#This Row],[PRODUCER]])</f>
        <v>Domaine Arlaud</v>
      </c>
      <c r="C822" s="1178" t="s">
        <v>20693</v>
      </c>
      <c r="D822" s="1178" t="s">
        <v>897</v>
      </c>
      <c r="E822" s="1179">
        <v>2021</v>
      </c>
      <c r="F822" s="1282" t="s">
        <v>20220</v>
      </c>
      <c r="G822" s="1368">
        <v>68</v>
      </c>
      <c r="H822" s="1178" t="s">
        <v>20221</v>
      </c>
      <c r="I822" s="1178" t="s">
        <v>4252</v>
      </c>
      <c r="J822" s="1178" t="s">
        <v>662</v>
      </c>
      <c r="K822" s="1178" t="s">
        <v>267</v>
      </c>
      <c r="L822" s="1178" t="s">
        <v>211</v>
      </c>
      <c r="M822" s="1369" t="s">
        <v>23297</v>
      </c>
      <c r="N822" s="1178"/>
      <c r="O822" s="1178">
        <v>6</v>
      </c>
      <c r="P822" s="1178">
        <v>13</v>
      </c>
    </row>
    <row r="823" spans="1:16">
      <c r="A823" s="1178" t="s">
        <v>20677</v>
      </c>
      <c r="B823" s="1371" t="str">
        <f>HYPERLINK(IFERROR("#Main_Tariff!A"&amp;MATCH(Raeburn_Main_Tariff[[#This Row],[Product Code]],Main_Tariff!I:I,0),"#Main_Tariff!A"&amp;MATCH("*"&amp;RIGHT(A823,8)&amp;"*",Main_Tariff!A:A,0)),Raeburn_Main_Tariff[[#This Row],[PRODUCER]])</f>
        <v>Domaine Arlaud</v>
      </c>
      <c r="C823" s="1178" t="s">
        <v>20693</v>
      </c>
      <c r="D823" s="1178" t="s">
        <v>897</v>
      </c>
      <c r="E823" s="1179">
        <v>2020</v>
      </c>
      <c r="F823" s="1282" t="s">
        <v>20220</v>
      </c>
      <c r="G823" s="1368">
        <v>64</v>
      </c>
      <c r="H823" s="1178" t="s">
        <v>20221</v>
      </c>
      <c r="I823" s="1178" t="s">
        <v>4253</v>
      </c>
      <c r="J823" s="1178" t="s">
        <v>662</v>
      </c>
      <c r="K823" s="1178" t="s">
        <v>267</v>
      </c>
      <c r="L823" s="1178" t="s">
        <v>211</v>
      </c>
      <c r="M823" s="1369" t="s">
        <v>23297</v>
      </c>
      <c r="N823" s="1178"/>
      <c r="O823" s="1178">
        <v>6</v>
      </c>
      <c r="P823" s="1178">
        <v>14.5</v>
      </c>
    </row>
    <row r="824" spans="1:16">
      <c r="A824" s="1178" t="s">
        <v>20677</v>
      </c>
      <c r="B824" s="1371" t="str">
        <f>HYPERLINK(IFERROR("#Main_Tariff!A"&amp;MATCH(Raeburn_Main_Tariff[[#This Row],[Product Code]],Main_Tariff!I:I,0),"#Main_Tariff!A"&amp;MATCH("*"&amp;RIGHT(A824,8)&amp;"*",Main_Tariff!A:A,0)),Raeburn_Main_Tariff[[#This Row],[PRODUCER]])</f>
        <v>Domaine Arlaud</v>
      </c>
      <c r="C824" s="1178" t="s">
        <v>20694</v>
      </c>
      <c r="D824" s="1178" t="s">
        <v>897</v>
      </c>
      <c r="E824" s="1179">
        <v>2019</v>
      </c>
      <c r="F824" s="1282" t="s">
        <v>20220</v>
      </c>
      <c r="G824" s="1368">
        <v>64</v>
      </c>
      <c r="H824" s="1178" t="s">
        <v>20221</v>
      </c>
      <c r="I824" s="1178" t="s">
        <v>4254</v>
      </c>
      <c r="J824" s="1178" t="s">
        <v>662</v>
      </c>
      <c r="K824" s="1178" t="s">
        <v>267</v>
      </c>
      <c r="L824" s="1178" t="s">
        <v>211</v>
      </c>
      <c r="M824" s="1369" t="s">
        <v>23297</v>
      </c>
      <c r="N824" s="1178"/>
      <c r="O824" s="1178">
        <v>6</v>
      </c>
      <c r="P824" s="1178">
        <v>13.5</v>
      </c>
    </row>
    <row r="825" spans="1:16">
      <c r="A825" s="1178" t="s">
        <v>20677</v>
      </c>
      <c r="B825" s="1371" t="str">
        <f>HYPERLINK(IFERROR("#Main_Tariff!A"&amp;MATCH(Raeburn_Main_Tariff[[#This Row],[Product Code]],Main_Tariff!I:I,0),"#Main_Tariff!A"&amp;MATCH("*"&amp;RIGHT(A825,8)&amp;"*",Main_Tariff!A:A,0)),Raeburn_Main_Tariff[[#This Row],[PRODUCER]])</f>
        <v>Domaine Arlaud</v>
      </c>
      <c r="C825" s="1178" t="s">
        <v>20695</v>
      </c>
      <c r="D825" s="1178" t="s">
        <v>897</v>
      </c>
      <c r="E825" s="1179">
        <v>2022</v>
      </c>
      <c r="F825" s="1282" t="s">
        <v>20220</v>
      </c>
      <c r="G825" s="1368" t="s">
        <v>5258</v>
      </c>
      <c r="H825" s="1178" t="s">
        <v>20221</v>
      </c>
      <c r="I825" s="1178" t="s">
        <v>4256</v>
      </c>
      <c r="J825" s="1178" t="s">
        <v>662</v>
      </c>
      <c r="K825" s="1178" t="s">
        <v>267</v>
      </c>
      <c r="L825" s="1178" t="s">
        <v>211</v>
      </c>
      <c r="M825" s="1369" t="s">
        <v>23296</v>
      </c>
      <c r="N825" s="1178" t="s">
        <v>20244</v>
      </c>
      <c r="O825" s="1178">
        <v>6</v>
      </c>
      <c r="P825" s="1178">
        <v>13.5</v>
      </c>
    </row>
    <row r="826" spans="1:16">
      <c r="A826" s="1178" t="s">
        <v>20677</v>
      </c>
      <c r="B826" s="1371" t="str">
        <f>HYPERLINK(IFERROR("#Main_Tariff!A"&amp;MATCH(Raeburn_Main_Tariff[[#This Row],[Product Code]],Main_Tariff!I:I,0),"#Main_Tariff!A"&amp;MATCH("*"&amp;RIGHT(A826,8)&amp;"*",Main_Tariff!A:A,0)),Raeburn_Main_Tariff[[#This Row],[PRODUCER]])</f>
        <v>Domaine Arlaud</v>
      </c>
      <c r="C826" s="1178" t="s">
        <v>20695</v>
      </c>
      <c r="D826" s="1178" t="s">
        <v>897</v>
      </c>
      <c r="E826" s="1179">
        <v>2021</v>
      </c>
      <c r="F826" s="1282" t="s">
        <v>20220</v>
      </c>
      <c r="G826" s="1368" t="s">
        <v>5258</v>
      </c>
      <c r="H826" s="1178" t="s">
        <v>20224</v>
      </c>
      <c r="I826" s="1178" t="s">
        <v>4257</v>
      </c>
      <c r="J826" s="1178" t="s">
        <v>662</v>
      </c>
      <c r="K826" s="1178" t="s">
        <v>267</v>
      </c>
      <c r="L826" s="1178" t="s">
        <v>211</v>
      </c>
      <c r="M826" s="1369" t="s">
        <v>23296</v>
      </c>
      <c r="N826" s="1178" t="s">
        <v>20244</v>
      </c>
      <c r="O826" s="1178">
        <v>6</v>
      </c>
      <c r="P826" s="1178">
        <v>13</v>
      </c>
    </row>
    <row r="827" spans="1:16">
      <c r="A827" s="1178" t="s">
        <v>20677</v>
      </c>
      <c r="B827" s="1371" t="str">
        <f>HYPERLINK(IFERROR("#Main_Tariff!A"&amp;MATCH(Raeburn_Main_Tariff[[#This Row],[Product Code]],Main_Tariff!I:I,0),"#Main_Tariff!A"&amp;MATCH("*"&amp;RIGHT(A827,8)&amp;"*",Main_Tariff!A:A,0)),Raeburn_Main_Tariff[[#This Row],[PRODUCER]])</f>
        <v>Domaine Arlaud</v>
      </c>
      <c r="C827" s="1178" t="s">
        <v>20695</v>
      </c>
      <c r="D827" s="1178" t="s">
        <v>897</v>
      </c>
      <c r="E827" s="1179">
        <v>2018</v>
      </c>
      <c r="F827" s="1282" t="s">
        <v>20220</v>
      </c>
      <c r="G827" s="1368" t="s">
        <v>5258</v>
      </c>
      <c r="H827" s="1178" t="s">
        <v>20221</v>
      </c>
      <c r="I827" s="1178" t="s">
        <v>4258</v>
      </c>
      <c r="J827" s="1178" t="s">
        <v>662</v>
      </c>
      <c r="K827" s="1178" t="s">
        <v>267</v>
      </c>
      <c r="L827" s="1178" t="s">
        <v>211</v>
      </c>
      <c r="M827" s="1369" t="s">
        <v>23296</v>
      </c>
      <c r="N827" s="1178" t="s">
        <v>20244</v>
      </c>
      <c r="O827" s="1178">
        <v>6</v>
      </c>
      <c r="P827" s="1178">
        <v>13.5</v>
      </c>
    </row>
    <row r="828" spans="1:16">
      <c r="A828" s="1178" t="s">
        <v>20677</v>
      </c>
      <c r="B828" s="1371" t="str">
        <f>HYPERLINK(IFERROR("#Main_Tariff!A"&amp;MATCH(Raeburn_Main_Tariff[[#This Row],[Product Code]],Main_Tariff!I:I,0),"#Main_Tariff!A"&amp;MATCH("*"&amp;RIGHT(A828,8)&amp;"*",Main_Tariff!A:A,0)),Raeburn_Main_Tariff[[#This Row],[PRODUCER]])</f>
        <v>Domaine Arlaud</v>
      </c>
      <c r="C828" s="1178" t="s">
        <v>20695</v>
      </c>
      <c r="D828" s="1178" t="s">
        <v>897</v>
      </c>
      <c r="E828" s="1179">
        <v>2017</v>
      </c>
      <c r="F828" s="1282" t="s">
        <v>20220</v>
      </c>
      <c r="G828" s="1368" t="s">
        <v>5258</v>
      </c>
      <c r="H828" s="1178" t="s">
        <v>20224</v>
      </c>
      <c r="I828" s="1178" t="s">
        <v>4259</v>
      </c>
      <c r="J828" s="1178" t="s">
        <v>662</v>
      </c>
      <c r="K828" s="1178" t="s">
        <v>267</v>
      </c>
      <c r="L828" s="1178" t="s">
        <v>211</v>
      </c>
      <c r="M828" s="1369" t="s">
        <v>23296</v>
      </c>
      <c r="N828" s="1178" t="s">
        <v>20244</v>
      </c>
      <c r="O828" s="1178">
        <v>6</v>
      </c>
      <c r="P828" s="1178">
        <v>13.5</v>
      </c>
    </row>
    <row r="829" spans="1:16">
      <c r="A829" s="1178" t="s">
        <v>20677</v>
      </c>
      <c r="B829" s="1371" t="str">
        <f>HYPERLINK(IFERROR("#Main_Tariff!A"&amp;MATCH(Raeburn_Main_Tariff[[#This Row],[Product Code]],Main_Tariff!I:I,0),"#Main_Tariff!A"&amp;MATCH("*"&amp;RIGHT(A829,8)&amp;"*",Main_Tariff!A:A,0)),Raeburn_Main_Tariff[[#This Row],[PRODUCER]])</f>
        <v>Domaine Arlaud</v>
      </c>
      <c r="C829" s="1178" t="s">
        <v>20695</v>
      </c>
      <c r="D829" s="1178" t="s">
        <v>897</v>
      </c>
      <c r="E829" s="1179">
        <v>2014</v>
      </c>
      <c r="F829" s="1282" t="s">
        <v>20220</v>
      </c>
      <c r="G829" s="1368" t="s">
        <v>5258</v>
      </c>
      <c r="H829" s="1178" t="s">
        <v>20224</v>
      </c>
      <c r="I829" s="1178" t="s">
        <v>4260</v>
      </c>
      <c r="J829" s="1178" t="s">
        <v>662</v>
      </c>
      <c r="K829" s="1178" t="s">
        <v>267</v>
      </c>
      <c r="L829" s="1178" t="s">
        <v>211</v>
      </c>
      <c r="M829" s="1369" t="s">
        <v>23296</v>
      </c>
      <c r="N829" s="1178" t="s">
        <v>20244</v>
      </c>
      <c r="O829" s="1178">
        <v>6</v>
      </c>
      <c r="P829" s="1178">
        <v>13</v>
      </c>
    </row>
    <row r="830" spans="1:16">
      <c r="A830" s="1178" t="s">
        <v>20677</v>
      </c>
      <c r="B830" s="1371" t="str">
        <f>HYPERLINK(IFERROR("#Main_Tariff!A"&amp;MATCH(Raeburn_Main_Tariff[[#This Row],[Product Code]],Main_Tariff!I:I,0),"#Main_Tariff!A"&amp;MATCH("*"&amp;RIGHT(A830,8)&amp;"*",Main_Tariff!A:A,0)),Raeburn_Main_Tariff[[#This Row],[PRODUCER]])</f>
        <v>Domaine Arlaud</v>
      </c>
      <c r="C830" s="1178" t="s">
        <v>20695</v>
      </c>
      <c r="D830" s="1178" t="s">
        <v>897</v>
      </c>
      <c r="E830" s="1179">
        <v>2013</v>
      </c>
      <c r="F830" s="1282" t="s">
        <v>20220</v>
      </c>
      <c r="G830" s="1368" t="s">
        <v>5258</v>
      </c>
      <c r="H830" s="1178" t="s">
        <v>20224</v>
      </c>
      <c r="I830" s="1178" t="s">
        <v>4261</v>
      </c>
      <c r="J830" s="1178" t="s">
        <v>662</v>
      </c>
      <c r="K830" s="1178" t="s">
        <v>267</v>
      </c>
      <c r="L830" s="1178" t="s">
        <v>211</v>
      </c>
      <c r="M830" s="1369" t="s">
        <v>23296</v>
      </c>
      <c r="N830" s="1178" t="s">
        <v>20244</v>
      </c>
      <c r="O830" s="1178">
        <v>6</v>
      </c>
      <c r="P830" s="1178">
        <v>13</v>
      </c>
    </row>
    <row r="831" spans="1:16">
      <c r="A831" s="1178" t="s">
        <v>20677</v>
      </c>
      <c r="B831" s="1371" t="str">
        <f>HYPERLINK(IFERROR("#Main_Tariff!A"&amp;MATCH(Raeburn_Main_Tariff[[#This Row],[Product Code]],Main_Tariff!I:I,0),"#Main_Tariff!A"&amp;MATCH("*"&amp;RIGHT(A831,8)&amp;"*",Main_Tariff!A:A,0)),Raeburn_Main_Tariff[[#This Row],[PRODUCER]])</f>
        <v>Domaine Arlaud</v>
      </c>
      <c r="C831" s="1178" t="s">
        <v>20696</v>
      </c>
      <c r="D831" s="1178" t="s">
        <v>897</v>
      </c>
      <c r="E831" s="1179">
        <v>2022</v>
      </c>
      <c r="F831" s="1282" t="s">
        <v>20220</v>
      </c>
      <c r="G831" s="1368" t="s">
        <v>5258</v>
      </c>
      <c r="H831" s="1178" t="s">
        <v>20224</v>
      </c>
      <c r="I831" s="1178" t="s">
        <v>4262</v>
      </c>
      <c r="J831" s="1178" t="s">
        <v>662</v>
      </c>
      <c r="K831" s="1178" t="s">
        <v>267</v>
      </c>
      <c r="L831" s="1178" t="s">
        <v>211</v>
      </c>
      <c r="M831" s="1369" t="s">
        <v>23296</v>
      </c>
      <c r="N831" s="1178" t="s">
        <v>20244</v>
      </c>
      <c r="O831" s="1178">
        <v>3</v>
      </c>
      <c r="P831" s="1178">
        <v>13</v>
      </c>
    </row>
    <row r="832" spans="1:16">
      <c r="A832" s="1178" t="s">
        <v>20677</v>
      </c>
      <c r="B832" s="1371" t="str">
        <f>HYPERLINK(IFERROR("#Main_Tariff!A"&amp;MATCH(Raeburn_Main_Tariff[[#This Row],[Product Code]],Main_Tariff!I:I,0),"#Main_Tariff!A"&amp;MATCH("*"&amp;RIGHT(A832,8)&amp;"*",Main_Tariff!A:A,0)),Raeburn_Main_Tariff[[#This Row],[PRODUCER]])</f>
        <v>Domaine Arlaud</v>
      </c>
      <c r="C832" s="1178" t="s">
        <v>20696</v>
      </c>
      <c r="D832" s="1178" t="s">
        <v>897</v>
      </c>
      <c r="E832" s="1179">
        <v>2021</v>
      </c>
      <c r="F832" s="1282" t="s">
        <v>20220</v>
      </c>
      <c r="G832" s="1368" t="s">
        <v>5258</v>
      </c>
      <c r="H832" s="1178" t="s">
        <v>20224</v>
      </c>
      <c r="I832" s="1178" t="s">
        <v>4263</v>
      </c>
      <c r="J832" s="1178" t="s">
        <v>662</v>
      </c>
      <c r="K832" s="1178" t="s">
        <v>267</v>
      </c>
      <c r="L832" s="1178" t="s">
        <v>211</v>
      </c>
      <c r="M832" s="1369" t="s">
        <v>23296</v>
      </c>
      <c r="N832" s="1178" t="s">
        <v>20244</v>
      </c>
      <c r="O832" s="1178">
        <v>3</v>
      </c>
      <c r="P832" s="1178">
        <v>13</v>
      </c>
    </row>
    <row r="833" spans="1:16">
      <c r="A833" s="1178" t="s">
        <v>20677</v>
      </c>
      <c r="B833" s="1371" t="str">
        <f>HYPERLINK(IFERROR("#Main_Tariff!A"&amp;MATCH(Raeburn_Main_Tariff[[#This Row],[Product Code]],Main_Tariff!I:I,0),"#Main_Tariff!A"&amp;MATCH("*"&amp;RIGHT(A833,8)&amp;"*",Main_Tariff!A:A,0)),Raeburn_Main_Tariff[[#This Row],[PRODUCER]])</f>
        <v>Domaine Arlaud</v>
      </c>
      <c r="C833" s="1178" t="s">
        <v>20697</v>
      </c>
      <c r="D833" s="1178" t="s">
        <v>897</v>
      </c>
      <c r="E833" s="1179">
        <v>2022</v>
      </c>
      <c r="F833" s="1282" t="s">
        <v>20220</v>
      </c>
      <c r="G833" s="1368" t="s">
        <v>5258</v>
      </c>
      <c r="H833" s="1178" t="s">
        <v>20224</v>
      </c>
      <c r="I833" s="1178" t="s">
        <v>4264</v>
      </c>
      <c r="J833" s="1178" t="s">
        <v>662</v>
      </c>
      <c r="K833" s="1178" t="s">
        <v>267</v>
      </c>
      <c r="L833" s="1178" t="s">
        <v>211</v>
      </c>
      <c r="M833" s="1369" t="s">
        <v>23296</v>
      </c>
      <c r="N833" s="1178" t="s">
        <v>20244</v>
      </c>
      <c r="O833" s="1178">
        <v>3</v>
      </c>
      <c r="P833" s="1178">
        <v>13</v>
      </c>
    </row>
    <row r="834" spans="1:16">
      <c r="A834" s="1178" t="s">
        <v>20677</v>
      </c>
      <c r="B834" s="1371" t="str">
        <f>HYPERLINK(IFERROR("#Main_Tariff!A"&amp;MATCH(Raeburn_Main_Tariff[[#This Row],[Product Code]],Main_Tariff!I:I,0),"#Main_Tariff!A"&amp;MATCH("*"&amp;RIGHT(A834,8)&amp;"*",Main_Tariff!A:A,0)),Raeburn_Main_Tariff[[#This Row],[PRODUCER]])</f>
        <v>Domaine Arlaud</v>
      </c>
      <c r="C834" s="1178" t="s">
        <v>20697</v>
      </c>
      <c r="D834" s="1178" t="s">
        <v>897</v>
      </c>
      <c r="E834" s="1179">
        <v>2021</v>
      </c>
      <c r="F834" s="1282" t="s">
        <v>20220</v>
      </c>
      <c r="G834" s="1368" t="s">
        <v>5258</v>
      </c>
      <c r="H834" s="1178" t="s">
        <v>20224</v>
      </c>
      <c r="I834" s="1178" t="s">
        <v>4265</v>
      </c>
      <c r="J834" s="1178" t="s">
        <v>662</v>
      </c>
      <c r="K834" s="1178" t="s">
        <v>267</v>
      </c>
      <c r="L834" s="1178" t="s">
        <v>211</v>
      </c>
      <c r="M834" s="1369" t="s">
        <v>23296</v>
      </c>
      <c r="N834" s="1178" t="s">
        <v>20244</v>
      </c>
      <c r="O834" s="1178">
        <v>3</v>
      </c>
      <c r="P834" s="1178">
        <v>13</v>
      </c>
    </row>
    <row r="835" spans="1:16">
      <c r="A835" s="1178" t="s">
        <v>20677</v>
      </c>
      <c r="B835" s="1371" t="str">
        <f>HYPERLINK(IFERROR("#Main_Tariff!A"&amp;MATCH(Raeburn_Main_Tariff[[#This Row],[Product Code]],Main_Tariff!I:I,0),"#Main_Tariff!A"&amp;MATCH("*"&amp;RIGHT(A835,8)&amp;"*",Main_Tariff!A:A,0)),Raeburn_Main_Tariff[[#This Row],[PRODUCER]])</f>
        <v>Domaine Arlaud</v>
      </c>
      <c r="C835" s="1178" t="s">
        <v>20698</v>
      </c>
      <c r="D835" s="1178" t="s">
        <v>897</v>
      </c>
      <c r="E835" s="1179"/>
      <c r="F835" s="1282" t="s">
        <v>20220</v>
      </c>
      <c r="G835" s="1368"/>
      <c r="H835" s="1178" t="s">
        <v>3907</v>
      </c>
      <c r="I835" s="1178" t="s">
        <v>4266</v>
      </c>
      <c r="J835" s="1178" t="s">
        <v>662</v>
      </c>
      <c r="K835" s="1178" t="s">
        <v>267</v>
      </c>
      <c r="L835" s="1178" t="s">
        <v>211</v>
      </c>
      <c r="M835" s="1369" t="s">
        <v>23296</v>
      </c>
      <c r="N835" s="1178" t="s">
        <v>20244</v>
      </c>
      <c r="O835" s="1178">
        <v>3</v>
      </c>
      <c r="P835" s="1178">
        <v>13.5</v>
      </c>
    </row>
    <row r="836" spans="1:16">
      <c r="A836" s="1178" t="s">
        <v>215</v>
      </c>
      <c r="B836" s="1371" t="str">
        <f>HYPERLINK(IFERROR("#Main_Tariff!A"&amp;MATCH(Raeburn_Main_Tariff[[#This Row],[Product Code]],Main_Tariff!I:I,0),"#Main_Tariff!A"&amp;MATCH("*"&amp;RIGHT(A836,8)&amp;"*",Main_Tariff!A:A,0)),Raeburn_Main_Tariff[[#This Row],[PRODUCER]])</f>
        <v>Cyprien Arlaud</v>
      </c>
      <c r="C836" s="1178" t="s">
        <v>20699</v>
      </c>
      <c r="D836" s="1178" t="s">
        <v>897</v>
      </c>
      <c r="E836" s="1179">
        <v>2022</v>
      </c>
      <c r="F836" s="1282" t="s">
        <v>20220</v>
      </c>
      <c r="G836" s="1368" t="s">
        <v>5258</v>
      </c>
      <c r="H836" s="1178" t="s">
        <v>20224</v>
      </c>
      <c r="I836" s="1178" t="s">
        <v>4267</v>
      </c>
      <c r="J836" s="1178" t="s">
        <v>662</v>
      </c>
      <c r="K836" s="1178" t="s">
        <v>267</v>
      </c>
      <c r="L836" s="1178" t="s">
        <v>211</v>
      </c>
      <c r="M836" s="1369" t="s">
        <v>23296</v>
      </c>
      <c r="N836" s="1178"/>
      <c r="O836" s="1178">
        <v>3</v>
      </c>
      <c r="P836" s="1178">
        <v>14</v>
      </c>
    </row>
    <row r="837" spans="1:16">
      <c r="A837" s="1178" t="s">
        <v>20673</v>
      </c>
      <c r="B837" s="1371" t="str">
        <f>HYPERLINK(IFERROR("#Main_Tariff!A"&amp;MATCH(Raeburn_Main_Tariff[[#This Row],[Product Code]],Main_Tariff!I:I,0),"#Main_Tariff!A"&amp;MATCH("*"&amp;RIGHT(A837,8)&amp;"*",Main_Tariff!A:A,0)),Raeburn_Main_Tariff[[#This Row],[PRODUCER]])</f>
        <v>Et Arlaud</v>
      </c>
      <c r="C837" s="1178" t="s">
        <v>20700</v>
      </c>
      <c r="D837" s="1178" t="s">
        <v>897</v>
      </c>
      <c r="E837" s="1179">
        <v>2022</v>
      </c>
      <c r="F837" s="1282" t="s">
        <v>20220</v>
      </c>
      <c r="G837" s="1368" t="s">
        <v>5258</v>
      </c>
      <c r="H837" s="1178" t="s">
        <v>20224</v>
      </c>
      <c r="I837" s="1178" t="s">
        <v>4268</v>
      </c>
      <c r="J837" s="1178" t="s">
        <v>662</v>
      </c>
      <c r="K837" s="1178" t="s">
        <v>267</v>
      </c>
      <c r="L837" s="1178" t="s">
        <v>211</v>
      </c>
      <c r="M837" s="1369" t="s">
        <v>23296</v>
      </c>
      <c r="N837" s="1178" t="s">
        <v>20244</v>
      </c>
      <c r="O837" s="1178">
        <v>3</v>
      </c>
      <c r="P837" s="1178">
        <v>13.5</v>
      </c>
    </row>
    <row r="838" spans="1:16">
      <c r="A838" s="1178" t="s">
        <v>20673</v>
      </c>
      <c r="B838" s="1371" t="str">
        <f>HYPERLINK(IFERROR("#Main_Tariff!A"&amp;MATCH(Raeburn_Main_Tariff[[#This Row],[Product Code]],Main_Tariff!I:I,0),"#Main_Tariff!A"&amp;MATCH("*"&amp;RIGHT(A838,8)&amp;"*",Main_Tariff!A:A,0)),Raeburn_Main_Tariff[[#This Row],[PRODUCER]])</f>
        <v>Et Arlaud</v>
      </c>
      <c r="C838" s="1178" t="s">
        <v>20700</v>
      </c>
      <c r="D838" s="1178" t="s">
        <v>897</v>
      </c>
      <c r="E838" s="1179">
        <v>2019</v>
      </c>
      <c r="F838" s="1282" t="s">
        <v>20220</v>
      </c>
      <c r="G838" s="1368" t="s">
        <v>5258</v>
      </c>
      <c r="H838" s="1178" t="s">
        <v>20224</v>
      </c>
      <c r="I838" s="1178" t="s">
        <v>4269</v>
      </c>
      <c r="J838" s="1178" t="s">
        <v>662</v>
      </c>
      <c r="K838" s="1178" t="s">
        <v>267</v>
      </c>
      <c r="L838" s="1178" t="s">
        <v>211</v>
      </c>
      <c r="M838" s="1369" t="s">
        <v>23296</v>
      </c>
      <c r="N838" s="1178" t="s">
        <v>20244</v>
      </c>
      <c r="O838" s="1178">
        <v>6</v>
      </c>
      <c r="P838" s="1178">
        <v>13.5</v>
      </c>
    </row>
    <row r="839" spans="1:16">
      <c r="A839" s="1178" t="s">
        <v>20673</v>
      </c>
      <c r="B839" s="1371" t="str">
        <f>HYPERLINK(IFERROR("#Main_Tariff!A"&amp;MATCH(Raeburn_Main_Tariff[[#This Row],[Product Code]],Main_Tariff!I:I,0),"#Main_Tariff!A"&amp;MATCH("*"&amp;RIGHT(A839,8)&amp;"*",Main_Tariff!A:A,0)),Raeburn_Main_Tariff[[#This Row],[PRODUCER]])</f>
        <v>Et Arlaud</v>
      </c>
      <c r="C839" s="1178" t="s">
        <v>20700</v>
      </c>
      <c r="D839" s="1178" t="s">
        <v>897</v>
      </c>
      <c r="E839" s="1179">
        <v>2018</v>
      </c>
      <c r="F839" s="1282" t="s">
        <v>20220</v>
      </c>
      <c r="G839" s="1368" t="s">
        <v>5258</v>
      </c>
      <c r="H839" s="1178" t="s">
        <v>20224</v>
      </c>
      <c r="I839" s="1178" t="s">
        <v>4270</v>
      </c>
      <c r="J839" s="1178" t="s">
        <v>662</v>
      </c>
      <c r="K839" s="1178" t="s">
        <v>267</v>
      </c>
      <c r="L839" s="1178" t="s">
        <v>211</v>
      </c>
      <c r="M839" s="1369" t="s">
        <v>23296</v>
      </c>
      <c r="N839" s="1178"/>
      <c r="O839" s="1178">
        <v>6</v>
      </c>
      <c r="P839" s="1178">
        <v>13.5</v>
      </c>
    </row>
    <row r="840" spans="1:16">
      <c r="A840" s="1178" t="s">
        <v>20677</v>
      </c>
      <c r="B840" s="1371" t="str">
        <f>HYPERLINK(IFERROR("#Main_Tariff!A"&amp;MATCH(Raeburn_Main_Tariff[[#This Row],[Product Code]],Main_Tariff!I:I,0),"#Main_Tariff!A"&amp;MATCH("*"&amp;RIGHT(A840,8)&amp;"*",Main_Tariff!A:A,0)),Raeburn_Main_Tariff[[#This Row],[PRODUCER]])</f>
        <v>Domaine Arlaud</v>
      </c>
      <c r="C840" s="1178" t="s">
        <v>20701</v>
      </c>
      <c r="D840" s="1178" t="s">
        <v>897</v>
      </c>
      <c r="E840" s="1179">
        <v>2022</v>
      </c>
      <c r="F840" s="1282" t="s">
        <v>20240</v>
      </c>
      <c r="G840" s="1368" t="s">
        <v>5258</v>
      </c>
      <c r="H840" s="1178" t="s">
        <v>20224</v>
      </c>
      <c r="I840" s="1178" t="s">
        <v>4272</v>
      </c>
      <c r="J840" s="1178" t="s">
        <v>662</v>
      </c>
      <c r="K840" s="1178" t="s">
        <v>267</v>
      </c>
      <c r="L840" s="1178" t="s">
        <v>211</v>
      </c>
      <c r="M840" s="1369" t="s">
        <v>23297</v>
      </c>
      <c r="N840" s="1178" t="s">
        <v>20244</v>
      </c>
      <c r="O840" s="1178">
        <v>3</v>
      </c>
      <c r="P840" s="1178">
        <v>13.5</v>
      </c>
    </row>
    <row r="841" spans="1:16">
      <c r="A841" s="1178" t="s">
        <v>20677</v>
      </c>
      <c r="B841" s="1371" t="str">
        <f>HYPERLINK(IFERROR("#Main_Tariff!A"&amp;MATCH(Raeburn_Main_Tariff[[#This Row],[Product Code]],Main_Tariff!I:I,0),"#Main_Tariff!A"&amp;MATCH("*"&amp;RIGHT(A841,8)&amp;"*",Main_Tariff!A:A,0)),Raeburn_Main_Tariff[[#This Row],[PRODUCER]])</f>
        <v>Domaine Arlaud</v>
      </c>
      <c r="C841" s="1178" t="s">
        <v>20702</v>
      </c>
      <c r="D841" s="1178" t="s">
        <v>897</v>
      </c>
      <c r="E841" s="1179">
        <v>2014</v>
      </c>
      <c r="F841" s="1282" t="s">
        <v>20240</v>
      </c>
      <c r="G841" s="1368">
        <v>130</v>
      </c>
      <c r="H841" s="1178" t="s">
        <v>20224</v>
      </c>
      <c r="I841" s="1178" t="s">
        <v>4273</v>
      </c>
      <c r="J841" s="1178" t="s">
        <v>662</v>
      </c>
      <c r="K841" s="1178" t="s">
        <v>267</v>
      </c>
      <c r="L841" s="1178" t="s">
        <v>211</v>
      </c>
      <c r="M841" s="1369" t="s">
        <v>23297</v>
      </c>
      <c r="N841" s="1178" t="s">
        <v>20244</v>
      </c>
      <c r="O841" s="1178">
        <v>3</v>
      </c>
      <c r="P841" s="1178">
        <v>13</v>
      </c>
    </row>
    <row r="842" spans="1:16">
      <c r="A842" s="1178" t="s">
        <v>20677</v>
      </c>
      <c r="B842" s="1371" t="str">
        <f>HYPERLINK(IFERROR("#Main_Tariff!A"&amp;MATCH(Raeburn_Main_Tariff[[#This Row],[Product Code]],Main_Tariff!I:I,0),"#Main_Tariff!A"&amp;MATCH("*"&amp;RIGHT(A842,8)&amp;"*",Main_Tariff!A:A,0)),Raeburn_Main_Tariff[[#This Row],[PRODUCER]])</f>
        <v>Domaine Arlaud</v>
      </c>
      <c r="C842" s="1178" t="s">
        <v>20703</v>
      </c>
      <c r="D842" s="1178" t="s">
        <v>897</v>
      </c>
      <c r="E842" s="1179">
        <v>2022</v>
      </c>
      <c r="F842" s="1282" t="s">
        <v>20240</v>
      </c>
      <c r="G842" s="1368">
        <v>245</v>
      </c>
      <c r="H842" s="1178" t="s">
        <v>20224</v>
      </c>
      <c r="I842" s="1178" t="s">
        <v>4274</v>
      </c>
      <c r="J842" s="1178" t="s">
        <v>662</v>
      </c>
      <c r="K842" s="1178" t="s">
        <v>267</v>
      </c>
      <c r="L842" s="1178" t="s">
        <v>211</v>
      </c>
      <c r="M842" s="1369" t="s">
        <v>23297</v>
      </c>
      <c r="N842" s="1178" t="s">
        <v>20244</v>
      </c>
      <c r="O842" s="1178">
        <v>3</v>
      </c>
      <c r="P842" s="1178">
        <v>12.5</v>
      </c>
    </row>
    <row r="843" spans="1:16">
      <c r="A843" s="1178" t="s">
        <v>215</v>
      </c>
      <c r="B843" s="1371" t="str">
        <f>HYPERLINK(IFERROR("#Main_Tariff!A"&amp;MATCH(Raeburn_Main_Tariff[[#This Row],[Product Code]],Main_Tariff!I:I,0),"#Main_Tariff!A"&amp;MATCH("*"&amp;RIGHT(A843,8)&amp;"*",Main_Tariff!A:A,0)),Raeburn_Main_Tariff[[#This Row],[PRODUCER]])</f>
        <v>Cyprien Arlaud</v>
      </c>
      <c r="C843" s="1178" t="s">
        <v>20704</v>
      </c>
      <c r="D843" s="1178" t="s">
        <v>897</v>
      </c>
      <c r="E843" s="1179">
        <v>2022</v>
      </c>
      <c r="F843" s="1282" t="s">
        <v>20240</v>
      </c>
      <c r="G843" s="1368">
        <v>165</v>
      </c>
      <c r="H843" s="1178" t="s">
        <v>20221</v>
      </c>
      <c r="I843" s="1178" t="s">
        <v>4275</v>
      </c>
      <c r="J843" s="1178" t="s">
        <v>662</v>
      </c>
      <c r="K843" s="1178" t="s">
        <v>267</v>
      </c>
      <c r="L843" s="1178" t="s">
        <v>211</v>
      </c>
      <c r="M843" s="1369" t="s">
        <v>23297</v>
      </c>
      <c r="N843" s="1178"/>
      <c r="O843" s="1178">
        <v>3</v>
      </c>
      <c r="P843" s="1178">
        <v>13.5</v>
      </c>
    </row>
    <row r="844" spans="1:16">
      <c r="A844" s="1178" t="s">
        <v>215</v>
      </c>
      <c r="B844" s="1371" t="str">
        <f>HYPERLINK(IFERROR("#Main_Tariff!A"&amp;MATCH(Raeburn_Main_Tariff[[#This Row],[Product Code]],Main_Tariff!I:I,0),"#Main_Tariff!A"&amp;MATCH("*"&amp;RIGHT(A844,8)&amp;"*",Main_Tariff!A:A,0)),Raeburn_Main_Tariff[[#This Row],[PRODUCER]])</f>
        <v>Cyprien Arlaud</v>
      </c>
      <c r="C844" s="1178" t="s">
        <v>20704</v>
      </c>
      <c r="D844" s="1178" t="s">
        <v>897</v>
      </c>
      <c r="E844" s="1179">
        <v>2021</v>
      </c>
      <c r="F844" s="1282" t="s">
        <v>20240</v>
      </c>
      <c r="G844" s="1368">
        <v>141</v>
      </c>
      <c r="H844" s="1178" t="s">
        <v>20224</v>
      </c>
      <c r="I844" s="1178" t="s">
        <v>4276</v>
      </c>
      <c r="J844" s="1178" t="s">
        <v>662</v>
      </c>
      <c r="K844" s="1178" t="s">
        <v>267</v>
      </c>
      <c r="L844" s="1178" t="s">
        <v>211</v>
      </c>
      <c r="M844" s="1369" t="s">
        <v>23297</v>
      </c>
      <c r="N844" s="1178"/>
      <c r="O844" s="1178">
        <v>3</v>
      </c>
      <c r="P844" s="1178">
        <v>13</v>
      </c>
    </row>
    <row r="845" spans="1:16">
      <c r="A845" s="1178" t="s">
        <v>215</v>
      </c>
      <c r="B845" s="1371" t="str">
        <f>HYPERLINK(IFERROR("#Main_Tariff!A"&amp;MATCH(Raeburn_Main_Tariff[[#This Row],[Product Code]],Main_Tariff!I:I,0),"#Main_Tariff!A"&amp;MATCH("*"&amp;RIGHT(A845,8)&amp;"*",Main_Tariff!A:A,0)),Raeburn_Main_Tariff[[#This Row],[PRODUCER]])</f>
        <v>Cyprien Arlaud</v>
      </c>
      <c r="C845" s="1178" t="s">
        <v>20704</v>
      </c>
      <c r="D845" s="1178" t="s">
        <v>897</v>
      </c>
      <c r="E845" s="1179">
        <v>2020</v>
      </c>
      <c r="F845" s="1282" t="s">
        <v>20240</v>
      </c>
      <c r="G845" s="1368">
        <v>130</v>
      </c>
      <c r="H845" s="1178" t="s">
        <v>20224</v>
      </c>
      <c r="I845" s="1178" t="s">
        <v>4277</v>
      </c>
      <c r="J845" s="1178" t="s">
        <v>662</v>
      </c>
      <c r="K845" s="1178" t="s">
        <v>267</v>
      </c>
      <c r="L845" s="1178" t="s">
        <v>211</v>
      </c>
      <c r="M845" s="1369" t="s">
        <v>23297</v>
      </c>
      <c r="N845" s="1178"/>
      <c r="O845" s="1178">
        <v>3</v>
      </c>
      <c r="P845" s="1178">
        <v>14.5</v>
      </c>
    </row>
    <row r="846" spans="1:16">
      <c r="A846" s="1178" t="s">
        <v>20673</v>
      </c>
      <c r="B846" s="1371" t="str">
        <f>HYPERLINK(IFERROR("#Main_Tariff!A"&amp;MATCH(Raeburn_Main_Tariff[[#This Row],[Product Code]],Main_Tariff!I:I,0),"#Main_Tariff!A"&amp;MATCH("*"&amp;RIGHT(A846,8)&amp;"*",Main_Tariff!A:A,0)),Raeburn_Main_Tariff[[#This Row],[PRODUCER]])</f>
        <v>Et Arlaud</v>
      </c>
      <c r="C846" s="1178" t="s">
        <v>20705</v>
      </c>
      <c r="D846" s="1178" t="s">
        <v>897</v>
      </c>
      <c r="E846" s="1179">
        <v>2019</v>
      </c>
      <c r="F846" s="1282" t="s">
        <v>20240</v>
      </c>
      <c r="G846" s="1368">
        <v>130</v>
      </c>
      <c r="H846" s="1178" t="s">
        <v>20224</v>
      </c>
      <c r="I846" s="1178" t="s">
        <v>4278</v>
      </c>
      <c r="J846" s="1178" t="s">
        <v>662</v>
      </c>
      <c r="K846" s="1178" t="s">
        <v>267</v>
      </c>
      <c r="L846" s="1178" t="s">
        <v>211</v>
      </c>
      <c r="M846" s="1369" t="s">
        <v>23297</v>
      </c>
      <c r="N846" s="1178"/>
      <c r="O846" s="1178">
        <v>3</v>
      </c>
      <c r="P846" s="1178">
        <v>14.5</v>
      </c>
    </row>
    <row r="847" spans="1:16">
      <c r="A847" s="1178" t="s">
        <v>20677</v>
      </c>
      <c r="B847" s="1371" t="str">
        <f>HYPERLINK(IFERROR("#Main_Tariff!A"&amp;MATCH(Raeburn_Main_Tariff[[#This Row],[Product Code]],Main_Tariff!I:I,0),"#Main_Tariff!A"&amp;MATCH("*"&amp;RIGHT(A847,8)&amp;"*",Main_Tariff!A:A,0)),Raeburn_Main_Tariff[[#This Row],[PRODUCER]])</f>
        <v>Domaine Arlaud</v>
      </c>
      <c r="C847" s="1178" t="s">
        <v>20706</v>
      </c>
      <c r="D847" s="1178" t="s">
        <v>897</v>
      </c>
      <c r="E847" s="1179">
        <v>2022</v>
      </c>
      <c r="F847" s="1282" t="s">
        <v>20240</v>
      </c>
      <c r="G847" s="1368" t="s">
        <v>5258</v>
      </c>
      <c r="H847" s="1178" t="s">
        <v>20224</v>
      </c>
      <c r="I847" s="1178" t="s">
        <v>4279</v>
      </c>
      <c r="J847" s="1178" t="s">
        <v>662</v>
      </c>
      <c r="K847" s="1178" t="s">
        <v>267</v>
      </c>
      <c r="L847" s="1178" t="s">
        <v>211</v>
      </c>
      <c r="M847" s="1369" t="s">
        <v>23296</v>
      </c>
      <c r="N847" s="1178" t="s">
        <v>20244</v>
      </c>
      <c r="O847" s="1178">
        <v>3</v>
      </c>
      <c r="P847" s="1178">
        <v>13</v>
      </c>
    </row>
    <row r="848" spans="1:16">
      <c r="A848" s="1178" t="s">
        <v>20677</v>
      </c>
      <c r="B848" s="1371" t="str">
        <f>HYPERLINK(IFERROR("#Main_Tariff!A"&amp;MATCH(Raeburn_Main_Tariff[[#This Row],[Product Code]],Main_Tariff!I:I,0),"#Main_Tariff!A"&amp;MATCH("*"&amp;RIGHT(A848,8)&amp;"*",Main_Tariff!A:A,0)),Raeburn_Main_Tariff[[#This Row],[PRODUCER]])</f>
        <v>Domaine Arlaud</v>
      </c>
      <c r="C848" s="1178" t="s">
        <v>20707</v>
      </c>
      <c r="D848" s="1178" t="s">
        <v>897</v>
      </c>
      <c r="E848" s="1179">
        <v>2022</v>
      </c>
      <c r="F848" s="1282" t="s">
        <v>20240</v>
      </c>
      <c r="G848" s="1368" t="s">
        <v>5258</v>
      </c>
      <c r="H848" s="1178" t="s">
        <v>20224</v>
      </c>
      <c r="I848" s="1178" t="s">
        <v>4280</v>
      </c>
      <c r="J848" s="1178" t="s">
        <v>662</v>
      </c>
      <c r="K848" s="1178" t="s">
        <v>267</v>
      </c>
      <c r="L848" s="1178" t="s">
        <v>211</v>
      </c>
      <c r="M848" s="1369" t="s">
        <v>23296</v>
      </c>
      <c r="N848" s="1178" t="s">
        <v>20244</v>
      </c>
      <c r="O848" s="1178">
        <v>3</v>
      </c>
      <c r="P848" s="1178">
        <v>13.5</v>
      </c>
    </row>
    <row r="849" spans="1:16">
      <c r="A849" s="1178" t="s">
        <v>20673</v>
      </c>
      <c r="B849" s="1371" t="str">
        <f>HYPERLINK(IFERROR("#Main_Tariff!A"&amp;MATCH(Raeburn_Main_Tariff[[#This Row],[Product Code]],Main_Tariff!I:I,0),"#Main_Tariff!A"&amp;MATCH("*"&amp;RIGHT(A849,8)&amp;"*",Main_Tariff!A:A,0)),Raeburn_Main_Tariff[[#This Row],[PRODUCER]])</f>
        <v>Et Arlaud</v>
      </c>
      <c r="C849" s="1178" t="s">
        <v>20708</v>
      </c>
      <c r="D849" s="1178" t="s">
        <v>897</v>
      </c>
      <c r="E849" s="1179">
        <v>2019</v>
      </c>
      <c r="F849" s="1282" t="s">
        <v>20288</v>
      </c>
      <c r="G849" s="1368">
        <v>258</v>
      </c>
      <c r="H849" s="1178" t="s">
        <v>20224</v>
      </c>
      <c r="I849" s="1178" t="s">
        <v>4282</v>
      </c>
      <c r="J849" s="1178" t="s">
        <v>662</v>
      </c>
      <c r="K849" s="1178" t="s">
        <v>267</v>
      </c>
      <c r="L849" s="1178" t="s">
        <v>211</v>
      </c>
      <c r="M849" s="1369" t="s">
        <v>23297</v>
      </c>
      <c r="N849" s="1178"/>
      <c r="O849" s="1178">
        <v>1</v>
      </c>
      <c r="P849" s="1178">
        <v>14.5</v>
      </c>
    </row>
    <row r="850" spans="1:16">
      <c r="A850" s="1178" t="s">
        <v>20673</v>
      </c>
      <c r="B850" s="1371" t="str">
        <f>HYPERLINK(IFERROR("#Main_Tariff!A"&amp;MATCH(Raeburn_Main_Tariff[[#This Row],[Product Code]],Main_Tariff!I:I,0),"#Main_Tariff!A"&amp;MATCH("*"&amp;RIGHT(A850,8)&amp;"*",Main_Tariff!A:A,0)),Raeburn_Main_Tariff[[#This Row],[PRODUCER]])</f>
        <v>Et Arlaud</v>
      </c>
      <c r="C850" s="1178" t="s">
        <v>20709</v>
      </c>
      <c r="D850" s="1178" t="s">
        <v>897</v>
      </c>
      <c r="E850" s="1179">
        <v>2018</v>
      </c>
      <c r="F850" s="1282" t="s">
        <v>20288</v>
      </c>
      <c r="G850" s="1368">
        <v>406</v>
      </c>
      <c r="H850" s="1178" t="s">
        <v>20224</v>
      </c>
      <c r="I850" s="1178" t="s">
        <v>4283</v>
      </c>
      <c r="J850" s="1178" t="s">
        <v>662</v>
      </c>
      <c r="K850" s="1178" t="s">
        <v>267</v>
      </c>
      <c r="L850" s="1178" t="s">
        <v>211</v>
      </c>
      <c r="M850" s="1369" t="s">
        <v>23297</v>
      </c>
      <c r="N850" s="1178"/>
      <c r="O850" s="1178">
        <v>1</v>
      </c>
      <c r="P850" s="1178">
        <v>14</v>
      </c>
    </row>
    <row r="851" spans="1:16">
      <c r="A851" s="1178" t="s">
        <v>20673</v>
      </c>
      <c r="B851" s="1371" t="str">
        <f>HYPERLINK(IFERROR("#Main_Tariff!A"&amp;MATCH(Raeburn_Main_Tariff[[#This Row],[Product Code]],Main_Tariff!I:I,0),"#Main_Tariff!A"&amp;MATCH("*"&amp;RIGHT(A851,8)&amp;"*",Main_Tariff!A:A,0)),Raeburn_Main_Tariff[[#This Row],[PRODUCER]])</f>
        <v>Et Arlaud</v>
      </c>
      <c r="C851" s="1178" t="s">
        <v>20709</v>
      </c>
      <c r="D851" s="1178" t="s">
        <v>897</v>
      </c>
      <c r="E851" s="1179">
        <v>2017</v>
      </c>
      <c r="F851" s="1282" t="s">
        <v>20288</v>
      </c>
      <c r="G851" s="1368">
        <v>406</v>
      </c>
      <c r="H851" s="1178" t="s">
        <v>20224</v>
      </c>
      <c r="I851" s="1178" t="s">
        <v>4284</v>
      </c>
      <c r="J851" s="1178" t="s">
        <v>662</v>
      </c>
      <c r="K851" s="1178" t="s">
        <v>267</v>
      </c>
      <c r="L851" s="1178" t="s">
        <v>211</v>
      </c>
      <c r="M851" s="1369" t="s">
        <v>23297</v>
      </c>
      <c r="N851" s="1178"/>
      <c r="O851" s="1178">
        <v>1</v>
      </c>
      <c r="P851" s="1178">
        <v>13.5</v>
      </c>
    </row>
    <row r="852" spans="1:16">
      <c r="A852" s="1178" t="s">
        <v>20673</v>
      </c>
      <c r="B852" s="1371" t="str">
        <f>HYPERLINK(IFERROR("#Main_Tariff!A"&amp;MATCH(Raeburn_Main_Tariff[[#This Row],[Product Code]],Main_Tariff!I:I,0),"#Main_Tariff!A"&amp;MATCH("*"&amp;RIGHT(A852,8)&amp;"*",Main_Tariff!A:A,0)),Raeburn_Main_Tariff[[#This Row],[PRODUCER]])</f>
        <v>Et Arlaud</v>
      </c>
      <c r="C852" s="1178" t="s">
        <v>20709</v>
      </c>
      <c r="D852" s="1178" t="s">
        <v>897</v>
      </c>
      <c r="E852" s="1179">
        <v>2015</v>
      </c>
      <c r="F852" s="1282" t="s">
        <v>20288</v>
      </c>
      <c r="G852" s="1368">
        <v>406</v>
      </c>
      <c r="H852" s="1178" t="s">
        <v>20224</v>
      </c>
      <c r="I852" s="1178" t="s">
        <v>4285</v>
      </c>
      <c r="J852" s="1178" t="s">
        <v>662</v>
      </c>
      <c r="K852" s="1178" t="s">
        <v>267</v>
      </c>
      <c r="L852" s="1178" t="s">
        <v>211</v>
      </c>
      <c r="M852" s="1369" t="s">
        <v>23297</v>
      </c>
      <c r="N852" s="1178"/>
      <c r="O852" s="1178">
        <v>1</v>
      </c>
      <c r="P852" s="1178">
        <v>13.5</v>
      </c>
    </row>
    <row r="853" spans="1:16">
      <c r="A853" s="1178" t="s">
        <v>20673</v>
      </c>
      <c r="B853" s="1371" t="str">
        <f>HYPERLINK(IFERROR("#Main_Tariff!A"&amp;MATCH(Raeburn_Main_Tariff[[#This Row],[Product Code]],Main_Tariff!I:I,0),"#Main_Tariff!A"&amp;MATCH("*"&amp;RIGHT(A853,8)&amp;"*",Main_Tariff!A:A,0)),Raeburn_Main_Tariff[[#This Row],[PRODUCER]])</f>
        <v>Et Arlaud</v>
      </c>
      <c r="C853" s="1178" t="s">
        <v>20709</v>
      </c>
      <c r="D853" s="1178" t="s">
        <v>897</v>
      </c>
      <c r="E853" s="1179">
        <v>2014</v>
      </c>
      <c r="F853" s="1282" t="s">
        <v>20288</v>
      </c>
      <c r="G853" s="1368">
        <v>398</v>
      </c>
      <c r="H853" s="1178" t="s">
        <v>20224</v>
      </c>
      <c r="I853" s="1178" t="s">
        <v>4286</v>
      </c>
      <c r="J853" s="1178" t="s">
        <v>662</v>
      </c>
      <c r="K853" s="1178" t="s">
        <v>267</v>
      </c>
      <c r="L853" s="1178" t="s">
        <v>211</v>
      </c>
      <c r="M853" s="1369" t="s">
        <v>23297</v>
      </c>
      <c r="N853" s="1178"/>
      <c r="O853" s="1178">
        <v>1</v>
      </c>
      <c r="P853" s="1178">
        <v>13</v>
      </c>
    </row>
    <row r="854" spans="1:16">
      <c r="A854" s="1178" t="s">
        <v>20673</v>
      </c>
      <c r="B854" s="1371" t="str">
        <f>HYPERLINK(IFERROR("#Main_Tariff!A"&amp;MATCH(Raeburn_Main_Tariff[[#This Row],[Product Code]],Main_Tariff!I:I,0),"#Main_Tariff!A"&amp;MATCH("*"&amp;RIGHT(A854,8)&amp;"*",Main_Tariff!A:A,0)),Raeburn_Main_Tariff[[#This Row],[PRODUCER]])</f>
        <v>Et Arlaud</v>
      </c>
      <c r="C854" s="1178" t="s">
        <v>20710</v>
      </c>
      <c r="D854" s="1178" t="s">
        <v>897</v>
      </c>
      <c r="E854" s="1179">
        <v>2019</v>
      </c>
      <c r="F854" s="1282" t="s">
        <v>20288</v>
      </c>
      <c r="G854" s="1368" t="s">
        <v>5258</v>
      </c>
      <c r="H854" s="1178" t="s">
        <v>20224</v>
      </c>
      <c r="I854" s="1178" t="s">
        <v>4287</v>
      </c>
      <c r="J854" s="1178" t="s">
        <v>662</v>
      </c>
      <c r="K854" s="1178" t="s">
        <v>267</v>
      </c>
      <c r="L854" s="1178" t="s">
        <v>211</v>
      </c>
      <c r="M854" s="1369" t="s">
        <v>23296</v>
      </c>
      <c r="N854" s="1178" t="s">
        <v>20244</v>
      </c>
      <c r="O854" s="1178">
        <v>1</v>
      </c>
      <c r="P854" s="1178">
        <v>13.5</v>
      </c>
    </row>
    <row r="855" spans="1:16">
      <c r="A855" s="1178" t="s">
        <v>20673</v>
      </c>
      <c r="B855" s="1371" t="str">
        <f>HYPERLINK(IFERROR("#Main_Tariff!A"&amp;MATCH(Raeburn_Main_Tariff[[#This Row],[Product Code]],Main_Tariff!I:I,0),"#Main_Tariff!A"&amp;MATCH("*"&amp;RIGHT(A855,8)&amp;"*",Main_Tariff!A:A,0)),Raeburn_Main_Tariff[[#This Row],[PRODUCER]])</f>
        <v>Et Arlaud</v>
      </c>
      <c r="C855" s="1178" t="s">
        <v>20710</v>
      </c>
      <c r="D855" s="1178" t="s">
        <v>897</v>
      </c>
      <c r="E855" s="1179">
        <v>2018</v>
      </c>
      <c r="F855" s="1282" t="s">
        <v>20288</v>
      </c>
      <c r="G855" s="1368" t="s">
        <v>5258</v>
      </c>
      <c r="H855" s="1178" t="s">
        <v>20224</v>
      </c>
      <c r="I855" s="1178" t="s">
        <v>4288</v>
      </c>
      <c r="J855" s="1178" t="s">
        <v>662</v>
      </c>
      <c r="K855" s="1178" t="s">
        <v>267</v>
      </c>
      <c r="L855" s="1178" t="s">
        <v>211</v>
      </c>
      <c r="M855" s="1369" t="s">
        <v>23296</v>
      </c>
      <c r="N855" s="1178"/>
      <c r="O855" s="1178">
        <v>1</v>
      </c>
      <c r="P855" s="1178">
        <v>13.5</v>
      </c>
    </row>
    <row r="856" spans="1:16">
      <c r="A856" s="1178" t="s">
        <v>20673</v>
      </c>
      <c r="B856" s="1371" t="str">
        <f>HYPERLINK(IFERROR("#Main_Tariff!A"&amp;MATCH(Raeburn_Main_Tariff[[#This Row],[Product Code]],Main_Tariff!I:I,0),"#Main_Tariff!A"&amp;MATCH("*"&amp;RIGHT(A856,8)&amp;"*",Main_Tariff!A:A,0)),Raeburn_Main_Tariff[[#This Row],[PRODUCER]])</f>
        <v>Et Arlaud</v>
      </c>
      <c r="C856" s="1178" t="s">
        <v>20710</v>
      </c>
      <c r="D856" s="1178" t="s">
        <v>897</v>
      </c>
      <c r="E856" s="1179">
        <v>2017</v>
      </c>
      <c r="F856" s="1282" t="s">
        <v>20288</v>
      </c>
      <c r="G856" s="1368" t="s">
        <v>5258</v>
      </c>
      <c r="H856" s="1178" t="s">
        <v>20224</v>
      </c>
      <c r="I856" s="1178" t="s">
        <v>4289</v>
      </c>
      <c r="J856" s="1178" t="s">
        <v>662</v>
      </c>
      <c r="K856" s="1178" t="s">
        <v>267</v>
      </c>
      <c r="L856" s="1178" t="s">
        <v>211</v>
      </c>
      <c r="M856" s="1369" t="s">
        <v>23296</v>
      </c>
      <c r="N856" s="1178"/>
      <c r="O856" s="1178">
        <v>1</v>
      </c>
      <c r="P856" s="1178">
        <v>13.5</v>
      </c>
    </row>
    <row r="857" spans="1:16">
      <c r="A857" s="1178" t="s">
        <v>20673</v>
      </c>
      <c r="B857" s="1371" t="str">
        <f>HYPERLINK(IFERROR("#Main_Tariff!A"&amp;MATCH(Raeburn_Main_Tariff[[#This Row],[Product Code]],Main_Tariff!I:I,0),"#Main_Tariff!A"&amp;MATCH("*"&amp;RIGHT(A857,8)&amp;"*",Main_Tariff!A:A,0)),Raeburn_Main_Tariff[[#This Row],[PRODUCER]])</f>
        <v>Et Arlaud</v>
      </c>
      <c r="C857" s="1178" t="s">
        <v>20710</v>
      </c>
      <c r="D857" s="1178" t="s">
        <v>897</v>
      </c>
      <c r="E857" s="1179">
        <v>2015</v>
      </c>
      <c r="F857" s="1282" t="s">
        <v>20288</v>
      </c>
      <c r="G857" s="1368" t="s">
        <v>5258</v>
      </c>
      <c r="H857" s="1178" t="s">
        <v>20224</v>
      </c>
      <c r="I857" s="1178" t="s">
        <v>4290</v>
      </c>
      <c r="J857" s="1178" t="s">
        <v>662</v>
      </c>
      <c r="K857" s="1178" t="s">
        <v>267</v>
      </c>
      <c r="L857" s="1178" t="s">
        <v>211</v>
      </c>
      <c r="M857" s="1369" t="s">
        <v>23296</v>
      </c>
      <c r="N857" s="1178"/>
      <c r="O857" s="1178">
        <v>1</v>
      </c>
      <c r="P857" s="1178">
        <v>13.5</v>
      </c>
    </row>
    <row r="858" spans="1:16">
      <c r="A858" s="1178" t="s">
        <v>20673</v>
      </c>
      <c r="B858" s="1371" t="str">
        <f>HYPERLINK(IFERROR("#Main_Tariff!A"&amp;MATCH(Raeburn_Main_Tariff[[#This Row],[Product Code]],Main_Tariff!I:I,0),"#Main_Tariff!A"&amp;MATCH("*"&amp;RIGHT(A858,8)&amp;"*",Main_Tariff!A:A,0)),Raeburn_Main_Tariff[[#This Row],[PRODUCER]])</f>
        <v>Et Arlaud</v>
      </c>
      <c r="C858" s="1178" t="s">
        <v>20710</v>
      </c>
      <c r="D858" s="1178" t="s">
        <v>897</v>
      </c>
      <c r="E858" s="1179">
        <v>2014</v>
      </c>
      <c r="F858" s="1282" t="s">
        <v>20288</v>
      </c>
      <c r="G858" s="1368" t="s">
        <v>5258</v>
      </c>
      <c r="H858" s="1178" t="s">
        <v>20224</v>
      </c>
      <c r="I858" s="1178" t="s">
        <v>4291</v>
      </c>
      <c r="J858" s="1178" t="s">
        <v>662</v>
      </c>
      <c r="K858" s="1178" t="s">
        <v>267</v>
      </c>
      <c r="L858" s="1178" t="s">
        <v>211</v>
      </c>
      <c r="M858" s="1369" t="s">
        <v>23296</v>
      </c>
      <c r="N858" s="1178"/>
      <c r="O858" s="1178">
        <v>1</v>
      </c>
      <c r="P858" s="1178">
        <v>13</v>
      </c>
    </row>
    <row r="859" spans="1:16">
      <c r="A859" s="1178" t="s">
        <v>20673</v>
      </c>
      <c r="B859" s="1371" t="str">
        <f>HYPERLINK(IFERROR("#Main_Tariff!A"&amp;MATCH(Raeburn_Main_Tariff[[#This Row],[Product Code]],Main_Tariff!I:I,0),"#Main_Tariff!A"&amp;MATCH("*"&amp;RIGHT(A859,8)&amp;"*",Main_Tariff!A:A,0)),Raeburn_Main_Tariff[[#This Row],[PRODUCER]])</f>
        <v>Et Arlaud</v>
      </c>
      <c r="C859" s="1178" t="s">
        <v>20710</v>
      </c>
      <c r="D859" s="1178" t="s">
        <v>897</v>
      </c>
      <c r="E859" s="1179">
        <v>2013</v>
      </c>
      <c r="F859" s="1282" t="s">
        <v>20288</v>
      </c>
      <c r="G859" s="1368" t="s">
        <v>5258</v>
      </c>
      <c r="H859" s="1178" t="s">
        <v>20224</v>
      </c>
      <c r="I859" s="1178" t="s">
        <v>4292</v>
      </c>
      <c r="J859" s="1178" t="s">
        <v>662</v>
      </c>
      <c r="K859" s="1178" t="s">
        <v>267</v>
      </c>
      <c r="L859" s="1178" t="s">
        <v>211</v>
      </c>
      <c r="M859" s="1369" t="s">
        <v>23296</v>
      </c>
      <c r="N859" s="1178"/>
      <c r="O859" s="1178">
        <v>1</v>
      </c>
      <c r="P859" s="1178">
        <v>13</v>
      </c>
    </row>
    <row r="860" spans="1:16">
      <c r="A860" s="1178" t="s">
        <v>20711</v>
      </c>
      <c r="B860" s="1371" t="str">
        <f>HYPERLINK(IFERROR("#Main_Tariff!A"&amp;MATCH(Raeburn_Main_Tariff[[#This Row],[Product Code]],Main_Tariff!I:I,0),"#Main_Tariff!A"&amp;MATCH("*"&amp;RIGHT(A860,8)&amp;"*",Main_Tariff!A:A,0)),Raeburn_Main_Tariff[[#This Row],[PRODUCER]])</f>
        <v>Domaine Boigey Freres</v>
      </c>
      <c r="C860" s="1178" t="s">
        <v>20712</v>
      </c>
      <c r="D860" s="1178" t="s">
        <v>897</v>
      </c>
      <c r="E860" s="1179">
        <v>2023</v>
      </c>
      <c r="F860" s="1282" t="s">
        <v>20220</v>
      </c>
      <c r="G860" s="1368" t="s">
        <v>5258</v>
      </c>
      <c r="H860" s="1178" t="s">
        <v>20221</v>
      </c>
      <c r="I860" s="1178" t="s">
        <v>4294</v>
      </c>
      <c r="J860" s="1178" t="s">
        <v>662</v>
      </c>
      <c r="K860" s="1178" t="s">
        <v>267</v>
      </c>
      <c r="L860" s="1178" t="s">
        <v>211</v>
      </c>
      <c r="M860" s="1369"/>
      <c r="N860" s="1178"/>
      <c r="O860" s="1178">
        <v>6</v>
      </c>
      <c r="P860" s="1178">
        <v>12</v>
      </c>
    </row>
    <row r="861" spans="1:16">
      <c r="A861" s="1178" t="s">
        <v>20711</v>
      </c>
      <c r="B861" s="1371" t="str">
        <f>HYPERLINK(IFERROR("#Main_Tariff!A"&amp;MATCH(Raeburn_Main_Tariff[[#This Row],[Product Code]],Main_Tariff!I:I,0),"#Main_Tariff!A"&amp;MATCH("*"&amp;RIGHT(A861,8)&amp;"*",Main_Tariff!A:A,0)),Raeburn_Main_Tariff[[#This Row],[PRODUCER]])</f>
        <v>Domaine Boigey Freres</v>
      </c>
      <c r="C861" s="1178" t="s">
        <v>20712</v>
      </c>
      <c r="D861" s="1178" t="s">
        <v>897</v>
      </c>
      <c r="E861" s="1179">
        <v>2022</v>
      </c>
      <c r="F861" s="1282" t="s">
        <v>20220</v>
      </c>
      <c r="G861" s="1368" t="s">
        <v>5258</v>
      </c>
      <c r="H861" s="1178" t="s">
        <v>20221</v>
      </c>
      <c r="I861" s="1178" t="s">
        <v>4296</v>
      </c>
      <c r="J861" s="1178" t="s">
        <v>662</v>
      </c>
      <c r="K861" s="1178" t="s">
        <v>267</v>
      </c>
      <c r="L861" s="1178" t="s">
        <v>211</v>
      </c>
      <c r="M861" s="1369"/>
      <c r="N861" s="1178"/>
      <c r="O861" s="1178">
        <v>6</v>
      </c>
      <c r="P861" s="1178">
        <v>12.5</v>
      </c>
    </row>
    <row r="862" spans="1:16">
      <c r="A862" s="1178" t="s">
        <v>20711</v>
      </c>
      <c r="B862" s="1371" t="str">
        <f>HYPERLINK(IFERROR("#Main_Tariff!A"&amp;MATCH(Raeburn_Main_Tariff[[#This Row],[Product Code]],Main_Tariff!I:I,0),"#Main_Tariff!A"&amp;MATCH("*"&amp;RIGHT(A862,8)&amp;"*",Main_Tariff!A:A,0)),Raeburn_Main_Tariff[[#This Row],[PRODUCER]])</f>
        <v>Domaine Boigey Freres</v>
      </c>
      <c r="C862" s="1178" t="s">
        <v>20712</v>
      </c>
      <c r="D862" s="1178" t="s">
        <v>897</v>
      </c>
      <c r="E862" s="1179">
        <v>2021</v>
      </c>
      <c r="F862" s="1282" t="s">
        <v>20220</v>
      </c>
      <c r="G862" s="1368" t="s">
        <v>5258</v>
      </c>
      <c r="H862" s="1178" t="s">
        <v>20221</v>
      </c>
      <c r="I862" s="1178" t="s">
        <v>4298</v>
      </c>
      <c r="J862" s="1178" t="s">
        <v>662</v>
      </c>
      <c r="K862" s="1178" t="s">
        <v>267</v>
      </c>
      <c r="L862" s="1178" t="s">
        <v>211</v>
      </c>
      <c r="M862" s="1369"/>
      <c r="N862" s="1178"/>
      <c r="O862" s="1178">
        <v>6</v>
      </c>
      <c r="P862" s="1178">
        <v>12</v>
      </c>
    </row>
    <row r="863" spans="1:16">
      <c r="A863" s="1178" t="s">
        <v>20711</v>
      </c>
      <c r="B863" s="1371" t="str">
        <f>HYPERLINK(IFERROR("#Main_Tariff!A"&amp;MATCH(Raeburn_Main_Tariff[[#This Row],[Product Code]],Main_Tariff!I:I,0),"#Main_Tariff!A"&amp;MATCH("*"&amp;RIGHT(A863,8)&amp;"*",Main_Tariff!A:A,0)),Raeburn_Main_Tariff[[#This Row],[PRODUCER]])</f>
        <v>Domaine Boigey Freres</v>
      </c>
      <c r="C863" s="1178" t="s">
        <v>20712</v>
      </c>
      <c r="D863" s="1178" t="s">
        <v>897</v>
      </c>
      <c r="E863" s="1179">
        <v>2020</v>
      </c>
      <c r="F863" s="1282" t="s">
        <v>20220</v>
      </c>
      <c r="G863" s="1368" t="s">
        <v>5258</v>
      </c>
      <c r="H863" s="1178" t="s">
        <v>20221</v>
      </c>
      <c r="I863" s="1178" t="s">
        <v>4300</v>
      </c>
      <c r="J863" s="1178" t="s">
        <v>662</v>
      </c>
      <c r="K863" s="1178" t="s">
        <v>267</v>
      </c>
      <c r="L863" s="1178" t="s">
        <v>211</v>
      </c>
      <c r="M863" s="1369"/>
      <c r="N863" s="1178"/>
      <c r="O863" s="1178">
        <v>12</v>
      </c>
      <c r="P863" s="1178">
        <v>13</v>
      </c>
    </row>
    <row r="864" spans="1:16">
      <c r="A864" s="1178" t="s">
        <v>20711</v>
      </c>
      <c r="B864" s="1371" t="str">
        <f>HYPERLINK(IFERROR("#Main_Tariff!A"&amp;MATCH(Raeburn_Main_Tariff[[#This Row],[Product Code]],Main_Tariff!I:I,0),"#Main_Tariff!A"&amp;MATCH("*"&amp;RIGHT(A864,8)&amp;"*",Main_Tariff!A:A,0)),Raeburn_Main_Tariff[[#This Row],[PRODUCER]])</f>
        <v>Domaine Boigey Freres</v>
      </c>
      <c r="C864" s="1178" t="s">
        <v>20713</v>
      </c>
      <c r="D864" s="1178" t="s">
        <v>897</v>
      </c>
      <c r="E864" s="1179">
        <v>2023</v>
      </c>
      <c r="F864" s="1282" t="s">
        <v>20220</v>
      </c>
      <c r="G864" s="1368" t="s">
        <v>5258</v>
      </c>
      <c r="H864" s="1178" t="s">
        <v>20224</v>
      </c>
      <c r="I864" s="1178" t="s">
        <v>4302</v>
      </c>
      <c r="J864" s="1178" t="s">
        <v>662</v>
      </c>
      <c r="K864" s="1178" t="s">
        <v>267</v>
      </c>
      <c r="L864" s="1178" t="s">
        <v>211</v>
      </c>
      <c r="M864" s="1369" t="s">
        <v>23297</v>
      </c>
      <c r="N864" s="1178"/>
      <c r="O864" s="1178">
        <v>6</v>
      </c>
      <c r="P864" s="1178">
        <v>12.5</v>
      </c>
    </row>
    <row r="865" spans="1:16">
      <c r="A865" s="1178" t="s">
        <v>20711</v>
      </c>
      <c r="B865" s="1371" t="str">
        <f>HYPERLINK(IFERROR("#Main_Tariff!A"&amp;MATCH(Raeburn_Main_Tariff[[#This Row],[Product Code]],Main_Tariff!I:I,0),"#Main_Tariff!A"&amp;MATCH("*"&amp;RIGHT(A865,8)&amp;"*",Main_Tariff!A:A,0)),Raeburn_Main_Tariff[[#This Row],[PRODUCER]])</f>
        <v>Domaine Boigey Freres</v>
      </c>
      <c r="C865" s="1178" t="s">
        <v>20713</v>
      </c>
      <c r="D865" s="1178" t="s">
        <v>897</v>
      </c>
      <c r="E865" s="1179">
        <v>2022</v>
      </c>
      <c r="F865" s="1282" t="s">
        <v>20220</v>
      </c>
      <c r="G865" s="1368" t="s">
        <v>5258</v>
      </c>
      <c r="H865" s="1178" t="s">
        <v>20224</v>
      </c>
      <c r="I865" s="1178" t="s">
        <v>4304</v>
      </c>
      <c r="J865" s="1178" t="s">
        <v>662</v>
      </c>
      <c r="K865" s="1178" t="s">
        <v>267</v>
      </c>
      <c r="L865" s="1178" t="s">
        <v>211</v>
      </c>
      <c r="M865" s="1369" t="s">
        <v>23297</v>
      </c>
      <c r="N865" s="1178"/>
      <c r="O865" s="1178">
        <v>6</v>
      </c>
      <c r="P865" s="1178">
        <v>13</v>
      </c>
    </row>
    <row r="866" spans="1:16">
      <c r="A866" s="1178" t="s">
        <v>20711</v>
      </c>
      <c r="B866" s="1371" t="str">
        <f>HYPERLINK(IFERROR("#Main_Tariff!A"&amp;MATCH(Raeburn_Main_Tariff[[#This Row],[Product Code]],Main_Tariff!I:I,0),"#Main_Tariff!A"&amp;MATCH("*"&amp;RIGHT(A866,8)&amp;"*",Main_Tariff!A:A,0)),Raeburn_Main_Tariff[[#This Row],[PRODUCER]])</f>
        <v>Domaine Boigey Freres</v>
      </c>
      <c r="C866" s="1178" t="s">
        <v>20713</v>
      </c>
      <c r="D866" s="1178" t="s">
        <v>897</v>
      </c>
      <c r="E866" s="1179">
        <v>2021</v>
      </c>
      <c r="F866" s="1282" t="s">
        <v>20220</v>
      </c>
      <c r="G866" s="1368" t="s">
        <v>5258</v>
      </c>
      <c r="H866" s="1178" t="s">
        <v>20224</v>
      </c>
      <c r="I866" s="1178" t="s">
        <v>4306</v>
      </c>
      <c r="J866" s="1178" t="s">
        <v>662</v>
      </c>
      <c r="K866" s="1178" t="s">
        <v>267</v>
      </c>
      <c r="L866" s="1178" t="s">
        <v>211</v>
      </c>
      <c r="M866" s="1369" t="s">
        <v>23297</v>
      </c>
      <c r="N866" s="1178"/>
      <c r="O866" s="1178">
        <v>6</v>
      </c>
      <c r="P866" s="1178">
        <v>13</v>
      </c>
    </row>
    <row r="867" spans="1:16">
      <c r="A867" s="1178" t="s">
        <v>20711</v>
      </c>
      <c r="B867" s="1371" t="str">
        <f>HYPERLINK(IFERROR("#Main_Tariff!A"&amp;MATCH(Raeburn_Main_Tariff[[#This Row],[Product Code]],Main_Tariff!I:I,0),"#Main_Tariff!A"&amp;MATCH("*"&amp;RIGHT(A867,8)&amp;"*",Main_Tariff!A:A,0)),Raeburn_Main_Tariff[[#This Row],[PRODUCER]])</f>
        <v>Domaine Boigey Freres</v>
      </c>
      <c r="C867" s="1178" t="s">
        <v>20714</v>
      </c>
      <c r="D867" s="1178" t="s">
        <v>897</v>
      </c>
      <c r="E867" s="1179">
        <v>2023</v>
      </c>
      <c r="F867" s="1282" t="s">
        <v>20220</v>
      </c>
      <c r="G867" s="1368" t="s">
        <v>5258</v>
      </c>
      <c r="H867" s="1178" t="s">
        <v>20221</v>
      </c>
      <c r="I867" s="1178" t="s">
        <v>4308</v>
      </c>
      <c r="J867" s="1178" t="s">
        <v>662</v>
      </c>
      <c r="K867" s="1178" t="s">
        <v>267</v>
      </c>
      <c r="L867" s="1178" t="s">
        <v>211</v>
      </c>
      <c r="M867" s="1369" t="s">
        <v>23297</v>
      </c>
      <c r="N867" s="1178"/>
      <c r="O867" s="1178">
        <v>6</v>
      </c>
      <c r="P867" s="1178">
        <v>12.5</v>
      </c>
    </row>
    <row r="868" spans="1:16">
      <c r="A868" s="1178" t="s">
        <v>20711</v>
      </c>
      <c r="B868" s="1371" t="str">
        <f>HYPERLINK(IFERROR("#Main_Tariff!A"&amp;MATCH(Raeburn_Main_Tariff[[#This Row],[Product Code]],Main_Tariff!I:I,0),"#Main_Tariff!A"&amp;MATCH("*"&amp;RIGHT(A868,8)&amp;"*",Main_Tariff!A:A,0)),Raeburn_Main_Tariff[[#This Row],[PRODUCER]])</f>
        <v>Domaine Boigey Freres</v>
      </c>
      <c r="C868" s="1178" t="s">
        <v>20714</v>
      </c>
      <c r="D868" s="1178" t="s">
        <v>897</v>
      </c>
      <c r="E868" s="1179">
        <v>2022</v>
      </c>
      <c r="F868" s="1282" t="s">
        <v>20220</v>
      </c>
      <c r="G868" s="1368" t="s">
        <v>5258</v>
      </c>
      <c r="H868" s="1178" t="s">
        <v>20221</v>
      </c>
      <c r="I868" s="1178" t="s">
        <v>4310</v>
      </c>
      <c r="J868" s="1178" t="s">
        <v>662</v>
      </c>
      <c r="K868" s="1178" t="s">
        <v>267</v>
      </c>
      <c r="L868" s="1178" t="s">
        <v>211</v>
      </c>
      <c r="M868" s="1369" t="s">
        <v>23297</v>
      </c>
      <c r="N868" s="1178"/>
      <c r="O868" s="1178">
        <v>6</v>
      </c>
      <c r="P868" s="1178">
        <v>12.5</v>
      </c>
    </row>
    <row r="869" spans="1:16">
      <c r="A869" s="1178" t="s">
        <v>20711</v>
      </c>
      <c r="B869" s="1371" t="str">
        <f>HYPERLINK(IFERROR("#Main_Tariff!A"&amp;MATCH(Raeburn_Main_Tariff[[#This Row],[Product Code]],Main_Tariff!I:I,0),"#Main_Tariff!A"&amp;MATCH("*"&amp;RIGHT(A869,8)&amp;"*",Main_Tariff!A:A,0)),Raeburn_Main_Tariff[[#This Row],[PRODUCER]])</f>
        <v>Domaine Boigey Freres</v>
      </c>
      <c r="C869" s="1178" t="s">
        <v>20714</v>
      </c>
      <c r="D869" s="1178" t="s">
        <v>897</v>
      </c>
      <c r="E869" s="1179">
        <v>2021</v>
      </c>
      <c r="F869" s="1282" t="s">
        <v>20220</v>
      </c>
      <c r="G869" s="1368" t="s">
        <v>5258</v>
      </c>
      <c r="H869" s="1178" t="s">
        <v>20221</v>
      </c>
      <c r="I869" s="1178" t="s">
        <v>4311</v>
      </c>
      <c r="J869" s="1178" t="s">
        <v>662</v>
      </c>
      <c r="K869" s="1178" t="s">
        <v>267</v>
      </c>
      <c r="L869" s="1178" t="s">
        <v>211</v>
      </c>
      <c r="M869" s="1369" t="s">
        <v>23297</v>
      </c>
      <c r="N869" s="1178"/>
      <c r="O869" s="1178">
        <v>6</v>
      </c>
      <c r="P869" s="1178">
        <v>13</v>
      </c>
    </row>
    <row r="870" spans="1:16">
      <c r="A870" s="1178" t="s">
        <v>20711</v>
      </c>
      <c r="B870" s="1371" t="str">
        <f>HYPERLINK(IFERROR("#Main_Tariff!A"&amp;MATCH(Raeburn_Main_Tariff[[#This Row],[Product Code]],Main_Tariff!I:I,0),"#Main_Tariff!A"&amp;MATCH("*"&amp;RIGHT(A870,8)&amp;"*",Main_Tariff!A:A,0)),Raeburn_Main_Tariff[[#This Row],[PRODUCER]])</f>
        <v>Domaine Boigey Freres</v>
      </c>
      <c r="C870" s="1178" t="s">
        <v>20714</v>
      </c>
      <c r="D870" s="1178" t="s">
        <v>897</v>
      </c>
      <c r="E870" s="1179">
        <v>2020</v>
      </c>
      <c r="F870" s="1282" t="s">
        <v>20220</v>
      </c>
      <c r="G870" s="1368" t="s">
        <v>5258</v>
      </c>
      <c r="H870" s="1178" t="s">
        <v>20221</v>
      </c>
      <c r="I870" s="1178" t="s">
        <v>4313</v>
      </c>
      <c r="J870" s="1178" t="s">
        <v>662</v>
      </c>
      <c r="K870" s="1178" t="s">
        <v>267</v>
      </c>
      <c r="L870" s="1178" t="s">
        <v>211</v>
      </c>
      <c r="M870" s="1369" t="s">
        <v>23297</v>
      </c>
      <c r="N870" s="1178"/>
      <c r="O870" s="1178">
        <v>12</v>
      </c>
      <c r="P870" s="1178">
        <v>13.5</v>
      </c>
    </row>
    <row r="871" spans="1:16">
      <c r="A871" s="1178" t="s">
        <v>20711</v>
      </c>
      <c r="B871" s="1371" t="str">
        <f>HYPERLINK(IFERROR("#Main_Tariff!A"&amp;MATCH(Raeburn_Main_Tariff[[#This Row],[Product Code]],Main_Tariff!I:I,0),"#Main_Tariff!A"&amp;MATCH("*"&amp;RIGHT(A871,8)&amp;"*",Main_Tariff!A:A,0)),Raeburn_Main_Tariff[[#This Row],[PRODUCER]])</f>
        <v>Domaine Boigey Freres</v>
      </c>
      <c r="C871" s="1178" t="s">
        <v>20715</v>
      </c>
      <c r="D871" s="1178" t="s">
        <v>897</v>
      </c>
      <c r="E871" s="1179">
        <v>2023</v>
      </c>
      <c r="F871" s="1282" t="s">
        <v>20220</v>
      </c>
      <c r="G871" s="1368" t="s">
        <v>5258</v>
      </c>
      <c r="H871" s="1178" t="s">
        <v>20224</v>
      </c>
      <c r="I871" s="1178" t="s">
        <v>4315</v>
      </c>
      <c r="J871" s="1178" t="s">
        <v>662</v>
      </c>
      <c r="K871" s="1178" t="s">
        <v>267</v>
      </c>
      <c r="L871" s="1178" t="s">
        <v>211</v>
      </c>
      <c r="M871" s="1369"/>
      <c r="N871" s="1178"/>
      <c r="O871" s="1178">
        <v>6</v>
      </c>
      <c r="P871" s="1178">
        <v>13</v>
      </c>
    </row>
    <row r="872" spans="1:16">
      <c r="A872" s="1178" t="s">
        <v>20711</v>
      </c>
      <c r="B872" s="1371" t="str">
        <f>HYPERLINK(IFERROR("#Main_Tariff!A"&amp;MATCH(Raeburn_Main_Tariff[[#This Row],[Product Code]],Main_Tariff!I:I,0),"#Main_Tariff!A"&amp;MATCH("*"&amp;RIGHT(A872,8)&amp;"*",Main_Tariff!A:A,0)),Raeburn_Main_Tariff[[#This Row],[PRODUCER]])</f>
        <v>Domaine Boigey Freres</v>
      </c>
      <c r="C872" s="1178" t="s">
        <v>20715</v>
      </c>
      <c r="D872" s="1178" t="s">
        <v>897</v>
      </c>
      <c r="E872" s="1179">
        <v>2022</v>
      </c>
      <c r="F872" s="1282" t="s">
        <v>20220</v>
      </c>
      <c r="G872" s="1368" t="s">
        <v>5258</v>
      </c>
      <c r="H872" s="1178" t="s">
        <v>20221</v>
      </c>
      <c r="I872" s="1178" t="s">
        <v>4317</v>
      </c>
      <c r="J872" s="1178" t="s">
        <v>662</v>
      </c>
      <c r="K872" s="1178" t="s">
        <v>267</v>
      </c>
      <c r="L872" s="1178" t="s">
        <v>211</v>
      </c>
      <c r="M872" s="1369"/>
      <c r="N872" s="1178"/>
      <c r="O872" s="1178">
        <v>6</v>
      </c>
      <c r="P872" s="1178">
        <v>12.5</v>
      </c>
    </row>
    <row r="873" spans="1:16">
      <c r="A873" s="1178" t="s">
        <v>20711</v>
      </c>
      <c r="B873" s="1371" t="str">
        <f>HYPERLINK(IFERROR("#Main_Tariff!A"&amp;MATCH(Raeburn_Main_Tariff[[#This Row],[Product Code]],Main_Tariff!I:I,0),"#Main_Tariff!A"&amp;MATCH("*"&amp;RIGHT(A873,8)&amp;"*",Main_Tariff!A:A,0)),Raeburn_Main_Tariff[[#This Row],[PRODUCER]])</f>
        <v>Domaine Boigey Freres</v>
      </c>
      <c r="C873" s="1178" t="s">
        <v>20715</v>
      </c>
      <c r="D873" s="1178" t="s">
        <v>897</v>
      </c>
      <c r="E873" s="1179">
        <v>2021</v>
      </c>
      <c r="F873" s="1282" t="s">
        <v>20220</v>
      </c>
      <c r="G873" s="1368" t="s">
        <v>5258</v>
      </c>
      <c r="H873" s="1178" t="s">
        <v>20221</v>
      </c>
      <c r="I873" s="1178" t="s">
        <v>4319</v>
      </c>
      <c r="J873" s="1178" t="s">
        <v>662</v>
      </c>
      <c r="K873" s="1178" t="s">
        <v>267</v>
      </c>
      <c r="L873" s="1178" t="s">
        <v>211</v>
      </c>
      <c r="M873" s="1369"/>
      <c r="N873" s="1178"/>
      <c r="O873" s="1178">
        <v>6</v>
      </c>
      <c r="P873" s="1178">
        <v>13</v>
      </c>
    </row>
    <row r="874" spans="1:16">
      <c r="A874" s="1178" t="s">
        <v>20711</v>
      </c>
      <c r="B874" s="1371" t="str">
        <f>HYPERLINK(IFERROR("#Main_Tariff!A"&amp;MATCH(Raeburn_Main_Tariff[[#This Row],[Product Code]],Main_Tariff!I:I,0),"#Main_Tariff!A"&amp;MATCH("*"&amp;RIGHT(A874,8)&amp;"*",Main_Tariff!A:A,0)),Raeburn_Main_Tariff[[#This Row],[PRODUCER]])</f>
        <v>Domaine Boigey Freres</v>
      </c>
      <c r="C874" s="1178" t="s">
        <v>20715</v>
      </c>
      <c r="D874" s="1178" t="s">
        <v>897</v>
      </c>
      <c r="E874" s="1179">
        <v>2020</v>
      </c>
      <c r="F874" s="1282" t="s">
        <v>20220</v>
      </c>
      <c r="G874" s="1368" t="s">
        <v>5258</v>
      </c>
      <c r="H874" s="1178" t="s">
        <v>20221</v>
      </c>
      <c r="I874" s="1178" t="s">
        <v>4321</v>
      </c>
      <c r="J874" s="1178" t="s">
        <v>662</v>
      </c>
      <c r="K874" s="1178" t="s">
        <v>267</v>
      </c>
      <c r="L874" s="1178" t="s">
        <v>211</v>
      </c>
      <c r="M874" s="1369"/>
      <c r="N874" s="1178"/>
      <c r="O874" s="1178">
        <v>12</v>
      </c>
      <c r="P874" s="1178">
        <v>13</v>
      </c>
    </row>
    <row r="875" spans="1:16">
      <c r="A875" s="1178" t="s">
        <v>20711</v>
      </c>
      <c r="B875" s="1371" t="str">
        <f>HYPERLINK(IFERROR("#Main_Tariff!A"&amp;MATCH(Raeburn_Main_Tariff[[#This Row],[Product Code]],Main_Tariff!I:I,0),"#Main_Tariff!A"&amp;MATCH("*"&amp;RIGHT(A875,8)&amp;"*",Main_Tariff!A:A,0)),Raeburn_Main_Tariff[[#This Row],[PRODUCER]])</f>
        <v>Domaine Boigey Freres</v>
      </c>
      <c r="C875" s="1178" t="s">
        <v>20716</v>
      </c>
      <c r="D875" s="1178" t="s">
        <v>897</v>
      </c>
      <c r="E875" s="1179">
        <v>2023</v>
      </c>
      <c r="F875" s="1282" t="s">
        <v>20220</v>
      </c>
      <c r="G875" s="1368" t="s">
        <v>5258</v>
      </c>
      <c r="H875" s="1178" t="s">
        <v>20221</v>
      </c>
      <c r="I875" s="1178" t="s">
        <v>4323</v>
      </c>
      <c r="J875" s="1178" t="s">
        <v>662</v>
      </c>
      <c r="K875" s="1178" t="s">
        <v>267</v>
      </c>
      <c r="L875" s="1178" t="s">
        <v>211</v>
      </c>
      <c r="M875" s="1369" t="s">
        <v>23297</v>
      </c>
      <c r="N875" s="1178"/>
      <c r="O875" s="1178">
        <v>6</v>
      </c>
      <c r="P875" s="1178">
        <v>13</v>
      </c>
    </row>
    <row r="876" spans="1:16">
      <c r="A876" s="1178" t="s">
        <v>20711</v>
      </c>
      <c r="B876" s="1371" t="str">
        <f>HYPERLINK(IFERROR("#Main_Tariff!A"&amp;MATCH(Raeburn_Main_Tariff[[#This Row],[Product Code]],Main_Tariff!I:I,0),"#Main_Tariff!A"&amp;MATCH("*"&amp;RIGHT(A876,8)&amp;"*",Main_Tariff!A:A,0)),Raeburn_Main_Tariff[[#This Row],[PRODUCER]])</f>
        <v>Domaine Boigey Freres</v>
      </c>
      <c r="C876" s="1178" t="s">
        <v>20716</v>
      </c>
      <c r="D876" s="1178" t="s">
        <v>897</v>
      </c>
      <c r="E876" s="1179">
        <v>2022</v>
      </c>
      <c r="F876" s="1282" t="s">
        <v>20220</v>
      </c>
      <c r="G876" s="1368" t="s">
        <v>5258</v>
      </c>
      <c r="H876" s="1178" t="s">
        <v>20224</v>
      </c>
      <c r="I876" s="1178" t="s">
        <v>4325</v>
      </c>
      <c r="J876" s="1178" t="s">
        <v>662</v>
      </c>
      <c r="K876" s="1178" t="s">
        <v>267</v>
      </c>
      <c r="L876" s="1178" t="s">
        <v>211</v>
      </c>
      <c r="M876" s="1369" t="s">
        <v>23297</v>
      </c>
      <c r="N876" s="1178"/>
      <c r="O876" s="1178">
        <v>6</v>
      </c>
      <c r="P876" s="1178">
        <v>12</v>
      </c>
    </row>
    <row r="877" spans="1:16">
      <c r="A877" s="1178" t="s">
        <v>20711</v>
      </c>
      <c r="B877" s="1371" t="str">
        <f>HYPERLINK(IFERROR("#Main_Tariff!A"&amp;MATCH(Raeburn_Main_Tariff[[#This Row],[Product Code]],Main_Tariff!I:I,0),"#Main_Tariff!A"&amp;MATCH("*"&amp;RIGHT(A877,8)&amp;"*",Main_Tariff!A:A,0)),Raeburn_Main_Tariff[[#This Row],[PRODUCER]])</f>
        <v>Domaine Boigey Freres</v>
      </c>
      <c r="C877" s="1178" t="s">
        <v>20716</v>
      </c>
      <c r="D877" s="1178" t="s">
        <v>897</v>
      </c>
      <c r="E877" s="1179">
        <v>2021</v>
      </c>
      <c r="F877" s="1282" t="s">
        <v>20220</v>
      </c>
      <c r="G877" s="1368" t="s">
        <v>5258</v>
      </c>
      <c r="H877" s="1178" t="s">
        <v>20224</v>
      </c>
      <c r="I877" s="1178" t="s">
        <v>4326</v>
      </c>
      <c r="J877" s="1178" t="s">
        <v>662</v>
      </c>
      <c r="K877" s="1178" t="s">
        <v>267</v>
      </c>
      <c r="L877" s="1178" t="s">
        <v>211</v>
      </c>
      <c r="M877" s="1369" t="s">
        <v>23297</v>
      </c>
      <c r="N877" s="1178"/>
      <c r="O877" s="1178">
        <v>6</v>
      </c>
      <c r="P877" s="1178">
        <v>13</v>
      </c>
    </row>
    <row r="878" spans="1:16">
      <c r="A878" s="1178" t="s">
        <v>20711</v>
      </c>
      <c r="B878" s="1371" t="str">
        <f>HYPERLINK(IFERROR("#Main_Tariff!A"&amp;MATCH(Raeburn_Main_Tariff[[#This Row],[Product Code]],Main_Tariff!I:I,0),"#Main_Tariff!A"&amp;MATCH("*"&amp;RIGHT(A878,8)&amp;"*",Main_Tariff!A:A,0)),Raeburn_Main_Tariff[[#This Row],[PRODUCER]])</f>
        <v>Domaine Boigey Freres</v>
      </c>
      <c r="C878" s="1178" t="s">
        <v>20670</v>
      </c>
      <c r="D878" s="1178" t="s">
        <v>897</v>
      </c>
      <c r="E878" s="1179">
        <v>2023</v>
      </c>
      <c r="F878" s="1282" t="s">
        <v>20220</v>
      </c>
      <c r="G878" s="1368" t="s">
        <v>5258</v>
      </c>
      <c r="H878" s="1178" t="s">
        <v>20224</v>
      </c>
      <c r="I878" s="1178" t="s">
        <v>4328</v>
      </c>
      <c r="J878" s="1178" t="s">
        <v>662</v>
      </c>
      <c r="K878" s="1178" t="s">
        <v>267</v>
      </c>
      <c r="L878" s="1178" t="s">
        <v>211</v>
      </c>
      <c r="M878" s="1369" t="s">
        <v>23296</v>
      </c>
      <c r="N878" s="1178"/>
      <c r="O878" s="1178">
        <v>6</v>
      </c>
      <c r="P878" s="1178">
        <v>12.5</v>
      </c>
    </row>
    <row r="879" spans="1:16">
      <c r="A879" s="1178" t="s">
        <v>20711</v>
      </c>
      <c r="B879" s="1371" t="str">
        <f>HYPERLINK(IFERROR("#Main_Tariff!A"&amp;MATCH(Raeburn_Main_Tariff[[#This Row],[Product Code]],Main_Tariff!I:I,0),"#Main_Tariff!A"&amp;MATCH("*"&amp;RIGHT(A879,8)&amp;"*",Main_Tariff!A:A,0)),Raeburn_Main_Tariff[[#This Row],[PRODUCER]])</f>
        <v>Domaine Boigey Freres</v>
      </c>
      <c r="C879" s="1178" t="s">
        <v>20717</v>
      </c>
      <c r="D879" s="1178" t="s">
        <v>897</v>
      </c>
      <c r="E879" s="1179">
        <v>2023</v>
      </c>
      <c r="F879" s="1282" t="s">
        <v>20240</v>
      </c>
      <c r="G879" s="1368" t="s">
        <v>5258</v>
      </c>
      <c r="H879" s="1178" t="s">
        <v>20224</v>
      </c>
      <c r="I879" s="1178" t="s">
        <v>4330</v>
      </c>
      <c r="J879" s="1178" t="s">
        <v>662</v>
      </c>
      <c r="K879" s="1178" t="s">
        <v>267</v>
      </c>
      <c r="L879" s="1178" t="s">
        <v>211</v>
      </c>
      <c r="M879" s="1369"/>
      <c r="N879" s="1178"/>
      <c r="O879" s="1178">
        <v>1</v>
      </c>
      <c r="P879" s="1178">
        <v>12</v>
      </c>
    </row>
    <row r="880" spans="1:16">
      <c r="A880" s="1178" t="s">
        <v>20711</v>
      </c>
      <c r="B880" s="1371" t="str">
        <f>HYPERLINK(IFERROR("#Main_Tariff!A"&amp;MATCH(Raeburn_Main_Tariff[[#This Row],[Product Code]],Main_Tariff!I:I,0),"#Main_Tariff!A"&amp;MATCH("*"&amp;RIGHT(A880,8)&amp;"*",Main_Tariff!A:A,0)),Raeburn_Main_Tariff[[#This Row],[PRODUCER]])</f>
        <v>Domaine Boigey Freres</v>
      </c>
      <c r="C880" s="1178" t="s">
        <v>20717</v>
      </c>
      <c r="D880" s="1178" t="s">
        <v>897</v>
      </c>
      <c r="E880" s="1179">
        <v>2022</v>
      </c>
      <c r="F880" s="1282" t="s">
        <v>20240</v>
      </c>
      <c r="G880" s="1368" t="s">
        <v>5258</v>
      </c>
      <c r="H880" s="1178" t="s">
        <v>20224</v>
      </c>
      <c r="I880" s="1178" t="s">
        <v>4331</v>
      </c>
      <c r="J880" s="1178" t="s">
        <v>662</v>
      </c>
      <c r="K880" s="1178" t="s">
        <v>267</v>
      </c>
      <c r="L880" s="1178" t="s">
        <v>211</v>
      </c>
      <c r="M880" s="1369"/>
      <c r="N880" s="1178"/>
      <c r="O880" s="1178">
        <v>1</v>
      </c>
      <c r="P880" s="1178">
        <v>12.5</v>
      </c>
    </row>
    <row r="881" spans="1:16">
      <c r="A881" s="1178" t="s">
        <v>20711</v>
      </c>
      <c r="B881" s="1371" t="str">
        <f>HYPERLINK(IFERROR("#Main_Tariff!A"&amp;MATCH(Raeburn_Main_Tariff[[#This Row],[Product Code]],Main_Tariff!I:I,0),"#Main_Tariff!A"&amp;MATCH("*"&amp;RIGHT(A881,8)&amp;"*",Main_Tariff!A:A,0)),Raeburn_Main_Tariff[[#This Row],[PRODUCER]])</f>
        <v>Domaine Boigey Freres</v>
      </c>
      <c r="C881" s="1178" t="s">
        <v>20718</v>
      </c>
      <c r="D881" s="1178" t="s">
        <v>897</v>
      </c>
      <c r="E881" s="1179">
        <v>2023</v>
      </c>
      <c r="F881" s="1282" t="s">
        <v>20240</v>
      </c>
      <c r="G881" s="1368" t="s">
        <v>5258</v>
      </c>
      <c r="H881" s="1178" t="s">
        <v>20224</v>
      </c>
      <c r="I881" s="1178" t="s">
        <v>4332</v>
      </c>
      <c r="J881" s="1178" t="s">
        <v>662</v>
      </c>
      <c r="K881" s="1178" t="s">
        <v>267</v>
      </c>
      <c r="L881" s="1178" t="s">
        <v>211</v>
      </c>
      <c r="M881" s="1369" t="s">
        <v>23297</v>
      </c>
      <c r="N881" s="1178"/>
      <c r="O881" s="1178">
        <v>1</v>
      </c>
      <c r="P881" s="1178">
        <v>12.5</v>
      </c>
    </row>
    <row r="882" spans="1:16">
      <c r="A882" s="1178" t="s">
        <v>20711</v>
      </c>
      <c r="B882" s="1371" t="str">
        <f>HYPERLINK(IFERROR("#Main_Tariff!A"&amp;MATCH(Raeburn_Main_Tariff[[#This Row],[Product Code]],Main_Tariff!I:I,0),"#Main_Tariff!A"&amp;MATCH("*"&amp;RIGHT(A882,8)&amp;"*",Main_Tariff!A:A,0)),Raeburn_Main_Tariff[[#This Row],[PRODUCER]])</f>
        <v>Domaine Boigey Freres</v>
      </c>
      <c r="C882" s="1178" t="s">
        <v>20718</v>
      </c>
      <c r="D882" s="1178" t="s">
        <v>897</v>
      </c>
      <c r="E882" s="1179">
        <v>2022</v>
      </c>
      <c r="F882" s="1282" t="s">
        <v>20240</v>
      </c>
      <c r="G882" s="1368" t="s">
        <v>5258</v>
      </c>
      <c r="H882" s="1178" t="s">
        <v>20224</v>
      </c>
      <c r="I882" s="1178" t="s">
        <v>4333</v>
      </c>
      <c r="J882" s="1178" t="s">
        <v>662</v>
      </c>
      <c r="K882" s="1178" t="s">
        <v>267</v>
      </c>
      <c r="L882" s="1178" t="s">
        <v>211</v>
      </c>
      <c r="M882" s="1369" t="s">
        <v>23297</v>
      </c>
      <c r="N882" s="1178"/>
      <c r="O882" s="1178">
        <v>1</v>
      </c>
      <c r="P882" s="1178">
        <v>13</v>
      </c>
    </row>
    <row r="883" spans="1:16">
      <c r="A883" s="1178" t="s">
        <v>20711</v>
      </c>
      <c r="B883" s="1371" t="str">
        <f>HYPERLINK(IFERROR("#Main_Tariff!A"&amp;MATCH(Raeburn_Main_Tariff[[#This Row],[Product Code]],Main_Tariff!I:I,0),"#Main_Tariff!A"&amp;MATCH("*"&amp;RIGHT(A883,8)&amp;"*",Main_Tariff!A:A,0)),Raeburn_Main_Tariff[[#This Row],[PRODUCER]])</f>
        <v>Domaine Boigey Freres</v>
      </c>
      <c r="C883" s="1178" t="s">
        <v>20718</v>
      </c>
      <c r="D883" s="1178" t="s">
        <v>897</v>
      </c>
      <c r="E883" s="1179">
        <v>2021</v>
      </c>
      <c r="F883" s="1282" t="s">
        <v>20240</v>
      </c>
      <c r="G883" s="1368" t="s">
        <v>5258</v>
      </c>
      <c r="H883" s="1178" t="s">
        <v>20224</v>
      </c>
      <c r="I883" s="1178" t="s">
        <v>4334</v>
      </c>
      <c r="J883" s="1178" t="s">
        <v>662</v>
      </c>
      <c r="K883" s="1178" t="s">
        <v>267</v>
      </c>
      <c r="L883" s="1178" t="s">
        <v>211</v>
      </c>
      <c r="M883" s="1369" t="s">
        <v>23297</v>
      </c>
      <c r="N883" s="1178"/>
      <c r="O883" s="1178">
        <v>1</v>
      </c>
      <c r="P883" s="1178">
        <v>13</v>
      </c>
    </row>
    <row r="884" spans="1:16">
      <c r="A884" s="1178" t="s">
        <v>20711</v>
      </c>
      <c r="B884" s="1371" t="str">
        <f>HYPERLINK(IFERROR("#Main_Tariff!A"&amp;MATCH(Raeburn_Main_Tariff[[#This Row],[Product Code]],Main_Tariff!I:I,0),"#Main_Tariff!A"&amp;MATCH("*"&amp;RIGHT(A884,8)&amp;"*",Main_Tariff!A:A,0)),Raeburn_Main_Tariff[[#This Row],[PRODUCER]])</f>
        <v>Domaine Boigey Freres</v>
      </c>
      <c r="C884" s="1178" t="s">
        <v>20719</v>
      </c>
      <c r="D884" s="1178" t="s">
        <v>897</v>
      </c>
      <c r="E884" s="1179">
        <v>2023</v>
      </c>
      <c r="F884" s="1282" t="s">
        <v>20240</v>
      </c>
      <c r="G884" s="1368" t="s">
        <v>5258</v>
      </c>
      <c r="H884" s="1178" t="s">
        <v>20224</v>
      </c>
      <c r="I884" s="1178" t="s">
        <v>4335</v>
      </c>
      <c r="J884" s="1178" t="s">
        <v>662</v>
      </c>
      <c r="K884" s="1178" t="s">
        <v>267</v>
      </c>
      <c r="L884" s="1178" t="s">
        <v>211</v>
      </c>
      <c r="M884" s="1369" t="s">
        <v>23297</v>
      </c>
      <c r="N884" s="1178"/>
      <c r="O884" s="1178">
        <v>1</v>
      </c>
      <c r="P884" s="1178">
        <v>12.5</v>
      </c>
    </row>
    <row r="885" spans="1:16">
      <c r="A885" s="1178" t="s">
        <v>20711</v>
      </c>
      <c r="B885" s="1371" t="str">
        <f>HYPERLINK(IFERROR("#Main_Tariff!A"&amp;MATCH(Raeburn_Main_Tariff[[#This Row],[Product Code]],Main_Tariff!I:I,0),"#Main_Tariff!A"&amp;MATCH("*"&amp;RIGHT(A885,8)&amp;"*",Main_Tariff!A:A,0)),Raeburn_Main_Tariff[[#This Row],[PRODUCER]])</f>
        <v>Domaine Boigey Freres</v>
      </c>
      <c r="C885" s="1178" t="s">
        <v>20719</v>
      </c>
      <c r="D885" s="1178" t="s">
        <v>897</v>
      </c>
      <c r="E885" s="1179">
        <v>2022</v>
      </c>
      <c r="F885" s="1282" t="s">
        <v>20240</v>
      </c>
      <c r="G885" s="1368" t="s">
        <v>5258</v>
      </c>
      <c r="H885" s="1178" t="s">
        <v>20224</v>
      </c>
      <c r="I885" s="1178" t="s">
        <v>4336</v>
      </c>
      <c r="J885" s="1178" t="s">
        <v>662</v>
      </c>
      <c r="K885" s="1178" t="s">
        <v>267</v>
      </c>
      <c r="L885" s="1178" t="s">
        <v>211</v>
      </c>
      <c r="M885" s="1369" t="s">
        <v>23297</v>
      </c>
      <c r="N885" s="1178"/>
      <c r="O885" s="1178">
        <v>1</v>
      </c>
      <c r="P885" s="1178">
        <v>12.5</v>
      </c>
    </row>
    <row r="886" spans="1:16">
      <c r="A886" s="1178" t="s">
        <v>20711</v>
      </c>
      <c r="B886" s="1371" t="str">
        <f>HYPERLINK(IFERROR("#Main_Tariff!A"&amp;MATCH(Raeburn_Main_Tariff[[#This Row],[Product Code]],Main_Tariff!I:I,0),"#Main_Tariff!A"&amp;MATCH("*"&amp;RIGHT(A886,8)&amp;"*",Main_Tariff!A:A,0)),Raeburn_Main_Tariff[[#This Row],[PRODUCER]])</f>
        <v>Domaine Boigey Freres</v>
      </c>
      <c r="C886" s="1178" t="s">
        <v>20719</v>
      </c>
      <c r="D886" s="1178" t="s">
        <v>897</v>
      </c>
      <c r="E886" s="1179">
        <v>2021</v>
      </c>
      <c r="F886" s="1282" t="s">
        <v>20240</v>
      </c>
      <c r="G886" s="1368" t="s">
        <v>5258</v>
      </c>
      <c r="H886" s="1178" t="s">
        <v>20224</v>
      </c>
      <c r="I886" s="1178" t="s">
        <v>4337</v>
      </c>
      <c r="J886" s="1178" t="s">
        <v>662</v>
      </c>
      <c r="K886" s="1178" t="s">
        <v>267</v>
      </c>
      <c r="L886" s="1178" t="s">
        <v>211</v>
      </c>
      <c r="M886" s="1369" t="s">
        <v>23297</v>
      </c>
      <c r="N886" s="1178"/>
      <c r="O886" s="1178">
        <v>1</v>
      </c>
      <c r="P886" s="1178">
        <v>13</v>
      </c>
    </row>
    <row r="887" spans="1:16">
      <c r="A887" s="1178" t="s">
        <v>20711</v>
      </c>
      <c r="B887" s="1371" t="str">
        <f>HYPERLINK(IFERROR("#Main_Tariff!A"&amp;MATCH(Raeburn_Main_Tariff[[#This Row],[Product Code]],Main_Tariff!I:I,0),"#Main_Tariff!A"&amp;MATCH("*"&amp;RIGHT(A887,8)&amp;"*",Main_Tariff!A:A,0)),Raeburn_Main_Tariff[[#This Row],[PRODUCER]])</f>
        <v>Domaine Boigey Freres</v>
      </c>
      <c r="C887" s="1178" t="s">
        <v>20720</v>
      </c>
      <c r="D887" s="1178" t="s">
        <v>897</v>
      </c>
      <c r="E887" s="1179">
        <v>2023</v>
      </c>
      <c r="F887" s="1282" t="s">
        <v>20240</v>
      </c>
      <c r="G887" s="1368" t="s">
        <v>5258</v>
      </c>
      <c r="H887" s="1178" t="s">
        <v>20224</v>
      </c>
      <c r="I887" s="1178" t="s">
        <v>4338</v>
      </c>
      <c r="J887" s="1178" t="s">
        <v>662</v>
      </c>
      <c r="K887" s="1178" t="s">
        <v>267</v>
      </c>
      <c r="L887" s="1178" t="s">
        <v>211</v>
      </c>
      <c r="M887" s="1369"/>
      <c r="N887" s="1178"/>
      <c r="O887" s="1178">
        <v>1</v>
      </c>
      <c r="P887" s="1178">
        <v>13</v>
      </c>
    </row>
    <row r="888" spans="1:16">
      <c r="A888" s="1178" t="s">
        <v>20711</v>
      </c>
      <c r="B888" s="1371" t="str">
        <f>HYPERLINK(IFERROR("#Main_Tariff!A"&amp;MATCH(Raeburn_Main_Tariff[[#This Row],[Product Code]],Main_Tariff!I:I,0),"#Main_Tariff!A"&amp;MATCH("*"&amp;RIGHT(A888,8)&amp;"*",Main_Tariff!A:A,0)),Raeburn_Main_Tariff[[#This Row],[PRODUCER]])</f>
        <v>Domaine Boigey Freres</v>
      </c>
      <c r="C888" s="1178" t="s">
        <v>20720</v>
      </c>
      <c r="D888" s="1178" t="s">
        <v>897</v>
      </c>
      <c r="E888" s="1179">
        <v>2022</v>
      </c>
      <c r="F888" s="1282" t="s">
        <v>20240</v>
      </c>
      <c r="G888" s="1368" t="s">
        <v>5258</v>
      </c>
      <c r="H888" s="1178" t="s">
        <v>20224</v>
      </c>
      <c r="I888" s="1178" t="s">
        <v>4339</v>
      </c>
      <c r="J888" s="1178" t="s">
        <v>662</v>
      </c>
      <c r="K888" s="1178" t="s">
        <v>267</v>
      </c>
      <c r="L888" s="1178" t="s">
        <v>211</v>
      </c>
      <c r="M888" s="1369"/>
      <c r="N888" s="1178"/>
      <c r="O888" s="1178">
        <v>1</v>
      </c>
      <c r="P888" s="1178">
        <v>12.5</v>
      </c>
    </row>
    <row r="889" spans="1:16">
      <c r="A889" s="1178" t="s">
        <v>20711</v>
      </c>
      <c r="B889" s="1371" t="str">
        <f>HYPERLINK(IFERROR("#Main_Tariff!A"&amp;MATCH(Raeburn_Main_Tariff[[#This Row],[Product Code]],Main_Tariff!I:I,0),"#Main_Tariff!A"&amp;MATCH("*"&amp;RIGHT(A889,8)&amp;"*",Main_Tariff!A:A,0)),Raeburn_Main_Tariff[[#This Row],[PRODUCER]])</f>
        <v>Domaine Boigey Freres</v>
      </c>
      <c r="C889" s="1178" t="s">
        <v>20720</v>
      </c>
      <c r="D889" s="1178" t="s">
        <v>897</v>
      </c>
      <c r="E889" s="1179">
        <v>2021</v>
      </c>
      <c r="F889" s="1282" t="s">
        <v>20240</v>
      </c>
      <c r="G889" s="1368" t="s">
        <v>5258</v>
      </c>
      <c r="H889" s="1178" t="s">
        <v>20224</v>
      </c>
      <c r="I889" s="1178" t="s">
        <v>4340</v>
      </c>
      <c r="J889" s="1178" t="s">
        <v>662</v>
      </c>
      <c r="K889" s="1178" t="s">
        <v>267</v>
      </c>
      <c r="L889" s="1178" t="s">
        <v>211</v>
      </c>
      <c r="M889" s="1369"/>
      <c r="N889" s="1178"/>
      <c r="O889" s="1178">
        <v>1</v>
      </c>
      <c r="P889" s="1178">
        <v>13</v>
      </c>
    </row>
    <row r="890" spans="1:16">
      <c r="A890" s="1178" t="s">
        <v>20711</v>
      </c>
      <c r="B890" s="1371" t="str">
        <f>HYPERLINK(IFERROR("#Main_Tariff!A"&amp;MATCH(Raeburn_Main_Tariff[[#This Row],[Product Code]],Main_Tariff!I:I,0),"#Main_Tariff!A"&amp;MATCH("*"&amp;RIGHT(A890,8)&amp;"*",Main_Tariff!A:A,0)),Raeburn_Main_Tariff[[#This Row],[PRODUCER]])</f>
        <v>Domaine Boigey Freres</v>
      </c>
      <c r="C890" s="1178" t="s">
        <v>20721</v>
      </c>
      <c r="D890" s="1178" t="s">
        <v>897</v>
      </c>
      <c r="E890" s="1179">
        <v>2023</v>
      </c>
      <c r="F890" s="1282" t="s">
        <v>20240</v>
      </c>
      <c r="G890" s="1368" t="s">
        <v>5258</v>
      </c>
      <c r="H890" s="1178" t="s">
        <v>20224</v>
      </c>
      <c r="I890" s="1178" t="s">
        <v>4341</v>
      </c>
      <c r="J890" s="1178" t="s">
        <v>662</v>
      </c>
      <c r="K890" s="1178" t="s">
        <v>267</v>
      </c>
      <c r="L890" s="1178" t="s">
        <v>211</v>
      </c>
      <c r="M890" s="1369"/>
      <c r="N890" s="1178"/>
      <c r="O890" s="1178">
        <v>1</v>
      </c>
      <c r="P890" s="1178">
        <v>12</v>
      </c>
    </row>
    <row r="891" spans="1:16">
      <c r="A891" s="1178" t="s">
        <v>20711</v>
      </c>
      <c r="B891" s="1371" t="str">
        <f>HYPERLINK(IFERROR("#Main_Tariff!A"&amp;MATCH(Raeburn_Main_Tariff[[#This Row],[Product Code]],Main_Tariff!I:I,0),"#Main_Tariff!A"&amp;MATCH("*"&amp;RIGHT(A891,8)&amp;"*",Main_Tariff!A:A,0)),Raeburn_Main_Tariff[[#This Row],[PRODUCER]])</f>
        <v>Domaine Boigey Freres</v>
      </c>
      <c r="C891" s="1178" t="s">
        <v>20722</v>
      </c>
      <c r="D891" s="1178" t="s">
        <v>897</v>
      </c>
      <c r="E891" s="1179">
        <v>2023</v>
      </c>
      <c r="F891" s="1282" t="s">
        <v>20240</v>
      </c>
      <c r="G891" s="1368" t="s">
        <v>5258</v>
      </c>
      <c r="H891" s="1178" t="s">
        <v>20224</v>
      </c>
      <c r="I891" s="1178" t="s">
        <v>4342</v>
      </c>
      <c r="J891" s="1178" t="s">
        <v>662</v>
      </c>
      <c r="K891" s="1178" t="s">
        <v>267</v>
      </c>
      <c r="L891" s="1178" t="s">
        <v>211</v>
      </c>
      <c r="M891" s="1369" t="s">
        <v>23297</v>
      </c>
      <c r="N891" s="1178"/>
      <c r="O891" s="1178">
        <v>1</v>
      </c>
      <c r="P891" s="1178">
        <v>13</v>
      </c>
    </row>
    <row r="892" spans="1:16">
      <c r="A892" s="1178" t="s">
        <v>20711</v>
      </c>
      <c r="B892" s="1371" t="str">
        <f>HYPERLINK(IFERROR("#Main_Tariff!A"&amp;MATCH(Raeburn_Main_Tariff[[#This Row],[Product Code]],Main_Tariff!I:I,0),"#Main_Tariff!A"&amp;MATCH("*"&amp;RIGHT(A892,8)&amp;"*",Main_Tariff!A:A,0)),Raeburn_Main_Tariff[[#This Row],[PRODUCER]])</f>
        <v>Domaine Boigey Freres</v>
      </c>
      <c r="C892" s="1178" t="s">
        <v>20722</v>
      </c>
      <c r="D892" s="1178" t="s">
        <v>897</v>
      </c>
      <c r="E892" s="1179">
        <v>2022</v>
      </c>
      <c r="F892" s="1282" t="s">
        <v>20240</v>
      </c>
      <c r="G892" s="1368" t="s">
        <v>5258</v>
      </c>
      <c r="H892" s="1178" t="s">
        <v>20224</v>
      </c>
      <c r="I892" s="1178" t="s">
        <v>4343</v>
      </c>
      <c r="J892" s="1178" t="s">
        <v>662</v>
      </c>
      <c r="K892" s="1178" t="s">
        <v>267</v>
      </c>
      <c r="L892" s="1178" t="s">
        <v>211</v>
      </c>
      <c r="M892" s="1369" t="s">
        <v>23297</v>
      </c>
      <c r="N892" s="1178"/>
      <c r="O892" s="1178">
        <v>1</v>
      </c>
      <c r="P892" s="1178">
        <v>12</v>
      </c>
    </row>
    <row r="893" spans="1:16">
      <c r="A893" s="1178" t="s">
        <v>20711</v>
      </c>
      <c r="B893" s="1371" t="str">
        <f>HYPERLINK(IFERROR("#Main_Tariff!A"&amp;MATCH(Raeburn_Main_Tariff[[#This Row],[Product Code]],Main_Tariff!I:I,0),"#Main_Tariff!A"&amp;MATCH("*"&amp;RIGHT(A893,8)&amp;"*",Main_Tariff!A:A,0)),Raeburn_Main_Tariff[[#This Row],[PRODUCER]])</f>
        <v>Domaine Boigey Freres</v>
      </c>
      <c r="C893" s="1178" t="s">
        <v>20722</v>
      </c>
      <c r="D893" s="1178" t="s">
        <v>897</v>
      </c>
      <c r="E893" s="1179">
        <v>2021</v>
      </c>
      <c r="F893" s="1282" t="s">
        <v>20240</v>
      </c>
      <c r="G893" s="1368" t="s">
        <v>5258</v>
      </c>
      <c r="H893" s="1178" t="s">
        <v>20224</v>
      </c>
      <c r="I893" s="1178" t="s">
        <v>4344</v>
      </c>
      <c r="J893" s="1178" t="s">
        <v>662</v>
      </c>
      <c r="K893" s="1178" t="s">
        <v>267</v>
      </c>
      <c r="L893" s="1178" t="s">
        <v>211</v>
      </c>
      <c r="M893" s="1369" t="s">
        <v>23297</v>
      </c>
      <c r="N893" s="1178"/>
      <c r="O893" s="1178">
        <v>1</v>
      </c>
      <c r="P893" s="1178">
        <v>13</v>
      </c>
    </row>
    <row r="894" spans="1:16">
      <c r="A894" s="1178" t="s">
        <v>20723</v>
      </c>
      <c r="B894" s="1371" t="str">
        <f>HYPERLINK(IFERROR("#Main_Tariff!A"&amp;MATCH(Raeburn_Main_Tariff[[#This Row],[Product Code]],Main_Tariff!I:I,0),"#Main_Tariff!A"&amp;MATCH("*"&amp;RIGHT(A894,8)&amp;"*",Main_Tariff!A:A,0)),Raeburn_Main_Tariff[[#This Row],[PRODUCER]])</f>
        <v>Domaine Ghislaine Barthod</v>
      </c>
      <c r="C894" s="1178" t="s">
        <v>20724</v>
      </c>
      <c r="D894" s="1178" t="s">
        <v>1129</v>
      </c>
      <c r="E894" s="1179">
        <v>2020</v>
      </c>
      <c r="F894" s="1282" t="s">
        <v>20220</v>
      </c>
      <c r="G894" s="1368">
        <v>35.5</v>
      </c>
      <c r="H894" s="1178" t="s">
        <v>20221</v>
      </c>
      <c r="I894" s="1178" t="s">
        <v>4346</v>
      </c>
      <c r="J894" s="1178" t="s">
        <v>662</v>
      </c>
      <c r="K894" s="1178" t="s">
        <v>267</v>
      </c>
      <c r="L894" s="1178" t="s">
        <v>211</v>
      </c>
      <c r="M894" s="1369"/>
      <c r="N894" s="1178"/>
      <c r="O894" s="1178">
        <v>12</v>
      </c>
      <c r="P894" s="1178">
        <v>13</v>
      </c>
    </row>
    <row r="895" spans="1:16">
      <c r="A895" s="1178" t="s">
        <v>20723</v>
      </c>
      <c r="B895" s="1371" t="str">
        <f>HYPERLINK(IFERROR("#Main_Tariff!A"&amp;MATCH(Raeburn_Main_Tariff[[#This Row],[Product Code]],Main_Tariff!I:I,0),"#Main_Tariff!A"&amp;MATCH("*"&amp;RIGHT(A895,8)&amp;"*",Main_Tariff!A:A,0)),Raeburn_Main_Tariff[[#This Row],[PRODUCER]])</f>
        <v>Domaine Ghislaine Barthod</v>
      </c>
      <c r="C895" s="1178" t="s">
        <v>6176</v>
      </c>
      <c r="D895" s="1178" t="s">
        <v>897</v>
      </c>
      <c r="E895" s="1179">
        <v>2022</v>
      </c>
      <c r="F895" s="1282" t="s">
        <v>20220</v>
      </c>
      <c r="G895" s="1368">
        <v>32.5</v>
      </c>
      <c r="H895" s="1178" t="s">
        <v>20221</v>
      </c>
      <c r="I895" s="1178" t="s">
        <v>4348</v>
      </c>
      <c r="J895" s="1178" t="s">
        <v>662</v>
      </c>
      <c r="K895" s="1178" t="s">
        <v>267</v>
      </c>
      <c r="L895" s="1178" t="s">
        <v>211</v>
      </c>
      <c r="M895" s="1369"/>
      <c r="N895" s="1178"/>
      <c r="O895" s="1178">
        <v>6</v>
      </c>
      <c r="P895" s="1178">
        <v>13.5</v>
      </c>
    </row>
    <row r="896" spans="1:16">
      <c r="A896" s="1178" t="s">
        <v>20723</v>
      </c>
      <c r="B896" s="1371" t="str">
        <f>HYPERLINK(IFERROR("#Main_Tariff!A"&amp;MATCH(Raeburn_Main_Tariff[[#This Row],[Product Code]],Main_Tariff!I:I,0),"#Main_Tariff!A"&amp;MATCH("*"&amp;RIGHT(A896,8)&amp;"*",Main_Tariff!A:A,0)),Raeburn_Main_Tariff[[#This Row],[PRODUCER]])</f>
        <v>Domaine Ghislaine Barthod</v>
      </c>
      <c r="C896" s="1178" t="s">
        <v>6176</v>
      </c>
      <c r="D896" s="1178" t="s">
        <v>897</v>
      </c>
      <c r="E896" s="1179">
        <v>2021</v>
      </c>
      <c r="F896" s="1282" t="s">
        <v>20220</v>
      </c>
      <c r="G896" s="1368" t="s">
        <v>5258</v>
      </c>
      <c r="H896" s="1178" t="s">
        <v>20224</v>
      </c>
      <c r="I896" s="1178" t="s">
        <v>4350</v>
      </c>
      <c r="J896" s="1178" t="s">
        <v>662</v>
      </c>
      <c r="K896" s="1178" t="s">
        <v>267</v>
      </c>
      <c r="L896" s="1178" t="s">
        <v>211</v>
      </c>
      <c r="M896" s="1369"/>
      <c r="N896" s="1178"/>
      <c r="O896" s="1178">
        <v>6</v>
      </c>
      <c r="P896" s="1178">
        <v>13</v>
      </c>
    </row>
    <row r="897" spans="1:16">
      <c r="A897" s="1178" t="s">
        <v>20723</v>
      </c>
      <c r="B897" s="1371" t="str">
        <f>HYPERLINK(IFERROR("#Main_Tariff!A"&amp;MATCH(Raeburn_Main_Tariff[[#This Row],[Product Code]],Main_Tariff!I:I,0),"#Main_Tariff!A"&amp;MATCH("*"&amp;RIGHT(A897,8)&amp;"*",Main_Tariff!A:A,0)),Raeburn_Main_Tariff[[#This Row],[PRODUCER]])</f>
        <v>Domaine Ghislaine Barthod</v>
      </c>
      <c r="C897" s="1178" t="s">
        <v>20725</v>
      </c>
      <c r="D897" s="1178" t="s">
        <v>897</v>
      </c>
      <c r="E897" s="1179">
        <v>2022</v>
      </c>
      <c r="F897" s="1282" t="s">
        <v>20220</v>
      </c>
      <c r="G897" s="1368" t="s">
        <v>5258</v>
      </c>
      <c r="H897" s="1178" t="s">
        <v>20224</v>
      </c>
      <c r="I897" s="1178" t="s">
        <v>4352</v>
      </c>
      <c r="J897" s="1178" t="s">
        <v>662</v>
      </c>
      <c r="K897" s="1178" t="s">
        <v>267</v>
      </c>
      <c r="L897" s="1178" t="s">
        <v>211</v>
      </c>
      <c r="M897" s="1369"/>
      <c r="N897" s="1178"/>
      <c r="O897" s="1178">
        <v>6</v>
      </c>
      <c r="P897" s="1178">
        <v>13.5</v>
      </c>
    </row>
    <row r="898" spans="1:16">
      <c r="A898" s="1178" t="s">
        <v>20723</v>
      </c>
      <c r="B898" s="1371" t="str">
        <f>HYPERLINK(IFERROR("#Main_Tariff!A"&amp;MATCH(Raeburn_Main_Tariff[[#This Row],[Product Code]],Main_Tariff!I:I,0),"#Main_Tariff!A"&amp;MATCH("*"&amp;RIGHT(A898,8)&amp;"*",Main_Tariff!A:A,0)),Raeburn_Main_Tariff[[#This Row],[PRODUCER]])</f>
        <v>Domaine Ghislaine Barthod</v>
      </c>
      <c r="C898" s="1178" t="s">
        <v>20726</v>
      </c>
      <c r="D898" s="1178" t="s">
        <v>897</v>
      </c>
      <c r="E898" s="1179">
        <v>2022</v>
      </c>
      <c r="F898" s="1282" t="s">
        <v>20220</v>
      </c>
      <c r="G898" s="1368" t="s">
        <v>5258</v>
      </c>
      <c r="H898" s="1178" t="s">
        <v>20224</v>
      </c>
      <c r="I898" s="1178" t="s">
        <v>4353</v>
      </c>
      <c r="J898" s="1178" t="s">
        <v>662</v>
      </c>
      <c r="K898" s="1178" t="s">
        <v>267</v>
      </c>
      <c r="L898" s="1178" t="s">
        <v>211</v>
      </c>
      <c r="M898" s="1369" t="s">
        <v>23297</v>
      </c>
      <c r="N898" s="1178"/>
      <c r="O898" s="1178">
        <v>3</v>
      </c>
      <c r="P898" s="1178">
        <v>13.5</v>
      </c>
    </row>
    <row r="899" spans="1:16">
      <c r="A899" s="1178" t="s">
        <v>20723</v>
      </c>
      <c r="B899" s="1371" t="str">
        <f>HYPERLINK(IFERROR("#Main_Tariff!A"&amp;MATCH(Raeburn_Main_Tariff[[#This Row],[Product Code]],Main_Tariff!I:I,0),"#Main_Tariff!A"&amp;MATCH("*"&amp;RIGHT(A899,8)&amp;"*",Main_Tariff!A:A,0)),Raeburn_Main_Tariff[[#This Row],[PRODUCER]])</f>
        <v>Domaine Ghislaine Barthod</v>
      </c>
      <c r="C899" s="1178" t="s">
        <v>20690</v>
      </c>
      <c r="D899" s="1178" t="s">
        <v>897</v>
      </c>
      <c r="E899" s="1179">
        <v>2022</v>
      </c>
      <c r="F899" s="1282" t="s">
        <v>20220</v>
      </c>
      <c r="G899" s="1368" t="s">
        <v>5258</v>
      </c>
      <c r="H899" s="1178" t="s">
        <v>20221</v>
      </c>
      <c r="I899" s="1178" t="s">
        <v>4355</v>
      </c>
      <c r="J899" s="1178" t="s">
        <v>662</v>
      </c>
      <c r="K899" s="1178" t="s">
        <v>267</v>
      </c>
      <c r="L899" s="1178" t="s">
        <v>211</v>
      </c>
      <c r="M899" s="1369" t="s">
        <v>23297</v>
      </c>
      <c r="N899" s="1178"/>
      <c r="O899" s="1178">
        <v>3</v>
      </c>
      <c r="P899" s="1178">
        <v>13.5</v>
      </c>
    </row>
    <row r="900" spans="1:16">
      <c r="A900" s="1178" t="s">
        <v>20723</v>
      </c>
      <c r="B900" s="1371" t="str">
        <f>HYPERLINK(IFERROR("#Main_Tariff!A"&amp;MATCH(Raeburn_Main_Tariff[[#This Row],[Product Code]],Main_Tariff!I:I,0),"#Main_Tariff!A"&amp;MATCH("*"&amp;RIGHT(A900,8)&amp;"*",Main_Tariff!A:A,0)),Raeburn_Main_Tariff[[#This Row],[PRODUCER]])</f>
        <v>Domaine Ghislaine Barthod</v>
      </c>
      <c r="C900" s="1178" t="s">
        <v>20727</v>
      </c>
      <c r="D900" s="1178" t="s">
        <v>897</v>
      </c>
      <c r="E900" s="1179">
        <v>2022</v>
      </c>
      <c r="F900" s="1282" t="s">
        <v>20220</v>
      </c>
      <c r="G900" s="1368" t="s">
        <v>5258</v>
      </c>
      <c r="H900" s="1178" t="s">
        <v>20224</v>
      </c>
      <c r="I900" s="1178" t="s">
        <v>4357</v>
      </c>
      <c r="J900" s="1178" t="s">
        <v>662</v>
      </c>
      <c r="K900" s="1178" t="s">
        <v>267</v>
      </c>
      <c r="L900" s="1178" t="s">
        <v>211</v>
      </c>
      <c r="M900" s="1369" t="s">
        <v>23297</v>
      </c>
      <c r="N900" s="1178"/>
      <c r="O900" s="1178">
        <v>3</v>
      </c>
      <c r="P900" s="1178">
        <v>13.5</v>
      </c>
    </row>
    <row r="901" spans="1:16">
      <c r="A901" s="1178" t="s">
        <v>20723</v>
      </c>
      <c r="B901" s="1371" t="str">
        <f>HYPERLINK(IFERROR("#Main_Tariff!A"&amp;MATCH(Raeburn_Main_Tariff[[#This Row],[Product Code]],Main_Tariff!I:I,0),"#Main_Tariff!A"&amp;MATCH("*"&amp;RIGHT(A901,8)&amp;"*",Main_Tariff!A:A,0)),Raeburn_Main_Tariff[[#This Row],[PRODUCER]])</f>
        <v>Domaine Ghislaine Barthod</v>
      </c>
      <c r="C901" s="1178" t="s">
        <v>20728</v>
      </c>
      <c r="D901" s="1178" t="s">
        <v>897</v>
      </c>
      <c r="E901" s="1179"/>
      <c r="F901" s="1282" t="s">
        <v>20220</v>
      </c>
      <c r="G901" s="1368"/>
      <c r="H901" s="1178" t="s">
        <v>3907</v>
      </c>
      <c r="I901" s="1178" t="s">
        <v>4359</v>
      </c>
      <c r="J901" s="1178" t="s">
        <v>662</v>
      </c>
      <c r="K901" s="1178" t="s">
        <v>267</v>
      </c>
      <c r="L901" s="1178" t="s">
        <v>211</v>
      </c>
      <c r="M901" s="1369" t="s">
        <v>23297</v>
      </c>
      <c r="N901" s="1178"/>
      <c r="O901" s="1178">
        <v>6</v>
      </c>
      <c r="P901" s="1178">
        <v>13.5</v>
      </c>
    </row>
    <row r="902" spans="1:16">
      <c r="A902" s="1178" t="s">
        <v>20723</v>
      </c>
      <c r="B902" s="1371" t="str">
        <f>HYPERLINK(IFERROR("#Main_Tariff!A"&amp;MATCH(Raeburn_Main_Tariff[[#This Row],[Product Code]],Main_Tariff!I:I,0),"#Main_Tariff!A"&amp;MATCH("*"&amp;RIGHT(A902,8)&amp;"*",Main_Tariff!A:A,0)),Raeburn_Main_Tariff[[#This Row],[PRODUCER]])</f>
        <v>Domaine Ghislaine Barthod</v>
      </c>
      <c r="C902" s="1178" t="s">
        <v>20729</v>
      </c>
      <c r="D902" s="1178" t="s">
        <v>897</v>
      </c>
      <c r="E902" s="1179"/>
      <c r="F902" s="1282" t="s">
        <v>20220</v>
      </c>
      <c r="G902" s="1368"/>
      <c r="H902" s="1178" t="s">
        <v>3907</v>
      </c>
      <c r="I902" s="1178" t="s">
        <v>4360</v>
      </c>
      <c r="J902" s="1178" t="s">
        <v>662</v>
      </c>
      <c r="K902" s="1178" t="s">
        <v>267</v>
      </c>
      <c r="L902" s="1178" t="s">
        <v>211</v>
      </c>
      <c r="M902" s="1369" t="s">
        <v>23297</v>
      </c>
      <c r="N902" s="1178"/>
      <c r="O902" s="1178">
        <v>6</v>
      </c>
      <c r="P902" s="1178">
        <v>13.5</v>
      </c>
    </row>
    <row r="903" spans="1:16">
      <c r="A903" s="1178" t="s">
        <v>20723</v>
      </c>
      <c r="B903" s="1371" t="str">
        <f>HYPERLINK(IFERROR("#Main_Tariff!A"&amp;MATCH(Raeburn_Main_Tariff[[#This Row],[Product Code]],Main_Tariff!I:I,0),"#Main_Tariff!A"&amp;MATCH("*"&amp;RIGHT(A903,8)&amp;"*",Main_Tariff!A:A,0)),Raeburn_Main_Tariff[[#This Row],[PRODUCER]])</f>
        <v>Domaine Ghislaine Barthod</v>
      </c>
      <c r="C903" s="1178" t="s">
        <v>20730</v>
      </c>
      <c r="D903" s="1178" t="s">
        <v>897</v>
      </c>
      <c r="E903" s="1179"/>
      <c r="F903" s="1282" t="s">
        <v>20220</v>
      </c>
      <c r="G903" s="1368"/>
      <c r="H903" s="1178" t="s">
        <v>3907</v>
      </c>
      <c r="I903" s="1178" t="s">
        <v>4361</v>
      </c>
      <c r="J903" s="1178" t="s">
        <v>662</v>
      </c>
      <c r="K903" s="1178" t="s">
        <v>267</v>
      </c>
      <c r="L903" s="1178" t="s">
        <v>211</v>
      </c>
      <c r="M903" s="1369" t="s">
        <v>23297</v>
      </c>
      <c r="N903" s="1178"/>
      <c r="O903" s="1178">
        <v>6</v>
      </c>
      <c r="P903" s="1178">
        <v>13.5</v>
      </c>
    </row>
    <row r="904" spans="1:16">
      <c r="A904" s="1178" t="s">
        <v>20731</v>
      </c>
      <c r="B904" s="1371" t="str">
        <f>HYPERLINK(IFERROR("#Main_Tariff!A"&amp;MATCH(Raeburn_Main_Tariff[[#This Row],[Product Code]],Main_Tariff!I:I,0),"#Main_Tariff!A"&amp;MATCH("*"&amp;RIGHT(A904,8)&amp;"*",Main_Tariff!A:A,0)),Raeburn_Main_Tariff[[#This Row],[PRODUCER]])</f>
        <v>Domaine Louis Boillot</v>
      </c>
      <c r="C904" s="1178" t="s">
        <v>20732</v>
      </c>
      <c r="D904" s="1178" t="s">
        <v>897</v>
      </c>
      <c r="E904" s="1179">
        <v>2022</v>
      </c>
      <c r="F904" s="1282" t="s">
        <v>20220</v>
      </c>
      <c r="G904" s="1368" t="s">
        <v>5258</v>
      </c>
      <c r="H904" s="1178" t="s">
        <v>20221</v>
      </c>
      <c r="I904" s="1178" t="s">
        <v>4405</v>
      </c>
      <c r="J904" s="1178" t="s">
        <v>662</v>
      </c>
      <c r="K904" s="1178" t="s">
        <v>267</v>
      </c>
      <c r="L904" s="1178" t="s">
        <v>211</v>
      </c>
      <c r="M904" s="1369"/>
      <c r="N904" s="1178"/>
      <c r="O904" s="1178">
        <v>6</v>
      </c>
      <c r="P904" s="1178">
        <v>13</v>
      </c>
    </row>
    <row r="905" spans="1:16">
      <c r="A905" s="1178" t="s">
        <v>20731</v>
      </c>
      <c r="B905" s="1371" t="str">
        <f>HYPERLINK(IFERROR("#Main_Tariff!A"&amp;MATCH(Raeburn_Main_Tariff[[#This Row],[Product Code]],Main_Tariff!I:I,0),"#Main_Tariff!A"&amp;MATCH("*"&amp;RIGHT(A905,8)&amp;"*",Main_Tariff!A:A,0)),Raeburn_Main_Tariff[[#This Row],[PRODUCER]])</f>
        <v>Domaine Louis Boillot</v>
      </c>
      <c r="C905" s="1178" t="s">
        <v>20732</v>
      </c>
      <c r="D905" s="1178" t="s">
        <v>897</v>
      </c>
      <c r="E905" s="1179">
        <v>2021</v>
      </c>
      <c r="F905" s="1282" t="s">
        <v>20220</v>
      </c>
      <c r="G905" s="1368">
        <v>35.75</v>
      </c>
      <c r="H905" s="1178" t="s">
        <v>20221</v>
      </c>
      <c r="I905" s="1178" t="s">
        <v>4407</v>
      </c>
      <c r="J905" s="1178" t="s">
        <v>662</v>
      </c>
      <c r="K905" s="1178" t="s">
        <v>267</v>
      </c>
      <c r="L905" s="1178" t="s">
        <v>211</v>
      </c>
      <c r="M905" s="1369"/>
      <c r="N905" s="1178"/>
      <c r="O905" s="1178">
        <v>6</v>
      </c>
      <c r="P905" s="1178">
        <v>13</v>
      </c>
    </row>
    <row r="906" spans="1:16">
      <c r="A906" s="1178" t="s">
        <v>20731</v>
      </c>
      <c r="B906" s="1371" t="str">
        <f>HYPERLINK(IFERROR("#Main_Tariff!A"&amp;MATCH(Raeburn_Main_Tariff[[#This Row],[Product Code]],Main_Tariff!I:I,0),"#Main_Tariff!A"&amp;MATCH("*"&amp;RIGHT(A906,8)&amp;"*",Main_Tariff!A:A,0)),Raeburn_Main_Tariff[[#This Row],[PRODUCER]])</f>
        <v>Domaine Louis Boillot</v>
      </c>
      <c r="C906" s="1178" t="s">
        <v>20732</v>
      </c>
      <c r="D906" s="1178" t="s">
        <v>897</v>
      </c>
      <c r="E906" s="1179">
        <v>2020</v>
      </c>
      <c r="F906" s="1282" t="s">
        <v>20220</v>
      </c>
      <c r="G906" s="1368">
        <v>35.75</v>
      </c>
      <c r="H906" s="1178" t="s">
        <v>20221</v>
      </c>
      <c r="I906" s="1178" t="s">
        <v>4409</v>
      </c>
      <c r="J906" s="1178" t="s">
        <v>662</v>
      </c>
      <c r="K906" s="1178" t="s">
        <v>267</v>
      </c>
      <c r="L906" s="1178" t="s">
        <v>211</v>
      </c>
      <c r="M906" s="1369"/>
      <c r="N906" s="1178"/>
      <c r="O906" s="1178">
        <v>6</v>
      </c>
      <c r="P906" s="1178">
        <v>13</v>
      </c>
    </row>
    <row r="907" spans="1:16">
      <c r="A907" s="1178" t="s">
        <v>20731</v>
      </c>
      <c r="B907" s="1371" t="str">
        <f>HYPERLINK(IFERROR("#Main_Tariff!A"&amp;MATCH(Raeburn_Main_Tariff[[#This Row],[Product Code]],Main_Tariff!I:I,0),"#Main_Tariff!A"&amp;MATCH("*"&amp;RIGHT(A907,8)&amp;"*",Main_Tariff!A:A,0)),Raeburn_Main_Tariff[[#This Row],[PRODUCER]])</f>
        <v>Domaine Louis Boillot</v>
      </c>
      <c r="C907" s="1178" t="s">
        <v>20732</v>
      </c>
      <c r="D907" s="1178" t="s">
        <v>897</v>
      </c>
      <c r="E907" s="1179">
        <v>2019</v>
      </c>
      <c r="F907" s="1282" t="s">
        <v>20220</v>
      </c>
      <c r="G907" s="1368">
        <v>35.75</v>
      </c>
      <c r="H907" s="1178" t="s">
        <v>20221</v>
      </c>
      <c r="I907" s="1178" t="s">
        <v>4411</v>
      </c>
      <c r="J907" s="1178" t="s">
        <v>662</v>
      </c>
      <c r="K907" s="1178" t="s">
        <v>267</v>
      </c>
      <c r="L907" s="1178" t="s">
        <v>211</v>
      </c>
      <c r="M907" s="1369"/>
      <c r="N907" s="1178"/>
      <c r="O907" s="1178">
        <v>6</v>
      </c>
      <c r="P907" s="1178">
        <v>13</v>
      </c>
    </row>
    <row r="908" spans="1:16">
      <c r="A908" s="1178" t="s">
        <v>20731</v>
      </c>
      <c r="B908" s="1371" t="str">
        <f>HYPERLINK(IFERROR("#Main_Tariff!A"&amp;MATCH(Raeburn_Main_Tariff[[#This Row],[Product Code]],Main_Tariff!I:I,0),"#Main_Tariff!A"&amp;MATCH("*"&amp;RIGHT(A908,8)&amp;"*",Main_Tariff!A:A,0)),Raeburn_Main_Tariff[[#This Row],[PRODUCER]])</f>
        <v>Domaine Louis Boillot</v>
      </c>
      <c r="C908" s="1178" t="s">
        <v>20732</v>
      </c>
      <c r="D908" s="1178" t="s">
        <v>897</v>
      </c>
      <c r="E908" s="1179">
        <v>2018</v>
      </c>
      <c r="F908" s="1282" t="s">
        <v>20220</v>
      </c>
      <c r="G908" s="1368">
        <v>29.5</v>
      </c>
      <c r="H908" s="1178" t="s">
        <v>20221</v>
      </c>
      <c r="I908" s="1178" t="s">
        <v>4412</v>
      </c>
      <c r="J908" s="1178" t="s">
        <v>662</v>
      </c>
      <c r="K908" s="1178" t="s">
        <v>267</v>
      </c>
      <c r="L908" s="1178" t="s">
        <v>211</v>
      </c>
      <c r="M908" s="1369"/>
      <c r="N908" s="1178"/>
      <c r="O908" s="1178">
        <v>6</v>
      </c>
      <c r="P908" s="1178">
        <v>13</v>
      </c>
    </row>
    <row r="909" spans="1:16">
      <c r="A909" s="1178" t="s">
        <v>20731</v>
      </c>
      <c r="B909" s="1371" t="str">
        <f>HYPERLINK(IFERROR("#Main_Tariff!A"&amp;MATCH(Raeburn_Main_Tariff[[#This Row],[Product Code]],Main_Tariff!I:I,0),"#Main_Tariff!A"&amp;MATCH("*"&amp;RIGHT(A909,8)&amp;"*",Main_Tariff!A:A,0)),Raeburn_Main_Tariff[[#This Row],[PRODUCER]])</f>
        <v>Domaine Louis Boillot</v>
      </c>
      <c r="C909" s="1178" t="s">
        <v>20732</v>
      </c>
      <c r="D909" s="1178" t="s">
        <v>897</v>
      </c>
      <c r="E909" s="1179">
        <v>2017</v>
      </c>
      <c r="F909" s="1282" t="s">
        <v>20220</v>
      </c>
      <c r="G909" s="1368">
        <v>29.5</v>
      </c>
      <c r="H909" s="1178" t="s">
        <v>20221</v>
      </c>
      <c r="I909" s="1178" t="s">
        <v>4414</v>
      </c>
      <c r="J909" s="1178" t="s">
        <v>662</v>
      </c>
      <c r="K909" s="1178" t="s">
        <v>267</v>
      </c>
      <c r="L909" s="1178" t="s">
        <v>211</v>
      </c>
      <c r="M909" s="1369"/>
      <c r="N909" s="1178"/>
      <c r="O909" s="1178">
        <v>6</v>
      </c>
      <c r="P909" s="1178">
        <v>13</v>
      </c>
    </row>
    <row r="910" spans="1:16">
      <c r="A910" s="1178" t="s">
        <v>20731</v>
      </c>
      <c r="B910" s="1371" t="str">
        <f>HYPERLINK(IFERROR("#Main_Tariff!A"&amp;MATCH(Raeburn_Main_Tariff[[#This Row],[Product Code]],Main_Tariff!I:I,0),"#Main_Tariff!A"&amp;MATCH("*"&amp;RIGHT(A910,8)&amp;"*",Main_Tariff!A:A,0)),Raeburn_Main_Tariff[[#This Row],[PRODUCER]])</f>
        <v>Domaine Louis Boillot</v>
      </c>
      <c r="C910" s="1178" t="s">
        <v>20732</v>
      </c>
      <c r="D910" s="1178" t="s">
        <v>897</v>
      </c>
      <c r="E910" s="1179">
        <v>2016</v>
      </c>
      <c r="F910" s="1282" t="s">
        <v>20220</v>
      </c>
      <c r="G910" s="1368">
        <v>29.5</v>
      </c>
      <c r="H910" s="1178" t="s">
        <v>20224</v>
      </c>
      <c r="I910" s="1178" t="s">
        <v>4416</v>
      </c>
      <c r="J910" s="1178" t="s">
        <v>662</v>
      </c>
      <c r="K910" s="1178" t="s">
        <v>267</v>
      </c>
      <c r="L910" s="1178" t="s">
        <v>211</v>
      </c>
      <c r="M910" s="1369"/>
      <c r="N910" s="1178"/>
      <c r="O910" s="1178">
        <v>6</v>
      </c>
      <c r="P910" s="1178">
        <v>13</v>
      </c>
    </row>
    <row r="911" spans="1:16">
      <c r="A911" s="1178" t="s">
        <v>20731</v>
      </c>
      <c r="B911" s="1371" t="str">
        <f>HYPERLINK(IFERROR("#Main_Tariff!A"&amp;MATCH(Raeburn_Main_Tariff[[#This Row],[Product Code]],Main_Tariff!I:I,0),"#Main_Tariff!A"&amp;MATCH("*"&amp;RIGHT(A911,8)&amp;"*",Main_Tariff!A:A,0)),Raeburn_Main_Tariff[[#This Row],[PRODUCER]])</f>
        <v>Domaine Louis Boillot</v>
      </c>
      <c r="C911" s="1178" t="s">
        <v>20732</v>
      </c>
      <c r="D911" s="1178" t="s">
        <v>897</v>
      </c>
      <c r="E911" s="1179">
        <v>2013</v>
      </c>
      <c r="F911" s="1282" t="s">
        <v>20220</v>
      </c>
      <c r="G911" s="1368">
        <v>29.5</v>
      </c>
      <c r="H911" s="1178" t="s">
        <v>20221</v>
      </c>
      <c r="I911" s="1178" t="s">
        <v>4418</v>
      </c>
      <c r="J911" s="1178" t="s">
        <v>662</v>
      </c>
      <c r="K911" s="1178" t="s">
        <v>267</v>
      </c>
      <c r="L911" s="1178" t="s">
        <v>211</v>
      </c>
      <c r="M911" s="1369"/>
      <c r="N911" s="1178"/>
      <c r="O911" s="1178">
        <v>6</v>
      </c>
      <c r="P911" s="1178">
        <v>13</v>
      </c>
    </row>
    <row r="912" spans="1:16">
      <c r="A912" s="1178" t="s">
        <v>20731</v>
      </c>
      <c r="B912" s="1371" t="str">
        <f>HYPERLINK(IFERROR("#Main_Tariff!A"&amp;MATCH(Raeburn_Main_Tariff[[#This Row],[Product Code]],Main_Tariff!I:I,0),"#Main_Tariff!A"&amp;MATCH("*"&amp;RIGHT(A912,8)&amp;"*",Main_Tariff!A:A,0)),Raeburn_Main_Tariff[[#This Row],[PRODUCER]])</f>
        <v>Domaine Louis Boillot</v>
      </c>
      <c r="C912" s="1178" t="s">
        <v>20732</v>
      </c>
      <c r="D912" s="1178" t="s">
        <v>897</v>
      </c>
      <c r="E912" s="1179">
        <v>2011</v>
      </c>
      <c r="F912" s="1282" t="s">
        <v>20220</v>
      </c>
      <c r="G912" s="1368">
        <v>27.5</v>
      </c>
      <c r="H912" s="1178" t="s">
        <v>20221</v>
      </c>
      <c r="I912" s="1178" t="s">
        <v>4420</v>
      </c>
      <c r="J912" s="1178" t="s">
        <v>662</v>
      </c>
      <c r="K912" s="1178" t="s">
        <v>267</v>
      </c>
      <c r="L912" s="1178" t="s">
        <v>211</v>
      </c>
      <c r="M912" s="1369"/>
      <c r="N912" s="1178"/>
      <c r="O912" s="1178">
        <v>6</v>
      </c>
      <c r="P912" s="1178">
        <v>13</v>
      </c>
    </row>
    <row r="913" spans="1:16">
      <c r="A913" s="1178" t="s">
        <v>20731</v>
      </c>
      <c r="B913" s="1371" t="str">
        <f>HYPERLINK(IFERROR("#Main_Tariff!A"&amp;MATCH(Raeburn_Main_Tariff[[#This Row],[Product Code]],Main_Tariff!I:I,0),"#Main_Tariff!A"&amp;MATCH("*"&amp;RIGHT(A913,8)&amp;"*",Main_Tariff!A:A,0)),Raeburn_Main_Tariff[[#This Row],[PRODUCER]])</f>
        <v>Domaine Louis Boillot</v>
      </c>
      <c r="C913" s="1178" t="s">
        <v>20732</v>
      </c>
      <c r="D913" s="1178" t="s">
        <v>897</v>
      </c>
      <c r="E913" s="1179">
        <v>2010</v>
      </c>
      <c r="F913" s="1282" t="s">
        <v>20220</v>
      </c>
      <c r="G913" s="1368">
        <v>29.5</v>
      </c>
      <c r="H913" s="1178" t="s">
        <v>20277</v>
      </c>
      <c r="I913" s="1178" t="s">
        <v>4422</v>
      </c>
      <c r="J913" s="1178" t="s">
        <v>662</v>
      </c>
      <c r="K913" s="1178" t="s">
        <v>267</v>
      </c>
      <c r="L913" s="1178" t="s">
        <v>211</v>
      </c>
      <c r="M913" s="1369"/>
      <c r="N913" s="1178"/>
      <c r="O913" s="1178">
        <v>6</v>
      </c>
      <c r="P913" s="1178">
        <v>13</v>
      </c>
    </row>
    <row r="914" spans="1:16">
      <c r="A914" s="1178" t="s">
        <v>20731</v>
      </c>
      <c r="B914" s="1371" t="str">
        <f>HYPERLINK(IFERROR("#Main_Tariff!A"&amp;MATCH(Raeburn_Main_Tariff[[#This Row],[Product Code]],Main_Tariff!I:I,0),"#Main_Tariff!A"&amp;MATCH("*"&amp;RIGHT(A914,8)&amp;"*",Main_Tariff!A:A,0)),Raeburn_Main_Tariff[[#This Row],[PRODUCER]])</f>
        <v>Domaine Louis Boillot</v>
      </c>
      <c r="C914" s="1178" t="s">
        <v>20733</v>
      </c>
      <c r="D914" s="1178" t="s">
        <v>897</v>
      </c>
      <c r="E914" s="1179">
        <v>2022</v>
      </c>
      <c r="F914" s="1282" t="s">
        <v>20220</v>
      </c>
      <c r="G914" s="1368" t="s">
        <v>5258</v>
      </c>
      <c r="H914" s="1178" t="s">
        <v>20221</v>
      </c>
      <c r="I914" s="1178" t="s">
        <v>4423</v>
      </c>
      <c r="J914" s="1178" t="s">
        <v>662</v>
      </c>
      <c r="K914" s="1178" t="s">
        <v>267</v>
      </c>
      <c r="L914" s="1178" t="s">
        <v>211</v>
      </c>
      <c r="M914" s="1369"/>
      <c r="N914" s="1178"/>
      <c r="O914" s="1178">
        <v>6</v>
      </c>
      <c r="P914" s="1178">
        <v>13</v>
      </c>
    </row>
    <row r="915" spans="1:16">
      <c r="A915" s="1178" t="s">
        <v>20731</v>
      </c>
      <c r="B915" s="1371" t="str">
        <f>HYPERLINK(IFERROR("#Main_Tariff!A"&amp;MATCH(Raeburn_Main_Tariff[[#This Row],[Product Code]],Main_Tariff!I:I,0),"#Main_Tariff!A"&amp;MATCH("*"&amp;RIGHT(A915,8)&amp;"*",Main_Tariff!A:A,0)),Raeburn_Main_Tariff[[#This Row],[PRODUCER]])</f>
        <v>Domaine Louis Boillot</v>
      </c>
      <c r="C915" s="1178" t="s">
        <v>20733</v>
      </c>
      <c r="D915" s="1178" t="s">
        <v>897</v>
      </c>
      <c r="E915" s="1179">
        <v>2020</v>
      </c>
      <c r="F915" s="1282" t="s">
        <v>20220</v>
      </c>
      <c r="G915" s="1368">
        <v>42.75</v>
      </c>
      <c r="H915" s="1178" t="s">
        <v>20221</v>
      </c>
      <c r="I915" s="1178" t="s">
        <v>4424</v>
      </c>
      <c r="J915" s="1178" t="s">
        <v>662</v>
      </c>
      <c r="K915" s="1178" t="s">
        <v>267</v>
      </c>
      <c r="L915" s="1178" t="s">
        <v>211</v>
      </c>
      <c r="M915" s="1369"/>
      <c r="N915" s="1178"/>
      <c r="O915" s="1178">
        <v>6</v>
      </c>
      <c r="P915" s="1178">
        <v>13</v>
      </c>
    </row>
    <row r="916" spans="1:16">
      <c r="A916" s="1178" t="s">
        <v>20731</v>
      </c>
      <c r="B916" s="1371" t="str">
        <f>HYPERLINK(IFERROR("#Main_Tariff!A"&amp;MATCH(Raeburn_Main_Tariff[[#This Row],[Product Code]],Main_Tariff!I:I,0),"#Main_Tariff!A"&amp;MATCH("*"&amp;RIGHT(A916,8)&amp;"*",Main_Tariff!A:A,0)),Raeburn_Main_Tariff[[#This Row],[PRODUCER]])</f>
        <v>Domaine Louis Boillot</v>
      </c>
      <c r="C916" s="1178" t="s">
        <v>20733</v>
      </c>
      <c r="D916" s="1178" t="s">
        <v>897</v>
      </c>
      <c r="E916" s="1179">
        <v>2019</v>
      </c>
      <c r="F916" s="1282" t="s">
        <v>20220</v>
      </c>
      <c r="G916" s="1368">
        <v>42.75</v>
      </c>
      <c r="H916" s="1178" t="s">
        <v>20221</v>
      </c>
      <c r="I916" s="1178" t="s">
        <v>4426</v>
      </c>
      <c r="J916" s="1178" t="s">
        <v>662</v>
      </c>
      <c r="K916" s="1178" t="s">
        <v>267</v>
      </c>
      <c r="L916" s="1178" t="s">
        <v>211</v>
      </c>
      <c r="M916" s="1369"/>
      <c r="N916" s="1178"/>
      <c r="O916" s="1178">
        <v>6</v>
      </c>
      <c r="P916" s="1178">
        <v>13</v>
      </c>
    </row>
    <row r="917" spans="1:16">
      <c r="A917" s="1178" t="s">
        <v>20731</v>
      </c>
      <c r="B917" s="1371" t="str">
        <f>HYPERLINK(IFERROR("#Main_Tariff!A"&amp;MATCH(Raeburn_Main_Tariff[[#This Row],[Product Code]],Main_Tariff!I:I,0),"#Main_Tariff!A"&amp;MATCH("*"&amp;RIGHT(A917,8)&amp;"*",Main_Tariff!A:A,0)),Raeburn_Main_Tariff[[#This Row],[PRODUCER]])</f>
        <v>Domaine Louis Boillot</v>
      </c>
      <c r="C917" s="1178" t="s">
        <v>20733</v>
      </c>
      <c r="D917" s="1178" t="s">
        <v>897</v>
      </c>
      <c r="E917" s="1179">
        <v>2018</v>
      </c>
      <c r="F917" s="1282" t="s">
        <v>20220</v>
      </c>
      <c r="G917" s="1368">
        <v>36.5</v>
      </c>
      <c r="H917" s="1178" t="s">
        <v>20221</v>
      </c>
      <c r="I917" s="1178" t="s">
        <v>4428</v>
      </c>
      <c r="J917" s="1178" t="s">
        <v>662</v>
      </c>
      <c r="K917" s="1178" t="s">
        <v>267</v>
      </c>
      <c r="L917" s="1178" t="s">
        <v>211</v>
      </c>
      <c r="M917" s="1369"/>
      <c r="N917" s="1178"/>
      <c r="O917" s="1178">
        <v>6</v>
      </c>
      <c r="P917" s="1178">
        <v>13</v>
      </c>
    </row>
    <row r="918" spans="1:16">
      <c r="A918" s="1178" t="s">
        <v>20731</v>
      </c>
      <c r="B918" s="1371" t="str">
        <f>HYPERLINK(IFERROR("#Main_Tariff!A"&amp;MATCH(Raeburn_Main_Tariff[[#This Row],[Product Code]],Main_Tariff!I:I,0),"#Main_Tariff!A"&amp;MATCH("*"&amp;RIGHT(A918,8)&amp;"*",Main_Tariff!A:A,0)),Raeburn_Main_Tariff[[#This Row],[PRODUCER]])</f>
        <v>Domaine Louis Boillot</v>
      </c>
      <c r="C918" s="1178" t="s">
        <v>20733</v>
      </c>
      <c r="D918" s="1178" t="s">
        <v>897</v>
      </c>
      <c r="E918" s="1179">
        <v>2017</v>
      </c>
      <c r="F918" s="1282" t="s">
        <v>20220</v>
      </c>
      <c r="G918" s="1368">
        <v>36.5</v>
      </c>
      <c r="H918" s="1178" t="s">
        <v>20221</v>
      </c>
      <c r="I918" s="1178" t="s">
        <v>4429</v>
      </c>
      <c r="J918" s="1178" t="s">
        <v>662</v>
      </c>
      <c r="K918" s="1178" t="s">
        <v>267</v>
      </c>
      <c r="L918" s="1178" t="s">
        <v>211</v>
      </c>
      <c r="M918" s="1369"/>
      <c r="N918" s="1178"/>
      <c r="O918" s="1178">
        <v>6</v>
      </c>
      <c r="P918" s="1178">
        <v>13</v>
      </c>
    </row>
    <row r="919" spans="1:16">
      <c r="A919" s="1178" t="s">
        <v>20731</v>
      </c>
      <c r="B919" s="1371" t="str">
        <f>HYPERLINK(IFERROR("#Main_Tariff!A"&amp;MATCH(Raeburn_Main_Tariff[[#This Row],[Product Code]],Main_Tariff!I:I,0),"#Main_Tariff!A"&amp;MATCH("*"&amp;RIGHT(A919,8)&amp;"*",Main_Tariff!A:A,0)),Raeburn_Main_Tariff[[#This Row],[PRODUCER]])</f>
        <v>Domaine Louis Boillot</v>
      </c>
      <c r="C919" s="1178" t="s">
        <v>20733</v>
      </c>
      <c r="D919" s="1178" t="s">
        <v>897</v>
      </c>
      <c r="E919" s="1179">
        <v>2016</v>
      </c>
      <c r="F919" s="1282" t="s">
        <v>20220</v>
      </c>
      <c r="G919" s="1368">
        <v>36.5</v>
      </c>
      <c r="H919" s="1178" t="s">
        <v>20221</v>
      </c>
      <c r="I919" s="1178" t="s">
        <v>4431</v>
      </c>
      <c r="J919" s="1178" t="s">
        <v>662</v>
      </c>
      <c r="K919" s="1178" t="s">
        <v>267</v>
      </c>
      <c r="L919" s="1178" t="s">
        <v>211</v>
      </c>
      <c r="M919" s="1369"/>
      <c r="N919" s="1178"/>
      <c r="O919" s="1178">
        <v>6</v>
      </c>
      <c r="P919" s="1178">
        <v>13</v>
      </c>
    </row>
    <row r="920" spans="1:16">
      <c r="A920" s="1178" t="s">
        <v>20731</v>
      </c>
      <c r="B920" s="1371" t="str">
        <f>HYPERLINK(IFERROR("#Main_Tariff!A"&amp;MATCH(Raeburn_Main_Tariff[[#This Row],[Product Code]],Main_Tariff!I:I,0),"#Main_Tariff!A"&amp;MATCH("*"&amp;RIGHT(A920,8)&amp;"*",Main_Tariff!A:A,0)),Raeburn_Main_Tariff[[#This Row],[PRODUCER]])</f>
        <v>Domaine Louis Boillot</v>
      </c>
      <c r="C920" s="1178" t="s">
        <v>20733</v>
      </c>
      <c r="D920" s="1178" t="s">
        <v>897</v>
      </c>
      <c r="E920" s="1179">
        <v>2015</v>
      </c>
      <c r="F920" s="1282" t="s">
        <v>20220</v>
      </c>
      <c r="G920" s="1368">
        <v>36.5</v>
      </c>
      <c r="H920" s="1178" t="s">
        <v>20221</v>
      </c>
      <c r="I920" s="1178" t="s">
        <v>4433</v>
      </c>
      <c r="J920" s="1178" t="s">
        <v>662</v>
      </c>
      <c r="K920" s="1178" t="s">
        <v>267</v>
      </c>
      <c r="L920" s="1178" t="s">
        <v>211</v>
      </c>
      <c r="M920" s="1369"/>
      <c r="N920" s="1178"/>
      <c r="O920" s="1178">
        <v>6</v>
      </c>
      <c r="P920" s="1178">
        <v>13</v>
      </c>
    </row>
    <row r="921" spans="1:16">
      <c r="A921" s="1178" t="s">
        <v>20731</v>
      </c>
      <c r="B921" s="1371" t="str">
        <f>HYPERLINK(IFERROR("#Main_Tariff!A"&amp;MATCH(Raeburn_Main_Tariff[[#This Row],[Product Code]],Main_Tariff!I:I,0),"#Main_Tariff!A"&amp;MATCH("*"&amp;RIGHT(A921,8)&amp;"*",Main_Tariff!A:A,0)),Raeburn_Main_Tariff[[#This Row],[PRODUCER]])</f>
        <v>Domaine Louis Boillot</v>
      </c>
      <c r="C921" s="1178" t="s">
        <v>20733</v>
      </c>
      <c r="D921" s="1178" t="s">
        <v>897</v>
      </c>
      <c r="E921" s="1179">
        <v>2014</v>
      </c>
      <c r="F921" s="1282" t="s">
        <v>20220</v>
      </c>
      <c r="G921" s="1368">
        <v>36.5</v>
      </c>
      <c r="H921" s="1178" t="s">
        <v>20221</v>
      </c>
      <c r="I921" s="1178" t="s">
        <v>4435</v>
      </c>
      <c r="J921" s="1178" t="s">
        <v>662</v>
      </c>
      <c r="K921" s="1178" t="s">
        <v>267</v>
      </c>
      <c r="L921" s="1178" t="s">
        <v>211</v>
      </c>
      <c r="M921" s="1369"/>
      <c r="N921" s="1178"/>
      <c r="O921" s="1178">
        <v>6</v>
      </c>
      <c r="P921" s="1178">
        <v>13</v>
      </c>
    </row>
    <row r="922" spans="1:16">
      <c r="A922" s="1178" t="s">
        <v>20731</v>
      </c>
      <c r="B922" s="1371" t="str">
        <f>HYPERLINK(IFERROR("#Main_Tariff!A"&amp;MATCH(Raeburn_Main_Tariff[[#This Row],[Product Code]],Main_Tariff!I:I,0),"#Main_Tariff!A"&amp;MATCH("*"&amp;RIGHT(A922,8)&amp;"*",Main_Tariff!A:A,0)),Raeburn_Main_Tariff[[#This Row],[PRODUCER]])</f>
        <v>Domaine Louis Boillot</v>
      </c>
      <c r="C922" s="1178" t="s">
        <v>20733</v>
      </c>
      <c r="D922" s="1178" t="s">
        <v>897</v>
      </c>
      <c r="E922" s="1179">
        <v>2013</v>
      </c>
      <c r="F922" s="1282" t="s">
        <v>20220</v>
      </c>
      <c r="G922" s="1368">
        <v>36.5</v>
      </c>
      <c r="H922" s="1178" t="s">
        <v>20221</v>
      </c>
      <c r="I922" s="1178" t="s">
        <v>4437</v>
      </c>
      <c r="J922" s="1178" t="s">
        <v>662</v>
      </c>
      <c r="K922" s="1178" t="s">
        <v>267</v>
      </c>
      <c r="L922" s="1178" t="s">
        <v>211</v>
      </c>
      <c r="M922" s="1369"/>
      <c r="N922" s="1178"/>
      <c r="O922" s="1178">
        <v>6</v>
      </c>
      <c r="P922" s="1178">
        <v>13</v>
      </c>
    </row>
    <row r="923" spans="1:16">
      <c r="A923" s="1178" t="s">
        <v>20731</v>
      </c>
      <c r="B923" s="1371" t="str">
        <f>HYPERLINK(IFERROR("#Main_Tariff!A"&amp;MATCH(Raeburn_Main_Tariff[[#This Row],[Product Code]],Main_Tariff!I:I,0),"#Main_Tariff!A"&amp;MATCH("*"&amp;RIGHT(A923,8)&amp;"*",Main_Tariff!A:A,0)),Raeburn_Main_Tariff[[#This Row],[PRODUCER]])</f>
        <v>Domaine Louis Boillot</v>
      </c>
      <c r="C923" s="1178" t="s">
        <v>20733</v>
      </c>
      <c r="D923" s="1178" t="s">
        <v>897</v>
      </c>
      <c r="E923" s="1179">
        <v>2012</v>
      </c>
      <c r="F923" s="1282" t="s">
        <v>20220</v>
      </c>
      <c r="G923" s="1368">
        <v>36.5</v>
      </c>
      <c r="H923" s="1178" t="s">
        <v>20224</v>
      </c>
      <c r="I923" s="1178" t="s">
        <v>4439</v>
      </c>
      <c r="J923" s="1178" t="s">
        <v>662</v>
      </c>
      <c r="K923" s="1178" t="s">
        <v>267</v>
      </c>
      <c r="L923" s="1178" t="s">
        <v>211</v>
      </c>
      <c r="M923" s="1369"/>
      <c r="N923" s="1178"/>
      <c r="O923" s="1178">
        <v>6</v>
      </c>
      <c r="P923" s="1178">
        <v>13</v>
      </c>
    </row>
    <row r="924" spans="1:16">
      <c r="A924" s="1178" t="s">
        <v>20731</v>
      </c>
      <c r="B924" s="1371" t="str">
        <f>HYPERLINK(IFERROR("#Main_Tariff!A"&amp;MATCH(Raeburn_Main_Tariff[[#This Row],[Product Code]],Main_Tariff!I:I,0),"#Main_Tariff!A"&amp;MATCH("*"&amp;RIGHT(A924,8)&amp;"*",Main_Tariff!A:A,0)),Raeburn_Main_Tariff[[#This Row],[PRODUCER]])</f>
        <v>Domaine Louis Boillot</v>
      </c>
      <c r="C924" s="1178" t="s">
        <v>20733</v>
      </c>
      <c r="D924" s="1178" t="s">
        <v>897</v>
      </c>
      <c r="E924" s="1179">
        <v>2011</v>
      </c>
      <c r="F924" s="1282" t="s">
        <v>20220</v>
      </c>
      <c r="G924" s="1368">
        <v>33.5</v>
      </c>
      <c r="H924" s="1178" t="s">
        <v>20221</v>
      </c>
      <c r="I924" s="1178" t="s">
        <v>4441</v>
      </c>
      <c r="J924" s="1178" t="s">
        <v>662</v>
      </c>
      <c r="K924" s="1178" t="s">
        <v>267</v>
      </c>
      <c r="L924" s="1178" t="s">
        <v>211</v>
      </c>
      <c r="M924" s="1369"/>
      <c r="N924" s="1178"/>
      <c r="O924" s="1178">
        <v>6</v>
      </c>
      <c r="P924" s="1178">
        <v>13</v>
      </c>
    </row>
    <row r="925" spans="1:16">
      <c r="A925" s="1178" t="s">
        <v>20731</v>
      </c>
      <c r="B925" s="1371" t="str">
        <f>HYPERLINK(IFERROR("#Main_Tariff!A"&amp;MATCH(Raeburn_Main_Tariff[[#This Row],[Product Code]],Main_Tariff!I:I,0),"#Main_Tariff!A"&amp;MATCH("*"&amp;RIGHT(A925,8)&amp;"*",Main_Tariff!A:A,0)),Raeburn_Main_Tariff[[#This Row],[PRODUCER]])</f>
        <v>Domaine Louis Boillot</v>
      </c>
      <c r="C925" s="1178" t="s">
        <v>20734</v>
      </c>
      <c r="D925" s="1178" t="s">
        <v>897</v>
      </c>
      <c r="E925" s="1179">
        <v>2017</v>
      </c>
      <c r="F925" s="1282" t="s">
        <v>20220</v>
      </c>
      <c r="G925" s="1368">
        <v>49</v>
      </c>
      <c r="H925" s="1178" t="s">
        <v>20221</v>
      </c>
      <c r="I925" s="1178" t="s">
        <v>4445</v>
      </c>
      <c r="J925" s="1178" t="s">
        <v>662</v>
      </c>
      <c r="K925" s="1178" t="s">
        <v>267</v>
      </c>
      <c r="L925" s="1178" t="s">
        <v>211</v>
      </c>
      <c r="M925" s="1369" t="s">
        <v>23297</v>
      </c>
      <c r="N925" s="1178"/>
      <c r="O925" s="1178">
        <v>6</v>
      </c>
      <c r="P925" s="1178">
        <v>13</v>
      </c>
    </row>
    <row r="926" spans="1:16">
      <c r="A926" s="1178" t="s">
        <v>20731</v>
      </c>
      <c r="B926" s="1371" t="str">
        <f>HYPERLINK(IFERROR("#Main_Tariff!A"&amp;MATCH(Raeburn_Main_Tariff[[#This Row],[Product Code]],Main_Tariff!I:I,0),"#Main_Tariff!A"&amp;MATCH("*"&amp;RIGHT(A926,8)&amp;"*",Main_Tariff!A:A,0)),Raeburn_Main_Tariff[[#This Row],[PRODUCER]])</f>
        <v>Domaine Louis Boillot</v>
      </c>
      <c r="C926" s="1178" t="s">
        <v>20734</v>
      </c>
      <c r="D926" s="1178" t="s">
        <v>897</v>
      </c>
      <c r="E926" s="1179">
        <v>2014</v>
      </c>
      <c r="F926" s="1282" t="s">
        <v>20220</v>
      </c>
      <c r="G926" s="1368">
        <v>49</v>
      </c>
      <c r="H926" s="1178" t="s">
        <v>20224</v>
      </c>
      <c r="I926" s="1178" t="s">
        <v>4447</v>
      </c>
      <c r="J926" s="1178" t="s">
        <v>662</v>
      </c>
      <c r="K926" s="1178" t="s">
        <v>267</v>
      </c>
      <c r="L926" s="1178" t="s">
        <v>211</v>
      </c>
      <c r="M926" s="1369" t="s">
        <v>23297</v>
      </c>
      <c r="N926" s="1178"/>
      <c r="O926" s="1178">
        <v>6</v>
      </c>
      <c r="P926" s="1178">
        <v>13</v>
      </c>
    </row>
    <row r="927" spans="1:16">
      <c r="A927" s="1178" t="s">
        <v>20731</v>
      </c>
      <c r="B927" s="1371" t="str">
        <f>HYPERLINK(IFERROR("#Main_Tariff!A"&amp;MATCH(Raeburn_Main_Tariff[[#This Row],[Product Code]],Main_Tariff!I:I,0),"#Main_Tariff!A"&amp;MATCH("*"&amp;RIGHT(A927,8)&amp;"*",Main_Tariff!A:A,0)),Raeburn_Main_Tariff[[#This Row],[PRODUCER]])</f>
        <v>Domaine Louis Boillot</v>
      </c>
      <c r="C927" s="1178" t="s">
        <v>20734</v>
      </c>
      <c r="D927" s="1178" t="s">
        <v>897</v>
      </c>
      <c r="E927" s="1179">
        <v>2007</v>
      </c>
      <c r="F927" s="1282" t="s">
        <v>20220</v>
      </c>
      <c r="G927" s="1368">
        <v>44.5</v>
      </c>
      <c r="H927" s="1178" t="s">
        <v>20221</v>
      </c>
      <c r="I927" s="1178" t="s">
        <v>4449</v>
      </c>
      <c r="J927" s="1178" t="s">
        <v>662</v>
      </c>
      <c r="K927" s="1178" t="s">
        <v>267</v>
      </c>
      <c r="L927" s="1178" t="s">
        <v>211</v>
      </c>
      <c r="M927" s="1369" t="s">
        <v>23297</v>
      </c>
      <c r="N927" s="1178"/>
      <c r="O927" s="1178">
        <v>6</v>
      </c>
      <c r="P927" s="1178">
        <v>13</v>
      </c>
    </row>
    <row r="928" spans="1:16">
      <c r="A928" s="1178" t="s">
        <v>20731</v>
      </c>
      <c r="B928" s="1371" t="str">
        <f>HYPERLINK(IFERROR("#Main_Tariff!A"&amp;MATCH(Raeburn_Main_Tariff[[#This Row],[Product Code]],Main_Tariff!I:I,0),"#Main_Tariff!A"&amp;MATCH("*"&amp;RIGHT(A928,8)&amp;"*",Main_Tariff!A:A,0)),Raeburn_Main_Tariff[[#This Row],[PRODUCER]])</f>
        <v>Domaine Louis Boillot</v>
      </c>
      <c r="C928" s="1178" t="s">
        <v>20735</v>
      </c>
      <c r="D928" s="1178" t="s">
        <v>897</v>
      </c>
      <c r="E928" s="1179">
        <v>2017</v>
      </c>
      <c r="F928" s="1282" t="s">
        <v>20220</v>
      </c>
      <c r="G928" s="1368">
        <v>49</v>
      </c>
      <c r="H928" s="1178" t="s">
        <v>20221</v>
      </c>
      <c r="I928" s="1178" t="s">
        <v>4451</v>
      </c>
      <c r="J928" s="1178" t="s">
        <v>662</v>
      </c>
      <c r="K928" s="1178" t="s">
        <v>267</v>
      </c>
      <c r="L928" s="1178" t="s">
        <v>211</v>
      </c>
      <c r="M928" s="1369" t="s">
        <v>23297</v>
      </c>
      <c r="N928" s="1178"/>
      <c r="O928" s="1178">
        <v>6</v>
      </c>
      <c r="P928" s="1178">
        <v>13</v>
      </c>
    </row>
    <row r="929" spans="1:16">
      <c r="A929" s="1178" t="s">
        <v>20731</v>
      </c>
      <c r="B929" s="1371" t="str">
        <f>HYPERLINK(IFERROR("#Main_Tariff!A"&amp;MATCH(Raeburn_Main_Tariff[[#This Row],[Product Code]],Main_Tariff!I:I,0),"#Main_Tariff!A"&amp;MATCH("*"&amp;RIGHT(A929,8)&amp;"*",Main_Tariff!A:A,0)),Raeburn_Main_Tariff[[#This Row],[PRODUCER]])</f>
        <v>Domaine Louis Boillot</v>
      </c>
      <c r="C929" s="1178" t="s">
        <v>20735</v>
      </c>
      <c r="D929" s="1178" t="s">
        <v>897</v>
      </c>
      <c r="E929" s="1179">
        <v>2013</v>
      </c>
      <c r="F929" s="1282" t="s">
        <v>20220</v>
      </c>
      <c r="G929" s="1368">
        <v>46.5</v>
      </c>
      <c r="H929" s="1178" t="s">
        <v>20221</v>
      </c>
      <c r="I929" s="1178" t="s">
        <v>4453</v>
      </c>
      <c r="J929" s="1178" t="s">
        <v>662</v>
      </c>
      <c r="K929" s="1178" t="s">
        <v>267</v>
      </c>
      <c r="L929" s="1178" t="s">
        <v>211</v>
      </c>
      <c r="M929" s="1369" t="s">
        <v>23297</v>
      </c>
      <c r="N929" s="1178"/>
      <c r="O929" s="1178">
        <v>6</v>
      </c>
      <c r="P929" s="1178">
        <v>13</v>
      </c>
    </row>
    <row r="930" spans="1:16">
      <c r="A930" s="1178" t="s">
        <v>20731</v>
      </c>
      <c r="B930" s="1371" t="str">
        <f>HYPERLINK(IFERROR("#Main_Tariff!A"&amp;MATCH(Raeburn_Main_Tariff[[#This Row],[Product Code]],Main_Tariff!I:I,0),"#Main_Tariff!A"&amp;MATCH("*"&amp;RIGHT(A930,8)&amp;"*",Main_Tariff!A:A,0)),Raeburn_Main_Tariff[[#This Row],[PRODUCER]])</f>
        <v>Domaine Louis Boillot</v>
      </c>
      <c r="C930" s="1178" t="s">
        <v>20736</v>
      </c>
      <c r="D930" s="1178" t="s">
        <v>897</v>
      </c>
      <c r="E930" s="1179">
        <v>2022</v>
      </c>
      <c r="F930" s="1282" t="s">
        <v>20220</v>
      </c>
      <c r="G930" s="1368" t="s">
        <v>5258</v>
      </c>
      <c r="H930" s="1178" t="s">
        <v>20224</v>
      </c>
      <c r="I930" s="1178" t="s">
        <v>4455</v>
      </c>
      <c r="J930" s="1178" t="s">
        <v>662</v>
      </c>
      <c r="K930" s="1178" t="s">
        <v>267</v>
      </c>
      <c r="L930" s="1178" t="s">
        <v>211</v>
      </c>
      <c r="M930" s="1369" t="s">
        <v>23297</v>
      </c>
      <c r="N930" s="1178"/>
      <c r="O930" s="1178">
        <v>6</v>
      </c>
      <c r="P930" s="1178">
        <v>13</v>
      </c>
    </row>
    <row r="931" spans="1:16">
      <c r="A931" s="1178" t="s">
        <v>20731</v>
      </c>
      <c r="B931" s="1371" t="str">
        <f>HYPERLINK(IFERROR("#Main_Tariff!A"&amp;MATCH(Raeburn_Main_Tariff[[#This Row],[Product Code]],Main_Tariff!I:I,0),"#Main_Tariff!A"&amp;MATCH("*"&amp;RIGHT(A931,8)&amp;"*",Main_Tariff!A:A,0)),Raeburn_Main_Tariff[[#This Row],[PRODUCER]])</f>
        <v>Domaine Louis Boillot</v>
      </c>
      <c r="C931" s="1178" t="s">
        <v>20736</v>
      </c>
      <c r="D931" s="1178" t="s">
        <v>897</v>
      </c>
      <c r="E931" s="1179">
        <v>2018</v>
      </c>
      <c r="F931" s="1282" t="s">
        <v>20220</v>
      </c>
      <c r="G931" s="1368">
        <v>71.5</v>
      </c>
      <c r="H931" s="1178" t="s">
        <v>20224</v>
      </c>
      <c r="I931" s="1178" t="s">
        <v>4457</v>
      </c>
      <c r="J931" s="1178" t="s">
        <v>662</v>
      </c>
      <c r="K931" s="1178" t="s">
        <v>267</v>
      </c>
      <c r="L931" s="1178" t="s">
        <v>211</v>
      </c>
      <c r="M931" s="1369" t="s">
        <v>23297</v>
      </c>
      <c r="N931" s="1178"/>
      <c r="O931" s="1178">
        <v>6</v>
      </c>
      <c r="P931" s="1178">
        <v>13</v>
      </c>
    </row>
    <row r="932" spans="1:16">
      <c r="A932" s="1178" t="s">
        <v>20731</v>
      </c>
      <c r="B932" s="1371" t="str">
        <f>HYPERLINK(IFERROR("#Main_Tariff!A"&amp;MATCH(Raeburn_Main_Tariff[[#This Row],[Product Code]],Main_Tariff!I:I,0),"#Main_Tariff!A"&amp;MATCH("*"&amp;RIGHT(A932,8)&amp;"*",Main_Tariff!A:A,0)),Raeburn_Main_Tariff[[#This Row],[PRODUCER]])</f>
        <v>Domaine Louis Boillot</v>
      </c>
      <c r="C932" s="1178" t="s">
        <v>20736</v>
      </c>
      <c r="D932" s="1178" t="s">
        <v>897</v>
      </c>
      <c r="E932" s="1179">
        <v>2017</v>
      </c>
      <c r="F932" s="1282" t="s">
        <v>20220</v>
      </c>
      <c r="G932" s="1368">
        <v>71.5</v>
      </c>
      <c r="H932" s="1178" t="s">
        <v>20221</v>
      </c>
      <c r="I932" s="1178" t="s">
        <v>4459</v>
      </c>
      <c r="J932" s="1178" t="s">
        <v>662</v>
      </c>
      <c r="K932" s="1178" t="s">
        <v>267</v>
      </c>
      <c r="L932" s="1178" t="s">
        <v>211</v>
      </c>
      <c r="M932" s="1369" t="s">
        <v>23297</v>
      </c>
      <c r="N932" s="1178"/>
      <c r="O932" s="1178">
        <v>6</v>
      </c>
      <c r="P932" s="1178">
        <v>13</v>
      </c>
    </row>
    <row r="933" spans="1:16">
      <c r="A933" s="1178" t="s">
        <v>20731</v>
      </c>
      <c r="B933" s="1371" t="str">
        <f>HYPERLINK(IFERROR("#Main_Tariff!A"&amp;MATCH(Raeburn_Main_Tariff[[#This Row],[Product Code]],Main_Tariff!I:I,0),"#Main_Tariff!A"&amp;MATCH("*"&amp;RIGHT(A933,8)&amp;"*",Main_Tariff!A:A,0)),Raeburn_Main_Tariff[[#This Row],[PRODUCER]])</f>
        <v>Domaine Louis Boillot</v>
      </c>
      <c r="C933" s="1178" t="s">
        <v>20737</v>
      </c>
      <c r="D933" s="1178" t="s">
        <v>897</v>
      </c>
      <c r="E933" s="1179">
        <v>2016</v>
      </c>
      <c r="F933" s="1282" t="s">
        <v>20220</v>
      </c>
      <c r="G933" s="1368">
        <v>77.5</v>
      </c>
      <c r="H933" s="1178" t="s">
        <v>20224</v>
      </c>
      <c r="I933" s="1178" t="s">
        <v>4461</v>
      </c>
      <c r="J933" s="1178" t="s">
        <v>662</v>
      </c>
      <c r="K933" s="1178" t="s">
        <v>267</v>
      </c>
      <c r="L933" s="1178" t="s">
        <v>211</v>
      </c>
      <c r="M933" s="1369" t="s">
        <v>23297</v>
      </c>
      <c r="N933" s="1178"/>
      <c r="O933" s="1178">
        <v>6</v>
      </c>
      <c r="P933" s="1178">
        <v>13</v>
      </c>
    </row>
    <row r="934" spans="1:16">
      <c r="A934" s="1178" t="s">
        <v>20731</v>
      </c>
      <c r="B934" s="1371" t="str">
        <f>HYPERLINK(IFERROR("#Main_Tariff!A"&amp;MATCH(Raeburn_Main_Tariff[[#This Row],[Product Code]],Main_Tariff!I:I,0),"#Main_Tariff!A"&amp;MATCH("*"&amp;RIGHT(A934,8)&amp;"*",Main_Tariff!A:A,0)),Raeburn_Main_Tariff[[#This Row],[PRODUCER]])</f>
        <v>Domaine Louis Boillot</v>
      </c>
      <c r="C934" s="1178" t="s">
        <v>20736</v>
      </c>
      <c r="D934" s="1178" t="s">
        <v>897</v>
      </c>
      <c r="E934" s="1179">
        <v>2013</v>
      </c>
      <c r="F934" s="1282" t="s">
        <v>20220</v>
      </c>
      <c r="G934" s="1368">
        <v>69.5</v>
      </c>
      <c r="H934" s="1178" t="s">
        <v>20224</v>
      </c>
      <c r="I934" s="1178" t="s">
        <v>4463</v>
      </c>
      <c r="J934" s="1178" t="s">
        <v>662</v>
      </c>
      <c r="K934" s="1178" t="s">
        <v>267</v>
      </c>
      <c r="L934" s="1178" t="s">
        <v>211</v>
      </c>
      <c r="M934" s="1369" t="s">
        <v>23297</v>
      </c>
      <c r="N934" s="1178"/>
      <c r="O934" s="1178">
        <v>6</v>
      </c>
      <c r="P934" s="1178">
        <v>13</v>
      </c>
    </row>
    <row r="935" spans="1:16">
      <c r="A935" s="1178" t="s">
        <v>20731</v>
      </c>
      <c r="B935" s="1371" t="str">
        <f>HYPERLINK(IFERROR("#Main_Tariff!A"&amp;MATCH(Raeburn_Main_Tariff[[#This Row],[Product Code]],Main_Tariff!I:I,0),"#Main_Tariff!A"&amp;MATCH("*"&amp;RIGHT(A935,8)&amp;"*",Main_Tariff!A:A,0)),Raeburn_Main_Tariff[[#This Row],[PRODUCER]])</f>
        <v>Domaine Louis Boillot</v>
      </c>
      <c r="C935" s="1178" t="s">
        <v>20738</v>
      </c>
      <c r="D935" s="1178" t="s">
        <v>897</v>
      </c>
      <c r="E935" s="1179">
        <v>2012</v>
      </c>
      <c r="F935" s="1282" t="s">
        <v>20220</v>
      </c>
      <c r="G935" s="1368">
        <v>69.5</v>
      </c>
      <c r="H935" s="1178" t="s">
        <v>20224</v>
      </c>
      <c r="I935" s="1178" t="s">
        <v>4465</v>
      </c>
      <c r="J935" s="1178" t="s">
        <v>662</v>
      </c>
      <c r="K935" s="1178" t="s">
        <v>267</v>
      </c>
      <c r="L935" s="1178" t="s">
        <v>211</v>
      </c>
      <c r="M935" s="1369" t="s">
        <v>23297</v>
      </c>
      <c r="N935" s="1178"/>
      <c r="O935" s="1178">
        <v>6</v>
      </c>
      <c r="P935" s="1178">
        <v>13</v>
      </c>
    </row>
    <row r="936" spans="1:16">
      <c r="A936" s="1178" t="s">
        <v>20731</v>
      </c>
      <c r="B936" s="1371" t="str">
        <f>HYPERLINK(IFERROR("#Main_Tariff!A"&amp;MATCH(Raeburn_Main_Tariff[[#This Row],[Product Code]],Main_Tariff!I:I,0),"#Main_Tariff!A"&amp;MATCH("*"&amp;RIGHT(A936,8)&amp;"*",Main_Tariff!A:A,0)),Raeburn_Main_Tariff[[#This Row],[PRODUCER]])</f>
        <v>Domaine Louis Boillot</v>
      </c>
      <c r="C936" s="1178" t="s">
        <v>20736</v>
      </c>
      <c r="D936" s="1178" t="s">
        <v>897</v>
      </c>
      <c r="E936" s="1179">
        <v>2011</v>
      </c>
      <c r="F936" s="1282" t="s">
        <v>20220</v>
      </c>
      <c r="G936" s="1368">
        <v>67.5</v>
      </c>
      <c r="H936" s="1178" t="s">
        <v>20221</v>
      </c>
      <c r="I936" s="1178" t="s">
        <v>4467</v>
      </c>
      <c r="J936" s="1178" t="s">
        <v>662</v>
      </c>
      <c r="K936" s="1178" t="s">
        <v>267</v>
      </c>
      <c r="L936" s="1178" t="s">
        <v>211</v>
      </c>
      <c r="M936" s="1369" t="s">
        <v>23297</v>
      </c>
      <c r="N936" s="1178"/>
      <c r="O936" s="1178">
        <v>6</v>
      </c>
      <c r="P936" s="1178">
        <v>13</v>
      </c>
    </row>
    <row r="937" spans="1:16">
      <c r="A937" s="1178" t="s">
        <v>20731</v>
      </c>
      <c r="B937" s="1371" t="str">
        <f>HYPERLINK(IFERROR("#Main_Tariff!A"&amp;MATCH(Raeburn_Main_Tariff[[#This Row],[Product Code]],Main_Tariff!I:I,0),"#Main_Tariff!A"&amp;MATCH("*"&amp;RIGHT(A937,8)&amp;"*",Main_Tariff!A:A,0)),Raeburn_Main_Tariff[[#This Row],[PRODUCER]])</f>
        <v>Domaine Louis Boillot</v>
      </c>
      <c r="C937" s="1178" t="s">
        <v>20736</v>
      </c>
      <c r="D937" s="1178" t="s">
        <v>897</v>
      </c>
      <c r="E937" s="1179">
        <v>2009</v>
      </c>
      <c r="F937" s="1282" t="s">
        <v>20220</v>
      </c>
      <c r="G937" s="1368">
        <v>69.5</v>
      </c>
      <c r="H937" s="1178" t="s">
        <v>20224</v>
      </c>
      <c r="I937" s="1178" t="s">
        <v>4469</v>
      </c>
      <c r="J937" s="1178" t="s">
        <v>662</v>
      </c>
      <c r="K937" s="1178" t="s">
        <v>267</v>
      </c>
      <c r="L937" s="1178" t="s">
        <v>211</v>
      </c>
      <c r="M937" s="1369" t="s">
        <v>23297</v>
      </c>
      <c r="N937" s="1178"/>
      <c r="O937" s="1178">
        <v>12</v>
      </c>
      <c r="P937" s="1178">
        <v>12.5</v>
      </c>
    </row>
    <row r="938" spans="1:16">
      <c r="A938" s="1178" t="s">
        <v>20731</v>
      </c>
      <c r="B938" s="1371" t="str">
        <f>HYPERLINK(IFERROR("#Main_Tariff!A"&amp;MATCH(Raeburn_Main_Tariff[[#This Row],[Product Code]],Main_Tariff!I:I,0),"#Main_Tariff!A"&amp;MATCH("*"&amp;RIGHT(A938,8)&amp;"*",Main_Tariff!A:A,0)),Raeburn_Main_Tariff[[#This Row],[PRODUCER]])</f>
        <v>Domaine Louis Boillot</v>
      </c>
      <c r="C938" s="1178" t="s">
        <v>20739</v>
      </c>
      <c r="D938" s="1178" t="s">
        <v>897</v>
      </c>
      <c r="E938" s="1179">
        <v>2022</v>
      </c>
      <c r="F938" s="1282" t="s">
        <v>20220</v>
      </c>
      <c r="G938" s="1368" t="s">
        <v>5258</v>
      </c>
      <c r="H938" s="1178" t="s">
        <v>20224</v>
      </c>
      <c r="I938" s="1178" t="s">
        <v>4471</v>
      </c>
      <c r="J938" s="1178" t="s">
        <v>662</v>
      </c>
      <c r="K938" s="1178" t="s">
        <v>267</v>
      </c>
      <c r="L938" s="1178" t="s">
        <v>211</v>
      </c>
      <c r="M938" s="1369" t="s">
        <v>23297</v>
      </c>
      <c r="N938" s="1178"/>
      <c r="O938" s="1178">
        <v>6</v>
      </c>
      <c r="P938" s="1178">
        <v>13</v>
      </c>
    </row>
    <row r="939" spans="1:16">
      <c r="A939" s="1178" t="s">
        <v>20731</v>
      </c>
      <c r="B939" s="1371" t="str">
        <f>HYPERLINK(IFERROR("#Main_Tariff!A"&amp;MATCH(Raeburn_Main_Tariff[[#This Row],[Product Code]],Main_Tariff!I:I,0),"#Main_Tariff!A"&amp;MATCH("*"&amp;RIGHT(A939,8)&amp;"*",Main_Tariff!A:A,0)),Raeburn_Main_Tariff[[#This Row],[PRODUCER]])</f>
        <v>Domaine Louis Boillot</v>
      </c>
      <c r="C939" s="1178" t="s">
        <v>20739</v>
      </c>
      <c r="D939" s="1178" t="s">
        <v>897</v>
      </c>
      <c r="E939" s="1179">
        <v>2020</v>
      </c>
      <c r="F939" s="1282" t="s">
        <v>20220</v>
      </c>
      <c r="G939" s="1368">
        <v>71.5</v>
      </c>
      <c r="H939" s="1178" t="s">
        <v>20221</v>
      </c>
      <c r="I939" s="1178" t="s">
        <v>4472</v>
      </c>
      <c r="J939" s="1178" t="s">
        <v>662</v>
      </c>
      <c r="K939" s="1178" t="s">
        <v>267</v>
      </c>
      <c r="L939" s="1178" t="s">
        <v>211</v>
      </c>
      <c r="M939" s="1369" t="s">
        <v>23297</v>
      </c>
      <c r="N939" s="1178"/>
      <c r="O939" s="1178">
        <v>6</v>
      </c>
      <c r="P939" s="1178">
        <v>13</v>
      </c>
    </row>
    <row r="940" spans="1:16">
      <c r="A940" s="1178" t="s">
        <v>20731</v>
      </c>
      <c r="B940" s="1371" t="str">
        <f>HYPERLINK(IFERROR("#Main_Tariff!A"&amp;MATCH(Raeburn_Main_Tariff[[#This Row],[Product Code]],Main_Tariff!I:I,0),"#Main_Tariff!A"&amp;MATCH("*"&amp;RIGHT(A940,8)&amp;"*",Main_Tariff!A:A,0)),Raeburn_Main_Tariff[[#This Row],[PRODUCER]])</f>
        <v>Domaine Louis Boillot</v>
      </c>
      <c r="C940" s="1178" t="s">
        <v>20739</v>
      </c>
      <c r="D940" s="1178" t="s">
        <v>897</v>
      </c>
      <c r="E940" s="1179">
        <v>2019</v>
      </c>
      <c r="F940" s="1282" t="s">
        <v>20220</v>
      </c>
      <c r="G940" s="1368">
        <v>71.5</v>
      </c>
      <c r="H940" s="1178" t="s">
        <v>20224</v>
      </c>
      <c r="I940" s="1178" t="s">
        <v>4474</v>
      </c>
      <c r="J940" s="1178" t="s">
        <v>662</v>
      </c>
      <c r="K940" s="1178" t="s">
        <v>267</v>
      </c>
      <c r="L940" s="1178" t="s">
        <v>211</v>
      </c>
      <c r="M940" s="1369" t="s">
        <v>23297</v>
      </c>
      <c r="N940" s="1178"/>
      <c r="O940" s="1178">
        <v>6</v>
      </c>
      <c r="P940" s="1178">
        <v>13</v>
      </c>
    </row>
    <row r="941" spans="1:16">
      <c r="A941" s="1178" t="s">
        <v>20731</v>
      </c>
      <c r="B941" s="1371" t="str">
        <f>HYPERLINK(IFERROR("#Main_Tariff!A"&amp;MATCH(Raeburn_Main_Tariff[[#This Row],[Product Code]],Main_Tariff!I:I,0),"#Main_Tariff!A"&amp;MATCH("*"&amp;RIGHT(A941,8)&amp;"*",Main_Tariff!A:A,0)),Raeburn_Main_Tariff[[#This Row],[PRODUCER]])</f>
        <v>Domaine Louis Boillot</v>
      </c>
      <c r="C941" s="1178" t="s">
        <v>20740</v>
      </c>
      <c r="D941" s="1178" t="s">
        <v>897</v>
      </c>
      <c r="E941" s="1179">
        <v>2017</v>
      </c>
      <c r="F941" s="1282" t="s">
        <v>20220</v>
      </c>
      <c r="G941" s="1368">
        <v>65.5</v>
      </c>
      <c r="H941" s="1178" t="s">
        <v>20224</v>
      </c>
      <c r="I941" s="1178" t="s">
        <v>4475</v>
      </c>
      <c r="J941" s="1178" t="s">
        <v>662</v>
      </c>
      <c r="K941" s="1178" t="s">
        <v>267</v>
      </c>
      <c r="L941" s="1178" t="s">
        <v>211</v>
      </c>
      <c r="M941" s="1369" t="s">
        <v>23297</v>
      </c>
      <c r="N941" s="1178"/>
      <c r="O941" s="1178">
        <v>6</v>
      </c>
      <c r="P941" s="1178">
        <v>13</v>
      </c>
    </row>
    <row r="942" spans="1:16">
      <c r="A942" s="1178" t="s">
        <v>20731</v>
      </c>
      <c r="B942" s="1371" t="str">
        <f>HYPERLINK(IFERROR("#Main_Tariff!A"&amp;MATCH(Raeburn_Main_Tariff[[#This Row],[Product Code]],Main_Tariff!I:I,0),"#Main_Tariff!A"&amp;MATCH("*"&amp;RIGHT(A942,8)&amp;"*",Main_Tariff!A:A,0)),Raeburn_Main_Tariff[[#This Row],[PRODUCER]])</f>
        <v>Domaine Louis Boillot</v>
      </c>
      <c r="C942" s="1178" t="s">
        <v>20740</v>
      </c>
      <c r="D942" s="1178" t="s">
        <v>897</v>
      </c>
      <c r="E942" s="1179">
        <v>2013</v>
      </c>
      <c r="F942" s="1282" t="s">
        <v>20220</v>
      </c>
      <c r="G942" s="1368">
        <v>65.5</v>
      </c>
      <c r="H942" s="1178" t="s">
        <v>20224</v>
      </c>
      <c r="I942" s="1178" t="s">
        <v>4476</v>
      </c>
      <c r="J942" s="1178" t="s">
        <v>662</v>
      </c>
      <c r="K942" s="1178" t="s">
        <v>267</v>
      </c>
      <c r="L942" s="1178" t="s">
        <v>211</v>
      </c>
      <c r="M942" s="1369" t="s">
        <v>23297</v>
      </c>
      <c r="N942" s="1178"/>
      <c r="O942" s="1178">
        <v>6</v>
      </c>
      <c r="P942" s="1178">
        <v>13</v>
      </c>
    </row>
    <row r="943" spans="1:16">
      <c r="A943" s="1178" t="s">
        <v>20731</v>
      </c>
      <c r="B943" s="1371" t="str">
        <f>HYPERLINK(IFERROR("#Main_Tariff!A"&amp;MATCH(Raeburn_Main_Tariff[[#This Row],[Product Code]],Main_Tariff!I:I,0),"#Main_Tariff!A"&amp;MATCH("*"&amp;RIGHT(A943,8)&amp;"*",Main_Tariff!A:A,0)),Raeburn_Main_Tariff[[#This Row],[PRODUCER]])</f>
        <v>Domaine Louis Boillot</v>
      </c>
      <c r="C943" s="1178" t="s">
        <v>20741</v>
      </c>
      <c r="D943" s="1178" t="s">
        <v>897</v>
      </c>
      <c r="E943" s="1179">
        <v>2022</v>
      </c>
      <c r="F943" s="1282" t="s">
        <v>20220</v>
      </c>
      <c r="G943" s="1368" t="s">
        <v>5258</v>
      </c>
      <c r="H943" s="1178" t="s">
        <v>20221</v>
      </c>
      <c r="I943" s="1178" t="s">
        <v>4478</v>
      </c>
      <c r="J943" s="1178" t="s">
        <v>662</v>
      </c>
      <c r="K943" s="1178" t="s">
        <v>267</v>
      </c>
      <c r="L943" s="1178" t="s">
        <v>211</v>
      </c>
      <c r="M943" s="1369"/>
      <c r="N943" s="1178"/>
      <c r="O943" s="1178">
        <v>6</v>
      </c>
      <c r="P943" s="1178">
        <v>13</v>
      </c>
    </row>
    <row r="944" spans="1:16">
      <c r="A944" s="1178" t="s">
        <v>20731</v>
      </c>
      <c r="B944" s="1371" t="str">
        <f>HYPERLINK(IFERROR("#Main_Tariff!A"&amp;MATCH(Raeburn_Main_Tariff[[#This Row],[Product Code]],Main_Tariff!I:I,0),"#Main_Tariff!A"&amp;MATCH("*"&amp;RIGHT(A944,8)&amp;"*",Main_Tariff!A:A,0)),Raeburn_Main_Tariff[[#This Row],[PRODUCER]])</f>
        <v>Domaine Louis Boillot</v>
      </c>
      <c r="C944" s="1178" t="s">
        <v>20741</v>
      </c>
      <c r="D944" s="1178" t="s">
        <v>897</v>
      </c>
      <c r="E944" s="1179">
        <v>2020</v>
      </c>
      <c r="F944" s="1282" t="s">
        <v>20220</v>
      </c>
      <c r="G944" s="1368">
        <v>47</v>
      </c>
      <c r="H944" s="1178" t="s">
        <v>20221</v>
      </c>
      <c r="I944" s="1178" t="s">
        <v>4479</v>
      </c>
      <c r="J944" s="1178" t="s">
        <v>662</v>
      </c>
      <c r="K944" s="1178" t="s">
        <v>267</v>
      </c>
      <c r="L944" s="1178" t="s">
        <v>211</v>
      </c>
      <c r="M944" s="1369"/>
      <c r="N944" s="1178"/>
      <c r="O944" s="1178">
        <v>6</v>
      </c>
      <c r="P944" s="1178">
        <v>13</v>
      </c>
    </row>
    <row r="945" spans="1:16">
      <c r="A945" s="1178" t="s">
        <v>20731</v>
      </c>
      <c r="B945" s="1371" t="str">
        <f>HYPERLINK(IFERROR("#Main_Tariff!A"&amp;MATCH(Raeburn_Main_Tariff[[#This Row],[Product Code]],Main_Tariff!I:I,0),"#Main_Tariff!A"&amp;MATCH("*"&amp;RIGHT(A945,8)&amp;"*",Main_Tariff!A:A,0)),Raeburn_Main_Tariff[[#This Row],[PRODUCER]])</f>
        <v>Domaine Louis Boillot</v>
      </c>
      <c r="C945" s="1178" t="s">
        <v>20741</v>
      </c>
      <c r="D945" s="1178" t="s">
        <v>897</v>
      </c>
      <c r="E945" s="1179">
        <v>2017</v>
      </c>
      <c r="F945" s="1282" t="s">
        <v>20220</v>
      </c>
      <c r="G945" s="1368">
        <v>39.5</v>
      </c>
      <c r="H945" s="1178" t="s">
        <v>20221</v>
      </c>
      <c r="I945" s="1178" t="s">
        <v>4480</v>
      </c>
      <c r="J945" s="1178" t="s">
        <v>662</v>
      </c>
      <c r="K945" s="1178" t="s">
        <v>267</v>
      </c>
      <c r="L945" s="1178" t="s">
        <v>211</v>
      </c>
      <c r="M945" s="1369"/>
      <c r="N945" s="1178"/>
      <c r="O945" s="1178">
        <v>6</v>
      </c>
      <c r="P945" s="1178">
        <v>13</v>
      </c>
    </row>
    <row r="946" spans="1:16">
      <c r="A946" s="1178" t="s">
        <v>20731</v>
      </c>
      <c r="B946" s="1371" t="str">
        <f>HYPERLINK(IFERROR("#Main_Tariff!A"&amp;MATCH(Raeburn_Main_Tariff[[#This Row],[Product Code]],Main_Tariff!I:I,0),"#Main_Tariff!A"&amp;MATCH("*"&amp;RIGHT(A946,8)&amp;"*",Main_Tariff!A:A,0)),Raeburn_Main_Tariff[[#This Row],[PRODUCER]])</f>
        <v>Domaine Louis Boillot</v>
      </c>
      <c r="C946" s="1178" t="s">
        <v>20742</v>
      </c>
      <c r="D946" s="1178" t="s">
        <v>897</v>
      </c>
      <c r="E946" s="1179">
        <v>2022</v>
      </c>
      <c r="F946" s="1282" t="s">
        <v>20220</v>
      </c>
      <c r="G946" s="1368" t="s">
        <v>5258</v>
      </c>
      <c r="H946" s="1178" t="s">
        <v>20221</v>
      </c>
      <c r="I946" s="1178" t="s">
        <v>4481</v>
      </c>
      <c r="J946" s="1178" t="s">
        <v>662</v>
      </c>
      <c r="K946" s="1178" t="s">
        <v>267</v>
      </c>
      <c r="L946" s="1178" t="s">
        <v>211</v>
      </c>
      <c r="M946" s="1369"/>
      <c r="N946" s="1178"/>
      <c r="O946" s="1178">
        <v>6</v>
      </c>
      <c r="P946" s="1178">
        <v>13</v>
      </c>
    </row>
    <row r="947" spans="1:16">
      <c r="A947" s="1178" t="s">
        <v>20731</v>
      </c>
      <c r="B947" s="1371" t="str">
        <f>HYPERLINK(IFERROR("#Main_Tariff!A"&amp;MATCH(Raeburn_Main_Tariff[[#This Row],[Product Code]],Main_Tariff!I:I,0),"#Main_Tariff!A"&amp;MATCH("*"&amp;RIGHT(A947,8)&amp;"*",Main_Tariff!A:A,0)),Raeburn_Main_Tariff[[#This Row],[PRODUCER]])</f>
        <v>Domaine Louis Boillot</v>
      </c>
      <c r="C947" s="1178" t="s">
        <v>20742</v>
      </c>
      <c r="D947" s="1178" t="s">
        <v>897</v>
      </c>
      <c r="E947" s="1179">
        <v>2020</v>
      </c>
      <c r="F947" s="1282" t="s">
        <v>20220</v>
      </c>
      <c r="G947" s="1368">
        <v>58.75</v>
      </c>
      <c r="H947" s="1178" t="s">
        <v>20221</v>
      </c>
      <c r="I947" s="1178" t="s">
        <v>4482</v>
      </c>
      <c r="J947" s="1178" t="s">
        <v>662</v>
      </c>
      <c r="K947" s="1178" t="s">
        <v>267</v>
      </c>
      <c r="L947" s="1178" t="s">
        <v>211</v>
      </c>
      <c r="M947" s="1369"/>
      <c r="N947" s="1178"/>
      <c r="O947" s="1178">
        <v>6</v>
      </c>
      <c r="P947" s="1178">
        <v>13</v>
      </c>
    </row>
    <row r="948" spans="1:16">
      <c r="A948" s="1178" t="s">
        <v>20731</v>
      </c>
      <c r="B948" s="1371" t="str">
        <f>HYPERLINK(IFERROR("#Main_Tariff!A"&amp;MATCH(Raeburn_Main_Tariff[[#This Row],[Product Code]],Main_Tariff!I:I,0),"#Main_Tariff!A"&amp;MATCH("*"&amp;RIGHT(A948,8)&amp;"*",Main_Tariff!A:A,0)),Raeburn_Main_Tariff[[#This Row],[PRODUCER]])</f>
        <v>Domaine Louis Boillot</v>
      </c>
      <c r="C948" s="1178" t="s">
        <v>20742</v>
      </c>
      <c r="D948" s="1178" t="s">
        <v>897</v>
      </c>
      <c r="E948" s="1179">
        <v>2018</v>
      </c>
      <c r="F948" s="1282" t="s">
        <v>20220</v>
      </c>
      <c r="G948" s="1368">
        <v>44.5</v>
      </c>
      <c r="H948" s="1178" t="s">
        <v>20221</v>
      </c>
      <c r="I948" s="1178" t="s">
        <v>4483</v>
      </c>
      <c r="J948" s="1178" t="s">
        <v>662</v>
      </c>
      <c r="K948" s="1178" t="s">
        <v>267</v>
      </c>
      <c r="L948" s="1178" t="s">
        <v>211</v>
      </c>
      <c r="M948" s="1369"/>
      <c r="N948" s="1178"/>
      <c r="O948" s="1178">
        <v>6</v>
      </c>
      <c r="P948" s="1178">
        <v>13</v>
      </c>
    </row>
    <row r="949" spans="1:16">
      <c r="A949" s="1178" t="s">
        <v>20731</v>
      </c>
      <c r="B949" s="1371" t="str">
        <f>HYPERLINK(IFERROR("#Main_Tariff!A"&amp;MATCH(Raeburn_Main_Tariff[[#This Row],[Product Code]],Main_Tariff!I:I,0),"#Main_Tariff!A"&amp;MATCH("*"&amp;RIGHT(A949,8)&amp;"*",Main_Tariff!A:A,0)),Raeburn_Main_Tariff[[#This Row],[PRODUCER]])</f>
        <v>Domaine Louis Boillot</v>
      </c>
      <c r="C949" s="1178" t="s">
        <v>20742</v>
      </c>
      <c r="D949" s="1178" t="s">
        <v>897</v>
      </c>
      <c r="E949" s="1179">
        <v>2017</v>
      </c>
      <c r="F949" s="1282" t="s">
        <v>20220</v>
      </c>
      <c r="G949" s="1368">
        <v>44.5</v>
      </c>
      <c r="H949" s="1178" t="s">
        <v>20221</v>
      </c>
      <c r="I949" s="1178" t="s">
        <v>4484</v>
      </c>
      <c r="J949" s="1178" t="s">
        <v>662</v>
      </c>
      <c r="K949" s="1178" t="s">
        <v>267</v>
      </c>
      <c r="L949" s="1178" t="s">
        <v>211</v>
      </c>
      <c r="M949" s="1369"/>
      <c r="N949" s="1178"/>
      <c r="O949" s="1178">
        <v>6</v>
      </c>
      <c r="P949" s="1178">
        <v>13</v>
      </c>
    </row>
    <row r="950" spans="1:16">
      <c r="A950" s="1178" t="s">
        <v>20731</v>
      </c>
      <c r="B950" s="1371" t="str">
        <f>HYPERLINK(IFERROR("#Main_Tariff!A"&amp;MATCH(Raeburn_Main_Tariff[[#This Row],[Product Code]],Main_Tariff!I:I,0),"#Main_Tariff!A"&amp;MATCH("*"&amp;RIGHT(A950,8)&amp;"*",Main_Tariff!A:A,0)),Raeburn_Main_Tariff[[#This Row],[PRODUCER]])</f>
        <v>Domaine Louis Boillot</v>
      </c>
      <c r="C950" s="1178" t="s">
        <v>20742</v>
      </c>
      <c r="D950" s="1178" t="s">
        <v>897</v>
      </c>
      <c r="E950" s="1179">
        <v>2013</v>
      </c>
      <c r="F950" s="1282" t="s">
        <v>20220</v>
      </c>
      <c r="G950" s="1368">
        <v>44.5</v>
      </c>
      <c r="H950" s="1178" t="s">
        <v>20221</v>
      </c>
      <c r="I950" s="1178" t="s">
        <v>4485</v>
      </c>
      <c r="J950" s="1178" t="s">
        <v>662</v>
      </c>
      <c r="K950" s="1178" t="s">
        <v>267</v>
      </c>
      <c r="L950" s="1178" t="s">
        <v>211</v>
      </c>
      <c r="M950" s="1369"/>
      <c r="N950" s="1178"/>
      <c r="O950" s="1178">
        <v>6</v>
      </c>
      <c r="P950" s="1178">
        <v>13</v>
      </c>
    </row>
    <row r="951" spans="1:16">
      <c r="A951" s="1178" t="s">
        <v>20731</v>
      </c>
      <c r="B951" s="1371" t="str">
        <f>HYPERLINK(IFERROR("#Main_Tariff!A"&amp;MATCH(Raeburn_Main_Tariff[[#This Row],[Product Code]],Main_Tariff!I:I,0),"#Main_Tariff!A"&amp;MATCH("*"&amp;RIGHT(A951,8)&amp;"*",Main_Tariff!A:A,0)),Raeburn_Main_Tariff[[#This Row],[PRODUCER]])</f>
        <v>Domaine Louis Boillot</v>
      </c>
      <c r="C951" s="1178" t="s">
        <v>20742</v>
      </c>
      <c r="D951" s="1178" t="s">
        <v>897</v>
      </c>
      <c r="E951" s="1179">
        <v>2011</v>
      </c>
      <c r="F951" s="1282" t="s">
        <v>20220</v>
      </c>
      <c r="G951" s="1368">
        <v>41.5</v>
      </c>
      <c r="H951" s="1178" t="s">
        <v>20221</v>
      </c>
      <c r="I951" s="1178" t="s">
        <v>4486</v>
      </c>
      <c r="J951" s="1178" t="s">
        <v>662</v>
      </c>
      <c r="K951" s="1178" t="s">
        <v>267</v>
      </c>
      <c r="L951" s="1178" t="s">
        <v>211</v>
      </c>
      <c r="M951" s="1369"/>
      <c r="N951" s="1178"/>
      <c r="O951" s="1178">
        <v>6</v>
      </c>
      <c r="P951" s="1178">
        <v>13</v>
      </c>
    </row>
    <row r="952" spans="1:16">
      <c r="A952" s="1178" t="s">
        <v>20731</v>
      </c>
      <c r="B952" s="1371" t="str">
        <f>HYPERLINK(IFERROR("#Main_Tariff!A"&amp;MATCH(Raeburn_Main_Tariff[[#This Row],[Product Code]],Main_Tariff!I:I,0),"#Main_Tariff!A"&amp;MATCH("*"&amp;RIGHT(A952,8)&amp;"*",Main_Tariff!A:A,0)),Raeburn_Main_Tariff[[#This Row],[PRODUCER]])</f>
        <v>Domaine Louis Boillot</v>
      </c>
      <c r="C952" s="1178" t="s">
        <v>20743</v>
      </c>
      <c r="D952" s="1178" t="s">
        <v>897</v>
      </c>
      <c r="E952" s="1179">
        <v>2016</v>
      </c>
      <c r="F952" s="1282" t="s">
        <v>20220</v>
      </c>
      <c r="G952" s="1368">
        <v>77.75</v>
      </c>
      <c r="H952" s="1178" t="s">
        <v>20224</v>
      </c>
      <c r="I952" s="1178" t="s">
        <v>4488</v>
      </c>
      <c r="J952" s="1178" t="s">
        <v>662</v>
      </c>
      <c r="K952" s="1178" t="s">
        <v>267</v>
      </c>
      <c r="L952" s="1178" t="s">
        <v>211</v>
      </c>
      <c r="M952" s="1369" t="s">
        <v>23297</v>
      </c>
      <c r="N952" s="1178"/>
      <c r="O952" s="1178">
        <v>6</v>
      </c>
      <c r="P952" s="1178">
        <v>13</v>
      </c>
    </row>
    <row r="953" spans="1:16">
      <c r="A953" s="1178" t="s">
        <v>20731</v>
      </c>
      <c r="B953" s="1371" t="str">
        <f>HYPERLINK(IFERROR("#Main_Tariff!A"&amp;MATCH(Raeburn_Main_Tariff[[#This Row],[Product Code]],Main_Tariff!I:I,0),"#Main_Tariff!A"&amp;MATCH("*"&amp;RIGHT(A953,8)&amp;"*",Main_Tariff!A:A,0)),Raeburn_Main_Tariff[[#This Row],[PRODUCER]])</f>
        <v>Domaine Louis Boillot</v>
      </c>
      <c r="C953" s="1178" t="s">
        <v>20743</v>
      </c>
      <c r="D953" s="1178" t="s">
        <v>897</v>
      </c>
      <c r="E953" s="1179">
        <v>2013</v>
      </c>
      <c r="F953" s="1282" t="s">
        <v>20220</v>
      </c>
      <c r="G953" s="1368">
        <v>77.5</v>
      </c>
      <c r="H953" s="1178" t="s">
        <v>20224</v>
      </c>
      <c r="I953" s="1178" t="s">
        <v>4489</v>
      </c>
      <c r="J953" s="1178" t="s">
        <v>662</v>
      </c>
      <c r="K953" s="1178" t="s">
        <v>267</v>
      </c>
      <c r="L953" s="1178" t="s">
        <v>211</v>
      </c>
      <c r="M953" s="1369" t="s">
        <v>23297</v>
      </c>
      <c r="N953" s="1178"/>
      <c r="O953" s="1178">
        <v>6</v>
      </c>
      <c r="P953" s="1178">
        <v>13</v>
      </c>
    </row>
    <row r="954" spans="1:16">
      <c r="A954" s="1178" t="s">
        <v>20731</v>
      </c>
      <c r="B954" s="1371" t="str">
        <f>HYPERLINK(IFERROR("#Main_Tariff!A"&amp;MATCH(Raeburn_Main_Tariff[[#This Row],[Product Code]],Main_Tariff!I:I,0),"#Main_Tariff!A"&amp;MATCH("*"&amp;RIGHT(A954,8)&amp;"*",Main_Tariff!A:A,0)),Raeburn_Main_Tariff[[#This Row],[PRODUCER]])</f>
        <v>Domaine Louis Boillot</v>
      </c>
      <c r="C954" s="1178" t="s">
        <v>20744</v>
      </c>
      <c r="D954" s="1178" t="s">
        <v>897</v>
      </c>
      <c r="E954" s="1179">
        <v>2022</v>
      </c>
      <c r="F954" s="1282" t="s">
        <v>20220</v>
      </c>
      <c r="G954" s="1368" t="s">
        <v>5258</v>
      </c>
      <c r="H954" s="1178" t="s">
        <v>20224</v>
      </c>
      <c r="I954" s="1178" t="s">
        <v>4490</v>
      </c>
      <c r="J954" s="1178" t="s">
        <v>662</v>
      </c>
      <c r="K954" s="1178" t="s">
        <v>267</v>
      </c>
      <c r="L954" s="1178" t="s">
        <v>211</v>
      </c>
      <c r="M954" s="1369" t="s">
        <v>23297</v>
      </c>
      <c r="N954" s="1178"/>
      <c r="O954" s="1178">
        <v>6</v>
      </c>
      <c r="P954" s="1178">
        <v>13</v>
      </c>
    </row>
    <row r="955" spans="1:16">
      <c r="A955" s="1178" t="s">
        <v>20731</v>
      </c>
      <c r="B955" s="1371" t="str">
        <f>HYPERLINK(IFERROR("#Main_Tariff!A"&amp;MATCH(Raeburn_Main_Tariff[[#This Row],[Product Code]],Main_Tariff!I:I,0),"#Main_Tariff!A"&amp;MATCH("*"&amp;RIGHT(A955,8)&amp;"*",Main_Tariff!A:A,0)),Raeburn_Main_Tariff[[#This Row],[PRODUCER]])</f>
        <v>Domaine Louis Boillot</v>
      </c>
      <c r="C955" s="1178" t="s">
        <v>20744</v>
      </c>
      <c r="D955" s="1178" t="s">
        <v>897</v>
      </c>
      <c r="E955" s="1179">
        <v>2018</v>
      </c>
      <c r="F955" s="1282" t="s">
        <v>20220</v>
      </c>
      <c r="G955" s="1368">
        <v>69.5</v>
      </c>
      <c r="H955" s="1178" t="s">
        <v>20221</v>
      </c>
      <c r="I955" s="1178" t="s">
        <v>4491</v>
      </c>
      <c r="J955" s="1178" t="s">
        <v>662</v>
      </c>
      <c r="K955" s="1178" t="s">
        <v>267</v>
      </c>
      <c r="L955" s="1178" t="s">
        <v>211</v>
      </c>
      <c r="M955" s="1369" t="s">
        <v>23297</v>
      </c>
      <c r="N955" s="1178"/>
      <c r="O955" s="1178">
        <v>6</v>
      </c>
      <c r="P955" s="1178">
        <v>13</v>
      </c>
    </row>
    <row r="956" spans="1:16">
      <c r="A956" s="1178" t="s">
        <v>20731</v>
      </c>
      <c r="B956" s="1371" t="str">
        <f>HYPERLINK(IFERROR("#Main_Tariff!A"&amp;MATCH(Raeburn_Main_Tariff[[#This Row],[Product Code]],Main_Tariff!I:I,0),"#Main_Tariff!A"&amp;MATCH("*"&amp;RIGHT(A956,8)&amp;"*",Main_Tariff!A:A,0)),Raeburn_Main_Tariff[[#This Row],[PRODUCER]])</f>
        <v>Domaine Louis Boillot</v>
      </c>
      <c r="C956" s="1178" t="s">
        <v>20744</v>
      </c>
      <c r="D956" s="1178" t="s">
        <v>897</v>
      </c>
      <c r="E956" s="1179">
        <v>2017</v>
      </c>
      <c r="F956" s="1282" t="s">
        <v>20220</v>
      </c>
      <c r="G956" s="1368">
        <v>69.5</v>
      </c>
      <c r="H956" s="1178" t="s">
        <v>20221</v>
      </c>
      <c r="I956" s="1178" t="s">
        <v>4492</v>
      </c>
      <c r="J956" s="1178" t="s">
        <v>662</v>
      </c>
      <c r="K956" s="1178" t="s">
        <v>267</v>
      </c>
      <c r="L956" s="1178" t="s">
        <v>211</v>
      </c>
      <c r="M956" s="1369" t="s">
        <v>23297</v>
      </c>
      <c r="N956" s="1178"/>
      <c r="O956" s="1178">
        <v>6</v>
      </c>
      <c r="P956" s="1178">
        <v>13</v>
      </c>
    </row>
    <row r="957" spans="1:16">
      <c r="A957" s="1178" t="s">
        <v>20731</v>
      </c>
      <c r="B957" s="1371" t="str">
        <f>HYPERLINK(IFERROR("#Main_Tariff!A"&amp;MATCH(Raeburn_Main_Tariff[[#This Row],[Product Code]],Main_Tariff!I:I,0),"#Main_Tariff!A"&amp;MATCH("*"&amp;RIGHT(A957,8)&amp;"*",Main_Tariff!A:A,0)),Raeburn_Main_Tariff[[#This Row],[PRODUCER]])</f>
        <v>Domaine Louis Boillot</v>
      </c>
      <c r="C957" s="1178" t="s">
        <v>20744</v>
      </c>
      <c r="D957" s="1178" t="s">
        <v>897</v>
      </c>
      <c r="E957" s="1179">
        <v>2014</v>
      </c>
      <c r="F957" s="1282" t="s">
        <v>20220</v>
      </c>
      <c r="G957" s="1368">
        <v>75</v>
      </c>
      <c r="H957" s="1178" t="s">
        <v>20224</v>
      </c>
      <c r="I957" s="1178" t="s">
        <v>4493</v>
      </c>
      <c r="J957" s="1178" t="s">
        <v>662</v>
      </c>
      <c r="K957" s="1178" t="s">
        <v>267</v>
      </c>
      <c r="L957" s="1178" t="s">
        <v>211</v>
      </c>
      <c r="M957" s="1369" t="s">
        <v>23297</v>
      </c>
      <c r="N957" s="1178"/>
      <c r="O957" s="1178">
        <v>6</v>
      </c>
      <c r="P957" s="1178">
        <v>13</v>
      </c>
    </row>
    <row r="958" spans="1:16">
      <c r="A958" s="1178" t="s">
        <v>20731</v>
      </c>
      <c r="B958" s="1371" t="str">
        <f>HYPERLINK(IFERROR("#Main_Tariff!A"&amp;MATCH(Raeburn_Main_Tariff[[#This Row],[Product Code]],Main_Tariff!I:I,0),"#Main_Tariff!A"&amp;MATCH("*"&amp;RIGHT(A958,8)&amp;"*",Main_Tariff!A:A,0)),Raeburn_Main_Tariff[[#This Row],[PRODUCER]])</f>
        <v>Domaine Louis Boillot</v>
      </c>
      <c r="C958" s="1178" t="s">
        <v>20744</v>
      </c>
      <c r="D958" s="1178" t="s">
        <v>897</v>
      </c>
      <c r="E958" s="1179">
        <v>2013</v>
      </c>
      <c r="F958" s="1282" t="s">
        <v>20220</v>
      </c>
      <c r="G958" s="1368">
        <v>69.5</v>
      </c>
      <c r="H958" s="1178" t="s">
        <v>20221</v>
      </c>
      <c r="I958" s="1178" t="s">
        <v>4494</v>
      </c>
      <c r="J958" s="1178" t="s">
        <v>662</v>
      </c>
      <c r="K958" s="1178" t="s">
        <v>267</v>
      </c>
      <c r="L958" s="1178" t="s">
        <v>211</v>
      </c>
      <c r="M958" s="1369" t="s">
        <v>23297</v>
      </c>
      <c r="N958" s="1178"/>
      <c r="O958" s="1178">
        <v>6</v>
      </c>
      <c r="P958" s="1178">
        <v>13</v>
      </c>
    </row>
    <row r="959" spans="1:16">
      <c r="A959" s="1178" t="s">
        <v>20731</v>
      </c>
      <c r="B959" s="1371" t="str">
        <f>HYPERLINK(IFERROR("#Main_Tariff!A"&amp;MATCH(Raeburn_Main_Tariff[[#This Row],[Product Code]],Main_Tariff!I:I,0),"#Main_Tariff!A"&amp;MATCH("*"&amp;RIGHT(A959,8)&amp;"*",Main_Tariff!A:A,0)),Raeburn_Main_Tariff[[#This Row],[PRODUCER]])</f>
        <v>Domaine Louis Boillot</v>
      </c>
      <c r="C959" s="1178" t="s">
        <v>20744</v>
      </c>
      <c r="D959" s="1178" t="s">
        <v>897</v>
      </c>
      <c r="E959" s="1179">
        <v>2011</v>
      </c>
      <c r="F959" s="1282" t="s">
        <v>20220</v>
      </c>
      <c r="G959" s="1368">
        <v>67.5</v>
      </c>
      <c r="H959" s="1178" t="s">
        <v>20224</v>
      </c>
      <c r="I959" s="1178" t="s">
        <v>4495</v>
      </c>
      <c r="J959" s="1178" t="s">
        <v>662</v>
      </c>
      <c r="K959" s="1178" t="s">
        <v>267</v>
      </c>
      <c r="L959" s="1178" t="s">
        <v>211</v>
      </c>
      <c r="M959" s="1369" t="s">
        <v>23297</v>
      </c>
      <c r="N959" s="1178"/>
      <c r="O959" s="1178">
        <v>6</v>
      </c>
      <c r="P959" s="1178">
        <v>13</v>
      </c>
    </row>
    <row r="960" spans="1:16">
      <c r="A960" s="1178" t="s">
        <v>20731</v>
      </c>
      <c r="B960" s="1371" t="str">
        <f>HYPERLINK(IFERROR("#Main_Tariff!A"&amp;MATCH(Raeburn_Main_Tariff[[#This Row],[Product Code]],Main_Tariff!I:I,0),"#Main_Tariff!A"&amp;MATCH("*"&amp;RIGHT(A960,8)&amp;"*",Main_Tariff!A:A,0)),Raeburn_Main_Tariff[[#This Row],[PRODUCER]])</f>
        <v>Domaine Louis Boillot</v>
      </c>
      <c r="C960" s="1178" t="s">
        <v>20745</v>
      </c>
      <c r="D960" s="1178" t="s">
        <v>897</v>
      </c>
      <c r="E960" s="1179">
        <v>2014</v>
      </c>
      <c r="F960" s="1282" t="s">
        <v>20240</v>
      </c>
      <c r="G960" s="1368">
        <v>58</v>
      </c>
      <c r="H960" s="1178" t="s">
        <v>20224</v>
      </c>
      <c r="I960" s="1178" t="s">
        <v>4497</v>
      </c>
      <c r="J960" s="1178" t="s">
        <v>662</v>
      </c>
      <c r="K960" s="1178" t="s">
        <v>267</v>
      </c>
      <c r="L960" s="1178" t="s">
        <v>211</v>
      </c>
      <c r="M960" s="1369"/>
      <c r="N960" s="1178"/>
      <c r="O960" s="1178">
        <v>6</v>
      </c>
      <c r="P960" s="1178">
        <v>13</v>
      </c>
    </row>
    <row r="961" spans="1:16">
      <c r="A961" s="1178" t="s">
        <v>20731</v>
      </c>
      <c r="B961" s="1371" t="str">
        <f>HYPERLINK(IFERROR("#Main_Tariff!A"&amp;MATCH(Raeburn_Main_Tariff[[#This Row],[Product Code]],Main_Tariff!I:I,0),"#Main_Tariff!A"&amp;MATCH("*"&amp;RIGHT(A961,8)&amp;"*",Main_Tariff!A:A,0)),Raeburn_Main_Tariff[[#This Row],[PRODUCER]])</f>
        <v>Domaine Louis Boillot</v>
      </c>
      <c r="C961" s="1178" t="s">
        <v>20746</v>
      </c>
      <c r="D961" s="1178" t="s">
        <v>897</v>
      </c>
      <c r="E961" s="1179">
        <v>2019</v>
      </c>
      <c r="F961" s="1282" t="s">
        <v>20240</v>
      </c>
      <c r="G961" s="1368">
        <v>89</v>
      </c>
      <c r="H961" s="1178" t="s">
        <v>20221</v>
      </c>
      <c r="I961" s="1178" t="s">
        <v>4498</v>
      </c>
      <c r="J961" s="1178" t="s">
        <v>662</v>
      </c>
      <c r="K961" s="1178" t="s">
        <v>267</v>
      </c>
      <c r="L961" s="1178" t="s">
        <v>211</v>
      </c>
      <c r="M961" s="1369"/>
      <c r="N961" s="1178"/>
      <c r="O961" s="1178">
        <v>3</v>
      </c>
      <c r="P961" s="1178">
        <v>13</v>
      </c>
    </row>
    <row r="962" spans="1:16">
      <c r="A962" s="1178" t="s">
        <v>20731</v>
      </c>
      <c r="B962" s="1371" t="str">
        <f>HYPERLINK(IFERROR("#Main_Tariff!A"&amp;MATCH(Raeburn_Main_Tariff[[#This Row],[Product Code]],Main_Tariff!I:I,0),"#Main_Tariff!A"&amp;MATCH("*"&amp;RIGHT(A962,8)&amp;"*",Main_Tariff!A:A,0)),Raeburn_Main_Tariff[[#This Row],[PRODUCER]])</f>
        <v>Domaine Louis Boillot</v>
      </c>
      <c r="C962" s="1178" t="s">
        <v>20746</v>
      </c>
      <c r="D962" s="1178" t="s">
        <v>897</v>
      </c>
      <c r="E962" s="1179">
        <v>2018</v>
      </c>
      <c r="F962" s="1282" t="s">
        <v>20240</v>
      </c>
      <c r="G962" s="1368">
        <v>75</v>
      </c>
      <c r="H962" s="1178" t="s">
        <v>20221</v>
      </c>
      <c r="I962" s="1178" t="s">
        <v>4499</v>
      </c>
      <c r="J962" s="1178" t="s">
        <v>662</v>
      </c>
      <c r="K962" s="1178" t="s">
        <v>267</v>
      </c>
      <c r="L962" s="1178" t="s">
        <v>211</v>
      </c>
      <c r="M962" s="1369"/>
      <c r="N962" s="1178"/>
      <c r="O962" s="1178">
        <v>3</v>
      </c>
      <c r="P962" s="1178">
        <v>13.5</v>
      </c>
    </row>
    <row r="963" spans="1:16">
      <c r="A963" s="1178" t="s">
        <v>20731</v>
      </c>
      <c r="B963" s="1371" t="str">
        <f>HYPERLINK(IFERROR("#Main_Tariff!A"&amp;MATCH(Raeburn_Main_Tariff[[#This Row],[Product Code]],Main_Tariff!I:I,0),"#Main_Tariff!A"&amp;MATCH("*"&amp;RIGHT(A963,8)&amp;"*",Main_Tariff!A:A,0)),Raeburn_Main_Tariff[[#This Row],[PRODUCER]])</f>
        <v>Domaine Louis Boillot</v>
      </c>
      <c r="C963" s="1178" t="s">
        <v>20746</v>
      </c>
      <c r="D963" s="1178" t="s">
        <v>897</v>
      </c>
      <c r="E963" s="1179">
        <v>2014</v>
      </c>
      <c r="F963" s="1282" t="s">
        <v>20240</v>
      </c>
      <c r="G963" s="1368">
        <v>75</v>
      </c>
      <c r="H963" s="1178" t="s">
        <v>20221</v>
      </c>
      <c r="I963" s="1178" t="s">
        <v>4500</v>
      </c>
      <c r="J963" s="1178" t="s">
        <v>662</v>
      </c>
      <c r="K963" s="1178" t="s">
        <v>267</v>
      </c>
      <c r="L963" s="1178" t="s">
        <v>211</v>
      </c>
      <c r="M963" s="1369"/>
      <c r="N963" s="1178"/>
      <c r="O963" s="1178">
        <v>6</v>
      </c>
      <c r="P963" s="1178">
        <v>13</v>
      </c>
    </row>
    <row r="964" spans="1:16">
      <c r="A964" s="1178" t="s">
        <v>20731</v>
      </c>
      <c r="B964" s="1371" t="str">
        <f>HYPERLINK(IFERROR("#Main_Tariff!A"&amp;MATCH(Raeburn_Main_Tariff[[#This Row],[Product Code]],Main_Tariff!I:I,0),"#Main_Tariff!A"&amp;MATCH("*"&amp;RIGHT(A964,8)&amp;"*",Main_Tariff!A:A,0)),Raeburn_Main_Tariff[[#This Row],[PRODUCER]])</f>
        <v>Domaine Louis Boillot</v>
      </c>
      <c r="C964" s="1178" t="s">
        <v>20746</v>
      </c>
      <c r="D964" s="1178" t="s">
        <v>897</v>
      </c>
      <c r="E964" s="1179">
        <v>2013</v>
      </c>
      <c r="F964" s="1282" t="s">
        <v>20240</v>
      </c>
      <c r="G964" s="1368">
        <v>75</v>
      </c>
      <c r="H964" s="1178" t="s">
        <v>20224</v>
      </c>
      <c r="I964" s="1178" t="s">
        <v>4501</v>
      </c>
      <c r="J964" s="1178" t="s">
        <v>662</v>
      </c>
      <c r="K964" s="1178" t="s">
        <v>267</v>
      </c>
      <c r="L964" s="1178" t="s">
        <v>211</v>
      </c>
      <c r="M964" s="1369"/>
      <c r="N964" s="1178"/>
      <c r="O964" s="1178">
        <v>6</v>
      </c>
      <c r="P964" s="1178">
        <v>13</v>
      </c>
    </row>
    <row r="965" spans="1:16">
      <c r="A965" s="1178" t="s">
        <v>20731</v>
      </c>
      <c r="B965" s="1371" t="str">
        <f>HYPERLINK(IFERROR("#Main_Tariff!A"&amp;MATCH(Raeburn_Main_Tariff[[#This Row],[Product Code]],Main_Tariff!I:I,0),"#Main_Tariff!A"&amp;MATCH("*"&amp;RIGHT(A965,8)&amp;"*",Main_Tariff!A:A,0)),Raeburn_Main_Tariff[[#This Row],[PRODUCER]])</f>
        <v>Domaine Louis Boillot</v>
      </c>
      <c r="C965" s="1178" t="s">
        <v>20747</v>
      </c>
      <c r="D965" s="1178" t="s">
        <v>897</v>
      </c>
      <c r="E965" s="1179">
        <v>2018</v>
      </c>
      <c r="F965" s="1282" t="s">
        <v>20240</v>
      </c>
      <c r="G965" s="1368">
        <v>142</v>
      </c>
      <c r="H965" s="1178" t="s">
        <v>20224</v>
      </c>
      <c r="I965" s="1178" t="s">
        <v>4502</v>
      </c>
      <c r="J965" s="1178" t="s">
        <v>662</v>
      </c>
      <c r="K965" s="1178" t="s">
        <v>267</v>
      </c>
      <c r="L965" s="1178" t="s">
        <v>211</v>
      </c>
      <c r="M965" s="1369" t="s">
        <v>23297</v>
      </c>
      <c r="N965" s="1178"/>
      <c r="O965" s="1178">
        <v>3</v>
      </c>
      <c r="P965" s="1178">
        <v>13</v>
      </c>
    </row>
    <row r="966" spans="1:16">
      <c r="A966" s="1178" t="s">
        <v>20731</v>
      </c>
      <c r="B966" s="1371" t="str">
        <f>HYPERLINK(IFERROR("#Main_Tariff!A"&amp;MATCH(Raeburn_Main_Tariff[[#This Row],[Product Code]],Main_Tariff!I:I,0),"#Main_Tariff!A"&amp;MATCH("*"&amp;RIGHT(A966,8)&amp;"*",Main_Tariff!A:A,0)),Raeburn_Main_Tariff[[#This Row],[PRODUCER]])</f>
        <v>Domaine Louis Boillot</v>
      </c>
      <c r="C966" s="1178" t="s">
        <v>20748</v>
      </c>
      <c r="D966" s="1178" t="s">
        <v>897</v>
      </c>
      <c r="E966" s="1179">
        <v>2018</v>
      </c>
      <c r="F966" s="1282" t="s">
        <v>20240</v>
      </c>
      <c r="G966" s="1368">
        <v>145</v>
      </c>
      <c r="H966" s="1178" t="s">
        <v>20224</v>
      </c>
      <c r="I966" s="1178" t="s">
        <v>4503</v>
      </c>
      <c r="J966" s="1178" t="s">
        <v>662</v>
      </c>
      <c r="K966" s="1178" t="s">
        <v>267</v>
      </c>
      <c r="L966" s="1178" t="s">
        <v>211</v>
      </c>
      <c r="M966" s="1369" t="s">
        <v>23297</v>
      </c>
      <c r="N966" s="1178"/>
      <c r="O966" s="1178">
        <v>3</v>
      </c>
      <c r="P966" s="1178">
        <v>13</v>
      </c>
    </row>
    <row r="967" spans="1:16">
      <c r="A967" s="1178" t="s">
        <v>20731</v>
      </c>
      <c r="B967" s="1371" t="str">
        <f>HYPERLINK(IFERROR("#Main_Tariff!A"&amp;MATCH(Raeburn_Main_Tariff[[#This Row],[Product Code]],Main_Tariff!I:I,0),"#Main_Tariff!A"&amp;MATCH("*"&amp;RIGHT(A967,8)&amp;"*",Main_Tariff!A:A,0)),Raeburn_Main_Tariff[[#This Row],[PRODUCER]])</f>
        <v>Domaine Louis Boillot</v>
      </c>
      <c r="C967" s="1178" t="s">
        <v>20749</v>
      </c>
      <c r="D967" s="1178" t="s">
        <v>897</v>
      </c>
      <c r="E967" s="1179">
        <v>2014</v>
      </c>
      <c r="F967" s="1282" t="s">
        <v>20240</v>
      </c>
      <c r="G967" s="1368">
        <v>78</v>
      </c>
      <c r="H967" s="1178" t="s">
        <v>20224</v>
      </c>
      <c r="I967" s="1178" t="s">
        <v>4505</v>
      </c>
      <c r="J967" s="1178" t="s">
        <v>662</v>
      </c>
      <c r="K967" s="1178" t="s">
        <v>267</v>
      </c>
      <c r="L967" s="1178" t="s">
        <v>211</v>
      </c>
      <c r="M967" s="1369"/>
      <c r="N967" s="1178"/>
      <c r="O967" s="1178">
        <v>6</v>
      </c>
      <c r="P967" s="1178">
        <v>13</v>
      </c>
    </row>
    <row r="968" spans="1:16">
      <c r="A968" s="1178" t="s">
        <v>20731</v>
      </c>
      <c r="B968" s="1371" t="str">
        <f>HYPERLINK(IFERROR("#Main_Tariff!A"&amp;MATCH(Raeburn_Main_Tariff[[#This Row],[Product Code]],Main_Tariff!I:I,0),"#Main_Tariff!A"&amp;MATCH("*"&amp;RIGHT(A968,8)&amp;"*",Main_Tariff!A:A,0)),Raeburn_Main_Tariff[[#This Row],[PRODUCER]])</f>
        <v>Domaine Louis Boillot</v>
      </c>
      <c r="C968" s="1178" t="s">
        <v>20750</v>
      </c>
      <c r="D968" s="1178" t="s">
        <v>897</v>
      </c>
      <c r="E968" s="1179">
        <v>2018</v>
      </c>
      <c r="F968" s="1282" t="s">
        <v>20240</v>
      </c>
      <c r="G968" s="1368">
        <v>142</v>
      </c>
      <c r="H968" s="1178" t="s">
        <v>20224</v>
      </c>
      <c r="I968" s="1178" t="s">
        <v>4506</v>
      </c>
      <c r="J968" s="1178" t="s">
        <v>662</v>
      </c>
      <c r="K968" s="1178" t="s">
        <v>267</v>
      </c>
      <c r="L968" s="1178" t="s">
        <v>211</v>
      </c>
      <c r="M968" s="1369" t="s">
        <v>23297</v>
      </c>
      <c r="N968" s="1178"/>
      <c r="O968" s="1178">
        <v>3</v>
      </c>
      <c r="P968" s="1178">
        <v>13</v>
      </c>
    </row>
    <row r="969" spans="1:16">
      <c r="A969" s="1178" t="s">
        <v>20751</v>
      </c>
      <c r="B969" s="1371" t="str">
        <f>HYPERLINK(IFERROR("#Main_Tariff!A"&amp;MATCH(Raeburn_Main_Tariff[[#This Row],[Product Code]],Main_Tariff!I:I,0),"#Main_Tariff!A"&amp;MATCH("*"&amp;RIGHT(A969,8)&amp;"*",Main_Tariff!A:A,0)),Raeburn_Main_Tariff[[#This Row],[PRODUCER]])</f>
        <v>Domaine Sylvain Cathiard</v>
      </c>
      <c r="C969" s="1178" t="s">
        <v>20752</v>
      </c>
      <c r="D969" s="1178" t="s">
        <v>1129</v>
      </c>
      <c r="E969" s="1179">
        <v>2023</v>
      </c>
      <c r="F969" s="1282" t="s">
        <v>20220</v>
      </c>
      <c r="G969" s="1368" t="s">
        <v>5258</v>
      </c>
      <c r="H969" s="1178" t="s">
        <v>20221</v>
      </c>
      <c r="I969" s="1178" t="s">
        <v>4514</v>
      </c>
      <c r="J969" s="1178" t="s">
        <v>662</v>
      </c>
      <c r="K969" s="1178" t="s">
        <v>267</v>
      </c>
      <c r="L969" s="1178" t="s">
        <v>211</v>
      </c>
      <c r="M969" s="1369"/>
      <c r="N969" s="1178"/>
      <c r="O969" s="1178">
        <v>6</v>
      </c>
      <c r="P969" s="1178">
        <v>12</v>
      </c>
    </row>
    <row r="970" spans="1:16">
      <c r="A970" s="1178" t="s">
        <v>20751</v>
      </c>
      <c r="B970" s="1371" t="str">
        <f>HYPERLINK(IFERROR("#Main_Tariff!A"&amp;MATCH(Raeburn_Main_Tariff[[#This Row],[Product Code]],Main_Tariff!I:I,0),"#Main_Tariff!A"&amp;MATCH("*"&amp;RIGHT(A970,8)&amp;"*",Main_Tariff!A:A,0)),Raeburn_Main_Tariff[[#This Row],[PRODUCER]])</f>
        <v>Domaine Sylvain Cathiard</v>
      </c>
      <c r="C970" s="1178" t="s">
        <v>20752</v>
      </c>
      <c r="D970" s="1178" t="s">
        <v>1129</v>
      </c>
      <c r="E970" s="1179">
        <v>2022</v>
      </c>
      <c r="F970" s="1282" t="s">
        <v>20220</v>
      </c>
      <c r="G970" s="1368" t="s">
        <v>5258</v>
      </c>
      <c r="H970" s="1178" t="s">
        <v>20221</v>
      </c>
      <c r="I970" s="1178" t="s">
        <v>4103</v>
      </c>
      <c r="J970" s="1178" t="s">
        <v>662</v>
      </c>
      <c r="K970" s="1178" t="s">
        <v>267</v>
      </c>
      <c r="L970" s="1178" t="s">
        <v>211</v>
      </c>
      <c r="M970" s="1369"/>
      <c r="N970" s="1178"/>
      <c r="O970" s="1178">
        <v>6</v>
      </c>
      <c r="P970" s="1178">
        <v>12.5</v>
      </c>
    </row>
    <row r="971" spans="1:16">
      <c r="A971" s="1178" t="s">
        <v>20751</v>
      </c>
      <c r="B971" s="1371" t="str">
        <f>HYPERLINK(IFERROR("#Main_Tariff!A"&amp;MATCH(Raeburn_Main_Tariff[[#This Row],[Product Code]],Main_Tariff!I:I,0),"#Main_Tariff!A"&amp;MATCH("*"&amp;RIGHT(A971,8)&amp;"*",Main_Tariff!A:A,0)),Raeburn_Main_Tariff[[#This Row],[PRODUCER]])</f>
        <v>Domaine Sylvain Cathiard</v>
      </c>
      <c r="C971" s="1178" t="s">
        <v>4519</v>
      </c>
      <c r="D971" s="1178" t="s">
        <v>897</v>
      </c>
      <c r="E971" s="1179">
        <v>2022</v>
      </c>
      <c r="F971" s="1282" t="s">
        <v>20220</v>
      </c>
      <c r="G971" s="1368" t="s">
        <v>5258</v>
      </c>
      <c r="H971" s="1178" t="s">
        <v>20224</v>
      </c>
      <c r="I971" s="1178" t="s">
        <v>4521</v>
      </c>
      <c r="J971" s="1178" t="s">
        <v>662</v>
      </c>
      <c r="K971" s="1178" t="s">
        <v>267</v>
      </c>
      <c r="L971" s="1178" t="s">
        <v>211</v>
      </c>
      <c r="M971" s="1369"/>
      <c r="N971" s="1178"/>
      <c r="O971" s="1178">
        <v>6</v>
      </c>
      <c r="P971" s="1178">
        <v>12.5</v>
      </c>
    </row>
    <row r="972" spans="1:16">
      <c r="A972" s="1178" t="s">
        <v>20751</v>
      </c>
      <c r="B972" s="1371" t="str">
        <f>HYPERLINK(IFERROR("#Main_Tariff!A"&amp;MATCH(Raeburn_Main_Tariff[[#This Row],[Product Code]],Main_Tariff!I:I,0),"#Main_Tariff!A"&amp;MATCH("*"&amp;RIGHT(A972,8)&amp;"*",Main_Tariff!A:A,0)),Raeburn_Main_Tariff[[#This Row],[PRODUCER]])</f>
        <v>Domaine Sylvain Cathiard</v>
      </c>
      <c r="C972" s="1178" t="s">
        <v>4519</v>
      </c>
      <c r="D972" s="1178" t="s">
        <v>897</v>
      </c>
      <c r="E972" s="1179">
        <v>2021</v>
      </c>
      <c r="F972" s="1282" t="s">
        <v>20220</v>
      </c>
      <c r="G972" s="1368" t="s">
        <v>5258</v>
      </c>
      <c r="H972" s="1178" t="s">
        <v>20224</v>
      </c>
      <c r="I972" s="1178" t="s">
        <v>4523</v>
      </c>
      <c r="J972" s="1178" t="s">
        <v>662</v>
      </c>
      <c r="K972" s="1178" t="s">
        <v>267</v>
      </c>
      <c r="L972" s="1178" t="s">
        <v>211</v>
      </c>
      <c r="M972" s="1369"/>
      <c r="N972" s="1178"/>
      <c r="O972" s="1178">
        <v>6</v>
      </c>
      <c r="P972" s="1178">
        <v>12</v>
      </c>
    </row>
    <row r="973" spans="1:16">
      <c r="A973" s="1178" t="s">
        <v>20751</v>
      </c>
      <c r="B973" s="1371" t="str">
        <f>HYPERLINK(IFERROR("#Main_Tariff!A"&amp;MATCH(Raeburn_Main_Tariff[[#This Row],[Product Code]],Main_Tariff!I:I,0),"#Main_Tariff!A"&amp;MATCH("*"&amp;RIGHT(A973,8)&amp;"*",Main_Tariff!A:A,0)),Raeburn_Main_Tariff[[#This Row],[PRODUCER]])</f>
        <v>Domaine Sylvain Cathiard</v>
      </c>
      <c r="C973" s="1178" t="s">
        <v>4519</v>
      </c>
      <c r="D973" s="1178" t="s">
        <v>897</v>
      </c>
      <c r="E973" s="1179">
        <v>2020</v>
      </c>
      <c r="F973" s="1282" t="s">
        <v>20220</v>
      </c>
      <c r="G973" s="1368" t="s">
        <v>5258</v>
      </c>
      <c r="H973" s="1178" t="s">
        <v>20224</v>
      </c>
      <c r="I973" s="1178" t="s">
        <v>4525</v>
      </c>
      <c r="J973" s="1178" t="s">
        <v>662</v>
      </c>
      <c r="K973" s="1178" t="s">
        <v>267</v>
      </c>
      <c r="L973" s="1178" t="s">
        <v>211</v>
      </c>
      <c r="M973" s="1369"/>
      <c r="N973" s="1178"/>
      <c r="O973" s="1178">
        <v>6</v>
      </c>
      <c r="P973" s="1178">
        <v>14</v>
      </c>
    </row>
    <row r="974" spans="1:16">
      <c r="A974" s="1178" t="s">
        <v>20751</v>
      </c>
      <c r="B974" s="1371" t="str">
        <f>HYPERLINK(IFERROR("#Main_Tariff!A"&amp;MATCH(Raeburn_Main_Tariff[[#This Row],[Product Code]],Main_Tariff!I:I,0),"#Main_Tariff!A"&amp;MATCH("*"&amp;RIGHT(A974,8)&amp;"*",Main_Tariff!A:A,0)),Raeburn_Main_Tariff[[#This Row],[PRODUCER]])</f>
        <v>Domaine Sylvain Cathiard</v>
      </c>
      <c r="C974" s="1178" t="s">
        <v>4519</v>
      </c>
      <c r="D974" s="1178" t="s">
        <v>897</v>
      </c>
      <c r="E974" s="1179">
        <v>2018</v>
      </c>
      <c r="F974" s="1282" t="s">
        <v>20220</v>
      </c>
      <c r="G974" s="1368" t="s">
        <v>5258</v>
      </c>
      <c r="H974" s="1178" t="s">
        <v>20224</v>
      </c>
      <c r="I974" s="1178" t="s">
        <v>4527</v>
      </c>
      <c r="J974" s="1178" t="s">
        <v>662</v>
      </c>
      <c r="K974" s="1178" t="s">
        <v>267</v>
      </c>
      <c r="L974" s="1178" t="s">
        <v>211</v>
      </c>
      <c r="M974" s="1369"/>
      <c r="N974" s="1178"/>
      <c r="O974" s="1178">
        <v>6</v>
      </c>
      <c r="P974" s="1178">
        <v>13</v>
      </c>
    </row>
    <row r="975" spans="1:16">
      <c r="A975" s="1178" t="s">
        <v>20751</v>
      </c>
      <c r="B975" s="1371" t="str">
        <f>HYPERLINK(IFERROR("#Main_Tariff!A"&amp;MATCH(Raeburn_Main_Tariff[[#This Row],[Product Code]],Main_Tariff!I:I,0),"#Main_Tariff!A"&amp;MATCH("*"&amp;RIGHT(A975,8)&amp;"*",Main_Tariff!A:A,0)),Raeburn_Main_Tariff[[#This Row],[PRODUCER]])</f>
        <v>Domaine Sylvain Cathiard</v>
      </c>
      <c r="C975" s="1178" t="s">
        <v>4519</v>
      </c>
      <c r="D975" s="1178" t="s">
        <v>897</v>
      </c>
      <c r="E975" s="1179">
        <v>2017</v>
      </c>
      <c r="F975" s="1282" t="s">
        <v>20220</v>
      </c>
      <c r="G975" s="1368" t="s">
        <v>5258</v>
      </c>
      <c r="H975" s="1178" t="s">
        <v>20224</v>
      </c>
      <c r="I975" s="1178" t="s">
        <v>4529</v>
      </c>
      <c r="J975" s="1178" t="s">
        <v>662</v>
      </c>
      <c r="K975" s="1178" t="s">
        <v>267</v>
      </c>
      <c r="L975" s="1178" t="s">
        <v>211</v>
      </c>
      <c r="M975" s="1369"/>
      <c r="N975" s="1178"/>
      <c r="O975" s="1178">
        <v>6</v>
      </c>
      <c r="P975" s="1178">
        <v>12.5</v>
      </c>
    </row>
    <row r="976" spans="1:16">
      <c r="A976" s="1178" t="s">
        <v>20751</v>
      </c>
      <c r="B976" s="1371" t="str">
        <f>HYPERLINK(IFERROR("#Main_Tariff!A"&amp;MATCH(Raeburn_Main_Tariff[[#This Row],[Product Code]],Main_Tariff!I:I,0),"#Main_Tariff!A"&amp;MATCH("*"&amp;RIGHT(A976,8)&amp;"*",Main_Tariff!A:A,0)),Raeburn_Main_Tariff[[#This Row],[PRODUCER]])</f>
        <v>Domaine Sylvain Cathiard</v>
      </c>
      <c r="C976" s="1178" t="s">
        <v>4519</v>
      </c>
      <c r="D976" s="1178" t="s">
        <v>897</v>
      </c>
      <c r="E976" s="1179">
        <v>2016</v>
      </c>
      <c r="F976" s="1282" t="s">
        <v>20220</v>
      </c>
      <c r="G976" s="1368" t="s">
        <v>5258</v>
      </c>
      <c r="H976" s="1178" t="s">
        <v>20224</v>
      </c>
      <c r="I976" s="1178" t="s">
        <v>4531</v>
      </c>
      <c r="J976" s="1178" t="s">
        <v>662</v>
      </c>
      <c r="K976" s="1178" t="s">
        <v>267</v>
      </c>
      <c r="L976" s="1178" t="s">
        <v>211</v>
      </c>
      <c r="M976" s="1369"/>
      <c r="N976" s="1178"/>
      <c r="O976" s="1178">
        <v>6</v>
      </c>
      <c r="P976" s="1178">
        <v>12.5</v>
      </c>
    </row>
    <row r="977" spans="1:16">
      <c r="A977" s="1178" t="s">
        <v>20751</v>
      </c>
      <c r="B977" s="1371" t="str">
        <f>HYPERLINK(IFERROR("#Main_Tariff!A"&amp;MATCH(Raeburn_Main_Tariff[[#This Row],[Product Code]],Main_Tariff!I:I,0),"#Main_Tariff!A"&amp;MATCH("*"&amp;RIGHT(A977,8)&amp;"*",Main_Tariff!A:A,0)),Raeburn_Main_Tariff[[#This Row],[PRODUCER]])</f>
        <v>Domaine Sylvain Cathiard</v>
      </c>
      <c r="C977" s="1178" t="s">
        <v>6176</v>
      </c>
      <c r="D977" s="1178" t="s">
        <v>897</v>
      </c>
      <c r="E977" s="1179">
        <v>2022</v>
      </c>
      <c r="F977" s="1282" t="s">
        <v>20220</v>
      </c>
      <c r="G977" s="1368" t="s">
        <v>5258</v>
      </c>
      <c r="H977" s="1178" t="s">
        <v>20221</v>
      </c>
      <c r="I977" s="1178" t="s">
        <v>4533</v>
      </c>
      <c r="J977" s="1178" t="s">
        <v>662</v>
      </c>
      <c r="K977" s="1178" t="s">
        <v>267</v>
      </c>
      <c r="L977" s="1178" t="s">
        <v>211</v>
      </c>
      <c r="M977" s="1369"/>
      <c r="N977" s="1178"/>
      <c r="O977" s="1178">
        <v>6</v>
      </c>
      <c r="P977" s="1178">
        <v>12.5</v>
      </c>
    </row>
    <row r="978" spans="1:16">
      <c r="A978" s="1178" t="s">
        <v>20751</v>
      </c>
      <c r="B978" s="1371" t="str">
        <f>HYPERLINK(IFERROR("#Main_Tariff!A"&amp;MATCH(Raeburn_Main_Tariff[[#This Row],[Product Code]],Main_Tariff!I:I,0),"#Main_Tariff!A"&amp;MATCH("*"&amp;RIGHT(A978,8)&amp;"*",Main_Tariff!A:A,0)),Raeburn_Main_Tariff[[#This Row],[PRODUCER]])</f>
        <v>Domaine Sylvain Cathiard</v>
      </c>
      <c r="C978" s="1178" t="s">
        <v>6176</v>
      </c>
      <c r="D978" s="1178" t="s">
        <v>897</v>
      </c>
      <c r="E978" s="1179">
        <v>2019</v>
      </c>
      <c r="F978" s="1282" t="s">
        <v>20220</v>
      </c>
      <c r="G978" s="1368" t="s">
        <v>5258</v>
      </c>
      <c r="H978" s="1178" t="s">
        <v>20224</v>
      </c>
      <c r="I978" s="1178" t="s">
        <v>4535</v>
      </c>
      <c r="J978" s="1178" t="s">
        <v>662</v>
      </c>
      <c r="K978" s="1178" t="s">
        <v>267</v>
      </c>
      <c r="L978" s="1178" t="s">
        <v>211</v>
      </c>
      <c r="M978" s="1369"/>
      <c r="N978" s="1178"/>
      <c r="O978" s="1178">
        <v>6</v>
      </c>
      <c r="P978" s="1178">
        <v>13.5</v>
      </c>
    </row>
    <row r="979" spans="1:16">
      <c r="A979" s="1178" t="s">
        <v>20751</v>
      </c>
      <c r="B979" s="1371" t="str">
        <f>HYPERLINK(IFERROR("#Main_Tariff!A"&amp;MATCH(Raeburn_Main_Tariff[[#This Row],[Product Code]],Main_Tariff!I:I,0),"#Main_Tariff!A"&amp;MATCH("*"&amp;RIGHT(A979,8)&amp;"*",Main_Tariff!A:A,0)),Raeburn_Main_Tariff[[#This Row],[PRODUCER]])</f>
        <v>Domaine Sylvain Cathiard</v>
      </c>
      <c r="C979" s="1178" t="s">
        <v>20753</v>
      </c>
      <c r="D979" s="1178" t="s">
        <v>897</v>
      </c>
      <c r="E979" s="1179">
        <v>2022</v>
      </c>
      <c r="F979" s="1282" t="s">
        <v>20220</v>
      </c>
      <c r="G979" s="1368" t="s">
        <v>5258</v>
      </c>
      <c r="H979" s="1178" t="s">
        <v>20221</v>
      </c>
      <c r="I979" s="1178" t="s">
        <v>4537</v>
      </c>
      <c r="J979" s="1178" t="s">
        <v>662</v>
      </c>
      <c r="K979" s="1178" t="s">
        <v>267</v>
      </c>
      <c r="L979" s="1178" t="s">
        <v>211</v>
      </c>
      <c r="M979" s="1369"/>
      <c r="N979" s="1178"/>
      <c r="O979" s="1178">
        <v>6</v>
      </c>
      <c r="P979" s="1178">
        <v>13</v>
      </c>
    </row>
    <row r="980" spans="1:16">
      <c r="A980" s="1178" t="s">
        <v>20751</v>
      </c>
      <c r="B980" s="1371" t="str">
        <f>HYPERLINK(IFERROR("#Main_Tariff!A"&amp;MATCH(Raeburn_Main_Tariff[[#This Row],[Product Code]],Main_Tariff!I:I,0),"#Main_Tariff!A"&amp;MATCH("*"&amp;RIGHT(A980,8)&amp;"*",Main_Tariff!A:A,0)),Raeburn_Main_Tariff[[#This Row],[PRODUCER]])</f>
        <v>Domaine Sylvain Cathiard</v>
      </c>
      <c r="C980" s="1178" t="s">
        <v>20753</v>
      </c>
      <c r="D980" s="1178" t="s">
        <v>897</v>
      </c>
      <c r="E980" s="1179">
        <v>2021</v>
      </c>
      <c r="F980" s="1282" t="s">
        <v>20220</v>
      </c>
      <c r="G980" s="1368" t="s">
        <v>5258</v>
      </c>
      <c r="H980" s="1178" t="s">
        <v>20221</v>
      </c>
      <c r="I980" s="1178" t="s">
        <v>4539</v>
      </c>
      <c r="J980" s="1178" t="s">
        <v>662</v>
      </c>
      <c r="K980" s="1178" t="s">
        <v>267</v>
      </c>
      <c r="L980" s="1178" t="s">
        <v>211</v>
      </c>
      <c r="M980" s="1369"/>
      <c r="N980" s="1178"/>
      <c r="O980" s="1178">
        <v>6</v>
      </c>
      <c r="P980" s="1178">
        <v>12.5</v>
      </c>
    </row>
    <row r="981" spans="1:16">
      <c r="A981" s="1178" t="s">
        <v>20751</v>
      </c>
      <c r="B981" s="1371" t="str">
        <f>HYPERLINK(IFERROR("#Main_Tariff!A"&amp;MATCH(Raeburn_Main_Tariff[[#This Row],[Product Code]],Main_Tariff!I:I,0),"#Main_Tariff!A"&amp;MATCH("*"&amp;RIGHT(A981,8)&amp;"*",Main_Tariff!A:A,0)),Raeburn_Main_Tariff[[#This Row],[PRODUCER]])</f>
        <v>Domaine Sylvain Cathiard</v>
      </c>
      <c r="C981" s="1178" t="s">
        <v>20754</v>
      </c>
      <c r="D981" s="1178" t="s">
        <v>897</v>
      </c>
      <c r="E981" s="1179">
        <v>2022</v>
      </c>
      <c r="F981" s="1282" t="s">
        <v>20220</v>
      </c>
      <c r="G981" s="1368" t="s">
        <v>5258</v>
      </c>
      <c r="H981" s="1178" t="s">
        <v>20221</v>
      </c>
      <c r="I981" s="1178" t="s">
        <v>4541</v>
      </c>
      <c r="J981" s="1178" t="s">
        <v>662</v>
      </c>
      <c r="K981" s="1178" t="s">
        <v>267</v>
      </c>
      <c r="L981" s="1178" t="s">
        <v>211</v>
      </c>
      <c r="M981" s="1369"/>
      <c r="N981" s="1178"/>
      <c r="O981" s="1178">
        <v>6</v>
      </c>
      <c r="P981" s="1178">
        <v>12</v>
      </c>
    </row>
    <row r="982" spans="1:16">
      <c r="A982" s="1178" t="s">
        <v>20751</v>
      </c>
      <c r="B982" s="1371" t="str">
        <f>HYPERLINK(IFERROR("#Main_Tariff!A"&amp;MATCH(Raeburn_Main_Tariff[[#This Row],[Product Code]],Main_Tariff!I:I,0),"#Main_Tariff!A"&amp;MATCH("*"&amp;RIGHT(A982,8)&amp;"*",Main_Tariff!A:A,0)),Raeburn_Main_Tariff[[#This Row],[PRODUCER]])</f>
        <v>Domaine Sylvain Cathiard</v>
      </c>
      <c r="C982" s="1178" t="s">
        <v>20754</v>
      </c>
      <c r="D982" s="1178" t="s">
        <v>897</v>
      </c>
      <c r="E982" s="1179">
        <v>2021</v>
      </c>
      <c r="F982" s="1282" t="s">
        <v>20220</v>
      </c>
      <c r="G982" s="1368" t="s">
        <v>5258</v>
      </c>
      <c r="H982" s="1178" t="s">
        <v>20221</v>
      </c>
      <c r="I982" s="1178" t="s">
        <v>4543</v>
      </c>
      <c r="J982" s="1178" t="s">
        <v>662</v>
      </c>
      <c r="K982" s="1178" t="s">
        <v>267</v>
      </c>
      <c r="L982" s="1178" t="s">
        <v>211</v>
      </c>
      <c r="M982" s="1369"/>
      <c r="N982" s="1178"/>
      <c r="O982" s="1178">
        <v>6</v>
      </c>
      <c r="P982" s="1178">
        <v>12.5</v>
      </c>
    </row>
    <row r="983" spans="1:16">
      <c r="A983" s="1178" t="s">
        <v>20751</v>
      </c>
      <c r="B983" s="1371" t="str">
        <f>HYPERLINK(IFERROR("#Main_Tariff!A"&amp;MATCH(Raeburn_Main_Tariff[[#This Row],[Product Code]],Main_Tariff!I:I,0),"#Main_Tariff!A"&amp;MATCH("*"&amp;RIGHT(A983,8)&amp;"*",Main_Tariff!A:A,0)),Raeburn_Main_Tariff[[#This Row],[PRODUCER]])</f>
        <v>Domaine Sylvain Cathiard</v>
      </c>
      <c r="C983" s="1178" t="s">
        <v>20755</v>
      </c>
      <c r="D983" s="1178" t="s">
        <v>897</v>
      </c>
      <c r="E983" s="1179">
        <v>2022</v>
      </c>
      <c r="F983" s="1282" t="s">
        <v>20220</v>
      </c>
      <c r="G983" s="1368" t="s">
        <v>5258</v>
      </c>
      <c r="H983" s="1178" t="s">
        <v>20221</v>
      </c>
      <c r="I983" s="1178" t="s">
        <v>4545</v>
      </c>
      <c r="J983" s="1178" t="s">
        <v>662</v>
      </c>
      <c r="K983" s="1178" t="s">
        <v>267</v>
      </c>
      <c r="L983" s="1178" t="s">
        <v>211</v>
      </c>
      <c r="M983" s="1369"/>
      <c r="N983" s="1178"/>
      <c r="O983" s="1178">
        <v>6</v>
      </c>
      <c r="P983" s="1178">
        <v>12</v>
      </c>
    </row>
    <row r="984" spans="1:16">
      <c r="A984" s="1178" t="s">
        <v>20751</v>
      </c>
      <c r="B984" s="1371" t="str">
        <f>HYPERLINK(IFERROR("#Main_Tariff!A"&amp;MATCH(Raeburn_Main_Tariff[[#This Row],[Product Code]],Main_Tariff!I:I,0),"#Main_Tariff!A"&amp;MATCH("*"&amp;RIGHT(A984,8)&amp;"*",Main_Tariff!A:A,0)),Raeburn_Main_Tariff[[#This Row],[PRODUCER]])</f>
        <v>Domaine Sylvain Cathiard</v>
      </c>
      <c r="C984" s="1178" t="s">
        <v>20755</v>
      </c>
      <c r="D984" s="1178" t="s">
        <v>897</v>
      </c>
      <c r="E984" s="1179">
        <v>2021</v>
      </c>
      <c r="F984" s="1282" t="s">
        <v>20220</v>
      </c>
      <c r="G984" s="1368" t="s">
        <v>5258</v>
      </c>
      <c r="H984" s="1178" t="s">
        <v>20221</v>
      </c>
      <c r="I984" s="1178" t="s">
        <v>4547</v>
      </c>
      <c r="J984" s="1178" t="s">
        <v>662</v>
      </c>
      <c r="K984" s="1178" t="s">
        <v>267</v>
      </c>
      <c r="L984" s="1178" t="s">
        <v>211</v>
      </c>
      <c r="M984" s="1369"/>
      <c r="N984" s="1178"/>
      <c r="O984" s="1178">
        <v>6</v>
      </c>
      <c r="P984" s="1178">
        <v>12.5</v>
      </c>
    </row>
    <row r="985" spans="1:16">
      <c r="A985" s="1178" t="s">
        <v>20751</v>
      </c>
      <c r="B985" s="1371" t="str">
        <f>HYPERLINK(IFERROR("#Main_Tariff!A"&amp;MATCH(Raeburn_Main_Tariff[[#This Row],[Product Code]],Main_Tariff!I:I,0),"#Main_Tariff!A"&amp;MATCH("*"&amp;RIGHT(A985,8)&amp;"*",Main_Tariff!A:A,0)),Raeburn_Main_Tariff[[#This Row],[PRODUCER]])</f>
        <v>Domaine Sylvain Cathiard</v>
      </c>
      <c r="C985" s="1178" t="s">
        <v>20756</v>
      </c>
      <c r="D985" s="1178" t="s">
        <v>897</v>
      </c>
      <c r="E985" s="1179">
        <v>2022</v>
      </c>
      <c r="F985" s="1282" t="s">
        <v>20220</v>
      </c>
      <c r="G985" s="1368" t="s">
        <v>5258</v>
      </c>
      <c r="H985" s="1178" t="s">
        <v>20224</v>
      </c>
      <c r="I985" s="1178" t="s">
        <v>4557</v>
      </c>
      <c r="J985" s="1178" t="s">
        <v>662</v>
      </c>
      <c r="K985" s="1178" t="s">
        <v>267</v>
      </c>
      <c r="L985" s="1178" t="s">
        <v>211</v>
      </c>
      <c r="M985" s="1369"/>
      <c r="N985" s="1178"/>
      <c r="O985" s="1178">
        <v>6</v>
      </c>
      <c r="P985" s="1178">
        <v>12.5</v>
      </c>
    </row>
    <row r="986" spans="1:16">
      <c r="A986" s="1178" t="s">
        <v>20751</v>
      </c>
      <c r="B986" s="1371" t="str">
        <f>HYPERLINK(IFERROR("#Main_Tariff!A"&amp;MATCH(Raeburn_Main_Tariff[[#This Row],[Product Code]],Main_Tariff!I:I,0),"#Main_Tariff!A"&amp;MATCH("*"&amp;RIGHT(A986,8)&amp;"*",Main_Tariff!A:A,0)),Raeburn_Main_Tariff[[#This Row],[PRODUCER]])</f>
        <v>Domaine Sylvain Cathiard</v>
      </c>
      <c r="C986" s="1178" t="s">
        <v>20741</v>
      </c>
      <c r="D986" s="1178" t="s">
        <v>897</v>
      </c>
      <c r="E986" s="1179">
        <v>2022</v>
      </c>
      <c r="F986" s="1282" t="s">
        <v>20220</v>
      </c>
      <c r="G986" s="1368" t="s">
        <v>5258</v>
      </c>
      <c r="H986" s="1178" t="s">
        <v>20224</v>
      </c>
      <c r="I986" s="1178" t="s">
        <v>4550</v>
      </c>
      <c r="J986" s="1178" t="s">
        <v>662</v>
      </c>
      <c r="K986" s="1178" t="s">
        <v>267</v>
      </c>
      <c r="L986" s="1178" t="s">
        <v>211</v>
      </c>
      <c r="M986" s="1369"/>
      <c r="N986" s="1178"/>
      <c r="O986" s="1178">
        <v>6</v>
      </c>
      <c r="P986" s="1178">
        <v>12.5</v>
      </c>
    </row>
    <row r="987" spans="1:16">
      <c r="A987" s="1178" t="s">
        <v>20751</v>
      </c>
      <c r="B987" s="1371" t="str">
        <f>HYPERLINK(IFERROR("#Main_Tariff!A"&amp;MATCH(Raeburn_Main_Tariff[[#This Row],[Product Code]],Main_Tariff!I:I,0),"#Main_Tariff!A"&amp;MATCH("*"&amp;RIGHT(A987,8)&amp;"*",Main_Tariff!A:A,0)),Raeburn_Main_Tariff[[#This Row],[PRODUCER]])</f>
        <v>Domaine Sylvain Cathiard</v>
      </c>
      <c r="C987" s="1178" t="s">
        <v>20757</v>
      </c>
      <c r="D987" s="1178" t="s">
        <v>897</v>
      </c>
      <c r="E987" s="1179">
        <v>2022</v>
      </c>
      <c r="F987" s="1282" t="s">
        <v>20220</v>
      </c>
      <c r="G987" s="1368" t="s">
        <v>5258</v>
      </c>
      <c r="H987" s="1178" t="s">
        <v>20221</v>
      </c>
      <c r="I987" s="1178" t="s">
        <v>4553</v>
      </c>
      <c r="J987" s="1178" t="s">
        <v>662</v>
      </c>
      <c r="K987" s="1178" t="s">
        <v>267</v>
      </c>
      <c r="L987" s="1178" t="s">
        <v>211</v>
      </c>
      <c r="M987" s="1369"/>
      <c r="N987" s="1178"/>
      <c r="O987" s="1178">
        <v>6</v>
      </c>
      <c r="P987" s="1178">
        <v>13</v>
      </c>
    </row>
    <row r="988" spans="1:16">
      <c r="A988" s="1178" t="s">
        <v>20751</v>
      </c>
      <c r="B988" s="1371" t="str">
        <f>HYPERLINK(IFERROR("#Main_Tariff!A"&amp;MATCH(Raeburn_Main_Tariff[[#This Row],[Product Code]],Main_Tariff!I:I,0),"#Main_Tariff!A"&amp;MATCH("*"&amp;RIGHT(A988,8)&amp;"*",Main_Tariff!A:A,0)),Raeburn_Main_Tariff[[#This Row],[PRODUCER]])</f>
        <v>Domaine Sylvain Cathiard</v>
      </c>
      <c r="C988" s="1178" t="s">
        <v>20757</v>
      </c>
      <c r="D988" s="1178" t="s">
        <v>897</v>
      </c>
      <c r="E988" s="1179">
        <v>2018</v>
      </c>
      <c r="F988" s="1282" t="s">
        <v>20220</v>
      </c>
      <c r="G988" s="1368" t="s">
        <v>5258</v>
      </c>
      <c r="H988" s="1178" t="s">
        <v>20224</v>
      </c>
      <c r="I988" s="1178" t="s">
        <v>4555</v>
      </c>
      <c r="J988" s="1178" t="s">
        <v>662</v>
      </c>
      <c r="K988" s="1178" t="s">
        <v>267</v>
      </c>
      <c r="L988" s="1178" t="s">
        <v>211</v>
      </c>
      <c r="M988" s="1369"/>
      <c r="N988" s="1178"/>
      <c r="O988" s="1178">
        <v>6</v>
      </c>
      <c r="P988" s="1178">
        <v>13.5</v>
      </c>
    </row>
    <row r="989" spans="1:16">
      <c r="A989" s="1178" t="s">
        <v>20751</v>
      </c>
      <c r="B989" s="1371" t="str">
        <f>HYPERLINK(IFERROR("#Main_Tariff!A"&amp;MATCH(Raeburn_Main_Tariff[[#This Row],[Product Code]],Main_Tariff!I:I,0),"#Main_Tariff!A"&amp;MATCH("*"&amp;RIGHT(A989,8)&amp;"*",Main_Tariff!A:A,0)),Raeburn_Main_Tariff[[#This Row],[PRODUCER]])</f>
        <v>Domaine Sylvain Cathiard</v>
      </c>
      <c r="C989" s="1178" t="s">
        <v>20758</v>
      </c>
      <c r="D989" s="1178" t="s">
        <v>897</v>
      </c>
      <c r="E989" s="1179">
        <v>2022</v>
      </c>
      <c r="F989" s="1282" t="s">
        <v>20220</v>
      </c>
      <c r="G989" s="1368" t="s">
        <v>5258</v>
      </c>
      <c r="H989" s="1178" t="s">
        <v>20224</v>
      </c>
      <c r="I989" s="1178" t="s">
        <v>4551</v>
      </c>
      <c r="J989" s="1178" t="s">
        <v>662</v>
      </c>
      <c r="K989" s="1178" t="s">
        <v>267</v>
      </c>
      <c r="L989" s="1178" t="s">
        <v>211</v>
      </c>
      <c r="M989" s="1369"/>
      <c r="N989" s="1178"/>
      <c r="O989" s="1178">
        <v>6</v>
      </c>
      <c r="P989" s="1178">
        <v>13</v>
      </c>
    </row>
    <row r="990" spans="1:16">
      <c r="A990" s="1178" t="s">
        <v>20751</v>
      </c>
      <c r="B990" s="1371" t="str">
        <f>HYPERLINK(IFERROR("#Main_Tariff!A"&amp;MATCH(Raeburn_Main_Tariff[[#This Row],[Product Code]],Main_Tariff!I:I,0),"#Main_Tariff!A"&amp;MATCH("*"&amp;RIGHT(A990,8)&amp;"*",Main_Tariff!A:A,0)),Raeburn_Main_Tariff[[#This Row],[PRODUCER]])</f>
        <v>Domaine Sylvain Cathiard</v>
      </c>
      <c r="C990" s="1178" t="s">
        <v>20759</v>
      </c>
      <c r="D990" s="1178" t="s">
        <v>897</v>
      </c>
      <c r="E990" s="1179">
        <v>2022</v>
      </c>
      <c r="F990" s="1282" t="s">
        <v>20220</v>
      </c>
      <c r="G990" s="1368" t="s">
        <v>5258</v>
      </c>
      <c r="H990" s="1178" t="s">
        <v>20224</v>
      </c>
      <c r="I990" s="1178" t="s">
        <v>4560</v>
      </c>
      <c r="J990" s="1178" t="s">
        <v>662</v>
      </c>
      <c r="K990" s="1178" t="s">
        <v>267</v>
      </c>
      <c r="L990" s="1178" t="s">
        <v>211</v>
      </c>
      <c r="M990" s="1369" t="s">
        <v>23297</v>
      </c>
      <c r="N990" s="1178"/>
      <c r="O990" s="1178">
        <v>6</v>
      </c>
      <c r="P990" s="1178">
        <v>13.5</v>
      </c>
    </row>
    <row r="991" spans="1:16">
      <c r="A991" s="1178" t="s">
        <v>20751</v>
      </c>
      <c r="B991" s="1371" t="str">
        <f>HYPERLINK(IFERROR("#Main_Tariff!A"&amp;MATCH(Raeburn_Main_Tariff[[#This Row],[Product Code]],Main_Tariff!I:I,0),"#Main_Tariff!A"&amp;MATCH("*"&amp;RIGHT(A991,8)&amp;"*",Main_Tariff!A:A,0)),Raeburn_Main_Tariff[[#This Row],[PRODUCER]])</f>
        <v>Domaine Sylvain Cathiard</v>
      </c>
      <c r="C991" s="1178" t="s">
        <v>20760</v>
      </c>
      <c r="D991" s="1178" t="s">
        <v>897</v>
      </c>
      <c r="E991" s="1179">
        <v>2022</v>
      </c>
      <c r="F991" s="1282" t="s">
        <v>20220</v>
      </c>
      <c r="G991" s="1368" t="s">
        <v>5258</v>
      </c>
      <c r="H991" s="1178" t="s">
        <v>20224</v>
      </c>
      <c r="I991" s="1178" t="s">
        <v>4562</v>
      </c>
      <c r="J991" s="1178" t="s">
        <v>662</v>
      </c>
      <c r="K991" s="1178" t="s">
        <v>267</v>
      </c>
      <c r="L991" s="1178" t="s">
        <v>211</v>
      </c>
      <c r="M991" s="1369" t="s">
        <v>23297</v>
      </c>
      <c r="N991" s="1178"/>
      <c r="O991" s="1178">
        <v>6</v>
      </c>
      <c r="P991" s="1178">
        <v>13.5</v>
      </c>
    </row>
    <row r="992" spans="1:16">
      <c r="A992" s="1178" t="s">
        <v>20751</v>
      </c>
      <c r="B992" s="1371" t="str">
        <f>HYPERLINK(IFERROR("#Main_Tariff!A"&amp;MATCH(Raeburn_Main_Tariff[[#This Row],[Product Code]],Main_Tariff!I:I,0),"#Main_Tariff!A"&amp;MATCH("*"&amp;RIGHT(A992,8)&amp;"*",Main_Tariff!A:A,0)),Raeburn_Main_Tariff[[#This Row],[PRODUCER]])</f>
        <v>Domaine Sylvain Cathiard</v>
      </c>
      <c r="C992" s="1178" t="s">
        <v>20761</v>
      </c>
      <c r="D992" s="1178" t="s">
        <v>897</v>
      </c>
      <c r="E992" s="1179">
        <v>2022</v>
      </c>
      <c r="F992" s="1282" t="s">
        <v>20220</v>
      </c>
      <c r="G992" s="1368" t="s">
        <v>5258</v>
      </c>
      <c r="H992" s="1178" t="s">
        <v>20224</v>
      </c>
      <c r="I992" s="1178" t="s">
        <v>4564</v>
      </c>
      <c r="J992" s="1178" t="s">
        <v>662</v>
      </c>
      <c r="K992" s="1178" t="s">
        <v>267</v>
      </c>
      <c r="L992" s="1178" t="s">
        <v>211</v>
      </c>
      <c r="M992" s="1369" t="s">
        <v>23297</v>
      </c>
      <c r="N992" s="1178"/>
      <c r="O992" s="1178">
        <v>6</v>
      </c>
      <c r="P992" s="1178">
        <v>13</v>
      </c>
    </row>
    <row r="993" spans="1:16">
      <c r="A993" s="1178" t="s">
        <v>20751</v>
      </c>
      <c r="B993" s="1371" t="str">
        <f>HYPERLINK(IFERROR("#Main_Tariff!A"&amp;MATCH(Raeburn_Main_Tariff[[#This Row],[Product Code]],Main_Tariff!I:I,0),"#Main_Tariff!A"&amp;MATCH("*"&amp;RIGHT(A993,8)&amp;"*",Main_Tariff!A:A,0)),Raeburn_Main_Tariff[[#This Row],[PRODUCER]])</f>
        <v>Domaine Sylvain Cathiard</v>
      </c>
      <c r="C993" s="1178" t="s">
        <v>20762</v>
      </c>
      <c r="D993" s="1178" t="s">
        <v>897</v>
      </c>
      <c r="E993" s="1179"/>
      <c r="F993" s="1282" t="s">
        <v>20220</v>
      </c>
      <c r="G993" s="1368"/>
      <c r="H993" s="1178" t="s">
        <v>3907</v>
      </c>
      <c r="I993" s="1178" t="s">
        <v>4566</v>
      </c>
      <c r="J993" s="1178" t="s">
        <v>662</v>
      </c>
      <c r="K993" s="1178" t="s">
        <v>267</v>
      </c>
      <c r="L993" s="1178" t="s">
        <v>211</v>
      </c>
      <c r="M993" s="1369" t="s">
        <v>23297</v>
      </c>
      <c r="N993" s="1178"/>
      <c r="O993" s="1178">
        <v>6</v>
      </c>
      <c r="P993" s="1178">
        <v>13.5</v>
      </c>
    </row>
    <row r="994" spans="1:16">
      <c r="A994" s="1178" t="s">
        <v>20751</v>
      </c>
      <c r="B994" s="1371" t="str">
        <f>HYPERLINK(IFERROR("#Main_Tariff!A"&amp;MATCH(Raeburn_Main_Tariff[[#This Row],[Product Code]],Main_Tariff!I:I,0),"#Main_Tariff!A"&amp;MATCH("*"&amp;RIGHT(A994,8)&amp;"*",Main_Tariff!A:A,0)),Raeburn_Main_Tariff[[#This Row],[PRODUCER]])</f>
        <v>Domaine Sylvain Cathiard</v>
      </c>
      <c r="C994" s="1178" t="s">
        <v>20763</v>
      </c>
      <c r="D994" s="1178" t="s">
        <v>897</v>
      </c>
      <c r="E994" s="1179"/>
      <c r="F994" s="1282" t="s">
        <v>20220</v>
      </c>
      <c r="G994" s="1368"/>
      <c r="H994" s="1178" t="s">
        <v>3907</v>
      </c>
      <c r="I994" s="1178" t="s">
        <v>4568</v>
      </c>
      <c r="J994" s="1178" t="s">
        <v>662</v>
      </c>
      <c r="K994" s="1178" t="s">
        <v>267</v>
      </c>
      <c r="L994" s="1178" t="s">
        <v>211</v>
      </c>
      <c r="M994" s="1369" t="s">
        <v>23297</v>
      </c>
      <c r="N994" s="1178"/>
      <c r="O994" s="1178">
        <v>6</v>
      </c>
      <c r="P994" s="1178">
        <v>13.5</v>
      </c>
    </row>
    <row r="995" spans="1:16">
      <c r="A995" s="1178" t="s">
        <v>20751</v>
      </c>
      <c r="B995" s="1371" t="str">
        <f>HYPERLINK(IFERROR("#Main_Tariff!A"&amp;MATCH(Raeburn_Main_Tariff[[#This Row],[Product Code]],Main_Tariff!I:I,0),"#Main_Tariff!A"&amp;MATCH("*"&amp;RIGHT(A995,8)&amp;"*",Main_Tariff!A:A,0)),Raeburn_Main_Tariff[[#This Row],[PRODUCER]])</f>
        <v>Domaine Sylvain Cathiard</v>
      </c>
      <c r="C995" s="1178" t="s">
        <v>20764</v>
      </c>
      <c r="D995" s="1178" t="s">
        <v>897</v>
      </c>
      <c r="E995" s="1179">
        <v>2022</v>
      </c>
      <c r="F995" s="1282" t="s">
        <v>20220</v>
      </c>
      <c r="G995" s="1368" t="s">
        <v>5258</v>
      </c>
      <c r="H995" s="1178" t="s">
        <v>20221</v>
      </c>
      <c r="I995" s="1178" t="s">
        <v>4570</v>
      </c>
      <c r="J995" s="1178" t="s">
        <v>662</v>
      </c>
      <c r="K995" s="1178" t="s">
        <v>267</v>
      </c>
      <c r="L995" s="1178" t="s">
        <v>211</v>
      </c>
      <c r="M995" s="1369" t="s">
        <v>23297</v>
      </c>
      <c r="N995" s="1178"/>
      <c r="O995" s="1178">
        <v>6</v>
      </c>
      <c r="P995" s="1178">
        <v>13</v>
      </c>
    </row>
    <row r="996" spans="1:16">
      <c r="A996" s="1178" t="s">
        <v>20751</v>
      </c>
      <c r="B996" s="1371" t="str">
        <f>HYPERLINK(IFERROR("#Main_Tariff!A"&amp;MATCH(Raeburn_Main_Tariff[[#This Row],[Product Code]],Main_Tariff!I:I,0),"#Main_Tariff!A"&amp;MATCH("*"&amp;RIGHT(A996,8)&amp;"*",Main_Tariff!A:A,0)),Raeburn_Main_Tariff[[#This Row],[PRODUCER]])</f>
        <v>Domaine Sylvain Cathiard</v>
      </c>
      <c r="C996" s="1178" t="s">
        <v>20765</v>
      </c>
      <c r="D996" s="1178" t="s">
        <v>897</v>
      </c>
      <c r="E996" s="1179">
        <v>2021</v>
      </c>
      <c r="F996" s="1282" t="s">
        <v>20220</v>
      </c>
      <c r="G996" s="1368" t="s">
        <v>5258</v>
      </c>
      <c r="H996" s="1178" t="s">
        <v>20224</v>
      </c>
      <c r="I996" s="1178" t="s">
        <v>4573</v>
      </c>
      <c r="J996" s="1178" t="s">
        <v>662</v>
      </c>
      <c r="K996" s="1178" t="s">
        <v>267</v>
      </c>
      <c r="L996" s="1178" t="s">
        <v>211</v>
      </c>
      <c r="M996" s="1369" t="s">
        <v>23296</v>
      </c>
      <c r="N996" s="1178"/>
      <c r="O996" s="1178">
        <v>3</v>
      </c>
      <c r="P996" s="1178">
        <v>13.5</v>
      </c>
    </row>
    <row r="997" spans="1:16">
      <c r="A997" s="1178" t="s">
        <v>20766</v>
      </c>
      <c r="B997" s="1371" t="str">
        <f>HYPERLINK(IFERROR("#Main_Tariff!A"&amp;MATCH(Raeburn_Main_Tariff[[#This Row],[Product Code]],Main_Tariff!I:I,0),"#Main_Tariff!A"&amp;MATCH("*"&amp;RIGHT(A997,8)&amp;"*",Main_Tariff!A:A,0)),Raeburn_Main_Tariff[[#This Row],[PRODUCER]])</f>
        <v>Domaine Jean Chauvenet</v>
      </c>
      <c r="C997" s="1178" t="s">
        <v>20767</v>
      </c>
      <c r="D997" s="1178" t="s">
        <v>897</v>
      </c>
      <c r="E997" s="1179">
        <v>2022</v>
      </c>
      <c r="F997" s="1282" t="s">
        <v>20280</v>
      </c>
      <c r="G997" s="1368">
        <v>21.75</v>
      </c>
      <c r="H997" s="1178" t="s">
        <v>20221</v>
      </c>
      <c r="I997" s="1178" t="s">
        <v>4578</v>
      </c>
      <c r="J997" s="1178" t="s">
        <v>662</v>
      </c>
      <c r="K997" s="1178" t="s">
        <v>267</v>
      </c>
      <c r="L997" s="1178" t="s">
        <v>211</v>
      </c>
      <c r="M997" s="1369"/>
      <c r="N997" s="1178"/>
      <c r="O997" s="1178">
        <v>12</v>
      </c>
      <c r="P997" s="1178">
        <v>13.5</v>
      </c>
    </row>
    <row r="998" spans="1:16">
      <c r="A998" s="1178" t="s">
        <v>20766</v>
      </c>
      <c r="B998" s="1371" t="str">
        <f>HYPERLINK(IFERROR("#Main_Tariff!A"&amp;MATCH(Raeburn_Main_Tariff[[#This Row],[Product Code]],Main_Tariff!I:I,0),"#Main_Tariff!A"&amp;MATCH("*"&amp;RIGHT(A998,8)&amp;"*",Main_Tariff!A:A,0)),Raeburn_Main_Tariff[[#This Row],[PRODUCER]])</f>
        <v>Domaine Jean Chauvenet</v>
      </c>
      <c r="C998" s="1178" t="s">
        <v>20767</v>
      </c>
      <c r="D998" s="1178" t="s">
        <v>897</v>
      </c>
      <c r="E998" s="1179">
        <v>2020</v>
      </c>
      <c r="F998" s="1282" t="s">
        <v>20280</v>
      </c>
      <c r="G998" s="1368">
        <v>18.75</v>
      </c>
      <c r="H998" s="1178" t="s">
        <v>20221</v>
      </c>
      <c r="I998" s="1178" t="s">
        <v>4580</v>
      </c>
      <c r="J998" s="1178" t="s">
        <v>662</v>
      </c>
      <c r="K998" s="1178" t="s">
        <v>267</v>
      </c>
      <c r="L998" s="1178" t="s">
        <v>211</v>
      </c>
      <c r="M998" s="1369"/>
      <c r="N998" s="1178"/>
      <c r="O998" s="1178">
        <v>12</v>
      </c>
      <c r="P998" s="1178">
        <v>13</v>
      </c>
    </row>
    <row r="999" spans="1:16">
      <c r="A999" s="1178" t="s">
        <v>20766</v>
      </c>
      <c r="B999" s="1371" t="str">
        <f>HYPERLINK(IFERROR("#Main_Tariff!A"&amp;MATCH(Raeburn_Main_Tariff[[#This Row],[Product Code]],Main_Tariff!I:I,0),"#Main_Tariff!A"&amp;MATCH("*"&amp;RIGHT(A999,8)&amp;"*",Main_Tariff!A:A,0)),Raeburn_Main_Tariff[[#This Row],[PRODUCER]])</f>
        <v>Domaine Jean Chauvenet</v>
      </c>
      <c r="C999" s="1178" t="s">
        <v>20767</v>
      </c>
      <c r="D999" s="1178" t="s">
        <v>897</v>
      </c>
      <c r="E999" s="1179">
        <v>2019</v>
      </c>
      <c r="F999" s="1282" t="s">
        <v>20280</v>
      </c>
      <c r="G999" s="1368">
        <v>18.75</v>
      </c>
      <c r="H999" s="1178" t="s">
        <v>20221</v>
      </c>
      <c r="I999" s="1178" t="s">
        <v>4582</v>
      </c>
      <c r="J999" s="1178" t="s">
        <v>662</v>
      </c>
      <c r="K999" s="1178" t="s">
        <v>267</v>
      </c>
      <c r="L999" s="1178" t="s">
        <v>211</v>
      </c>
      <c r="M999" s="1369"/>
      <c r="N999" s="1178"/>
      <c r="O999" s="1178">
        <v>12</v>
      </c>
      <c r="P999" s="1178">
        <v>13.5</v>
      </c>
    </row>
    <row r="1000" spans="1:16">
      <c r="A1000" s="1178" t="s">
        <v>20766</v>
      </c>
      <c r="B1000" s="1371" t="str">
        <f>HYPERLINK(IFERROR("#Main_Tariff!A"&amp;MATCH(Raeburn_Main_Tariff[[#This Row],[Product Code]],Main_Tariff!I:I,0),"#Main_Tariff!A"&amp;MATCH("*"&amp;RIGHT(A1000,8)&amp;"*",Main_Tariff!A:A,0)),Raeburn_Main_Tariff[[#This Row],[PRODUCER]])</f>
        <v>Domaine Jean Chauvenet</v>
      </c>
      <c r="C1000" s="1178" t="s">
        <v>20767</v>
      </c>
      <c r="D1000" s="1178" t="s">
        <v>897</v>
      </c>
      <c r="E1000" s="1179">
        <v>2017</v>
      </c>
      <c r="F1000" s="1282" t="s">
        <v>20280</v>
      </c>
      <c r="G1000" s="1368">
        <v>16.75</v>
      </c>
      <c r="H1000" s="1178" t="s">
        <v>20221</v>
      </c>
      <c r="I1000" s="1178" t="s">
        <v>4584</v>
      </c>
      <c r="J1000" s="1178" t="s">
        <v>662</v>
      </c>
      <c r="K1000" s="1178" t="s">
        <v>267</v>
      </c>
      <c r="L1000" s="1178" t="s">
        <v>211</v>
      </c>
      <c r="M1000" s="1369"/>
      <c r="N1000" s="1178"/>
      <c r="O1000" s="1178">
        <v>12</v>
      </c>
      <c r="P1000" s="1178">
        <v>15</v>
      </c>
    </row>
    <row r="1001" spans="1:16">
      <c r="A1001" s="1178" t="s">
        <v>20766</v>
      </c>
      <c r="B1001" s="1371" t="str">
        <f>HYPERLINK(IFERROR("#Main_Tariff!A"&amp;MATCH(Raeburn_Main_Tariff[[#This Row],[Product Code]],Main_Tariff!I:I,0),"#Main_Tariff!A"&amp;MATCH("*"&amp;RIGHT(A1001,8)&amp;"*",Main_Tariff!A:A,0)),Raeburn_Main_Tariff[[#This Row],[PRODUCER]])</f>
        <v>Domaine Jean Chauvenet</v>
      </c>
      <c r="C1001" s="1178" t="s">
        <v>20768</v>
      </c>
      <c r="D1001" s="1178" t="s">
        <v>897</v>
      </c>
      <c r="E1001" s="1179">
        <v>2022</v>
      </c>
      <c r="F1001" s="1282" t="s">
        <v>20220</v>
      </c>
      <c r="G1001" s="1368">
        <v>36.5</v>
      </c>
      <c r="H1001" s="1178" t="s">
        <v>20221</v>
      </c>
      <c r="I1001" s="1178" t="s">
        <v>4588</v>
      </c>
      <c r="J1001" s="1178" t="s">
        <v>662</v>
      </c>
      <c r="K1001" s="1178" t="s">
        <v>267</v>
      </c>
      <c r="L1001" s="1178" t="s">
        <v>211</v>
      </c>
      <c r="M1001" s="1369"/>
      <c r="N1001" s="1178"/>
      <c r="O1001" s="1178">
        <v>6</v>
      </c>
      <c r="P1001" s="1178">
        <v>13</v>
      </c>
    </row>
    <row r="1002" spans="1:16">
      <c r="A1002" s="1178" t="s">
        <v>20766</v>
      </c>
      <c r="B1002" s="1371" t="str">
        <f>HYPERLINK(IFERROR("#Main_Tariff!A"&amp;MATCH(Raeburn_Main_Tariff[[#This Row],[Product Code]],Main_Tariff!I:I,0),"#Main_Tariff!A"&amp;MATCH("*"&amp;RIGHT(A1002,8)&amp;"*",Main_Tariff!A:A,0)),Raeburn_Main_Tariff[[#This Row],[PRODUCER]])</f>
        <v>Domaine Jean Chauvenet</v>
      </c>
      <c r="C1002" s="1178" t="s">
        <v>20768</v>
      </c>
      <c r="D1002" s="1178" t="s">
        <v>897</v>
      </c>
      <c r="E1002" s="1179">
        <v>2021</v>
      </c>
      <c r="F1002" s="1282" t="s">
        <v>20220</v>
      </c>
      <c r="G1002" s="1368">
        <v>35.75</v>
      </c>
      <c r="H1002" s="1178" t="s">
        <v>20221</v>
      </c>
      <c r="I1002" s="1178" t="s">
        <v>4590</v>
      </c>
      <c r="J1002" s="1178" t="s">
        <v>662</v>
      </c>
      <c r="K1002" s="1178" t="s">
        <v>267</v>
      </c>
      <c r="L1002" s="1178" t="s">
        <v>211</v>
      </c>
      <c r="M1002" s="1369"/>
      <c r="N1002" s="1178"/>
      <c r="O1002" s="1178">
        <v>6</v>
      </c>
      <c r="P1002" s="1178">
        <v>13.5</v>
      </c>
    </row>
    <row r="1003" spans="1:16">
      <c r="A1003" s="1178" t="s">
        <v>20766</v>
      </c>
      <c r="B1003" s="1371" t="str">
        <f>HYPERLINK(IFERROR("#Main_Tariff!A"&amp;MATCH(Raeburn_Main_Tariff[[#This Row],[Product Code]],Main_Tariff!I:I,0),"#Main_Tariff!A"&amp;MATCH("*"&amp;RIGHT(A1003,8)&amp;"*",Main_Tariff!A:A,0)),Raeburn_Main_Tariff[[#This Row],[PRODUCER]])</f>
        <v>Domaine Jean Chauvenet</v>
      </c>
      <c r="C1003" s="1178" t="s">
        <v>20768</v>
      </c>
      <c r="D1003" s="1178" t="s">
        <v>897</v>
      </c>
      <c r="E1003" s="1179">
        <v>2020</v>
      </c>
      <c r="F1003" s="1282" t="s">
        <v>20220</v>
      </c>
      <c r="G1003" s="1368">
        <v>34.5</v>
      </c>
      <c r="H1003" s="1178" t="s">
        <v>20221</v>
      </c>
      <c r="I1003" s="1178" t="s">
        <v>4592</v>
      </c>
      <c r="J1003" s="1178" t="s">
        <v>662</v>
      </c>
      <c r="K1003" s="1178" t="s">
        <v>267</v>
      </c>
      <c r="L1003" s="1178" t="s">
        <v>211</v>
      </c>
      <c r="M1003" s="1369"/>
      <c r="N1003" s="1178"/>
      <c r="O1003" s="1178">
        <v>6</v>
      </c>
      <c r="P1003" s="1178">
        <v>13</v>
      </c>
    </row>
    <row r="1004" spans="1:16">
      <c r="A1004" s="1178" t="s">
        <v>20766</v>
      </c>
      <c r="B1004" s="1371" t="str">
        <f>HYPERLINK(IFERROR("#Main_Tariff!A"&amp;MATCH(Raeburn_Main_Tariff[[#This Row],[Product Code]],Main_Tariff!I:I,0),"#Main_Tariff!A"&amp;MATCH("*"&amp;RIGHT(A1004,8)&amp;"*",Main_Tariff!A:A,0)),Raeburn_Main_Tariff[[#This Row],[PRODUCER]])</f>
        <v>Domaine Jean Chauvenet</v>
      </c>
      <c r="C1004" s="1178" t="s">
        <v>20768</v>
      </c>
      <c r="D1004" s="1178" t="s">
        <v>897</v>
      </c>
      <c r="E1004" s="1179">
        <v>2019</v>
      </c>
      <c r="F1004" s="1282" t="s">
        <v>20220</v>
      </c>
      <c r="G1004" s="1368">
        <v>34.5</v>
      </c>
      <c r="H1004" s="1178" t="s">
        <v>20277</v>
      </c>
      <c r="I1004" s="1178" t="s">
        <v>4594</v>
      </c>
      <c r="J1004" s="1178" t="s">
        <v>662</v>
      </c>
      <c r="K1004" s="1178" t="s">
        <v>267</v>
      </c>
      <c r="L1004" s="1178" t="s">
        <v>211</v>
      </c>
      <c r="M1004" s="1369"/>
      <c r="N1004" s="1178"/>
      <c r="O1004" s="1178">
        <v>6</v>
      </c>
      <c r="P1004" s="1178">
        <v>13.5</v>
      </c>
    </row>
    <row r="1005" spans="1:16">
      <c r="A1005" s="1178" t="s">
        <v>20766</v>
      </c>
      <c r="B1005" s="1371" t="str">
        <f>HYPERLINK(IFERROR("#Main_Tariff!A"&amp;MATCH(Raeburn_Main_Tariff[[#This Row],[Product Code]],Main_Tariff!I:I,0),"#Main_Tariff!A"&amp;MATCH("*"&amp;RIGHT(A1005,8)&amp;"*",Main_Tariff!A:A,0)),Raeburn_Main_Tariff[[#This Row],[PRODUCER]])</f>
        <v>Domaine Jean Chauvenet</v>
      </c>
      <c r="C1005" s="1178" t="s">
        <v>20769</v>
      </c>
      <c r="D1005" s="1178" t="s">
        <v>897</v>
      </c>
      <c r="E1005" s="1179">
        <v>2014</v>
      </c>
      <c r="F1005" s="1282" t="s">
        <v>20220</v>
      </c>
      <c r="G1005" s="1368">
        <v>42.5</v>
      </c>
      <c r="H1005" s="1178" t="s">
        <v>20221</v>
      </c>
      <c r="I1005" s="1178" t="s">
        <v>4595</v>
      </c>
      <c r="J1005" s="1178" t="s">
        <v>662</v>
      </c>
      <c r="K1005" s="1178" t="s">
        <v>267</v>
      </c>
      <c r="L1005" s="1178" t="s">
        <v>211</v>
      </c>
      <c r="M1005" s="1369" t="s">
        <v>23297</v>
      </c>
      <c r="N1005" s="1178"/>
      <c r="O1005" s="1178">
        <v>6</v>
      </c>
      <c r="P1005" s="1178">
        <v>13.5</v>
      </c>
    </row>
    <row r="1006" spans="1:16">
      <c r="A1006" s="1178" t="s">
        <v>20766</v>
      </c>
      <c r="B1006" s="1371" t="str">
        <f>HYPERLINK(IFERROR("#Main_Tariff!A"&amp;MATCH(Raeburn_Main_Tariff[[#This Row],[Product Code]],Main_Tariff!I:I,0),"#Main_Tariff!A"&amp;MATCH("*"&amp;RIGHT(A1006,8)&amp;"*",Main_Tariff!A:A,0)),Raeburn_Main_Tariff[[#This Row],[PRODUCER]])</f>
        <v>Domaine Jean Chauvenet</v>
      </c>
      <c r="C1006" s="1178" t="s">
        <v>20770</v>
      </c>
      <c r="D1006" s="1178" t="s">
        <v>897</v>
      </c>
      <c r="E1006" s="1179">
        <v>2022</v>
      </c>
      <c r="F1006" s="1282" t="s">
        <v>20220</v>
      </c>
      <c r="G1006" s="1368">
        <v>59.5</v>
      </c>
      <c r="H1006" s="1178" t="s">
        <v>20221</v>
      </c>
      <c r="I1006" s="1178" t="s">
        <v>4596</v>
      </c>
      <c r="J1006" s="1178" t="s">
        <v>662</v>
      </c>
      <c r="K1006" s="1178" t="s">
        <v>267</v>
      </c>
      <c r="L1006" s="1178" t="s">
        <v>211</v>
      </c>
      <c r="M1006" s="1369" t="s">
        <v>23297</v>
      </c>
      <c r="N1006" s="1178"/>
      <c r="O1006" s="1178">
        <v>6</v>
      </c>
      <c r="P1006" s="1178">
        <v>13.5</v>
      </c>
    </row>
    <row r="1007" spans="1:16">
      <c r="A1007" s="1178" t="s">
        <v>20766</v>
      </c>
      <c r="B1007" s="1371" t="str">
        <f>HYPERLINK(IFERROR("#Main_Tariff!A"&amp;MATCH(Raeburn_Main_Tariff[[#This Row],[Product Code]],Main_Tariff!I:I,0),"#Main_Tariff!A"&amp;MATCH("*"&amp;RIGHT(A1007,8)&amp;"*",Main_Tariff!A:A,0)),Raeburn_Main_Tariff[[#This Row],[PRODUCER]])</f>
        <v>Domaine Jean Chauvenet</v>
      </c>
      <c r="C1007" s="1178" t="s">
        <v>20770</v>
      </c>
      <c r="D1007" s="1178" t="s">
        <v>897</v>
      </c>
      <c r="E1007" s="1179">
        <v>2021</v>
      </c>
      <c r="F1007" s="1282" t="s">
        <v>20220</v>
      </c>
      <c r="G1007" s="1368">
        <v>58</v>
      </c>
      <c r="H1007" s="1178" t="s">
        <v>20221</v>
      </c>
      <c r="I1007" s="1178" t="s">
        <v>4598</v>
      </c>
      <c r="J1007" s="1178" t="s">
        <v>662</v>
      </c>
      <c r="K1007" s="1178" t="s">
        <v>267</v>
      </c>
      <c r="L1007" s="1178" t="s">
        <v>211</v>
      </c>
      <c r="M1007" s="1369" t="s">
        <v>23297</v>
      </c>
      <c r="N1007" s="1178"/>
      <c r="O1007" s="1178">
        <v>6</v>
      </c>
      <c r="P1007" s="1178">
        <v>13.5</v>
      </c>
    </row>
    <row r="1008" spans="1:16">
      <c r="A1008" s="1178" t="s">
        <v>20766</v>
      </c>
      <c r="B1008" s="1371" t="str">
        <f>HYPERLINK(IFERROR("#Main_Tariff!A"&amp;MATCH(Raeburn_Main_Tariff[[#This Row],[Product Code]],Main_Tariff!I:I,0),"#Main_Tariff!A"&amp;MATCH("*"&amp;RIGHT(A1008,8)&amp;"*",Main_Tariff!A:A,0)),Raeburn_Main_Tariff[[#This Row],[PRODUCER]])</f>
        <v>Domaine Jean Chauvenet</v>
      </c>
      <c r="C1008" s="1178" t="s">
        <v>20770</v>
      </c>
      <c r="D1008" s="1178" t="s">
        <v>897</v>
      </c>
      <c r="E1008" s="1179">
        <v>2020</v>
      </c>
      <c r="F1008" s="1282" t="s">
        <v>20220</v>
      </c>
      <c r="G1008" s="1368">
        <v>54.5</v>
      </c>
      <c r="H1008" s="1178" t="s">
        <v>20221</v>
      </c>
      <c r="I1008" s="1178" t="s">
        <v>4600</v>
      </c>
      <c r="J1008" s="1178" t="s">
        <v>662</v>
      </c>
      <c r="K1008" s="1178" t="s">
        <v>267</v>
      </c>
      <c r="L1008" s="1178" t="s">
        <v>211</v>
      </c>
      <c r="M1008" s="1369" t="s">
        <v>23297</v>
      </c>
      <c r="N1008" s="1178"/>
      <c r="O1008" s="1178">
        <v>6</v>
      </c>
      <c r="P1008" s="1178">
        <v>13.5</v>
      </c>
    </row>
    <row r="1009" spans="1:16">
      <c r="A1009" s="1178" t="s">
        <v>20766</v>
      </c>
      <c r="B1009" s="1371" t="str">
        <f>HYPERLINK(IFERROR("#Main_Tariff!A"&amp;MATCH(Raeburn_Main_Tariff[[#This Row],[Product Code]],Main_Tariff!I:I,0),"#Main_Tariff!A"&amp;MATCH("*"&amp;RIGHT(A1009,8)&amp;"*",Main_Tariff!A:A,0)),Raeburn_Main_Tariff[[#This Row],[PRODUCER]])</f>
        <v>Domaine Jean Chauvenet</v>
      </c>
      <c r="C1009" s="1178" t="s">
        <v>20770</v>
      </c>
      <c r="D1009" s="1178" t="s">
        <v>897</v>
      </c>
      <c r="E1009" s="1179">
        <v>2019</v>
      </c>
      <c r="F1009" s="1282" t="s">
        <v>20220</v>
      </c>
      <c r="G1009" s="1368">
        <v>54.5</v>
      </c>
      <c r="H1009" s="1178" t="s">
        <v>20221</v>
      </c>
      <c r="I1009" s="1178" t="s">
        <v>4602</v>
      </c>
      <c r="J1009" s="1178" t="s">
        <v>662</v>
      </c>
      <c r="K1009" s="1178" t="s">
        <v>267</v>
      </c>
      <c r="L1009" s="1178" t="s">
        <v>211</v>
      </c>
      <c r="M1009" s="1369" t="s">
        <v>23297</v>
      </c>
      <c r="N1009" s="1178"/>
      <c r="O1009" s="1178">
        <v>6</v>
      </c>
      <c r="P1009" s="1178">
        <v>13.5</v>
      </c>
    </row>
    <row r="1010" spans="1:16">
      <c r="A1010" s="1178" t="s">
        <v>20766</v>
      </c>
      <c r="B1010" s="1371" t="str">
        <f>HYPERLINK(IFERROR("#Main_Tariff!A"&amp;MATCH(Raeburn_Main_Tariff[[#This Row],[Product Code]],Main_Tariff!I:I,0),"#Main_Tariff!A"&amp;MATCH("*"&amp;RIGHT(A1010,8)&amp;"*",Main_Tariff!A:A,0)),Raeburn_Main_Tariff[[#This Row],[PRODUCER]])</f>
        <v>Domaine Jean Chauvenet</v>
      </c>
      <c r="C1010" s="1178" t="s">
        <v>20770</v>
      </c>
      <c r="D1010" s="1178" t="s">
        <v>897</v>
      </c>
      <c r="E1010" s="1179">
        <v>2018</v>
      </c>
      <c r="F1010" s="1282" t="s">
        <v>20220</v>
      </c>
      <c r="G1010" s="1368">
        <v>52.5</v>
      </c>
      <c r="H1010" s="1178" t="s">
        <v>20221</v>
      </c>
      <c r="I1010" s="1178" t="s">
        <v>4604</v>
      </c>
      <c r="J1010" s="1178" t="s">
        <v>662</v>
      </c>
      <c r="K1010" s="1178" t="s">
        <v>267</v>
      </c>
      <c r="L1010" s="1178" t="s">
        <v>211</v>
      </c>
      <c r="M1010" s="1369" t="s">
        <v>23297</v>
      </c>
      <c r="N1010" s="1178"/>
      <c r="O1010" s="1178">
        <v>6</v>
      </c>
      <c r="P1010" s="1178">
        <v>13.5</v>
      </c>
    </row>
    <row r="1011" spans="1:16">
      <c r="A1011" s="1178" t="s">
        <v>20766</v>
      </c>
      <c r="B1011" s="1371" t="str">
        <f>HYPERLINK(IFERROR("#Main_Tariff!A"&amp;MATCH(Raeburn_Main_Tariff[[#This Row],[Product Code]],Main_Tariff!I:I,0),"#Main_Tariff!A"&amp;MATCH("*"&amp;RIGHT(A1011,8)&amp;"*",Main_Tariff!A:A,0)),Raeburn_Main_Tariff[[#This Row],[PRODUCER]])</f>
        <v>Domaine Jean Chauvenet</v>
      </c>
      <c r="C1011" s="1178" t="s">
        <v>20770</v>
      </c>
      <c r="D1011" s="1178" t="s">
        <v>897</v>
      </c>
      <c r="E1011" s="1179">
        <v>2017</v>
      </c>
      <c r="F1011" s="1282" t="s">
        <v>20220</v>
      </c>
      <c r="G1011" s="1368">
        <v>52.5</v>
      </c>
      <c r="H1011" s="1178" t="s">
        <v>20221</v>
      </c>
      <c r="I1011" s="1178" t="s">
        <v>4606</v>
      </c>
      <c r="J1011" s="1178" t="s">
        <v>662</v>
      </c>
      <c r="K1011" s="1178" t="s">
        <v>267</v>
      </c>
      <c r="L1011" s="1178" t="s">
        <v>211</v>
      </c>
      <c r="M1011" s="1369" t="s">
        <v>23297</v>
      </c>
      <c r="N1011" s="1178"/>
      <c r="O1011" s="1178">
        <v>6</v>
      </c>
      <c r="P1011" s="1178">
        <v>13.5</v>
      </c>
    </row>
    <row r="1012" spans="1:16">
      <c r="A1012" s="1178" t="s">
        <v>20766</v>
      </c>
      <c r="B1012" s="1371" t="str">
        <f>HYPERLINK(IFERROR("#Main_Tariff!A"&amp;MATCH(Raeburn_Main_Tariff[[#This Row],[Product Code]],Main_Tariff!I:I,0),"#Main_Tariff!A"&amp;MATCH("*"&amp;RIGHT(A1012,8)&amp;"*",Main_Tariff!A:A,0)),Raeburn_Main_Tariff[[#This Row],[PRODUCER]])</f>
        <v>Domaine Jean Chauvenet</v>
      </c>
      <c r="C1012" s="1178" t="s">
        <v>20770</v>
      </c>
      <c r="D1012" s="1178" t="s">
        <v>897</v>
      </c>
      <c r="E1012" s="1179">
        <v>2016</v>
      </c>
      <c r="F1012" s="1282" t="s">
        <v>20220</v>
      </c>
      <c r="G1012" s="1368">
        <v>52.5</v>
      </c>
      <c r="H1012" s="1178" t="s">
        <v>20221</v>
      </c>
      <c r="I1012" s="1178" t="s">
        <v>4608</v>
      </c>
      <c r="J1012" s="1178" t="s">
        <v>662</v>
      </c>
      <c r="K1012" s="1178" t="s">
        <v>267</v>
      </c>
      <c r="L1012" s="1178" t="s">
        <v>211</v>
      </c>
      <c r="M1012" s="1369" t="s">
        <v>23297</v>
      </c>
      <c r="N1012" s="1178"/>
      <c r="O1012" s="1178">
        <v>6</v>
      </c>
      <c r="P1012" s="1178">
        <v>13</v>
      </c>
    </row>
    <row r="1013" spans="1:16">
      <c r="A1013" s="1178" t="s">
        <v>20766</v>
      </c>
      <c r="B1013" s="1371" t="str">
        <f>HYPERLINK(IFERROR("#Main_Tariff!A"&amp;MATCH(Raeburn_Main_Tariff[[#This Row],[Product Code]],Main_Tariff!I:I,0),"#Main_Tariff!A"&amp;MATCH("*"&amp;RIGHT(A1013,8)&amp;"*",Main_Tariff!A:A,0)),Raeburn_Main_Tariff[[#This Row],[PRODUCER]])</f>
        <v>Domaine Jean Chauvenet</v>
      </c>
      <c r="C1013" s="1178" t="s">
        <v>20770</v>
      </c>
      <c r="D1013" s="1178" t="s">
        <v>897</v>
      </c>
      <c r="E1013" s="1179">
        <v>2015</v>
      </c>
      <c r="F1013" s="1282" t="s">
        <v>20220</v>
      </c>
      <c r="G1013" s="1368">
        <v>49.5</v>
      </c>
      <c r="H1013" s="1178" t="s">
        <v>20224</v>
      </c>
      <c r="I1013" s="1178" t="s">
        <v>4610</v>
      </c>
      <c r="J1013" s="1178" t="s">
        <v>662</v>
      </c>
      <c r="K1013" s="1178" t="s">
        <v>267</v>
      </c>
      <c r="L1013" s="1178" t="s">
        <v>211</v>
      </c>
      <c r="M1013" s="1369" t="s">
        <v>23297</v>
      </c>
      <c r="N1013" s="1178"/>
      <c r="O1013" s="1178">
        <v>6</v>
      </c>
      <c r="P1013" s="1178">
        <v>13.5</v>
      </c>
    </row>
    <row r="1014" spans="1:16">
      <c r="A1014" s="1178" t="s">
        <v>20766</v>
      </c>
      <c r="B1014" s="1371" t="str">
        <f>HYPERLINK(IFERROR("#Main_Tariff!A"&amp;MATCH(Raeburn_Main_Tariff[[#This Row],[Product Code]],Main_Tariff!I:I,0),"#Main_Tariff!A"&amp;MATCH("*"&amp;RIGHT(A1014,8)&amp;"*",Main_Tariff!A:A,0)),Raeburn_Main_Tariff[[#This Row],[PRODUCER]])</f>
        <v>Domaine Jean Chauvenet</v>
      </c>
      <c r="C1014" s="1178" t="s">
        <v>20770</v>
      </c>
      <c r="D1014" s="1178" t="s">
        <v>897</v>
      </c>
      <c r="E1014" s="1179">
        <v>2014</v>
      </c>
      <c r="F1014" s="1282" t="s">
        <v>20220</v>
      </c>
      <c r="G1014" s="1368">
        <v>50.5</v>
      </c>
      <c r="H1014" s="1178" t="s">
        <v>20221</v>
      </c>
      <c r="I1014" s="1178" t="s">
        <v>4612</v>
      </c>
      <c r="J1014" s="1178" t="s">
        <v>662</v>
      </c>
      <c r="K1014" s="1178" t="s">
        <v>267</v>
      </c>
      <c r="L1014" s="1178" t="s">
        <v>211</v>
      </c>
      <c r="M1014" s="1369" t="s">
        <v>23297</v>
      </c>
      <c r="N1014" s="1178"/>
      <c r="O1014" s="1178">
        <v>6</v>
      </c>
      <c r="P1014" s="1178">
        <v>13.5</v>
      </c>
    </row>
    <row r="1015" spans="1:16">
      <c r="A1015" s="1178" t="s">
        <v>20766</v>
      </c>
      <c r="B1015" s="1371" t="str">
        <f>HYPERLINK(IFERROR("#Main_Tariff!A"&amp;MATCH(Raeburn_Main_Tariff[[#This Row],[Product Code]],Main_Tariff!I:I,0),"#Main_Tariff!A"&amp;MATCH("*"&amp;RIGHT(A1015,8)&amp;"*",Main_Tariff!A:A,0)),Raeburn_Main_Tariff[[#This Row],[PRODUCER]])</f>
        <v>Domaine Jean Chauvenet</v>
      </c>
      <c r="C1015" s="1178" t="s">
        <v>20770</v>
      </c>
      <c r="D1015" s="1178" t="s">
        <v>897</v>
      </c>
      <c r="E1015" s="1179">
        <v>2013</v>
      </c>
      <c r="F1015" s="1282" t="s">
        <v>20220</v>
      </c>
      <c r="G1015" s="1368">
        <v>46.5</v>
      </c>
      <c r="H1015" s="1178" t="s">
        <v>20221</v>
      </c>
      <c r="I1015" s="1178" t="s">
        <v>4614</v>
      </c>
      <c r="J1015" s="1178" t="s">
        <v>662</v>
      </c>
      <c r="K1015" s="1178" t="s">
        <v>267</v>
      </c>
      <c r="L1015" s="1178" t="s">
        <v>211</v>
      </c>
      <c r="M1015" s="1369" t="s">
        <v>23297</v>
      </c>
      <c r="N1015" s="1178"/>
      <c r="O1015" s="1178">
        <v>6</v>
      </c>
      <c r="P1015" s="1178">
        <v>13.5</v>
      </c>
    </row>
    <row r="1016" spans="1:16">
      <c r="A1016" s="1178" t="s">
        <v>20766</v>
      </c>
      <c r="B1016" s="1371" t="str">
        <f>HYPERLINK(IFERROR("#Main_Tariff!A"&amp;MATCH(Raeburn_Main_Tariff[[#This Row],[Product Code]],Main_Tariff!I:I,0),"#Main_Tariff!A"&amp;MATCH("*"&amp;RIGHT(A1016,8)&amp;"*",Main_Tariff!A:A,0)),Raeburn_Main_Tariff[[#This Row],[PRODUCER]])</f>
        <v>Domaine Jean Chauvenet</v>
      </c>
      <c r="C1016" s="1178" t="s">
        <v>20770</v>
      </c>
      <c r="D1016" s="1178" t="s">
        <v>897</v>
      </c>
      <c r="E1016" s="1179">
        <v>2012</v>
      </c>
      <c r="F1016" s="1282" t="s">
        <v>20220</v>
      </c>
      <c r="G1016" s="1368">
        <v>50.5</v>
      </c>
      <c r="H1016" s="1178" t="s">
        <v>20277</v>
      </c>
      <c r="I1016" s="1178" t="s">
        <v>4616</v>
      </c>
      <c r="J1016" s="1178" t="s">
        <v>662</v>
      </c>
      <c r="K1016" s="1178" t="s">
        <v>267</v>
      </c>
      <c r="L1016" s="1178" t="s">
        <v>211</v>
      </c>
      <c r="M1016" s="1369" t="s">
        <v>23297</v>
      </c>
      <c r="N1016" s="1178"/>
      <c r="O1016" s="1178">
        <v>6</v>
      </c>
      <c r="P1016" s="1178">
        <v>13.5</v>
      </c>
    </row>
    <row r="1017" spans="1:16">
      <c r="A1017" s="1178" t="s">
        <v>20766</v>
      </c>
      <c r="B1017" s="1371" t="str">
        <f>HYPERLINK(IFERROR("#Main_Tariff!A"&amp;MATCH(Raeburn_Main_Tariff[[#This Row],[Product Code]],Main_Tariff!I:I,0),"#Main_Tariff!A"&amp;MATCH("*"&amp;RIGHT(A1017,8)&amp;"*",Main_Tariff!A:A,0)),Raeburn_Main_Tariff[[#This Row],[PRODUCER]])</f>
        <v>Domaine Jean Chauvenet</v>
      </c>
      <c r="C1017" s="1178" t="s">
        <v>20770</v>
      </c>
      <c r="D1017" s="1178" t="s">
        <v>897</v>
      </c>
      <c r="E1017" s="1179">
        <v>2011</v>
      </c>
      <c r="F1017" s="1282" t="s">
        <v>20220</v>
      </c>
      <c r="G1017" s="1368">
        <v>50.5</v>
      </c>
      <c r="H1017" s="1178" t="s">
        <v>20221</v>
      </c>
      <c r="I1017" s="1178" t="s">
        <v>4618</v>
      </c>
      <c r="J1017" s="1178" t="s">
        <v>662</v>
      </c>
      <c r="K1017" s="1178" t="s">
        <v>267</v>
      </c>
      <c r="L1017" s="1178" t="s">
        <v>211</v>
      </c>
      <c r="M1017" s="1369" t="s">
        <v>23297</v>
      </c>
      <c r="N1017" s="1178"/>
      <c r="O1017" s="1178">
        <v>6</v>
      </c>
      <c r="P1017" s="1178">
        <v>13.5</v>
      </c>
    </row>
    <row r="1018" spans="1:16">
      <c r="A1018" s="1178" t="s">
        <v>20766</v>
      </c>
      <c r="B1018" s="1371" t="str">
        <f>HYPERLINK(IFERROR("#Main_Tariff!A"&amp;MATCH(Raeburn_Main_Tariff[[#This Row],[Product Code]],Main_Tariff!I:I,0),"#Main_Tariff!A"&amp;MATCH("*"&amp;RIGHT(A1018,8)&amp;"*",Main_Tariff!A:A,0)),Raeburn_Main_Tariff[[#This Row],[PRODUCER]])</f>
        <v>Domaine Jean Chauvenet</v>
      </c>
      <c r="C1018" s="1178" t="s">
        <v>20771</v>
      </c>
      <c r="D1018" s="1178" t="s">
        <v>897</v>
      </c>
      <c r="E1018" s="1179">
        <v>2016</v>
      </c>
      <c r="F1018" s="1282" t="s">
        <v>20220</v>
      </c>
      <c r="G1018" s="1368">
        <v>48</v>
      </c>
      <c r="H1018" s="1178" t="s">
        <v>20221</v>
      </c>
      <c r="I1018" s="1178" t="s">
        <v>4622</v>
      </c>
      <c r="J1018" s="1178" t="s">
        <v>662</v>
      </c>
      <c r="K1018" s="1178" t="s">
        <v>267</v>
      </c>
      <c r="L1018" s="1178" t="s">
        <v>211</v>
      </c>
      <c r="M1018" s="1369" t="s">
        <v>23297</v>
      </c>
      <c r="N1018" s="1178"/>
      <c r="O1018" s="1178">
        <v>6</v>
      </c>
      <c r="P1018" s="1178">
        <v>13.5</v>
      </c>
    </row>
    <row r="1019" spans="1:16">
      <c r="A1019" s="1178" t="s">
        <v>20766</v>
      </c>
      <c r="B1019" s="1371" t="str">
        <f>HYPERLINK(IFERROR("#Main_Tariff!A"&amp;MATCH(Raeburn_Main_Tariff[[#This Row],[Product Code]],Main_Tariff!I:I,0),"#Main_Tariff!A"&amp;MATCH("*"&amp;RIGHT(A1019,8)&amp;"*",Main_Tariff!A:A,0)),Raeburn_Main_Tariff[[#This Row],[PRODUCER]])</f>
        <v>Domaine Jean Chauvenet</v>
      </c>
      <c r="C1019" s="1178" t="s">
        <v>20771</v>
      </c>
      <c r="D1019" s="1178" t="s">
        <v>897</v>
      </c>
      <c r="E1019" s="1179">
        <v>2015</v>
      </c>
      <c r="F1019" s="1282" t="s">
        <v>20220</v>
      </c>
      <c r="G1019" s="1368">
        <v>48</v>
      </c>
      <c r="H1019" s="1178" t="s">
        <v>20221</v>
      </c>
      <c r="I1019" s="1178" t="s">
        <v>4624</v>
      </c>
      <c r="J1019" s="1178" t="s">
        <v>662</v>
      </c>
      <c r="K1019" s="1178" t="s">
        <v>267</v>
      </c>
      <c r="L1019" s="1178" t="s">
        <v>211</v>
      </c>
      <c r="M1019" s="1369" t="s">
        <v>23297</v>
      </c>
      <c r="N1019" s="1178"/>
      <c r="O1019" s="1178">
        <v>6</v>
      </c>
      <c r="P1019" s="1178">
        <v>13.5</v>
      </c>
    </row>
    <row r="1020" spans="1:16">
      <c r="A1020" s="1178" t="s">
        <v>20766</v>
      </c>
      <c r="B1020" s="1371" t="str">
        <f>HYPERLINK(IFERROR("#Main_Tariff!A"&amp;MATCH(Raeburn_Main_Tariff[[#This Row],[Product Code]],Main_Tariff!I:I,0),"#Main_Tariff!A"&amp;MATCH("*"&amp;RIGHT(A1020,8)&amp;"*",Main_Tariff!A:A,0)),Raeburn_Main_Tariff[[#This Row],[PRODUCER]])</f>
        <v>Domaine Jean Chauvenet</v>
      </c>
      <c r="C1020" s="1178" t="s">
        <v>20771</v>
      </c>
      <c r="D1020" s="1178" t="s">
        <v>897</v>
      </c>
      <c r="E1020" s="1179">
        <v>2013</v>
      </c>
      <c r="F1020" s="1282" t="s">
        <v>20220</v>
      </c>
      <c r="G1020" s="1368">
        <v>44</v>
      </c>
      <c r="H1020" s="1178" t="s">
        <v>20221</v>
      </c>
      <c r="I1020" s="1178" t="s">
        <v>4626</v>
      </c>
      <c r="J1020" s="1178" t="s">
        <v>662</v>
      </c>
      <c r="K1020" s="1178" t="s">
        <v>267</v>
      </c>
      <c r="L1020" s="1178" t="s">
        <v>211</v>
      </c>
      <c r="M1020" s="1369" t="s">
        <v>23297</v>
      </c>
      <c r="N1020" s="1178"/>
      <c r="O1020" s="1178">
        <v>6</v>
      </c>
      <c r="P1020" s="1178">
        <v>13.5</v>
      </c>
    </row>
    <row r="1021" spans="1:16">
      <c r="A1021" s="1178" t="s">
        <v>20766</v>
      </c>
      <c r="B1021" s="1371" t="str">
        <f>HYPERLINK(IFERROR("#Main_Tariff!A"&amp;MATCH(Raeburn_Main_Tariff[[#This Row],[Product Code]],Main_Tariff!I:I,0),"#Main_Tariff!A"&amp;MATCH("*"&amp;RIGHT(A1021,8)&amp;"*",Main_Tariff!A:A,0)),Raeburn_Main_Tariff[[#This Row],[PRODUCER]])</f>
        <v>Domaine Jean Chauvenet</v>
      </c>
      <c r="C1021" s="1178" t="s">
        <v>20772</v>
      </c>
      <c r="D1021" s="1178" t="s">
        <v>897</v>
      </c>
      <c r="E1021" s="1179">
        <v>2022</v>
      </c>
      <c r="F1021" s="1282" t="s">
        <v>20220</v>
      </c>
      <c r="G1021" s="1368">
        <v>59.5</v>
      </c>
      <c r="H1021" s="1178" t="s">
        <v>20221</v>
      </c>
      <c r="I1021" s="1178" t="s">
        <v>4628</v>
      </c>
      <c r="J1021" s="1178" t="s">
        <v>662</v>
      </c>
      <c r="K1021" s="1178" t="s">
        <v>267</v>
      </c>
      <c r="L1021" s="1178" t="s">
        <v>211</v>
      </c>
      <c r="M1021" s="1369" t="s">
        <v>23297</v>
      </c>
      <c r="N1021" s="1178"/>
      <c r="O1021" s="1178">
        <v>6</v>
      </c>
      <c r="P1021" s="1178">
        <v>13</v>
      </c>
    </row>
    <row r="1022" spans="1:16">
      <c r="A1022" s="1178" t="s">
        <v>20766</v>
      </c>
      <c r="B1022" s="1371" t="str">
        <f>HYPERLINK(IFERROR("#Main_Tariff!A"&amp;MATCH(Raeburn_Main_Tariff[[#This Row],[Product Code]],Main_Tariff!I:I,0),"#Main_Tariff!A"&amp;MATCH("*"&amp;RIGHT(A1022,8)&amp;"*",Main_Tariff!A:A,0)),Raeburn_Main_Tariff[[#This Row],[PRODUCER]])</f>
        <v>Domaine Jean Chauvenet</v>
      </c>
      <c r="C1022" s="1178" t="s">
        <v>20772</v>
      </c>
      <c r="D1022" s="1178" t="s">
        <v>897</v>
      </c>
      <c r="E1022" s="1179">
        <v>2021</v>
      </c>
      <c r="F1022" s="1282" t="s">
        <v>20220</v>
      </c>
      <c r="G1022" s="1368">
        <v>58</v>
      </c>
      <c r="H1022" s="1178" t="s">
        <v>20221</v>
      </c>
      <c r="I1022" s="1178" t="s">
        <v>4630</v>
      </c>
      <c r="J1022" s="1178" t="s">
        <v>662</v>
      </c>
      <c r="K1022" s="1178" t="s">
        <v>267</v>
      </c>
      <c r="L1022" s="1178" t="s">
        <v>211</v>
      </c>
      <c r="M1022" s="1369" t="s">
        <v>23297</v>
      </c>
      <c r="N1022" s="1178"/>
      <c r="O1022" s="1178">
        <v>6</v>
      </c>
      <c r="P1022" s="1178">
        <v>13.5</v>
      </c>
    </row>
    <row r="1023" spans="1:16">
      <c r="A1023" s="1178" t="s">
        <v>20766</v>
      </c>
      <c r="B1023" s="1371" t="str">
        <f>HYPERLINK(IFERROR("#Main_Tariff!A"&amp;MATCH(Raeburn_Main_Tariff[[#This Row],[Product Code]],Main_Tariff!I:I,0),"#Main_Tariff!A"&amp;MATCH("*"&amp;RIGHT(A1023,8)&amp;"*",Main_Tariff!A:A,0)),Raeburn_Main_Tariff[[#This Row],[PRODUCER]])</f>
        <v>Domaine Jean Chauvenet</v>
      </c>
      <c r="C1023" s="1178" t="s">
        <v>20772</v>
      </c>
      <c r="D1023" s="1178" t="s">
        <v>897</v>
      </c>
      <c r="E1023" s="1179">
        <v>2020</v>
      </c>
      <c r="F1023" s="1282" t="s">
        <v>20220</v>
      </c>
      <c r="G1023" s="1368">
        <v>54.5</v>
      </c>
      <c r="H1023" s="1178" t="s">
        <v>20221</v>
      </c>
      <c r="I1023" s="1178" t="s">
        <v>4632</v>
      </c>
      <c r="J1023" s="1178" t="s">
        <v>662</v>
      </c>
      <c r="K1023" s="1178" t="s">
        <v>267</v>
      </c>
      <c r="L1023" s="1178" t="s">
        <v>211</v>
      </c>
      <c r="M1023" s="1369" t="s">
        <v>23297</v>
      </c>
      <c r="N1023" s="1178"/>
      <c r="O1023" s="1178">
        <v>6</v>
      </c>
      <c r="P1023" s="1178">
        <v>13.5</v>
      </c>
    </row>
    <row r="1024" spans="1:16">
      <c r="A1024" s="1178" t="s">
        <v>20766</v>
      </c>
      <c r="B1024" s="1371" t="str">
        <f>HYPERLINK(IFERROR("#Main_Tariff!A"&amp;MATCH(Raeburn_Main_Tariff[[#This Row],[Product Code]],Main_Tariff!I:I,0),"#Main_Tariff!A"&amp;MATCH("*"&amp;RIGHT(A1024,8)&amp;"*",Main_Tariff!A:A,0)),Raeburn_Main_Tariff[[#This Row],[PRODUCER]])</f>
        <v>Domaine Jean Chauvenet</v>
      </c>
      <c r="C1024" s="1178" t="s">
        <v>20772</v>
      </c>
      <c r="D1024" s="1178" t="s">
        <v>897</v>
      </c>
      <c r="E1024" s="1179">
        <v>2019</v>
      </c>
      <c r="F1024" s="1282" t="s">
        <v>20220</v>
      </c>
      <c r="G1024" s="1368">
        <v>54.5</v>
      </c>
      <c r="H1024" s="1178" t="s">
        <v>20221</v>
      </c>
      <c r="I1024" s="1178" t="s">
        <v>4634</v>
      </c>
      <c r="J1024" s="1178" t="s">
        <v>662</v>
      </c>
      <c r="K1024" s="1178" t="s">
        <v>267</v>
      </c>
      <c r="L1024" s="1178" t="s">
        <v>211</v>
      </c>
      <c r="M1024" s="1369" t="s">
        <v>23297</v>
      </c>
      <c r="N1024" s="1178"/>
      <c r="O1024" s="1178">
        <v>6</v>
      </c>
      <c r="P1024" s="1178">
        <v>13.5</v>
      </c>
    </row>
    <row r="1025" spans="1:16">
      <c r="A1025" s="1178" t="s">
        <v>20766</v>
      </c>
      <c r="B1025" s="1371" t="str">
        <f>HYPERLINK(IFERROR("#Main_Tariff!A"&amp;MATCH(Raeburn_Main_Tariff[[#This Row],[Product Code]],Main_Tariff!I:I,0),"#Main_Tariff!A"&amp;MATCH("*"&amp;RIGHT(A1025,8)&amp;"*",Main_Tariff!A:A,0)),Raeburn_Main_Tariff[[#This Row],[PRODUCER]])</f>
        <v>Domaine Jean Chauvenet</v>
      </c>
      <c r="C1025" s="1178" t="s">
        <v>20772</v>
      </c>
      <c r="D1025" s="1178" t="s">
        <v>897</v>
      </c>
      <c r="E1025" s="1179">
        <v>2018</v>
      </c>
      <c r="F1025" s="1282" t="s">
        <v>20220</v>
      </c>
      <c r="G1025" s="1368">
        <v>49</v>
      </c>
      <c r="H1025" s="1178" t="s">
        <v>20221</v>
      </c>
      <c r="I1025" s="1178" t="s">
        <v>4636</v>
      </c>
      <c r="J1025" s="1178" t="s">
        <v>662</v>
      </c>
      <c r="K1025" s="1178" t="s">
        <v>267</v>
      </c>
      <c r="L1025" s="1178" t="s">
        <v>211</v>
      </c>
      <c r="M1025" s="1369" t="s">
        <v>23297</v>
      </c>
      <c r="N1025" s="1178"/>
      <c r="O1025" s="1178">
        <v>6</v>
      </c>
      <c r="P1025" s="1178">
        <v>14</v>
      </c>
    </row>
    <row r="1026" spans="1:16">
      <c r="A1026" s="1178" t="s">
        <v>20766</v>
      </c>
      <c r="B1026" s="1371" t="str">
        <f>HYPERLINK(IFERROR("#Main_Tariff!A"&amp;MATCH(Raeburn_Main_Tariff[[#This Row],[Product Code]],Main_Tariff!I:I,0),"#Main_Tariff!A"&amp;MATCH("*"&amp;RIGHT(A1026,8)&amp;"*",Main_Tariff!A:A,0)),Raeburn_Main_Tariff[[#This Row],[PRODUCER]])</f>
        <v>Domaine Jean Chauvenet</v>
      </c>
      <c r="C1026" s="1178" t="s">
        <v>20772</v>
      </c>
      <c r="D1026" s="1178" t="s">
        <v>897</v>
      </c>
      <c r="E1026" s="1179">
        <v>2017</v>
      </c>
      <c r="F1026" s="1282" t="s">
        <v>20220</v>
      </c>
      <c r="G1026" s="1368">
        <v>50</v>
      </c>
      <c r="H1026" s="1178" t="s">
        <v>20221</v>
      </c>
      <c r="I1026" s="1178" t="s">
        <v>4638</v>
      </c>
      <c r="J1026" s="1178" t="s">
        <v>662</v>
      </c>
      <c r="K1026" s="1178" t="s">
        <v>267</v>
      </c>
      <c r="L1026" s="1178" t="s">
        <v>211</v>
      </c>
      <c r="M1026" s="1369" t="s">
        <v>23297</v>
      </c>
      <c r="N1026" s="1178"/>
      <c r="O1026" s="1178">
        <v>6</v>
      </c>
      <c r="P1026" s="1178">
        <v>13.5</v>
      </c>
    </row>
    <row r="1027" spans="1:16">
      <c r="A1027" s="1178" t="s">
        <v>20766</v>
      </c>
      <c r="B1027" s="1371" t="str">
        <f>HYPERLINK(IFERROR("#Main_Tariff!A"&amp;MATCH(Raeburn_Main_Tariff[[#This Row],[Product Code]],Main_Tariff!I:I,0),"#Main_Tariff!A"&amp;MATCH("*"&amp;RIGHT(A1027,8)&amp;"*",Main_Tariff!A:A,0)),Raeburn_Main_Tariff[[#This Row],[PRODUCER]])</f>
        <v>Domaine Jean Chauvenet</v>
      </c>
      <c r="C1027" s="1178" t="s">
        <v>20772</v>
      </c>
      <c r="D1027" s="1178" t="s">
        <v>897</v>
      </c>
      <c r="E1027" s="1179">
        <v>2016</v>
      </c>
      <c r="F1027" s="1282" t="s">
        <v>20220</v>
      </c>
      <c r="G1027" s="1368">
        <v>50</v>
      </c>
      <c r="H1027" s="1178" t="s">
        <v>20221</v>
      </c>
      <c r="I1027" s="1178" t="s">
        <v>4640</v>
      </c>
      <c r="J1027" s="1178" t="s">
        <v>662</v>
      </c>
      <c r="K1027" s="1178" t="s">
        <v>267</v>
      </c>
      <c r="L1027" s="1178" t="s">
        <v>211</v>
      </c>
      <c r="M1027" s="1369" t="s">
        <v>23297</v>
      </c>
      <c r="N1027" s="1178"/>
      <c r="O1027" s="1178">
        <v>6</v>
      </c>
      <c r="P1027" s="1178">
        <v>13.5</v>
      </c>
    </row>
    <row r="1028" spans="1:16">
      <c r="A1028" s="1178" t="s">
        <v>20766</v>
      </c>
      <c r="B1028" s="1371" t="str">
        <f>HYPERLINK(IFERROR("#Main_Tariff!A"&amp;MATCH(Raeburn_Main_Tariff[[#This Row],[Product Code]],Main_Tariff!I:I,0),"#Main_Tariff!A"&amp;MATCH("*"&amp;RIGHT(A1028,8)&amp;"*",Main_Tariff!A:A,0)),Raeburn_Main_Tariff[[#This Row],[PRODUCER]])</f>
        <v>Domaine Jean Chauvenet</v>
      </c>
      <c r="C1028" s="1178" t="s">
        <v>20772</v>
      </c>
      <c r="D1028" s="1178" t="s">
        <v>897</v>
      </c>
      <c r="E1028" s="1179">
        <v>2015</v>
      </c>
      <c r="F1028" s="1282" t="s">
        <v>20220</v>
      </c>
      <c r="G1028" s="1368">
        <v>50</v>
      </c>
      <c r="H1028" s="1178" t="s">
        <v>20221</v>
      </c>
      <c r="I1028" s="1178" t="s">
        <v>4642</v>
      </c>
      <c r="J1028" s="1178" t="s">
        <v>662</v>
      </c>
      <c r="K1028" s="1178" t="s">
        <v>267</v>
      </c>
      <c r="L1028" s="1178" t="s">
        <v>211</v>
      </c>
      <c r="M1028" s="1369" t="s">
        <v>23297</v>
      </c>
      <c r="N1028" s="1178"/>
      <c r="O1028" s="1178">
        <v>6</v>
      </c>
      <c r="P1028" s="1178">
        <v>13.5</v>
      </c>
    </row>
    <row r="1029" spans="1:16">
      <c r="A1029" s="1178" t="s">
        <v>20766</v>
      </c>
      <c r="B1029" s="1371" t="str">
        <f>HYPERLINK(IFERROR("#Main_Tariff!A"&amp;MATCH(Raeburn_Main_Tariff[[#This Row],[Product Code]],Main_Tariff!I:I,0),"#Main_Tariff!A"&amp;MATCH("*"&amp;RIGHT(A1029,8)&amp;"*",Main_Tariff!A:A,0)),Raeburn_Main_Tariff[[#This Row],[PRODUCER]])</f>
        <v>Domaine Jean Chauvenet</v>
      </c>
      <c r="C1029" s="1178" t="s">
        <v>20772</v>
      </c>
      <c r="D1029" s="1178" t="s">
        <v>897</v>
      </c>
      <c r="E1029" s="1179">
        <v>2014</v>
      </c>
      <c r="F1029" s="1282" t="s">
        <v>20220</v>
      </c>
      <c r="G1029" s="1368">
        <v>46.5</v>
      </c>
      <c r="H1029" s="1178" t="s">
        <v>20221</v>
      </c>
      <c r="I1029" s="1178" t="s">
        <v>4644</v>
      </c>
      <c r="J1029" s="1178" t="s">
        <v>662</v>
      </c>
      <c r="K1029" s="1178" t="s">
        <v>267</v>
      </c>
      <c r="L1029" s="1178" t="s">
        <v>211</v>
      </c>
      <c r="M1029" s="1369" t="s">
        <v>23297</v>
      </c>
      <c r="N1029" s="1178"/>
      <c r="O1029" s="1178">
        <v>6</v>
      </c>
      <c r="P1029" s="1178">
        <v>13.5</v>
      </c>
    </row>
    <row r="1030" spans="1:16">
      <c r="A1030" s="1178" t="s">
        <v>20766</v>
      </c>
      <c r="B1030" s="1371" t="str">
        <f>HYPERLINK(IFERROR("#Main_Tariff!A"&amp;MATCH(Raeburn_Main_Tariff[[#This Row],[Product Code]],Main_Tariff!I:I,0),"#Main_Tariff!A"&amp;MATCH("*"&amp;RIGHT(A1030,8)&amp;"*",Main_Tariff!A:A,0)),Raeburn_Main_Tariff[[#This Row],[PRODUCER]])</f>
        <v>Domaine Jean Chauvenet</v>
      </c>
      <c r="C1030" s="1178" t="s">
        <v>20772</v>
      </c>
      <c r="D1030" s="1178" t="s">
        <v>897</v>
      </c>
      <c r="E1030" s="1179">
        <v>2013</v>
      </c>
      <c r="F1030" s="1282" t="s">
        <v>20220</v>
      </c>
      <c r="G1030" s="1368">
        <v>46.5</v>
      </c>
      <c r="H1030" s="1178" t="s">
        <v>20221</v>
      </c>
      <c r="I1030" s="1178" t="s">
        <v>4646</v>
      </c>
      <c r="J1030" s="1178" t="s">
        <v>662</v>
      </c>
      <c r="K1030" s="1178" t="s">
        <v>267</v>
      </c>
      <c r="L1030" s="1178" t="s">
        <v>211</v>
      </c>
      <c r="M1030" s="1369" t="s">
        <v>23297</v>
      </c>
      <c r="N1030" s="1178"/>
      <c r="O1030" s="1178">
        <v>6</v>
      </c>
      <c r="P1030" s="1178">
        <v>13.5</v>
      </c>
    </row>
    <row r="1031" spans="1:16">
      <c r="A1031" s="1178" t="s">
        <v>20766</v>
      </c>
      <c r="B1031" s="1371" t="str">
        <f>HYPERLINK(IFERROR("#Main_Tariff!A"&amp;MATCH(Raeburn_Main_Tariff[[#This Row],[Product Code]],Main_Tariff!I:I,0),"#Main_Tariff!A"&amp;MATCH("*"&amp;RIGHT(A1031,8)&amp;"*",Main_Tariff!A:A,0)),Raeburn_Main_Tariff[[#This Row],[PRODUCER]])</f>
        <v>Domaine Jean Chauvenet</v>
      </c>
      <c r="C1031" s="1178" t="s">
        <v>20772</v>
      </c>
      <c r="D1031" s="1178" t="s">
        <v>897</v>
      </c>
      <c r="E1031" s="1179">
        <v>2011</v>
      </c>
      <c r="F1031" s="1282" t="s">
        <v>20220</v>
      </c>
      <c r="G1031" s="1368">
        <v>45.5</v>
      </c>
      <c r="H1031" s="1178" t="s">
        <v>20221</v>
      </c>
      <c r="I1031" s="1178" t="s">
        <v>4648</v>
      </c>
      <c r="J1031" s="1178" t="s">
        <v>662</v>
      </c>
      <c r="K1031" s="1178" t="s">
        <v>267</v>
      </c>
      <c r="L1031" s="1178" t="s">
        <v>211</v>
      </c>
      <c r="M1031" s="1369" t="s">
        <v>23297</v>
      </c>
      <c r="N1031" s="1178"/>
      <c r="O1031" s="1178">
        <v>6</v>
      </c>
      <c r="P1031" s="1178">
        <v>13.5</v>
      </c>
    </row>
    <row r="1032" spans="1:16">
      <c r="A1032" s="1178" t="s">
        <v>20766</v>
      </c>
      <c r="B1032" s="1371" t="str">
        <f>HYPERLINK(IFERROR("#Main_Tariff!A"&amp;MATCH(Raeburn_Main_Tariff[[#This Row],[Product Code]],Main_Tariff!I:I,0),"#Main_Tariff!A"&amp;MATCH("*"&amp;RIGHT(A1032,8)&amp;"*",Main_Tariff!A:A,0)),Raeburn_Main_Tariff[[#This Row],[PRODUCER]])</f>
        <v>Domaine Jean Chauvenet</v>
      </c>
      <c r="C1032" s="1178" t="s">
        <v>20773</v>
      </c>
      <c r="D1032" s="1178" t="s">
        <v>897</v>
      </c>
      <c r="E1032" s="1179">
        <v>2022</v>
      </c>
      <c r="F1032" s="1282" t="s">
        <v>20220</v>
      </c>
      <c r="G1032" s="1368">
        <v>62</v>
      </c>
      <c r="H1032" s="1178" t="s">
        <v>20221</v>
      </c>
      <c r="I1032" s="1178" t="s">
        <v>4650</v>
      </c>
      <c r="J1032" s="1178" t="s">
        <v>662</v>
      </c>
      <c r="K1032" s="1178" t="s">
        <v>267</v>
      </c>
      <c r="L1032" s="1178" t="s">
        <v>211</v>
      </c>
      <c r="M1032" s="1369" t="s">
        <v>23297</v>
      </c>
      <c r="N1032" s="1178"/>
      <c r="O1032" s="1178">
        <v>6</v>
      </c>
      <c r="P1032" s="1178">
        <v>13.5</v>
      </c>
    </row>
    <row r="1033" spans="1:16">
      <c r="A1033" s="1178" t="s">
        <v>20766</v>
      </c>
      <c r="B1033" s="1371" t="str">
        <f>HYPERLINK(IFERROR("#Main_Tariff!A"&amp;MATCH(Raeburn_Main_Tariff[[#This Row],[Product Code]],Main_Tariff!I:I,0),"#Main_Tariff!A"&amp;MATCH("*"&amp;RIGHT(A1033,8)&amp;"*",Main_Tariff!A:A,0)),Raeburn_Main_Tariff[[#This Row],[PRODUCER]])</f>
        <v>Domaine Jean Chauvenet</v>
      </c>
      <c r="C1033" s="1178" t="s">
        <v>20773</v>
      </c>
      <c r="D1033" s="1178" t="s">
        <v>897</v>
      </c>
      <c r="E1033" s="1179">
        <v>2021</v>
      </c>
      <c r="F1033" s="1282" t="s">
        <v>20220</v>
      </c>
      <c r="G1033" s="1368">
        <v>66</v>
      </c>
      <c r="H1033" s="1178" t="s">
        <v>20221</v>
      </c>
      <c r="I1033" s="1178" t="s">
        <v>4652</v>
      </c>
      <c r="J1033" s="1178" t="s">
        <v>662</v>
      </c>
      <c r="K1033" s="1178" t="s">
        <v>267</v>
      </c>
      <c r="L1033" s="1178" t="s">
        <v>211</v>
      </c>
      <c r="M1033" s="1369" t="s">
        <v>23297</v>
      </c>
      <c r="N1033" s="1178"/>
      <c r="O1033" s="1178">
        <v>6</v>
      </c>
      <c r="P1033" s="1178">
        <v>13.5</v>
      </c>
    </row>
    <row r="1034" spans="1:16">
      <c r="A1034" s="1178" t="s">
        <v>20766</v>
      </c>
      <c r="B1034" s="1371" t="str">
        <f>HYPERLINK(IFERROR("#Main_Tariff!A"&amp;MATCH(Raeburn_Main_Tariff[[#This Row],[Product Code]],Main_Tariff!I:I,0),"#Main_Tariff!A"&amp;MATCH("*"&amp;RIGHT(A1034,8)&amp;"*",Main_Tariff!A:A,0)),Raeburn_Main_Tariff[[#This Row],[PRODUCER]])</f>
        <v>Domaine Jean Chauvenet</v>
      </c>
      <c r="C1034" s="1178" t="s">
        <v>20773</v>
      </c>
      <c r="D1034" s="1178" t="s">
        <v>897</v>
      </c>
      <c r="E1034" s="1179">
        <v>2020</v>
      </c>
      <c r="F1034" s="1282" t="s">
        <v>20220</v>
      </c>
      <c r="G1034" s="1368">
        <v>62</v>
      </c>
      <c r="H1034" s="1178" t="s">
        <v>20221</v>
      </c>
      <c r="I1034" s="1178" t="s">
        <v>4654</v>
      </c>
      <c r="J1034" s="1178" t="s">
        <v>662</v>
      </c>
      <c r="K1034" s="1178" t="s">
        <v>267</v>
      </c>
      <c r="L1034" s="1178" t="s">
        <v>211</v>
      </c>
      <c r="M1034" s="1369" t="s">
        <v>23297</v>
      </c>
      <c r="N1034" s="1178"/>
      <c r="O1034" s="1178">
        <v>6</v>
      </c>
      <c r="P1034" s="1178">
        <v>13.5</v>
      </c>
    </row>
    <row r="1035" spans="1:16">
      <c r="A1035" s="1178" t="s">
        <v>20766</v>
      </c>
      <c r="B1035" s="1371" t="str">
        <f>HYPERLINK(IFERROR("#Main_Tariff!A"&amp;MATCH(Raeburn_Main_Tariff[[#This Row],[Product Code]],Main_Tariff!I:I,0),"#Main_Tariff!A"&amp;MATCH("*"&amp;RIGHT(A1035,8)&amp;"*",Main_Tariff!A:A,0)),Raeburn_Main_Tariff[[#This Row],[PRODUCER]])</f>
        <v>Domaine Jean Chauvenet</v>
      </c>
      <c r="C1035" s="1178" t="s">
        <v>20773</v>
      </c>
      <c r="D1035" s="1178" t="s">
        <v>897</v>
      </c>
      <c r="E1035" s="1179">
        <v>2019</v>
      </c>
      <c r="F1035" s="1282" t="s">
        <v>20220</v>
      </c>
      <c r="G1035" s="1368">
        <v>62</v>
      </c>
      <c r="H1035" s="1178" t="s">
        <v>20221</v>
      </c>
      <c r="I1035" s="1178" t="s">
        <v>4656</v>
      </c>
      <c r="J1035" s="1178" t="s">
        <v>662</v>
      </c>
      <c r="K1035" s="1178" t="s">
        <v>267</v>
      </c>
      <c r="L1035" s="1178" t="s">
        <v>211</v>
      </c>
      <c r="M1035" s="1369" t="s">
        <v>23297</v>
      </c>
      <c r="N1035" s="1178"/>
      <c r="O1035" s="1178">
        <v>6</v>
      </c>
      <c r="P1035" s="1178">
        <v>14</v>
      </c>
    </row>
    <row r="1036" spans="1:16">
      <c r="A1036" s="1178" t="s">
        <v>20766</v>
      </c>
      <c r="B1036" s="1371" t="str">
        <f>HYPERLINK(IFERROR("#Main_Tariff!A"&amp;MATCH(Raeburn_Main_Tariff[[#This Row],[Product Code]],Main_Tariff!I:I,0),"#Main_Tariff!A"&amp;MATCH("*"&amp;RIGHT(A1036,8)&amp;"*",Main_Tariff!A:A,0)),Raeburn_Main_Tariff[[#This Row],[PRODUCER]])</f>
        <v>Domaine Jean Chauvenet</v>
      </c>
      <c r="C1036" s="1178" t="s">
        <v>20773</v>
      </c>
      <c r="D1036" s="1178" t="s">
        <v>897</v>
      </c>
      <c r="E1036" s="1179">
        <v>2018</v>
      </c>
      <c r="F1036" s="1282" t="s">
        <v>20220</v>
      </c>
      <c r="G1036" s="1368">
        <v>55</v>
      </c>
      <c r="H1036" s="1178" t="s">
        <v>20221</v>
      </c>
      <c r="I1036" s="1178" t="s">
        <v>4658</v>
      </c>
      <c r="J1036" s="1178" t="s">
        <v>662</v>
      </c>
      <c r="K1036" s="1178" t="s">
        <v>267</v>
      </c>
      <c r="L1036" s="1178" t="s">
        <v>211</v>
      </c>
      <c r="M1036" s="1369" t="s">
        <v>23297</v>
      </c>
      <c r="N1036" s="1178"/>
      <c r="O1036" s="1178">
        <v>6</v>
      </c>
      <c r="P1036" s="1178">
        <v>14</v>
      </c>
    </row>
    <row r="1037" spans="1:16">
      <c r="A1037" s="1178" t="s">
        <v>20766</v>
      </c>
      <c r="B1037" s="1371" t="str">
        <f>HYPERLINK(IFERROR("#Main_Tariff!A"&amp;MATCH(Raeburn_Main_Tariff[[#This Row],[Product Code]],Main_Tariff!I:I,0),"#Main_Tariff!A"&amp;MATCH("*"&amp;RIGHT(A1037,8)&amp;"*",Main_Tariff!A:A,0)),Raeburn_Main_Tariff[[#This Row],[PRODUCER]])</f>
        <v>Domaine Jean Chauvenet</v>
      </c>
      <c r="C1037" s="1178" t="s">
        <v>20773</v>
      </c>
      <c r="D1037" s="1178" t="s">
        <v>897</v>
      </c>
      <c r="E1037" s="1179">
        <v>2017</v>
      </c>
      <c r="F1037" s="1282" t="s">
        <v>20220</v>
      </c>
      <c r="G1037" s="1368">
        <v>57.5</v>
      </c>
      <c r="H1037" s="1178" t="s">
        <v>20221</v>
      </c>
      <c r="I1037" s="1178" t="s">
        <v>4660</v>
      </c>
      <c r="J1037" s="1178" t="s">
        <v>662</v>
      </c>
      <c r="K1037" s="1178" t="s">
        <v>267</v>
      </c>
      <c r="L1037" s="1178" t="s">
        <v>211</v>
      </c>
      <c r="M1037" s="1369" t="s">
        <v>23297</v>
      </c>
      <c r="N1037" s="1178"/>
      <c r="O1037" s="1178">
        <v>6</v>
      </c>
      <c r="P1037" s="1178">
        <v>13.5</v>
      </c>
    </row>
    <row r="1038" spans="1:16">
      <c r="A1038" s="1178" t="s">
        <v>20766</v>
      </c>
      <c r="B1038" s="1371" t="str">
        <f>HYPERLINK(IFERROR("#Main_Tariff!A"&amp;MATCH(Raeburn_Main_Tariff[[#This Row],[Product Code]],Main_Tariff!I:I,0),"#Main_Tariff!A"&amp;MATCH("*"&amp;RIGHT(A1038,8)&amp;"*",Main_Tariff!A:A,0)),Raeburn_Main_Tariff[[#This Row],[PRODUCER]])</f>
        <v>Domaine Jean Chauvenet</v>
      </c>
      <c r="C1038" s="1178" t="s">
        <v>20773</v>
      </c>
      <c r="D1038" s="1178" t="s">
        <v>897</v>
      </c>
      <c r="E1038" s="1179">
        <v>2016</v>
      </c>
      <c r="F1038" s="1282" t="s">
        <v>20220</v>
      </c>
      <c r="G1038" s="1368">
        <v>56.5</v>
      </c>
      <c r="H1038" s="1178" t="s">
        <v>20221</v>
      </c>
      <c r="I1038" s="1178" t="s">
        <v>4662</v>
      </c>
      <c r="J1038" s="1178" t="s">
        <v>662</v>
      </c>
      <c r="K1038" s="1178" t="s">
        <v>267</v>
      </c>
      <c r="L1038" s="1178" t="s">
        <v>211</v>
      </c>
      <c r="M1038" s="1369" t="s">
        <v>23297</v>
      </c>
      <c r="N1038" s="1178"/>
      <c r="O1038" s="1178">
        <v>6</v>
      </c>
      <c r="P1038" s="1178">
        <v>13.5</v>
      </c>
    </row>
    <row r="1039" spans="1:16">
      <c r="A1039" s="1178" t="s">
        <v>20766</v>
      </c>
      <c r="B1039" s="1371" t="str">
        <f>HYPERLINK(IFERROR("#Main_Tariff!A"&amp;MATCH(Raeburn_Main_Tariff[[#This Row],[Product Code]],Main_Tariff!I:I,0),"#Main_Tariff!A"&amp;MATCH("*"&amp;RIGHT(A1039,8)&amp;"*",Main_Tariff!A:A,0)),Raeburn_Main_Tariff[[#This Row],[PRODUCER]])</f>
        <v>Domaine Jean Chauvenet</v>
      </c>
      <c r="C1039" s="1178" t="s">
        <v>20773</v>
      </c>
      <c r="D1039" s="1178" t="s">
        <v>897</v>
      </c>
      <c r="E1039" s="1179">
        <v>2015</v>
      </c>
      <c r="F1039" s="1282" t="s">
        <v>20220</v>
      </c>
      <c r="G1039" s="1368">
        <v>56.5</v>
      </c>
      <c r="H1039" s="1178" t="s">
        <v>20224</v>
      </c>
      <c r="I1039" s="1178" t="s">
        <v>4664</v>
      </c>
      <c r="J1039" s="1178" t="s">
        <v>662</v>
      </c>
      <c r="K1039" s="1178" t="s">
        <v>267</v>
      </c>
      <c r="L1039" s="1178" t="s">
        <v>211</v>
      </c>
      <c r="M1039" s="1369" t="s">
        <v>23297</v>
      </c>
      <c r="N1039" s="1178"/>
      <c r="O1039" s="1178">
        <v>6</v>
      </c>
      <c r="P1039" s="1178">
        <v>13.5</v>
      </c>
    </row>
    <row r="1040" spans="1:16">
      <c r="A1040" s="1178" t="s">
        <v>20766</v>
      </c>
      <c r="B1040" s="1371" t="str">
        <f>HYPERLINK(IFERROR("#Main_Tariff!A"&amp;MATCH(Raeburn_Main_Tariff[[#This Row],[Product Code]],Main_Tariff!I:I,0),"#Main_Tariff!A"&amp;MATCH("*"&amp;RIGHT(A1040,8)&amp;"*",Main_Tariff!A:A,0)),Raeburn_Main_Tariff[[#This Row],[PRODUCER]])</f>
        <v>Domaine Jean Chauvenet</v>
      </c>
      <c r="C1040" s="1178" t="s">
        <v>20773</v>
      </c>
      <c r="D1040" s="1178" t="s">
        <v>897</v>
      </c>
      <c r="E1040" s="1179">
        <v>2014</v>
      </c>
      <c r="F1040" s="1282" t="s">
        <v>20220</v>
      </c>
      <c r="G1040" s="1368">
        <v>53</v>
      </c>
      <c r="H1040" s="1178" t="s">
        <v>20221</v>
      </c>
      <c r="I1040" s="1178" t="s">
        <v>4666</v>
      </c>
      <c r="J1040" s="1178" t="s">
        <v>662</v>
      </c>
      <c r="K1040" s="1178" t="s">
        <v>267</v>
      </c>
      <c r="L1040" s="1178" t="s">
        <v>211</v>
      </c>
      <c r="M1040" s="1369" t="s">
        <v>23297</v>
      </c>
      <c r="N1040" s="1178"/>
      <c r="O1040" s="1178">
        <v>6</v>
      </c>
      <c r="P1040" s="1178">
        <v>13.5</v>
      </c>
    </row>
    <row r="1041" spans="1:16">
      <c r="A1041" s="1178" t="s">
        <v>20766</v>
      </c>
      <c r="B1041" s="1371" t="str">
        <f>HYPERLINK(IFERROR("#Main_Tariff!A"&amp;MATCH(Raeburn_Main_Tariff[[#This Row],[Product Code]],Main_Tariff!I:I,0),"#Main_Tariff!A"&amp;MATCH("*"&amp;RIGHT(A1041,8)&amp;"*",Main_Tariff!A:A,0)),Raeburn_Main_Tariff[[#This Row],[PRODUCER]])</f>
        <v>Domaine Jean Chauvenet</v>
      </c>
      <c r="C1041" s="1178" t="s">
        <v>20773</v>
      </c>
      <c r="D1041" s="1178" t="s">
        <v>897</v>
      </c>
      <c r="E1041" s="1179">
        <v>2013</v>
      </c>
      <c r="F1041" s="1282" t="s">
        <v>20220</v>
      </c>
      <c r="G1041" s="1368">
        <v>53</v>
      </c>
      <c r="H1041" s="1178" t="s">
        <v>20224</v>
      </c>
      <c r="I1041" s="1178" t="s">
        <v>4668</v>
      </c>
      <c r="J1041" s="1178" t="s">
        <v>662</v>
      </c>
      <c r="K1041" s="1178" t="s">
        <v>267</v>
      </c>
      <c r="L1041" s="1178" t="s">
        <v>211</v>
      </c>
      <c r="M1041" s="1369" t="s">
        <v>23297</v>
      </c>
      <c r="N1041" s="1178"/>
      <c r="O1041" s="1178">
        <v>6</v>
      </c>
      <c r="P1041" s="1178">
        <v>13.5</v>
      </c>
    </row>
    <row r="1042" spans="1:16">
      <c r="A1042" s="1178" t="s">
        <v>20766</v>
      </c>
      <c r="B1042" s="1371" t="str">
        <f>HYPERLINK(IFERROR("#Main_Tariff!A"&amp;MATCH(Raeburn_Main_Tariff[[#This Row],[Product Code]],Main_Tariff!I:I,0),"#Main_Tariff!A"&amp;MATCH("*"&amp;RIGHT(A1042,8)&amp;"*",Main_Tariff!A:A,0)),Raeburn_Main_Tariff[[#This Row],[PRODUCER]])</f>
        <v>Domaine Jean Chauvenet</v>
      </c>
      <c r="C1042" s="1178" t="s">
        <v>20773</v>
      </c>
      <c r="D1042" s="1178" t="s">
        <v>897</v>
      </c>
      <c r="E1042" s="1179">
        <v>2011</v>
      </c>
      <c r="F1042" s="1282" t="s">
        <v>20220</v>
      </c>
      <c r="G1042" s="1368">
        <v>54.25</v>
      </c>
      <c r="H1042" s="1178" t="s">
        <v>20224</v>
      </c>
      <c r="I1042" s="1178" t="s">
        <v>4670</v>
      </c>
      <c r="J1042" s="1178" t="s">
        <v>662</v>
      </c>
      <c r="K1042" s="1178" t="s">
        <v>267</v>
      </c>
      <c r="L1042" s="1178" t="s">
        <v>211</v>
      </c>
      <c r="M1042" s="1369" t="s">
        <v>23297</v>
      </c>
      <c r="N1042" s="1178"/>
      <c r="O1042" s="1178">
        <v>6</v>
      </c>
      <c r="P1042" s="1178">
        <v>13.5</v>
      </c>
    </row>
    <row r="1043" spans="1:16">
      <c r="A1043" s="1178" t="s">
        <v>20766</v>
      </c>
      <c r="B1043" s="1371" t="str">
        <f>HYPERLINK(IFERROR("#Main_Tariff!A"&amp;MATCH(Raeburn_Main_Tariff[[#This Row],[Product Code]],Main_Tariff!I:I,0),"#Main_Tariff!A"&amp;MATCH("*"&amp;RIGHT(A1043,8)&amp;"*",Main_Tariff!A:A,0)),Raeburn_Main_Tariff[[#This Row],[PRODUCER]])</f>
        <v>Domaine Jean Chauvenet</v>
      </c>
      <c r="C1043" s="1178" t="s">
        <v>20774</v>
      </c>
      <c r="D1043" s="1178" t="s">
        <v>897</v>
      </c>
      <c r="E1043" s="1179">
        <v>2020</v>
      </c>
      <c r="F1043" s="1282" t="s">
        <v>20240</v>
      </c>
      <c r="G1043" s="1368">
        <v>71</v>
      </c>
      <c r="H1043" s="1178" t="s">
        <v>20221</v>
      </c>
      <c r="I1043" s="1178" t="s">
        <v>4673</v>
      </c>
      <c r="J1043" s="1178" t="s">
        <v>662</v>
      </c>
      <c r="K1043" s="1178" t="s">
        <v>267</v>
      </c>
      <c r="L1043" s="1178" t="s">
        <v>211</v>
      </c>
      <c r="M1043" s="1369"/>
      <c r="N1043" s="1178"/>
      <c r="O1043" s="1178">
        <v>3</v>
      </c>
      <c r="P1043" s="1178">
        <v>13.5</v>
      </c>
    </row>
    <row r="1044" spans="1:16">
      <c r="A1044" s="1178" t="s">
        <v>20766</v>
      </c>
      <c r="B1044" s="1371" t="str">
        <f>HYPERLINK(IFERROR("#Main_Tariff!A"&amp;MATCH(Raeburn_Main_Tariff[[#This Row],[Product Code]],Main_Tariff!I:I,0),"#Main_Tariff!A"&amp;MATCH("*"&amp;RIGHT(A1044,8)&amp;"*",Main_Tariff!A:A,0)),Raeburn_Main_Tariff[[#This Row],[PRODUCER]])</f>
        <v>Domaine Jean Chauvenet</v>
      </c>
      <c r="C1044" s="1178" t="s">
        <v>20774</v>
      </c>
      <c r="D1044" s="1178" t="s">
        <v>897</v>
      </c>
      <c r="E1044" s="1179">
        <v>2019</v>
      </c>
      <c r="F1044" s="1282" t="s">
        <v>20240</v>
      </c>
      <c r="G1044" s="1368">
        <v>71</v>
      </c>
      <c r="H1044" s="1178" t="s">
        <v>20221</v>
      </c>
      <c r="I1044" s="1178" t="s">
        <v>4674</v>
      </c>
      <c r="J1044" s="1178" t="s">
        <v>662</v>
      </c>
      <c r="K1044" s="1178" t="s">
        <v>267</v>
      </c>
      <c r="L1044" s="1178" t="s">
        <v>211</v>
      </c>
      <c r="M1044" s="1369"/>
      <c r="N1044" s="1178"/>
      <c r="O1044" s="1178">
        <v>3</v>
      </c>
      <c r="P1044" s="1178">
        <v>13.5</v>
      </c>
    </row>
    <row r="1045" spans="1:16">
      <c r="A1045" s="1178" t="s">
        <v>20766</v>
      </c>
      <c r="B1045" s="1371" t="str">
        <f>HYPERLINK(IFERROR("#Main_Tariff!A"&amp;MATCH(Raeburn_Main_Tariff[[#This Row],[Product Code]],Main_Tariff!I:I,0),"#Main_Tariff!A"&amp;MATCH("*"&amp;RIGHT(A1045,8)&amp;"*",Main_Tariff!A:A,0)),Raeburn_Main_Tariff[[#This Row],[PRODUCER]])</f>
        <v>Domaine Jean Chauvenet</v>
      </c>
      <c r="C1045" s="1178" t="s">
        <v>20774</v>
      </c>
      <c r="D1045" s="1178" t="s">
        <v>897</v>
      </c>
      <c r="E1045" s="1179">
        <v>2014</v>
      </c>
      <c r="F1045" s="1282" t="s">
        <v>20240</v>
      </c>
      <c r="G1045" s="1368">
        <v>68</v>
      </c>
      <c r="H1045" s="1178" t="s">
        <v>20224</v>
      </c>
      <c r="I1045" s="1178" t="s">
        <v>4675</v>
      </c>
      <c r="J1045" s="1178" t="s">
        <v>662</v>
      </c>
      <c r="K1045" s="1178" t="s">
        <v>267</v>
      </c>
      <c r="L1045" s="1178" t="s">
        <v>211</v>
      </c>
      <c r="M1045" s="1369"/>
      <c r="N1045" s="1178"/>
      <c r="O1045" s="1178">
        <v>6</v>
      </c>
      <c r="P1045" s="1178">
        <v>13</v>
      </c>
    </row>
    <row r="1046" spans="1:16">
      <c r="A1046" s="1178" t="s">
        <v>20766</v>
      </c>
      <c r="B1046" s="1371" t="str">
        <f>HYPERLINK(IFERROR("#Main_Tariff!A"&amp;MATCH(Raeburn_Main_Tariff[[#This Row],[Product Code]],Main_Tariff!I:I,0),"#Main_Tariff!A"&amp;MATCH("*"&amp;RIGHT(A1046,8)&amp;"*",Main_Tariff!A:A,0)),Raeburn_Main_Tariff[[#This Row],[PRODUCER]])</f>
        <v>Domaine Jean Chauvenet</v>
      </c>
      <c r="C1046" s="1178" t="s">
        <v>20774</v>
      </c>
      <c r="D1046" s="1178" t="s">
        <v>897</v>
      </c>
      <c r="E1046" s="1179">
        <v>2011</v>
      </c>
      <c r="F1046" s="1282" t="s">
        <v>20240</v>
      </c>
      <c r="G1046" s="1368">
        <v>68</v>
      </c>
      <c r="H1046" s="1178" t="s">
        <v>20221</v>
      </c>
      <c r="I1046" s="1178" t="s">
        <v>4676</v>
      </c>
      <c r="J1046" s="1178" t="s">
        <v>662</v>
      </c>
      <c r="K1046" s="1178" t="s">
        <v>267</v>
      </c>
      <c r="L1046" s="1178" t="s">
        <v>211</v>
      </c>
      <c r="M1046" s="1369"/>
      <c r="N1046" s="1178"/>
      <c r="O1046" s="1178">
        <v>6</v>
      </c>
      <c r="P1046" s="1178">
        <v>15</v>
      </c>
    </row>
    <row r="1047" spans="1:16">
      <c r="A1047" s="1178" t="s">
        <v>20766</v>
      </c>
      <c r="B1047" s="1371" t="str">
        <f>HYPERLINK(IFERROR("#Main_Tariff!A"&amp;MATCH(Raeburn_Main_Tariff[[#This Row],[Product Code]],Main_Tariff!I:I,0),"#Main_Tariff!A"&amp;MATCH("*"&amp;RIGHT(A1047,8)&amp;"*",Main_Tariff!A:A,0)),Raeburn_Main_Tariff[[#This Row],[PRODUCER]])</f>
        <v>Domaine Jean Chauvenet</v>
      </c>
      <c r="C1047" s="1178" t="s">
        <v>20775</v>
      </c>
      <c r="D1047" s="1178" t="s">
        <v>897</v>
      </c>
      <c r="E1047" s="1179">
        <v>2013</v>
      </c>
      <c r="F1047" s="1282" t="s">
        <v>20240</v>
      </c>
      <c r="G1047" s="1368">
        <v>97</v>
      </c>
      <c r="H1047" s="1178" t="s">
        <v>20224</v>
      </c>
      <c r="I1047" s="1178" t="s">
        <v>4677</v>
      </c>
      <c r="J1047" s="1178" t="s">
        <v>662</v>
      </c>
      <c r="K1047" s="1178" t="s">
        <v>267</v>
      </c>
      <c r="L1047" s="1178" t="s">
        <v>211</v>
      </c>
      <c r="M1047" s="1369" t="s">
        <v>23297</v>
      </c>
      <c r="N1047" s="1178"/>
      <c r="O1047" s="1178">
        <v>6</v>
      </c>
      <c r="P1047" s="1178">
        <v>13.5</v>
      </c>
    </row>
    <row r="1048" spans="1:16">
      <c r="A1048" s="1178" t="s">
        <v>20766</v>
      </c>
      <c r="B1048" s="1371" t="str">
        <f>HYPERLINK(IFERROR("#Main_Tariff!A"&amp;MATCH(Raeburn_Main_Tariff[[#This Row],[Product Code]],Main_Tariff!I:I,0),"#Main_Tariff!A"&amp;MATCH("*"&amp;RIGHT(A1048,8)&amp;"*",Main_Tariff!A:A,0)),Raeburn_Main_Tariff[[#This Row],[PRODUCER]])</f>
        <v>Domaine Jean Chauvenet</v>
      </c>
      <c r="C1048" s="1178" t="s">
        <v>20776</v>
      </c>
      <c r="D1048" s="1178" t="s">
        <v>897</v>
      </c>
      <c r="E1048" s="1179">
        <v>2013</v>
      </c>
      <c r="F1048" s="1282" t="s">
        <v>20240</v>
      </c>
      <c r="G1048" s="1368">
        <v>86</v>
      </c>
      <c r="H1048" s="1178" t="s">
        <v>20224</v>
      </c>
      <c r="I1048" s="1178" t="s">
        <v>4679</v>
      </c>
      <c r="J1048" s="1178" t="s">
        <v>662</v>
      </c>
      <c r="K1048" s="1178" t="s">
        <v>267</v>
      </c>
      <c r="L1048" s="1178" t="s">
        <v>211</v>
      </c>
      <c r="M1048" s="1369" t="s">
        <v>23297</v>
      </c>
      <c r="N1048" s="1178"/>
      <c r="O1048" s="1178">
        <v>6</v>
      </c>
      <c r="P1048" s="1178">
        <v>13.5</v>
      </c>
    </row>
    <row r="1049" spans="1:16">
      <c r="A1049" s="1178" t="s">
        <v>20766</v>
      </c>
      <c r="B1049" s="1371" t="str">
        <f>HYPERLINK(IFERROR("#Main_Tariff!A"&amp;MATCH(Raeburn_Main_Tariff[[#This Row],[Product Code]],Main_Tariff!I:I,0),"#Main_Tariff!A"&amp;MATCH("*"&amp;RIGHT(A1049,8)&amp;"*",Main_Tariff!A:A,0)),Raeburn_Main_Tariff[[#This Row],[PRODUCER]])</f>
        <v>Domaine Jean Chauvenet</v>
      </c>
      <c r="C1049" s="1178" t="s">
        <v>20777</v>
      </c>
      <c r="D1049" s="1178" t="s">
        <v>897</v>
      </c>
      <c r="E1049" s="1179">
        <v>2011</v>
      </c>
      <c r="F1049" s="1282" t="s">
        <v>20240</v>
      </c>
      <c r="G1049" s="1368">
        <v>92.25</v>
      </c>
      <c r="H1049" s="1178" t="s">
        <v>20224</v>
      </c>
      <c r="I1049" s="1178" t="s">
        <v>4680</v>
      </c>
      <c r="J1049" s="1178" t="s">
        <v>662</v>
      </c>
      <c r="K1049" s="1178" t="s">
        <v>267</v>
      </c>
      <c r="L1049" s="1178" t="s">
        <v>211</v>
      </c>
      <c r="M1049" s="1369" t="s">
        <v>23297</v>
      </c>
      <c r="N1049" s="1178"/>
      <c r="O1049" s="1178">
        <v>6</v>
      </c>
      <c r="P1049" s="1178">
        <v>13.5</v>
      </c>
    </row>
    <row r="1050" spans="1:16">
      <c r="A1050" s="1178" t="s">
        <v>20766</v>
      </c>
      <c r="B1050" s="1371" t="str">
        <f>HYPERLINK(IFERROR("#Main_Tariff!A"&amp;MATCH(Raeburn_Main_Tariff[[#This Row],[Product Code]],Main_Tariff!I:I,0),"#Main_Tariff!A"&amp;MATCH("*"&amp;RIGHT(A1050,8)&amp;"*",Main_Tariff!A:A,0)),Raeburn_Main_Tariff[[#This Row],[PRODUCER]])</f>
        <v>Domaine Jean Chauvenet</v>
      </c>
      <c r="C1050" s="1178" t="s">
        <v>20778</v>
      </c>
      <c r="D1050" s="1178" t="s">
        <v>897</v>
      </c>
      <c r="E1050" s="1179">
        <v>2013</v>
      </c>
      <c r="F1050" s="1282" t="s">
        <v>20240</v>
      </c>
      <c r="G1050" s="1368">
        <v>97</v>
      </c>
      <c r="H1050" s="1178" t="s">
        <v>20224</v>
      </c>
      <c r="I1050" s="1178" t="s">
        <v>4681</v>
      </c>
      <c r="J1050" s="1178" t="s">
        <v>662</v>
      </c>
      <c r="K1050" s="1178" t="s">
        <v>267</v>
      </c>
      <c r="L1050" s="1178" t="s">
        <v>211</v>
      </c>
      <c r="M1050" s="1369" t="s">
        <v>23297</v>
      </c>
      <c r="N1050" s="1178"/>
      <c r="O1050" s="1178">
        <v>6</v>
      </c>
      <c r="P1050" s="1178">
        <v>13.5</v>
      </c>
    </row>
    <row r="1051" spans="1:16">
      <c r="A1051" s="1178" t="s">
        <v>20766</v>
      </c>
      <c r="B1051" s="1371" t="str">
        <f>HYPERLINK(IFERROR("#Main_Tariff!A"&amp;MATCH(Raeburn_Main_Tariff[[#This Row],[Product Code]],Main_Tariff!I:I,0),"#Main_Tariff!A"&amp;MATCH("*"&amp;RIGHT(A1051,8)&amp;"*",Main_Tariff!A:A,0)),Raeburn_Main_Tariff[[#This Row],[PRODUCER]])</f>
        <v>Domaine Jean Chauvenet</v>
      </c>
      <c r="C1051" s="1178" t="s">
        <v>20779</v>
      </c>
      <c r="D1051" s="1178" t="s">
        <v>897</v>
      </c>
      <c r="E1051" s="1179">
        <v>2013</v>
      </c>
      <c r="F1051" s="1282" t="s">
        <v>20240</v>
      </c>
      <c r="G1051" s="1368">
        <v>110</v>
      </c>
      <c r="H1051" s="1178" t="s">
        <v>20224</v>
      </c>
      <c r="I1051" s="1178" t="s">
        <v>4682</v>
      </c>
      <c r="J1051" s="1178" t="s">
        <v>662</v>
      </c>
      <c r="K1051" s="1178" t="s">
        <v>267</v>
      </c>
      <c r="L1051" s="1178" t="s">
        <v>211</v>
      </c>
      <c r="M1051" s="1369" t="s">
        <v>23297</v>
      </c>
      <c r="N1051" s="1178"/>
      <c r="O1051" s="1178">
        <v>6</v>
      </c>
      <c r="P1051" s="1178">
        <v>13.5</v>
      </c>
    </row>
    <row r="1052" spans="1:16">
      <c r="A1052" s="1178" t="s">
        <v>20780</v>
      </c>
      <c r="B1052" s="1371" t="str">
        <f>HYPERLINK(IFERROR("#Main_Tariff!A"&amp;MATCH(Raeburn_Main_Tariff[[#This Row],[Product Code]],Main_Tariff!I:I,0),"#Main_Tariff!A"&amp;MATCH("*"&amp;RIGHT(A1052,8)&amp;"*",Main_Tariff!A:A,0)),Raeburn_Main_Tariff[[#This Row],[PRODUCER]])</f>
        <v>Domaine Faiveley</v>
      </c>
      <c r="C1052" s="1178" t="s">
        <v>20781</v>
      </c>
      <c r="D1052" s="1178" t="s">
        <v>1129</v>
      </c>
      <c r="E1052" s="1179">
        <v>2022</v>
      </c>
      <c r="F1052" s="1282" t="s">
        <v>20220</v>
      </c>
      <c r="G1052" s="1368">
        <v>93.5</v>
      </c>
      <c r="H1052" s="1178" t="s">
        <v>20224</v>
      </c>
      <c r="I1052" s="1178" t="s">
        <v>4686</v>
      </c>
      <c r="J1052" s="1178" t="s">
        <v>662</v>
      </c>
      <c r="K1052" s="1178" t="s">
        <v>267</v>
      </c>
      <c r="L1052" s="1178" t="s">
        <v>211</v>
      </c>
      <c r="M1052" s="1369" t="s">
        <v>23297</v>
      </c>
      <c r="N1052" s="1178"/>
      <c r="O1052" s="1178">
        <v>6</v>
      </c>
      <c r="P1052" s="1178">
        <v>13</v>
      </c>
    </row>
    <row r="1053" spans="1:16">
      <c r="A1053" s="1178" t="s">
        <v>20780</v>
      </c>
      <c r="B1053" s="1371" t="str">
        <f>HYPERLINK(IFERROR("#Main_Tariff!A"&amp;MATCH(Raeburn_Main_Tariff[[#This Row],[Product Code]],Main_Tariff!I:I,0),"#Main_Tariff!A"&amp;MATCH("*"&amp;RIGHT(A1053,8)&amp;"*",Main_Tariff!A:A,0)),Raeburn_Main_Tariff[[#This Row],[PRODUCER]])</f>
        <v>Domaine Faiveley</v>
      </c>
      <c r="C1053" s="1178" t="s">
        <v>20782</v>
      </c>
      <c r="D1053" s="1178" t="s">
        <v>1129</v>
      </c>
      <c r="E1053" s="1179">
        <v>2020</v>
      </c>
      <c r="F1053" s="1282" t="s">
        <v>20220</v>
      </c>
      <c r="G1053" s="1368">
        <v>84.5</v>
      </c>
      <c r="H1053" s="1178" t="s">
        <v>20221</v>
      </c>
      <c r="I1053" s="1178" t="s">
        <v>4688</v>
      </c>
      <c r="J1053" s="1178" t="s">
        <v>662</v>
      </c>
      <c r="K1053" s="1178" t="s">
        <v>267</v>
      </c>
      <c r="L1053" s="1178" t="s">
        <v>211</v>
      </c>
      <c r="M1053" s="1369" t="s">
        <v>23297</v>
      </c>
      <c r="N1053" s="1178"/>
      <c r="O1053" s="1178">
        <v>6</v>
      </c>
      <c r="P1053" s="1178">
        <v>13.5</v>
      </c>
    </row>
    <row r="1054" spans="1:16">
      <c r="A1054" s="1178" t="s">
        <v>20780</v>
      </c>
      <c r="B1054" s="1371" t="str">
        <f>HYPERLINK(IFERROR("#Main_Tariff!A"&amp;MATCH(Raeburn_Main_Tariff[[#This Row],[Product Code]],Main_Tariff!I:I,0),"#Main_Tariff!A"&amp;MATCH("*"&amp;RIGHT(A1054,8)&amp;"*",Main_Tariff!A:A,0)),Raeburn_Main_Tariff[[#This Row],[PRODUCER]])</f>
        <v>Domaine Faiveley</v>
      </c>
      <c r="C1054" s="1178" t="s">
        <v>20782</v>
      </c>
      <c r="D1054" s="1178" t="s">
        <v>1129</v>
      </c>
      <c r="E1054" s="1179">
        <v>2019</v>
      </c>
      <c r="F1054" s="1282" t="s">
        <v>20220</v>
      </c>
      <c r="G1054" s="1368">
        <v>84.5</v>
      </c>
      <c r="H1054" s="1178" t="s">
        <v>20221</v>
      </c>
      <c r="I1054" s="1178" t="s">
        <v>4690</v>
      </c>
      <c r="J1054" s="1178" t="s">
        <v>662</v>
      </c>
      <c r="K1054" s="1178" t="s">
        <v>267</v>
      </c>
      <c r="L1054" s="1178" t="s">
        <v>211</v>
      </c>
      <c r="M1054" s="1369" t="s">
        <v>23297</v>
      </c>
      <c r="N1054" s="1178"/>
      <c r="O1054" s="1178">
        <v>6</v>
      </c>
      <c r="P1054" s="1178">
        <v>13.5</v>
      </c>
    </row>
    <row r="1055" spans="1:16">
      <c r="A1055" s="1178" t="s">
        <v>20780</v>
      </c>
      <c r="B1055" s="1371" t="str">
        <f>HYPERLINK(IFERROR("#Main_Tariff!A"&amp;MATCH(Raeburn_Main_Tariff[[#This Row],[Product Code]],Main_Tariff!I:I,0),"#Main_Tariff!A"&amp;MATCH("*"&amp;RIGHT(A1055,8)&amp;"*",Main_Tariff!A:A,0)),Raeburn_Main_Tariff[[#This Row],[PRODUCER]])</f>
        <v>Domaine Faiveley</v>
      </c>
      <c r="C1055" s="1178" t="s">
        <v>20783</v>
      </c>
      <c r="D1055" s="1178" t="s">
        <v>1129</v>
      </c>
      <c r="E1055" s="1179">
        <v>2020</v>
      </c>
      <c r="F1055" s="1282" t="s">
        <v>20220</v>
      </c>
      <c r="G1055" s="1368">
        <v>184.5</v>
      </c>
      <c r="H1055" s="1178" t="s">
        <v>20224</v>
      </c>
      <c r="I1055" s="1178" t="s">
        <v>4694</v>
      </c>
      <c r="J1055" s="1178" t="s">
        <v>662</v>
      </c>
      <c r="K1055" s="1178" t="s">
        <v>267</v>
      </c>
      <c r="L1055" s="1178" t="s">
        <v>211</v>
      </c>
      <c r="M1055" s="1369" t="s">
        <v>23296</v>
      </c>
      <c r="N1055" s="1178"/>
      <c r="O1055" s="1178">
        <v>3</v>
      </c>
      <c r="P1055" s="1178">
        <v>13.5</v>
      </c>
    </row>
    <row r="1056" spans="1:16">
      <c r="A1056" s="1178" t="s">
        <v>20780</v>
      </c>
      <c r="B1056" s="1371" t="str">
        <f>HYPERLINK(IFERROR("#Main_Tariff!A"&amp;MATCH(Raeburn_Main_Tariff[[#This Row],[Product Code]],Main_Tariff!I:I,0),"#Main_Tariff!A"&amp;MATCH("*"&amp;RIGHT(A1056,8)&amp;"*",Main_Tariff!A:A,0)),Raeburn_Main_Tariff[[#This Row],[PRODUCER]])</f>
        <v>Domaine Faiveley</v>
      </c>
      <c r="C1056" s="1178" t="s">
        <v>20784</v>
      </c>
      <c r="D1056" s="1178" t="s">
        <v>1129</v>
      </c>
      <c r="E1056" s="1179">
        <v>2020</v>
      </c>
      <c r="F1056" s="1282" t="s">
        <v>20220</v>
      </c>
      <c r="G1056" s="1368"/>
      <c r="H1056" s="1178" t="s">
        <v>3907</v>
      </c>
      <c r="I1056" s="1178" t="s">
        <v>4695</v>
      </c>
      <c r="J1056" s="1178" t="s">
        <v>662</v>
      </c>
      <c r="K1056" s="1178" t="s">
        <v>267</v>
      </c>
      <c r="L1056" s="1178" t="s">
        <v>211</v>
      </c>
      <c r="M1056" s="1369" t="s">
        <v>23296</v>
      </c>
      <c r="N1056" s="1178"/>
      <c r="O1056" s="1178">
        <v>6</v>
      </c>
      <c r="P1056" s="1178">
        <v>13.5</v>
      </c>
    </row>
    <row r="1057" spans="1:16">
      <c r="A1057" s="1178" t="s">
        <v>20780</v>
      </c>
      <c r="B1057" s="1371" t="str">
        <f>HYPERLINK(IFERROR("#Main_Tariff!A"&amp;MATCH(Raeburn_Main_Tariff[[#This Row],[Product Code]],Main_Tariff!I:I,0),"#Main_Tariff!A"&amp;MATCH("*"&amp;RIGHT(A1057,8)&amp;"*",Main_Tariff!A:A,0)),Raeburn_Main_Tariff[[#This Row],[PRODUCER]])</f>
        <v>Domaine Faiveley</v>
      </c>
      <c r="C1057" s="1178" t="s">
        <v>20785</v>
      </c>
      <c r="D1057" s="1178" t="s">
        <v>1129</v>
      </c>
      <c r="E1057" s="1179">
        <v>2022</v>
      </c>
      <c r="F1057" s="1282" t="s">
        <v>20220</v>
      </c>
      <c r="G1057" s="1368" t="s">
        <v>5258</v>
      </c>
      <c r="H1057" s="1178" t="s">
        <v>20224</v>
      </c>
      <c r="I1057" s="1178" t="s">
        <v>4697</v>
      </c>
      <c r="J1057" s="1178" t="s">
        <v>662</v>
      </c>
      <c r="K1057" s="1178" t="s">
        <v>267</v>
      </c>
      <c r="L1057" s="1178" t="s">
        <v>211</v>
      </c>
      <c r="M1057" s="1369" t="s">
        <v>23296</v>
      </c>
      <c r="N1057" s="1178"/>
      <c r="O1057" s="1178">
        <v>6</v>
      </c>
      <c r="P1057" s="1178">
        <v>13</v>
      </c>
    </row>
    <row r="1058" spans="1:16">
      <c r="A1058" s="1178" t="s">
        <v>20780</v>
      </c>
      <c r="B1058" s="1371" t="str">
        <f>HYPERLINK(IFERROR("#Main_Tariff!A"&amp;MATCH(Raeburn_Main_Tariff[[#This Row],[Product Code]],Main_Tariff!I:I,0),"#Main_Tariff!A"&amp;MATCH("*"&amp;RIGHT(A1058,8)&amp;"*",Main_Tariff!A:A,0)),Raeburn_Main_Tariff[[#This Row],[PRODUCER]])</f>
        <v>Domaine Faiveley</v>
      </c>
      <c r="C1058" s="1178" t="s">
        <v>20786</v>
      </c>
      <c r="D1058" s="1178" t="s">
        <v>1129</v>
      </c>
      <c r="E1058" s="1179">
        <v>2019</v>
      </c>
      <c r="F1058" s="1282" t="s">
        <v>20240</v>
      </c>
      <c r="G1058" s="1368">
        <v>370</v>
      </c>
      <c r="H1058" s="1178" t="s">
        <v>20224</v>
      </c>
      <c r="I1058" s="1178" t="s">
        <v>4701</v>
      </c>
      <c r="J1058" s="1178" t="s">
        <v>662</v>
      </c>
      <c r="K1058" s="1178" t="s">
        <v>267</v>
      </c>
      <c r="L1058" s="1178" t="s">
        <v>211</v>
      </c>
      <c r="M1058" s="1369" t="s">
        <v>23296</v>
      </c>
      <c r="N1058" s="1178"/>
      <c r="O1058" s="1178">
        <v>1</v>
      </c>
      <c r="P1058" s="1178">
        <v>13.5</v>
      </c>
    </row>
    <row r="1059" spans="1:16">
      <c r="A1059" s="1178" t="s">
        <v>20780</v>
      </c>
      <c r="B1059" s="1371" t="str">
        <f>HYPERLINK(IFERROR("#Main_Tariff!A"&amp;MATCH(Raeburn_Main_Tariff[[#This Row],[Product Code]],Main_Tariff!I:I,0),"#Main_Tariff!A"&amp;MATCH("*"&amp;RIGHT(A1059,8)&amp;"*",Main_Tariff!A:A,0)),Raeburn_Main_Tariff[[#This Row],[PRODUCER]])</f>
        <v>Domaine Faiveley</v>
      </c>
      <c r="C1059" s="1178" t="s">
        <v>20787</v>
      </c>
      <c r="D1059" s="1178" t="s">
        <v>1129</v>
      </c>
      <c r="E1059" s="1179">
        <v>2019</v>
      </c>
      <c r="F1059" s="1282" t="s">
        <v>20240</v>
      </c>
      <c r="G1059" s="1368" t="s">
        <v>5258</v>
      </c>
      <c r="H1059" s="1178" t="s">
        <v>20224</v>
      </c>
      <c r="I1059" s="1178" t="s">
        <v>4703</v>
      </c>
      <c r="J1059" s="1178" t="s">
        <v>662</v>
      </c>
      <c r="K1059" s="1178" t="s">
        <v>267</v>
      </c>
      <c r="L1059" s="1178" t="s">
        <v>211</v>
      </c>
      <c r="M1059" s="1369" t="s">
        <v>23296</v>
      </c>
      <c r="N1059" s="1178"/>
      <c r="O1059" s="1178">
        <v>1</v>
      </c>
      <c r="P1059" s="1178">
        <v>13</v>
      </c>
    </row>
    <row r="1060" spans="1:16">
      <c r="A1060" s="1178" t="s">
        <v>20780</v>
      </c>
      <c r="B1060" s="1371" t="str">
        <f>HYPERLINK(IFERROR("#Main_Tariff!A"&amp;MATCH(Raeburn_Main_Tariff[[#This Row],[Product Code]],Main_Tariff!I:I,0),"#Main_Tariff!A"&amp;MATCH("*"&amp;RIGHT(A1060,8)&amp;"*",Main_Tariff!A:A,0)),Raeburn_Main_Tariff[[#This Row],[PRODUCER]])</f>
        <v>Domaine Faiveley</v>
      </c>
      <c r="C1060" s="1178" t="s">
        <v>20788</v>
      </c>
      <c r="D1060" s="1178" t="s">
        <v>897</v>
      </c>
      <c r="E1060" s="1179">
        <v>2017</v>
      </c>
      <c r="F1060" s="1282" t="s">
        <v>20220</v>
      </c>
      <c r="G1060" s="1368">
        <v>27.5</v>
      </c>
      <c r="H1060" s="1178" t="s">
        <v>20224</v>
      </c>
      <c r="I1060" s="1178" t="s">
        <v>4707</v>
      </c>
      <c r="J1060" s="1178" t="s">
        <v>662</v>
      </c>
      <c r="K1060" s="1178" t="s">
        <v>267</v>
      </c>
      <c r="L1060" s="1178" t="s">
        <v>211</v>
      </c>
      <c r="M1060" s="1369" t="s">
        <v>23297</v>
      </c>
      <c r="N1060" s="1178"/>
      <c r="O1060" s="1178">
        <v>6</v>
      </c>
      <c r="P1060" s="1178">
        <v>13.5</v>
      </c>
    </row>
    <row r="1061" spans="1:16">
      <c r="A1061" s="1178" t="s">
        <v>20780</v>
      </c>
      <c r="B1061" s="1371" t="str">
        <f>HYPERLINK(IFERROR("#Main_Tariff!A"&amp;MATCH(Raeburn_Main_Tariff[[#This Row],[Product Code]],Main_Tariff!I:I,0),"#Main_Tariff!A"&amp;MATCH("*"&amp;RIGHT(A1061,8)&amp;"*",Main_Tariff!A:A,0)),Raeburn_Main_Tariff[[#This Row],[PRODUCER]])</f>
        <v>Domaine Faiveley</v>
      </c>
      <c r="C1061" s="1178" t="s">
        <v>20789</v>
      </c>
      <c r="D1061" s="1178" t="s">
        <v>897</v>
      </c>
      <c r="E1061" s="1179">
        <v>2022</v>
      </c>
      <c r="F1061" s="1282" t="s">
        <v>20220</v>
      </c>
      <c r="G1061" s="1368">
        <v>200</v>
      </c>
      <c r="H1061" s="1178" t="s">
        <v>20221</v>
      </c>
      <c r="I1061" s="1178" t="s">
        <v>4711</v>
      </c>
      <c r="J1061" s="1178" t="s">
        <v>662</v>
      </c>
      <c r="K1061" s="1178" t="s">
        <v>267</v>
      </c>
      <c r="L1061" s="1178" t="s">
        <v>211</v>
      </c>
      <c r="M1061" s="1369" t="s">
        <v>23296</v>
      </c>
      <c r="N1061" s="1178"/>
      <c r="O1061" s="1178">
        <v>6</v>
      </c>
      <c r="P1061" s="1178">
        <v>13.5</v>
      </c>
    </row>
    <row r="1062" spans="1:16">
      <c r="A1062" s="1178" t="s">
        <v>20780</v>
      </c>
      <c r="B1062" s="1371" t="str">
        <f>HYPERLINK(IFERROR("#Main_Tariff!A"&amp;MATCH(Raeburn_Main_Tariff[[#This Row],[Product Code]],Main_Tariff!I:I,0),"#Main_Tariff!A"&amp;MATCH("*"&amp;RIGHT(A1062,8)&amp;"*",Main_Tariff!A:A,0)),Raeburn_Main_Tariff[[#This Row],[PRODUCER]])</f>
        <v>Domaine Faiveley</v>
      </c>
      <c r="C1062" s="1178" t="s">
        <v>20789</v>
      </c>
      <c r="D1062" s="1178" t="s">
        <v>897</v>
      </c>
      <c r="E1062" s="1179">
        <v>2021</v>
      </c>
      <c r="F1062" s="1282" t="s">
        <v>20220</v>
      </c>
      <c r="G1062" s="1368">
        <v>193</v>
      </c>
      <c r="H1062" s="1178" t="s">
        <v>20224</v>
      </c>
      <c r="I1062" s="1178" t="s">
        <v>4713</v>
      </c>
      <c r="J1062" s="1178" t="s">
        <v>662</v>
      </c>
      <c r="K1062" s="1178" t="s">
        <v>267</v>
      </c>
      <c r="L1062" s="1178" t="s">
        <v>211</v>
      </c>
      <c r="M1062" s="1369" t="s">
        <v>23296</v>
      </c>
      <c r="N1062" s="1178"/>
      <c r="O1062" s="1178">
        <v>6</v>
      </c>
      <c r="P1062" s="1178">
        <v>13.5</v>
      </c>
    </row>
    <row r="1063" spans="1:16">
      <c r="A1063" s="1178" t="s">
        <v>20780</v>
      </c>
      <c r="B1063" s="1371" t="str">
        <f>HYPERLINK(IFERROR("#Main_Tariff!A"&amp;MATCH(Raeburn_Main_Tariff[[#This Row],[Product Code]],Main_Tariff!I:I,0),"#Main_Tariff!A"&amp;MATCH("*"&amp;RIGHT(A1063,8)&amp;"*",Main_Tariff!A:A,0)),Raeburn_Main_Tariff[[#This Row],[PRODUCER]])</f>
        <v>Domaine Faiveley</v>
      </c>
      <c r="C1063" s="1178" t="s">
        <v>20789</v>
      </c>
      <c r="D1063" s="1178" t="s">
        <v>897</v>
      </c>
      <c r="E1063" s="1179">
        <v>2020</v>
      </c>
      <c r="F1063" s="1282" t="s">
        <v>20220</v>
      </c>
      <c r="G1063" s="1368">
        <v>169.5</v>
      </c>
      <c r="H1063" s="1178" t="s">
        <v>20221</v>
      </c>
      <c r="I1063" s="1178" t="s">
        <v>4715</v>
      </c>
      <c r="J1063" s="1178" t="s">
        <v>662</v>
      </c>
      <c r="K1063" s="1178" t="s">
        <v>267</v>
      </c>
      <c r="L1063" s="1178" t="s">
        <v>211</v>
      </c>
      <c r="M1063" s="1369" t="s">
        <v>23296</v>
      </c>
      <c r="N1063" s="1178"/>
      <c r="O1063" s="1178">
        <v>6</v>
      </c>
      <c r="P1063" s="1178">
        <v>14</v>
      </c>
    </row>
    <row r="1064" spans="1:16">
      <c r="A1064" s="1178" t="s">
        <v>20780</v>
      </c>
      <c r="B1064" s="1371" t="str">
        <f>HYPERLINK(IFERROR("#Main_Tariff!A"&amp;MATCH(Raeburn_Main_Tariff[[#This Row],[Product Code]],Main_Tariff!I:I,0),"#Main_Tariff!A"&amp;MATCH("*"&amp;RIGHT(A1064,8)&amp;"*",Main_Tariff!A:A,0)),Raeburn_Main_Tariff[[#This Row],[PRODUCER]])</f>
        <v>Domaine Faiveley</v>
      </c>
      <c r="C1064" s="1178" t="s">
        <v>20789</v>
      </c>
      <c r="D1064" s="1178" t="s">
        <v>897</v>
      </c>
      <c r="E1064" s="1179">
        <v>2018</v>
      </c>
      <c r="F1064" s="1282" t="s">
        <v>20220</v>
      </c>
      <c r="G1064" s="1368">
        <v>124.5</v>
      </c>
      <c r="H1064" s="1178" t="s">
        <v>20224</v>
      </c>
      <c r="I1064" s="1178" t="s">
        <v>4717</v>
      </c>
      <c r="J1064" s="1178" t="s">
        <v>662</v>
      </c>
      <c r="K1064" s="1178" t="s">
        <v>267</v>
      </c>
      <c r="L1064" s="1178" t="s">
        <v>211</v>
      </c>
      <c r="M1064" s="1369" t="s">
        <v>23296</v>
      </c>
      <c r="N1064" s="1178"/>
      <c r="O1064" s="1178">
        <v>6</v>
      </c>
      <c r="P1064" s="1178">
        <v>13.5</v>
      </c>
    </row>
    <row r="1065" spans="1:16">
      <c r="A1065" s="1178" t="s">
        <v>20780</v>
      </c>
      <c r="B1065" s="1371" t="str">
        <f>HYPERLINK(IFERROR("#Main_Tariff!A"&amp;MATCH(Raeburn_Main_Tariff[[#This Row],[Product Code]],Main_Tariff!I:I,0),"#Main_Tariff!A"&amp;MATCH("*"&amp;RIGHT(A1065,8)&amp;"*",Main_Tariff!A:A,0)),Raeburn_Main_Tariff[[#This Row],[PRODUCER]])</f>
        <v>Domaine Faiveley</v>
      </c>
      <c r="C1065" s="1178" t="s">
        <v>20790</v>
      </c>
      <c r="D1065" s="1178" t="s">
        <v>897</v>
      </c>
      <c r="E1065" s="1179">
        <v>2022</v>
      </c>
      <c r="F1065" s="1282" t="s">
        <v>20220</v>
      </c>
      <c r="G1065" s="1368">
        <v>114.5</v>
      </c>
      <c r="H1065" s="1178" t="s">
        <v>20224</v>
      </c>
      <c r="I1065" s="1178" t="s">
        <v>4721</v>
      </c>
      <c r="J1065" s="1178" t="s">
        <v>662</v>
      </c>
      <c r="K1065" s="1178" t="s">
        <v>267</v>
      </c>
      <c r="L1065" s="1178" t="s">
        <v>211</v>
      </c>
      <c r="M1065" s="1369" t="s">
        <v>23297</v>
      </c>
      <c r="N1065" s="1178"/>
      <c r="O1065" s="1178">
        <v>6</v>
      </c>
      <c r="P1065" s="1178">
        <v>13.5</v>
      </c>
    </row>
    <row r="1066" spans="1:16">
      <c r="A1066" s="1178" t="s">
        <v>20780</v>
      </c>
      <c r="B1066" s="1371" t="str">
        <f>HYPERLINK(IFERROR("#Main_Tariff!A"&amp;MATCH(Raeburn_Main_Tariff[[#This Row],[Product Code]],Main_Tariff!I:I,0),"#Main_Tariff!A"&amp;MATCH("*"&amp;RIGHT(A1066,8)&amp;"*",Main_Tariff!A:A,0)),Raeburn_Main_Tariff[[#This Row],[PRODUCER]])</f>
        <v>Domaine Faiveley</v>
      </c>
      <c r="C1066" s="1178" t="s">
        <v>20790</v>
      </c>
      <c r="D1066" s="1178" t="s">
        <v>897</v>
      </c>
      <c r="E1066" s="1179">
        <v>2021</v>
      </c>
      <c r="F1066" s="1282" t="s">
        <v>20220</v>
      </c>
      <c r="G1066" s="1368">
        <v>109</v>
      </c>
      <c r="H1066" s="1178" t="s">
        <v>20224</v>
      </c>
      <c r="I1066" s="1178" t="s">
        <v>4723</v>
      </c>
      <c r="J1066" s="1178" t="s">
        <v>662</v>
      </c>
      <c r="K1066" s="1178" t="s">
        <v>267</v>
      </c>
      <c r="L1066" s="1178" t="s">
        <v>211</v>
      </c>
      <c r="M1066" s="1369" t="s">
        <v>23297</v>
      </c>
      <c r="N1066" s="1178"/>
      <c r="O1066" s="1178">
        <v>6</v>
      </c>
      <c r="P1066" s="1178">
        <v>13.5</v>
      </c>
    </row>
    <row r="1067" spans="1:16">
      <c r="A1067" s="1178" t="s">
        <v>20780</v>
      </c>
      <c r="B1067" s="1371" t="str">
        <f>HYPERLINK(IFERROR("#Main_Tariff!A"&amp;MATCH(Raeburn_Main_Tariff[[#This Row],[Product Code]],Main_Tariff!I:I,0),"#Main_Tariff!A"&amp;MATCH("*"&amp;RIGHT(A1067,8)&amp;"*",Main_Tariff!A:A,0)),Raeburn_Main_Tariff[[#This Row],[PRODUCER]])</f>
        <v>Domaine Faiveley</v>
      </c>
      <c r="C1067" s="1178" t="s">
        <v>20790</v>
      </c>
      <c r="D1067" s="1178" t="s">
        <v>897</v>
      </c>
      <c r="E1067" s="1179">
        <v>2020</v>
      </c>
      <c r="F1067" s="1282" t="s">
        <v>20220</v>
      </c>
      <c r="G1067" s="1368">
        <v>97</v>
      </c>
      <c r="H1067" s="1178" t="s">
        <v>20221</v>
      </c>
      <c r="I1067" s="1178" t="s">
        <v>4725</v>
      </c>
      <c r="J1067" s="1178" t="s">
        <v>662</v>
      </c>
      <c r="K1067" s="1178" t="s">
        <v>267</v>
      </c>
      <c r="L1067" s="1178" t="s">
        <v>211</v>
      </c>
      <c r="M1067" s="1369" t="s">
        <v>23297</v>
      </c>
      <c r="N1067" s="1178"/>
      <c r="O1067" s="1178">
        <v>6</v>
      </c>
      <c r="P1067" s="1178">
        <v>13.5</v>
      </c>
    </row>
    <row r="1068" spans="1:16">
      <c r="A1068" s="1178" t="s">
        <v>20780</v>
      </c>
      <c r="B1068" s="1371" t="str">
        <f>HYPERLINK(IFERROR("#Main_Tariff!A"&amp;MATCH(Raeburn_Main_Tariff[[#This Row],[Product Code]],Main_Tariff!I:I,0),"#Main_Tariff!A"&amp;MATCH("*"&amp;RIGHT(A1068,8)&amp;"*",Main_Tariff!A:A,0)),Raeburn_Main_Tariff[[#This Row],[PRODUCER]])</f>
        <v>Domaine Faiveley</v>
      </c>
      <c r="C1068" s="1178" t="s">
        <v>20790</v>
      </c>
      <c r="D1068" s="1178" t="s">
        <v>897</v>
      </c>
      <c r="E1068" s="1179">
        <v>2019</v>
      </c>
      <c r="F1068" s="1282" t="s">
        <v>20220</v>
      </c>
      <c r="G1068" s="1368">
        <v>94</v>
      </c>
      <c r="H1068" s="1178" t="s">
        <v>20221</v>
      </c>
      <c r="I1068" s="1178" t="s">
        <v>4727</v>
      </c>
      <c r="J1068" s="1178" t="s">
        <v>662</v>
      </c>
      <c r="K1068" s="1178" t="s">
        <v>267</v>
      </c>
      <c r="L1068" s="1178" t="s">
        <v>211</v>
      </c>
      <c r="M1068" s="1369" t="s">
        <v>23297</v>
      </c>
      <c r="N1068" s="1178"/>
      <c r="O1068" s="1178">
        <v>6</v>
      </c>
      <c r="P1068" s="1178">
        <v>13.5</v>
      </c>
    </row>
    <row r="1069" spans="1:16">
      <c r="A1069" s="1178" t="s">
        <v>20780</v>
      </c>
      <c r="B1069" s="1371" t="str">
        <f>HYPERLINK(IFERROR("#Main_Tariff!A"&amp;MATCH(Raeburn_Main_Tariff[[#This Row],[Product Code]],Main_Tariff!I:I,0),"#Main_Tariff!A"&amp;MATCH("*"&amp;RIGHT(A1069,8)&amp;"*",Main_Tariff!A:A,0)),Raeburn_Main_Tariff[[#This Row],[PRODUCER]])</f>
        <v>Domaine Faiveley</v>
      </c>
      <c r="C1069" s="1178" t="s">
        <v>20791</v>
      </c>
      <c r="D1069" s="1178" t="s">
        <v>897</v>
      </c>
      <c r="E1069" s="1179">
        <v>2022</v>
      </c>
      <c r="F1069" s="1282" t="s">
        <v>20220</v>
      </c>
      <c r="G1069" s="1368">
        <v>100.25</v>
      </c>
      <c r="H1069" s="1178" t="s">
        <v>20224</v>
      </c>
      <c r="I1069" s="1178" t="s">
        <v>4729</v>
      </c>
      <c r="J1069" s="1178" t="s">
        <v>662</v>
      </c>
      <c r="K1069" s="1178" t="s">
        <v>267</v>
      </c>
      <c r="L1069" s="1178" t="s">
        <v>211</v>
      </c>
      <c r="M1069" s="1369" t="s">
        <v>23297</v>
      </c>
      <c r="N1069" s="1178"/>
      <c r="O1069" s="1178">
        <v>6</v>
      </c>
      <c r="P1069" s="1178">
        <v>13.5</v>
      </c>
    </row>
    <row r="1070" spans="1:16">
      <c r="A1070" s="1178" t="s">
        <v>20780</v>
      </c>
      <c r="B1070" s="1371" t="str">
        <f>HYPERLINK(IFERROR("#Main_Tariff!A"&amp;MATCH(Raeburn_Main_Tariff[[#This Row],[Product Code]],Main_Tariff!I:I,0),"#Main_Tariff!A"&amp;MATCH("*"&amp;RIGHT(A1070,8)&amp;"*",Main_Tariff!A:A,0)),Raeburn_Main_Tariff[[#This Row],[PRODUCER]])</f>
        <v>Domaine Faiveley</v>
      </c>
      <c r="C1070" s="1178" t="s">
        <v>20791</v>
      </c>
      <c r="D1070" s="1178" t="s">
        <v>897</v>
      </c>
      <c r="E1070" s="1179">
        <v>2021</v>
      </c>
      <c r="F1070" s="1282" t="s">
        <v>20220</v>
      </c>
      <c r="G1070" s="1368">
        <v>96.5</v>
      </c>
      <c r="H1070" s="1178" t="s">
        <v>20224</v>
      </c>
      <c r="I1070" s="1178" t="s">
        <v>4730</v>
      </c>
      <c r="J1070" s="1178" t="s">
        <v>662</v>
      </c>
      <c r="K1070" s="1178" t="s">
        <v>267</v>
      </c>
      <c r="L1070" s="1178" t="s">
        <v>211</v>
      </c>
      <c r="M1070" s="1369" t="s">
        <v>23297</v>
      </c>
      <c r="N1070" s="1178"/>
      <c r="O1070" s="1178">
        <v>6</v>
      </c>
      <c r="P1070" s="1178">
        <v>13</v>
      </c>
    </row>
    <row r="1071" spans="1:16">
      <c r="A1071" s="1178" t="s">
        <v>20780</v>
      </c>
      <c r="B1071" s="1371" t="str">
        <f>HYPERLINK(IFERROR("#Main_Tariff!A"&amp;MATCH(Raeburn_Main_Tariff[[#This Row],[Product Code]],Main_Tariff!I:I,0),"#Main_Tariff!A"&amp;MATCH("*"&amp;RIGHT(A1071,8)&amp;"*",Main_Tariff!A:A,0)),Raeburn_Main_Tariff[[#This Row],[PRODUCER]])</f>
        <v>Domaine Faiveley</v>
      </c>
      <c r="C1071" s="1178" t="s">
        <v>20791</v>
      </c>
      <c r="D1071" s="1178" t="s">
        <v>897</v>
      </c>
      <c r="E1071" s="1179">
        <v>2020</v>
      </c>
      <c r="F1071" s="1282" t="s">
        <v>20220</v>
      </c>
      <c r="G1071" s="1368">
        <v>83.5</v>
      </c>
      <c r="H1071" s="1178" t="s">
        <v>20224</v>
      </c>
      <c r="I1071" s="1178" t="s">
        <v>4732</v>
      </c>
      <c r="J1071" s="1178" t="s">
        <v>662</v>
      </c>
      <c r="K1071" s="1178" t="s">
        <v>267</v>
      </c>
      <c r="L1071" s="1178" t="s">
        <v>211</v>
      </c>
      <c r="M1071" s="1369" t="s">
        <v>23297</v>
      </c>
      <c r="N1071" s="1178"/>
      <c r="O1071" s="1178">
        <v>6</v>
      </c>
      <c r="P1071" s="1178">
        <v>13.5</v>
      </c>
    </row>
    <row r="1072" spans="1:16">
      <c r="A1072" s="1178" t="s">
        <v>20780</v>
      </c>
      <c r="B1072" s="1371" t="str">
        <f>HYPERLINK(IFERROR("#Main_Tariff!A"&amp;MATCH(Raeburn_Main_Tariff[[#This Row],[Product Code]],Main_Tariff!I:I,0),"#Main_Tariff!A"&amp;MATCH("*"&amp;RIGHT(A1072,8)&amp;"*",Main_Tariff!A:A,0)),Raeburn_Main_Tariff[[#This Row],[PRODUCER]])</f>
        <v>Domaine Faiveley</v>
      </c>
      <c r="C1072" s="1178" t="s">
        <v>20791</v>
      </c>
      <c r="D1072" s="1178" t="s">
        <v>897</v>
      </c>
      <c r="E1072" s="1179">
        <v>2019</v>
      </c>
      <c r="F1072" s="1282" t="s">
        <v>20220</v>
      </c>
      <c r="G1072" s="1368">
        <v>83.5</v>
      </c>
      <c r="H1072" s="1178" t="s">
        <v>20221</v>
      </c>
      <c r="I1072" s="1178" t="s">
        <v>4734</v>
      </c>
      <c r="J1072" s="1178" t="s">
        <v>662</v>
      </c>
      <c r="K1072" s="1178" t="s">
        <v>267</v>
      </c>
      <c r="L1072" s="1178" t="s">
        <v>211</v>
      </c>
      <c r="M1072" s="1369" t="s">
        <v>23297</v>
      </c>
      <c r="N1072" s="1178"/>
      <c r="O1072" s="1178">
        <v>6</v>
      </c>
      <c r="P1072" s="1178">
        <v>13.5</v>
      </c>
    </row>
    <row r="1073" spans="1:16">
      <c r="A1073" s="1178" t="s">
        <v>20780</v>
      </c>
      <c r="B1073" s="1371" t="str">
        <f>HYPERLINK(IFERROR("#Main_Tariff!A"&amp;MATCH(Raeburn_Main_Tariff[[#This Row],[Product Code]],Main_Tariff!I:I,0),"#Main_Tariff!A"&amp;MATCH("*"&amp;RIGHT(A1073,8)&amp;"*",Main_Tariff!A:A,0)),Raeburn_Main_Tariff[[#This Row],[PRODUCER]])</f>
        <v>Domaine Faiveley</v>
      </c>
      <c r="C1073" s="1178" t="s">
        <v>20791</v>
      </c>
      <c r="D1073" s="1178" t="s">
        <v>897</v>
      </c>
      <c r="E1073" s="1179">
        <v>2018</v>
      </c>
      <c r="F1073" s="1282" t="s">
        <v>20220</v>
      </c>
      <c r="G1073" s="1368">
        <v>80</v>
      </c>
      <c r="H1073" s="1178" t="s">
        <v>20224</v>
      </c>
      <c r="I1073" s="1178" t="s">
        <v>4736</v>
      </c>
      <c r="J1073" s="1178" t="s">
        <v>662</v>
      </c>
      <c r="K1073" s="1178" t="s">
        <v>267</v>
      </c>
      <c r="L1073" s="1178" t="s">
        <v>211</v>
      </c>
      <c r="M1073" s="1369" t="s">
        <v>23297</v>
      </c>
      <c r="N1073" s="1178"/>
      <c r="O1073" s="1178">
        <v>6</v>
      </c>
      <c r="P1073" s="1178">
        <v>13</v>
      </c>
    </row>
    <row r="1074" spans="1:16">
      <c r="A1074" s="1178" t="s">
        <v>20780</v>
      </c>
      <c r="B1074" s="1371" t="str">
        <f>HYPERLINK(IFERROR("#Main_Tariff!A"&amp;MATCH(Raeburn_Main_Tariff[[#This Row],[Product Code]],Main_Tariff!I:I,0),"#Main_Tariff!A"&amp;MATCH("*"&amp;RIGHT(A1074,8)&amp;"*",Main_Tariff!A:A,0)),Raeburn_Main_Tariff[[#This Row],[PRODUCER]])</f>
        <v>Domaine Faiveley</v>
      </c>
      <c r="C1074" s="1178" t="s">
        <v>20792</v>
      </c>
      <c r="D1074" s="1178" t="s">
        <v>897</v>
      </c>
      <c r="E1074" s="1179">
        <v>2019</v>
      </c>
      <c r="F1074" s="1282" t="s">
        <v>20220</v>
      </c>
      <c r="G1074" s="1368">
        <v>64</v>
      </c>
      <c r="H1074" s="1178" t="s">
        <v>20221</v>
      </c>
      <c r="I1074" s="1178" t="s">
        <v>4737</v>
      </c>
      <c r="J1074" s="1178" t="s">
        <v>662</v>
      </c>
      <c r="K1074" s="1178" t="s">
        <v>267</v>
      </c>
      <c r="L1074" s="1178" t="s">
        <v>211</v>
      </c>
      <c r="M1074" s="1369" t="s">
        <v>23297</v>
      </c>
      <c r="N1074" s="1178"/>
      <c r="O1074" s="1178">
        <v>6</v>
      </c>
      <c r="P1074" s="1178">
        <v>14.5</v>
      </c>
    </row>
    <row r="1075" spans="1:16">
      <c r="A1075" s="1178" t="s">
        <v>20780</v>
      </c>
      <c r="B1075" s="1371" t="str">
        <f>HYPERLINK(IFERROR("#Main_Tariff!A"&amp;MATCH(Raeburn_Main_Tariff[[#This Row],[Product Code]],Main_Tariff!I:I,0),"#Main_Tariff!A"&amp;MATCH("*"&amp;RIGHT(A1075,8)&amp;"*",Main_Tariff!A:A,0)),Raeburn_Main_Tariff[[#This Row],[PRODUCER]])</f>
        <v>Domaine Faiveley</v>
      </c>
      <c r="C1075" s="1178" t="s">
        <v>20792</v>
      </c>
      <c r="D1075" s="1178" t="s">
        <v>897</v>
      </c>
      <c r="E1075" s="1179">
        <v>2018</v>
      </c>
      <c r="F1075" s="1282" t="s">
        <v>20220</v>
      </c>
      <c r="G1075" s="1368">
        <v>56</v>
      </c>
      <c r="H1075" s="1178" t="s">
        <v>20221</v>
      </c>
      <c r="I1075" s="1178" t="s">
        <v>4738</v>
      </c>
      <c r="J1075" s="1178" t="s">
        <v>662</v>
      </c>
      <c r="K1075" s="1178" t="s">
        <v>267</v>
      </c>
      <c r="L1075" s="1178" t="s">
        <v>211</v>
      </c>
      <c r="M1075" s="1369" t="s">
        <v>23297</v>
      </c>
      <c r="N1075" s="1178"/>
      <c r="O1075" s="1178">
        <v>6</v>
      </c>
      <c r="P1075" s="1178">
        <v>14</v>
      </c>
    </row>
    <row r="1076" spans="1:16">
      <c r="A1076" s="1178" t="s">
        <v>20780</v>
      </c>
      <c r="B1076" s="1371" t="str">
        <f>HYPERLINK(IFERROR("#Main_Tariff!A"&amp;MATCH(Raeburn_Main_Tariff[[#This Row],[Product Code]],Main_Tariff!I:I,0),"#Main_Tariff!A"&amp;MATCH("*"&amp;RIGHT(A1076,8)&amp;"*",Main_Tariff!A:A,0)),Raeburn_Main_Tariff[[#This Row],[PRODUCER]])</f>
        <v>Domaine Faiveley</v>
      </c>
      <c r="C1076" s="1178" t="s">
        <v>20792</v>
      </c>
      <c r="D1076" s="1178" t="s">
        <v>897</v>
      </c>
      <c r="E1076" s="1179">
        <v>2017</v>
      </c>
      <c r="F1076" s="1282" t="s">
        <v>20220</v>
      </c>
      <c r="G1076" s="1368">
        <v>56</v>
      </c>
      <c r="H1076" s="1178" t="s">
        <v>20221</v>
      </c>
      <c r="I1076" s="1178" t="s">
        <v>4739</v>
      </c>
      <c r="J1076" s="1178" t="s">
        <v>662</v>
      </c>
      <c r="K1076" s="1178" t="s">
        <v>267</v>
      </c>
      <c r="L1076" s="1178" t="s">
        <v>211</v>
      </c>
      <c r="M1076" s="1369" t="s">
        <v>23297</v>
      </c>
      <c r="N1076" s="1178"/>
      <c r="O1076" s="1178">
        <v>6</v>
      </c>
      <c r="P1076" s="1178">
        <v>13.5</v>
      </c>
    </row>
    <row r="1077" spans="1:16">
      <c r="A1077" s="1178" t="s">
        <v>20780</v>
      </c>
      <c r="B1077" s="1371" t="str">
        <f>HYPERLINK(IFERROR("#Main_Tariff!A"&amp;MATCH(Raeburn_Main_Tariff[[#This Row],[Product Code]],Main_Tariff!I:I,0),"#Main_Tariff!A"&amp;MATCH("*"&amp;RIGHT(A1077,8)&amp;"*",Main_Tariff!A:A,0)),Raeburn_Main_Tariff[[#This Row],[PRODUCER]])</f>
        <v>Domaine Faiveley</v>
      </c>
      <c r="C1077" s="1178" t="s">
        <v>20792</v>
      </c>
      <c r="D1077" s="1178" t="s">
        <v>897</v>
      </c>
      <c r="E1077" s="1179">
        <v>2016</v>
      </c>
      <c r="F1077" s="1282" t="s">
        <v>20220</v>
      </c>
      <c r="G1077" s="1368">
        <v>56</v>
      </c>
      <c r="H1077" s="1178" t="s">
        <v>20224</v>
      </c>
      <c r="I1077" s="1178" t="s">
        <v>4740</v>
      </c>
      <c r="J1077" s="1178" t="s">
        <v>662</v>
      </c>
      <c r="K1077" s="1178" t="s">
        <v>267</v>
      </c>
      <c r="L1077" s="1178" t="s">
        <v>211</v>
      </c>
      <c r="M1077" s="1369" t="s">
        <v>23297</v>
      </c>
      <c r="N1077" s="1178"/>
      <c r="O1077" s="1178">
        <v>6</v>
      </c>
      <c r="P1077" s="1178">
        <v>13.5</v>
      </c>
    </row>
    <row r="1078" spans="1:16">
      <c r="A1078" s="1178" t="s">
        <v>20780</v>
      </c>
      <c r="B1078" s="1371" t="str">
        <f>HYPERLINK(IFERROR("#Main_Tariff!A"&amp;MATCH(Raeburn_Main_Tariff[[#This Row],[Product Code]],Main_Tariff!I:I,0),"#Main_Tariff!A"&amp;MATCH("*"&amp;RIGHT(A1078,8)&amp;"*",Main_Tariff!A:A,0)),Raeburn_Main_Tariff[[#This Row],[PRODUCER]])</f>
        <v>Domaine Faiveley</v>
      </c>
      <c r="C1078" s="1178" t="s">
        <v>20793</v>
      </c>
      <c r="D1078" s="1178" t="s">
        <v>897</v>
      </c>
      <c r="E1078" s="1179">
        <v>2021</v>
      </c>
      <c r="F1078" s="1282" t="s">
        <v>20220</v>
      </c>
      <c r="G1078" s="1368">
        <v>80</v>
      </c>
      <c r="H1078" s="1178" t="s">
        <v>20221</v>
      </c>
      <c r="I1078" s="1178" t="s">
        <v>4741</v>
      </c>
      <c r="J1078" s="1178" t="s">
        <v>662</v>
      </c>
      <c r="K1078" s="1178" t="s">
        <v>267</v>
      </c>
      <c r="L1078" s="1178" t="s">
        <v>211</v>
      </c>
      <c r="M1078" s="1369" t="s">
        <v>23297</v>
      </c>
      <c r="N1078" s="1178"/>
      <c r="O1078" s="1178">
        <v>6</v>
      </c>
      <c r="P1078" s="1178">
        <v>13.5</v>
      </c>
    </row>
    <row r="1079" spans="1:16">
      <c r="A1079" s="1178" t="s">
        <v>20780</v>
      </c>
      <c r="B1079" s="1371" t="str">
        <f>HYPERLINK(IFERROR("#Main_Tariff!A"&amp;MATCH(Raeburn_Main_Tariff[[#This Row],[Product Code]],Main_Tariff!I:I,0),"#Main_Tariff!A"&amp;MATCH("*"&amp;RIGHT(A1079,8)&amp;"*",Main_Tariff!A:A,0)),Raeburn_Main_Tariff[[#This Row],[PRODUCER]])</f>
        <v>Domaine Faiveley</v>
      </c>
      <c r="C1079" s="1178" t="s">
        <v>20793</v>
      </c>
      <c r="D1079" s="1178" t="s">
        <v>897</v>
      </c>
      <c r="E1079" s="1179">
        <v>2020</v>
      </c>
      <c r="F1079" s="1282" t="s">
        <v>20220</v>
      </c>
      <c r="G1079" s="1368">
        <v>80</v>
      </c>
      <c r="H1079" s="1178" t="s">
        <v>20221</v>
      </c>
      <c r="I1079" s="1178" t="s">
        <v>4742</v>
      </c>
      <c r="J1079" s="1178" t="s">
        <v>662</v>
      </c>
      <c r="K1079" s="1178" t="s">
        <v>267</v>
      </c>
      <c r="L1079" s="1178" t="s">
        <v>211</v>
      </c>
      <c r="M1079" s="1369" t="s">
        <v>23297</v>
      </c>
      <c r="N1079" s="1178"/>
      <c r="O1079" s="1178">
        <v>6</v>
      </c>
      <c r="P1079" s="1178">
        <v>13</v>
      </c>
    </row>
    <row r="1080" spans="1:16">
      <c r="A1080" s="1178" t="s">
        <v>20780</v>
      </c>
      <c r="B1080" s="1371" t="str">
        <f>HYPERLINK(IFERROR("#Main_Tariff!A"&amp;MATCH(Raeburn_Main_Tariff[[#This Row],[Product Code]],Main_Tariff!I:I,0),"#Main_Tariff!A"&amp;MATCH("*"&amp;RIGHT(A1080,8)&amp;"*",Main_Tariff!A:A,0)),Raeburn_Main_Tariff[[#This Row],[PRODUCER]])</f>
        <v>Domaine Faiveley</v>
      </c>
      <c r="C1080" s="1178" t="s">
        <v>20793</v>
      </c>
      <c r="D1080" s="1178" t="s">
        <v>897</v>
      </c>
      <c r="E1080" s="1179">
        <v>2019</v>
      </c>
      <c r="F1080" s="1282" t="s">
        <v>20220</v>
      </c>
      <c r="G1080" s="1368">
        <v>80</v>
      </c>
      <c r="H1080" s="1178" t="s">
        <v>20221</v>
      </c>
      <c r="I1080" s="1178" t="s">
        <v>4743</v>
      </c>
      <c r="J1080" s="1178" t="s">
        <v>662</v>
      </c>
      <c r="K1080" s="1178" t="s">
        <v>267</v>
      </c>
      <c r="L1080" s="1178" t="s">
        <v>211</v>
      </c>
      <c r="M1080" s="1369" t="s">
        <v>23297</v>
      </c>
      <c r="N1080" s="1178"/>
      <c r="O1080" s="1178">
        <v>6</v>
      </c>
      <c r="P1080" s="1178">
        <v>14</v>
      </c>
    </row>
    <row r="1081" spans="1:16">
      <c r="A1081" s="1178" t="s">
        <v>20780</v>
      </c>
      <c r="B1081" s="1371" t="str">
        <f>HYPERLINK(IFERROR("#Main_Tariff!A"&amp;MATCH(Raeburn_Main_Tariff[[#This Row],[Product Code]],Main_Tariff!I:I,0),"#Main_Tariff!A"&amp;MATCH("*"&amp;RIGHT(A1081,8)&amp;"*",Main_Tariff!A:A,0)),Raeburn_Main_Tariff[[#This Row],[PRODUCER]])</f>
        <v>Domaine Faiveley</v>
      </c>
      <c r="C1081" s="1178" t="s">
        <v>20793</v>
      </c>
      <c r="D1081" s="1178" t="s">
        <v>897</v>
      </c>
      <c r="E1081" s="1179">
        <v>2018</v>
      </c>
      <c r="F1081" s="1282" t="s">
        <v>20220</v>
      </c>
      <c r="G1081" s="1368">
        <v>70</v>
      </c>
      <c r="H1081" s="1178" t="s">
        <v>20221</v>
      </c>
      <c r="I1081" s="1178" t="s">
        <v>4744</v>
      </c>
      <c r="J1081" s="1178" t="s">
        <v>662</v>
      </c>
      <c r="K1081" s="1178" t="s">
        <v>267</v>
      </c>
      <c r="L1081" s="1178" t="s">
        <v>211</v>
      </c>
      <c r="M1081" s="1369" t="s">
        <v>23297</v>
      </c>
      <c r="N1081" s="1178"/>
      <c r="O1081" s="1178">
        <v>6</v>
      </c>
      <c r="P1081" s="1178">
        <v>14</v>
      </c>
    </row>
    <row r="1082" spans="1:16">
      <c r="A1082" s="1178" t="s">
        <v>20780</v>
      </c>
      <c r="B1082" s="1371" t="str">
        <f>HYPERLINK(IFERROR("#Main_Tariff!A"&amp;MATCH(Raeburn_Main_Tariff[[#This Row],[Product Code]],Main_Tariff!I:I,0),"#Main_Tariff!A"&amp;MATCH("*"&amp;RIGHT(A1082,8)&amp;"*",Main_Tariff!A:A,0)),Raeburn_Main_Tariff[[#This Row],[PRODUCER]])</f>
        <v>Domaine Faiveley</v>
      </c>
      <c r="C1082" s="1178" t="s">
        <v>20793</v>
      </c>
      <c r="D1082" s="1178" t="s">
        <v>897</v>
      </c>
      <c r="E1082" s="1179">
        <v>2017</v>
      </c>
      <c r="F1082" s="1282" t="s">
        <v>20220</v>
      </c>
      <c r="G1082" s="1368">
        <v>66</v>
      </c>
      <c r="H1082" s="1178" t="s">
        <v>20224</v>
      </c>
      <c r="I1082" s="1178" t="s">
        <v>4745</v>
      </c>
      <c r="J1082" s="1178" t="s">
        <v>662</v>
      </c>
      <c r="K1082" s="1178" t="s">
        <v>267</v>
      </c>
      <c r="L1082" s="1178" t="s">
        <v>211</v>
      </c>
      <c r="M1082" s="1369" t="s">
        <v>23297</v>
      </c>
      <c r="N1082" s="1178"/>
      <c r="O1082" s="1178">
        <v>6</v>
      </c>
      <c r="P1082" s="1178">
        <v>13</v>
      </c>
    </row>
    <row r="1083" spans="1:16">
      <c r="A1083" s="1178" t="s">
        <v>20780</v>
      </c>
      <c r="B1083" s="1371" t="str">
        <f>HYPERLINK(IFERROR("#Main_Tariff!A"&amp;MATCH(Raeburn_Main_Tariff[[#This Row],[Product Code]],Main_Tariff!I:I,0),"#Main_Tariff!A"&amp;MATCH("*"&amp;RIGHT(A1083,8)&amp;"*",Main_Tariff!A:A,0)),Raeburn_Main_Tariff[[#This Row],[PRODUCER]])</f>
        <v>Domaine Faiveley</v>
      </c>
      <c r="C1083" s="1178" t="s">
        <v>20793</v>
      </c>
      <c r="D1083" s="1178" t="s">
        <v>897</v>
      </c>
      <c r="E1083" s="1179">
        <v>2016</v>
      </c>
      <c r="F1083" s="1282" t="s">
        <v>20220</v>
      </c>
      <c r="G1083" s="1368">
        <v>66</v>
      </c>
      <c r="H1083" s="1178" t="s">
        <v>20224</v>
      </c>
      <c r="I1083" s="1178" t="s">
        <v>4746</v>
      </c>
      <c r="J1083" s="1178" t="s">
        <v>662</v>
      </c>
      <c r="K1083" s="1178" t="s">
        <v>267</v>
      </c>
      <c r="L1083" s="1178" t="s">
        <v>211</v>
      </c>
      <c r="M1083" s="1369" t="s">
        <v>23297</v>
      </c>
      <c r="N1083" s="1178"/>
      <c r="O1083" s="1178">
        <v>6</v>
      </c>
      <c r="P1083" s="1178">
        <v>13.5</v>
      </c>
    </row>
    <row r="1084" spans="1:16">
      <c r="A1084" s="1178" t="s">
        <v>20780</v>
      </c>
      <c r="B1084" s="1371" t="str">
        <f>HYPERLINK(IFERROR("#Main_Tariff!A"&amp;MATCH(Raeburn_Main_Tariff[[#This Row],[Product Code]],Main_Tariff!I:I,0),"#Main_Tariff!A"&amp;MATCH("*"&amp;RIGHT(A1084,8)&amp;"*",Main_Tariff!A:A,0)),Raeburn_Main_Tariff[[#This Row],[PRODUCER]])</f>
        <v>Domaine Faiveley</v>
      </c>
      <c r="C1084" s="1178" t="s">
        <v>20793</v>
      </c>
      <c r="D1084" s="1178" t="s">
        <v>897</v>
      </c>
      <c r="E1084" s="1179">
        <v>2015</v>
      </c>
      <c r="F1084" s="1282" t="s">
        <v>20220</v>
      </c>
      <c r="G1084" s="1368">
        <v>76</v>
      </c>
      <c r="H1084" s="1178" t="s">
        <v>20224</v>
      </c>
      <c r="I1084" s="1178" t="s">
        <v>4747</v>
      </c>
      <c r="J1084" s="1178" t="s">
        <v>662</v>
      </c>
      <c r="K1084" s="1178" t="s">
        <v>267</v>
      </c>
      <c r="L1084" s="1178" t="s">
        <v>211</v>
      </c>
      <c r="M1084" s="1369" t="s">
        <v>23297</v>
      </c>
      <c r="N1084" s="1178"/>
      <c r="O1084" s="1178">
        <v>6</v>
      </c>
      <c r="P1084" s="1178">
        <v>13</v>
      </c>
    </row>
    <row r="1085" spans="1:16">
      <c r="A1085" s="1178" t="s">
        <v>20780</v>
      </c>
      <c r="B1085" s="1371" t="str">
        <f>HYPERLINK(IFERROR("#Main_Tariff!A"&amp;MATCH(Raeburn_Main_Tariff[[#This Row],[Product Code]],Main_Tariff!I:I,0),"#Main_Tariff!A"&amp;MATCH("*"&amp;RIGHT(A1085,8)&amp;"*",Main_Tariff!A:A,0)),Raeburn_Main_Tariff[[#This Row],[PRODUCER]])</f>
        <v>Domaine Faiveley</v>
      </c>
      <c r="C1085" s="1178" t="s">
        <v>20794</v>
      </c>
      <c r="D1085" s="1178" t="s">
        <v>897</v>
      </c>
      <c r="E1085" s="1179">
        <v>2022</v>
      </c>
      <c r="F1085" s="1282" t="s">
        <v>20220</v>
      </c>
      <c r="G1085" s="1368">
        <v>208</v>
      </c>
      <c r="H1085" s="1178" t="s">
        <v>20221</v>
      </c>
      <c r="I1085" s="1178" t="s">
        <v>4749</v>
      </c>
      <c r="J1085" s="1178" t="s">
        <v>662</v>
      </c>
      <c r="K1085" s="1178" t="s">
        <v>267</v>
      </c>
      <c r="L1085" s="1178" t="s">
        <v>211</v>
      </c>
      <c r="M1085" s="1369" t="s">
        <v>23296</v>
      </c>
      <c r="N1085" s="1178"/>
      <c r="O1085" s="1178">
        <v>6</v>
      </c>
      <c r="P1085" s="1178">
        <v>13.5</v>
      </c>
    </row>
    <row r="1086" spans="1:16">
      <c r="A1086" s="1178" t="s">
        <v>20780</v>
      </c>
      <c r="B1086" s="1371" t="str">
        <f>HYPERLINK(IFERROR("#Main_Tariff!A"&amp;MATCH(Raeburn_Main_Tariff[[#This Row],[Product Code]],Main_Tariff!I:I,0),"#Main_Tariff!A"&amp;MATCH("*"&amp;RIGHT(A1086,8)&amp;"*",Main_Tariff!A:A,0)),Raeburn_Main_Tariff[[#This Row],[PRODUCER]])</f>
        <v>Domaine Faiveley</v>
      </c>
      <c r="C1086" s="1178" t="s">
        <v>20794</v>
      </c>
      <c r="D1086" s="1178" t="s">
        <v>897</v>
      </c>
      <c r="E1086" s="1179">
        <v>2021</v>
      </c>
      <c r="F1086" s="1282" t="s">
        <v>20220</v>
      </c>
      <c r="G1086" s="1368">
        <v>201</v>
      </c>
      <c r="H1086" s="1178" t="s">
        <v>20221</v>
      </c>
      <c r="I1086" s="1178" t="s">
        <v>4750</v>
      </c>
      <c r="J1086" s="1178" t="s">
        <v>662</v>
      </c>
      <c r="K1086" s="1178" t="s">
        <v>267</v>
      </c>
      <c r="L1086" s="1178" t="s">
        <v>211</v>
      </c>
      <c r="M1086" s="1369" t="s">
        <v>23296</v>
      </c>
      <c r="N1086" s="1178"/>
      <c r="O1086" s="1178">
        <v>6</v>
      </c>
      <c r="P1086" s="1178">
        <v>13.5</v>
      </c>
    </row>
    <row r="1087" spans="1:16">
      <c r="A1087" s="1178" t="s">
        <v>20780</v>
      </c>
      <c r="B1087" s="1371" t="str">
        <f>HYPERLINK(IFERROR("#Main_Tariff!A"&amp;MATCH(Raeburn_Main_Tariff[[#This Row],[Product Code]],Main_Tariff!I:I,0),"#Main_Tariff!A"&amp;MATCH("*"&amp;RIGHT(A1087,8)&amp;"*",Main_Tariff!A:A,0)),Raeburn_Main_Tariff[[#This Row],[PRODUCER]])</f>
        <v>Domaine Faiveley</v>
      </c>
      <c r="C1087" s="1178" t="s">
        <v>20794</v>
      </c>
      <c r="D1087" s="1178" t="s">
        <v>897</v>
      </c>
      <c r="E1087" s="1179">
        <v>2020</v>
      </c>
      <c r="F1087" s="1282" t="s">
        <v>20220</v>
      </c>
      <c r="G1087" s="1368">
        <v>178.5</v>
      </c>
      <c r="H1087" s="1178" t="s">
        <v>20221</v>
      </c>
      <c r="I1087" s="1178" t="s">
        <v>4751</v>
      </c>
      <c r="J1087" s="1178" t="s">
        <v>662</v>
      </c>
      <c r="K1087" s="1178" t="s">
        <v>267</v>
      </c>
      <c r="L1087" s="1178" t="s">
        <v>211</v>
      </c>
      <c r="M1087" s="1369" t="s">
        <v>23296</v>
      </c>
      <c r="N1087" s="1178"/>
      <c r="O1087" s="1178">
        <v>6</v>
      </c>
      <c r="P1087" s="1178">
        <v>13.5</v>
      </c>
    </row>
    <row r="1088" spans="1:16">
      <c r="A1088" s="1178" t="s">
        <v>20780</v>
      </c>
      <c r="B1088" s="1371" t="str">
        <f>HYPERLINK(IFERROR("#Main_Tariff!A"&amp;MATCH(Raeburn_Main_Tariff[[#This Row],[Product Code]],Main_Tariff!I:I,0),"#Main_Tariff!A"&amp;MATCH("*"&amp;RIGHT(A1088,8)&amp;"*",Main_Tariff!A:A,0)),Raeburn_Main_Tariff[[#This Row],[PRODUCER]])</f>
        <v>Domaine Faiveley</v>
      </c>
      <c r="C1088" s="1178" t="s">
        <v>20794</v>
      </c>
      <c r="D1088" s="1178" t="s">
        <v>897</v>
      </c>
      <c r="E1088" s="1179">
        <v>2019</v>
      </c>
      <c r="F1088" s="1282" t="s">
        <v>20220</v>
      </c>
      <c r="G1088" s="1368">
        <v>169.5</v>
      </c>
      <c r="H1088" s="1178" t="s">
        <v>20221</v>
      </c>
      <c r="I1088" s="1178" t="s">
        <v>4752</v>
      </c>
      <c r="J1088" s="1178" t="s">
        <v>662</v>
      </c>
      <c r="K1088" s="1178" t="s">
        <v>267</v>
      </c>
      <c r="L1088" s="1178" t="s">
        <v>211</v>
      </c>
      <c r="M1088" s="1369" t="s">
        <v>23296</v>
      </c>
      <c r="N1088" s="1178"/>
      <c r="O1088" s="1178">
        <v>6</v>
      </c>
      <c r="P1088" s="1178">
        <v>13</v>
      </c>
    </row>
    <row r="1089" spans="1:16">
      <c r="A1089" s="1178" t="s">
        <v>20780</v>
      </c>
      <c r="B1089" s="1371" t="str">
        <f>HYPERLINK(IFERROR("#Main_Tariff!A"&amp;MATCH(Raeburn_Main_Tariff[[#This Row],[Product Code]],Main_Tariff!I:I,0),"#Main_Tariff!A"&amp;MATCH("*"&amp;RIGHT(A1089,8)&amp;"*",Main_Tariff!A:A,0)),Raeburn_Main_Tariff[[#This Row],[PRODUCER]])</f>
        <v>Domaine Faiveley</v>
      </c>
      <c r="C1089" s="1178" t="s">
        <v>20794</v>
      </c>
      <c r="D1089" s="1178" t="s">
        <v>897</v>
      </c>
      <c r="E1089" s="1179">
        <v>2018</v>
      </c>
      <c r="F1089" s="1282" t="s">
        <v>20220</v>
      </c>
      <c r="G1089" s="1368">
        <v>129.5</v>
      </c>
      <c r="H1089" s="1178" t="s">
        <v>20224</v>
      </c>
      <c r="I1089" s="1178" t="s">
        <v>4753</v>
      </c>
      <c r="J1089" s="1178" t="s">
        <v>662</v>
      </c>
      <c r="K1089" s="1178" t="s">
        <v>267</v>
      </c>
      <c r="L1089" s="1178" t="s">
        <v>211</v>
      </c>
      <c r="M1089" s="1369" t="s">
        <v>23296</v>
      </c>
      <c r="N1089" s="1178"/>
      <c r="O1089" s="1178">
        <v>6</v>
      </c>
      <c r="P1089" s="1178">
        <v>13</v>
      </c>
    </row>
    <row r="1090" spans="1:16">
      <c r="A1090" s="1178" t="s">
        <v>20780</v>
      </c>
      <c r="B1090" s="1371" t="str">
        <f>HYPERLINK(IFERROR("#Main_Tariff!A"&amp;MATCH(Raeburn_Main_Tariff[[#This Row],[Product Code]],Main_Tariff!I:I,0),"#Main_Tariff!A"&amp;MATCH("*"&amp;RIGHT(A1090,8)&amp;"*",Main_Tariff!A:A,0)),Raeburn_Main_Tariff[[#This Row],[PRODUCER]])</f>
        <v>Domaine Faiveley</v>
      </c>
      <c r="C1090" s="1178" t="s">
        <v>20794</v>
      </c>
      <c r="D1090" s="1178" t="s">
        <v>897</v>
      </c>
      <c r="E1090" s="1179">
        <v>2017</v>
      </c>
      <c r="F1090" s="1282" t="s">
        <v>20220</v>
      </c>
      <c r="G1090" s="1368">
        <v>139.5</v>
      </c>
      <c r="H1090" s="1178" t="s">
        <v>20224</v>
      </c>
      <c r="I1090" s="1178" t="s">
        <v>4754</v>
      </c>
      <c r="J1090" s="1178" t="s">
        <v>662</v>
      </c>
      <c r="K1090" s="1178" t="s">
        <v>267</v>
      </c>
      <c r="L1090" s="1178" t="s">
        <v>211</v>
      </c>
      <c r="M1090" s="1369" t="s">
        <v>23296</v>
      </c>
      <c r="N1090" s="1178"/>
      <c r="O1090" s="1178">
        <v>6</v>
      </c>
      <c r="P1090" s="1178">
        <v>13</v>
      </c>
    </row>
    <row r="1091" spans="1:16">
      <c r="A1091" s="1178" t="s">
        <v>20780</v>
      </c>
      <c r="B1091" s="1371" t="str">
        <f>HYPERLINK(IFERROR("#Main_Tariff!A"&amp;MATCH(Raeburn_Main_Tariff[[#This Row],[Product Code]],Main_Tariff!I:I,0),"#Main_Tariff!A"&amp;MATCH("*"&amp;RIGHT(A1091,8)&amp;"*",Main_Tariff!A:A,0)),Raeburn_Main_Tariff[[#This Row],[PRODUCER]])</f>
        <v>Domaine Faiveley</v>
      </c>
      <c r="C1091" s="1178" t="s">
        <v>20794</v>
      </c>
      <c r="D1091" s="1178" t="s">
        <v>897</v>
      </c>
      <c r="E1091" s="1179">
        <v>2016</v>
      </c>
      <c r="F1091" s="1282" t="s">
        <v>20220</v>
      </c>
      <c r="G1091" s="1368">
        <v>139.5</v>
      </c>
      <c r="H1091" s="1178" t="s">
        <v>20224</v>
      </c>
      <c r="I1091" s="1178" t="s">
        <v>4755</v>
      </c>
      <c r="J1091" s="1178" t="s">
        <v>662</v>
      </c>
      <c r="K1091" s="1178" t="s">
        <v>267</v>
      </c>
      <c r="L1091" s="1178" t="s">
        <v>211</v>
      </c>
      <c r="M1091" s="1369" t="s">
        <v>23296</v>
      </c>
      <c r="N1091" s="1178"/>
      <c r="O1091" s="1178">
        <v>6</v>
      </c>
      <c r="P1091" s="1178">
        <v>13</v>
      </c>
    </row>
    <row r="1092" spans="1:16">
      <c r="A1092" s="1178" t="s">
        <v>20780</v>
      </c>
      <c r="B1092" s="1371" t="str">
        <f>HYPERLINK(IFERROR("#Main_Tariff!A"&amp;MATCH(Raeburn_Main_Tariff[[#This Row],[Product Code]],Main_Tariff!I:I,0),"#Main_Tariff!A"&amp;MATCH("*"&amp;RIGHT(A1092,8)&amp;"*",Main_Tariff!A:A,0)),Raeburn_Main_Tariff[[#This Row],[PRODUCER]])</f>
        <v>Domaine Faiveley</v>
      </c>
      <c r="C1092" s="1178" t="s">
        <v>20795</v>
      </c>
      <c r="D1092" s="1178" t="s">
        <v>897</v>
      </c>
      <c r="E1092" s="1179">
        <v>2021</v>
      </c>
      <c r="F1092" s="1282" t="s">
        <v>20220</v>
      </c>
      <c r="G1092" s="1368">
        <v>245.5</v>
      </c>
      <c r="H1092" s="1178" t="s">
        <v>20224</v>
      </c>
      <c r="I1092" s="1178" t="s">
        <v>4756</v>
      </c>
      <c r="J1092" s="1178" t="s">
        <v>662</v>
      </c>
      <c r="K1092" s="1178" t="s">
        <v>267</v>
      </c>
      <c r="L1092" s="1178" t="s">
        <v>211</v>
      </c>
      <c r="M1092" s="1369" t="s">
        <v>23296</v>
      </c>
      <c r="N1092" s="1178"/>
      <c r="O1092" s="1178">
        <v>6</v>
      </c>
      <c r="P1092" s="1178">
        <v>13.5</v>
      </c>
    </row>
    <row r="1093" spans="1:16">
      <c r="A1093" s="1178" t="s">
        <v>20780</v>
      </c>
      <c r="B1093" s="1371" t="str">
        <f>HYPERLINK(IFERROR("#Main_Tariff!A"&amp;MATCH(Raeburn_Main_Tariff[[#This Row],[Product Code]],Main_Tariff!I:I,0),"#Main_Tariff!A"&amp;MATCH("*"&amp;RIGHT(A1093,8)&amp;"*",Main_Tariff!A:A,0)),Raeburn_Main_Tariff[[#This Row],[PRODUCER]])</f>
        <v>Domaine Faiveley</v>
      </c>
      <c r="C1093" s="1178" t="s">
        <v>20795</v>
      </c>
      <c r="D1093" s="1178" t="s">
        <v>897</v>
      </c>
      <c r="E1093" s="1179">
        <v>2020</v>
      </c>
      <c r="F1093" s="1282" t="s">
        <v>20220</v>
      </c>
      <c r="G1093" s="1368">
        <v>224.5</v>
      </c>
      <c r="H1093" s="1178" t="s">
        <v>20224</v>
      </c>
      <c r="I1093" s="1178" t="s">
        <v>4757</v>
      </c>
      <c r="J1093" s="1178" t="s">
        <v>662</v>
      </c>
      <c r="K1093" s="1178" t="s">
        <v>267</v>
      </c>
      <c r="L1093" s="1178" t="s">
        <v>211</v>
      </c>
      <c r="M1093" s="1369" t="s">
        <v>23296</v>
      </c>
      <c r="N1093" s="1178"/>
      <c r="O1093" s="1178">
        <v>6</v>
      </c>
      <c r="P1093" s="1178">
        <v>13.5</v>
      </c>
    </row>
    <row r="1094" spans="1:16">
      <c r="A1094" s="1178" t="s">
        <v>20780</v>
      </c>
      <c r="B1094" s="1371" t="str">
        <f>HYPERLINK(IFERROR("#Main_Tariff!A"&amp;MATCH(Raeburn_Main_Tariff[[#This Row],[Product Code]],Main_Tariff!I:I,0),"#Main_Tariff!A"&amp;MATCH("*"&amp;RIGHT(A1094,8)&amp;"*",Main_Tariff!A:A,0)),Raeburn_Main_Tariff[[#This Row],[PRODUCER]])</f>
        <v>Domaine Faiveley</v>
      </c>
      <c r="C1094" s="1178" t="s">
        <v>20795</v>
      </c>
      <c r="D1094" s="1178" t="s">
        <v>897</v>
      </c>
      <c r="E1094" s="1179">
        <v>2017</v>
      </c>
      <c r="F1094" s="1282" t="s">
        <v>20220</v>
      </c>
      <c r="G1094" s="1368">
        <v>149.5</v>
      </c>
      <c r="H1094" s="1178" t="s">
        <v>20224</v>
      </c>
      <c r="I1094" s="1178" t="s">
        <v>4758</v>
      </c>
      <c r="J1094" s="1178" t="s">
        <v>662</v>
      </c>
      <c r="K1094" s="1178" t="s">
        <v>267</v>
      </c>
      <c r="L1094" s="1178" t="s">
        <v>211</v>
      </c>
      <c r="M1094" s="1369" t="s">
        <v>23296</v>
      </c>
      <c r="N1094" s="1178"/>
      <c r="O1094" s="1178">
        <v>6</v>
      </c>
      <c r="P1094" s="1178">
        <v>13</v>
      </c>
    </row>
    <row r="1095" spans="1:16">
      <c r="A1095" s="1178" t="s">
        <v>20780</v>
      </c>
      <c r="B1095" s="1371" t="str">
        <f>HYPERLINK(IFERROR("#Main_Tariff!A"&amp;MATCH(Raeburn_Main_Tariff[[#This Row],[Product Code]],Main_Tariff!I:I,0),"#Main_Tariff!A"&amp;MATCH("*"&amp;RIGHT(A1095,8)&amp;"*",Main_Tariff!A:A,0)),Raeburn_Main_Tariff[[#This Row],[PRODUCER]])</f>
        <v>Domaine Faiveley</v>
      </c>
      <c r="C1095" s="1178" t="s">
        <v>20796</v>
      </c>
      <c r="D1095" s="1178" t="s">
        <v>897</v>
      </c>
      <c r="E1095" s="1179">
        <v>2022</v>
      </c>
      <c r="F1095" s="1282" t="s">
        <v>20220</v>
      </c>
      <c r="G1095" s="1368" t="s">
        <v>5258</v>
      </c>
      <c r="H1095" s="1178" t="s">
        <v>20224</v>
      </c>
      <c r="I1095" s="1178" t="s">
        <v>4759</v>
      </c>
      <c r="J1095" s="1178" t="s">
        <v>662</v>
      </c>
      <c r="K1095" s="1178" t="s">
        <v>267</v>
      </c>
      <c r="L1095" s="1178" t="s">
        <v>211</v>
      </c>
      <c r="M1095" s="1369" t="s">
        <v>23296</v>
      </c>
      <c r="N1095" s="1178"/>
      <c r="O1095" s="1178">
        <v>3</v>
      </c>
      <c r="P1095" s="1178">
        <v>13.5</v>
      </c>
    </row>
    <row r="1096" spans="1:16">
      <c r="A1096" s="1178" t="s">
        <v>20780</v>
      </c>
      <c r="B1096" s="1371" t="str">
        <f>HYPERLINK(IFERROR("#Main_Tariff!A"&amp;MATCH(Raeburn_Main_Tariff[[#This Row],[Product Code]],Main_Tariff!I:I,0),"#Main_Tariff!A"&amp;MATCH("*"&amp;RIGHT(A1096,8)&amp;"*",Main_Tariff!A:A,0)),Raeburn_Main_Tariff[[#This Row],[PRODUCER]])</f>
        <v>Domaine Faiveley</v>
      </c>
      <c r="C1096" s="1178" t="s">
        <v>20796</v>
      </c>
      <c r="D1096" s="1178" t="s">
        <v>897</v>
      </c>
      <c r="E1096" s="1179">
        <v>2021</v>
      </c>
      <c r="F1096" s="1282" t="s">
        <v>20220</v>
      </c>
      <c r="G1096" s="1368" t="s">
        <v>5258</v>
      </c>
      <c r="H1096" s="1178" t="s">
        <v>20224</v>
      </c>
      <c r="I1096" s="1178" t="s">
        <v>4760</v>
      </c>
      <c r="J1096" s="1178" t="s">
        <v>662</v>
      </c>
      <c r="K1096" s="1178" t="s">
        <v>267</v>
      </c>
      <c r="L1096" s="1178" t="s">
        <v>211</v>
      </c>
      <c r="M1096" s="1369" t="s">
        <v>23296</v>
      </c>
      <c r="N1096" s="1178"/>
      <c r="O1096" s="1178">
        <v>3</v>
      </c>
      <c r="P1096" s="1178">
        <v>13.5</v>
      </c>
    </row>
    <row r="1097" spans="1:16">
      <c r="A1097" s="1178" t="s">
        <v>20780</v>
      </c>
      <c r="B1097" s="1371" t="str">
        <f>HYPERLINK(IFERROR("#Main_Tariff!A"&amp;MATCH(Raeburn_Main_Tariff[[#This Row],[Product Code]],Main_Tariff!I:I,0),"#Main_Tariff!A"&amp;MATCH("*"&amp;RIGHT(A1097,8)&amp;"*",Main_Tariff!A:A,0)),Raeburn_Main_Tariff[[#This Row],[PRODUCER]])</f>
        <v>Domaine Faiveley</v>
      </c>
      <c r="C1097" s="1178" t="s">
        <v>20796</v>
      </c>
      <c r="D1097" s="1178" t="s">
        <v>897</v>
      </c>
      <c r="E1097" s="1179">
        <v>2020</v>
      </c>
      <c r="F1097" s="1282" t="s">
        <v>20220</v>
      </c>
      <c r="G1097" s="1368" t="s">
        <v>5258</v>
      </c>
      <c r="H1097" s="1178" t="s">
        <v>20224</v>
      </c>
      <c r="I1097" s="1178" t="s">
        <v>4761</v>
      </c>
      <c r="J1097" s="1178" t="s">
        <v>662</v>
      </c>
      <c r="K1097" s="1178" t="s">
        <v>267</v>
      </c>
      <c r="L1097" s="1178" t="s">
        <v>211</v>
      </c>
      <c r="M1097" s="1369" t="s">
        <v>23296</v>
      </c>
      <c r="N1097" s="1178"/>
      <c r="O1097" s="1178">
        <v>3</v>
      </c>
      <c r="P1097" s="1178">
        <v>13.5</v>
      </c>
    </row>
    <row r="1098" spans="1:16">
      <c r="A1098" s="1178" t="s">
        <v>20780</v>
      </c>
      <c r="B1098" s="1371" t="str">
        <f>HYPERLINK(IFERROR("#Main_Tariff!A"&amp;MATCH(Raeburn_Main_Tariff[[#This Row],[Product Code]],Main_Tariff!I:I,0),"#Main_Tariff!A"&amp;MATCH("*"&amp;RIGHT(A1098,8)&amp;"*",Main_Tariff!A:A,0)),Raeburn_Main_Tariff[[#This Row],[PRODUCER]])</f>
        <v>Domaine Faiveley</v>
      </c>
      <c r="C1098" s="1178" t="s">
        <v>20797</v>
      </c>
      <c r="D1098" s="1178" t="s">
        <v>897</v>
      </c>
      <c r="E1098" s="1179">
        <v>2022</v>
      </c>
      <c r="F1098" s="1282" t="s">
        <v>20220</v>
      </c>
      <c r="G1098" s="1368" t="s">
        <v>5258</v>
      </c>
      <c r="H1098" s="1178" t="s">
        <v>20224</v>
      </c>
      <c r="I1098" s="1178" t="s">
        <v>4762</v>
      </c>
      <c r="J1098" s="1178" t="s">
        <v>662</v>
      </c>
      <c r="K1098" s="1178" t="s">
        <v>267</v>
      </c>
      <c r="L1098" s="1178" t="s">
        <v>211</v>
      </c>
      <c r="M1098" s="1369" t="s">
        <v>23296</v>
      </c>
      <c r="N1098" s="1178"/>
      <c r="O1098" s="1178">
        <v>3</v>
      </c>
      <c r="P1098" s="1178">
        <v>13.5</v>
      </c>
    </row>
    <row r="1099" spans="1:16">
      <c r="A1099" s="1178" t="s">
        <v>20780</v>
      </c>
      <c r="B1099" s="1371" t="str">
        <f>HYPERLINK(IFERROR("#Main_Tariff!A"&amp;MATCH(Raeburn_Main_Tariff[[#This Row],[Product Code]],Main_Tariff!I:I,0),"#Main_Tariff!A"&amp;MATCH("*"&amp;RIGHT(A1099,8)&amp;"*",Main_Tariff!A:A,0)),Raeburn_Main_Tariff[[#This Row],[PRODUCER]])</f>
        <v>Domaine Faiveley</v>
      </c>
      <c r="C1099" s="1178" t="s">
        <v>20797</v>
      </c>
      <c r="D1099" s="1178" t="s">
        <v>897</v>
      </c>
      <c r="E1099" s="1179">
        <v>2019</v>
      </c>
      <c r="F1099" s="1282" t="s">
        <v>20220</v>
      </c>
      <c r="G1099" s="1368" t="s">
        <v>5258</v>
      </c>
      <c r="H1099" s="1178" t="s">
        <v>20224</v>
      </c>
      <c r="I1099" s="1178" t="s">
        <v>4763</v>
      </c>
      <c r="J1099" s="1178" t="s">
        <v>662</v>
      </c>
      <c r="K1099" s="1178" t="s">
        <v>267</v>
      </c>
      <c r="L1099" s="1178" t="s">
        <v>211</v>
      </c>
      <c r="M1099" s="1369" t="s">
        <v>23296</v>
      </c>
      <c r="N1099" s="1178"/>
      <c r="O1099" s="1178">
        <v>3</v>
      </c>
      <c r="P1099" s="1178">
        <v>14</v>
      </c>
    </row>
    <row r="1100" spans="1:16">
      <c r="A1100" s="1178" t="s">
        <v>20780</v>
      </c>
      <c r="B1100" s="1371" t="str">
        <f>HYPERLINK(IFERROR("#Main_Tariff!A"&amp;MATCH(Raeburn_Main_Tariff[[#This Row],[Product Code]],Main_Tariff!I:I,0),"#Main_Tariff!A"&amp;MATCH("*"&amp;RIGHT(A1100,8)&amp;"*",Main_Tariff!A:A,0)),Raeburn_Main_Tariff[[#This Row],[PRODUCER]])</f>
        <v>Domaine Faiveley</v>
      </c>
      <c r="C1100" s="1178" t="s">
        <v>20797</v>
      </c>
      <c r="D1100" s="1178" t="s">
        <v>897</v>
      </c>
      <c r="E1100" s="1179">
        <v>2018</v>
      </c>
      <c r="F1100" s="1282" t="s">
        <v>20220</v>
      </c>
      <c r="G1100" s="1368" t="s">
        <v>5258</v>
      </c>
      <c r="H1100" s="1178" t="s">
        <v>20224</v>
      </c>
      <c r="I1100" s="1178" t="s">
        <v>4764</v>
      </c>
      <c r="J1100" s="1178" t="s">
        <v>662</v>
      </c>
      <c r="K1100" s="1178" t="s">
        <v>267</v>
      </c>
      <c r="L1100" s="1178" t="s">
        <v>211</v>
      </c>
      <c r="M1100" s="1369" t="s">
        <v>23296</v>
      </c>
      <c r="N1100" s="1178"/>
      <c r="O1100" s="1178">
        <v>6</v>
      </c>
      <c r="P1100" s="1178">
        <v>13.5</v>
      </c>
    </row>
    <row r="1101" spans="1:16">
      <c r="A1101" s="1178" t="s">
        <v>20780</v>
      </c>
      <c r="B1101" s="1371" t="str">
        <f>HYPERLINK(IFERROR("#Main_Tariff!A"&amp;MATCH(Raeburn_Main_Tariff[[#This Row],[Product Code]],Main_Tariff!I:I,0),"#Main_Tariff!A"&amp;MATCH("*"&amp;RIGHT(A1101,8)&amp;"*",Main_Tariff!A:A,0)),Raeburn_Main_Tariff[[#This Row],[PRODUCER]])</f>
        <v>Domaine Faiveley</v>
      </c>
      <c r="C1101" s="1178" t="s">
        <v>20798</v>
      </c>
      <c r="D1101" s="1178" t="s">
        <v>897</v>
      </c>
      <c r="E1101" s="1179">
        <v>2022</v>
      </c>
      <c r="F1101" s="1282" t="s">
        <v>20220</v>
      </c>
      <c r="G1101" s="1368">
        <v>230.5</v>
      </c>
      <c r="H1101" s="1178" t="s">
        <v>20224</v>
      </c>
      <c r="I1101" s="1178" t="s">
        <v>4765</v>
      </c>
      <c r="J1101" s="1178" t="s">
        <v>662</v>
      </c>
      <c r="K1101" s="1178" t="s">
        <v>267</v>
      </c>
      <c r="L1101" s="1178" t="s">
        <v>211</v>
      </c>
      <c r="M1101" s="1369" t="s">
        <v>23296</v>
      </c>
      <c r="N1101" s="1178"/>
      <c r="O1101" s="1178">
        <v>6</v>
      </c>
      <c r="P1101" s="1178">
        <v>13.5</v>
      </c>
    </row>
    <row r="1102" spans="1:16">
      <c r="A1102" s="1178" t="s">
        <v>20780</v>
      </c>
      <c r="B1102" s="1371" t="str">
        <f>HYPERLINK(IFERROR("#Main_Tariff!A"&amp;MATCH(Raeburn_Main_Tariff[[#This Row],[Product Code]],Main_Tariff!I:I,0),"#Main_Tariff!A"&amp;MATCH("*"&amp;RIGHT(A1102,8)&amp;"*",Main_Tariff!A:A,0)),Raeburn_Main_Tariff[[#This Row],[PRODUCER]])</f>
        <v>Domaine Faiveley</v>
      </c>
      <c r="C1102" s="1178" t="s">
        <v>20798</v>
      </c>
      <c r="D1102" s="1178" t="s">
        <v>897</v>
      </c>
      <c r="E1102" s="1179">
        <v>2021</v>
      </c>
      <c r="F1102" s="1282" t="s">
        <v>20220</v>
      </c>
      <c r="G1102" s="1368">
        <v>216</v>
      </c>
      <c r="H1102" s="1178" t="s">
        <v>20224</v>
      </c>
      <c r="I1102" s="1178" t="s">
        <v>4766</v>
      </c>
      <c r="J1102" s="1178" t="s">
        <v>662</v>
      </c>
      <c r="K1102" s="1178" t="s">
        <v>267</v>
      </c>
      <c r="L1102" s="1178" t="s">
        <v>211</v>
      </c>
      <c r="M1102" s="1369" t="s">
        <v>23296</v>
      </c>
      <c r="N1102" s="1178"/>
      <c r="O1102" s="1178">
        <v>6</v>
      </c>
      <c r="P1102" s="1178">
        <v>13.5</v>
      </c>
    </row>
    <row r="1103" spans="1:16">
      <c r="A1103" s="1178" t="s">
        <v>20780</v>
      </c>
      <c r="B1103" s="1371" t="str">
        <f>HYPERLINK(IFERROR("#Main_Tariff!A"&amp;MATCH(Raeburn_Main_Tariff[[#This Row],[Product Code]],Main_Tariff!I:I,0),"#Main_Tariff!A"&amp;MATCH("*"&amp;RIGHT(A1103,8)&amp;"*",Main_Tariff!A:A,0)),Raeburn_Main_Tariff[[#This Row],[PRODUCER]])</f>
        <v>Domaine Faiveley</v>
      </c>
      <c r="C1103" s="1178" t="s">
        <v>20798</v>
      </c>
      <c r="D1103" s="1178" t="s">
        <v>897</v>
      </c>
      <c r="E1103" s="1179">
        <v>2020</v>
      </c>
      <c r="F1103" s="1282" t="s">
        <v>20220</v>
      </c>
      <c r="G1103" s="1368">
        <v>197.5</v>
      </c>
      <c r="H1103" s="1178" t="s">
        <v>20224</v>
      </c>
      <c r="I1103" s="1178" t="s">
        <v>4767</v>
      </c>
      <c r="J1103" s="1178" t="s">
        <v>662</v>
      </c>
      <c r="K1103" s="1178" t="s">
        <v>267</v>
      </c>
      <c r="L1103" s="1178" t="s">
        <v>211</v>
      </c>
      <c r="M1103" s="1369" t="s">
        <v>23296</v>
      </c>
      <c r="N1103" s="1178"/>
      <c r="O1103" s="1178">
        <v>6</v>
      </c>
      <c r="P1103" s="1178">
        <v>13.5</v>
      </c>
    </row>
    <row r="1104" spans="1:16">
      <c r="A1104" s="1178" t="s">
        <v>20780</v>
      </c>
      <c r="B1104" s="1371" t="str">
        <f>HYPERLINK(IFERROR("#Main_Tariff!A"&amp;MATCH(Raeburn_Main_Tariff[[#This Row],[Product Code]],Main_Tariff!I:I,0),"#Main_Tariff!A"&amp;MATCH("*"&amp;RIGHT(A1104,8)&amp;"*",Main_Tariff!A:A,0)),Raeburn_Main_Tariff[[#This Row],[PRODUCER]])</f>
        <v>Domaine Faiveley</v>
      </c>
      <c r="C1104" s="1178" t="s">
        <v>20798</v>
      </c>
      <c r="D1104" s="1178" t="s">
        <v>897</v>
      </c>
      <c r="E1104" s="1179">
        <v>2019</v>
      </c>
      <c r="F1104" s="1282" t="s">
        <v>20220</v>
      </c>
      <c r="G1104" s="1368">
        <v>145.5</v>
      </c>
      <c r="H1104" s="1178" t="s">
        <v>20221</v>
      </c>
      <c r="I1104" s="1178" t="s">
        <v>4768</v>
      </c>
      <c r="J1104" s="1178" t="s">
        <v>662</v>
      </c>
      <c r="K1104" s="1178" t="s">
        <v>267</v>
      </c>
      <c r="L1104" s="1178" t="s">
        <v>211</v>
      </c>
      <c r="M1104" s="1369" t="s">
        <v>23296</v>
      </c>
      <c r="N1104" s="1178"/>
      <c r="O1104" s="1178">
        <v>6</v>
      </c>
      <c r="P1104" s="1178">
        <v>13.5</v>
      </c>
    </row>
    <row r="1105" spans="1:16">
      <c r="A1105" s="1178" t="s">
        <v>20780</v>
      </c>
      <c r="B1105" s="1371" t="str">
        <f>HYPERLINK(IFERROR("#Main_Tariff!A"&amp;MATCH(Raeburn_Main_Tariff[[#This Row],[Product Code]],Main_Tariff!I:I,0),"#Main_Tariff!A"&amp;MATCH("*"&amp;RIGHT(A1105,8)&amp;"*",Main_Tariff!A:A,0)),Raeburn_Main_Tariff[[#This Row],[PRODUCER]])</f>
        <v>Domaine Faiveley</v>
      </c>
      <c r="C1105" s="1178" t="s">
        <v>20798</v>
      </c>
      <c r="D1105" s="1178" t="s">
        <v>897</v>
      </c>
      <c r="E1105" s="1179">
        <v>2018</v>
      </c>
      <c r="F1105" s="1282" t="s">
        <v>20220</v>
      </c>
      <c r="G1105" s="1368">
        <v>121.5</v>
      </c>
      <c r="H1105" s="1178" t="s">
        <v>20224</v>
      </c>
      <c r="I1105" s="1178" t="s">
        <v>4769</v>
      </c>
      <c r="J1105" s="1178" t="s">
        <v>662</v>
      </c>
      <c r="K1105" s="1178" t="s">
        <v>267</v>
      </c>
      <c r="L1105" s="1178" t="s">
        <v>211</v>
      </c>
      <c r="M1105" s="1369" t="s">
        <v>23296</v>
      </c>
      <c r="N1105" s="1178"/>
      <c r="O1105" s="1178">
        <v>6</v>
      </c>
      <c r="P1105" s="1178">
        <v>13.5</v>
      </c>
    </row>
    <row r="1106" spans="1:16">
      <c r="A1106" s="1178" t="s">
        <v>20780</v>
      </c>
      <c r="B1106" s="1371" t="str">
        <f>HYPERLINK(IFERROR("#Main_Tariff!A"&amp;MATCH(Raeburn_Main_Tariff[[#This Row],[Product Code]],Main_Tariff!I:I,0),"#Main_Tariff!A"&amp;MATCH("*"&amp;RIGHT(A1106,8)&amp;"*",Main_Tariff!A:A,0)),Raeburn_Main_Tariff[[#This Row],[PRODUCER]])</f>
        <v>Domaine Faiveley</v>
      </c>
      <c r="C1106" s="1178" t="s">
        <v>20798</v>
      </c>
      <c r="D1106" s="1178" t="s">
        <v>897</v>
      </c>
      <c r="E1106" s="1179">
        <v>2017</v>
      </c>
      <c r="F1106" s="1282" t="s">
        <v>20220</v>
      </c>
      <c r="G1106" s="1368">
        <v>118.5</v>
      </c>
      <c r="H1106" s="1178" t="s">
        <v>20224</v>
      </c>
      <c r="I1106" s="1178" t="s">
        <v>4770</v>
      </c>
      <c r="J1106" s="1178" t="s">
        <v>662</v>
      </c>
      <c r="K1106" s="1178" t="s">
        <v>267</v>
      </c>
      <c r="L1106" s="1178" t="s">
        <v>211</v>
      </c>
      <c r="M1106" s="1369" t="s">
        <v>23296</v>
      </c>
      <c r="N1106" s="1178"/>
      <c r="O1106" s="1178">
        <v>6</v>
      </c>
      <c r="P1106" s="1178">
        <v>13.5</v>
      </c>
    </row>
    <row r="1107" spans="1:16">
      <c r="A1107" s="1178" t="s">
        <v>20780</v>
      </c>
      <c r="B1107" s="1371" t="str">
        <f>HYPERLINK(IFERROR("#Main_Tariff!A"&amp;MATCH(Raeburn_Main_Tariff[[#This Row],[Product Code]],Main_Tariff!I:I,0),"#Main_Tariff!A"&amp;MATCH("*"&amp;RIGHT(A1107,8)&amp;"*",Main_Tariff!A:A,0)),Raeburn_Main_Tariff[[#This Row],[PRODUCER]])</f>
        <v>Domaine Faiveley</v>
      </c>
      <c r="C1107" s="1178" t="s">
        <v>20798</v>
      </c>
      <c r="D1107" s="1178" t="s">
        <v>897</v>
      </c>
      <c r="E1107" s="1179">
        <v>2016</v>
      </c>
      <c r="F1107" s="1282" t="s">
        <v>20220</v>
      </c>
      <c r="G1107" s="1368">
        <v>126.5</v>
      </c>
      <c r="H1107" s="1178" t="s">
        <v>20224</v>
      </c>
      <c r="I1107" s="1178" t="s">
        <v>4771</v>
      </c>
      <c r="J1107" s="1178" t="s">
        <v>662</v>
      </c>
      <c r="K1107" s="1178" t="s">
        <v>267</v>
      </c>
      <c r="L1107" s="1178" t="s">
        <v>211</v>
      </c>
      <c r="M1107" s="1369" t="s">
        <v>23296</v>
      </c>
      <c r="N1107" s="1178"/>
      <c r="O1107" s="1178">
        <v>6</v>
      </c>
      <c r="P1107" s="1178">
        <v>13</v>
      </c>
    </row>
    <row r="1108" spans="1:16">
      <c r="A1108" s="1178" t="s">
        <v>20780</v>
      </c>
      <c r="B1108" s="1371" t="str">
        <f>HYPERLINK(IFERROR("#Main_Tariff!A"&amp;MATCH(Raeburn_Main_Tariff[[#This Row],[Product Code]],Main_Tariff!I:I,0),"#Main_Tariff!A"&amp;MATCH("*"&amp;RIGHT(A1108,8)&amp;"*",Main_Tariff!A:A,0)),Raeburn_Main_Tariff[[#This Row],[PRODUCER]])</f>
        <v>Domaine Faiveley</v>
      </c>
      <c r="C1108" s="1178" t="s">
        <v>20799</v>
      </c>
      <c r="D1108" s="1178" t="s">
        <v>897</v>
      </c>
      <c r="E1108" s="1179">
        <v>2022</v>
      </c>
      <c r="F1108" s="1282" t="s">
        <v>20220</v>
      </c>
      <c r="G1108" s="1368" t="s">
        <v>5258</v>
      </c>
      <c r="H1108" s="1178" t="s">
        <v>20221</v>
      </c>
      <c r="I1108" s="1178" t="s">
        <v>4772</v>
      </c>
      <c r="J1108" s="1178" t="s">
        <v>662</v>
      </c>
      <c r="K1108" s="1178" t="s">
        <v>267</v>
      </c>
      <c r="L1108" s="1178" t="s">
        <v>211</v>
      </c>
      <c r="M1108" s="1369" t="s">
        <v>23296</v>
      </c>
      <c r="N1108" s="1178"/>
      <c r="O1108" s="1178">
        <v>6</v>
      </c>
      <c r="P1108" s="1178">
        <v>13</v>
      </c>
    </row>
    <row r="1109" spans="1:16">
      <c r="A1109" s="1178" t="s">
        <v>20780</v>
      </c>
      <c r="B1109" s="1371" t="str">
        <f>HYPERLINK(IFERROR("#Main_Tariff!A"&amp;MATCH(Raeburn_Main_Tariff[[#This Row],[Product Code]],Main_Tariff!I:I,0),"#Main_Tariff!A"&amp;MATCH("*"&amp;RIGHT(A1109,8)&amp;"*",Main_Tariff!A:A,0)),Raeburn_Main_Tariff[[#This Row],[PRODUCER]])</f>
        <v>Domaine Faiveley</v>
      </c>
      <c r="C1109" s="1178" t="s">
        <v>20800</v>
      </c>
      <c r="D1109" s="1178" t="s">
        <v>897</v>
      </c>
      <c r="E1109" s="1179">
        <v>2022</v>
      </c>
      <c r="F1109" s="1282" t="s">
        <v>20220</v>
      </c>
      <c r="G1109" s="1368" t="s">
        <v>5258</v>
      </c>
      <c r="H1109" s="1178" t="s">
        <v>20224</v>
      </c>
      <c r="I1109" s="1178" t="s">
        <v>4773</v>
      </c>
      <c r="J1109" s="1178" t="s">
        <v>662</v>
      </c>
      <c r="K1109" s="1178" t="s">
        <v>267</v>
      </c>
      <c r="L1109" s="1178" t="s">
        <v>211</v>
      </c>
      <c r="M1109" s="1369" t="s">
        <v>23296</v>
      </c>
      <c r="N1109" s="1178"/>
      <c r="O1109" s="1178">
        <v>1</v>
      </c>
      <c r="P1109" s="1178">
        <v>13.5</v>
      </c>
    </row>
    <row r="1110" spans="1:16">
      <c r="A1110" s="1178" t="s">
        <v>20780</v>
      </c>
      <c r="B1110" s="1371" t="str">
        <f>HYPERLINK(IFERROR("#Main_Tariff!A"&amp;MATCH(Raeburn_Main_Tariff[[#This Row],[Product Code]],Main_Tariff!I:I,0),"#Main_Tariff!A"&amp;MATCH("*"&amp;RIGHT(A1110,8)&amp;"*",Main_Tariff!A:A,0)),Raeburn_Main_Tariff[[#This Row],[PRODUCER]])</f>
        <v>Domaine Faiveley</v>
      </c>
      <c r="C1110" s="1178" t="s">
        <v>20801</v>
      </c>
      <c r="D1110" s="1178" t="s">
        <v>897</v>
      </c>
      <c r="E1110" s="1179">
        <v>2019</v>
      </c>
      <c r="F1110" s="1282" t="s">
        <v>20288</v>
      </c>
      <c r="G1110" s="1368">
        <v>619</v>
      </c>
      <c r="H1110" s="1178" t="s">
        <v>20224</v>
      </c>
      <c r="I1110" s="1178" t="s">
        <v>4775</v>
      </c>
      <c r="J1110" s="1178" t="s">
        <v>662</v>
      </c>
      <c r="K1110" s="1178" t="s">
        <v>267</v>
      </c>
      <c r="L1110" s="1178" t="s">
        <v>211</v>
      </c>
      <c r="M1110" s="1369" t="s">
        <v>23296</v>
      </c>
      <c r="N1110" s="1178"/>
      <c r="O1110" s="1178">
        <v>1</v>
      </c>
      <c r="P1110" s="1178">
        <v>13.5</v>
      </c>
    </row>
    <row r="1111" spans="1:16">
      <c r="A1111" s="1178" t="s">
        <v>20780</v>
      </c>
      <c r="B1111" s="1371" t="str">
        <f>HYPERLINK(IFERROR("#Main_Tariff!A"&amp;MATCH(Raeburn_Main_Tariff[[#This Row],[Product Code]],Main_Tariff!I:I,0),"#Main_Tariff!A"&amp;MATCH("*"&amp;RIGHT(A1111,8)&amp;"*",Main_Tariff!A:A,0)),Raeburn_Main_Tariff[[#This Row],[PRODUCER]])</f>
        <v>Domaine Faiveley</v>
      </c>
      <c r="C1111" s="1178" t="s">
        <v>20802</v>
      </c>
      <c r="D1111" s="1178" t="s">
        <v>897</v>
      </c>
      <c r="E1111" s="1179">
        <v>2019</v>
      </c>
      <c r="F1111" s="1282" t="s">
        <v>20288</v>
      </c>
      <c r="G1111" s="1368">
        <v>704</v>
      </c>
      <c r="H1111" s="1178" t="s">
        <v>20224</v>
      </c>
      <c r="I1111" s="1178" t="s">
        <v>4776</v>
      </c>
      <c r="J1111" s="1178" t="s">
        <v>662</v>
      </c>
      <c r="K1111" s="1178" t="s">
        <v>267</v>
      </c>
      <c r="L1111" s="1178" t="s">
        <v>211</v>
      </c>
      <c r="M1111" s="1369" t="s">
        <v>23296</v>
      </c>
      <c r="N1111" s="1178"/>
      <c r="O1111" s="1178">
        <v>1</v>
      </c>
      <c r="P1111" s="1178">
        <v>13</v>
      </c>
    </row>
    <row r="1112" spans="1:16">
      <c r="A1112" s="1178" t="s">
        <v>20780</v>
      </c>
      <c r="B1112" s="1371" t="str">
        <f>HYPERLINK(IFERROR("#Main_Tariff!A"&amp;MATCH(Raeburn_Main_Tariff[[#This Row],[Product Code]],Main_Tariff!I:I,0),"#Main_Tariff!A"&amp;MATCH("*"&amp;RIGHT(A1112,8)&amp;"*",Main_Tariff!A:A,0)),Raeburn_Main_Tariff[[#This Row],[PRODUCER]])</f>
        <v>Domaine Faiveley</v>
      </c>
      <c r="C1112" s="1178" t="s">
        <v>20803</v>
      </c>
      <c r="D1112" s="1178" t="s">
        <v>897</v>
      </c>
      <c r="E1112" s="1179">
        <v>2019</v>
      </c>
      <c r="F1112" s="1282" t="s">
        <v>20240</v>
      </c>
      <c r="G1112" s="1368">
        <v>357</v>
      </c>
      <c r="H1112" s="1178" t="s">
        <v>20224</v>
      </c>
      <c r="I1112" s="1178" t="s">
        <v>4777</v>
      </c>
      <c r="J1112" s="1178" t="s">
        <v>662</v>
      </c>
      <c r="K1112" s="1178" t="s">
        <v>267</v>
      </c>
      <c r="L1112" s="1178" t="s">
        <v>211</v>
      </c>
      <c r="M1112" s="1369" t="s">
        <v>23296</v>
      </c>
      <c r="N1112" s="1178"/>
      <c r="O1112" s="1178">
        <v>1</v>
      </c>
      <c r="P1112" s="1178">
        <v>13.5</v>
      </c>
    </row>
    <row r="1113" spans="1:16">
      <c r="A1113" s="1178" t="s">
        <v>20780</v>
      </c>
      <c r="B1113" s="1371" t="str">
        <f>HYPERLINK(IFERROR("#Main_Tariff!A"&amp;MATCH(Raeburn_Main_Tariff[[#This Row],[Product Code]],Main_Tariff!I:I,0),"#Main_Tariff!A"&amp;MATCH("*"&amp;RIGHT(A1113,8)&amp;"*",Main_Tariff!A:A,0)),Raeburn_Main_Tariff[[#This Row],[PRODUCER]])</f>
        <v>Domaine Faiveley</v>
      </c>
      <c r="C1113" s="1178" t="s">
        <v>20804</v>
      </c>
      <c r="D1113" s="1178" t="s">
        <v>897</v>
      </c>
      <c r="E1113" s="1179">
        <v>2019</v>
      </c>
      <c r="F1113" s="1282" t="s">
        <v>20288</v>
      </c>
      <c r="G1113" s="1368">
        <v>749</v>
      </c>
      <c r="H1113" s="1178" t="s">
        <v>20224</v>
      </c>
      <c r="I1113" s="1178" t="s">
        <v>4778</v>
      </c>
      <c r="J1113" s="1178" t="s">
        <v>662</v>
      </c>
      <c r="K1113" s="1178" t="s">
        <v>267</v>
      </c>
      <c r="L1113" s="1178" t="s">
        <v>211</v>
      </c>
      <c r="M1113" s="1369" t="s">
        <v>23296</v>
      </c>
      <c r="N1113" s="1178"/>
      <c r="O1113" s="1178">
        <v>1</v>
      </c>
      <c r="P1113" s="1178">
        <v>13.5</v>
      </c>
    </row>
    <row r="1114" spans="1:16">
      <c r="A1114" s="1178" t="s">
        <v>20805</v>
      </c>
      <c r="B1114" s="1371" t="str">
        <f>HYPERLINK(IFERROR("#Main_Tariff!A"&amp;MATCH(Raeburn_Main_Tariff[[#This Row],[Product Code]],Main_Tariff!I:I,0),"#Main_Tariff!A"&amp;MATCH("*"&amp;RIGHT(A1114,8)&amp;"*",Main_Tariff!A:A,0)),Raeburn_Main_Tariff[[#This Row],[PRODUCER]])</f>
        <v>Domaine Jean Fournier</v>
      </c>
      <c r="C1114" s="1178" t="s">
        <v>20806</v>
      </c>
      <c r="D1114" s="1178" t="s">
        <v>1129</v>
      </c>
      <c r="E1114" s="1179">
        <v>2015</v>
      </c>
      <c r="F1114" s="1282" t="s">
        <v>20220</v>
      </c>
      <c r="G1114" s="1368">
        <v>22.95</v>
      </c>
      <c r="H1114" s="1178" t="s">
        <v>20221</v>
      </c>
      <c r="I1114" s="1178" t="s">
        <v>4800</v>
      </c>
      <c r="J1114" s="1178" t="s">
        <v>662</v>
      </c>
      <c r="K1114" s="1178" t="s">
        <v>267</v>
      </c>
      <c r="L1114" s="1178" t="s">
        <v>211</v>
      </c>
      <c r="M1114" s="1369"/>
      <c r="N1114" s="1178" t="s">
        <v>20244</v>
      </c>
      <c r="O1114" s="1178">
        <v>6</v>
      </c>
      <c r="P1114" s="1178">
        <v>12</v>
      </c>
    </row>
    <row r="1115" spans="1:16">
      <c r="A1115" s="1178" t="s">
        <v>20805</v>
      </c>
      <c r="B1115" s="1371" t="str">
        <f>HYPERLINK(IFERROR("#Main_Tariff!A"&amp;MATCH(Raeburn_Main_Tariff[[#This Row],[Product Code]],Main_Tariff!I:I,0),"#Main_Tariff!A"&amp;MATCH("*"&amp;RIGHT(A1115,8)&amp;"*",Main_Tariff!A:A,0)),Raeburn_Main_Tariff[[#This Row],[PRODUCER]])</f>
        <v>Domaine Jean Fournier</v>
      </c>
      <c r="C1115" s="1178" t="s">
        <v>20806</v>
      </c>
      <c r="D1115" s="1178" t="s">
        <v>1129</v>
      </c>
      <c r="E1115" s="1179">
        <v>2014</v>
      </c>
      <c r="F1115" s="1282" t="s">
        <v>20220</v>
      </c>
      <c r="G1115" s="1368">
        <v>19.95</v>
      </c>
      <c r="H1115" s="1178" t="s">
        <v>20221</v>
      </c>
      <c r="I1115" s="1178" t="s">
        <v>4099</v>
      </c>
      <c r="J1115" s="1178" t="s">
        <v>662</v>
      </c>
      <c r="K1115" s="1178" t="s">
        <v>267</v>
      </c>
      <c r="L1115" s="1178" t="s">
        <v>211</v>
      </c>
      <c r="M1115" s="1369"/>
      <c r="N1115" s="1178" t="s">
        <v>20244</v>
      </c>
      <c r="O1115" s="1178">
        <v>6</v>
      </c>
      <c r="P1115" s="1178">
        <v>12</v>
      </c>
    </row>
    <row r="1116" spans="1:16">
      <c r="A1116" s="1178" t="s">
        <v>20805</v>
      </c>
      <c r="B1116" s="1371" t="str">
        <f>HYPERLINK(IFERROR("#Main_Tariff!A"&amp;MATCH(Raeburn_Main_Tariff[[#This Row],[Product Code]],Main_Tariff!I:I,0),"#Main_Tariff!A"&amp;MATCH("*"&amp;RIGHT(A1116,8)&amp;"*",Main_Tariff!A:A,0)),Raeburn_Main_Tariff[[#This Row],[PRODUCER]])</f>
        <v>Domaine Jean Fournier</v>
      </c>
      <c r="C1116" s="1178" t="s">
        <v>20806</v>
      </c>
      <c r="D1116" s="1178" t="s">
        <v>1129</v>
      </c>
      <c r="E1116" s="1179">
        <v>2013</v>
      </c>
      <c r="F1116" s="1282" t="s">
        <v>20220</v>
      </c>
      <c r="G1116" s="1368">
        <v>19.5</v>
      </c>
      <c r="H1116" s="1178" t="s">
        <v>20277</v>
      </c>
      <c r="I1116" s="1178" t="s">
        <v>4803</v>
      </c>
      <c r="J1116" s="1178" t="s">
        <v>662</v>
      </c>
      <c r="K1116" s="1178" t="s">
        <v>267</v>
      </c>
      <c r="L1116" s="1178" t="s">
        <v>211</v>
      </c>
      <c r="M1116" s="1369"/>
      <c r="N1116" s="1178" t="s">
        <v>20244</v>
      </c>
      <c r="O1116" s="1178">
        <v>6</v>
      </c>
      <c r="P1116" s="1178">
        <v>13</v>
      </c>
    </row>
    <row r="1117" spans="1:16">
      <c r="A1117" s="1178" t="s">
        <v>20805</v>
      </c>
      <c r="B1117" s="1371" t="str">
        <f>HYPERLINK(IFERROR("#Main_Tariff!A"&amp;MATCH(Raeburn_Main_Tariff[[#This Row],[Product Code]],Main_Tariff!I:I,0),"#Main_Tariff!A"&amp;MATCH("*"&amp;RIGHT(A1117,8)&amp;"*",Main_Tariff!A:A,0)),Raeburn_Main_Tariff[[#This Row],[PRODUCER]])</f>
        <v>Domaine Jean Fournier</v>
      </c>
      <c r="C1117" s="1178" t="s">
        <v>20807</v>
      </c>
      <c r="D1117" s="1178" t="s">
        <v>1129</v>
      </c>
      <c r="E1117" s="1179">
        <v>2022</v>
      </c>
      <c r="F1117" s="1282" t="s">
        <v>20220</v>
      </c>
      <c r="G1117" s="1368">
        <v>29.95</v>
      </c>
      <c r="H1117" s="1178" t="s">
        <v>20221</v>
      </c>
      <c r="I1117" s="1178" t="s">
        <v>4807</v>
      </c>
      <c r="J1117" s="1178" t="s">
        <v>662</v>
      </c>
      <c r="K1117" s="1178" t="s">
        <v>267</v>
      </c>
      <c r="L1117" s="1178" t="s">
        <v>211</v>
      </c>
      <c r="M1117" s="1369"/>
      <c r="N1117" s="1178" t="s">
        <v>20244</v>
      </c>
      <c r="O1117" s="1178">
        <v>6</v>
      </c>
      <c r="P1117" s="1178">
        <v>12.5</v>
      </c>
    </row>
    <row r="1118" spans="1:16">
      <c r="A1118" s="1178" t="s">
        <v>20805</v>
      </c>
      <c r="B1118" s="1371" t="str">
        <f>HYPERLINK(IFERROR("#Main_Tariff!A"&amp;MATCH(Raeburn_Main_Tariff[[#This Row],[Product Code]],Main_Tariff!I:I,0),"#Main_Tariff!A"&amp;MATCH("*"&amp;RIGHT(A1118,8)&amp;"*",Main_Tariff!A:A,0)),Raeburn_Main_Tariff[[#This Row],[PRODUCER]])</f>
        <v>Domaine Jean Fournier</v>
      </c>
      <c r="C1118" s="1178" t="s">
        <v>20807</v>
      </c>
      <c r="D1118" s="1178" t="s">
        <v>1129</v>
      </c>
      <c r="E1118" s="1179">
        <v>2021</v>
      </c>
      <c r="F1118" s="1282" t="s">
        <v>20220</v>
      </c>
      <c r="G1118" s="1368">
        <v>29.95</v>
      </c>
      <c r="H1118" s="1178" t="s">
        <v>20221</v>
      </c>
      <c r="I1118" s="1178" t="s">
        <v>4809</v>
      </c>
      <c r="J1118" s="1178" t="s">
        <v>662</v>
      </c>
      <c r="K1118" s="1178" t="s">
        <v>267</v>
      </c>
      <c r="L1118" s="1178" t="s">
        <v>211</v>
      </c>
      <c r="M1118" s="1369"/>
      <c r="N1118" s="1178" t="s">
        <v>20244</v>
      </c>
      <c r="O1118" s="1178">
        <v>6</v>
      </c>
      <c r="P1118" s="1178">
        <v>12.5</v>
      </c>
    </row>
    <row r="1119" spans="1:16">
      <c r="A1119" s="1178" t="s">
        <v>20805</v>
      </c>
      <c r="B1119" s="1371" t="str">
        <f>HYPERLINK(IFERROR("#Main_Tariff!A"&amp;MATCH(Raeburn_Main_Tariff[[#This Row],[Product Code]],Main_Tariff!I:I,0),"#Main_Tariff!A"&amp;MATCH("*"&amp;RIGHT(A1119,8)&amp;"*",Main_Tariff!A:A,0)),Raeburn_Main_Tariff[[#This Row],[PRODUCER]])</f>
        <v>Domaine Jean Fournier</v>
      </c>
      <c r="C1119" s="1178" t="s">
        <v>20807</v>
      </c>
      <c r="D1119" s="1178" t="s">
        <v>1129</v>
      </c>
      <c r="E1119" s="1179">
        <v>2017</v>
      </c>
      <c r="F1119" s="1282" t="s">
        <v>20220</v>
      </c>
      <c r="G1119" s="1368">
        <v>24.95</v>
      </c>
      <c r="H1119" s="1178" t="s">
        <v>20221</v>
      </c>
      <c r="I1119" s="1178" t="s">
        <v>4811</v>
      </c>
      <c r="J1119" s="1178" t="s">
        <v>662</v>
      </c>
      <c r="K1119" s="1178" t="s">
        <v>267</v>
      </c>
      <c r="L1119" s="1178" t="s">
        <v>211</v>
      </c>
      <c r="M1119" s="1369"/>
      <c r="N1119" s="1178"/>
      <c r="O1119" s="1178">
        <v>6</v>
      </c>
      <c r="P1119" s="1178">
        <v>12.5</v>
      </c>
    </row>
    <row r="1120" spans="1:16">
      <c r="A1120" s="1178" t="s">
        <v>20805</v>
      </c>
      <c r="B1120" s="1371" t="str">
        <f>HYPERLINK(IFERROR("#Main_Tariff!A"&amp;MATCH(Raeburn_Main_Tariff[[#This Row],[Product Code]],Main_Tariff!I:I,0),"#Main_Tariff!A"&amp;MATCH("*"&amp;RIGHT(A1120,8)&amp;"*",Main_Tariff!A:A,0)),Raeburn_Main_Tariff[[#This Row],[PRODUCER]])</f>
        <v>Domaine Jean Fournier</v>
      </c>
      <c r="C1120" s="1178" t="s">
        <v>20807</v>
      </c>
      <c r="D1120" s="1178" t="s">
        <v>1129</v>
      </c>
      <c r="E1120" s="1179">
        <v>2016</v>
      </c>
      <c r="F1120" s="1282" t="s">
        <v>20220</v>
      </c>
      <c r="G1120" s="1368">
        <v>22.5</v>
      </c>
      <c r="H1120" s="1178" t="s">
        <v>20221</v>
      </c>
      <c r="I1120" s="1178" t="s">
        <v>4813</v>
      </c>
      <c r="J1120" s="1178" t="s">
        <v>662</v>
      </c>
      <c r="K1120" s="1178" t="s">
        <v>267</v>
      </c>
      <c r="L1120" s="1178" t="s">
        <v>211</v>
      </c>
      <c r="M1120" s="1369"/>
      <c r="N1120" s="1178"/>
      <c r="O1120" s="1178">
        <v>6</v>
      </c>
      <c r="P1120" s="1178">
        <v>12</v>
      </c>
    </row>
    <row r="1121" spans="1:16">
      <c r="A1121" s="1178" t="s">
        <v>20805</v>
      </c>
      <c r="B1121" s="1371" t="str">
        <f>HYPERLINK(IFERROR("#Main_Tariff!A"&amp;MATCH(Raeburn_Main_Tariff[[#This Row],[Product Code]],Main_Tariff!I:I,0),"#Main_Tariff!A"&amp;MATCH("*"&amp;RIGHT(A1121,8)&amp;"*",Main_Tariff!A:A,0)),Raeburn_Main_Tariff[[#This Row],[PRODUCER]])</f>
        <v>Domaine Jean Fournier</v>
      </c>
      <c r="C1121" s="1178" t="s">
        <v>20807</v>
      </c>
      <c r="D1121" s="1178" t="s">
        <v>1129</v>
      </c>
      <c r="E1121" s="1179">
        <v>2015</v>
      </c>
      <c r="F1121" s="1282" t="s">
        <v>20220</v>
      </c>
      <c r="G1121" s="1368">
        <v>22.5</v>
      </c>
      <c r="H1121" s="1178" t="s">
        <v>20224</v>
      </c>
      <c r="I1121" s="1178" t="s">
        <v>4814</v>
      </c>
      <c r="J1121" s="1178" t="s">
        <v>662</v>
      </c>
      <c r="K1121" s="1178" t="s">
        <v>267</v>
      </c>
      <c r="L1121" s="1178" t="s">
        <v>211</v>
      </c>
      <c r="M1121" s="1369"/>
      <c r="N1121" s="1178" t="s">
        <v>20244</v>
      </c>
      <c r="O1121" s="1178">
        <v>6</v>
      </c>
      <c r="P1121" s="1178">
        <v>12</v>
      </c>
    </row>
    <row r="1122" spans="1:16">
      <c r="A1122" s="1178" t="s">
        <v>20805</v>
      </c>
      <c r="B1122" s="1371" t="str">
        <f>HYPERLINK(IFERROR("#Main_Tariff!A"&amp;MATCH(Raeburn_Main_Tariff[[#This Row],[Product Code]],Main_Tariff!I:I,0),"#Main_Tariff!A"&amp;MATCH("*"&amp;RIGHT(A1122,8)&amp;"*",Main_Tariff!A:A,0)),Raeburn_Main_Tariff[[#This Row],[PRODUCER]])</f>
        <v>Domaine Jean Fournier</v>
      </c>
      <c r="C1122" s="1178" t="s">
        <v>20807</v>
      </c>
      <c r="D1122" s="1178" t="s">
        <v>1129</v>
      </c>
      <c r="E1122" s="1179">
        <v>2014</v>
      </c>
      <c r="F1122" s="1282" t="s">
        <v>20220</v>
      </c>
      <c r="G1122" s="1368">
        <v>23</v>
      </c>
      <c r="H1122" s="1178" t="s">
        <v>20221</v>
      </c>
      <c r="I1122" s="1178" t="s">
        <v>4100</v>
      </c>
      <c r="J1122" s="1178" t="s">
        <v>662</v>
      </c>
      <c r="K1122" s="1178" t="s">
        <v>267</v>
      </c>
      <c r="L1122" s="1178" t="s">
        <v>211</v>
      </c>
      <c r="M1122" s="1369"/>
      <c r="N1122" s="1178" t="s">
        <v>20244</v>
      </c>
      <c r="O1122" s="1178">
        <v>6</v>
      </c>
      <c r="P1122" s="1178">
        <v>12.5</v>
      </c>
    </row>
    <row r="1123" spans="1:16">
      <c r="A1123" s="1178" t="s">
        <v>20805</v>
      </c>
      <c r="B1123" s="1371" t="str">
        <f>HYPERLINK(IFERROR("#Main_Tariff!A"&amp;MATCH(Raeburn_Main_Tariff[[#This Row],[Product Code]],Main_Tariff!I:I,0),"#Main_Tariff!A"&amp;MATCH("*"&amp;RIGHT(A1123,8)&amp;"*",Main_Tariff!A:A,0)),Raeburn_Main_Tariff[[#This Row],[PRODUCER]])</f>
        <v>Domaine Jean Fournier</v>
      </c>
      <c r="C1123" s="1178" t="s">
        <v>20807</v>
      </c>
      <c r="D1123" s="1178" t="s">
        <v>1129</v>
      </c>
      <c r="E1123" s="1179">
        <v>2012</v>
      </c>
      <c r="F1123" s="1282" t="s">
        <v>20220</v>
      </c>
      <c r="G1123" s="1368">
        <v>23</v>
      </c>
      <c r="H1123" s="1178" t="s">
        <v>20465</v>
      </c>
      <c r="I1123" s="1178" t="s">
        <v>4816</v>
      </c>
      <c r="J1123" s="1178" t="s">
        <v>662</v>
      </c>
      <c r="K1123" s="1178" t="s">
        <v>267</v>
      </c>
      <c r="L1123" s="1178" t="s">
        <v>211</v>
      </c>
      <c r="M1123" s="1369"/>
      <c r="N1123" s="1178" t="s">
        <v>20244</v>
      </c>
      <c r="O1123" s="1178">
        <v>12</v>
      </c>
      <c r="P1123" s="1178">
        <v>12.5</v>
      </c>
    </row>
    <row r="1124" spans="1:16">
      <c r="A1124" s="1178" t="s">
        <v>20805</v>
      </c>
      <c r="B1124" s="1371" t="str">
        <f>HYPERLINK(IFERROR("#Main_Tariff!A"&amp;MATCH(Raeburn_Main_Tariff[[#This Row],[Product Code]],Main_Tariff!I:I,0),"#Main_Tariff!A"&amp;MATCH("*"&amp;RIGHT(A1124,8)&amp;"*",Main_Tariff!A:A,0)),Raeburn_Main_Tariff[[#This Row],[PRODUCER]])</f>
        <v>Domaine Jean Fournier</v>
      </c>
      <c r="C1124" s="1178" t="s">
        <v>20808</v>
      </c>
      <c r="D1124" s="1178" t="s">
        <v>897</v>
      </c>
      <c r="E1124" s="1179">
        <v>2022</v>
      </c>
      <c r="F1124" s="1282" t="s">
        <v>20220</v>
      </c>
      <c r="G1124" s="1368">
        <v>25.95</v>
      </c>
      <c r="H1124" s="1178" t="s">
        <v>20221</v>
      </c>
      <c r="I1124" s="1178" t="s">
        <v>4820</v>
      </c>
      <c r="J1124" s="1178" t="s">
        <v>662</v>
      </c>
      <c r="K1124" s="1178" t="s">
        <v>267</v>
      </c>
      <c r="L1124" s="1178" t="s">
        <v>211</v>
      </c>
      <c r="M1124" s="1369"/>
      <c r="N1124" s="1178"/>
      <c r="O1124" s="1178">
        <v>6</v>
      </c>
      <c r="P1124" s="1178">
        <v>14</v>
      </c>
    </row>
    <row r="1125" spans="1:16">
      <c r="A1125" s="1178" t="s">
        <v>20805</v>
      </c>
      <c r="B1125" s="1371" t="str">
        <f>HYPERLINK(IFERROR("#Main_Tariff!A"&amp;MATCH(Raeburn_Main_Tariff[[#This Row],[Product Code]],Main_Tariff!I:I,0),"#Main_Tariff!A"&amp;MATCH("*"&amp;RIGHT(A1125,8)&amp;"*",Main_Tariff!A:A,0)),Raeburn_Main_Tariff[[#This Row],[PRODUCER]])</f>
        <v>Domaine Jean Fournier</v>
      </c>
      <c r="C1125" s="1178" t="s">
        <v>20809</v>
      </c>
      <c r="D1125" s="1178" t="s">
        <v>897</v>
      </c>
      <c r="E1125" s="1179">
        <v>2022</v>
      </c>
      <c r="F1125" s="1282" t="s">
        <v>20280</v>
      </c>
      <c r="G1125" s="1368">
        <v>19.95</v>
      </c>
      <c r="H1125" s="1178" t="s">
        <v>20221</v>
      </c>
      <c r="I1125" s="1178" t="s">
        <v>4824</v>
      </c>
      <c r="J1125" s="1178" t="s">
        <v>662</v>
      </c>
      <c r="K1125" s="1178" t="s">
        <v>267</v>
      </c>
      <c r="L1125" s="1178" t="s">
        <v>211</v>
      </c>
      <c r="M1125" s="1369"/>
      <c r="N1125" s="1178" t="s">
        <v>20244</v>
      </c>
      <c r="O1125" s="1178">
        <v>12</v>
      </c>
      <c r="P1125" s="1178">
        <v>13.5</v>
      </c>
    </row>
    <row r="1126" spans="1:16">
      <c r="A1126" s="1178" t="s">
        <v>20805</v>
      </c>
      <c r="B1126" s="1371" t="str">
        <f>HYPERLINK(IFERROR("#Main_Tariff!A"&amp;MATCH(Raeburn_Main_Tariff[[#This Row],[Product Code]],Main_Tariff!I:I,0),"#Main_Tariff!A"&amp;MATCH("*"&amp;RIGHT(A1126,8)&amp;"*",Main_Tariff!A:A,0)),Raeburn_Main_Tariff[[#This Row],[PRODUCER]])</f>
        <v>Domaine Jean Fournier</v>
      </c>
      <c r="C1126" s="1178" t="s">
        <v>20809</v>
      </c>
      <c r="D1126" s="1178" t="s">
        <v>897</v>
      </c>
      <c r="E1126" s="1179">
        <v>2021</v>
      </c>
      <c r="F1126" s="1282" t="s">
        <v>20280</v>
      </c>
      <c r="G1126" s="1368">
        <v>19.95</v>
      </c>
      <c r="H1126" s="1178" t="s">
        <v>20221</v>
      </c>
      <c r="I1126" s="1178" t="s">
        <v>4826</v>
      </c>
      <c r="J1126" s="1178" t="s">
        <v>662</v>
      </c>
      <c r="K1126" s="1178" t="s">
        <v>267</v>
      </c>
      <c r="L1126" s="1178" t="s">
        <v>211</v>
      </c>
      <c r="M1126" s="1369"/>
      <c r="N1126" s="1178" t="s">
        <v>20244</v>
      </c>
      <c r="O1126" s="1178">
        <v>12</v>
      </c>
      <c r="P1126" s="1178">
        <v>13.5</v>
      </c>
    </row>
    <row r="1127" spans="1:16">
      <c r="A1127" s="1178" t="s">
        <v>20805</v>
      </c>
      <c r="B1127" s="1371" t="str">
        <f>HYPERLINK(IFERROR("#Main_Tariff!A"&amp;MATCH(Raeburn_Main_Tariff[[#This Row],[Product Code]],Main_Tariff!I:I,0),"#Main_Tariff!A"&amp;MATCH("*"&amp;RIGHT(A1127,8)&amp;"*",Main_Tariff!A:A,0)),Raeburn_Main_Tariff[[#This Row],[PRODUCER]])</f>
        <v>Domaine Jean Fournier</v>
      </c>
      <c r="C1127" s="1178" t="s">
        <v>20809</v>
      </c>
      <c r="D1127" s="1178" t="s">
        <v>897</v>
      </c>
      <c r="E1127" s="1179">
        <v>2020</v>
      </c>
      <c r="F1127" s="1282" t="s">
        <v>20280</v>
      </c>
      <c r="G1127" s="1368">
        <v>18.95</v>
      </c>
      <c r="H1127" s="1178" t="s">
        <v>20221</v>
      </c>
      <c r="I1127" s="1178" t="s">
        <v>4828</v>
      </c>
      <c r="J1127" s="1178" t="s">
        <v>662</v>
      </c>
      <c r="K1127" s="1178" t="s">
        <v>267</v>
      </c>
      <c r="L1127" s="1178" t="s">
        <v>211</v>
      </c>
      <c r="M1127" s="1369"/>
      <c r="N1127" s="1178" t="s">
        <v>20244</v>
      </c>
      <c r="O1127" s="1178">
        <v>12</v>
      </c>
      <c r="P1127" s="1178">
        <v>14</v>
      </c>
    </row>
    <row r="1128" spans="1:16">
      <c r="A1128" s="1178" t="s">
        <v>20805</v>
      </c>
      <c r="B1128" s="1371" t="str">
        <f>HYPERLINK(IFERROR("#Main_Tariff!A"&amp;MATCH(Raeburn_Main_Tariff[[#This Row],[Product Code]],Main_Tariff!I:I,0),"#Main_Tariff!A"&amp;MATCH("*"&amp;RIGHT(A1128,8)&amp;"*",Main_Tariff!A:A,0)),Raeburn_Main_Tariff[[#This Row],[PRODUCER]])</f>
        <v>Domaine Jean Fournier</v>
      </c>
      <c r="C1128" s="1178" t="s">
        <v>20809</v>
      </c>
      <c r="D1128" s="1178" t="s">
        <v>897</v>
      </c>
      <c r="E1128" s="1179">
        <v>2019</v>
      </c>
      <c r="F1128" s="1282" t="s">
        <v>20280</v>
      </c>
      <c r="G1128" s="1368">
        <v>18.95</v>
      </c>
      <c r="H1128" s="1178" t="s">
        <v>20221</v>
      </c>
      <c r="I1128" s="1178" t="s">
        <v>4830</v>
      </c>
      <c r="J1128" s="1178" t="s">
        <v>662</v>
      </c>
      <c r="K1128" s="1178" t="s">
        <v>267</v>
      </c>
      <c r="L1128" s="1178" t="s">
        <v>211</v>
      </c>
      <c r="M1128" s="1369"/>
      <c r="N1128" s="1178" t="s">
        <v>20244</v>
      </c>
      <c r="O1128" s="1178">
        <v>12</v>
      </c>
      <c r="P1128" s="1178">
        <v>13.5</v>
      </c>
    </row>
    <row r="1129" spans="1:16">
      <c r="A1129" s="1178" t="s">
        <v>20805</v>
      </c>
      <c r="B1129" s="1371" t="str">
        <f>HYPERLINK(IFERROR("#Main_Tariff!A"&amp;MATCH(Raeburn_Main_Tariff[[#This Row],[Product Code]],Main_Tariff!I:I,0),"#Main_Tariff!A"&amp;MATCH("*"&amp;RIGHT(A1129,8)&amp;"*",Main_Tariff!A:A,0)),Raeburn_Main_Tariff[[#This Row],[PRODUCER]])</f>
        <v>Domaine Jean Fournier</v>
      </c>
      <c r="C1129" s="1178" t="s">
        <v>20810</v>
      </c>
      <c r="D1129" s="1178" t="s">
        <v>897</v>
      </c>
      <c r="E1129" s="1179">
        <v>2022</v>
      </c>
      <c r="F1129" s="1282" t="s">
        <v>20220</v>
      </c>
      <c r="G1129" s="1368">
        <v>24.95</v>
      </c>
      <c r="H1129" s="1178" t="s">
        <v>20221</v>
      </c>
      <c r="I1129" s="1178" t="s">
        <v>4834</v>
      </c>
      <c r="J1129" s="1178" t="s">
        <v>662</v>
      </c>
      <c r="K1129" s="1178" t="s">
        <v>267</v>
      </c>
      <c r="L1129" s="1178" t="s">
        <v>211</v>
      </c>
      <c r="M1129" s="1369"/>
      <c r="N1129" s="1178" t="s">
        <v>20244</v>
      </c>
      <c r="O1129" s="1178">
        <v>6</v>
      </c>
      <c r="P1129" s="1178">
        <v>13.5</v>
      </c>
    </row>
    <row r="1130" spans="1:16">
      <c r="A1130" s="1178" t="s">
        <v>20805</v>
      </c>
      <c r="B1130" s="1371" t="str">
        <f>HYPERLINK(IFERROR("#Main_Tariff!A"&amp;MATCH(Raeburn_Main_Tariff[[#This Row],[Product Code]],Main_Tariff!I:I,0),"#Main_Tariff!A"&amp;MATCH("*"&amp;RIGHT(A1130,8)&amp;"*",Main_Tariff!A:A,0)),Raeburn_Main_Tariff[[#This Row],[PRODUCER]])</f>
        <v>Domaine Jean Fournier</v>
      </c>
      <c r="C1130" s="1178" t="s">
        <v>20810</v>
      </c>
      <c r="D1130" s="1178" t="s">
        <v>897</v>
      </c>
      <c r="E1130" s="1179">
        <v>2021</v>
      </c>
      <c r="F1130" s="1282" t="s">
        <v>20220</v>
      </c>
      <c r="G1130" s="1368">
        <v>24.95</v>
      </c>
      <c r="H1130" s="1178" t="s">
        <v>20221</v>
      </c>
      <c r="I1130" s="1178" t="s">
        <v>4836</v>
      </c>
      <c r="J1130" s="1178" t="s">
        <v>662</v>
      </c>
      <c r="K1130" s="1178" t="s">
        <v>267</v>
      </c>
      <c r="L1130" s="1178" t="s">
        <v>211</v>
      </c>
      <c r="M1130" s="1369"/>
      <c r="N1130" s="1178" t="s">
        <v>20244</v>
      </c>
      <c r="O1130" s="1178">
        <v>6</v>
      </c>
      <c r="P1130" s="1178">
        <v>13</v>
      </c>
    </row>
    <row r="1131" spans="1:16">
      <c r="A1131" s="1178" t="s">
        <v>20805</v>
      </c>
      <c r="B1131" s="1371" t="str">
        <f>HYPERLINK(IFERROR("#Main_Tariff!A"&amp;MATCH(Raeburn_Main_Tariff[[#This Row],[Product Code]],Main_Tariff!I:I,0),"#Main_Tariff!A"&amp;MATCH("*"&amp;RIGHT(A1131,8)&amp;"*",Main_Tariff!A:A,0)),Raeburn_Main_Tariff[[#This Row],[PRODUCER]])</f>
        <v>Domaine Jean Fournier</v>
      </c>
      <c r="C1131" s="1178" t="s">
        <v>20810</v>
      </c>
      <c r="D1131" s="1178" t="s">
        <v>897</v>
      </c>
      <c r="E1131" s="1179">
        <v>2020</v>
      </c>
      <c r="F1131" s="1282" t="s">
        <v>20220</v>
      </c>
      <c r="G1131" s="1368">
        <v>23.95</v>
      </c>
      <c r="H1131" s="1178" t="s">
        <v>20221</v>
      </c>
      <c r="I1131" s="1178" t="s">
        <v>4838</v>
      </c>
      <c r="J1131" s="1178" t="s">
        <v>662</v>
      </c>
      <c r="K1131" s="1178" t="s">
        <v>267</v>
      </c>
      <c r="L1131" s="1178" t="s">
        <v>211</v>
      </c>
      <c r="M1131" s="1369"/>
      <c r="N1131" s="1178" t="s">
        <v>20244</v>
      </c>
      <c r="O1131" s="1178">
        <v>6</v>
      </c>
      <c r="P1131" s="1178">
        <v>13.5</v>
      </c>
    </row>
    <row r="1132" spans="1:16">
      <c r="A1132" s="1178" t="s">
        <v>20805</v>
      </c>
      <c r="B1132" s="1371" t="str">
        <f>HYPERLINK(IFERROR("#Main_Tariff!A"&amp;MATCH(Raeburn_Main_Tariff[[#This Row],[Product Code]],Main_Tariff!I:I,0),"#Main_Tariff!A"&amp;MATCH("*"&amp;RIGHT(A1132,8)&amp;"*",Main_Tariff!A:A,0)),Raeburn_Main_Tariff[[#This Row],[PRODUCER]])</f>
        <v>Domaine Jean Fournier</v>
      </c>
      <c r="C1132" s="1178" t="s">
        <v>20810</v>
      </c>
      <c r="D1132" s="1178" t="s">
        <v>897</v>
      </c>
      <c r="E1132" s="1179">
        <v>2019</v>
      </c>
      <c r="F1132" s="1282" t="s">
        <v>20220</v>
      </c>
      <c r="G1132" s="1368">
        <v>23.95</v>
      </c>
      <c r="H1132" s="1178" t="s">
        <v>20221</v>
      </c>
      <c r="I1132" s="1178" t="s">
        <v>4840</v>
      </c>
      <c r="J1132" s="1178" t="s">
        <v>662</v>
      </c>
      <c r="K1132" s="1178" t="s">
        <v>267</v>
      </c>
      <c r="L1132" s="1178" t="s">
        <v>211</v>
      </c>
      <c r="M1132" s="1369"/>
      <c r="N1132" s="1178" t="s">
        <v>20244</v>
      </c>
      <c r="O1132" s="1178">
        <v>6</v>
      </c>
      <c r="P1132" s="1178">
        <v>13.5</v>
      </c>
    </row>
    <row r="1133" spans="1:16">
      <c r="A1133" s="1178" t="s">
        <v>20805</v>
      </c>
      <c r="B1133" s="1371" t="str">
        <f>HYPERLINK(IFERROR("#Main_Tariff!A"&amp;MATCH(Raeburn_Main_Tariff[[#This Row],[Product Code]],Main_Tariff!I:I,0),"#Main_Tariff!A"&amp;MATCH("*"&amp;RIGHT(A1133,8)&amp;"*",Main_Tariff!A:A,0)),Raeburn_Main_Tariff[[#This Row],[PRODUCER]])</f>
        <v>Domaine Jean Fournier</v>
      </c>
      <c r="C1133" s="1178" t="s">
        <v>20810</v>
      </c>
      <c r="D1133" s="1178" t="s">
        <v>897</v>
      </c>
      <c r="E1133" s="1179">
        <v>2018</v>
      </c>
      <c r="F1133" s="1282" t="s">
        <v>20220</v>
      </c>
      <c r="G1133" s="1368">
        <v>23.95</v>
      </c>
      <c r="H1133" s="1178" t="s">
        <v>20221</v>
      </c>
      <c r="I1133" s="1178" t="s">
        <v>4841</v>
      </c>
      <c r="J1133" s="1178" t="s">
        <v>662</v>
      </c>
      <c r="K1133" s="1178" t="s">
        <v>267</v>
      </c>
      <c r="L1133" s="1178" t="s">
        <v>211</v>
      </c>
      <c r="M1133" s="1369"/>
      <c r="N1133" s="1178"/>
      <c r="O1133" s="1178">
        <v>6</v>
      </c>
      <c r="P1133" s="1178">
        <v>13.1</v>
      </c>
    </row>
    <row r="1134" spans="1:16">
      <c r="A1134" s="1178" t="s">
        <v>20805</v>
      </c>
      <c r="B1134" s="1371" t="str">
        <f>HYPERLINK(IFERROR("#Main_Tariff!A"&amp;MATCH(Raeburn_Main_Tariff[[#This Row],[Product Code]],Main_Tariff!I:I,0),"#Main_Tariff!A"&amp;MATCH("*"&amp;RIGHT(A1134,8)&amp;"*",Main_Tariff!A:A,0)),Raeburn_Main_Tariff[[#This Row],[PRODUCER]])</f>
        <v>Domaine Jean Fournier</v>
      </c>
      <c r="C1134" s="1178" t="s">
        <v>20810</v>
      </c>
      <c r="D1134" s="1178" t="s">
        <v>897</v>
      </c>
      <c r="E1134" s="1179">
        <v>2017</v>
      </c>
      <c r="F1134" s="1282" t="s">
        <v>20220</v>
      </c>
      <c r="G1134" s="1368">
        <v>23.95</v>
      </c>
      <c r="H1134" s="1178" t="s">
        <v>20221</v>
      </c>
      <c r="I1134" s="1178" t="s">
        <v>4843</v>
      </c>
      <c r="J1134" s="1178" t="s">
        <v>662</v>
      </c>
      <c r="K1134" s="1178" t="s">
        <v>267</v>
      </c>
      <c r="L1134" s="1178" t="s">
        <v>211</v>
      </c>
      <c r="M1134" s="1369"/>
      <c r="N1134" s="1178"/>
      <c r="O1134" s="1178">
        <v>6</v>
      </c>
      <c r="P1134" s="1178">
        <v>12</v>
      </c>
    </row>
    <row r="1135" spans="1:16">
      <c r="A1135" s="1178" t="s">
        <v>20805</v>
      </c>
      <c r="B1135" s="1371" t="str">
        <f>HYPERLINK(IFERROR("#Main_Tariff!A"&amp;MATCH(Raeburn_Main_Tariff[[#This Row],[Product Code]],Main_Tariff!I:I,0),"#Main_Tariff!A"&amp;MATCH("*"&amp;RIGHT(A1135,8)&amp;"*",Main_Tariff!A:A,0)),Raeburn_Main_Tariff[[#This Row],[PRODUCER]])</f>
        <v>Domaine Jean Fournier</v>
      </c>
      <c r="C1135" s="1178" t="s">
        <v>6176</v>
      </c>
      <c r="D1135" s="1178" t="s">
        <v>897</v>
      </c>
      <c r="E1135" s="1179">
        <v>2016</v>
      </c>
      <c r="F1135" s="1282" t="s">
        <v>20220</v>
      </c>
      <c r="G1135" s="1368">
        <v>23.95</v>
      </c>
      <c r="H1135" s="1178" t="s">
        <v>20224</v>
      </c>
      <c r="I1135" s="1178" t="s">
        <v>4845</v>
      </c>
      <c r="J1135" s="1178" t="s">
        <v>662</v>
      </c>
      <c r="K1135" s="1178" t="s">
        <v>267</v>
      </c>
      <c r="L1135" s="1178" t="s">
        <v>211</v>
      </c>
      <c r="M1135" s="1369"/>
      <c r="N1135" s="1178"/>
      <c r="O1135" s="1178">
        <v>6</v>
      </c>
      <c r="P1135" s="1178">
        <v>12</v>
      </c>
    </row>
    <row r="1136" spans="1:16">
      <c r="A1136" s="1178" t="s">
        <v>20805</v>
      </c>
      <c r="B1136" s="1371" t="str">
        <f>HYPERLINK(IFERROR("#Main_Tariff!A"&amp;MATCH(Raeburn_Main_Tariff[[#This Row],[Product Code]],Main_Tariff!I:I,0),"#Main_Tariff!A"&amp;MATCH("*"&amp;RIGHT(A1136,8)&amp;"*",Main_Tariff!A:A,0)),Raeburn_Main_Tariff[[#This Row],[PRODUCER]])</f>
        <v>Domaine Jean Fournier</v>
      </c>
      <c r="C1136" s="1178" t="s">
        <v>6176</v>
      </c>
      <c r="D1136" s="1178" t="s">
        <v>897</v>
      </c>
      <c r="E1136" s="1179">
        <v>2015</v>
      </c>
      <c r="F1136" s="1282" t="s">
        <v>20220</v>
      </c>
      <c r="G1136" s="1368">
        <v>23.95</v>
      </c>
      <c r="H1136" s="1178" t="s">
        <v>20221</v>
      </c>
      <c r="I1136" s="1178" t="s">
        <v>4847</v>
      </c>
      <c r="J1136" s="1178" t="s">
        <v>662</v>
      </c>
      <c r="K1136" s="1178" t="s">
        <v>267</v>
      </c>
      <c r="L1136" s="1178" t="s">
        <v>211</v>
      </c>
      <c r="M1136" s="1369"/>
      <c r="N1136" s="1178" t="s">
        <v>20244</v>
      </c>
      <c r="O1136" s="1178">
        <v>6</v>
      </c>
      <c r="P1136" s="1178">
        <v>12</v>
      </c>
    </row>
    <row r="1137" spans="1:16">
      <c r="A1137" s="1178" t="s">
        <v>20805</v>
      </c>
      <c r="B1137" s="1371" t="str">
        <f>HYPERLINK(IFERROR("#Main_Tariff!A"&amp;MATCH(Raeburn_Main_Tariff[[#This Row],[Product Code]],Main_Tariff!I:I,0),"#Main_Tariff!A"&amp;MATCH("*"&amp;RIGHT(A1137,8)&amp;"*",Main_Tariff!A:A,0)),Raeburn_Main_Tariff[[#This Row],[PRODUCER]])</f>
        <v>Domaine Jean Fournier</v>
      </c>
      <c r="C1137" s="1178" t="s">
        <v>6176</v>
      </c>
      <c r="D1137" s="1178" t="s">
        <v>897</v>
      </c>
      <c r="E1137" s="1179">
        <v>2014</v>
      </c>
      <c r="F1137" s="1282" t="s">
        <v>20220</v>
      </c>
      <c r="G1137" s="1368">
        <v>20.95</v>
      </c>
      <c r="H1137" s="1178" t="s">
        <v>20221</v>
      </c>
      <c r="I1137" s="1178" t="s">
        <v>4849</v>
      </c>
      <c r="J1137" s="1178" t="s">
        <v>662</v>
      </c>
      <c r="K1137" s="1178" t="s">
        <v>267</v>
      </c>
      <c r="L1137" s="1178" t="s">
        <v>211</v>
      </c>
      <c r="M1137" s="1369"/>
      <c r="N1137" s="1178" t="s">
        <v>20244</v>
      </c>
      <c r="O1137" s="1178">
        <v>6</v>
      </c>
      <c r="P1137" s="1178">
        <v>12</v>
      </c>
    </row>
    <row r="1138" spans="1:16">
      <c r="A1138" s="1178" t="s">
        <v>20805</v>
      </c>
      <c r="B1138" s="1371" t="str">
        <f>HYPERLINK(IFERROR("#Main_Tariff!A"&amp;MATCH(Raeburn_Main_Tariff[[#This Row],[Product Code]],Main_Tariff!I:I,0),"#Main_Tariff!A"&amp;MATCH("*"&amp;RIGHT(A1138,8)&amp;"*",Main_Tariff!A:A,0)),Raeburn_Main_Tariff[[#This Row],[PRODUCER]])</f>
        <v>Domaine Jean Fournier</v>
      </c>
      <c r="C1138" s="1178" t="s">
        <v>20811</v>
      </c>
      <c r="D1138" s="1178" t="s">
        <v>897</v>
      </c>
      <c r="E1138" s="1179">
        <v>2022</v>
      </c>
      <c r="F1138" s="1282" t="s">
        <v>20220</v>
      </c>
      <c r="G1138" s="1368">
        <v>54.95</v>
      </c>
      <c r="H1138" s="1178" t="s">
        <v>20221</v>
      </c>
      <c r="I1138" s="1178" t="s">
        <v>4853</v>
      </c>
      <c r="J1138" s="1178" t="s">
        <v>662</v>
      </c>
      <c r="K1138" s="1178" t="s">
        <v>267</v>
      </c>
      <c r="L1138" s="1178" t="s">
        <v>211</v>
      </c>
      <c r="M1138" s="1369" t="s">
        <v>23297</v>
      </c>
      <c r="N1138" s="1178" t="s">
        <v>20244</v>
      </c>
      <c r="O1138" s="1178">
        <v>6</v>
      </c>
      <c r="P1138" s="1178">
        <v>14</v>
      </c>
    </row>
    <row r="1139" spans="1:16">
      <c r="A1139" s="1178" t="s">
        <v>20805</v>
      </c>
      <c r="B1139" s="1371" t="str">
        <f>HYPERLINK(IFERROR("#Main_Tariff!A"&amp;MATCH(Raeburn_Main_Tariff[[#This Row],[Product Code]],Main_Tariff!I:I,0),"#Main_Tariff!A"&amp;MATCH("*"&amp;RIGHT(A1139,8)&amp;"*",Main_Tariff!A:A,0)),Raeburn_Main_Tariff[[#This Row],[PRODUCER]])</f>
        <v>Domaine Jean Fournier</v>
      </c>
      <c r="C1139" s="1178" t="s">
        <v>20811</v>
      </c>
      <c r="D1139" s="1178" t="s">
        <v>897</v>
      </c>
      <c r="E1139" s="1179">
        <v>2021</v>
      </c>
      <c r="F1139" s="1282" t="s">
        <v>20220</v>
      </c>
      <c r="G1139" s="1368">
        <v>54.5</v>
      </c>
      <c r="H1139" s="1178" t="s">
        <v>20221</v>
      </c>
      <c r="I1139" s="1178" t="s">
        <v>4855</v>
      </c>
      <c r="J1139" s="1178" t="s">
        <v>662</v>
      </c>
      <c r="K1139" s="1178" t="s">
        <v>267</v>
      </c>
      <c r="L1139" s="1178" t="s">
        <v>211</v>
      </c>
      <c r="M1139" s="1369" t="s">
        <v>23297</v>
      </c>
      <c r="N1139" s="1178" t="s">
        <v>20244</v>
      </c>
      <c r="O1139" s="1178">
        <v>6</v>
      </c>
      <c r="P1139" s="1178">
        <v>13</v>
      </c>
    </row>
    <row r="1140" spans="1:16">
      <c r="A1140" s="1178" t="s">
        <v>20805</v>
      </c>
      <c r="B1140" s="1371" t="str">
        <f>HYPERLINK(IFERROR("#Main_Tariff!A"&amp;MATCH(Raeburn_Main_Tariff[[#This Row],[Product Code]],Main_Tariff!I:I,0),"#Main_Tariff!A"&amp;MATCH("*"&amp;RIGHT(A1140,8)&amp;"*",Main_Tariff!A:A,0)),Raeburn_Main_Tariff[[#This Row],[PRODUCER]])</f>
        <v>Domaine Jean Fournier</v>
      </c>
      <c r="C1140" s="1178" t="s">
        <v>20811</v>
      </c>
      <c r="D1140" s="1178" t="s">
        <v>897</v>
      </c>
      <c r="E1140" s="1179">
        <v>2020</v>
      </c>
      <c r="F1140" s="1282" t="s">
        <v>20220</v>
      </c>
      <c r="G1140" s="1368">
        <v>52.95</v>
      </c>
      <c r="H1140" s="1178" t="s">
        <v>20221</v>
      </c>
      <c r="I1140" s="1178" t="s">
        <v>4857</v>
      </c>
      <c r="J1140" s="1178" t="s">
        <v>662</v>
      </c>
      <c r="K1140" s="1178" t="s">
        <v>267</v>
      </c>
      <c r="L1140" s="1178" t="s">
        <v>211</v>
      </c>
      <c r="M1140" s="1369" t="s">
        <v>23297</v>
      </c>
      <c r="N1140" s="1178" t="s">
        <v>20244</v>
      </c>
      <c r="O1140" s="1178">
        <v>6</v>
      </c>
      <c r="P1140" s="1178">
        <v>13.5</v>
      </c>
    </row>
    <row r="1141" spans="1:16">
      <c r="A1141" s="1178" t="s">
        <v>20805</v>
      </c>
      <c r="B1141" s="1371" t="str">
        <f>HYPERLINK(IFERROR("#Main_Tariff!A"&amp;MATCH(Raeburn_Main_Tariff[[#This Row],[Product Code]],Main_Tariff!I:I,0),"#Main_Tariff!A"&amp;MATCH("*"&amp;RIGHT(A1141,8)&amp;"*",Main_Tariff!A:A,0)),Raeburn_Main_Tariff[[#This Row],[PRODUCER]])</f>
        <v>Domaine Jean Fournier</v>
      </c>
      <c r="C1141" s="1178" t="s">
        <v>20811</v>
      </c>
      <c r="D1141" s="1178" t="s">
        <v>897</v>
      </c>
      <c r="E1141" s="1179">
        <v>2019</v>
      </c>
      <c r="F1141" s="1282" t="s">
        <v>20220</v>
      </c>
      <c r="G1141" s="1368">
        <v>49.95</v>
      </c>
      <c r="H1141" s="1178" t="s">
        <v>20221</v>
      </c>
      <c r="I1141" s="1178" t="s">
        <v>4859</v>
      </c>
      <c r="J1141" s="1178" t="s">
        <v>662</v>
      </c>
      <c r="K1141" s="1178" t="s">
        <v>267</v>
      </c>
      <c r="L1141" s="1178" t="s">
        <v>211</v>
      </c>
      <c r="M1141" s="1369" t="s">
        <v>23297</v>
      </c>
      <c r="N1141" s="1178" t="s">
        <v>20244</v>
      </c>
      <c r="O1141" s="1178">
        <v>6</v>
      </c>
      <c r="P1141" s="1178">
        <v>13.5</v>
      </c>
    </row>
    <row r="1142" spans="1:16">
      <c r="A1142" s="1178" t="s">
        <v>20805</v>
      </c>
      <c r="B1142" s="1371" t="str">
        <f>HYPERLINK(IFERROR("#Main_Tariff!A"&amp;MATCH(Raeburn_Main_Tariff[[#This Row],[Product Code]],Main_Tariff!I:I,0),"#Main_Tariff!A"&amp;MATCH("*"&amp;RIGHT(A1142,8)&amp;"*",Main_Tariff!A:A,0)),Raeburn_Main_Tariff[[#This Row],[PRODUCER]])</f>
        <v>Domaine Jean Fournier</v>
      </c>
      <c r="C1142" s="1178" t="s">
        <v>20811</v>
      </c>
      <c r="D1142" s="1178" t="s">
        <v>897</v>
      </c>
      <c r="E1142" s="1179">
        <v>2018</v>
      </c>
      <c r="F1142" s="1282" t="s">
        <v>20220</v>
      </c>
      <c r="G1142" s="1368">
        <v>49.95</v>
      </c>
      <c r="H1142" s="1178" t="s">
        <v>20221</v>
      </c>
      <c r="I1142" s="1178" t="s">
        <v>4861</v>
      </c>
      <c r="J1142" s="1178" t="s">
        <v>662</v>
      </c>
      <c r="K1142" s="1178" t="s">
        <v>267</v>
      </c>
      <c r="L1142" s="1178" t="s">
        <v>211</v>
      </c>
      <c r="M1142" s="1369" t="s">
        <v>23297</v>
      </c>
      <c r="N1142" s="1178"/>
      <c r="O1142" s="1178">
        <v>6</v>
      </c>
      <c r="P1142" s="1178">
        <v>13.95</v>
      </c>
    </row>
    <row r="1143" spans="1:16">
      <c r="A1143" s="1178" t="s">
        <v>20805</v>
      </c>
      <c r="B1143" s="1371" t="str">
        <f>HYPERLINK(IFERROR("#Main_Tariff!A"&amp;MATCH(Raeburn_Main_Tariff[[#This Row],[Product Code]],Main_Tariff!I:I,0),"#Main_Tariff!A"&amp;MATCH("*"&amp;RIGHT(A1143,8)&amp;"*",Main_Tariff!A:A,0)),Raeburn_Main_Tariff[[#This Row],[PRODUCER]])</f>
        <v>Domaine Jean Fournier</v>
      </c>
      <c r="C1143" s="1178" t="s">
        <v>20811</v>
      </c>
      <c r="D1143" s="1178" t="s">
        <v>897</v>
      </c>
      <c r="E1143" s="1179">
        <v>2017</v>
      </c>
      <c r="F1143" s="1282" t="s">
        <v>20220</v>
      </c>
      <c r="G1143" s="1368">
        <v>47.95</v>
      </c>
      <c r="H1143" s="1178" t="s">
        <v>20221</v>
      </c>
      <c r="I1143" s="1178" t="s">
        <v>4863</v>
      </c>
      <c r="J1143" s="1178" t="s">
        <v>662</v>
      </c>
      <c r="K1143" s="1178" t="s">
        <v>267</v>
      </c>
      <c r="L1143" s="1178" t="s">
        <v>211</v>
      </c>
      <c r="M1143" s="1369" t="s">
        <v>23297</v>
      </c>
      <c r="N1143" s="1178"/>
      <c r="O1143" s="1178">
        <v>6</v>
      </c>
      <c r="P1143" s="1178">
        <v>13</v>
      </c>
    </row>
    <row r="1144" spans="1:16">
      <c r="A1144" s="1178" t="s">
        <v>20805</v>
      </c>
      <c r="B1144" s="1371" t="str">
        <f>HYPERLINK(IFERROR("#Main_Tariff!A"&amp;MATCH(Raeburn_Main_Tariff[[#This Row],[Product Code]],Main_Tariff!I:I,0),"#Main_Tariff!A"&amp;MATCH("*"&amp;RIGHT(A1144,8)&amp;"*",Main_Tariff!A:A,0)),Raeburn_Main_Tariff[[#This Row],[PRODUCER]])</f>
        <v>Domaine Jean Fournier</v>
      </c>
      <c r="C1144" s="1178" t="s">
        <v>20812</v>
      </c>
      <c r="D1144" s="1178" t="s">
        <v>897</v>
      </c>
      <c r="E1144" s="1179">
        <v>2022</v>
      </c>
      <c r="F1144" s="1282" t="s">
        <v>20220</v>
      </c>
      <c r="G1144" s="1368">
        <v>54.95</v>
      </c>
      <c r="H1144" s="1178" t="s">
        <v>20221</v>
      </c>
      <c r="I1144" s="1178" t="s">
        <v>4865</v>
      </c>
      <c r="J1144" s="1178" t="s">
        <v>662</v>
      </c>
      <c r="K1144" s="1178" t="s">
        <v>267</v>
      </c>
      <c r="L1144" s="1178" t="s">
        <v>211</v>
      </c>
      <c r="M1144" s="1369"/>
      <c r="N1144" s="1178" t="s">
        <v>20244</v>
      </c>
      <c r="O1144" s="1178">
        <v>6</v>
      </c>
      <c r="P1144" s="1178">
        <v>13.5</v>
      </c>
    </row>
    <row r="1145" spans="1:16">
      <c r="A1145" s="1178" t="s">
        <v>20805</v>
      </c>
      <c r="B1145" s="1371" t="str">
        <f>HYPERLINK(IFERROR("#Main_Tariff!A"&amp;MATCH(Raeburn_Main_Tariff[[#This Row],[Product Code]],Main_Tariff!I:I,0),"#Main_Tariff!A"&amp;MATCH("*"&amp;RIGHT(A1145,8)&amp;"*",Main_Tariff!A:A,0)),Raeburn_Main_Tariff[[#This Row],[PRODUCER]])</f>
        <v>Domaine Jean Fournier</v>
      </c>
      <c r="C1145" s="1178" t="s">
        <v>20812</v>
      </c>
      <c r="D1145" s="1178" t="s">
        <v>897</v>
      </c>
      <c r="E1145" s="1179">
        <v>2021</v>
      </c>
      <c r="F1145" s="1282" t="s">
        <v>20220</v>
      </c>
      <c r="G1145" s="1368">
        <v>54.5</v>
      </c>
      <c r="H1145" s="1178" t="s">
        <v>20221</v>
      </c>
      <c r="I1145" s="1178" t="s">
        <v>4867</v>
      </c>
      <c r="J1145" s="1178" t="s">
        <v>662</v>
      </c>
      <c r="K1145" s="1178" t="s">
        <v>267</v>
      </c>
      <c r="L1145" s="1178" t="s">
        <v>211</v>
      </c>
      <c r="M1145" s="1369"/>
      <c r="N1145" s="1178" t="s">
        <v>20244</v>
      </c>
      <c r="O1145" s="1178">
        <v>6</v>
      </c>
      <c r="P1145" s="1178">
        <v>13</v>
      </c>
    </row>
    <row r="1146" spans="1:16">
      <c r="A1146" s="1178" t="s">
        <v>20805</v>
      </c>
      <c r="B1146" s="1371" t="str">
        <f>HYPERLINK(IFERROR("#Main_Tariff!A"&amp;MATCH(Raeburn_Main_Tariff[[#This Row],[Product Code]],Main_Tariff!I:I,0),"#Main_Tariff!A"&amp;MATCH("*"&amp;RIGHT(A1146,8)&amp;"*",Main_Tariff!A:A,0)),Raeburn_Main_Tariff[[#This Row],[PRODUCER]])</f>
        <v>Domaine Jean Fournier</v>
      </c>
      <c r="C1146" s="1178" t="s">
        <v>20812</v>
      </c>
      <c r="D1146" s="1178" t="s">
        <v>897</v>
      </c>
      <c r="E1146" s="1179">
        <v>2020</v>
      </c>
      <c r="F1146" s="1282" t="s">
        <v>20220</v>
      </c>
      <c r="G1146" s="1368">
        <v>52.5</v>
      </c>
      <c r="H1146" s="1178" t="s">
        <v>20221</v>
      </c>
      <c r="I1146" s="1178" t="s">
        <v>4869</v>
      </c>
      <c r="J1146" s="1178" t="s">
        <v>662</v>
      </c>
      <c r="K1146" s="1178" t="s">
        <v>267</v>
      </c>
      <c r="L1146" s="1178" t="s">
        <v>211</v>
      </c>
      <c r="M1146" s="1369"/>
      <c r="N1146" s="1178" t="s">
        <v>20244</v>
      </c>
      <c r="O1146" s="1178">
        <v>6</v>
      </c>
      <c r="P1146" s="1178">
        <v>14</v>
      </c>
    </row>
    <row r="1147" spans="1:16">
      <c r="A1147" s="1178" t="s">
        <v>20805</v>
      </c>
      <c r="B1147" s="1371" t="str">
        <f>HYPERLINK(IFERROR("#Main_Tariff!A"&amp;MATCH(Raeburn_Main_Tariff[[#This Row],[Product Code]],Main_Tariff!I:I,0),"#Main_Tariff!A"&amp;MATCH("*"&amp;RIGHT(A1147,8)&amp;"*",Main_Tariff!A:A,0)),Raeburn_Main_Tariff[[#This Row],[PRODUCER]])</f>
        <v>Domaine Jean Fournier</v>
      </c>
      <c r="C1147" s="1178" t="s">
        <v>20812</v>
      </c>
      <c r="D1147" s="1178" t="s">
        <v>897</v>
      </c>
      <c r="E1147" s="1179">
        <v>2019</v>
      </c>
      <c r="F1147" s="1282" t="s">
        <v>20220</v>
      </c>
      <c r="G1147" s="1368">
        <v>49.95</v>
      </c>
      <c r="H1147" s="1178" t="s">
        <v>20221</v>
      </c>
      <c r="I1147" s="1178" t="s">
        <v>4871</v>
      </c>
      <c r="J1147" s="1178" t="s">
        <v>662</v>
      </c>
      <c r="K1147" s="1178" t="s">
        <v>267</v>
      </c>
      <c r="L1147" s="1178" t="s">
        <v>211</v>
      </c>
      <c r="M1147" s="1369"/>
      <c r="N1147" s="1178" t="s">
        <v>20244</v>
      </c>
      <c r="O1147" s="1178">
        <v>6</v>
      </c>
      <c r="P1147" s="1178">
        <v>13.5</v>
      </c>
    </row>
    <row r="1148" spans="1:16">
      <c r="A1148" s="1178" t="s">
        <v>20805</v>
      </c>
      <c r="B1148" s="1371" t="str">
        <f>HYPERLINK(IFERROR("#Main_Tariff!A"&amp;MATCH(Raeburn_Main_Tariff[[#This Row],[Product Code]],Main_Tariff!I:I,0),"#Main_Tariff!A"&amp;MATCH("*"&amp;RIGHT(A1148,8)&amp;"*",Main_Tariff!A:A,0)),Raeburn_Main_Tariff[[#This Row],[PRODUCER]])</f>
        <v>Domaine Jean Fournier</v>
      </c>
      <c r="C1148" s="1178" t="s">
        <v>20812</v>
      </c>
      <c r="D1148" s="1178" t="s">
        <v>897</v>
      </c>
      <c r="E1148" s="1179">
        <v>2018</v>
      </c>
      <c r="F1148" s="1282" t="s">
        <v>20220</v>
      </c>
      <c r="G1148" s="1368">
        <v>48.95</v>
      </c>
      <c r="H1148" s="1178" t="s">
        <v>20221</v>
      </c>
      <c r="I1148" s="1178" t="s">
        <v>4872</v>
      </c>
      <c r="J1148" s="1178" t="s">
        <v>662</v>
      </c>
      <c r="K1148" s="1178" t="s">
        <v>267</v>
      </c>
      <c r="L1148" s="1178" t="s">
        <v>211</v>
      </c>
      <c r="M1148" s="1369"/>
      <c r="N1148" s="1178"/>
      <c r="O1148" s="1178">
        <v>6</v>
      </c>
      <c r="P1148" s="1178">
        <v>13.05</v>
      </c>
    </row>
    <row r="1149" spans="1:16">
      <c r="A1149" s="1178" t="s">
        <v>20805</v>
      </c>
      <c r="B1149" s="1371" t="str">
        <f>HYPERLINK(IFERROR("#Main_Tariff!A"&amp;MATCH(Raeburn_Main_Tariff[[#This Row],[Product Code]],Main_Tariff!I:I,0),"#Main_Tariff!A"&amp;MATCH("*"&amp;RIGHT(A1149,8)&amp;"*",Main_Tariff!A:A,0)),Raeburn_Main_Tariff[[#This Row],[PRODUCER]])</f>
        <v>Domaine Jean Fournier</v>
      </c>
      <c r="C1149" s="1178" t="s">
        <v>20812</v>
      </c>
      <c r="D1149" s="1178" t="s">
        <v>897</v>
      </c>
      <c r="E1149" s="1179">
        <v>2017</v>
      </c>
      <c r="F1149" s="1282" t="s">
        <v>20220</v>
      </c>
      <c r="G1149" s="1368">
        <v>47.5</v>
      </c>
      <c r="H1149" s="1178" t="s">
        <v>20221</v>
      </c>
      <c r="I1149" s="1178" t="s">
        <v>4873</v>
      </c>
      <c r="J1149" s="1178" t="s">
        <v>662</v>
      </c>
      <c r="K1149" s="1178" t="s">
        <v>267</v>
      </c>
      <c r="L1149" s="1178" t="s">
        <v>211</v>
      </c>
      <c r="M1149" s="1369"/>
      <c r="N1149" s="1178"/>
      <c r="O1149" s="1178">
        <v>6</v>
      </c>
      <c r="P1149" s="1178">
        <v>13.5</v>
      </c>
    </row>
    <row r="1150" spans="1:16">
      <c r="A1150" s="1178" t="s">
        <v>20805</v>
      </c>
      <c r="B1150" s="1371" t="str">
        <f>HYPERLINK(IFERROR("#Main_Tariff!A"&amp;MATCH(Raeburn_Main_Tariff[[#This Row],[Product Code]],Main_Tariff!I:I,0),"#Main_Tariff!A"&amp;MATCH("*"&amp;RIGHT(A1150,8)&amp;"*",Main_Tariff!A:A,0)),Raeburn_Main_Tariff[[#This Row],[PRODUCER]])</f>
        <v>Domaine Jean Fournier</v>
      </c>
      <c r="C1150" s="1178" t="s">
        <v>20812</v>
      </c>
      <c r="D1150" s="1178" t="s">
        <v>897</v>
      </c>
      <c r="E1150" s="1179">
        <v>2016</v>
      </c>
      <c r="F1150" s="1282" t="s">
        <v>20220</v>
      </c>
      <c r="G1150" s="1368">
        <v>45</v>
      </c>
      <c r="H1150" s="1178" t="s">
        <v>20221</v>
      </c>
      <c r="I1150" s="1178" t="s">
        <v>4875</v>
      </c>
      <c r="J1150" s="1178" t="s">
        <v>662</v>
      </c>
      <c r="K1150" s="1178" t="s">
        <v>267</v>
      </c>
      <c r="L1150" s="1178" t="s">
        <v>211</v>
      </c>
      <c r="M1150" s="1369"/>
      <c r="N1150" s="1178"/>
      <c r="O1150" s="1178">
        <v>6</v>
      </c>
      <c r="P1150" s="1178">
        <v>13.5</v>
      </c>
    </row>
    <row r="1151" spans="1:16">
      <c r="A1151" s="1178" t="s">
        <v>20805</v>
      </c>
      <c r="B1151" s="1371" t="str">
        <f>HYPERLINK(IFERROR("#Main_Tariff!A"&amp;MATCH(Raeburn_Main_Tariff[[#This Row],[Product Code]],Main_Tariff!I:I,0),"#Main_Tariff!A"&amp;MATCH("*"&amp;RIGHT(A1151,8)&amp;"*",Main_Tariff!A:A,0)),Raeburn_Main_Tariff[[#This Row],[PRODUCER]])</f>
        <v>Domaine Jean Fournier</v>
      </c>
      <c r="C1151" s="1178" t="s">
        <v>20812</v>
      </c>
      <c r="D1151" s="1178" t="s">
        <v>897</v>
      </c>
      <c r="E1151" s="1179">
        <v>2015</v>
      </c>
      <c r="F1151" s="1282" t="s">
        <v>20220</v>
      </c>
      <c r="G1151" s="1368">
        <v>45</v>
      </c>
      <c r="H1151" s="1178" t="s">
        <v>20221</v>
      </c>
      <c r="I1151" s="1178" t="s">
        <v>4877</v>
      </c>
      <c r="J1151" s="1178" t="s">
        <v>662</v>
      </c>
      <c r="K1151" s="1178" t="s">
        <v>267</v>
      </c>
      <c r="L1151" s="1178" t="s">
        <v>211</v>
      </c>
      <c r="M1151" s="1369"/>
      <c r="N1151" s="1178" t="s">
        <v>20244</v>
      </c>
      <c r="O1151" s="1178">
        <v>6</v>
      </c>
      <c r="P1151" s="1178">
        <v>13.5</v>
      </c>
    </row>
    <row r="1152" spans="1:16">
      <c r="A1152" s="1178" t="s">
        <v>20805</v>
      </c>
      <c r="B1152" s="1371" t="str">
        <f>HYPERLINK(IFERROR("#Main_Tariff!A"&amp;MATCH(Raeburn_Main_Tariff[[#This Row],[Product Code]],Main_Tariff!I:I,0),"#Main_Tariff!A"&amp;MATCH("*"&amp;RIGHT(A1152,8)&amp;"*",Main_Tariff!A:A,0)),Raeburn_Main_Tariff[[#This Row],[PRODUCER]])</f>
        <v>Domaine Jean Fournier</v>
      </c>
      <c r="C1152" s="1178" t="s">
        <v>20812</v>
      </c>
      <c r="D1152" s="1178" t="s">
        <v>897</v>
      </c>
      <c r="E1152" s="1179">
        <v>2014</v>
      </c>
      <c r="F1152" s="1282" t="s">
        <v>20220</v>
      </c>
      <c r="G1152" s="1368">
        <v>43.5</v>
      </c>
      <c r="H1152" s="1178" t="s">
        <v>20221</v>
      </c>
      <c r="I1152" s="1178" t="s">
        <v>4879</v>
      </c>
      <c r="J1152" s="1178" t="s">
        <v>662</v>
      </c>
      <c r="K1152" s="1178" t="s">
        <v>267</v>
      </c>
      <c r="L1152" s="1178" t="s">
        <v>211</v>
      </c>
      <c r="M1152" s="1369"/>
      <c r="N1152" s="1178" t="s">
        <v>20244</v>
      </c>
      <c r="O1152" s="1178">
        <v>6</v>
      </c>
      <c r="P1152" s="1178">
        <v>13.5</v>
      </c>
    </row>
    <row r="1153" spans="1:16">
      <c r="A1153" s="1178" t="s">
        <v>20805</v>
      </c>
      <c r="B1153" s="1371" t="str">
        <f>HYPERLINK(IFERROR("#Main_Tariff!A"&amp;MATCH(Raeburn_Main_Tariff[[#This Row],[Product Code]],Main_Tariff!I:I,0),"#Main_Tariff!A"&amp;MATCH("*"&amp;RIGHT(A1153,8)&amp;"*",Main_Tariff!A:A,0)),Raeburn_Main_Tariff[[#This Row],[PRODUCER]])</f>
        <v>Domaine Jean Fournier</v>
      </c>
      <c r="C1153" s="1178" t="s">
        <v>20812</v>
      </c>
      <c r="D1153" s="1178" t="s">
        <v>897</v>
      </c>
      <c r="E1153" s="1179">
        <v>2013</v>
      </c>
      <c r="F1153" s="1282" t="s">
        <v>20220</v>
      </c>
      <c r="G1153" s="1368">
        <v>41</v>
      </c>
      <c r="H1153" s="1178" t="s">
        <v>20224</v>
      </c>
      <c r="I1153" s="1178" t="s">
        <v>4880</v>
      </c>
      <c r="J1153" s="1178" t="s">
        <v>662</v>
      </c>
      <c r="K1153" s="1178" t="s">
        <v>267</v>
      </c>
      <c r="L1153" s="1178" t="s">
        <v>211</v>
      </c>
      <c r="M1153" s="1369"/>
      <c r="N1153" s="1178" t="s">
        <v>20244</v>
      </c>
      <c r="O1153" s="1178">
        <v>6</v>
      </c>
      <c r="P1153" s="1178">
        <v>13.5</v>
      </c>
    </row>
    <row r="1154" spans="1:16">
      <c r="A1154" s="1178" t="s">
        <v>20805</v>
      </c>
      <c r="B1154" s="1371" t="str">
        <f>HYPERLINK(IFERROR("#Main_Tariff!A"&amp;MATCH(Raeburn_Main_Tariff[[#This Row],[Product Code]],Main_Tariff!I:I,0),"#Main_Tariff!A"&amp;MATCH("*"&amp;RIGHT(A1154,8)&amp;"*",Main_Tariff!A:A,0)),Raeburn_Main_Tariff[[#This Row],[PRODUCER]])</f>
        <v>Domaine Jean Fournier</v>
      </c>
      <c r="C1154" s="1178" t="s">
        <v>20812</v>
      </c>
      <c r="D1154" s="1178" t="s">
        <v>897</v>
      </c>
      <c r="E1154" s="1179">
        <v>2012</v>
      </c>
      <c r="F1154" s="1282" t="s">
        <v>20220</v>
      </c>
      <c r="G1154" s="1368">
        <v>39.950000000000003</v>
      </c>
      <c r="H1154" s="1178" t="s">
        <v>20221</v>
      </c>
      <c r="I1154" s="1178" t="s">
        <v>4881</v>
      </c>
      <c r="J1154" s="1178" t="s">
        <v>662</v>
      </c>
      <c r="K1154" s="1178" t="s">
        <v>267</v>
      </c>
      <c r="L1154" s="1178" t="s">
        <v>211</v>
      </c>
      <c r="M1154" s="1369"/>
      <c r="N1154" s="1178" t="s">
        <v>20244</v>
      </c>
      <c r="O1154" s="1178">
        <v>6</v>
      </c>
      <c r="P1154" s="1178">
        <v>13.5</v>
      </c>
    </row>
    <row r="1155" spans="1:16">
      <c r="A1155" s="1178" t="s">
        <v>20805</v>
      </c>
      <c r="B1155" s="1371" t="str">
        <f>HYPERLINK(IFERROR("#Main_Tariff!A"&amp;MATCH(Raeburn_Main_Tariff[[#This Row],[Product Code]],Main_Tariff!I:I,0),"#Main_Tariff!A"&amp;MATCH("*"&amp;RIGHT(A1155,8)&amp;"*",Main_Tariff!A:A,0)),Raeburn_Main_Tariff[[#This Row],[PRODUCER]])</f>
        <v>Domaine Jean Fournier</v>
      </c>
      <c r="C1155" s="1178" t="s">
        <v>20812</v>
      </c>
      <c r="D1155" s="1178" t="s">
        <v>897</v>
      </c>
      <c r="E1155" s="1179">
        <v>2011</v>
      </c>
      <c r="F1155" s="1282" t="s">
        <v>20220</v>
      </c>
      <c r="G1155" s="1368">
        <v>40.950000000000003</v>
      </c>
      <c r="H1155" s="1178" t="s">
        <v>20221</v>
      </c>
      <c r="I1155" s="1178" t="s">
        <v>4882</v>
      </c>
      <c r="J1155" s="1178" t="s">
        <v>662</v>
      </c>
      <c r="K1155" s="1178" t="s">
        <v>267</v>
      </c>
      <c r="L1155" s="1178" t="s">
        <v>211</v>
      </c>
      <c r="M1155" s="1369"/>
      <c r="N1155" s="1178"/>
      <c r="O1155" s="1178">
        <v>6</v>
      </c>
      <c r="P1155" s="1178">
        <v>13.5</v>
      </c>
    </row>
    <row r="1156" spans="1:16">
      <c r="A1156" s="1178" t="s">
        <v>20805</v>
      </c>
      <c r="B1156" s="1371" t="str">
        <f>HYPERLINK(IFERROR("#Main_Tariff!A"&amp;MATCH(Raeburn_Main_Tariff[[#This Row],[Product Code]],Main_Tariff!I:I,0),"#Main_Tariff!A"&amp;MATCH("*"&amp;RIGHT(A1156,8)&amp;"*",Main_Tariff!A:A,0)),Raeburn_Main_Tariff[[#This Row],[PRODUCER]])</f>
        <v>Domaine Jean Fournier</v>
      </c>
      <c r="C1156" s="1178" t="s">
        <v>20813</v>
      </c>
      <c r="D1156" s="1178" t="s">
        <v>897</v>
      </c>
      <c r="E1156" s="1179">
        <v>2022</v>
      </c>
      <c r="F1156" s="1282" t="s">
        <v>20240</v>
      </c>
      <c r="G1156" s="1368">
        <v>113.5</v>
      </c>
      <c r="H1156" s="1178" t="s">
        <v>20224</v>
      </c>
      <c r="I1156" s="1178" t="s">
        <v>4884</v>
      </c>
      <c r="J1156" s="1178" t="s">
        <v>662</v>
      </c>
      <c r="K1156" s="1178" t="s">
        <v>267</v>
      </c>
      <c r="L1156" s="1178" t="s">
        <v>211</v>
      </c>
      <c r="M1156" s="1369"/>
      <c r="N1156" s="1178" t="s">
        <v>20244</v>
      </c>
      <c r="O1156" s="1178">
        <v>6</v>
      </c>
      <c r="P1156" s="1178">
        <v>13.5</v>
      </c>
    </row>
    <row r="1157" spans="1:16">
      <c r="A1157" s="1178" t="s">
        <v>20805</v>
      </c>
      <c r="B1157" s="1371" t="str">
        <f>HYPERLINK(IFERROR("#Main_Tariff!A"&amp;MATCH(Raeburn_Main_Tariff[[#This Row],[Product Code]],Main_Tariff!I:I,0),"#Main_Tariff!A"&amp;MATCH("*"&amp;RIGHT(A1157,8)&amp;"*",Main_Tariff!A:A,0)),Raeburn_Main_Tariff[[#This Row],[PRODUCER]])</f>
        <v>Domaine Jean Fournier</v>
      </c>
      <c r="C1157" s="1178" t="s">
        <v>20813</v>
      </c>
      <c r="D1157" s="1178" t="s">
        <v>897</v>
      </c>
      <c r="E1157" s="1179">
        <v>2021</v>
      </c>
      <c r="F1157" s="1282" t="s">
        <v>20240</v>
      </c>
      <c r="G1157" s="1368">
        <v>113</v>
      </c>
      <c r="H1157" s="1178" t="s">
        <v>20224</v>
      </c>
      <c r="I1157" s="1178" t="s">
        <v>4885</v>
      </c>
      <c r="J1157" s="1178" t="s">
        <v>662</v>
      </c>
      <c r="K1157" s="1178" t="s">
        <v>267</v>
      </c>
      <c r="L1157" s="1178" t="s">
        <v>211</v>
      </c>
      <c r="M1157" s="1369"/>
      <c r="N1157" s="1178" t="s">
        <v>20244</v>
      </c>
      <c r="O1157" s="1178">
        <v>3</v>
      </c>
      <c r="P1157" s="1178">
        <v>13</v>
      </c>
    </row>
    <row r="1158" spans="1:16">
      <c r="A1158" s="1178" t="s">
        <v>20805</v>
      </c>
      <c r="B1158" s="1371" t="str">
        <f>HYPERLINK(IFERROR("#Main_Tariff!A"&amp;MATCH(Raeburn_Main_Tariff[[#This Row],[Product Code]],Main_Tariff!I:I,0),"#Main_Tariff!A"&amp;MATCH("*"&amp;RIGHT(A1158,8)&amp;"*",Main_Tariff!A:A,0)),Raeburn_Main_Tariff[[#This Row],[PRODUCER]])</f>
        <v>Domaine Jean Fournier</v>
      </c>
      <c r="C1158" s="1178" t="s">
        <v>20813</v>
      </c>
      <c r="D1158" s="1178" t="s">
        <v>897</v>
      </c>
      <c r="E1158" s="1179">
        <v>2020</v>
      </c>
      <c r="F1158" s="1282" t="s">
        <v>20240</v>
      </c>
      <c r="G1158" s="1368">
        <v>109</v>
      </c>
      <c r="H1158" s="1178" t="s">
        <v>20221</v>
      </c>
      <c r="I1158" s="1178" t="s">
        <v>4886</v>
      </c>
      <c r="J1158" s="1178" t="s">
        <v>662</v>
      </c>
      <c r="K1158" s="1178" t="s">
        <v>267</v>
      </c>
      <c r="L1158" s="1178" t="s">
        <v>211</v>
      </c>
      <c r="M1158" s="1369"/>
      <c r="N1158" s="1178" t="s">
        <v>20244</v>
      </c>
      <c r="O1158" s="1178">
        <v>3</v>
      </c>
      <c r="P1158" s="1178">
        <v>14</v>
      </c>
    </row>
    <row r="1159" spans="1:16">
      <c r="A1159" s="1178" t="s">
        <v>20805</v>
      </c>
      <c r="B1159" s="1371" t="str">
        <f>HYPERLINK(IFERROR("#Main_Tariff!A"&amp;MATCH(Raeburn_Main_Tariff[[#This Row],[Product Code]],Main_Tariff!I:I,0),"#Main_Tariff!A"&amp;MATCH("*"&amp;RIGHT(A1159,8)&amp;"*",Main_Tariff!A:A,0)),Raeburn_Main_Tariff[[#This Row],[PRODUCER]])</f>
        <v>Domaine Jean Fournier</v>
      </c>
      <c r="C1159" s="1178" t="s">
        <v>20813</v>
      </c>
      <c r="D1159" s="1178" t="s">
        <v>897</v>
      </c>
      <c r="E1159" s="1179">
        <v>2019</v>
      </c>
      <c r="F1159" s="1282" t="s">
        <v>20240</v>
      </c>
      <c r="G1159" s="1368">
        <v>105</v>
      </c>
      <c r="H1159" s="1178" t="s">
        <v>20221</v>
      </c>
      <c r="I1159" s="1178" t="s">
        <v>4887</v>
      </c>
      <c r="J1159" s="1178" t="s">
        <v>662</v>
      </c>
      <c r="K1159" s="1178" t="s">
        <v>267</v>
      </c>
      <c r="L1159" s="1178" t="s">
        <v>211</v>
      </c>
      <c r="M1159" s="1369"/>
      <c r="N1159" s="1178" t="s">
        <v>20244</v>
      </c>
      <c r="O1159" s="1178">
        <v>6</v>
      </c>
      <c r="P1159" s="1178">
        <v>13.5</v>
      </c>
    </row>
    <row r="1160" spans="1:16">
      <c r="A1160" s="1178" t="s">
        <v>20814</v>
      </c>
      <c r="B1160" s="1371" t="str">
        <f>HYPERLINK(IFERROR("#Main_Tariff!A"&amp;MATCH(Raeburn_Main_Tariff[[#This Row],[Product Code]],Main_Tariff!I:I,0),"#Main_Tariff!A"&amp;MATCH("*"&amp;RIGHT(A1160,8)&amp;"*",Main_Tariff!A:A,0)),Raeburn_Main_Tariff[[#This Row],[PRODUCER]])</f>
        <v>Domaine Henri Gouges</v>
      </c>
      <c r="C1160" s="1178" t="s">
        <v>20815</v>
      </c>
      <c r="D1160" s="1178" t="s">
        <v>1129</v>
      </c>
      <c r="E1160" s="1179">
        <v>2022</v>
      </c>
      <c r="F1160" s="1282" t="s">
        <v>20220</v>
      </c>
      <c r="G1160" s="1368">
        <v>82.5</v>
      </c>
      <c r="H1160" s="1178" t="s">
        <v>20221</v>
      </c>
      <c r="I1160" s="1178" t="s">
        <v>4899</v>
      </c>
      <c r="J1160" s="1178" t="s">
        <v>662</v>
      </c>
      <c r="K1160" s="1178" t="s">
        <v>267</v>
      </c>
      <c r="L1160" s="1178" t="s">
        <v>211</v>
      </c>
      <c r="M1160" s="1369" t="s">
        <v>23297</v>
      </c>
      <c r="N1160" s="1178"/>
      <c r="O1160" s="1178">
        <v>6</v>
      </c>
      <c r="P1160" s="1178">
        <v>13.5</v>
      </c>
    </row>
    <row r="1161" spans="1:16">
      <c r="A1161" s="1178" t="s">
        <v>20814</v>
      </c>
      <c r="B1161" s="1371" t="str">
        <f>HYPERLINK(IFERROR("#Main_Tariff!A"&amp;MATCH(Raeburn_Main_Tariff[[#This Row],[Product Code]],Main_Tariff!I:I,0),"#Main_Tariff!A"&amp;MATCH("*"&amp;RIGHT(A1161,8)&amp;"*",Main_Tariff!A:A,0)),Raeburn_Main_Tariff[[#This Row],[PRODUCER]])</f>
        <v>Domaine Henri Gouges</v>
      </c>
      <c r="C1161" s="1178" t="s">
        <v>20815</v>
      </c>
      <c r="D1161" s="1178" t="s">
        <v>1129</v>
      </c>
      <c r="E1161" s="1179">
        <v>2021</v>
      </c>
      <c r="F1161" s="1282" t="s">
        <v>20220</v>
      </c>
      <c r="G1161" s="1368">
        <v>82.5</v>
      </c>
      <c r="H1161" s="1178" t="s">
        <v>20224</v>
      </c>
      <c r="I1161" s="1178" t="s">
        <v>4901</v>
      </c>
      <c r="J1161" s="1178" t="s">
        <v>662</v>
      </c>
      <c r="K1161" s="1178" t="s">
        <v>267</v>
      </c>
      <c r="L1161" s="1178" t="s">
        <v>211</v>
      </c>
      <c r="M1161" s="1369" t="s">
        <v>23297</v>
      </c>
      <c r="N1161" s="1178"/>
      <c r="O1161" s="1178">
        <v>6</v>
      </c>
      <c r="P1161" s="1178">
        <v>13.5</v>
      </c>
    </row>
    <row r="1162" spans="1:16">
      <c r="A1162" s="1178" t="s">
        <v>20814</v>
      </c>
      <c r="B1162" s="1371" t="str">
        <f>HYPERLINK(IFERROR("#Main_Tariff!A"&amp;MATCH(Raeburn_Main_Tariff[[#This Row],[Product Code]],Main_Tariff!I:I,0),"#Main_Tariff!A"&amp;MATCH("*"&amp;RIGHT(A1162,8)&amp;"*",Main_Tariff!A:A,0)),Raeburn_Main_Tariff[[#This Row],[PRODUCER]])</f>
        <v>Domaine Henri Gouges</v>
      </c>
      <c r="C1162" s="1178" t="s">
        <v>20815</v>
      </c>
      <c r="D1162" s="1178" t="s">
        <v>1129</v>
      </c>
      <c r="E1162" s="1179">
        <v>2020</v>
      </c>
      <c r="F1162" s="1282" t="s">
        <v>20220</v>
      </c>
      <c r="G1162" s="1368">
        <v>67.5</v>
      </c>
      <c r="H1162" s="1178" t="s">
        <v>20224</v>
      </c>
      <c r="I1162" s="1178" t="s">
        <v>4903</v>
      </c>
      <c r="J1162" s="1178" t="s">
        <v>662</v>
      </c>
      <c r="K1162" s="1178" t="s">
        <v>267</v>
      </c>
      <c r="L1162" s="1178" t="s">
        <v>211</v>
      </c>
      <c r="M1162" s="1369" t="s">
        <v>23297</v>
      </c>
      <c r="N1162" s="1178"/>
      <c r="O1162" s="1178">
        <v>6</v>
      </c>
      <c r="P1162" s="1178">
        <v>15</v>
      </c>
    </row>
    <row r="1163" spans="1:16">
      <c r="A1163" s="1178" t="s">
        <v>20814</v>
      </c>
      <c r="B1163" s="1371" t="str">
        <f>HYPERLINK(IFERROR("#Main_Tariff!A"&amp;MATCH(Raeburn_Main_Tariff[[#This Row],[Product Code]],Main_Tariff!I:I,0),"#Main_Tariff!A"&amp;MATCH("*"&amp;RIGHT(A1163,8)&amp;"*",Main_Tariff!A:A,0)),Raeburn_Main_Tariff[[#This Row],[PRODUCER]])</f>
        <v>Domaine Henri Gouges</v>
      </c>
      <c r="C1163" s="1178" t="s">
        <v>20815</v>
      </c>
      <c r="D1163" s="1178" t="s">
        <v>1129</v>
      </c>
      <c r="E1163" s="1179">
        <v>2019</v>
      </c>
      <c r="F1163" s="1282" t="s">
        <v>20220</v>
      </c>
      <c r="G1163" s="1368">
        <v>67.5</v>
      </c>
      <c r="H1163" s="1178" t="s">
        <v>20224</v>
      </c>
      <c r="I1163" s="1178" t="s">
        <v>4904</v>
      </c>
      <c r="J1163" s="1178" t="s">
        <v>662</v>
      </c>
      <c r="K1163" s="1178" t="s">
        <v>267</v>
      </c>
      <c r="L1163" s="1178" t="s">
        <v>211</v>
      </c>
      <c r="M1163" s="1369" t="s">
        <v>23297</v>
      </c>
      <c r="N1163" s="1178"/>
      <c r="O1163" s="1178">
        <v>6</v>
      </c>
      <c r="P1163" s="1178">
        <v>14</v>
      </c>
    </row>
    <row r="1164" spans="1:16">
      <c r="A1164" s="1178" t="s">
        <v>20814</v>
      </c>
      <c r="B1164" s="1371" t="str">
        <f>HYPERLINK(IFERROR("#Main_Tariff!A"&amp;MATCH(Raeburn_Main_Tariff[[#This Row],[Product Code]],Main_Tariff!I:I,0),"#Main_Tariff!A"&amp;MATCH("*"&amp;RIGHT(A1164,8)&amp;"*",Main_Tariff!A:A,0)),Raeburn_Main_Tariff[[#This Row],[PRODUCER]])</f>
        <v>Domaine Henri Gouges</v>
      </c>
      <c r="C1164" s="1178" t="s">
        <v>20815</v>
      </c>
      <c r="D1164" s="1178" t="s">
        <v>1129</v>
      </c>
      <c r="E1164" s="1179">
        <v>2018</v>
      </c>
      <c r="F1164" s="1282" t="s">
        <v>20220</v>
      </c>
      <c r="G1164" s="1368">
        <v>67.5</v>
      </c>
      <c r="H1164" s="1178" t="s">
        <v>20224</v>
      </c>
      <c r="I1164" s="1178" t="s">
        <v>4906</v>
      </c>
      <c r="J1164" s="1178" t="s">
        <v>662</v>
      </c>
      <c r="K1164" s="1178" t="s">
        <v>267</v>
      </c>
      <c r="L1164" s="1178" t="s">
        <v>211</v>
      </c>
      <c r="M1164" s="1369" t="s">
        <v>23297</v>
      </c>
      <c r="N1164" s="1178"/>
      <c r="O1164" s="1178">
        <v>6</v>
      </c>
      <c r="P1164" s="1178">
        <v>13.5</v>
      </c>
    </row>
    <row r="1165" spans="1:16">
      <c r="A1165" s="1178" t="s">
        <v>20814</v>
      </c>
      <c r="B1165" s="1371" t="str">
        <f>HYPERLINK(IFERROR("#Main_Tariff!A"&amp;MATCH(Raeburn_Main_Tariff[[#This Row],[Product Code]],Main_Tariff!I:I,0),"#Main_Tariff!A"&amp;MATCH("*"&amp;RIGHT(A1165,8)&amp;"*",Main_Tariff!A:A,0)),Raeburn_Main_Tariff[[#This Row],[PRODUCER]])</f>
        <v>Domaine Henri Gouges</v>
      </c>
      <c r="C1165" s="1178" t="s">
        <v>20815</v>
      </c>
      <c r="D1165" s="1178" t="s">
        <v>1129</v>
      </c>
      <c r="E1165" s="1179">
        <v>2017</v>
      </c>
      <c r="F1165" s="1282" t="s">
        <v>20220</v>
      </c>
      <c r="G1165" s="1368">
        <v>67.5</v>
      </c>
      <c r="H1165" s="1178" t="s">
        <v>20221</v>
      </c>
      <c r="I1165" s="1178" t="s">
        <v>4908</v>
      </c>
      <c r="J1165" s="1178" t="s">
        <v>662</v>
      </c>
      <c r="K1165" s="1178" t="s">
        <v>267</v>
      </c>
      <c r="L1165" s="1178" t="s">
        <v>211</v>
      </c>
      <c r="M1165" s="1369" t="s">
        <v>23297</v>
      </c>
      <c r="N1165" s="1178"/>
      <c r="O1165" s="1178">
        <v>6</v>
      </c>
      <c r="P1165" s="1178">
        <v>13</v>
      </c>
    </row>
    <row r="1166" spans="1:16">
      <c r="A1166" s="1178" t="s">
        <v>20814</v>
      </c>
      <c r="B1166" s="1371" t="str">
        <f>HYPERLINK(IFERROR("#Main_Tariff!A"&amp;MATCH(Raeburn_Main_Tariff[[#This Row],[Product Code]],Main_Tariff!I:I,0),"#Main_Tariff!A"&amp;MATCH("*"&amp;RIGHT(A1166,8)&amp;"*",Main_Tariff!A:A,0)),Raeburn_Main_Tariff[[#This Row],[PRODUCER]])</f>
        <v>Domaine Henri Gouges</v>
      </c>
      <c r="C1166" s="1178" t="s">
        <v>20815</v>
      </c>
      <c r="D1166" s="1178" t="s">
        <v>1129</v>
      </c>
      <c r="E1166" s="1179">
        <v>2016</v>
      </c>
      <c r="F1166" s="1282" t="s">
        <v>20220</v>
      </c>
      <c r="G1166" s="1368">
        <v>67.5</v>
      </c>
      <c r="H1166" s="1178" t="s">
        <v>20224</v>
      </c>
      <c r="I1166" s="1178" t="s">
        <v>4910</v>
      </c>
      <c r="J1166" s="1178" t="s">
        <v>662</v>
      </c>
      <c r="K1166" s="1178" t="s">
        <v>267</v>
      </c>
      <c r="L1166" s="1178" t="s">
        <v>211</v>
      </c>
      <c r="M1166" s="1369" t="s">
        <v>23297</v>
      </c>
      <c r="N1166" s="1178"/>
      <c r="O1166" s="1178">
        <v>6</v>
      </c>
      <c r="P1166" s="1178">
        <v>13</v>
      </c>
    </row>
    <row r="1167" spans="1:16">
      <c r="A1167" s="1178" t="s">
        <v>20814</v>
      </c>
      <c r="B1167" s="1371" t="str">
        <f>HYPERLINK(IFERROR("#Main_Tariff!A"&amp;MATCH(Raeburn_Main_Tariff[[#This Row],[Product Code]],Main_Tariff!I:I,0),"#Main_Tariff!A"&amp;MATCH("*"&amp;RIGHT(A1167,8)&amp;"*",Main_Tariff!A:A,0)),Raeburn_Main_Tariff[[#This Row],[PRODUCER]])</f>
        <v>Domaine Henri Gouges</v>
      </c>
      <c r="C1167" s="1178" t="s">
        <v>20815</v>
      </c>
      <c r="D1167" s="1178" t="s">
        <v>1129</v>
      </c>
      <c r="E1167" s="1179">
        <v>2015</v>
      </c>
      <c r="F1167" s="1282" t="s">
        <v>20220</v>
      </c>
      <c r="G1167" s="1368">
        <v>65.5</v>
      </c>
      <c r="H1167" s="1178" t="s">
        <v>20224</v>
      </c>
      <c r="I1167" s="1178" t="s">
        <v>4912</v>
      </c>
      <c r="J1167" s="1178" t="s">
        <v>662</v>
      </c>
      <c r="K1167" s="1178" t="s">
        <v>267</v>
      </c>
      <c r="L1167" s="1178" t="s">
        <v>211</v>
      </c>
      <c r="M1167" s="1369" t="s">
        <v>23297</v>
      </c>
      <c r="N1167" s="1178"/>
      <c r="O1167" s="1178">
        <v>6</v>
      </c>
      <c r="P1167" s="1178">
        <v>13</v>
      </c>
    </row>
    <row r="1168" spans="1:16">
      <c r="A1168" s="1178" t="s">
        <v>20814</v>
      </c>
      <c r="B1168" s="1371" t="str">
        <f>HYPERLINK(IFERROR("#Main_Tariff!A"&amp;MATCH(Raeburn_Main_Tariff[[#This Row],[Product Code]],Main_Tariff!I:I,0),"#Main_Tariff!A"&amp;MATCH("*"&amp;RIGHT(A1168,8)&amp;"*",Main_Tariff!A:A,0)),Raeburn_Main_Tariff[[#This Row],[PRODUCER]])</f>
        <v>Domaine Henri Gouges</v>
      </c>
      <c r="C1168" s="1178" t="s">
        <v>20815</v>
      </c>
      <c r="D1168" s="1178" t="s">
        <v>1129</v>
      </c>
      <c r="E1168" s="1179">
        <v>2013</v>
      </c>
      <c r="F1168" s="1282" t="s">
        <v>20220</v>
      </c>
      <c r="G1168" s="1368">
        <v>61.5</v>
      </c>
      <c r="H1168" s="1178" t="s">
        <v>20224</v>
      </c>
      <c r="I1168" s="1178" t="s">
        <v>4913</v>
      </c>
      <c r="J1168" s="1178" t="s">
        <v>662</v>
      </c>
      <c r="K1168" s="1178" t="s">
        <v>267</v>
      </c>
      <c r="L1168" s="1178" t="s">
        <v>211</v>
      </c>
      <c r="M1168" s="1369" t="s">
        <v>23297</v>
      </c>
      <c r="N1168" s="1178"/>
      <c r="O1168" s="1178">
        <v>12</v>
      </c>
      <c r="P1168" s="1178">
        <v>13</v>
      </c>
    </row>
    <row r="1169" spans="1:16">
      <c r="A1169" s="1178" t="s">
        <v>20814</v>
      </c>
      <c r="B1169" s="1371" t="str">
        <f>HYPERLINK(IFERROR("#Main_Tariff!A"&amp;MATCH(Raeburn_Main_Tariff[[#This Row],[Product Code]],Main_Tariff!I:I,0),"#Main_Tariff!A"&amp;MATCH("*"&amp;RIGHT(A1169,8)&amp;"*",Main_Tariff!A:A,0)),Raeburn_Main_Tariff[[#This Row],[PRODUCER]])</f>
        <v>Domaine Henri Gouges</v>
      </c>
      <c r="C1169" s="1178" t="s">
        <v>20815</v>
      </c>
      <c r="D1169" s="1178" t="s">
        <v>1129</v>
      </c>
      <c r="E1169" s="1179">
        <v>2012</v>
      </c>
      <c r="F1169" s="1282" t="s">
        <v>20220</v>
      </c>
      <c r="G1169" s="1368">
        <v>61.5</v>
      </c>
      <c r="H1169" s="1178" t="s">
        <v>20224</v>
      </c>
      <c r="I1169" s="1178" t="s">
        <v>4111</v>
      </c>
      <c r="J1169" s="1178" t="s">
        <v>662</v>
      </c>
      <c r="K1169" s="1178" t="s">
        <v>267</v>
      </c>
      <c r="L1169" s="1178" t="s">
        <v>211</v>
      </c>
      <c r="M1169" s="1369" t="s">
        <v>23297</v>
      </c>
      <c r="N1169" s="1178"/>
      <c r="O1169" s="1178">
        <v>6</v>
      </c>
      <c r="P1169" s="1178">
        <v>13</v>
      </c>
    </row>
    <row r="1170" spans="1:16">
      <c r="A1170" s="1178" t="s">
        <v>20814</v>
      </c>
      <c r="B1170" s="1371" t="str">
        <f>HYPERLINK(IFERROR("#Main_Tariff!A"&amp;MATCH(Raeburn_Main_Tariff[[#This Row],[Product Code]],Main_Tariff!I:I,0),"#Main_Tariff!A"&amp;MATCH("*"&amp;RIGHT(A1170,8)&amp;"*",Main_Tariff!A:A,0)),Raeburn_Main_Tariff[[#This Row],[PRODUCER]])</f>
        <v>Domaine Henri Gouges</v>
      </c>
      <c r="C1170" s="1178" t="s">
        <v>20815</v>
      </c>
      <c r="D1170" s="1178" t="s">
        <v>1129</v>
      </c>
      <c r="E1170" s="1179">
        <v>2011</v>
      </c>
      <c r="F1170" s="1282" t="s">
        <v>20220</v>
      </c>
      <c r="G1170" s="1368">
        <v>61.5</v>
      </c>
      <c r="H1170" s="1178" t="s">
        <v>20465</v>
      </c>
      <c r="I1170" s="1178" t="s">
        <v>4915</v>
      </c>
      <c r="J1170" s="1178" t="s">
        <v>662</v>
      </c>
      <c r="K1170" s="1178" t="s">
        <v>267</v>
      </c>
      <c r="L1170" s="1178" t="s">
        <v>211</v>
      </c>
      <c r="M1170" s="1369" t="s">
        <v>23297</v>
      </c>
      <c r="N1170" s="1178"/>
      <c r="O1170" s="1178">
        <v>12</v>
      </c>
      <c r="P1170" s="1178">
        <v>15</v>
      </c>
    </row>
    <row r="1171" spans="1:16">
      <c r="A1171" s="1178" t="s">
        <v>20814</v>
      </c>
      <c r="B1171" s="1371" t="str">
        <f>HYPERLINK(IFERROR("#Main_Tariff!A"&amp;MATCH(Raeburn_Main_Tariff[[#This Row],[Product Code]],Main_Tariff!I:I,0),"#Main_Tariff!A"&amp;MATCH("*"&amp;RIGHT(A1171,8)&amp;"*",Main_Tariff!A:A,0)),Raeburn_Main_Tariff[[#This Row],[PRODUCER]])</f>
        <v>Domaine Henri Gouges</v>
      </c>
      <c r="C1171" s="1178" t="s">
        <v>20756</v>
      </c>
      <c r="D1171" s="1178" t="s">
        <v>897</v>
      </c>
      <c r="E1171" s="1179">
        <v>2022</v>
      </c>
      <c r="F1171" s="1282" t="s">
        <v>20220</v>
      </c>
      <c r="G1171" s="1368">
        <v>49.25</v>
      </c>
      <c r="H1171" s="1178" t="s">
        <v>20221</v>
      </c>
      <c r="I1171" s="1178" t="s">
        <v>4919</v>
      </c>
      <c r="J1171" s="1178" t="s">
        <v>662</v>
      </c>
      <c r="K1171" s="1178" t="s">
        <v>267</v>
      </c>
      <c r="L1171" s="1178" t="s">
        <v>211</v>
      </c>
      <c r="M1171" s="1369"/>
      <c r="N1171" s="1178"/>
      <c r="O1171" s="1178">
        <v>6</v>
      </c>
      <c r="P1171" s="1178">
        <v>13.5</v>
      </c>
    </row>
    <row r="1172" spans="1:16">
      <c r="A1172" s="1178" t="s">
        <v>20814</v>
      </c>
      <c r="B1172" s="1371" t="str">
        <f>HYPERLINK(IFERROR("#Main_Tariff!A"&amp;MATCH(Raeburn_Main_Tariff[[#This Row],[Product Code]],Main_Tariff!I:I,0),"#Main_Tariff!A"&amp;MATCH("*"&amp;RIGHT(A1172,8)&amp;"*",Main_Tariff!A:A,0)),Raeburn_Main_Tariff[[#This Row],[PRODUCER]])</f>
        <v>Domaine Henri Gouges</v>
      </c>
      <c r="C1172" s="1178" t="s">
        <v>20756</v>
      </c>
      <c r="D1172" s="1178" t="s">
        <v>897</v>
      </c>
      <c r="E1172" s="1179">
        <v>2020</v>
      </c>
      <c r="F1172" s="1282" t="s">
        <v>20220</v>
      </c>
      <c r="G1172" s="1368">
        <v>45</v>
      </c>
      <c r="H1172" s="1178" t="s">
        <v>20221</v>
      </c>
      <c r="I1172" s="1178" t="s">
        <v>4921</v>
      </c>
      <c r="J1172" s="1178" t="s">
        <v>662</v>
      </c>
      <c r="K1172" s="1178" t="s">
        <v>267</v>
      </c>
      <c r="L1172" s="1178" t="s">
        <v>211</v>
      </c>
      <c r="M1172" s="1369"/>
      <c r="N1172" s="1178"/>
      <c r="O1172" s="1178">
        <v>6</v>
      </c>
      <c r="P1172" s="1178">
        <v>13.5</v>
      </c>
    </row>
    <row r="1173" spans="1:16">
      <c r="A1173" s="1178" t="s">
        <v>20814</v>
      </c>
      <c r="B1173" s="1371" t="str">
        <f>HYPERLINK(IFERROR("#Main_Tariff!A"&amp;MATCH(Raeburn_Main_Tariff[[#This Row],[Product Code]],Main_Tariff!I:I,0),"#Main_Tariff!A"&amp;MATCH("*"&amp;RIGHT(A1173,8)&amp;"*",Main_Tariff!A:A,0)),Raeburn_Main_Tariff[[#This Row],[PRODUCER]])</f>
        <v>Domaine Henri Gouges</v>
      </c>
      <c r="C1173" s="1178" t="s">
        <v>20756</v>
      </c>
      <c r="D1173" s="1178" t="s">
        <v>897</v>
      </c>
      <c r="E1173" s="1179">
        <v>2018</v>
      </c>
      <c r="F1173" s="1282" t="s">
        <v>20220</v>
      </c>
      <c r="G1173" s="1368">
        <v>41</v>
      </c>
      <c r="H1173" s="1178" t="s">
        <v>20221</v>
      </c>
      <c r="I1173" s="1178" t="s">
        <v>4923</v>
      </c>
      <c r="J1173" s="1178" t="s">
        <v>662</v>
      </c>
      <c r="K1173" s="1178" t="s">
        <v>267</v>
      </c>
      <c r="L1173" s="1178" t="s">
        <v>211</v>
      </c>
      <c r="M1173" s="1369"/>
      <c r="N1173" s="1178"/>
      <c r="O1173" s="1178">
        <v>6</v>
      </c>
      <c r="P1173" s="1178">
        <v>14</v>
      </c>
    </row>
    <row r="1174" spans="1:16">
      <c r="A1174" s="1178" t="s">
        <v>20814</v>
      </c>
      <c r="B1174" s="1371" t="str">
        <f>HYPERLINK(IFERROR("#Main_Tariff!A"&amp;MATCH(Raeburn_Main_Tariff[[#This Row],[Product Code]],Main_Tariff!I:I,0),"#Main_Tariff!A"&amp;MATCH("*"&amp;RIGHT(A1174,8)&amp;"*",Main_Tariff!A:A,0)),Raeburn_Main_Tariff[[#This Row],[PRODUCER]])</f>
        <v>Domaine Henri Gouges</v>
      </c>
      <c r="C1174" s="1178" t="s">
        <v>20756</v>
      </c>
      <c r="D1174" s="1178" t="s">
        <v>897</v>
      </c>
      <c r="E1174" s="1179">
        <v>2017</v>
      </c>
      <c r="F1174" s="1282" t="s">
        <v>20220</v>
      </c>
      <c r="G1174" s="1368">
        <v>41</v>
      </c>
      <c r="H1174" s="1178" t="s">
        <v>20221</v>
      </c>
      <c r="I1174" s="1178" t="s">
        <v>4925</v>
      </c>
      <c r="J1174" s="1178" t="s">
        <v>662</v>
      </c>
      <c r="K1174" s="1178" t="s">
        <v>267</v>
      </c>
      <c r="L1174" s="1178" t="s">
        <v>211</v>
      </c>
      <c r="M1174" s="1369"/>
      <c r="N1174" s="1178"/>
      <c r="O1174" s="1178">
        <v>6</v>
      </c>
      <c r="P1174" s="1178">
        <v>13</v>
      </c>
    </row>
    <row r="1175" spans="1:16">
      <c r="A1175" s="1178" t="s">
        <v>20814</v>
      </c>
      <c r="B1175" s="1371" t="str">
        <f>HYPERLINK(IFERROR("#Main_Tariff!A"&amp;MATCH(Raeburn_Main_Tariff[[#This Row],[Product Code]],Main_Tariff!I:I,0),"#Main_Tariff!A"&amp;MATCH("*"&amp;RIGHT(A1175,8)&amp;"*",Main_Tariff!A:A,0)),Raeburn_Main_Tariff[[#This Row],[PRODUCER]])</f>
        <v>Domaine Henri Gouges</v>
      </c>
      <c r="C1175" s="1178" t="s">
        <v>20816</v>
      </c>
      <c r="D1175" s="1178" t="s">
        <v>897</v>
      </c>
      <c r="E1175" s="1179">
        <v>2022</v>
      </c>
      <c r="F1175" s="1282" t="s">
        <v>20220</v>
      </c>
      <c r="G1175" s="1368">
        <v>63.25</v>
      </c>
      <c r="H1175" s="1178" t="s">
        <v>20224</v>
      </c>
      <c r="I1175" s="1178" t="s">
        <v>4929</v>
      </c>
      <c r="J1175" s="1178" t="s">
        <v>662</v>
      </c>
      <c r="K1175" s="1178" t="s">
        <v>267</v>
      </c>
      <c r="L1175" s="1178" t="s">
        <v>211</v>
      </c>
      <c r="M1175" s="1369" t="s">
        <v>23297</v>
      </c>
      <c r="N1175" s="1178"/>
      <c r="O1175" s="1178">
        <v>6</v>
      </c>
      <c r="P1175" s="1178">
        <v>14</v>
      </c>
    </row>
    <row r="1176" spans="1:16">
      <c r="A1176" s="1178" t="s">
        <v>20814</v>
      </c>
      <c r="B1176" s="1371" t="str">
        <f>HYPERLINK(IFERROR("#Main_Tariff!A"&amp;MATCH(Raeburn_Main_Tariff[[#This Row],[Product Code]],Main_Tariff!I:I,0),"#Main_Tariff!A"&amp;MATCH("*"&amp;RIGHT(A1176,8)&amp;"*",Main_Tariff!A:A,0)),Raeburn_Main_Tariff[[#This Row],[PRODUCER]])</f>
        <v>Domaine Henri Gouges</v>
      </c>
      <c r="C1176" s="1178" t="s">
        <v>20817</v>
      </c>
      <c r="D1176" s="1178" t="s">
        <v>897</v>
      </c>
      <c r="E1176" s="1179">
        <v>2022</v>
      </c>
      <c r="F1176" s="1282" t="s">
        <v>20220</v>
      </c>
      <c r="G1176" s="1368">
        <v>58.25</v>
      </c>
      <c r="H1176" s="1178" t="s">
        <v>20221</v>
      </c>
      <c r="I1176" s="1178" t="s">
        <v>4933</v>
      </c>
      <c r="J1176" s="1178" t="s">
        <v>662</v>
      </c>
      <c r="K1176" s="1178" t="s">
        <v>267</v>
      </c>
      <c r="L1176" s="1178" t="s">
        <v>211</v>
      </c>
      <c r="M1176" s="1369" t="s">
        <v>23297</v>
      </c>
      <c r="N1176" s="1178"/>
      <c r="O1176" s="1178">
        <v>6</v>
      </c>
      <c r="P1176" s="1178">
        <v>14</v>
      </c>
    </row>
    <row r="1177" spans="1:16">
      <c r="A1177" s="1178" t="s">
        <v>20814</v>
      </c>
      <c r="B1177" s="1371" t="str">
        <f>HYPERLINK(IFERROR("#Main_Tariff!A"&amp;MATCH(Raeburn_Main_Tariff[[#This Row],[Product Code]],Main_Tariff!I:I,0),"#Main_Tariff!A"&amp;MATCH("*"&amp;RIGHT(A1177,8)&amp;"*",Main_Tariff!A:A,0)),Raeburn_Main_Tariff[[#This Row],[PRODUCER]])</f>
        <v>Domaine Henri Gouges</v>
      </c>
      <c r="C1177" s="1178" t="s">
        <v>20817</v>
      </c>
      <c r="D1177" s="1178" t="s">
        <v>897</v>
      </c>
      <c r="E1177" s="1179">
        <v>2020</v>
      </c>
      <c r="F1177" s="1282" t="s">
        <v>20220</v>
      </c>
      <c r="G1177" s="1368">
        <v>54</v>
      </c>
      <c r="H1177" s="1178" t="s">
        <v>20221</v>
      </c>
      <c r="I1177" s="1178" t="s">
        <v>4935</v>
      </c>
      <c r="J1177" s="1178" t="s">
        <v>662</v>
      </c>
      <c r="K1177" s="1178" t="s">
        <v>267</v>
      </c>
      <c r="L1177" s="1178" t="s">
        <v>211</v>
      </c>
      <c r="M1177" s="1369" t="s">
        <v>23297</v>
      </c>
      <c r="N1177" s="1178"/>
      <c r="O1177" s="1178">
        <v>6</v>
      </c>
      <c r="P1177" s="1178">
        <v>15</v>
      </c>
    </row>
    <row r="1178" spans="1:16">
      <c r="A1178" s="1178" t="s">
        <v>20814</v>
      </c>
      <c r="B1178" s="1371" t="str">
        <f>HYPERLINK(IFERROR("#Main_Tariff!A"&amp;MATCH(Raeburn_Main_Tariff[[#This Row],[Product Code]],Main_Tariff!I:I,0),"#Main_Tariff!A"&amp;MATCH("*"&amp;RIGHT(A1178,8)&amp;"*",Main_Tariff!A:A,0)),Raeburn_Main_Tariff[[#This Row],[PRODUCER]])</f>
        <v>Domaine Henri Gouges</v>
      </c>
      <c r="C1178" s="1178" t="s">
        <v>20817</v>
      </c>
      <c r="D1178" s="1178" t="s">
        <v>897</v>
      </c>
      <c r="E1178" s="1179">
        <v>2019</v>
      </c>
      <c r="F1178" s="1282" t="s">
        <v>20220</v>
      </c>
      <c r="G1178" s="1368">
        <v>54</v>
      </c>
      <c r="H1178" s="1178" t="s">
        <v>20221</v>
      </c>
      <c r="I1178" s="1178" t="s">
        <v>4937</v>
      </c>
      <c r="J1178" s="1178" t="s">
        <v>662</v>
      </c>
      <c r="K1178" s="1178" t="s">
        <v>267</v>
      </c>
      <c r="L1178" s="1178" t="s">
        <v>211</v>
      </c>
      <c r="M1178" s="1369" t="s">
        <v>23297</v>
      </c>
      <c r="N1178" s="1178"/>
      <c r="O1178" s="1178">
        <v>6</v>
      </c>
      <c r="P1178" s="1178">
        <v>14</v>
      </c>
    </row>
    <row r="1179" spans="1:16">
      <c r="A1179" s="1178" t="s">
        <v>20814</v>
      </c>
      <c r="B1179" s="1371" t="str">
        <f>HYPERLINK(IFERROR("#Main_Tariff!A"&amp;MATCH(Raeburn_Main_Tariff[[#This Row],[Product Code]],Main_Tariff!I:I,0),"#Main_Tariff!A"&amp;MATCH("*"&amp;RIGHT(A1179,8)&amp;"*",Main_Tariff!A:A,0)),Raeburn_Main_Tariff[[#This Row],[PRODUCER]])</f>
        <v>Domaine Henri Gouges</v>
      </c>
      <c r="C1179" s="1178" t="s">
        <v>20817</v>
      </c>
      <c r="D1179" s="1178" t="s">
        <v>897</v>
      </c>
      <c r="E1179" s="1179">
        <v>2018</v>
      </c>
      <c r="F1179" s="1282" t="s">
        <v>20220</v>
      </c>
      <c r="G1179" s="1368">
        <v>51</v>
      </c>
      <c r="H1179" s="1178" t="s">
        <v>20224</v>
      </c>
      <c r="I1179" s="1178" t="s">
        <v>4939</v>
      </c>
      <c r="J1179" s="1178" t="s">
        <v>662</v>
      </c>
      <c r="K1179" s="1178" t="s">
        <v>267</v>
      </c>
      <c r="L1179" s="1178" t="s">
        <v>211</v>
      </c>
      <c r="M1179" s="1369" t="s">
        <v>23297</v>
      </c>
      <c r="N1179" s="1178"/>
      <c r="O1179" s="1178">
        <v>6</v>
      </c>
      <c r="P1179" s="1178">
        <v>14</v>
      </c>
    </row>
    <row r="1180" spans="1:16">
      <c r="A1180" s="1178" t="s">
        <v>20814</v>
      </c>
      <c r="B1180" s="1371" t="str">
        <f>HYPERLINK(IFERROR("#Main_Tariff!A"&amp;MATCH(Raeburn_Main_Tariff[[#This Row],[Product Code]],Main_Tariff!I:I,0),"#Main_Tariff!A"&amp;MATCH("*"&amp;RIGHT(A1180,8)&amp;"*",Main_Tariff!A:A,0)),Raeburn_Main_Tariff[[#This Row],[PRODUCER]])</f>
        <v>Domaine Henri Gouges</v>
      </c>
      <c r="C1180" s="1178" t="s">
        <v>20817</v>
      </c>
      <c r="D1180" s="1178" t="s">
        <v>897</v>
      </c>
      <c r="E1180" s="1179">
        <v>2017</v>
      </c>
      <c r="F1180" s="1282" t="s">
        <v>20220</v>
      </c>
      <c r="G1180" s="1368">
        <v>49</v>
      </c>
      <c r="H1180" s="1178" t="s">
        <v>20224</v>
      </c>
      <c r="I1180" s="1178" t="s">
        <v>4941</v>
      </c>
      <c r="J1180" s="1178" t="s">
        <v>662</v>
      </c>
      <c r="K1180" s="1178" t="s">
        <v>267</v>
      </c>
      <c r="L1180" s="1178" t="s">
        <v>211</v>
      </c>
      <c r="M1180" s="1369" t="s">
        <v>23297</v>
      </c>
      <c r="N1180" s="1178"/>
      <c r="O1180" s="1178">
        <v>6</v>
      </c>
      <c r="P1180" s="1178">
        <v>13</v>
      </c>
    </row>
    <row r="1181" spans="1:16">
      <c r="A1181" s="1178" t="s">
        <v>20814</v>
      </c>
      <c r="B1181" s="1371" t="str">
        <f>HYPERLINK(IFERROR("#Main_Tariff!A"&amp;MATCH(Raeburn_Main_Tariff[[#This Row],[Product Code]],Main_Tariff!I:I,0),"#Main_Tariff!A"&amp;MATCH("*"&amp;RIGHT(A1181,8)&amp;"*",Main_Tariff!A:A,0)),Raeburn_Main_Tariff[[#This Row],[PRODUCER]])</f>
        <v>Domaine Henri Gouges</v>
      </c>
      <c r="C1181" s="1178" t="s">
        <v>20792</v>
      </c>
      <c r="D1181" s="1178" t="s">
        <v>897</v>
      </c>
      <c r="E1181" s="1179">
        <v>2022</v>
      </c>
      <c r="F1181" s="1282" t="s">
        <v>20220</v>
      </c>
      <c r="G1181" s="1368">
        <v>83.75</v>
      </c>
      <c r="H1181" s="1178" t="s">
        <v>20221</v>
      </c>
      <c r="I1181" s="1178" t="s">
        <v>4943</v>
      </c>
      <c r="J1181" s="1178" t="s">
        <v>662</v>
      </c>
      <c r="K1181" s="1178" t="s">
        <v>267</v>
      </c>
      <c r="L1181" s="1178" t="s">
        <v>211</v>
      </c>
      <c r="M1181" s="1369" t="s">
        <v>23297</v>
      </c>
      <c r="N1181" s="1178"/>
      <c r="O1181" s="1178">
        <v>6</v>
      </c>
      <c r="P1181" s="1178">
        <v>14</v>
      </c>
    </row>
    <row r="1182" spans="1:16">
      <c r="A1182" s="1178" t="s">
        <v>20814</v>
      </c>
      <c r="B1182" s="1371" t="str">
        <f>HYPERLINK(IFERROR("#Main_Tariff!A"&amp;MATCH(Raeburn_Main_Tariff[[#This Row],[Product Code]],Main_Tariff!I:I,0),"#Main_Tariff!A"&amp;MATCH("*"&amp;RIGHT(A1182,8)&amp;"*",Main_Tariff!A:A,0)),Raeburn_Main_Tariff[[#This Row],[PRODUCER]])</f>
        <v>Domaine Henri Gouges</v>
      </c>
      <c r="C1182" s="1178" t="s">
        <v>20792</v>
      </c>
      <c r="D1182" s="1178" t="s">
        <v>897</v>
      </c>
      <c r="E1182" s="1179">
        <v>2020</v>
      </c>
      <c r="F1182" s="1282" t="s">
        <v>20220</v>
      </c>
      <c r="G1182" s="1368">
        <v>66</v>
      </c>
      <c r="H1182" s="1178" t="s">
        <v>20224</v>
      </c>
      <c r="I1182" s="1178" t="s">
        <v>4945</v>
      </c>
      <c r="J1182" s="1178" t="s">
        <v>662</v>
      </c>
      <c r="K1182" s="1178" t="s">
        <v>267</v>
      </c>
      <c r="L1182" s="1178" t="s">
        <v>211</v>
      </c>
      <c r="M1182" s="1369" t="s">
        <v>23297</v>
      </c>
      <c r="N1182" s="1178"/>
      <c r="O1182" s="1178">
        <v>6</v>
      </c>
      <c r="P1182" s="1178">
        <v>14.5</v>
      </c>
    </row>
    <row r="1183" spans="1:16">
      <c r="A1183" s="1178" t="s">
        <v>20814</v>
      </c>
      <c r="B1183" s="1371" t="str">
        <f>HYPERLINK(IFERROR("#Main_Tariff!A"&amp;MATCH(Raeburn_Main_Tariff[[#This Row],[Product Code]],Main_Tariff!I:I,0),"#Main_Tariff!A"&amp;MATCH("*"&amp;RIGHT(A1183,8)&amp;"*",Main_Tariff!A:A,0)),Raeburn_Main_Tariff[[#This Row],[PRODUCER]])</f>
        <v>Domaine Henri Gouges</v>
      </c>
      <c r="C1183" s="1178" t="s">
        <v>20792</v>
      </c>
      <c r="D1183" s="1178" t="s">
        <v>897</v>
      </c>
      <c r="E1183" s="1179">
        <v>2019</v>
      </c>
      <c r="F1183" s="1282" t="s">
        <v>20220</v>
      </c>
      <c r="G1183" s="1368">
        <v>66</v>
      </c>
      <c r="H1183" s="1178" t="s">
        <v>20224</v>
      </c>
      <c r="I1183" s="1178" t="s">
        <v>4947</v>
      </c>
      <c r="J1183" s="1178" t="s">
        <v>662</v>
      </c>
      <c r="K1183" s="1178" t="s">
        <v>267</v>
      </c>
      <c r="L1183" s="1178" t="s">
        <v>211</v>
      </c>
      <c r="M1183" s="1369" t="s">
        <v>23297</v>
      </c>
      <c r="N1183" s="1178"/>
      <c r="O1183" s="1178">
        <v>6</v>
      </c>
      <c r="P1183" s="1178">
        <v>14</v>
      </c>
    </row>
    <row r="1184" spans="1:16">
      <c r="A1184" s="1178" t="s">
        <v>20814</v>
      </c>
      <c r="B1184" s="1371" t="str">
        <f>HYPERLINK(IFERROR("#Main_Tariff!A"&amp;MATCH(Raeburn_Main_Tariff[[#This Row],[Product Code]],Main_Tariff!I:I,0),"#Main_Tariff!A"&amp;MATCH("*"&amp;RIGHT(A1184,8)&amp;"*",Main_Tariff!A:A,0)),Raeburn_Main_Tariff[[#This Row],[PRODUCER]])</f>
        <v>Domaine Henri Gouges</v>
      </c>
      <c r="C1184" s="1178" t="s">
        <v>20792</v>
      </c>
      <c r="D1184" s="1178" t="s">
        <v>897</v>
      </c>
      <c r="E1184" s="1179">
        <v>2018</v>
      </c>
      <c r="F1184" s="1282" t="s">
        <v>20220</v>
      </c>
      <c r="G1184" s="1368">
        <v>63.5</v>
      </c>
      <c r="H1184" s="1178" t="s">
        <v>20221</v>
      </c>
      <c r="I1184" s="1178" t="s">
        <v>4949</v>
      </c>
      <c r="J1184" s="1178" t="s">
        <v>662</v>
      </c>
      <c r="K1184" s="1178" t="s">
        <v>267</v>
      </c>
      <c r="L1184" s="1178" t="s">
        <v>211</v>
      </c>
      <c r="M1184" s="1369" t="s">
        <v>23297</v>
      </c>
      <c r="N1184" s="1178"/>
      <c r="O1184" s="1178">
        <v>6</v>
      </c>
      <c r="P1184" s="1178">
        <v>14</v>
      </c>
    </row>
    <row r="1185" spans="1:16">
      <c r="A1185" s="1178" t="s">
        <v>20814</v>
      </c>
      <c r="B1185" s="1371" t="str">
        <f>HYPERLINK(IFERROR("#Main_Tariff!A"&amp;MATCH(Raeburn_Main_Tariff[[#This Row],[Product Code]],Main_Tariff!I:I,0),"#Main_Tariff!A"&amp;MATCH("*"&amp;RIGHT(A1185,8)&amp;"*",Main_Tariff!A:A,0)),Raeburn_Main_Tariff[[#This Row],[PRODUCER]])</f>
        <v>Domaine Henri Gouges</v>
      </c>
      <c r="C1185" s="1178" t="s">
        <v>20792</v>
      </c>
      <c r="D1185" s="1178" t="s">
        <v>897</v>
      </c>
      <c r="E1185" s="1179">
        <v>2017</v>
      </c>
      <c r="F1185" s="1282" t="s">
        <v>20220</v>
      </c>
      <c r="G1185" s="1368">
        <v>59.5</v>
      </c>
      <c r="H1185" s="1178" t="s">
        <v>20277</v>
      </c>
      <c r="I1185" s="1178" t="s">
        <v>4951</v>
      </c>
      <c r="J1185" s="1178" t="s">
        <v>662</v>
      </c>
      <c r="K1185" s="1178" t="s">
        <v>267</v>
      </c>
      <c r="L1185" s="1178" t="s">
        <v>211</v>
      </c>
      <c r="M1185" s="1369" t="s">
        <v>23297</v>
      </c>
      <c r="N1185" s="1178"/>
      <c r="O1185" s="1178">
        <v>6</v>
      </c>
      <c r="P1185" s="1178">
        <v>13</v>
      </c>
    </row>
    <row r="1186" spans="1:16">
      <c r="A1186" s="1178" t="s">
        <v>20814</v>
      </c>
      <c r="B1186" s="1371" t="str">
        <f>HYPERLINK(IFERROR("#Main_Tariff!A"&amp;MATCH(Raeburn_Main_Tariff[[#This Row],[Product Code]],Main_Tariff!I:I,0),"#Main_Tariff!A"&amp;MATCH("*"&amp;RIGHT(A1186,8)&amp;"*",Main_Tariff!A:A,0)),Raeburn_Main_Tariff[[#This Row],[PRODUCER]])</f>
        <v>Domaine Henri Gouges</v>
      </c>
      <c r="C1186" s="1178" t="s">
        <v>20818</v>
      </c>
      <c r="D1186" s="1178" t="s">
        <v>897</v>
      </c>
      <c r="E1186" s="1179">
        <v>2022</v>
      </c>
      <c r="F1186" s="1282" t="s">
        <v>20220</v>
      </c>
      <c r="G1186" s="1368">
        <v>110.5</v>
      </c>
      <c r="H1186" s="1178" t="s">
        <v>20224</v>
      </c>
      <c r="I1186" s="1178" t="s">
        <v>4953</v>
      </c>
      <c r="J1186" s="1178" t="s">
        <v>662</v>
      </c>
      <c r="K1186" s="1178" t="s">
        <v>267</v>
      </c>
      <c r="L1186" s="1178" t="s">
        <v>211</v>
      </c>
      <c r="M1186" s="1369" t="s">
        <v>23297</v>
      </c>
      <c r="N1186" s="1178"/>
      <c r="O1186" s="1178">
        <v>3</v>
      </c>
      <c r="P1186" s="1178">
        <v>13.5</v>
      </c>
    </row>
    <row r="1187" spans="1:16">
      <c r="A1187" s="1178" t="s">
        <v>20814</v>
      </c>
      <c r="B1187" s="1371" t="str">
        <f>HYPERLINK(IFERROR("#Main_Tariff!A"&amp;MATCH(Raeburn_Main_Tariff[[#This Row],[Product Code]],Main_Tariff!I:I,0),"#Main_Tariff!A"&amp;MATCH("*"&amp;RIGHT(A1187,8)&amp;"*",Main_Tariff!A:A,0)),Raeburn_Main_Tariff[[#This Row],[PRODUCER]])</f>
        <v>Domaine Henri Gouges</v>
      </c>
      <c r="C1187" s="1178" t="s">
        <v>20819</v>
      </c>
      <c r="D1187" s="1178" t="s">
        <v>897</v>
      </c>
      <c r="E1187" s="1179">
        <v>2022</v>
      </c>
      <c r="F1187" s="1282" t="s">
        <v>20220</v>
      </c>
      <c r="G1187" s="1368" t="s">
        <v>5258</v>
      </c>
      <c r="H1187" s="1178" t="s">
        <v>20224</v>
      </c>
      <c r="I1187" s="1178" t="s">
        <v>4955</v>
      </c>
      <c r="J1187" s="1178" t="s">
        <v>662</v>
      </c>
      <c r="K1187" s="1178" t="s">
        <v>267</v>
      </c>
      <c r="L1187" s="1178" t="s">
        <v>211</v>
      </c>
      <c r="M1187" s="1369" t="s">
        <v>23297</v>
      </c>
      <c r="N1187" s="1178"/>
      <c r="O1187" s="1178">
        <v>3</v>
      </c>
      <c r="P1187" s="1178">
        <v>13</v>
      </c>
    </row>
    <row r="1188" spans="1:16">
      <c r="A1188" s="1178" t="s">
        <v>20814</v>
      </c>
      <c r="B1188" s="1371" t="str">
        <f>HYPERLINK(IFERROR("#Main_Tariff!A"&amp;MATCH(Raeburn_Main_Tariff[[#This Row],[Product Code]],Main_Tariff!I:I,0),"#Main_Tariff!A"&amp;MATCH("*"&amp;RIGHT(A1188,8)&amp;"*",Main_Tariff!A:A,0)),Raeburn_Main_Tariff[[#This Row],[PRODUCER]])</f>
        <v>Domaine Henri Gouges</v>
      </c>
      <c r="C1188" s="1178" t="s">
        <v>20820</v>
      </c>
      <c r="D1188" s="1178" t="s">
        <v>897</v>
      </c>
      <c r="E1188" s="1179">
        <v>2018</v>
      </c>
      <c r="F1188" s="1282" t="s">
        <v>20240</v>
      </c>
      <c r="G1188" s="1368">
        <v>131</v>
      </c>
      <c r="H1188" s="1178" t="s">
        <v>20224</v>
      </c>
      <c r="I1188" s="1178" t="s">
        <v>4959</v>
      </c>
      <c r="J1188" s="1178" t="s">
        <v>662</v>
      </c>
      <c r="K1188" s="1178" t="s">
        <v>267</v>
      </c>
      <c r="L1188" s="1178" t="s">
        <v>211</v>
      </c>
      <c r="M1188" s="1369" t="s">
        <v>23297</v>
      </c>
      <c r="N1188" s="1178"/>
      <c r="O1188" s="1178">
        <v>3</v>
      </c>
      <c r="P1188" s="1178">
        <v>14</v>
      </c>
    </row>
    <row r="1189" spans="1:16">
      <c r="A1189" s="1178" t="s">
        <v>20814</v>
      </c>
      <c r="B1189" s="1371" t="str">
        <f>HYPERLINK(IFERROR("#Main_Tariff!A"&amp;MATCH(Raeburn_Main_Tariff[[#This Row],[Product Code]],Main_Tariff!I:I,0),"#Main_Tariff!A"&amp;MATCH("*"&amp;RIGHT(A1189,8)&amp;"*",Main_Tariff!A:A,0)),Raeburn_Main_Tariff[[#This Row],[PRODUCER]])</f>
        <v>Domaine Henri Gouges</v>
      </c>
      <c r="C1189" s="1178" t="s">
        <v>20820</v>
      </c>
      <c r="D1189" s="1178" t="s">
        <v>897</v>
      </c>
      <c r="E1189" s="1179">
        <v>2017</v>
      </c>
      <c r="F1189" s="1282" t="s">
        <v>20240</v>
      </c>
      <c r="G1189" s="1368">
        <v>126</v>
      </c>
      <c r="H1189" s="1178" t="s">
        <v>20224</v>
      </c>
      <c r="I1189" s="1178" t="s">
        <v>4961</v>
      </c>
      <c r="J1189" s="1178" t="s">
        <v>662</v>
      </c>
      <c r="K1189" s="1178" t="s">
        <v>267</v>
      </c>
      <c r="L1189" s="1178" t="s">
        <v>211</v>
      </c>
      <c r="M1189" s="1369" t="s">
        <v>23297</v>
      </c>
      <c r="N1189" s="1178"/>
      <c r="O1189" s="1178">
        <v>3</v>
      </c>
      <c r="P1189" s="1178">
        <v>13</v>
      </c>
    </row>
    <row r="1190" spans="1:16">
      <c r="A1190" s="1178" t="s">
        <v>20821</v>
      </c>
      <c r="B1190" s="1371" t="str">
        <f>HYPERLINK(IFERROR("#Main_Tariff!A"&amp;MATCH(Raeburn_Main_Tariff[[#This Row],[Product Code]],Main_Tariff!I:I,0),"#Main_Tariff!A"&amp;MATCH("*"&amp;RIGHT(A1190,8)&amp;"*",Main_Tariff!A:A,0)),Raeburn_Main_Tariff[[#This Row],[PRODUCER]])</f>
        <v>Domaine Jean Grivot</v>
      </c>
      <c r="C1190" s="1178" t="s">
        <v>6176</v>
      </c>
      <c r="D1190" s="1178" t="s">
        <v>897</v>
      </c>
      <c r="E1190" s="1179">
        <v>2022</v>
      </c>
      <c r="F1190" s="1282" t="s">
        <v>20220</v>
      </c>
      <c r="G1190" s="1368">
        <v>37.5</v>
      </c>
      <c r="H1190" s="1178" t="s">
        <v>20221</v>
      </c>
      <c r="I1190" s="1178" t="s">
        <v>4975</v>
      </c>
      <c r="J1190" s="1178" t="s">
        <v>662</v>
      </c>
      <c r="K1190" s="1178" t="s">
        <v>267</v>
      </c>
      <c r="L1190" s="1178" t="s">
        <v>211</v>
      </c>
      <c r="M1190" s="1369"/>
      <c r="N1190" s="1178"/>
      <c r="O1190" s="1178">
        <v>6</v>
      </c>
      <c r="P1190" s="1178">
        <v>13</v>
      </c>
    </row>
    <row r="1191" spans="1:16">
      <c r="A1191" s="1178" t="s">
        <v>20821</v>
      </c>
      <c r="B1191" s="1371" t="str">
        <f>HYPERLINK(IFERROR("#Main_Tariff!A"&amp;MATCH(Raeburn_Main_Tariff[[#This Row],[Product Code]],Main_Tariff!I:I,0),"#Main_Tariff!A"&amp;MATCH("*"&amp;RIGHT(A1191,8)&amp;"*",Main_Tariff!A:A,0)),Raeburn_Main_Tariff[[#This Row],[PRODUCER]])</f>
        <v>Domaine Jean Grivot</v>
      </c>
      <c r="C1191" s="1178" t="s">
        <v>6176</v>
      </c>
      <c r="D1191" s="1178" t="s">
        <v>897</v>
      </c>
      <c r="E1191" s="1179">
        <v>2021</v>
      </c>
      <c r="F1191" s="1282" t="s">
        <v>20220</v>
      </c>
      <c r="G1191" s="1368">
        <v>37.5</v>
      </c>
      <c r="H1191" s="1178" t="s">
        <v>20224</v>
      </c>
      <c r="I1191" s="1178" t="s">
        <v>4977</v>
      </c>
      <c r="J1191" s="1178" t="s">
        <v>662</v>
      </c>
      <c r="K1191" s="1178" t="s">
        <v>267</v>
      </c>
      <c r="L1191" s="1178" t="s">
        <v>211</v>
      </c>
      <c r="M1191" s="1369"/>
      <c r="N1191" s="1178"/>
      <c r="O1191" s="1178">
        <v>6</v>
      </c>
      <c r="P1191" s="1178">
        <v>13</v>
      </c>
    </row>
    <row r="1192" spans="1:16">
      <c r="A1192" s="1178" t="s">
        <v>20821</v>
      </c>
      <c r="B1192" s="1371" t="str">
        <f>HYPERLINK(IFERROR("#Main_Tariff!A"&amp;MATCH(Raeburn_Main_Tariff[[#This Row],[Product Code]],Main_Tariff!I:I,0),"#Main_Tariff!A"&amp;MATCH("*"&amp;RIGHT(A1192,8)&amp;"*",Main_Tariff!A:A,0)),Raeburn_Main_Tariff[[#This Row],[PRODUCER]])</f>
        <v>Domaine Jean Grivot</v>
      </c>
      <c r="C1192" s="1178" t="s">
        <v>4974</v>
      </c>
      <c r="D1192" s="1178" t="s">
        <v>897</v>
      </c>
      <c r="E1192" s="1179">
        <v>2022</v>
      </c>
      <c r="F1192" s="1282" t="s">
        <v>20220</v>
      </c>
      <c r="G1192" s="1368" t="s">
        <v>5258</v>
      </c>
      <c r="H1192" s="1178" t="s">
        <v>20224</v>
      </c>
      <c r="I1192" s="1178" t="s">
        <v>4980</v>
      </c>
      <c r="J1192" s="1178" t="s">
        <v>662</v>
      </c>
      <c r="K1192" s="1178" t="s">
        <v>267</v>
      </c>
      <c r="L1192" s="1178" t="s">
        <v>211</v>
      </c>
      <c r="M1192" s="1369"/>
      <c r="N1192" s="1178"/>
      <c r="O1192" s="1178">
        <v>6</v>
      </c>
      <c r="P1192" s="1178">
        <v>13</v>
      </c>
    </row>
    <row r="1193" spans="1:16">
      <c r="A1193" s="1178" t="s">
        <v>20821</v>
      </c>
      <c r="B1193" s="1371" t="str">
        <f>HYPERLINK(IFERROR("#Main_Tariff!A"&amp;MATCH(Raeburn_Main_Tariff[[#This Row],[Product Code]],Main_Tariff!I:I,0),"#Main_Tariff!A"&amp;MATCH("*"&amp;RIGHT(A1193,8)&amp;"*",Main_Tariff!A:A,0)),Raeburn_Main_Tariff[[#This Row],[PRODUCER]])</f>
        <v>Domaine Jean Grivot</v>
      </c>
      <c r="C1193" s="1178" t="s">
        <v>20822</v>
      </c>
      <c r="D1193" s="1178" t="s">
        <v>897</v>
      </c>
      <c r="E1193" s="1179">
        <v>2022</v>
      </c>
      <c r="F1193" s="1282" t="s">
        <v>20220</v>
      </c>
      <c r="G1193" s="1368" t="s">
        <v>5258</v>
      </c>
      <c r="H1193" s="1178" t="s">
        <v>20224</v>
      </c>
      <c r="I1193" s="1178" t="s">
        <v>4982</v>
      </c>
      <c r="J1193" s="1178" t="s">
        <v>662</v>
      </c>
      <c r="K1193" s="1178" t="s">
        <v>267</v>
      </c>
      <c r="L1193" s="1178" t="s">
        <v>211</v>
      </c>
      <c r="M1193" s="1369"/>
      <c r="N1193" s="1178"/>
      <c r="O1193" s="1178">
        <v>3</v>
      </c>
      <c r="P1193" s="1178">
        <v>13</v>
      </c>
    </row>
    <row r="1194" spans="1:16">
      <c r="A1194" s="1178" t="s">
        <v>20821</v>
      </c>
      <c r="B1194" s="1371" t="str">
        <f>HYPERLINK(IFERROR("#Main_Tariff!A"&amp;MATCH(Raeburn_Main_Tariff[[#This Row],[Product Code]],Main_Tariff!I:I,0),"#Main_Tariff!A"&amp;MATCH("*"&amp;RIGHT(A1194,8)&amp;"*",Main_Tariff!A:A,0)),Raeburn_Main_Tariff[[#This Row],[PRODUCER]])</f>
        <v>Domaine Jean Grivot</v>
      </c>
      <c r="C1194" s="1178" t="s">
        <v>20792</v>
      </c>
      <c r="D1194" s="1178" t="s">
        <v>897</v>
      </c>
      <c r="E1194" s="1179">
        <v>2022</v>
      </c>
      <c r="F1194" s="1282" t="s">
        <v>20220</v>
      </c>
      <c r="G1194" s="1368" t="s">
        <v>5258</v>
      </c>
      <c r="H1194" s="1178" t="s">
        <v>20224</v>
      </c>
      <c r="I1194" s="1178" t="s">
        <v>4985</v>
      </c>
      <c r="J1194" s="1178" t="s">
        <v>662</v>
      </c>
      <c r="K1194" s="1178" t="s">
        <v>267</v>
      </c>
      <c r="L1194" s="1178" t="s">
        <v>211</v>
      </c>
      <c r="M1194" s="1369" t="s">
        <v>23297</v>
      </c>
      <c r="N1194" s="1178"/>
      <c r="O1194" s="1178">
        <v>6</v>
      </c>
      <c r="P1194" s="1178">
        <v>13</v>
      </c>
    </row>
    <row r="1195" spans="1:16">
      <c r="A1195" s="1178" t="s">
        <v>20821</v>
      </c>
      <c r="B1195" s="1371" t="str">
        <f>HYPERLINK(IFERROR("#Main_Tariff!A"&amp;MATCH(Raeburn_Main_Tariff[[#This Row],[Product Code]],Main_Tariff!I:I,0),"#Main_Tariff!A"&amp;MATCH("*"&amp;RIGHT(A1195,8)&amp;"*",Main_Tariff!A:A,0)),Raeburn_Main_Tariff[[#This Row],[PRODUCER]])</f>
        <v>Domaine Jean Grivot</v>
      </c>
      <c r="C1195" s="1178" t="s">
        <v>20823</v>
      </c>
      <c r="D1195" s="1178" t="s">
        <v>897</v>
      </c>
      <c r="E1195" s="1179">
        <v>2022</v>
      </c>
      <c r="F1195" s="1282" t="s">
        <v>20220</v>
      </c>
      <c r="G1195" s="1368" t="s">
        <v>5258</v>
      </c>
      <c r="H1195" s="1178" t="s">
        <v>20224</v>
      </c>
      <c r="I1195" s="1178" t="s">
        <v>4987</v>
      </c>
      <c r="J1195" s="1178" t="s">
        <v>662</v>
      </c>
      <c r="K1195" s="1178" t="s">
        <v>267</v>
      </c>
      <c r="L1195" s="1178" t="s">
        <v>211</v>
      </c>
      <c r="M1195" s="1369" t="s">
        <v>23297</v>
      </c>
      <c r="N1195" s="1178"/>
      <c r="O1195" s="1178">
        <v>3</v>
      </c>
      <c r="P1195" s="1178">
        <v>13.5</v>
      </c>
    </row>
    <row r="1196" spans="1:16">
      <c r="A1196" s="1178" t="s">
        <v>20821</v>
      </c>
      <c r="B1196" s="1371" t="str">
        <f>HYPERLINK(IFERROR("#Main_Tariff!A"&amp;MATCH(Raeburn_Main_Tariff[[#This Row],[Product Code]],Main_Tariff!I:I,0),"#Main_Tariff!A"&amp;MATCH("*"&amp;RIGHT(A1196,8)&amp;"*",Main_Tariff!A:A,0)),Raeburn_Main_Tariff[[#This Row],[PRODUCER]])</f>
        <v>Domaine Jean Grivot</v>
      </c>
      <c r="C1196" s="1178" t="s">
        <v>20824</v>
      </c>
      <c r="D1196" s="1178" t="s">
        <v>897</v>
      </c>
      <c r="E1196" s="1179">
        <v>2022</v>
      </c>
      <c r="F1196" s="1282" t="s">
        <v>20220</v>
      </c>
      <c r="G1196" s="1368" t="s">
        <v>5258</v>
      </c>
      <c r="H1196" s="1178" t="s">
        <v>20221</v>
      </c>
      <c r="I1196" s="1178" t="s">
        <v>4989</v>
      </c>
      <c r="J1196" s="1178" t="s">
        <v>662</v>
      </c>
      <c r="K1196" s="1178" t="s">
        <v>267</v>
      </c>
      <c r="L1196" s="1178" t="s">
        <v>211</v>
      </c>
      <c r="M1196" s="1369" t="s">
        <v>23297</v>
      </c>
      <c r="N1196" s="1178"/>
      <c r="O1196" s="1178">
        <v>6</v>
      </c>
      <c r="P1196" s="1178">
        <v>13</v>
      </c>
    </row>
    <row r="1197" spans="1:16">
      <c r="A1197" s="1178" t="s">
        <v>20821</v>
      </c>
      <c r="B1197" s="1371" t="str">
        <f>HYPERLINK(IFERROR("#Main_Tariff!A"&amp;MATCH(Raeburn_Main_Tariff[[#This Row],[Product Code]],Main_Tariff!I:I,0),"#Main_Tariff!A"&amp;MATCH("*"&amp;RIGHT(A1197,8)&amp;"*",Main_Tariff!A:A,0)),Raeburn_Main_Tariff[[#This Row],[PRODUCER]])</f>
        <v>Domaine Jean Grivot</v>
      </c>
      <c r="C1197" s="1178" t="s">
        <v>20825</v>
      </c>
      <c r="D1197" s="1178" t="s">
        <v>897</v>
      </c>
      <c r="E1197" s="1179">
        <v>2022</v>
      </c>
      <c r="F1197" s="1282" t="s">
        <v>20220</v>
      </c>
      <c r="G1197" s="1368" t="s">
        <v>5258</v>
      </c>
      <c r="H1197" s="1178" t="s">
        <v>20224</v>
      </c>
      <c r="I1197" s="1178" t="s">
        <v>4990</v>
      </c>
      <c r="J1197" s="1178" t="s">
        <v>662</v>
      </c>
      <c r="K1197" s="1178" t="s">
        <v>267</v>
      </c>
      <c r="L1197" s="1178" t="s">
        <v>211</v>
      </c>
      <c r="M1197" s="1369" t="s">
        <v>23297</v>
      </c>
      <c r="N1197" s="1178"/>
      <c r="O1197" s="1178">
        <v>3</v>
      </c>
      <c r="P1197" s="1178">
        <v>13</v>
      </c>
    </row>
    <row r="1198" spans="1:16">
      <c r="A1198" s="1178" t="s">
        <v>20821</v>
      </c>
      <c r="B1198" s="1371" t="str">
        <f>HYPERLINK(IFERROR("#Main_Tariff!A"&amp;MATCH(Raeburn_Main_Tariff[[#This Row],[Product Code]],Main_Tariff!I:I,0),"#Main_Tariff!A"&amp;MATCH("*"&amp;RIGHT(A1198,8)&amp;"*",Main_Tariff!A:A,0)),Raeburn_Main_Tariff[[#This Row],[PRODUCER]])</f>
        <v>Domaine Jean Grivot</v>
      </c>
      <c r="C1198" s="1178" t="s">
        <v>20826</v>
      </c>
      <c r="D1198" s="1178" t="s">
        <v>897</v>
      </c>
      <c r="E1198" s="1179">
        <v>2022</v>
      </c>
      <c r="F1198" s="1282" t="s">
        <v>20220</v>
      </c>
      <c r="G1198" s="1368" t="s">
        <v>5258</v>
      </c>
      <c r="H1198" s="1178" t="s">
        <v>20224</v>
      </c>
      <c r="I1198" s="1178" t="s">
        <v>4992</v>
      </c>
      <c r="J1198" s="1178" t="s">
        <v>662</v>
      </c>
      <c r="K1198" s="1178" t="s">
        <v>267</v>
      </c>
      <c r="L1198" s="1178" t="s">
        <v>211</v>
      </c>
      <c r="M1198" s="1369" t="s">
        <v>23297</v>
      </c>
      <c r="N1198" s="1178"/>
      <c r="O1198" s="1178">
        <v>3</v>
      </c>
      <c r="P1198" s="1178">
        <v>13</v>
      </c>
    </row>
    <row r="1199" spans="1:16">
      <c r="A1199" s="1178" t="s">
        <v>20821</v>
      </c>
      <c r="B1199" s="1371" t="str">
        <f>HYPERLINK(IFERROR("#Main_Tariff!A"&amp;MATCH(Raeburn_Main_Tariff[[#This Row],[Product Code]],Main_Tariff!I:I,0),"#Main_Tariff!A"&amp;MATCH("*"&amp;RIGHT(A1199,8)&amp;"*",Main_Tariff!A:A,0)),Raeburn_Main_Tariff[[#This Row],[PRODUCER]])</f>
        <v>Domaine Jean Grivot</v>
      </c>
      <c r="C1199" s="1178" t="s">
        <v>20827</v>
      </c>
      <c r="D1199" s="1178" t="s">
        <v>897</v>
      </c>
      <c r="E1199" s="1179">
        <v>2022</v>
      </c>
      <c r="F1199" s="1282" t="s">
        <v>20220</v>
      </c>
      <c r="G1199" s="1368" t="s">
        <v>5258</v>
      </c>
      <c r="H1199" s="1178" t="s">
        <v>20221</v>
      </c>
      <c r="I1199" s="1178" t="s">
        <v>4994</v>
      </c>
      <c r="J1199" s="1178" t="s">
        <v>662</v>
      </c>
      <c r="K1199" s="1178" t="s">
        <v>267</v>
      </c>
      <c r="L1199" s="1178" t="s">
        <v>211</v>
      </c>
      <c r="M1199" s="1369" t="s">
        <v>23297</v>
      </c>
      <c r="N1199" s="1178"/>
      <c r="O1199" s="1178">
        <v>3</v>
      </c>
      <c r="P1199" s="1178">
        <v>13</v>
      </c>
    </row>
    <row r="1200" spans="1:16">
      <c r="A1200" s="1178" t="s">
        <v>20821</v>
      </c>
      <c r="B1200" s="1371" t="str">
        <f>HYPERLINK(IFERROR("#Main_Tariff!A"&amp;MATCH(Raeburn_Main_Tariff[[#This Row],[Product Code]],Main_Tariff!I:I,0),"#Main_Tariff!A"&amp;MATCH("*"&amp;RIGHT(A1200,8)&amp;"*",Main_Tariff!A:A,0)),Raeburn_Main_Tariff[[#This Row],[PRODUCER]])</f>
        <v>Domaine Jean Grivot</v>
      </c>
      <c r="C1200" s="1178" t="s">
        <v>20798</v>
      </c>
      <c r="D1200" s="1178" t="s">
        <v>897</v>
      </c>
      <c r="E1200" s="1179">
        <v>2022</v>
      </c>
      <c r="F1200" s="1282" t="s">
        <v>20220</v>
      </c>
      <c r="G1200" s="1368" t="s">
        <v>5258</v>
      </c>
      <c r="H1200" s="1178" t="s">
        <v>20221</v>
      </c>
      <c r="I1200" s="1178" t="s">
        <v>4998</v>
      </c>
      <c r="J1200" s="1178" t="s">
        <v>662</v>
      </c>
      <c r="K1200" s="1178" t="s">
        <v>267</v>
      </c>
      <c r="L1200" s="1178" t="s">
        <v>211</v>
      </c>
      <c r="M1200" s="1369" t="s">
        <v>23296</v>
      </c>
      <c r="N1200" s="1178"/>
      <c r="O1200" s="1178">
        <v>3</v>
      </c>
      <c r="P1200" s="1178">
        <v>13</v>
      </c>
    </row>
    <row r="1201" spans="1:16">
      <c r="A1201" s="1178" t="s">
        <v>20821</v>
      </c>
      <c r="B1201" s="1371" t="str">
        <f>HYPERLINK(IFERROR("#Main_Tariff!A"&amp;MATCH(Raeburn_Main_Tariff[[#This Row],[Product Code]],Main_Tariff!I:I,0),"#Main_Tariff!A"&amp;MATCH("*"&amp;RIGHT(A1201,8)&amp;"*",Main_Tariff!A:A,0)),Raeburn_Main_Tariff[[#This Row],[PRODUCER]])</f>
        <v>Domaine Jean Grivot</v>
      </c>
      <c r="C1201" s="1178" t="s">
        <v>20798</v>
      </c>
      <c r="D1201" s="1178" t="s">
        <v>897</v>
      </c>
      <c r="E1201" s="1179">
        <v>2021</v>
      </c>
      <c r="F1201" s="1282" t="s">
        <v>20220</v>
      </c>
      <c r="G1201" s="1368" t="s">
        <v>5258</v>
      </c>
      <c r="H1201" s="1178" t="s">
        <v>20224</v>
      </c>
      <c r="I1201" s="1178" t="s">
        <v>5000</v>
      </c>
      <c r="J1201" s="1178" t="s">
        <v>662</v>
      </c>
      <c r="K1201" s="1178" t="s">
        <v>267</v>
      </c>
      <c r="L1201" s="1178" t="s">
        <v>211</v>
      </c>
      <c r="M1201" s="1369" t="s">
        <v>23296</v>
      </c>
      <c r="N1201" s="1178"/>
      <c r="O1201" s="1178">
        <v>3</v>
      </c>
      <c r="P1201" s="1178">
        <v>13.5</v>
      </c>
    </row>
    <row r="1202" spans="1:16">
      <c r="A1202" s="1178" t="s">
        <v>20821</v>
      </c>
      <c r="B1202" s="1371" t="str">
        <f>HYPERLINK(IFERROR("#Main_Tariff!A"&amp;MATCH(Raeburn_Main_Tariff[[#This Row],[Product Code]],Main_Tariff!I:I,0),"#Main_Tariff!A"&amp;MATCH("*"&amp;RIGHT(A1202,8)&amp;"*",Main_Tariff!A:A,0)),Raeburn_Main_Tariff[[#This Row],[PRODUCER]])</f>
        <v>Domaine Jean Grivot</v>
      </c>
      <c r="C1202" s="1178" t="s">
        <v>20798</v>
      </c>
      <c r="D1202" s="1178" t="s">
        <v>897</v>
      </c>
      <c r="E1202" s="1179">
        <v>2020</v>
      </c>
      <c r="F1202" s="1282" t="s">
        <v>20220</v>
      </c>
      <c r="G1202" s="1368" t="s">
        <v>5258</v>
      </c>
      <c r="H1202" s="1178" t="s">
        <v>20224</v>
      </c>
      <c r="I1202" s="1178" t="s">
        <v>5002</v>
      </c>
      <c r="J1202" s="1178" t="s">
        <v>662</v>
      </c>
      <c r="K1202" s="1178" t="s">
        <v>267</v>
      </c>
      <c r="L1202" s="1178" t="s">
        <v>211</v>
      </c>
      <c r="M1202" s="1369" t="s">
        <v>23296</v>
      </c>
      <c r="N1202" s="1178"/>
      <c r="O1202" s="1178">
        <v>3</v>
      </c>
      <c r="P1202" s="1178">
        <v>14</v>
      </c>
    </row>
    <row r="1203" spans="1:16">
      <c r="A1203" s="1178" t="s">
        <v>20821</v>
      </c>
      <c r="B1203" s="1371" t="str">
        <f>HYPERLINK(IFERROR("#Main_Tariff!A"&amp;MATCH(Raeburn_Main_Tariff[[#This Row],[Product Code]],Main_Tariff!I:I,0),"#Main_Tariff!A"&amp;MATCH("*"&amp;RIGHT(A1203,8)&amp;"*",Main_Tariff!A:A,0)),Raeburn_Main_Tariff[[#This Row],[PRODUCER]])</f>
        <v>Domaine Jean Grivot</v>
      </c>
      <c r="C1203" s="1178" t="s">
        <v>20670</v>
      </c>
      <c r="D1203" s="1178" t="s">
        <v>897</v>
      </c>
      <c r="E1203" s="1179">
        <v>2022</v>
      </c>
      <c r="F1203" s="1282" t="s">
        <v>20220</v>
      </c>
      <c r="G1203" s="1368" t="s">
        <v>5258</v>
      </c>
      <c r="H1203" s="1178" t="s">
        <v>20224</v>
      </c>
      <c r="I1203" s="1178" t="s">
        <v>5004</v>
      </c>
      <c r="J1203" s="1178" t="s">
        <v>662</v>
      </c>
      <c r="K1203" s="1178" t="s">
        <v>267</v>
      </c>
      <c r="L1203" s="1178" t="s">
        <v>211</v>
      </c>
      <c r="M1203" s="1369" t="s">
        <v>23296</v>
      </c>
      <c r="N1203" s="1178"/>
      <c r="O1203" s="1178">
        <v>3</v>
      </c>
      <c r="P1203" s="1178">
        <v>13</v>
      </c>
    </row>
    <row r="1204" spans="1:16">
      <c r="A1204" s="1178" t="s">
        <v>20821</v>
      </c>
      <c r="B1204" s="1371" t="str">
        <f>HYPERLINK(IFERROR("#Main_Tariff!A"&amp;MATCH(Raeburn_Main_Tariff[[#This Row],[Product Code]],Main_Tariff!I:I,0),"#Main_Tariff!A"&amp;MATCH("*"&amp;RIGHT(A1204,8)&amp;"*",Main_Tariff!A:A,0)),Raeburn_Main_Tariff[[#This Row],[PRODUCER]])</f>
        <v>Domaine Jean Grivot</v>
      </c>
      <c r="C1204" s="1178" t="s">
        <v>20670</v>
      </c>
      <c r="D1204" s="1178" t="s">
        <v>897</v>
      </c>
      <c r="E1204" s="1179">
        <v>2021</v>
      </c>
      <c r="F1204" s="1282" t="s">
        <v>20220</v>
      </c>
      <c r="G1204" s="1368" t="s">
        <v>5258</v>
      </c>
      <c r="H1204" s="1178" t="s">
        <v>20224</v>
      </c>
      <c r="I1204" s="1178" t="s">
        <v>5006</v>
      </c>
      <c r="J1204" s="1178" t="s">
        <v>662</v>
      </c>
      <c r="K1204" s="1178" t="s">
        <v>267</v>
      </c>
      <c r="L1204" s="1178" t="s">
        <v>211</v>
      </c>
      <c r="M1204" s="1369" t="s">
        <v>23296</v>
      </c>
      <c r="N1204" s="1178"/>
      <c r="O1204" s="1178">
        <v>3</v>
      </c>
      <c r="P1204" s="1178">
        <v>13</v>
      </c>
    </row>
    <row r="1205" spans="1:16">
      <c r="A1205" s="1178" t="s">
        <v>20821</v>
      </c>
      <c r="B1205" s="1371" t="str">
        <f>HYPERLINK(IFERROR("#Main_Tariff!A"&amp;MATCH(Raeburn_Main_Tariff[[#This Row],[Product Code]],Main_Tariff!I:I,0),"#Main_Tariff!A"&amp;MATCH("*"&amp;RIGHT(A1205,8)&amp;"*",Main_Tariff!A:A,0)),Raeburn_Main_Tariff[[#This Row],[PRODUCER]])</f>
        <v>Domaine Jean Grivot</v>
      </c>
      <c r="C1205" s="1178" t="s">
        <v>20828</v>
      </c>
      <c r="D1205" s="1178" t="s">
        <v>897</v>
      </c>
      <c r="E1205" s="1179">
        <v>2022</v>
      </c>
      <c r="F1205" s="1282" t="s">
        <v>20220</v>
      </c>
      <c r="G1205" s="1368" t="s">
        <v>20342</v>
      </c>
      <c r="H1205" s="1178" t="s">
        <v>20343</v>
      </c>
      <c r="I1205" s="1178" t="s">
        <v>5008</v>
      </c>
      <c r="J1205" s="1178" t="s">
        <v>662</v>
      </c>
      <c r="K1205" s="1178" t="s">
        <v>267</v>
      </c>
      <c r="L1205" s="1178" t="s">
        <v>211</v>
      </c>
      <c r="M1205" s="1369" t="s">
        <v>23296</v>
      </c>
      <c r="N1205" s="1178"/>
      <c r="O1205" s="1178">
        <v>3</v>
      </c>
      <c r="P1205" s="1178">
        <v>14</v>
      </c>
    </row>
    <row r="1206" spans="1:16">
      <c r="A1206" s="1178" t="s">
        <v>20821</v>
      </c>
      <c r="B1206" s="1371" t="str">
        <f>HYPERLINK(IFERROR("#Main_Tariff!A"&amp;MATCH(Raeburn_Main_Tariff[[#This Row],[Product Code]],Main_Tariff!I:I,0),"#Main_Tariff!A"&amp;MATCH("*"&amp;RIGHT(A1206,8)&amp;"*",Main_Tariff!A:A,0)),Raeburn_Main_Tariff[[#This Row],[PRODUCER]])</f>
        <v>Domaine Jean Grivot</v>
      </c>
      <c r="C1206" s="1178" t="s">
        <v>20718</v>
      </c>
      <c r="D1206" s="1178" t="s">
        <v>897</v>
      </c>
      <c r="E1206" s="1179">
        <v>2020</v>
      </c>
      <c r="F1206" s="1282" t="s">
        <v>20240</v>
      </c>
      <c r="G1206" s="1368">
        <v>295</v>
      </c>
      <c r="H1206" s="1178" t="s">
        <v>20224</v>
      </c>
      <c r="I1206" s="1178" t="s">
        <v>5011</v>
      </c>
      <c r="J1206" s="1178" t="s">
        <v>662</v>
      </c>
      <c r="K1206" s="1178" t="s">
        <v>267</v>
      </c>
      <c r="L1206" s="1178" t="s">
        <v>211</v>
      </c>
      <c r="M1206" s="1369" t="s">
        <v>23297</v>
      </c>
      <c r="N1206" s="1178"/>
      <c r="O1206" s="1178">
        <v>3</v>
      </c>
      <c r="P1206" s="1178">
        <v>13.5</v>
      </c>
    </row>
    <row r="1207" spans="1:16">
      <c r="A1207" s="1178" t="s">
        <v>20821</v>
      </c>
      <c r="B1207" s="1371" t="str">
        <f>HYPERLINK(IFERROR("#Main_Tariff!A"&amp;MATCH(Raeburn_Main_Tariff[[#This Row],[Product Code]],Main_Tariff!I:I,0),"#Main_Tariff!A"&amp;MATCH("*"&amp;RIGHT(A1207,8)&amp;"*",Main_Tariff!A:A,0)),Raeburn_Main_Tariff[[#This Row],[PRODUCER]])</f>
        <v>Domaine Jean Grivot</v>
      </c>
      <c r="C1207" s="1178" t="s">
        <v>20820</v>
      </c>
      <c r="D1207" s="1178" t="s">
        <v>897</v>
      </c>
      <c r="E1207" s="1179">
        <v>2017</v>
      </c>
      <c r="F1207" s="1282" t="s">
        <v>20240</v>
      </c>
      <c r="G1207" s="1368">
        <v>220</v>
      </c>
      <c r="H1207" s="1178" t="s">
        <v>20224</v>
      </c>
      <c r="I1207" s="1178" t="s">
        <v>5013</v>
      </c>
      <c r="J1207" s="1178" t="s">
        <v>662</v>
      </c>
      <c r="K1207" s="1178" t="s">
        <v>267</v>
      </c>
      <c r="L1207" s="1178" t="s">
        <v>211</v>
      </c>
      <c r="M1207" s="1369" t="s">
        <v>23297</v>
      </c>
      <c r="N1207" s="1178"/>
      <c r="O1207" s="1178">
        <v>3</v>
      </c>
      <c r="P1207" s="1178">
        <v>13</v>
      </c>
    </row>
    <row r="1208" spans="1:16">
      <c r="A1208" s="1178" t="s">
        <v>20821</v>
      </c>
      <c r="B1208" s="1371" t="str">
        <f>HYPERLINK(IFERROR("#Main_Tariff!A"&amp;MATCH(Raeburn_Main_Tariff[[#This Row],[Product Code]],Main_Tariff!I:I,0),"#Main_Tariff!A"&amp;MATCH("*"&amp;RIGHT(A1208,8)&amp;"*",Main_Tariff!A:A,0)),Raeburn_Main_Tariff[[#This Row],[PRODUCER]])</f>
        <v>Domaine Jean Grivot</v>
      </c>
      <c r="C1208" s="1178" t="s">
        <v>20829</v>
      </c>
      <c r="D1208" s="1178" t="s">
        <v>897</v>
      </c>
      <c r="E1208" s="1179">
        <v>2013</v>
      </c>
      <c r="F1208" s="1282" t="s">
        <v>20288</v>
      </c>
      <c r="G1208" s="1368">
        <v>450</v>
      </c>
      <c r="H1208" s="1178" t="s">
        <v>20224</v>
      </c>
      <c r="I1208" s="1178" t="s">
        <v>5016</v>
      </c>
      <c r="J1208" s="1178" t="s">
        <v>662</v>
      </c>
      <c r="K1208" s="1178" t="s">
        <v>267</v>
      </c>
      <c r="L1208" s="1178" t="s">
        <v>211</v>
      </c>
      <c r="M1208" s="1369" t="s">
        <v>23297</v>
      </c>
      <c r="N1208" s="1178"/>
      <c r="O1208" s="1178">
        <v>1</v>
      </c>
      <c r="P1208" s="1178">
        <v>13</v>
      </c>
    </row>
    <row r="1209" spans="1:16">
      <c r="A1209" s="1178" t="s">
        <v>20821</v>
      </c>
      <c r="B1209" s="1371" t="str">
        <f>HYPERLINK(IFERROR("#Main_Tariff!A"&amp;MATCH(Raeburn_Main_Tariff[[#This Row],[Product Code]],Main_Tariff!I:I,0),"#Main_Tariff!A"&amp;MATCH("*"&amp;RIGHT(A1209,8)&amp;"*",Main_Tariff!A:A,0)),Raeburn_Main_Tariff[[#This Row],[PRODUCER]])</f>
        <v>Domaine Jean Grivot</v>
      </c>
      <c r="C1209" s="1178" t="s">
        <v>20830</v>
      </c>
      <c r="D1209" s="1178" t="s">
        <v>897</v>
      </c>
      <c r="E1209" s="1179">
        <v>2014</v>
      </c>
      <c r="F1209" s="1282" t="s">
        <v>20288</v>
      </c>
      <c r="G1209" s="1368">
        <v>480</v>
      </c>
      <c r="H1209" s="1178" t="s">
        <v>20224</v>
      </c>
      <c r="I1209" s="1178" t="s">
        <v>5018</v>
      </c>
      <c r="J1209" s="1178" t="s">
        <v>662</v>
      </c>
      <c r="K1209" s="1178" t="s">
        <v>267</v>
      </c>
      <c r="L1209" s="1178" t="s">
        <v>211</v>
      </c>
      <c r="M1209" s="1369" t="s">
        <v>23297</v>
      </c>
      <c r="N1209" s="1178"/>
      <c r="O1209" s="1178">
        <v>1</v>
      </c>
      <c r="P1209" s="1178">
        <v>13</v>
      </c>
    </row>
    <row r="1210" spans="1:16">
      <c r="A1210" s="1178" t="s">
        <v>20821</v>
      </c>
      <c r="B1210" s="1371" t="str">
        <f>HYPERLINK(IFERROR("#Main_Tariff!A"&amp;MATCH(Raeburn_Main_Tariff[[#This Row],[Product Code]],Main_Tariff!I:I,0),"#Main_Tariff!A"&amp;MATCH("*"&amp;RIGHT(A1210,8)&amp;"*",Main_Tariff!A:A,0)),Raeburn_Main_Tariff[[#This Row],[PRODUCER]])</f>
        <v>Domaine Jean Grivot</v>
      </c>
      <c r="C1210" s="1178" t="s">
        <v>20830</v>
      </c>
      <c r="D1210" s="1178" t="s">
        <v>897</v>
      </c>
      <c r="E1210" s="1179">
        <v>2013</v>
      </c>
      <c r="F1210" s="1282" t="s">
        <v>20288</v>
      </c>
      <c r="G1210" s="1368">
        <v>498</v>
      </c>
      <c r="H1210" s="1178" t="s">
        <v>20224</v>
      </c>
      <c r="I1210" s="1178" t="s">
        <v>5020</v>
      </c>
      <c r="J1210" s="1178" t="s">
        <v>662</v>
      </c>
      <c r="K1210" s="1178" t="s">
        <v>267</v>
      </c>
      <c r="L1210" s="1178" t="s">
        <v>211</v>
      </c>
      <c r="M1210" s="1369" t="s">
        <v>23297</v>
      </c>
      <c r="N1210" s="1178"/>
      <c r="O1210" s="1178">
        <v>1</v>
      </c>
      <c r="P1210" s="1178">
        <v>13</v>
      </c>
    </row>
    <row r="1211" spans="1:16">
      <c r="A1211" s="1178" t="s">
        <v>20831</v>
      </c>
      <c r="B1211" s="1371" t="str">
        <f>HYPERLINK(IFERROR("#Main_Tariff!A"&amp;MATCH(Raeburn_Main_Tariff[[#This Row],[Product Code]],Main_Tariff!I:I,0),"#Main_Tariff!A"&amp;MATCH("*"&amp;RIGHT(A1211,8)&amp;"*",Main_Tariff!A:A,0)),Raeburn_Main_Tariff[[#This Row],[PRODUCER]])</f>
        <v>Domaine Guillard</v>
      </c>
      <c r="C1211" s="1178" t="s">
        <v>20832</v>
      </c>
      <c r="D1211" s="1178" t="s">
        <v>897</v>
      </c>
      <c r="E1211" s="1179">
        <v>2022</v>
      </c>
      <c r="F1211" s="1282" t="s">
        <v>20220</v>
      </c>
      <c r="G1211" s="1368">
        <v>29.5</v>
      </c>
      <c r="H1211" s="1178" t="s">
        <v>20221</v>
      </c>
      <c r="I1211" s="1178" t="s">
        <v>5032</v>
      </c>
      <c r="J1211" s="1178" t="s">
        <v>662</v>
      </c>
      <c r="K1211" s="1178" t="s">
        <v>267</v>
      </c>
      <c r="L1211" s="1178" t="s">
        <v>211</v>
      </c>
      <c r="M1211" s="1369"/>
      <c r="N1211" s="1178"/>
      <c r="O1211" s="1178">
        <v>6</v>
      </c>
      <c r="P1211" s="1178">
        <v>13</v>
      </c>
    </row>
    <row r="1212" spans="1:16">
      <c r="A1212" s="1178" t="s">
        <v>20831</v>
      </c>
      <c r="B1212" s="1371" t="str">
        <f>HYPERLINK(IFERROR("#Main_Tariff!A"&amp;MATCH(Raeburn_Main_Tariff[[#This Row],[Product Code]],Main_Tariff!I:I,0),"#Main_Tariff!A"&amp;MATCH("*"&amp;RIGHT(A1212,8)&amp;"*",Main_Tariff!A:A,0)),Raeburn_Main_Tariff[[#This Row],[PRODUCER]])</f>
        <v>Domaine Guillard</v>
      </c>
      <c r="C1212" s="1178" t="s">
        <v>20832</v>
      </c>
      <c r="D1212" s="1178" t="s">
        <v>897</v>
      </c>
      <c r="E1212" s="1179">
        <v>2021</v>
      </c>
      <c r="F1212" s="1282" t="s">
        <v>20220</v>
      </c>
      <c r="G1212" s="1368">
        <v>29.5</v>
      </c>
      <c r="H1212" s="1178" t="s">
        <v>20221</v>
      </c>
      <c r="I1212" s="1178" t="s">
        <v>5034</v>
      </c>
      <c r="J1212" s="1178" t="s">
        <v>662</v>
      </c>
      <c r="K1212" s="1178" t="s">
        <v>267</v>
      </c>
      <c r="L1212" s="1178" t="s">
        <v>211</v>
      </c>
      <c r="M1212" s="1369"/>
      <c r="N1212" s="1178"/>
      <c r="O1212" s="1178">
        <v>6</v>
      </c>
      <c r="P1212" s="1178">
        <v>13</v>
      </c>
    </row>
    <row r="1213" spans="1:16">
      <c r="A1213" s="1178" t="s">
        <v>20831</v>
      </c>
      <c r="B1213" s="1371" t="str">
        <f>HYPERLINK(IFERROR("#Main_Tariff!A"&amp;MATCH(Raeburn_Main_Tariff[[#This Row],[Product Code]],Main_Tariff!I:I,0),"#Main_Tariff!A"&amp;MATCH("*"&amp;RIGHT(A1213,8)&amp;"*",Main_Tariff!A:A,0)),Raeburn_Main_Tariff[[#This Row],[PRODUCER]])</f>
        <v>Domaine Guillard</v>
      </c>
      <c r="C1213" s="1178" t="s">
        <v>20832</v>
      </c>
      <c r="D1213" s="1178" t="s">
        <v>897</v>
      </c>
      <c r="E1213" s="1179">
        <v>2020</v>
      </c>
      <c r="F1213" s="1282" t="s">
        <v>20220</v>
      </c>
      <c r="G1213" s="1368">
        <v>29.5</v>
      </c>
      <c r="H1213" s="1178" t="s">
        <v>20221</v>
      </c>
      <c r="I1213" s="1178" t="s">
        <v>5036</v>
      </c>
      <c r="J1213" s="1178" t="s">
        <v>662</v>
      </c>
      <c r="K1213" s="1178" t="s">
        <v>267</v>
      </c>
      <c r="L1213" s="1178" t="s">
        <v>211</v>
      </c>
      <c r="M1213" s="1369"/>
      <c r="N1213" s="1178"/>
      <c r="O1213" s="1178">
        <v>6</v>
      </c>
      <c r="P1213" s="1178">
        <v>13</v>
      </c>
    </row>
    <row r="1214" spans="1:16">
      <c r="A1214" s="1178" t="s">
        <v>20831</v>
      </c>
      <c r="B1214" s="1371" t="str">
        <f>HYPERLINK(IFERROR("#Main_Tariff!A"&amp;MATCH(Raeburn_Main_Tariff[[#This Row],[Product Code]],Main_Tariff!I:I,0),"#Main_Tariff!A"&amp;MATCH("*"&amp;RIGHT(A1214,8)&amp;"*",Main_Tariff!A:A,0)),Raeburn_Main_Tariff[[#This Row],[PRODUCER]])</f>
        <v>Domaine Guillard</v>
      </c>
      <c r="C1214" s="1178" t="s">
        <v>20832</v>
      </c>
      <c r="D1214" s="1178" t="s">
        <v>897</v>
      </c>
      <c r="E1214" s="1179">
        <v>2019</v>
      </c>
      <c r="F1214" s="1282" t="s">
        <v>20220</v>
      </c>
      <c r="G1214" s="1368">
        <v>29.5</v>
      </c>
      <c r="H1214" s="1178" t="s">
        <v>20221</v>
      </c>
      <c r="I1214" s="1178" t="s">
        <v>5037</v>
      </c>
      <c r="J1214" s="1178" t="s">
        <v>662</v>
      </c>
      <c r="K1214" s="1178" t="s">
        <v>267</v>
      </c>
      <c r="L1214" s="1178" t="s">
        <v>211</v>
      </c>
      <c r="M1214" s="1369"/>
      <c r="N1214" s="1178"/>
      <c r="O1214" s="1178">
        <v>6</v>
      </c>
      <c r="P1214" s="1178">
        <v>13</v>
      </c>
    </row>
    <row r="1215" spans="1:16">
      <c r="A1215" s="1178" t="s">
        <v>20831</v>
      </c>
      <c r="B1215" s="1371" t="str">
        <f>HYPERLINK(IFERROR("#Main_Tariff!A"&amp;MATCH(Raeburn_Main_Tariff[[#This Row],[Product Code]],Main_Tariff!I:I,0),"#Main_Tariff!A"&amp;MATCH("*"&amp;RIGHT(A1215,8)&amp;"*",Main_Tariff!A:A,0)),Raeburn_Main_Tariff[[#This Row],[PRODUCER]])</f>
        <v>Domaine Guillard</v>
      </c>
      <c r="C1215" s="1178" t="s">
        <v>20832</v>
      </c>
      <c r="D1215" s="1178" t="s">
        <v>897</v>
      </c>
      <c r="E1215" s="1179">
        <v>2018</v>
      </c>
      <c r="F1215" s="1282" t="s">
        <v>20220</v>
      </c>
      <c r="G1215" s="1368">
        <v>29.5</v>
      </c>
      <c r="H1215" s="1178" t="s">
        <v>20221</v>
      </c>
      <c r="I1215" s="1178" t="s">
        <v>5038</v>
      </c>
      <c r="J1215" s="1178" t="s">
        <v>662</v>
      </c>
      <c r="K1215" s="1178" t="s">
        <v>267</v>
      </c>
      <c r="L1215" s="1178" t="s">
        <v>211</v>
      </c>
      <c r="M1215" s="1369"/>
      <c r="N1215" s="1178"/>
      <c r="O1215" s="1178">
        <v>6</v>
      </c>
      <c r="P1215" s="1178">
        <v>13</v>
      </c>
    </row>
    <row r="1216" spans="1:16">
      <c r="A1216" s="1178" t="s">
        <v>20831</v>
      </c>
      <c r="B1216" s="1371" t="str">
        <f>HYPERLINK(IFERROR("#Main_Tariff!A"&amp;MATCH(Raeburn_Main_Tariff[[#This Row],[Product Code]],Main_Tariff!I:I,0),"#Main_Tariff!A"&amp;MATCH("*"&amp;RIGHT(A1216,8)&amp;"*",Main_Tariff!A:A,0)),Raeburn_Main_Tariff[[#This Row],[PRODUCER]])</f>
        <v>Domaine Guillard</v>
      </c>
      <c r="C1216" s="1178" t="s">
        <v>20833</v>
      </c>
      <c r="D1216" s="1178" t="s">
        <v>897</v>
      </c>
      <c r="E1216" s="1179">
        <v>2022</v>
      </c>
      <c r="F1216" s="1282" t="s">
        <v>20220</v>
      </c>
      <c r="G1216" s="1368">
        <v>31.5</v>
      </c>
      <c r="H1216" s="1178" t="s">
        <v>20221</v>
      </c>
      <c r="I1216" s="1178" t="s">
        <v>5040</v>
      </c>
      <c r="J1216" s="1178" t="s">
        <v>662</v>
      </c>
      <c r="K1216" s="1178" t="s">
        <v>267</v>
      </c>
      <c r="L1216" s="1178" t="s">
        <v>211</v>
      </c>
      <c r="M1216" s="1369"/>
      <c r="N1216" s="1178"/>
      <c r="O1216" s="1178">
        <v>6</v>
      </c>
      <c r="P1216" s="1178">
        <v>13</v>
      </c>
    </row>
    <row r="1217" spans="1:16">
      <c r="A1217" s="1178" t="s">
        <v>20831</v>
      </c>
      <c r="B1217" s="1371" t="str">
        <f>HYPERLINK(IFERROR("#Main_Tariff!A"&amp;MATCH(Raeburn_Main_Tariff[[#This Row],[Product Code]],Main_Tariff!I:I,0),"#Main_Tariff!A"&amp;MATCH("*"&amp;RIGHT(A1217,8)&amp;"*",Main_Tariff!A:A,0)),Raeburn_Main_Tariff[[#This Row],[PRODUCER]])</f>
        <v>Domaine Guillard</v>
      </c>
      <c r="C1217" s="1178" t="s">
        <v>20833</v>
      </c>
      <c r="D1217" s="1178" t="s">
        <v>897</v>
      </c>
      <c r="E1217" s="1179">
        <v>2021</v>
      </c>
      <c r="F1217" s="1282" t="s">
        <v>20220</v>
      </c>
      <c r="G1217" s="1368">
        <v>31.5</v>
      </c>
      <c r="H1217" s="1178" t="s">
        <v>20221</v>
      </c>
      <c r="I1217" s="1178" t="s">
        <v>5042</v>
      </c>
      <c r="J1217" s="1178" t="s">
        <v>662</v>
      </c>
      <c r="K1217" s="1178" t="s">
        <v>267</v>
      </c>
      <c r="L1217" s="1178" t="s">
        <v>211</v>
      </c>
      <c r="M1217" s="1369"/>
      <c r="N1217" s="1178"/>
      <c r="O1217" s="1178">
        <v>6</v>
      </c>
      <c r="P1217" s="1178">
        <v>13</v>
      </c>
    </row>
    <row r="1218" spans="1:16">
      <c r="A1218" s="1178" t="s">
        <v>20831</v>
      </c>
      <c r="B1218" s="1371" t="str">
        <f>HYPERLINK(IFERROR("#Main_Tariff!A"&amp;MATCH(Raeburn_Main_Tariff[[#This Row],[Product Code]],Main_Tariff!I:I,0),"#Main_Tariff!A"&amp;MATCH("*"&amp;RIGHT(A1218,8)&amp;"*",Main_Tariff!A:A,0)),Raeburn_Main_Tariff[[#This Row],[PRODUCER]])</f>
        <v>Domaine Guillard</v>
      </c>
      <c r="C1218" s="1178" t="s">
        <v>20833</v>
      </c>
      <c r="D1218" s="1178" t="s">
        <v>897</v>
      </c>
      <c r="E1218" s="1179">
        <v>2020</v>
      </c>
      <c r="F1218" s="1282" t="s">
        <v>20220</v>
      </c>
      <c r="G1218" s="1368">
        <v>31.5</v>
      </c>
      <c r="H1218" s="1178" t="s">
        <v>20221</v>
      </c>
      <c r="I1218" s="1178" t="s">
        <v>5044</v>
      </c>
      <c r="J1218" s="1178" t="s">
        <v>662</v>
      </c>
      <c r="K1218" s="1178" t="s">
        <v>267</v>
      </c>
      <c r="L1218" s="1178" t="s">
        <v>211</v>
      </c>
      <c r="M1218" s="1369"/>
      <c r="N1218" s="1178"/>
      <c r="O1218" s="1178">
        <v>6</v>
      </c>
      <c r="P1218" s="1178">
        <v>13</v>
      </c>
    </row>
    <row r="1219" spans="1:16">
      <c r="A1219" s="1178" t="s">
        <v>20831</v>
      </c>
      <c r="B1219" s="1371" t="str">
        <f>HYPERLINK(IFERROR("#Main_Tariff!A"&amp;MATCH(Raeburn_Main_Tariff[[#This Row],[Product Code]],Main_Tariff!I:I,0),"#Main_Tariff!A"&amp;MATCH("*"&amp;RIGHT(A1219,8)&amp;"*",Main_Tariff!A:A,0)),Raeburn_Main_Tariff[[#This Row],[PRODUCER]])</f>
        <v>Domaine Guillard</v>
      </c>
      <c r="C1219" s="1178" t="s">
        <v>20833</v>
      </c>
      <c r="D1219" s="1178" t="s">
        <v>897</v>
      </c>
      <c r="E1219" s="1179">
        <v>2019</v>
      </c>
      <c r="F1219" s="1282" t="s">
        <v>20220</v>
      </c>
      <c r="G1219" s="1368">
        <v>31.5</v>
      </c>
      <c r="H1219" s="1178" t="s">
        <v>20221</v>
      </c>
      <c r="I1219" s="1178" t="s">
        <v>5046</v>
      </c>
      <c r="J1219" s="1178" t="s">
        <v>662</v>
      </c>
      <c r="K1219" s="1178" t="s">
        <v>267</v>
      </c>
      <c r="L1219" s="1178" t="s">
        <v>211</v>
      </c>
      <c r="M1219" s="1369"/>
      <c r="N1219" s="1178"/>
      <c r="O1219" s="1178">
        <v>6</v>
      </c>
      <c r="P1219" s="1178">
        <v>13</v>
      </c>
    </row>
    <row r="1220" spans="1:16">
      <c r="A1220" s="1178" t="s">
        <v>20831</v>
      </c>
      <c r="B1220" s="1371" t="str">
        <f>HYPERLINK(IFERROR("#Main_Tariff!A"&amp;MATCH(Raeburn_Main_Tariff[[#This Row],[Product Code]],Main_Tariff!I:I,0),"#Main_Tariff!A"&amp;MATCH("*"&amp;RIGHT(A1220,8)&amp;"*",Main_Tariff!A:A,0)),Raeburn_Main_Tariff[[#This Row],[PRODUCER]])</f>
        <v>Domaine Guillard</v>
      </c>
      <c r="C1220" s="1178" t="s">
        <v>20833</v>
      </c>
      <c r="D1220" s="1178" t="s">
        <v>897</v>
      </c>
      <c r="E1220" s="1179">
        <v>2018</v>
      </c>
      <c r="F1220" s="1282" t="s">
        <v>20220</v>
      </c>
      <c r="G1220" s="1368">
        <v>30.5</v>
      </c>
      <c r="H1220" s="1178" t="s">
        <v>20221</v>
      </c>
      <c r="I1220" s="1178" t="s">
        <v>5048</v>
      </c>
      <c r="J1220" s="1178" t="s">
        <v>662</v>
      </c>
      <c r="K1220" s="1178" t="s">
        <v>267</v>
      </c>
      <c r="L1220" s="1178" t="s">
        <v>211</v>
      </c>
      <c r="M1220" s="1369"/>
      <c r="N1220" s="1178"/>
      <c r="O1220" s="1178">
        <v>6</v>
      </c>
      <c r="P1220" s="1178">
        <v>13</v>
      </c>
    </row>
    <row r="1221" spans="1:16">
      <c r="A1221" s="1178" t="s">
        <v>20831</v>
      </c>
      <c r="B1221" s="1371" t="str">
        <f>HYPERLINK(IFERROR("#Main_Tariff!A"&amp;MATCH(Raeburn_Main_Tariff[[#This Row],[Product Code]],Main_Tariff!I:I,0),"#Main_Tariff!A"&amp;MATCH("*"&amp;RIGHT(A1221,8)&amp;"*",Main_Tariff!A:A,0)),Raeburn_Main_Tariff[[#This Row],[PRODUCER]])</f>
        <v>Domaine Guillard</v>
      </c>
      <c r="C1221" s="1178" t="s">
        <v>20834</v>
      </c>
      <c r="D1221" s="1178" t="s">
        <v>897</v>
      </c>
      <c r="E1221" s="1179">
        <v>2022</v>
      </c>
      <c r="F1221" s="1282" t="s">
        <v>20220</v>
      </c>
      <c r="G1221" s="1368">
        <v>35</v>
      </c>
      <c r="H1221" s="1178" t="s">
        <v>20221</v>
      </c>
      <c r="I1221" s="1178" t="s">
        <v>5050</v>
      </c>
      <c r="J1221" s="1178" t="s">
        <v>662</v>
      </c>
      <c r="K1221" s="1178" t="s">
        <v>267</v>
      </c>
      <c r="L1221" s="1178" t="s">
        <v>211</v>
      </c>
      <c r="M1221" s="1369"/>
      <c r="N1221" s="1178"/>
      <c r="O1221" s="1178">
        <v>6</v>
      </c>
      <c r="P1221" s="1178">
        <v>13</v>
      </c>
    </row>
    <row r="1222" spans="1:16">
      <c r="A1222" s="1178" t="s">
        <v>20831</v>
      </c>
      <c r="B1222" s="1371" t="str">
        <f>HYPERLINK(IFERROR("#Main_Tariff!A"&amp;MATCH(Raeburn_Main_Tariff[[#This Row],[Product Code]],Main_Tariff!I:I,0),"#Main_Tariff!A"&amp;MATCH("*"&amp;RIGHT(A1222,8)&amp;"*",Main_Tariff!A:A,0)),Raeburn_Main_Tariff[[#This Row],[PRODUCER]])</f>
        <v>Domaine Guillard</v>
      </c>
      <c r="C1222" s="1178" t="s">
        <v>20834</v>
      </c>
      <c r="D1222" s="1178" t="s">
        <v>897</v>
      </c>
      <c r="E1222" s="1179">
        <v>2021</v>
      </c>
      <c r="F1222" s="1282" t="s">
        <v>20220</v>
      </c>
      <c r="G1222" s="1368">
        <v>35</v>
      </c>
      <c r="H1222" s="1178" t="s">
        <v>20221</v>
      </c>
      <c r="I1222" s="1178" t="s">
        <v>5052</v>
      </c>
      <c r="J1222" s="1178" t="s">
        <v>662</v>
      </c>
      <c r="K1222" s="1178" t="s">
        <v>267</v>
      </c>
      <c r="L1222" s="1178" t="s">
        <v>211</v>
      </c>
      <c r="M1222" s="1369"/>
      <c r="N1222" s="1178"/>
      <c r="O1222" s="1178">
        <v>6</v>
      </c>
      <c r="P1222" s="1178">
        <v>13</v>
      </c>
    </row>
    <row r="1223" spans="1:16">
      <c r="A1223" s="1178" t="s">
        <v>20831</v>
      </c>
      <c r="B1223" s="1371" t="str">
        <f>HYPERLINK(IFERROR("#Main_Tariff!A"&amp;MATCH(Raeburn_Main_Tariff[[#This Row],[Product Code]],Main_Tariff!I:I,0),"#Main_Tariff!A"&amp;MATCH("*"&amp;RIGHT(A1223,8)&amp;"*",Main_Tariff!A:A,0)),Raeburn_Main_Tariff[[#This Row],[PRODUCER]])</f>
        <v>Domaine Guillard</v>
      </c>
      <c r="C1223" s="1178" t="s">
        <v>20834</v>
      </c>
      <c r="D1223" s="1178" t="s">
        <v>897</v>
      </c>
      <c r="E1223" s="1179">
        <v>2020</v>
      </c>
      <c r="F1223" s="1282" t="s">
        <v>20220</v>
      </c>
      <c r="G1223" s="1368">
        <v>35</v>
      </c>
      <c r="H1223" s="1178" t="s">
        <v>20221</v>
      </c>
      <c r="I1223" s="1178" t="s">
        <v>5054</v>
      </c>
      <c r="J1223" s="1178" t="s">
        <v>662</v>
      </c>
      <c r="K1223" s="1178" t="s">
        <v>267</v>
      </c>
      <c r="L1223" s="1178" t="s">
        <v>211</v>
      </c>
      <c r="M1223" s="1369"/>
      <c r="N1223" s="1178"/>
      <c r="O1223" s="1178">
        <v>6</v>
      </c>
      <c r="P1223" s="1178">
        <v>13</v>
      </c>
    </row>
    <row r="1224" spans="1:16">
      <c r="A1224" s="1178" t="s">
        <v>20831</v>
      </c>
      <c r="B1224" s="1371" t="str">
        <f>HYPERLINK(IFERROR("#Main_Tariff!A"&amp;MATCH(Raeburn_Main_Tariff[[#This Row],[Product Code]],Main_Tariff!I:I,0),"#Main_Tariff!A"&amp;MATCH("*"&amp;RIGHT(A1224,8)&amp;"*",Main_Tariff!A:A,0)),Raeburn_Main_Tariff[[#This Row],[PRODUCER]])</f>
        <v>Domaine Guillard</v>
      </c>
      <c r="C1224" s="1178" t="s">
        <v>20834</v>
      </c>
      <c r="D1224" s="1178" t="s">
        <v>897</v>
      </c>
      <c r="E1224" s="1179">
        <v>2019</v>
      </c>
      <c r="F1224" s="1282" t="s">
        <v>20220</v>
      </c>
      <c r="G1224" s="1368">
        <v>35</v>
      </c>
      <c r="H1224" s="1178" t="s">
        <v>20221</v>
      </c>
      <c r="I1224" s="1178" t="s">
        <v>5056</v>
      </c>
      <c r="J1224" s="1178" t="s">
        <v>662</v>
      </c>
      <c r="K1224" s="1178" t="s">
        <v>267</v>
      </c>
      <c r="L1224" s="1178" t="s">
        <v>211</v>
      </c>
      <c r="M1224" s="1369"/>
      <c r="N1224" s="1178"/>
      <c r="O1224" s="1178">
        <v>6</v>
      </c>
      <c r="P1224" s="1178">
        <v>13</v>
      </c>
    </row>
    <row r="1225" spans="1:16">
      <c r="A1225" s="1178" t="s">
        <v>20831</v>
      </c>
      <c r="B1225" s="1371" t="str">
        <f>HYPERLINK(IFERROR("#Main_Tariff!A"&amp;MATCH(Raeburn_Main_Tariff[[#This Row],[Product Code]],Main_Tariff!I:I,0),"#Main_Tariff!A"&amp;MATCH("*"&amp;RIGHT(A1225,8)&amp;"*",Main_Tariff!A:A,0)),Raeburn_Main_Tariff[[#This Row],[PRODUCER]])</f>
        <v>Domaine Guillard</v>
      </c>
      <c r="C1225" s="1178" t="s">
        <v>20834</v>
      </c>
      <c r="D1225" s="1178" t="s">
        <v>897</v>
      </c>
      <c r="E1225" s="1179">
        <v>2018</v>
      </c>
      <c r="F1225" s="1282" t="s">
        <v>20220</v>
      </c>
      <c r="G1225" s="1368">
        <v>34.5</v>
      </c>
      <c r="H1225" s="1178" t="s">
        <v>20221</v>
      </c>
      <c r="I1225" s="1178" t="s">
        <v>5058</v>
      </c>
      <c r="J1225" s="1178" t="s">
        <v>662</v>
      </c>
      <c r="K1225" s="1178" t="s">
        <v>267</v>
      </c>
      <c r="L1225" s="1178" t="s">
        <v>211</v>
      </c>
      <c r="M1225" s="1369"/>
      <c r="N1225" s="1178"/>
      <c r="O1225" s="1178">
        <v>6</v>
      </c>
      <c r="P1225" s="1178">
        <v>13</v>
      </c>
    </row>
    <row r="1226" spans="1:16">
      <c r="A1226" s="1178" t="s">
        <v>20831</v>
      </c>
      <c r="B1226" s="1371" t="str">
        <f>HYPERLINK(IFERROR("#Main_Tariff!A"&amp;MATCH(Raeburn_Main_Tariff[[#This Row],[Product Code]],Main_Tariff!I:I,0),"#Main_Tariff!A"&amp;MATCH("*"&amp;RIGHT(A1226,8)&amp;"*",Main_Tariff!A:A,0)),Raeburn_Main_Tariff[[#This Row],[PRODUCER]])</f>
        <v>Domaine Guillard</v>
      </c>
      <c r="C1226" s="1178" t="s">
        <v>20834</v>
      </c>
      <c r="D1226" s="1178" t="s">
        <v>897</v>
      </c>
      <c r="E1226" s="1179">
        <v>2017</v>
      </c>
      <c r="F1226" s="1282" t="s">
        <v>20220</v>
      </c>
      <c r="G1226" s="1368">
        <v>34.5</v>
      </c>
      <c r="H1226" s="1178" t="s">
        <v>20224</v>
      </c>
      <c r="I1226" s="1178" t="s">
        <v>5060</v>
      </c>
      <c r="J1226" s="1178" t="s">
        <v>662</v>
      </c>
      <c r="K1226" s="1178" t="s">
        <v>267</v>
      </c>
      <c r="L1226" s="1178" t="s">
        <v>211</v>
      </c>
      <c r="M1226" s="1369"/>
      <c r="N1226" s="1178"/>
      <c r="O1226" s="1178">
        <v>6</v>
      </c>
      <c r="P1226" s="1178">
        <v>13</v>
      </c>
    </row>
    <row r="1227" spans="1:16">
      <c r="A1227" s="1178" t="s">
        <v>20831</v>
      </c>
      <c r="B1227" s="1371" t="str">
        <f>HYPERLINK(IFERROR("#Main_Tariff!A"&amp;MATCH(Raeburn_Main_Tariff[[#This Row],[Product Code]],Main_Tariff!I:I,0),"#Main_Tariff!A"&amp;MATCH("*"&amp;RIGHT(A1227,8)&amp;"*",Main_Tariff!A:A,0)),Raeburn_Main_Tariff[[#This Row],[PRODUCER]])</f>
        <v>Domaine Guillard</v>
      </c>
      <c r="C1227" s="1178" t="s">
        <v>20835</v>
      </c>
      <c r="D1227" s="1178" t="s">
        <v>897</v>
      </c>
      <c r="E1227" s="1179">
        <v>2022</v>
      </c>
      <c r="F1227" s="1282" t="s">
        <v>20220</v>
      </c>
      <c r="G1227" s="1368">
        <v>45</v>
      </c>
      <c r="H1227" s="1178" t="s">
        <v>20221</v>
      </c>
      <c r="I1227" s="1178" t="s">
        <v>5062</v>
      </c>
      <c r="J1227" s="1178" t="s">
        <v>662</v>
      </c>
      <c r="K1227" s="1178" t="s">
        <v>267</v>
      </c>
      <c r="L1227" s="1178" t="s">
        <v>211</v>
      </c>
      <c r="M1227" s="1369" t="s">
        <v>23297</v>
      </c>
      <c r="N1227" s="1178"/>
      <c r="O1227" s="1178">
        <v>6</v>
      </c>
      <c r="P1227" s="1178">
        <v>13</v>
      </c>
    </row>
    <row r="1228" spans="1:16">
      <c r="A1228" s="1178" t="s">
        <v>20831</v>
      </c>
      <c r="B1228" s="1371" t="str">
        <f>HYPERLINK(IFERROR("#Main_Tariff!A"&amp;MATCH(Raeburn_Main_Tariff[[#This Row],[Product Code]],Main_Tariff!I:I,0),"#Main_Tariff!A"&amp;MATCH("*"&amp;RIGHT(A1228,8)&amp;"*",Main_Tariff!A:A,0)),Raeburn_Main_Tariff[[#This Row],[PRODUCER]])</f>
        <v>Domaine Guillard</v>
      </c>
      <c r="C1228" s="1178" t="s">
        <v>20835</v>
      </c>
      <c r="D1228" s="1178" t="s">
        <v>897</v>
      </c>
      <c r="E1228" s="1179">
        <v>2021</v>
      </c>
      <c r="F1228" s="1282" t="s">
        <v>20220</v>
      </c>
      <c r="G1228" s="1368">
        <v>45</v>
      </c>
      <c r="H1228" s="1178" t="s">
        <v>20221</v>
      </c>
      <c r="I1228" s="1178" t="s">
        <v>5063</v>
      </c>
      <c r="J1228" s="1178" t="s">
        <v>662</v>
      </c>
      <c r="K1228" s="1178" t="s">
        <v>267</v>
      </c>
      <c r="L1228" s="1178" t="s">
        <v>211</v>
      </c>
      <c r="M1228" s="1369" t="s">
        <v>23297</v>
      </c>
      <c r="N1228" s="1178"/>
      <c r="O1228" s="1178">
        <v>6</v>
      </c>
      <c r="P1228" s="1178">
        <v>13</v>
      </c>
    </row>
    <row r="1229" spans="1:16">
      <c r="A1229" s="1178" t="s">
        <v>20831</v>
      </c>
      <c r="B1229" s="1371" t="str">
        <f>HYPERLINK(IFERROR("#Main_Tariff!A"&amp;MATCH(Raeburn_Main_Tariff[[#This Row],[Product Code]],Main_Tariff!I:I,0),"#Main_Tariff!A"&amp;MATCH("*"&amp;RIGHT(A1229,8)&amp;"*",Main_Tariff!A:A,0)),Raeburn_Main_Tariff[[#This Row],[PRODUCER]])</f>
        <v>Domaine Guillard</v>
      </c>
      <c r="C1229" s="1178" t="s">
        <v>20835</v>
      </c>
      <c r="D1229" s="1178" t="s">
        <v>897</v>
      </c>
      <c r="E1229" s="1179">
        <v>2020</v>
      </c>
      <c r="F1229" s="1282" t="s">
        <v>20220</v>
      </c>
      <c r="G1229" s="1368">
        <v>45</v>
      </c>
      <c r="H1229" s="1178" t="s">
        <v>20221</v>
      </c>
      <c r="I1229" s="1178" t="s">
        <v>5064</v>
      </c>
      <c r="J1229" s="1178" t="s">
        <v>662</v>
      </c>
      <c r="K1229" s="1178" t="s">
        <v>267</v>
      </c>
      <c r="L1229" s="1178" t="s">
        <v>211</v>
      </c>
      <c r="M1229" s="1369" t="s">
        <v>23297</v>
      </c>
      <c r="N1229" s="1178"/>
      <c r="O1229" s="1178">
        <v>6</v>
      </c>
      <c r="P1229" s="1178">
        <v>13</v>
      </c>
    </row>
    <row r="1230" spans="1:16">
      <c r="A1230" s="1178" t="s">
        <v>20831</v>
      </c>
      <c r="B1230" s="1371" t="str">
        <f>HYPERLINK(IFERROR("#Main_Tariff!A"&amp;MATCH(Raeburn_Main_Tariff[[#This Row],[Product Code]],Main_Tariff!I:I,0),"#Main_Tariff!A"&amp;MATCH("*"&amp;RIGHT(A1230,8)&amp;"*",Main_Tariff!A:A,0)),Raeburn_Main_Tariff[[#This Row],[PRODUCER]])</f>
        <v>Domaine Guillard</v>
      </c>
      <c r="C1230" s="1178" t="s">
        <v>20835</v>
      </c>
      <c r="D1230" s="1178" t="s">
        <v>897</v>
      </c>
      <c r="E1230" s="1179">
        <v>2019</v>
      </c>
      <c r="F1230" s="1282" t="s">
        <v>20220</v>
      </c>
      <c r="G1230" s="1368">
        <v>45</v>
      </c>
      <c r="H1230" s="1178" t="s">
        <v>20221</v>
      </c>
      <c r="I1230" s="1178" t="s">
        <v>5065</v>
      </c>
      <c r="J1230" s="1178" t="s">
        <v>662</v>
      </c>
      <c r="K1230" s="1178" t="s">
        <v>267</v>
      </c>
      <c r="L1230" s="1178" t="s">
        <v>211</v>
      </c>
      <c r="M1230" s="1369" t="s">
        <v>23297</v>
      </c>
      <c r="N1230" s="1178"/>
      <c r="O1230" s="1178">
        <v>6</v>
      </c>
      <c r="P1230" s="1178">
        <v>13</v>
      </c>
    </row>
    <row r="1231" spans="1:16">
      <c r="A1231" s="1178" t="s">
        <v>20831</v>
      </c>
      <c r="B1231" s="1371" t="str">
        <f>HYPERLINK(IFERROR("#Main_Tariff!A"&amp;MATCH(Raeburn_Main_Tariff[[#This Row],[Product Code]],Main_Tariff!I:I,0),"#Main_Tariff!A"&amp;MATCH("*"&amp;RIGHT(A1231,8)&amp;"*",Main_Tariff!A:A,0)),Raeburn_Main_Tariff[[#This Row],[PRODUCER]])</f>
        <v>Domaine Guillard</v>
      </c>
      <c r="C1231" s="1178" t="s">
        <v>20835</v>
      </c>
      <c r="D1231" s="1178" t="s">
        <v>897</v>
      </c>
      <c r="E1231" s="1179">
        <v>2018</v>
      </c>
      <c r="F1231" s="1282" t="s">
        <v>20220</v>
      </c>
      <c r="G1231" s="1368">
        <v>44</v>
      </c>
      <c r="H1231" s="1178" t="s">
        <v>20221</v>
      </c>
      <c r="I1231" s="1178" t="s">
        <v>5066</v>
      </c>
      <c r="J1231" s="1178" t="s">
        <v>662</v>
      </c>
      <c r="K1231" s="1178" t="s">
        <v>267</v>
      </c>
      <c r="L1231" s="1178" t="s">
        <v>211</v>
      </c>
      <c r="M1231" s="1369" t="s">
        <v>23297</v>
      </c>
      <c r="N1231" s="1178"/>
      <c r="O1231" s="1178">
        <v>6</v>
      </c>
      <c r="P1231" s="1178">
        <v>13</v>
      </c>
    </row>
    <row r="1232" spans="1:16">
      <c r="A1232" s="1178" t="s">
        <v>20831</v>
      </c>
      <c r="B1232" s="1371" t="str">
        <f>HYPERLINK(IFERROR("#Main_Tariff!A"&amp;MATCH(Raeburn_Main_Tariff[[#This Row],[Product Code]],Main_Tariff!I:I,0),"#Main_Tariff!A"&amp;MATCH("*"&amp;RIGHT(A1232,8)&amp;"*",Main_Tariff!A:A,0)),Raeburn_Main_Tariff[[#This Row],[PRODUCER]])</f>
        <v>Domaine Guillard</v>
      </c>
      <c r="C1232" s="1178" t="s">
        <v>20835</v>
      </c>
      <c r="D1232" s="1178" t="s">
        <v>897</v>
      </c>
      <c r="E1232" s="1179">
        <v>2017</v>
      </c>
      <c r="F1232" s="1282" t="s">
        <v>20220</v>
      </c>
      <c r="G1232" s="1368">
        <v>44</v>
      </c>
      <c r="H1232" s="1178" t="s">
        <v>20221</v>
      </c>
      <c r="I1232" s="1178" t="s">
        <v>5067</v>
      </c>
      <c r="J1232" s="1178" t="s">
        <v>662</v>
      </c>
      <c r="K1232" s="1178" t="s">
        <v>267</v>
      </c>
      <c r="L1232" s="1178" t="s">
        <v>211</v>
      </c>
      <c r="M1232" s="1369" t="s">
        <v>23297</v>
      </c>
      <c r="N1232" s="1178"/>
      <c r="O1232" s="1178">
        <v>6</v>
      </c>
      <c r="P1232" s="1178">
        <v>13</v>
      </c>
    </row>
    <row r="1233" spans="1:16">
      <c r="A1233" s="1178" t="s">
        <v>20831</v>
      </c>
      <c r="B1233" s="1371" t="str">
        <f>HYPERLINK(IFERROR("#Main_Tariff!A"&amp;MATCH(Raeburn_Main_Tariff[[#This Row],[Product Code]],Main_Tariff!I:I,0),"#Main_Tariff!A"&amp;MATCH("*"&amp;RIGHT(A1233,8)&amp;"*",Main_Tariff!A:A,0)),Raeburn_Main_Tariff[[#This Row],[PRODUCER]])</f>
        <v>Domaine Guillard</v>
      </c>
      <c r="C1233" s="1178" t="s">
        <v>20836</v>
      </c>
      <c r="D1233" s="1178" t="s">
        <v>897</v>
      </c>
      <c r="E1233" s="1179">
        <v>2022</v>
      </c>
      <c r="F1233" s="1282" t="s">
        <v>20220</v>
      </c>
      <c r="G1233" s="1368">
        <v>45</v>
      </c>
      <c r="H1233" s="1178" t="s">
        <v>20221</v>
      </c>
      <c r="I1233" s="1178" t="s">
        <v>5069</v>
      </c>
      <c r="J1233" s="1178" t="s">
        <v>662</v>
      </c>
      <c r="K1233" s="1178" t="s">
        <v>267</v>
      </c>
      <c r="L1233" s="1178" t="s">
        <v>211</v>
      </c>
      <c r="M1233" s="1369" t="s">
        <v>23297</v>
      </c>
      <c r="N1233" s="1178"/>
      <c r="O1233" s="1178">
        <v>6</v>
      </c>
      <c r="P1233" s="1178">
        <v>13</v>
      </c>
    </row>
    <row r="1234" spans="1:16">
      <c r="A1234" s="1178" t="s">
        <v>20831</v>
      </c>
      <c r="B1234" s="1371" t="str">
        <f>HYPERLINK(IFERROR("#Main_Tariff!A"&amp;MATCH(Raeburn_Main_Tariff[[#This Row],[Product Code]],Main_Tariff!I:I,0),"#Main_Tariff!A"&amp;MATCH("*"&amp;RIGHT(A1234,8)&amp;"*",Main_Tariff!A:A,0)),Raeburn_Main_Tariff[[#This Row],[PRODUCER]])</f>
        <v>Domaine Guillard</v>
      </c>
      <c r="C1234" s="1178" t="s">
        <v>20836</v>
      </c>
      <c r="D1234" s="1178" t="s">
        <v>897</v>
      </c>
      <c r="E1234" s="1179">
        <v>2021</v>
      </c>
      <c r="F1234" s="1282" t="s">
        <v>20220</v>
      </c>
      <c r="G1234" s="1368">
        <v>45</v>
      </c>
      <c r="H1234" s="1178" t="s">
        <v>20221</v>
      </c>
      <c r="I1234" s="1178" t="s">
        <v>5070</v>
      </c>
      <c r="J1234" s="1178" t="s">
        <v>662</v>
      </c>
      <c r="K1234" s="1178" t="s">
        <v>267</v>
      </c>
      <c r="L1234" s="1178" t="s">
        <v>211</v>
      </c>
      <c r="M1234" s="1369" t="s">
        <v>23297</v>
      </c>
      <c r="N1234" s="1178"/>
      <c r="O1234" s="1178">
        <v>6</v>
      </c>
      <c r="P1234" s="1178">
        <v>13</v>
      </c>
    </row>
    <row r="1235" spans="1:16">
      <c r="A1235" s="1178" t="s">
        <v>20831</v>
      </c>
      <c r="B1235" s="1371" t="str">
        <f>HYPERLINK(IFERROR("#Main_Tariff!A"&amp;MATCH(Raeburn_Main_Tariff[[#This Row],[Product Code]],Main_Tariff!I:I,0),"#Main_Tariff!A"&amp;MATCH("*"&amp;RIGHT(A1235,8)&amp;"*",Main_Tariff!A:A,0)),Raeburn_Main_Tariff[[#This Row],[PRODUCER]])</f>
        <v>Domaine Guillard</v>
      </c>
      <c r="C1235" s="1178" t="s">
        <v>20836</v>
      </c>
      <c r="D1235" s="1178" t="s">
        <v>897</v>
      </c>
      <c r="E1235" s="1179">
        <v>2020</v>
      </c>
      <c r="F1235" s="1282" t="s">
        <v>20220</v>
      </c>
      <c r="G1235" s="1368">
        <v>45</v>
      </c>
      <c r="H1235" s="1178" t="s">
        <v>20221</v>
      </c>
      <c r="I1235" s="1178" t="s">
        <v>5071</v>
      </c>
      <c r="J1235" s="1178" t="s">
        <v>662</v>
      </c>
      <c r="K1235" s="1178" t="s">
        <v>267</v>
      </c>
      <c r="L1235" s="1178" t="s">
        <v>211</v>
      </c>
      <c r="M1235" s="1369" t="s">
        <v>23297</v>
      </c>
      <c r="N1235" s="1178"/>
      <c r="O1235" s="1178">
        <v>6</v>
      </c>
      <c r="P1235" s="1178">
        <v>13</v>
      </c>
    </row>
    <row r="1236" spans="1:16">
      <c r="A1236" s="1178" t="s">
        <v>20831</v>
      </c>
      <c r="B1236" s="1371" t="str">
        <f>HYPERLINK(IFERROR("#Main_Tariff!A"&amp;MATCH(Raeburn_Main_Tariff[[#This Row],[Product Code]],Main_Tariff!I:I,0),"#Main_Tariff!A"&amp;MATCH("*"&amp;RIGHT(A1236,8)&amp;"*",Main_Tariff!A:A,0)),Raeburn_Main_Tariff[[#This Row],[PRODUCER]])</f>
        <v>Domaine Guillard</v>
      </c>
      <c r="C1236" s="1178" t="s">
        <v>20836</v>
      </c>
      <c r="D1236" s="1178" t="s">
        <v>897</v>
      </c>
      <c r="E1236" s="1179">
        <v>2019</v>
      </c>
      <c r="F1236" s="1282" t="s">
        <v>20220</v>
      </c>
      <c r="G1236" s="1368">
        <v>45</v>
      </c>
      <c r="H1236" s="1178" t="s">
        <v>20221</v>
      </c>
      <c r="I1236" s="1178" t="s">
        <v>5072</v>
      </c>
      <c r="J1236" s="1178" t="s">
        <v>662</v>
      </c>
      <c r="K1236" s="1178" t="s">
        <v>267</v>
      </c>
      <c r="L1236" s="1178" t="s">
        <v>211</v>
      </c>
      <c r="M1236" s="1369" t="s">
        <v>23297</v>
      </c>
      <c r="N1236" s="1178"/>
      <c r="O1236" s="1178">
        <v>6</v>
      </c>
      <c r="P1236" s="1178">
        <v>13</v>
      </c>
    </row>
    <row r="1237" spans="1:16">
      <c r="A1237" s="1178" t="s">
        <v>20831</v>
      </c>
      <c r="B1237" s="1371" t="str">
        <f>HYPERLINK(IFERROR("#Main_Tariff!A"&amp;MATCH(Raeburn_Main_Tariff[[#This Row],[Product Code]],Main_Tariff!I:I,0),"#Main_Tariff!A"&amp;MATCH("*"&amp;RIGHT(A1237,8)&amp;"*",Main_Tariff!A:A,0)),Raeburn_Main_Tariff[[#This Row],[PRODUCER]])</f>
        <v>Domaine Guillard</v>
      </c>
      <c r="C1237" s="1178" t="s">
        <v>20836</v>
      </c>
      <c r="D1237" s="1178" t="s">
        <v>897</v>
      </c>
      <c r="E1237" s="1179">
        <v>2018</v>
      </c>
      <c r="F1237" s="1282" t="s">
        <v>20220</v>
      </c>
      <c r="G1237" s="1368">
        <v>44</v>
      </c>
      <c r="H1237" s="1178" t="s">
        <v>20221</v>
      </c>
      <c r="I1237" s="1178" t="s">
        <v>5073</v>
      </c>
      <c r="J1237" s="1178" t="s">
        <v>662</v>
      </c>
      <c r="K1237" s="1178" t="s">
        <v>267</v>
      </c>
      <c r="L1237" s="1178" t="s">
        <v>211</v>
      </c>
      <c r="M1237" s="1369" t="s">
        <v>23297</v>
      </c>
      <c r="N1237" s="1178"/>
      <c r="O1237" s="1178">
        <v>6</v>
      </c>
      <c r="P1237" s="1178">
        <v>13</v>
      </c>
    </row>
    <row r="1238" spans="1:16">
      <c r="A1238" s="1178" t="s">
        <v>20831</v>
      </c>
      <c r="B1238" s="1371" t="str">
        <f>HYPERLINK(IFERROR("#Main_Tariff!A"&amp;MATCH(Raeburn_Main_Tariff[[#This Row],[Product Code]],Main_Tariff!I:I,0),"#Main_Tariff!A"&amp;MATCH("*"&amp;RIGHT(A1238,8)&amp;"*",Main_Tariff!A:A,0)),Raeburn_Main_Tariff[[#This Row],[PRODUCER]])</f>
        <v>Domaine Guillard</v>
      </c>
      <c r="C1238" s="1178" t="s">
        <v>20836</v>
      </c>
      <c r="D1238" s="1178" t="s">
        <v>897</v>
      </c>
      <c r="E1238" s="1179">
        <v>2017</v>
      </c>
      <c r="F1238" s="1282" t="s">
        <v>20220</v>
      </c>
      <c r="G1238" s="1368">
        <v>44</v>
      </c>
      <c r="H1238" s="1178" t="s">
        <v>20221</v>
      </c>
      <c r="I1238" s="1178" t="s">
        <v>5074</v>
      </c>
      <c r="J1238" s="1178" t="s">
        <v>662</v>
      </c>
      <c r="K1238" s="1178" t="s">
        <v>267</v>
      </c>
      <c r="L1238" s="1178" t="s">
        <v>211</v>
      </c>
      <c r="M1238" s="1369" t="s">
        <v>23297</v>
      </c>
      <c r="N1238" s="1178"/>
      <c r="O1238" s="1178">
        <v>6</v>
      </c>
      <c r="P1238" s="1178">
        <v>13</v>
      </c>
    </row>
    <row r="1239" spans="1:16">
      <c r="A1239" s="1178" t="s">
        <v>20831</v>
      </c>
      <c r="B1239" s="1371" t="str">
        <f>HYPERLINK(IFERROR("#Main_Tariff!A"&amp;MATCH(Raeburn_Main_Tariff[[#This Row],[Product Code]],Main_Tariff!I:I,0),"#Main_Tariff!A"&amp;MATCH("*"&amp;RIGHT(A1239,8)&amp;"*",Main_Tariff!A:A,0)),Raeburn_Main_Tariff[[#This Row],[PRODUCER]])</f>
        <v>Domaine Guillard</v>
      </c>
      <c r="C1239" s="1178" t="s">
        <v>20837</v>
      </c>
      <c r="D1239" s="1178" t="s">
        <v>897</v>
      </c>
      <c r="E1239" s="1179">
        <v>2022</v>
      </c>
      <c r="F1239" s="1282" t="s">
        <v>20220</v>
      </c>
      <c r="G1239" s="1368">
        <v>54</v>
      </c>
      <c r="H1239" s="1178" t="s">
        <v>20221</v>
      </c>
      <c r="I1239" s="1178" t="s">
        <v>5075</v>
      </c>
      <c r="J1239" s="1178" t="s">
        <v>662</v>
      </c>
      <c r="K1239" s="1178" t="s">
        <v>267</v>
      </c>
      <c r="L1239" s="1178" t="s">
        <v>211</v>
      </c>
      <c r="M1239" s="1369" t="s">
        <v>23297</v>
      </c>
      <c r="N1239" s="1178"/>
      <c r="O1239" s="1178">
        <v>6</v>
      </c>
      <c r="P1239" s="1178">
        <v>13</v>
      </c>
    </row>
    <row r="1240" spans="1:16">
      <c r="A1240" s="1178" t="s">
        <v>20831</v>
      </c>
      <c r="B1240" s="1371" t="str">
        <f>HYPERLINK(IFERROR("#Main_Tariff!A"&amp;MATCH(Raeburn_Main_Tariff[[#This Row],[Product Code]],Main_Tariff!I:I,0),"#Main_Tariff!A"&amp;MATCH("*"&amp;RIGHT(A1240,8)&amp;"*",Main_Tariff!A:A,0)),Raeburn_Main_Tariff[[#This Row],[PRODUCER]])</f>
        <v>Domaine Guillard</v>
      </c>
      <c r="C1240" s="1178" t="s">
        <v>20837</v>
      </c>
      <c r="D1240" s="1178" t="s">
        <v>897</v>
      </c>
      <c r="E1240" s="1179">
        <v>2021</v>
      </c>
      <c r="F1240" s="1282" t="s">
        <v>20220</v>
      </c>
      <c r="G1240" s="1368">
        <v>54</v>
      </c>
      <c r="H1240" s="1178" t="s">
        <v>20221</v>
      </c>
      <c r="I1240" s="1178" t="s">
        <v>5076</v>
      </c>
      <c r="J1240" s="1178" t="s">
        <v>662</v>
      </c>
      <c r="K1240" s="1178" t="s">
        <v>267</v>
      </c>
      <c r="L1240" s="1178" t="s">
        <v>211</v>
      </c>
      <c r="M1240" s="1369" t="s">
        <v>23297</v>
      </c>
      <c r="N1240" s="1178"/>
      <c r="O1240" s="1178">
        <v>6</v>
      </c>
      <c r="P1240" s="1178">
        <v>13</v>
      </c>
    </row>
    <row r="1241" spans="1:16">
      <c r="A1241" s="1178" t="s">
        <v>20831</v>
      </c>
      <c r="B1241" s="1371" t="str">
        <f>HYPERLINK(IFERROR("#Main_Tariff!A"&amp;MATCH(Raeburn_Main_Tariff[[#This Row],[Product Code]],Main_Tariff!I:I,0),"#Main_Tariff!A"&amp;MATCH("*"&amp;RIGHT(A1241,8)&amp;"*",Main_Tariff!A:A,0)),Raeburn_Main_Tariff[[#This Row],[PRODUCER]])</f>
        <v>Domaine Guillard</v>
      </c>
      <c r="C1241" s="1178" t="s">
        <v>20837</v>
      </c>
      <c r="D1241" s="1178" t="s">
        <v>897</v>
      </c>
      <c r="E1241" s="1179">
        <v>2020</v>
      </c>
      <c r="F1241" s="1282" t="s">
        <v>20220</v>
      </c>
      <c r="G1241" s="1368">
        <v>54</v>
      </c>
      <c r="H1241" s="1178" t="s">
        <v>20221</v>
      </c>
      <c r="I1241" s="1178" t="s">
        <v>5077</v>
      </c>
      <c r="J1241" s="1178" t="s">
        <v>662</v>
      </c>
      <c r="K1241" s="1178" t="s">
        <v>267</v>
      </c>
      <c r="L1241" s="1178" t="s">
        <v>211</v>
      </c>
      <c r="M1241" s="1369" t="s">
        <v>23297</v>
      </c>
      <c r="N1241" s="1178"/>
      <c r="O1241" s="1178">
        <v>6</v>
      </c>
      <c r="P1241" s="1178">
        <v>13</v>
      </c>
    </row>
    <row r="1242" spans="1:16">
      <c r="A1242" s="1178" t="s">
        <v>20831</v>
      </c>
      <c r="B1242" s="1371" t="str">
        <f>HYPERLINK(IFERROR("#Main_Tariff!A"&amp;MATCH(Raeburn_Main_Tariff[[#This Row],[Product Code]],Main_Tariff!I:I,0),"#Main_Tariff!A"&amp;MATCH("*"&amp;RIGHT(A1242,8)&amp;"*",Main_Tariff!A:A,0)),Raeburn_Main_Tariff[[#This Row],[PRODUCER]])</f>
        <v>Domaine Guillard</v>
      </c>
      <c r="C1242" s="1178" t="s">
        <v>20837</v>
      </c>
      <c r="D1242" s="1178" t="s">
        <v>897</v>
      </c>
      <c r="E1242" s="1179">
        <v>2019</v>
      </c>
      <c r="F1242" s="1282" t="s">
        <v>20220</v>
      </c>
      <c r="G1242" s="1368">
        <v>54</v>
      </c>
      <c r="H1242" s="1178" t="s">
        <v>20221</v>
      </c>
      <c r="I1242" s="1178" t="s">
        <v>5078</v>
      </c>
      <c r="J1242" s="1178" t="s">
        <v>662</v>
      </c>
      <c r="K1242" s="1178" t="s">
        <v>267</v>
      </c>
      <c r="L1242" s="1178" t="s">
        <v>211</v>
      </c>
      <c r="M1242" s="1369" t="s">
        <v>23297</v>
      </c>
      <c r="N1242" s="1178"/>
      <c r="O1242" s="1178">
        <v>6</v>
      </c>
      <c r="P1242" s="1178">
        <v>13</v>
      </c>
    </row>
    <row r="1243" spans="1:16">
      <c r="A1243" s="1178" t="s">
        <v>20831</v>
      </c>
      <c r="B1243" s="1371" t="str">
        <f>HYPERLINK(IFERROR("#Main_Tariff!A"&amp;MATCH(Raeburn_Main_Tariff[[#This Row],[Product Code]],Main_Tariff!I:I,0),"#Main_Tariff!A"&amp;MATCH("*"&amp;RIGHT(A1243,8)&amp;"*",Main_Tariff!A:A,0)),Raeburn_Main_Tariff[[#This Row],[PRODUCER]])</f>
        <v>Domaine Guillard</v>
      </c>
      <c r="C1243" s="1178" t="s">
        <v>20837</v>
      </c>
      <c r="D1243" s="1178" t="s">
        <v>897</v>
      </c>
      <c r="E1243" s="1179">
        <v>2017</v>
      </c>
      <c r="F1243" s="1282" t="s">
        <v>20220</v>
      </c>
      <c r="G1243" s="1368">
        <v>54</v>
      </c>
      <c r="H1243" s="1178" t="s">
        <v>20221</v>
      </c>
      <c r="I1243" s="1178" t="s">
        <v>5079</v>
      </c>
      <c r="J1243" s="1178" t="s">
        <v>662</v>
      </c>
      <c r="K1243" s="1178" t="s">
        <v>267</v>
      </c>
      <c r="L1243" s="1178" t="s">
        <v>211</v>
      </c>
      <c r="M1243" s="1369" t="s">
        <v>23297</v>
      </c>
      <c r="N1243" s="1178"/>
      <c r="O1243" s="1178">
        <v>6</v>
      </c>
      <c r="P1243" s="1178">
        <v>13</v>
      </c>
    </row>
    <row r="1244" spans="1:16">
      <c r="A1244" s="1178" t="s">
        <v>20838</v>
      </c>
      <c r="B1244" s="1371" t="str">
        <f>HYPERLINK(IFERROR("#Main_Tariff!A"&amp;MATCH(Raeburn_Main_Tariff[[#This Row],[Product Code]],Main_Tariff!I:I,0),"#Main_Tariff!A"&amp;MATCH("*"&amp;RIGHT(A1244,8)&amp;"*",Main_Tariff!A:A,0)),Raeburn_Main_Tariff[[#This Row],[PRODUCER]])</f>
        <v>Domaine J.P. Guyon</v>
      </c>
      <c r="C1244" s="1178" t="s">
        <v>20839</v>
      </c>
      <c r="D1244" s="1178" t="s">
        <v>1129</v>
      </c>
      <c r="E1244" s="1179">
        <v>2021</v>
      </c>
      <c r="F1244" s="1282" t="s">
        <v>20220</v>
      </c>
      <c r="G1244" s="1368">
        <v>63</v>
      </c>
      <c r="H1244" s="1178" t="s">
        <v>20221</v>
      </c>
      <c r="I1244" s="1178" t="s">
        <v>5091</v>
      </c>
      <c r="J1244" s="1178" t="s">
        <v>662</v>
      </c>
      <c r="K1244" s="1178" t="s">
        <v>267</v>
      </c>
      <c r="L1244" s="1178" t="s">
        <v>211</v>
      </c>
      <c r="M1244" s="1369"/>
      <c r="N1244" s="1178" t="s">
        <v>20244</v>
      </c>
      <c r="O1244" s="1178">
        <v>6</v>
      </c>
      <c r="P1244" s="1178">
        <v>13.5</v>
      </c>
    </row>
    <row r="1245" spans="1:16">
      <c r="A1245" s="1178" t="s">
        <v>20838</v>
      </c>
      <c r="B1245" s="1371" t="str">
        <f>HYPERLINK(IFERROR("#Main_Tariff!A"&amp;MATCH(Raeburn_Main_Tariff[[#This Row],[Product Code]],Main_Tariff!I:I,0),"#Main_Tariff!A"&amp;MATCH("*"&amp;RIGHT(A1245,8)&amp;"*",Main_Tariff!A:A,0)),Raeburn_Main_Tariff[[#This Row],[PRODUCER]])</f>
        <v>Domaine J.P. Guyon</v>
      </c>
      <c r="C1245" s="1178" t="s">
        <v>20839</v>
      </c>
      <c r="D1245" s="1178" t="s">
        <v>1129</v>
      </c>
      <c r="E1245" s="1179">
        <v>2020</v>
      </c>
      <c r="F1245" s="1282" t="s">
        <v>20220</v>
      </c>
      <c r="G1245" s="1368">
        <v>49.5</v>
      </c>
      <c r="H1245" s="1178" t="s">
        <v>20221</v>
      </c>
      <c r="I1245" s="1178" t="s">
        <v>5093</v>
      </c>
      <c r="J1245" s="1178" t="s">
        <v>662</v>
      </c>
      <c r="K1245" s="1178" t="s">
        <v>267</v>
      </c>
      <c r="L1245" s="1178" t="s">
        <v>211</v>
      </c>
      <c r="M1245" s="1369"/>
      <c r="N1245" s="1178"/>
      <c r="O1245" s="1178">
        <v>6</v>
      </c>
      <c r="P1245" s="1178">
        <v>14</v>
      </c>
    </row>
    <row r="1246" spans="1:16">
      <c r="A1246" s="1178" t="s">
        <v>20838</v>
      </c>
      <c r="B1246" s="1371" t="str">
        <f>HYPERLINK(IFERROR("#Main_Tariff!A"&amp;MATCH(Raeburn_Main_Tariff[[#This Row],[Product Code]],Main_Tariff!I:I,0),"#Main_Tariff!A"&amp;MATCH("*"&amp;RIGHT(A1246,8)&amp;"*",Main_Tariff!A:A,0)),Raeburn_Main_Tariff[[#This Row],[PRODUCER]])</f>
        <v>Domaine J.P. Guyon</v>
      </c>
      <c r="C1246" s="1178" t="s">
        <v>20839</v>
      </c>
      <c r="D1246" s="1178" t="s">
        <v>1129</v>
      </c>
      <c r="E1246" s="1179">
        <v>2019</v>
      </c>
      <c r="F1246" s="1282" t="s">
        <v>20220</v>
      </c>
      <c r="G1246" s="1368">
        <v>48.5</v>
      </c>
      <c r="H1246" s="1178" t="s">
        <v>20221</v>
      </c>
      <c r="I1246" s="1178" t="s">
        <v>5095</v>
      </c>
      <c r="J1246" s="1178" t="s">
        <v>662</v>
      </c>
      <c r="K1246" s="1178" t="s">
        <v>267</v>
      </c>
      <c r="L1246" s="1178" t="s">
        <v>211</v>
      </c>
      <c r="M1246" s="1369"/>
      <c r="N1246" s="1178"/>
      <c r="O1246" s="1178">
        <v>6</v>
      </c>
      <c r="P1246" s="1178">
        <v>13.5</v>
      </c>
    </row>
    <row r="1247" spans="1:16">
      <c r="A1247" s="1178" t="s">
        <v>20838</v>
      </c>
      <c r="B1247" s="1371" t="str">
        <f>HYPERLINK(IFERROR("#Main_Tariff!A"&amp;MATCH(Raeburn_Main_Tariff[[#This Row],[Product Code]],Main_Tariff!I:I,0),"#Main_Tariff!A"&amp;MATCH("*"&amp;RIGHT(A1247,8)&amp;"*",Main_Tariff!A:A,0)),Raeburn_Main_Tariff[[#This Row],[PRODUCER]])</f>
        <v>Domaine J.P. Guyon</v>
      </c>
      <c r="C1247" s="1178" t="s">
        <v>20839</v>
      </c>
      <c r="D1247" s="1178" t="s">
        <v>1129</v>
      </c>
      <c r="E1247" s="1179">
        <v>2018</v>
      </c>
      <c r="F1247" s="1282" t="s">
        <v>20220</v>
      </c>
      <c r="G1247" s="1368">
        <v>46.5</v>
      </c>
      <c r="H1247" s="1178" t="s">
        <v>20221</v>
      </c>
      <c r="I1247" s="1178" t="s">
        <v>5096</v>
      </c>
      <c r="J1247" s="1178" t="s">
        <v>662</v>
      </c>
      <c r="K1247" s="1178" t="s">
        <v>267</v>
      </c>
      <c r="L1247" s="1178" t="s">
        <v>211</v>
      </c>
      <c r="M1247" s="1369"/>
      <c r="N1247" s="1178"/>
      <c r="O1247" s="1178">
        <v>6</v>
      </c>
      <c r="P1247" s="1178">
        <v>13.5</v>
      </c>
    </row>
    <row r="1248" spans="1:16">
      <c r="A1248" s="1178" t="s">
        <v>20838</v>
      </c>
      <c r="B1248" s="1371" t="str">
        <f>HYPERLINK(IFERROR("#Main_Tariff!A"&amp;MATCH(Raeburn_Main_Tariff[[#This Row],[Product Code]],Main_Tariff!I:I,0),"#Main_Tariff!A"&amp;MATCH("*"&amp;RIGHT(A1248,8)&amp;"*",Main_Tariff!A:A,0)),Raeburn_Main_Tariff[[#This Row],[PRODUCER]])</f>
        <v>Domaine J.P. Guyon</v>
      </c>
      <c r="C1248" s="1178" t="s">
        <v>20839</v>
      </c>
      <c r="D1248" s="1178" t="s">
        <v>1129</v>
      </c>
      <c r="E1248" s="1179">
        <v>2017</v>
      </c>
      <c r="F1248" s="1282" t="s">
        <v>20220</v>
      </c>
      <c r="G1248" s="1368">
        <v>46.5</v>
      </c>
      <c r="H1248" s="1178" t="s">
        <v>20221</v>
      </c>
      <c r="I1248" s="1178" t="s">
        <v>5098</v>
      </c>
      <c r="J1248" s="1178" t="s">
        <v>662</v>
      </c>
      <c r="K1248" s="1178" t="s">
        <v>267</v>
      </c>
      <c r="L1248" s="1178" t="s">
        <v>211</v>
      </c>
      <c r="M1248" s="1369"/>
      <c r="N1248" s="1178"/>
      <c r="O1248" s="1178">
        <v>6</v>
      </c>
      <c r="P1248" s="1178">
        <v>13.5</v>
      </c>
    </row>
    <row r="1249" spans="1:16">
      <c r="A1249" s="1178" t="s">
        <v>20838</v>
      </c>
      <c r="B1249" s="1371" t="str">
        <f>HYPERLINK(IFERROR("#Main_Tariff!A"&amp;MATCH(Raeburn_Main_Tariff[[#This Row],[Product Code]],Main_Tariff!I:I,0),"#Main_Tariff!A"&amp;MATCH("*"&amp;RIGHT(A1249,8)&amp;"*",Main_Tariff!A:A,0)),Raeburn_Main_Tariff[[#This Row],[PRODUCER]])</f>
        <v>Domaine J.P. Guyon</v>
      </c>
      <c r="C1249" s="1178" t="s">
        <v>20839</v>
      </c>
      <c r="D1249" s="1178" t="s">
        <v>1129</v>
      </c>
      <c r="E1249" s="1179">
        <v>2016</v>
      </c>
      <c r="F1249" s="1282" t="s">
        <v>20220</v>
      </c>
      <c r="G1249" s="1368">
        <v>48.5</v>
      </c>
      <c r="H1249" s="1178" t="s">
        <v>20221</v>
      </c>
      <c r="I1249" s="1178" t="s">
        <v>4107</v>
      </c>
      <c r="J1249" s="1178" t="s">
        <v>662</v>
      </c>
      <c r="K1249" s="1178" t="s">
        <v>267</v>
      </c>
      <c r="L1249" s="1178" t="s">
        <v>211</v>
      </c>
      <c r="M1249" s="1369"/>
      <c r="N1249" s="1178"/>
      <c r="O1249" s="1178">
        <v>6</v>
      </c>
      <c r="P1249" s="1178">
        <v>13.5</v>
      </c>
    </row>
    <row r="1250" spans="1:16">
      <c r="A1250" s="1178" t="s">
        <v>20838</v>
      </c>
      <c r="B1250" s="1371" t="str">
        <f>HYPERLINK(IFERROR("#Main_Tariff!A"&amp;MATCH(Raeburn_Main_Tariff[[#This Row],[Product Code]],Main_Tariff!I:I,0),"#Main_Tariff!A"&amp;MATCH("*"&amp;RIGHT(A1250,8)&amp;"*",Main_Tariff!A:A,0)),Raeburn_Main_Tariff[[#This Row],[PRODUCER]])</f>
        <v>Domaine J.P. Guyon</v>
      </c>
      <c r="C1250" s="1178" t="s">
        <v>20839</v>
      </c>
      <c r="D1250" s="1178" t="s">
        <v>1129</v>
      </c>
      <c r="E1250" s="1179">
        <v>2015</v>
      </c>
      <c r="F1250" s="1282" t="s">
        <v>20220</v>
      </c>
      <c r="G1250" s="1368">
        <v>42.5</v>
      </c>
      <c r="H1250" s="1178" t="s">
        <v>20277</v>
      </c>
      <c r="I1250" s="1178" t="s">
        <v>5101</v>
      </c>
      <c r="J1250" s="1178" t="s">
        <v>662</v>
      </c>
      <c r="K1250" s="1178" t="s">
        <v>267</v>
      </c>
      <c r="L1250" s="1178" t="s">
        <v>211</v>
      </c>
      <c r="M1250" s="1369"/>
      <c r="N1250" s="1178"/>
      <c r="O1250" s="1178">
        <v>6</v>
      </c>
      <c r="P1250" s="1178">
        <v>13.5</v>
      </c>
    </row>
    <row r="1251" spans="1:16">
      <c r="A1251" s="1178" t="s">
        <v>20838</v>
      </c>
      <c r="B1251" s="1371" t="str">
        <f>HYPERLINK(IFERROR("#Main_Tariff!A"&amp;MATCH(Raeburn_Main_Tariff[[#This Row],[Product Code]],Main_Tariff!I:I,0),"#Main_Tariff!A"&amp;MATCH("*"&amp;RIGHT(A1251,8)&amp;"*",Main_Tariff!A:A,0)),Raeburn_Main_Tariff[[#This Row],[PRODUCER]])</f>
        <v>Domaine J.P. Guyon</v>
      </c>
      <c r="C1251" s="1178" t="s">
        <v>20840</v>
      </c>
      <c r="D1251" s="1178" t="s">
        <v>1129</v>
      </c>
      <c r="E1251" s="1179">
        <v>2022</v>
      </c>
      <c r="F1251" s="1282" t="s">
        <v>20220</v>
      </c>
      <c r="G1251" s="1368">
        <v>65</v>
      </c>
      <c r="H1251" s="1178" t="s">
        <v>20221</v>
      </c>
      <c r="I1251" s="1178" t="s">
        <v>5105</v>
      </c>
      <c r="J1251" s="1178" t="s">
        <v>662</v>
      </c>
      <c r="K1251" s="1178" t="s">
        <v>267</v>
      </c>
      <c r="L1251" s="1178" t="s">
        <v>211</v>
      </c>
      <c r="M1251" s="1369"/>
      <c r="N1251" s="1178" t="s">
        <v>20244</v>
      </c>
      <c r="O1251" s="1178">
        <v>6</v>
      </c>
      <c r="P1251" s="1178">
        <v>13.5</v>
      </c>
    </row>
    <row r="1252" spans="1:16">
      <c r="A1252" s="1178" t="s">
        <v>20838</v>
      </c>
      <c r="B1252" s="1371" t="str">
        <f>HYPERLINK(IFERROR("#Main_Tariff!A"&amp;MATCH(Raeburn_Main_Tariff[[#This Row],[Product Code]],Main_Tariff!I:I,0),"#Main_Tariff!A"&amp;MATCH("*"&amp;RIGHT(A1252,8)&amp;"*",Main_Tariff!A:A,0)),Raeburn_Main_Tariff[[#This Row],[PRODUCER]])</f>
        <v>Domaine J.P. Guyon</v>
      </c>
      <c r="C1252" s="1178" t="s">
        <v>20840</v>
      </c>
      <c r="D1252" s="1178" t="s">
        <v>1129</v>
      </c>
      <c r="E1252" s="1179">
        <v>2021</v>
      </c>
      <c r="F1252" s="1282" t="s">
        <v>20220</v>
      </c>
      <c r="G1252" s="1368">
        <v>65</v>
      </c>
      <c r="H1252" s="1178" t="s">
        <v>20221</v>
      </c>
      <c r="I1252" s="1178" t="s">
        <v>5107</v>
      </c>
      <c r="J1252" s="1178" t="s">
        <v>662</v>
      </c>
      <c r="K1252" s="1178" t="s">
        <v>267</v>
      </c>
      <c r="L1252" s="1178" t="s">
        <v>211</v>
      </c>
      <c r="M1252" s="1369"/>
      <c r="N1252" s="1178" t="s">
        <v>20244</v>
      </c>
      <c r="O1252" s="1178">
        <v>6</v>
      </c>
      <c r="P1252" s="1178">
        <v>13.5</v>
      </c>
    </row>
    <row r="1253" spans="1:16">
      <c r="A1253" s="1178" t="s">
        <v>20838</v>
      </c>
      <c r="B1253" s="1371" t="str">
        <f>HYPERLINK(IFERROR("#Main_Tariff!A"&amp;MATCH(Raeburn_Main_Tariff[[#This Row],[Product Code]],Main_Tariff!I:I,0),"#Main_Tariff!A"&amp;MATCH("*"&amp;RIGHT(A1253,8)&amp;"*",Main_Tariff!A:A,0)),Raeburn_Main_Tariff[[#This Row],[PRODUCER]])</f>
        <v>Domaine J.P. Guyon</v>
      </c>
      <c r="C1253" s="1178" t="s">
        <v>20840</v>
      </c>
      <c r="D1253" s="1178" t="s">
        <v>1129</v>
      </c>
      <c r="E1253" s="1179">
        <v>2020</v>
      </c>
      <c r="F1253" s="1282" t="s">
        <v>20220</v>
      </c>
      <c r="G1253" s="1368">
        <v>48.5</v>
      </c>
      <c r="H1253" s="1178" t="s">
        <v>20221</v>
      </c>
      <c r="I1253" s="1178" t="s">
        <v>5109</v>
      </c>
      <c r="J1253" s="1178" t="s">
        <v>662</v>
      </c>
      <c r="K1253" s="1178" t="s">
        <v>267</v>
      </c>
      <c r="L1253" s="1178" t="s">
        <v>211</v>
      </c>
      <c r="M1253" s="1369"/>
      <c r="N1253" s="1178"/>
      <c r="O1253" s="1178">
        <v>6</v>
      </c>
      <c r="P1253" s="1178">
        <v>13.5</v>
      </c>
    </row>
    <row r="1254" spans="1:16">
      <c r="A1254" s="1178" t="s">
        <v>20838</v>
      </c>
      <c r="B1254" s="1371" t="str">
        <f>HYPERLINK(IFERROR("#Main_Tariff!A"&amp;MATCH(Raeburn_Main_Tariff[[#This Row],[Product Code]],Main_Tariff!I:I,0),"#Main_Tariff!A"&amp;MATCH("*"&amp;RIGHT(A1254,8)&amp;"*",Main_Tariff!A:A,0)),Raeburn_Main_Tariff[[#This Row],[PRODUCER]])</f>
        <v>Domaine J.P. Guyon</v>
      </c>
      <c r="C1254" s="1178" t="s">
        <v>20840</v>
      </c>
      <c r="D1254" s="1178" t="s">
        <v>1129</v>
      </c>
      <c r="E1254" s="1179">
        <v>2019</v>
      </c>
      <c r="F1254" s="1282" t="s">
        <v>20220</v>
      </c>
      <c r="G1254" s="1368">
        <v>47.5</v>
      </c>
      <c r="H1254" s="1178" t="s">
        <v>20221</v>
      </c>
      <c r="I1254" s="1178" t="s">
        <v>5111</v>
      </c>
      <c r="J1254" s="1178" t="s">
        <v>662</v>
      </c>
      <c r="K1254" s="1178" t="s">
        <v>267</v>
      </c>
      <c r="L1254" s="1178" t="s">
        <v>211</v>
      </c>
      <c r="M1254" s="1369"/>
      <c r="N1254" s="1178"/>
      <c r="O1254" s="1178">
        <v>6</v>
      </c>
      <c r="P1254" s="1178">
        <v>13.5</v>
      </c>
    </row>
    <row r="1255" spans="1:16">
      <c r="A1255" s="1178" t="s">
        <v>20838</v>
      </c>
      <c r="B1255" s="1371" t="str">
        <f>HYPERLINK(IFERROR("#Main_Tariff!A"&amp;MATCH(Raeburn_Main_Tariff[[#This Row],[Product Code]],Main_Tariff!I:I,0),"#Main_Tariff!A"&amp;MATCH("*"&amp;RIGHT(A1255,8)&amp;"*",Main_Tariff!A:A,0)),Raeburn_Main_Tariff[[#This Row],[PRODUCER]])</f>
        <v>Domaine J.P. Guyon</v>
      </c>
      <c r="C1255" s="1178" t="s">
        <v>20840</v>
      </c>
      <c r="D1255" s="1178" t="s">
        <v>1129</v>
      </c>
      <c r="E1255" s="1179">
        <v>2018</v>
      </c>
      <c r="F1255" s="1282" t="s">
        <v>20220</v>
      </c>
      <c r="G1255" s="1368">
        <v>46.5</v>
      </c>
      <c r="H1255" s="1178" t="s">
        <v>20221</v>
      </c>
      <c r="I1255" s="1178" t="s">
        <v>5112</v>
      </c>
      <c r="J1255" s="1178" t="s">
        <v>662</v>
      </c>
      <c r="K1255" s="1178" t="s">
        <v>267</v>
      </c>
      <c r="L1255" s="1178" t="s">
        <v>211</v>
      </c>
      <c r="M1255" s="1369"/>
      <c r="N1255" s="1178"/>
      <c r="O1255" s="1178">
        <v>6</v>
      </c>
      <c r="P1255" s="1178">
        <v>13.5</v>
      </c>
    </row>
    <row r="1256" spans="1:16">
      <c r="A1256" s="1178" t="s">
        <v>20838</v>
      </c>
      <c r="B1256" s="1371" t="str">
        <f>HYPERLINK(IFERROR("#Main_Tariff!A"&amp;MATCH(Raeburn_Main_Tariff[[#This Row],[Product Code]],Main_Tariff!I:I,0),"#Main_Tariff!A"&amp;MATCH("*"&amp;RIGHT(A1256,8)&amp;"*",Main_Tariff!A:A,0)),Raeburn_Main_Tariff[[#This Row],[PRODUCER]])</f>
        <v>Domaine J.P. Guyon</v>
      </c>
      <c r="C1256" s="1178" t="s">
        <v>20840</v>
      </c>
      <c r="D1256" s="1178" t="s">
        <v>1129</v>
      </c>
      <c r="E1256" s="1179">
        <v>2017</v>
      </c>
      <c r="F1256" s="1282" t="s">
        <v>20220</v>
      </c>
      <c r="G1256" s="1368">
        <v>46.5</v>
      </c>
      <c r="H1256" s="1178" t="s">
        <v>20224</v>
      </c>
      <c r="I1256" s="1178" t="s">
        <v>5113</v>
      </c>
      <c r="J1256" s="1178" t="s">
        <v>662</v>
      </c>
      <c r="K1256" s="1178" t="s">
        <v>267</v>
      </c>
      <c r="L1256" s="1178" t="s">
        <v>211</v>
      </c>
      <c r="M1256" s="1369"/>
      <c r="N1256" s="1178"/>
      <c r="O1256" s="1178">
        <v>6</v>
      </c>
      <c r="P1256" s="1178">
        <v>13.5</v>
      </c>
    </row>
    <row r="1257" spans="1:16">
      <c r="A1257" s="1178" t="s">
        <v>20838</v>
      </c>
      <c r="B1257" s="1371" t="str">
        <f>HYPERLINK(IFERROR("#Main_Tariff!A"&amp;MATCH(Raeburn_Main_Tariff[[#This Row],[Product Code]],Main_Tariff!I:I,0),"#Main_Tariff!A"&amp;MATCH("*"&amp;RIGHT(A1257,8)&amp;"*",Main_Tariff!A:A,0)),Raeburn_Main_Tariff[[#This Row],[PRODUCER]])</f>
        <v>Domaine J.P. Guyon</v>
      </c>
      <c r="C1257" s="1178" t="s">
        <v>20840</v>
      </c>
      <c r="D1257" s="1178" t="s">
        <v>1129</v>
      </c>
      <c r="E1257" s="1179">
        <v>2016</v>
      </c>
      <c r="F1257" s="1282" t="s">
        <v>20220</v>
      </c>
      <c r="G1257" s="1368">
        <v>46.5</v>
      </c>
      <c r="H1257" s="1178" t="s">
        <v>20221</v>
      </c>
      <c r="I1257" s="1178" t="s">
        <v>5115</v>
      </c>
      <c r="J1257" s="1178" t="s">
        <v>662</v>
      </c>
      <c r="K1257" s="1178" t="s">
        <v>267</v>
      </c>
      <c r="L1257" s="1178" t="s">
        <v>211</v>
      </c>
      <c r="M1257" s="1369"/>
      <c r="N1257" s="1178"/>
      <c r="O1257" s="1178">
        <v>6</v>
      </c>
      <c r="P1257" s="1178">
        <v>13.5</v>
      </c>
    </row>
    <row r="1258" spans="1:16">
      <c r="A1258" s="1178" t="s">
        <v>20838</v>
      </c>
      <c r="B1258" s="1371" t="str">
        <f>HYPERLINK(IFERROR("#Main_Tariff!A"&amp;MATCH(Raeburn_Main_Tariff[[#This Row],[Product Code]],Main_Tariff!I:I,0),"#Main_Tariff!A"&amp;MATCH("*"&amp;RIGHT(A1258,8)&amp;"*",Main_Tariff!A:A,0)),Raeburn_Main_Tariff[[#This Row],[PRODUCER]])</f>
        <v>Domaine J.P. Guyon</v>
      </c>
      <c r="C1258" s="1178" t="s">
        <v>6176</v>
      </c>
      <c r="D1258" s="1178" t="s">
        <v>897</v>
      </c>
      <c r="E1258" s="1179">
        <v>2022</v>
      </c>
      <c r="F1258" s="1282" t="s">
        <v>20220</v>
      </c>
      <c r="G1258" s="1368">
        <v>47.5</v>
      </c>
      <c r="H1258" s="1178" t="s">
        <v>20221</v>
      </c>
      <c r="I1258" s="1178" t="s">
        <v>5120</v>
      </c>
      <c r="J1258" s="1178" t="s">
        <v>662</v>
      </c>
      <c r="K1258" s="1178" t="s">
        <v>267</v>
      </c>
      <c r="L1258" s="1178" t="s">
        <v>211</v>
      </c>
      <c r="M1258" s="1369"/>
      <c r="N1258" s="1178" t="s">
        <v>20244</v>
      </c>
      <c r="O1258" s="1178">
        <v>6</v>
      </c>
      <c r="P1258" s="1178">
        <v>13.5</v>
      </c>
    </row>
    <row r="1259" spans="1:16">
      <c r="A1259" s="1178" t="s">
        <v>20838</v>
      </c>
      <c r="B1259" s="1371" t="str">
        <f>HYPERLINK(IFERROR("#Main_Tariff!A"&amp;MATCH(Raeburn_Main_Tariff[[#This Row],[Product Code]],Main_Tariff!I:I,0),"#Main_Tariff!A"&amp;MATCH("*"&amp;RIGHT(A1259,8)&amp;"*",Main_Tariff!A:A,0)),Raeburn_Main_Tariff[[#This Row],[PRODUCER]])</f>
        <v>Domaine J.P. Guyon</v>
      </c>
      <c r="C1259" s="1178" t="s">
        <v>6176</v>
      </c>
      <c r="D1259" s="1178" t="s">
        <v>897</v>
      </c>
      <c r="E1259" s="1179">
        <v>2017</v>
      </c>
      <c r="F1259" s="1282" t="s">
        <v>20220</v>
      </c>
      <c r="G1259" s="1368">
        <v>33.5</v>
      </c>
      <c r="H1259" s="1178" t="s">
        <v>20221</v>
      </c>
      <c r="I1259" s="1178" t="s">
        <v>5122</v>
      </c>
      <c r="J1259" s="1178" t="s">
        <v>662</v>
      </c>
      <c r="K1259" s="1178" t="s">
        <v>267</v>
      </c>
      <c r="L1259" s="1178" t="s">
        <v>211</v>
      </c>
      <c r="M1259" s="1369"/>
      <c r="N1259" s="1178"/>
      <c r="O1259" s="1178">
        <v>6</v>
      </c>
      <c r="P1259" s="1178">
        <v>13</v>
      </c>
    </row>
    <row r="1260" spans="1:16">
      <c r="A1260" s="1178" t="s">
        <v>20838</v>
      </c>
      <c r="B1260" s="1371" t="str">
        <f>HYPERLINK(IFERROR("#Main_Tariff!A"&amp;MATCH(Raeburn_Main_Tariff[[#This Row],[Product Code]],Main_Tariff!I:I,0),"#Main_Tariff!A"&amp;MATCH("*"&amp;RIGHT(A1260,8)&amp;"*",Main_Tariff!A:A,0)),Raeburn_Main_Tariff[[#This Row],[PRODUCER]])</f>
        <v>Domaine J.P. Guyon</v>
      </c>
      <c r="C1260" s="1178" t="s">
        <v>6176</v>
      </c>
      <c r="D1260" s="1178" t="s">
        <v>897</v>
      </c>
      <c r="E1260" s="1179">
        <v>2016</v>
      </c>
      <c r="F1260" s="1282" t="s">
        <v>20220</v>
      </c>
      <c r="G1260" s="1368">
        <v>33.5</v>
      </c>
      <c r="H1260" s="1178" t="s">
        <v>20221</v>
      </c>
      <c r="I1260" s="1178" t="s">
        <v>5124</v>
      </c>
      <c r="J1260" s="1178" t="s">
        <v>662</v>
      </c>
      <c r="K1260" s="1178" t="s">
        <v>267</v>
      </c>
      <c r="L1260" s="1178" t="s">
        <v>211</v>
      </c>
      <c r="M1260" s="1369"/>
      <c r="N1260" s="1178"/>
      <c r="O1260" s="1178">
        <v>6</v>
      </c>
      <c r="P1260" s="1178">
        <v>13</v>
      </c>
    </row>
    <row r="1261" spans="1:16">
      <c r="A1261" s="1178" t="s">
        <v>20838</v>
      </c>
      <c r="B1261" s="1371" t="str">
        <f>HYPERLINK(IFERROR("#Main_Tariff!A"&amp;MATCH(Raeburn_Main_Tariff[[#This Row],[Product Code]],Main_Tariff!I:I,0),"#Main_Tariff!A"&amp;MATCH("*"&amp;RIGHT(A1261,8)&amp;"*",Main_Tariff!A:A,0)),Raeburn_Main_Tariff[[#This Row],[PRODUCER]])</f>
        <v>Domaine J.P. Guyon</v>
      </c>
      <c r="C1261" s="1178" t="s">
        <v>6176</v>
      </c>
      <c r="D1261" s="1178" t="s">
        <v>897</v>
      </c>
      <c r="E1261" s="1179">
        <v>2015</v>
      </c>
      <c r="F1261" s="1282" t="s">
        <v>20220</v>
      </c>
      <c r="G1261" s="1368">
        <v>36</v>
      </c>
      <c r="H1261" s="1178" t="s">
        <v>20224</v>
      </c>
      <c r="I1261" s="1178" t="s">
        <v>5126</v>
      </c>
      <c r="J1261" s="1178" t="s">
        <v>662</v>
      </c>
      <c r="K1261" s="1178" t="s">
        <v>267</v>
      </c>
      <c r="L1261" s="1178" t="s">
        <v>211</v>
      </c>
      <c r="M1261" s="1369"/>
      <c r="N1261" s="1178"/>
      <c r="O1261" s="1178">
        <v>6</v>
      </c>
      <c r="P1261" s="1178">
        <v>13</v>
      </c>
    </row>
    <row r="1262" spans="1:16">
      <c r="A1262" s="1178" t="s">
        <v>20838</v>
      </c>
      <c r="B1262" s="1371" t="str">
        <f>HYPERLINK(IFERROR("#Main_Tariff!A"&amp;MATCH(Raeburn_Main_Tariff[[#This Row],[Product Code]],Main_Tariff!I:I,0),"#Main_Tariff!A"&amp;MATCH("*"&amp;RIGHT(A1262,8)&amp;"*",Main_Tariff!A:A,0)),Raeburn_Main_Tariff[[#This Row],[PRODUCER]])</f>
        <v>Domaine J.P. Guyon</v>
      </c>
      <c r="C1262" s="1178" t="s">
        <v>6176</v>
      </c>
      <c r="D1262" s="1178" t="s">
        <v>897</v>
      </c>
      <c r="E1262" s="1179">
        <v>2014</v>
      </c>
      <c r="F1262" s="1282" t="s">
        <v>20220</v>
      </c>
      <c r="G1262" s="1368">
        <v>32.5</v>
      </c>
      <c r="H1262" s="1178" t="s">
        <v>20221</v>
      </c>
      <c r="I1262" s="1178" t="s">
        <v>5128</v>
      </c>
      <c r="J1262" s="1178" t="s">
        <v>662</v>
      </c>
      <c r="K1262" s="1178" t="s">
        <v>267</v>
      </c>
      <c r="L1262" s="1178" t="s">
        <v>211</v>
      </c>
      <c r="M1262" s="1369"/>
      <c r="N1262" s="1178"/>
      <c r="O1262" s="1178">
        <v>6</v>
      </c>
      <c r="P1262" s="1178">
        <v>13.5</v>
      </c>
    </row>
    <row r="1263" spans="1:16">
      <c r="A1263" s="1178" t="s">
        <v>20838</v>
      </c>
      <c r="B1263" s="1371" t="str">
        <f>HYPERLINK(IFERROR("#Main_Tariff!A"&amp;MATCH(Raeburn_Main_Tariff[[#This Row],[Product Code]],Main_Tariff!I:I,0),"#Main_Tariff!A"&amp;MATCH("*"&amp;RIGHT(A1263,8)&amp;"*",Main_Tariff!A:A,0)),Raeburn_Main_Tariff[[#This Row],[PRODUCER]])</f>
        <v>Domaine J.P. Guyon</v>
      </c>
      <c r="C1263" s="1178" t="s">
        <v>6176</v>
      </c>
      <c r="D1263" s="1178" t="s">
        <v>897</v>
      </c>
      <c r="E1263" s="1179">
        <v>2013</v>
      </c>
      <c r="F1263" s="1282" t="s">
        <v>20220</v>
      </c>
      <c r="G1263" s="1368">
        <v>32.5</v>
      </c>
      <c r="H1263" s="1178" t="s">
        <v>20221</v>
      </c>
      <c r="I1263" s="1178" t="s">
        <v>5130</v>
      </c>
      <c r="J1263" s="1178" t="s">
        <v>662</v>
      </c>
      <c r="K1263" s="1178" t="s">
        <v>267</v>
      </c>
      <c r="L1263" s="1178" t="s">
        <v>211</v>
      </c>
      <c r="M1263" s="1369"/>
      <c r="N1263" s="1178"/>
      <c r="O1263" s="1178">
        <v>6</v>
      </c>
      <c r="P1263" s="1178">
        <v>13.5</v>
      </c>
    </row>
    <row r="1264" spans="1:16">
      <c r="A1264" s="1178" t="s">
        <v>20838</v>
      </c>
      <c r="B1264" s="1371" t="str">
        <f>HYPERLINK(IFERROR("#Main_Tariff!A"&amp;MATCH(Raeburn_Main_Tariff[[#This Row],[Product Code]],Main_Tariff!I:I,0),"#Main_Tariff!A"&amp;MATCH("*"&amp;RIGHT(A1264,8)&amp;"*",Main_Tariff!A:A,0)),Raeburn_Main_Tariff[[#This Row],[PRODUCER]])</f>
        <v>Domaine J.P. Guyon</v>
      </c>
      <c r="C1264" s="1178" t="s">
        <v>20841</v>
      </c>
      <c r="D1264" s="1178" t="s">
        <v>897</v>
      </c>
      <c r="E1264" s="1179">
        <v>2022</v>
      </c>
      <c r="F1264" s="1282" t="s">
        <v>20220</v>
      </c>
      <c r="G1264" s="1368">
        <v>51</v>
      </c>
      <c r="H1264" s="1178" t="s">
        <v>20224</v>
      </c>
      <c r="I1264" s="1178" t="s">
        <v>5134</v>
      </c>
      <c r="J1264" s="1178" t="s">
        <v>662</v>
      </c>
      <c r="K1264" s="1178" t="s">
        <v>267</v>
      </c>
      <c r="L1264" s="1178" t="s">
        <v>211</v>
      </c>
      <c r="M1264" s="1369"/>
      <c r="N1264" s="1178" t="s">
        <v>20244</v>
      </c>
      <c r="O1264" s="1178">
        <v>6</v>
      </c>
      <c r="P1264" s="1178">
        <v>13.5</v>
      </c>
    </row>
    <row r="1265" spans="1:16">
      <c r="A1265" s="1178" t="s">
        <v>20838</v>
      </c>
      <c r="B1265" s="1371" t="str">
        <f>HYPERLINK(IFERROR("#Main_Tariff!A"&amp;MATCH(Raeburn_Main_Tariff[[#This Row],[Product Code]],Main_Tariff!I:I,0),"#Main_Tariff!A"&amp;MATCH("*"&amp;RIGHT(A1265,8)&amp;"*",Main_Tariff!A:A,0)),Raeburn_Main_Tariff[[#This Row],[PRODUCER]])</f>
        <v>Domaine J.P. Guyon</v>
      </c>
      <c r="C1265" s="1178" t="s">
        <v>20841</v>
      </c>
      <c r="D1265" s="1178" t="s">
        <v>897</v>
      </c>
      <c r="E1265" s="1179">
        <v>2021</v>
      </c>
      <c r="F1265" s="1282" t="s">
        <v>20220</v>
      </c>
      <c r="G1265" s="1368">
        <v>50</v>
      </c>
      <c r="H1265" s="1178" t="s">
        <v>20221</v>
      </c>
      <c r="I1265" s="1178" t="s">
        <v>5136</v>
      </c>
      <c r="J1265" s="1178" t="s">
        <v>662</v>
      </c>
      <c r="K1265" s="1178" t="s">
        <v>267</v>
      </c>
      <c r="L1265" s="1178" t="s">
        <v>211</v>
      </c>
      <c r="M1265" s="1369"/>
      <c r="N1265" s="1178" t="s">
        <v>20244</v>
      </c>
      <c r="O1265" s="1178">
        <v>6</v>
      </c>
      <c r="P1265" s="1178">
        <v>13</v>
      </c>
    </row>
    <row r="1266" spans="1:16">
      <c r="A1266" s="1178" t="s">
        <v>20838</v>
      </c>
      <c r="B1266" s="1371" t="str">
        <f>HYPERLINK(IFERROR("#Main_Tariff!A"&amp;MATCH(Raeburn_Main_Tariff[[#This Row],[Product Code]],Main_Tariff!I:I,0),"#Main_Tariff!A"&amp;MATCH("*"&amp;RIGHT(A1266,8)&amp;"*",Main_Tariff!A:A,0)),Raeburn_Main_Tariff[[#This Row],[PRODUCER]])</f>
        <v>Domaine J.P. Guyon</v>
      </c>
      <c r="C1266" s="1178" t="s">
        <v>20841</v>
      </c>
      <c r="D1266" s="1178" t="s">
        <v>897</v>
      </c>
      <c r="E1266" s="1179">
        <v>2020</v>
      </c>
      <c r="F1266" s="1282" t="s">
        <v>20220</v>
      </c>
      <c r="G1266" s="1368">
        <v>41</v>
      </c>
      <c r="H1266" s="1178" t="s">
        <v>20221</v>
      </c>
      <c r="I1266" s="1178" t="s">
        <v>5138</v>
      </c>
      <c r="J1266" s="1178" t="s">
        <v>662</v>
      </c>
      <c r="K1266" s="1178" t="s">
        <v>267</v>
      </c>
      <c r="L1266" s="1178" t="s">
        <v>211</v>
      </c>
      <c r="M1266" s="1369"/>
      <c r="N1266" s="1178"/>
      <c r="O1266" s="1178">
        <v>6</v>
      </c>
      <c r="P1266" s="1178">
        <v>13.5</v>
      </c>
    </row>
    <row r="1267" spans="1:16">
      <c r="A1267" s="1178" t="s">
        <v>20838</v>
      </c>
      <c r="B1267" s="1371" t="str">
        <f>HYPERLINK(IFERROR("#Main_Tariff!A"&amp;MATCH(Raeburn_Main_Tariff[[#This Row],[Product Code]],Main_Tariff!I:I,0),"#Main_Tariff!A"&amp;MATCH("*"&amp;RIGHT(A1267,8)&amp;"*",Main_Tariff!A:A,0)),Raeburn_Main_Tariff[[#This Row],[PRODUCER]])</f>
        <v>Domaine J.P. Guyon</v>
      </c>
      <c r="C1267" s="1178" t="s">
        <v>20841</v>
      </c>
      <c r="D1267" s="1178" t="s">
        <v>897</v>
      </c>
      <c r="E1267" s="1179">
        <v>2017</v>
      </c>
      <c r="F1267" s="1282" t="s">
        <v>20220</v>
      </c>
      <c r="G1267" s="1368">
        <v>35</v>
      </c>
      <c r="H1267" s="1178" t="s">
        <v>20221</v>
      </c>
      <c r="I1267" s="1178" t="s">
        <v>5140</v>
      </c>
      <c r="J1267" s="1178" t="s">
        <v>662</v>
      </c>
      <c r="K1267" s="1178" t="s">
        <v>267</v>
      </c>
      <c r="L1267" s="1178" t="s">
        <v>211</v>
      </c>
      <c r="M1267" s="1369"/>
      <c r="N1267" s="1178"/>
      <c r="O1267" s="1178">
        <v>6</v>
      </c>
      <c r="P1267" s="1178">
        <v>13.5</v>
      </c>
    </row>
    <row r="1268" spans="1:16">
      <c r="A1268" s="1178" t="s">
        <v>20838</v>
      </c>
      <c r="B1268" s="1371" t="str">
        <f>HYPERLINK(IFERROR("#Main_Tariff!A"&amp;MATCH(Raeburn_Main_Tariff[[#This Row],[Product Code]],Main_Tariff!I:I,0),"#Main_Tariff!A"&amp;MATCH("*"&amp;RIGHT(A1268,8)&amp;"*",Main_Tariff!A:A,0)),Raeburn_Main_Tariff[[#This Row],[PRODUCER]])</f>
        <v>Domaine J.P. Guyon</v>
      </c>
      <c r="C1268" s="1178" t="s">
        <v>20841</v>
      </c>
      <c r="D1268" s="1178" t="s">
        <v>897</v>
      </c>
      <c r="E1268" s="1179">
        <v>2016</v>
      </c>
      <c r="F1268" s="1282" t="s">
        <v>20220</v>
      </c>
      <c r="G1268" s="1368">
        <v>39</v>
      </c>
      <c r="H1268" s="1178" t="s">
        <v>20224</v>
      </c>
      <c r="I1268" s="1178" t="s">
        <v>5142</v>
      </c>
      <c r="J1268" s="1178" t="s">
        <v>662</v>
      </c>
      <c r="K1268" s="1178" t="s">
        <v>267</v>
      </c>
      <c r="L1268" s="1178" t="s">
        <v>211</v>
      </c>
      <c r="M1268" s="1369"/>
      <c r="N1268" s="1178"/>
      <c r="O1268" s="1178">
        <v>6</v>
      </c>
      <c r="P1268" s="1178">
        <v>13.5</v>
      </c>
    </row>
    <row r="1269" spans="1:16">
      <c r="A1269" s="1178" t="s">
        <v>20838</v>
      </c>
      <c r="B1269" s="1371" t="str">
        <f>HYPERLINK(IFERROR("#Main_Tariff!A"&amp;MATCH(Raeburn_Main_Tariff[[#This Row],[Product Code]],Main_Tariff!I:I,0),"#Main_Tariff!A"&amp;MATCH("*"&amp;RIGHT(A1269,8)&amp;"*",Main_Tariff!A:A,0)),Raeburn_Main_Tariff[[#This Row],[PRODUCER]])</f>
        <v>Domaine J.P. Guyon</v>
      </c>
      <c r="C1269" s="1178" t="s">
        <v>20841</v>
      </c>
      <c r="D1269" s="1178" t="s">
        <v>897</v>
      </c>
      <c r="E1269" s="1179">
        <v>2015</v>
      </c>
      <c r="F1269" s="1282" t="s">
        <v>20220</v>
      </c>
      <c r="G1269" s="1368">
        <v>36.5</v>
      </c>
      <c r="H1269" s="1178" t="s">
        <v>20277</v>
      </c>
      <c r="I1269" s="1178" t="s">
        <v>5144</v>
      </c>
      <c r="J1269" s="1178" t="s">
        <v>662</v>
      </c>
      <c r="K1269" s="1178" t="s">
        <v>267</v>
      </c>
      <c r="L1269" s="1178" t="s">
        <v>211</v>
      </c>
      <c r="M1269" s="1369"/>
      <c r="N1269" s="1178"/>
      <c r="O1269" s="1178">
        <v>6</v>
      </c>
      <c r="P1269" s="1178">
        <v>13.5</v>
      </c>
    </row>
    <row r="1270" spans="1:16">
      <c r="A1270" s="1178" t="s">
        <v>20838</v>
      </c>
      <c r="B1270" s="1371" t="str">
        <f>HYPERLINK(IFERROR("#Main_Tariff!A"&amp;MATCH(Raeburn_Main_Tariff[[#This Row],[Product Code]],Main_Tariff!I:I,0),"#Main_Tariff!A"&amp;MATCH("*"&amp;RIGHT(A1270,8)&amp;"*",Main_Tariff!A:A,0)),Raeburn_Main_Tariff[[#This Row],[PRODUCER]])</f>
        <v>Domaine J.P. Guyon</v>
      </c>
      <c r="C1270" s="1178" t="s">
        <v>20842</v>
      </c>
      <c r="D1270" s="1178" t="s">
        <v>897</v>
      </c>
      <c r="E1270" s="1179">
        <v>2022</v>
      </c>
      <c r="F1270" s="1282" t="s">
        <v>20220</v>
      </c>
      <c r="G1270" s="1368">
        <v>76</v>
      </c>
      <c r="H1270" s="1178" t="s">
        <v>20224</v>
      </c>
      <c r="I1270" s="1178" t="s">
        <v>5146</v>
      </c>
      <c r="J1270" s="1178" t="s">
        <v>662</v>
      </c>
      <c r="K1270" s="1178" t="s">
        <v>267</v>
      </c>
      <c r="L1270" s="1178" t="s">
        <v>211</v>
      </c>
      <c r="M1270" s="1369" t="s">
        <v>23297</v>
      </c>
      <c r="N1270" s="1178"/>
      <c r="O1270" s="1178">
        <v>6</v>
      </c>
      <c r="P1270" s="1178">
        <v>13.5</v>
      </c>
    </row>
    <row r="1271" spans="1:16">
      <c r="A1271" s="1178" t="s">
        <v>20838</v>
      </c>
      <c r="B1271" s="1371" t="str">
        <f>HYPERLINK(IFERROR("#Main_Tariff!A"&amp;MATCH(Raeburn_Main_Tariff[[#This Row],[Product Code]],Main_Tariff!I:I,0),"#Main_Tariff!A"&amp;MATCH("*"&amp;RIGHT(A1271,8)&amp;"*",Main_Tariff!A:A,0)),Raeburn_Main_Tariff[[#This Row],[PRODUCER]])</f>
        <v>Domaine J.P. Guyon</v>
      </c>
      <c r="C1271" s="1178" t="s">
        <v>20842</v>
      </c>
      <c r="D1271" s="1178" t="s">
        <v>897</v>
      </c>
      <c r="E1271" s="1179">
        <v>2021</v>
      </c>
      <c r="F1271" s="1282" t="s">
        <v>20220</v>
      </c>
      <c r="G1271" s="1368">
        <v>76</v>
      </c>
      <c r="H1271" s="1178" t="s">
        <v>20224</v>
      </c>
      <c r="I1271" s="1178" t="s">
        <v>5148</v>
      </c>
      <c r="J1271" s="1178" t="s">
        <v>662</v>
      </c>
      <c r="K1271" s="1178" t="s">
        <v>267</v>
      </c>
      <c r="L1271" s="1178" t="s">
        <v>211</v>
      </c>
      <c r="M1271" s="1369" t="s">
        <v>23297</v>
      </c>
      <c r="N1271" s="1178"/>
      <c r="O1271" s="1178">
        <v>6</v>
      </c>
      <c r="P1271" s="1178">
        <v>14</v>
      </c>
    </row>
    <row r="1272" spans="1:16">
      <c r="A1272" s="1178" t="s">
        <v>20838</v>
      </c>
      <c r="B1272" s="1371" t="str">
        <f>HYPERLINK(IFERROR("#Main_Tariff!A"&amp;MATCH(Raeburn_Main_Tariff[[#This Row],[Product Code]],Main_Tariff!I:I,0),"#Main_Tariff!A"&amp;MATCH("*"&amp;RIGHT(A1272,8)&amp;"*",Main_Tariff!A:A,0)),Raeburn_Main_Tariff[[#This Row],[PRODUCER]])</f>
        <v>Domaine J.P. Guyon</v>
      </c>
      <c r="C1272" s="1178" t="s">
        <v>20842</v>
      </c>
      <c r="D1272" s="1178" t="s">
        <v>897</v>
      </c>
      <c r="E1272" s="1179">
        <v>2020</v>
      </c>
      <c r="F1272" s="1282" t="s">
        <v>20220</v>
      </c>
      <c r="G1272" s="1368">
        <v>66</v>
      </c>
      <c r="H1272" s="1178" t="s">
        <v>20224</v>
      </c>
      <c r="I1272" s="1178" t="s">
        <v>5150</v>
      </c>
      <c r="J1272" s="1178" t="s">
        <v>662</v>
      </c>
      <c r="K1272" s="1178" t="s">
        <v>267</v>
      </c>
      <c r="L1272" s="1178" t="s">
        <v>211</v>
      </c>
      <c r="M1272" s="1369" t="s">
        <v>23297</v>
      </c>
      <c r="N1272" s="1178"/>
      <c r="O1272" s="1178">
        <v>6</v>
      </c>
      <c r="P1272" s="1178">
        <v>14</v>
      </c>
    </row>
    <row r="1273" spans="1:16">
      <c r="A1273" s="1178" t="s">
        <v>20838</v>
      </c>
      <c r="B1273" s="1371" t="str">
        <f>HYPERLINK(IFERROR("#Main_Tariff!A"&amp;MATCH(Raeburn_Main_Tariff[[#This Row],[Product Code]],Main_Tariff!I:I,0),"#Main_Tariff!A"&amp;MATCH("*"&amp;RIGHT(A1273,8)&amp;"*",Main_Tariff!A:A,0)),Raeburn_Main_Tariff[[#This Row],[PRODUCER]])</f>
        <v>Domaine J.P. Guyon</v>
      </c>
      <c r="C1273" s="1178" t="s">
        <v>20842</v>
      </c>
      <c r="D1273" s="1178" t="s">
        <v>897</v>
      </c>
      <c r="E1273" s="1179">
        <v>2017</v>
      </c>
      <c r="F1273" s="1282" t="s">
        <v>20220</v>
      </c>
      <c r="G1273" s="1368">
        <v>55.5</v>
      </c>
      <c r="H1273" s="1178" t="s">
        <v>20224</v>
      </c>
      <c r="I1273" s="1178" t="s">
        <v>5152</v>
      </c>
      <c r="J1273" s="1178" t="s">
        <v>662</v>
      </c>
      <c r="K1273" s="1178" t="s">
        <v>267</v>
      </c>
      <c r="L1273" s="1178" t="s">
        <v>211</v>
      </c>
      <c r="M1273" s="1369" t="s">
        <v>23297</v>
      </c>
      <c r="N1273" s="1178"/>
      <c r="O1273" s="1178">
        <v>6</v>
      </c>
      <c r="P1273" s="1178">
        <v>13.5</v>
      </c>
    </row>
    <row r="1274" spans="1:16">
      <c r="A1274" s="1178" t="s">
        <v>20838</v>
      </c>
      <c r="B1274" s="1371" t="str">
        <f>HYPERLINK(IFERROR("#Main_Tariff!A"&amp;MATCH(Raeburn_Main_Tariff[[#This Row],[Product Code]],Main_Tariff!I:I,0),"#Main_Tariff!A"&amp;MATCH("*"&amp;RIGHT(A1274,8)&amp;"*",Main_Tariff!A:A,0)),Raeburn_Main_Tariff[[#This Row],[PRODUCER]])</f>
        <v>Domaine J.P. Guyon</v>
      </c>
      <c r="C1274" s="1178" t="s">
        <v>20842</v>
      </c>
      <c r="D1274" s="1178" t="s">
        <v>897</v>
      </c>
      <c r="E1274" s="1179">
        <v>2014</v>
      </c>
      <c r="F1274" s="1282" t="s">
        <v>20220</v>
      </c>
      <c r="G1274" s="1368">
        <v>55.5</v>
      </c>
      <c r="H1274" s="1178" t="s">
        <v>20221</v>
      </c>
      <c r="I1274" s="1178" t="s">
        <v>5154</v>
      </c>
      <c r="J1274" s="1178" t="s">
        <v>662</v>
      </c>
      <c r="K1274" s="1178" t="s">
        <v>267</v>
      </c>
      <c r="L1274" s="1178" t="s">
        <v>211</v>
      </c>
      <c r="M1274" s="1369" t="s">
        <v>23297</v>
      </c>
      <c r="N1274" s="1178"/>
      <c r="O1274" s="1178">
        <v>6</v>
      </c>
      <c r="P1274" s="1178">
        <v>13.5</v>
      </c>
    </row>
    <row r="1275" spans="1:16">
      <c r="A1275" s="1178" t="s">
        <v>20838</v>
      </c>
      <c r="B1275" s="1371" t="str">
        <f>HYPERLINK(IFERROR("#Main_Tariff!A"&amp;MATCH(Raeburn_Main_Tariff[[#This Row],[Product Code]],Main_Tariff!I:I,0),"#Main_Tariff!A"&amp;MATCH("*"&amp;RIGHT(A1275,8)&amp;"*",Main_Tariff!A:A,0)),Raeburn_Main_Tariff[[#This Row],[PRODUCER]])</f>
        <v>Domaine J.P. Guyon</v>
      </c>
      <c r="C1275" s="1178" t="s">
        <v>20842</v>
      </c>
      <c r="D1275" s="1178" t="s">
        <v>897</v>
      </c>
      <c r="E1275" s="1179">
        <v>2013</v>
      </c>
      <c r="F1275" s="1282" t="s">
        <v>20220</v>
      </c>
      <c r="G1275" s="1368">
        <v>52</v>
      </c>
      <c r="H1275" s="1178" t="s">
        <v>20221</v>
      </c>
      <c r="I1275" s="1178" t="s">
        <v>5156</v>
      </c>
      <c r="J1275" s="1178" t="s">
        <v>662</v>
      </c>
      <c r="K1275" s="1178" t="s">
        <v>267</v>
      </c>
      <c r="L1275" s="1178" t="s">
        <v>211</v>
      </c>
      <c r="M1275" s="1369" t="s">
        <v>23297</v>
      </c>
      <c r="N1275" s="1178"/>
      <c r="O1275" s="1178">
        <v>6</v>
      </c>
      <c r="P1275" s="1178">
        <v>13.5</v>
      </c>
    </row>
    <row r="1276" spans="1:16">
      <c r="A1276" s="1178" t="s">
        <v>20838</v>
      </c>
      <c r="B1276" s="1371" t="str">
        <f>HYPERLINK(IFERROR("#Main_Tariff!A"&amp;MATCH(Raeburn_Main_Tariff[[#This Row],[Product Code]],Main_Tariff!I:I,0),"#Main_Tariff!A"&amp;MATCH("*"&amp;RIGHT(A1276,8)&amp;"*",Main_Tariff!A:A,0)),Raeburn_Main_Tariff[[#This Row],[PRODUCER]])</f>
        <v>Domaine J.P. Guyon</v>
      </c>
      <c r="C1276" s="1178" t="s">
        <v>20843</v>
      </c>
      <c r="D1276" s="1178" t="s">
        <v>897</v>
      </c>
      <c r="E1276" s="1179">
        <v>2014</v>
      </c>
      <c r="F1276" s="1282" t="s">
        <v>20240</v>
      </c>
      <c r="G1276" s="1368">
        <v>66</v>
      </c>
      <c r="H1276" s="1178" t="s">
        <v>20224</v>
      </c>
      <c r="I1276" s="1178" t="s">
        <v>5158</v>
      </c>
      <c r="J1276" s="1178" t="s">
        <v>662</v>
      </c>
      <c r="K1276" s="1178" t="s">
        <v>267</v>
      </c>
      <c r="L1276" s="1178" t="s">
        <v>211</v>
      </c>
      <c r="M1276" s="1369"/>
      <c r="N1276" s="1178"/>
      <c r="O1276" s="1178">
        <v>3</v>
      </c>
      <c r="P1276" s="1178">
        <v>13.5</v>
      </c>
    </row>
    <row r="1277" spans="1:16">
      <c r="A1277" s="1178" t="s">
        <v>20838</v>
      </c>
      <c r="B1277" s="1371" t="str">
        <f>HYPERLINK(IFERROR("#Main_Tariff!A"&amp;MATCH(Raeburn_Main_Tariff[[#This Row],[Product Code]],Main_Tariff!I:I,0),"#Main_Tariff!A"&amp;MATCH("*"&amp;RIGHT(A1277,8)&amp;"*",Main_Tariff!A:A,0)),Raeburn_Main_Tariff[[#This Row],[PRODUCER]])</f>
        <v>Domaine J.P. Guyon</v>
      </c>
      <c r="C1277" s="1178" t="s">
        <v>20844</v>
      </c>
      <c r="D1277" s="1178" t="s">
        <v>897</v>
      </c>
      <c r="E1277" s="1179">
        <v>2014</v>
      </c>
      <c r="F1277" s="1282" t="s">
        <v>20240</v>
      </c>
      <c r="G1277" s="1368">
        <v>115</v>
      </c>
      <c r="H1277" s="1178" t="s">
        <v>20224</v>
      </c>
      <c r="I1277" s="1178" t="s">
        <v>5160</v>
      </c>
      <c r="J1277" s="1178" t="s">
        <v>662</v>
      </c>
      <c r="K1277" s="1178" t="s">
        <v>267</v>
      </c>
      <c r="L1277" s="1178" t="s">
        <v>211</v>
      </c>
      <c r="M1277" s="1369" t="s">
        <v>23297</v>
      </c>
      <c r="N1277" s="1178"/>
      <c r="O1277" s="1178">
        <v>3</v>
      </c>
      <c r="P1277" s="1178">
        <v>13.5</v>
      </c>
    </row>
    <row r="1278" spans="1:16">
      <c r="A1278" s="1178" t="s">
        <v>20838</v>
      </c>
      <c r="B1278" s="1371" t="str">
        <f>HYPERLINK(IFERROR("#Main_Tariff!A"&amp;MATCH(Raeburn_Main_Tariff[[#This Row],[Product Code]],Main_Tariff!I:I,0),"#Main_Tariff!A"&amp;MATCH("*"&amp;RIGHT(A1278,8)&amp;"*",Main_Tariff!A:A,0)),Raeburn_Main_Tariff[[#This Row],[PRODUCER]])</f>
        <v>Domaine J.P. Guyon</v>
      </c>
      <c r="C1278" s="1178" t="s">
        <v>20845</v>
      </c>
      <c r="D1278" s="1178" t="s">
        <v>897</v>
      </c>
      <c r="E1278" s="1179"/>
      <c r="F1278" s="1282" t="s">
        <v>20220</v>
      </c>
      <c r="G1278" s="1368"/>
      <c r="H1278" s="1178" t="s">
        <v>3907</v>
      </c>
      <c r="I1278" s="1178" t="s">
        <v>5164</v>
      </c>
      <c r="J1278" s="1178" t="s">
        <v>662</v>
      </c>
      <c r="K1278" s="1178" t="s">
        <v>267</v>
      </c>
      <c r="L1278" s="1178" t="s">
        <v>211</v>
      </c>
      <c r="M1278" s="1369"/>
      <c r="N1278" s="1178"/>
      <c r="O1278" s="1178">
        <v>6</v>
      </c>
      <c r="P1278" s="1178">
        <v>13.5</v>
      </c>
    </row>
    <row r="1279" spans="1:16">
      <c r="A1279" s="1178" t="s">
        <v>20838</v>
      </c>
      <c r="B1279" s="1371" t="str">
        <f>HYPERLINK(IFERROR("#Main_Tariff!A"&amp;MATCH(Raeburn_Main_Tariff[[#This Row],[Product Code]],Main_Tariff!I:I,0),"#Main_Tariff!A"&amp;MATCH("*"&amp;RIGHT(A1279,8)&amp;"*",Main_Tariff!A:A,0)),Raeburn_Main_Tariff[[#This Row],[PRODUCER]])</f>
        <v>Domaine J.P. Guyon</v>
      </c>
      <c r="C1279" s="1178" t="s">
        <v>20846</v>
      </c>
      <c r="D1279" s="1178" t="s">
        <v>897</v>
      </c>
      <c r="E1279" s="1179"/>
      <c r="F1279" s="1282" t="s">
        <v>20220</v>
      </c>
      <c r="G1279" s="1368"/>
      <c r="H1279" s="1178" t="s">
        <v>3907</v>
      </c>
      <c r="I1279" s="1178" t="s">
        <v>5165</v>
      </c>
      <c r="J1279" s="1178" t="s">
        <v>662</v>
      </c>
      <c r="K1279" s="1178" t="s">
        <v>267</v>
      </c>
      <c r="L1279" s="1178" t="s">
        <v>211</v>
      </c>
      <c r="M1279" s="1369"/>
      <c r="N1279" s="1178"/>
      <c r="O1279" s="1178">
        <v>3</v>
      </c>
      <c r="P1279" s="1178">
        <v>13.5</v>
      </c>
    </row>
    <row r="1280" spans="1:16">
      <c r="A1280" s="1178" t="s">
        <v>20838</v>
      </c>
      <c r="B1280" s="1371" t="str">
        <f>HYPERLINK(IFERROR("#Main_Tariff!A"&amp;MATCH(Raeburn_Main_Tariff[[#This Row],[Product Code]],Main_Tariff!I:I,0),"#Main_Tariff!A"&amp;MATCH("*"&amp;RIGHT(A1280,8)&amp;"*",Main_Tariff!A:A,0)),Raeburn_Main_Tariff[[#This Row],[PRODUCER]])</f>
        <v>Domaine J.P. Guyon</v>
      </c>
      <c r="C1280" s="1178" t="s">
        <v>20847</v>
      </c>
      <c r="D1280" s="1178" t="s">
        <v>897</v>
      </c>
      <c r="E1280" s="1179"/>
      <c r="F1280" s="1282" t="s">
        <v>20220</v>
      </c>
      <c r="G1280" s="1368"/>
      <c r="H1280" s="1178" t="s">
        <v>3907</v>
      </c>
      <c r="I1280" s="1178" t="s">
        <v>5167</v>
      </c>
      <c r="J1280" s="1178" t="s">
        <v>662</v>
      </c>
      <c r="K1280" s="1178" t="s">
        <v>267</v>
      </c>
      <c r="L1280" s="1178" t="s">
        <v>211</v>
      </c>
      <c r="M1280" s="1369" t="s">
        <v>23297</v>
      </c>
      <c r="N1280" s="1178"/>
      <c r="O1280" s="1178">
        <v>3</v>
      </c>
      <c r="P1280" s="1178">
        <v>14</v>
      </c>
    </row>
    <row r="1281" spans="1:16">
      <c r="A1281" s="1178" t="s">
        <v>20838</v>
      </c>
      <c r="B1281" s="1371" t="str">
        <f>HYPERLINK(IFERROR("#Main_Tariff!A"&amp;MATCH(Raeburn_Main_Tariff[[#This Row],[Product Code]],Main_Tariff!I:I,0),"#Main_Tariff!A"&amp;MATCH("*"&amp;RIGHT(A1281,8)&amp;"*",Main_Tariff!A:A,0)),Raeburn_Main_Tariff[[#This Row],[PRODUCER]])</f>
        <v>Domaine J.P. Guyon</v>
      </c>
      <c r="C1281" s="1178" t="s">
        <v>20848</v>
      </c>
      <c r="D1281" s="1178" t="s">
        <v>897</v>
      </c>
      <c r="E1281" s="1179"/>
      <c r="F1281" s="1282" t="s">
        <v>20220</v>
      </c>
      <c r="G1281" s="1368"/>
      <c r="H1281" s="1178" t="s">
        <v>3907</v>
      </c>
      <c r="I1281" s="1178" t="s">
        <v>5169</v>
      </c>
      <c r="J1281" s="1178" t="s">
        <v>662</v>
      </c>
      <c r="K1281" s="1178" t="s">
        <v>267</v>
      </c>
      <c r="L1281" s="1178" t="s">
        <v>211</v>
      </c>
      <c r="M1281" s="1369" t="s">
        <v>23297</v>
      </c>
      <c r="N1281" s="1178"/>
      <c r="O1281" s="1178">
        <v>3</v>
      </c>
      <c r="P1281" s="1178">
        <v>13.5</v>
      </c>
    </row>
    <row r="1282" spans="1:16">
      <c r="A1282" s="1178" t="s">
        <v>20838</v>
      </c>
      <c r="B1282" s="1371" t="str">
        <f>HYPERLINK(IFERROR("#Main_Tariff!A"&amp;MATCH(Raeburn_Main_Tariff[[#This Row],[Product Code]],Main_Tariff!I:I,0),"#Main_Tariff!A"&amp;MATCH("*"&amp;RIGHT(A1282,8)&amp;"*",Main_Tariff!A:A,0)),Raeburn_Main_Tariff[[#This Row],[PRODUCER]])</f>
        <v>Domaine J.P. Guyon</v>
      </c>
      <c r="C1282" s="1178" t="s">
        <v>20798</v>
      </c>
      <c r="D1282" s="1178" t="s">
        <v>897</v>
      </c>
      <c r="E1282" s="1179">
        <v>2013</v>
      </c>
      <c r="F1282" s="1282" t="s">
        <v>20220</v>
      </c>
      <c r="G1282" s="1368">
        <v>285</v>
      </c>
      <c r="H1282" s="1178" t="s">
        <v>20221</v>
      </c>
      <c r="I1282" s="1178" t="s">
        <v>5171</v>
      </c>
      <c r="J1282" s="1178" t="s">
        <v>662</v>
      </c>
      <c r="K1282" s="1178" t="s">
        <v>267</v>
      </c>
      <c r="L1282" s="1178" t="s">
        <v>211</v>
      </c>
      <c r="M1282" s="1369" t="s">
        <v>23296</v>
      </c>
      <c r="N1282" s="1178"/>
      <c r="O1282" s="1178">
        <v>6</v>
      </c>
      <c r="P1282" s="1178">
        <v>13.5</v>
      </c>
    </row>
    <row r="1283" spans="1:16">
      <c r="A1283" s="1178" t="s">
        <v>20838</v>
      </c>
      <c r="B1283" s="1371" t="str">
        <f>HYPERLINK(IFERROR("#Main_Tariff!A"&amp;MATCH(Raeburn_Main_Tariff[[#This Row],[Product Code]],Main_Tariff!I:I,0),"#Main_Tariff!A"&amp;MATCH("*"&amp;RIGHT(A1283,8)&amp;"*",Main_Tariff!A:A,0)),Raeburn_Main_Tariff[[#This Row],[PRODUCER]])</f>
        <v>Domaine J.P. Guyon</v>
      </c>
      <c r="C1283" s="1178" t="s">
        <v>20670</v>
      </c>
      <c r="D1283" s="1178" t="s">
        <v>897</v>
      </c>
      <c r="E1283" s="1179">
        <v>2021</v>
      </c>
      <c r="F1283" s="1282" t="s">
        <v>20220</v>
      </c>
      <c r="G1283" s="1368" t="s">
        <v>5258</v>
      </c>
      <c r="H1283" s="1178" t="s">
        <v>20224</v>
      </c>
      <c r="I1283" s="1178" t="s">
        <v>5172</v>
      </c>
      <c r="J1283" s="1178" t="s">
        <v>662</v>
      </c>
      <c r="K1283" s="1178" t="s">
        <v>267</v>
      </c>
      <c r="L1283" s="1178" t="s">
        <v>211</v>
      </c>
      <c r="M1283" s="1369" t="s">
        <v>23296</v>
      </c>
      <c r="N1283" s="1178"/>
      <c r="O1283" s="1178">
        <v>3</v>
      </c>
      <c r="P1283" s="1178">
        <v>14</v>
      </c>
    </row>
    <row r="1284" spans="1:16">
      <c r="A1284" s="1178" t="s">
        <v>20849</v>
      </c>
      <c r="B1284" s="1371" t="str">
        <f>HYPERLINK(IFERROR("#Main_Tariff!A"&amp;MATCH(Raeburn_Main_Tariff[[#This Row],[Product Code]],Main_Tariff!I:I,0),"#Main_Tariff!A"&amp;MATCH("*"&amp;RIGHT(A1284,8)&amp;"*",Main_Tariff!A:A,0)),Raeburn_Main_Tariff[[#This Row],[PRODUCER]])</f>
        <v>Domaine Olivier Jouan</v>
      </c>
      <c r="C1284" s="1178" t="s">
        <v>20850</v>
      </c>
      <c r="D1284" s="1178" t="s">
        <v>897</v>
      </c>
      <c r="E1284" s="1179">
        <v>2017</v>
      </c>
      <c r="F1284" s="1282" t="s">
        <v>20220</v>
      </c>
      <c r="G1284" s="1368">
        <v>20</v>
      </c>
      <c r="H1284" s="1178" t="s">
        <v>20221</v>
      </c>
      <c r="I1284" s="1178" t="s">
        <v>5177</v>
      </c>
      <c r="J1284" s="1178" t="s">
        <v>662</v>
      </c>
      <c r="K1284" s="1178" t="s">
        <v>267</v>
      </c>
      <c r="L1284" s="1178" t="s">
        <v>211</v>
      </c>
      <c r="M1284" s="1369"/>
      <c r="N1284" s="1178"/>
      <c r="O1284" s="1178">
        <v>6</v>
      </c>
      <c r="P1284" s="1178">
        <v>12.5</v>
      </c>
    </row>
    <row r="1285" spans="1:16">
      <c r="A1285" s="1178" t="s">
        <v>20849</v>
      </c>
      <c r="B1285" s="1371" t="str">
        <f>HYPERLINK(IFERROR("#Main_Tariff!A"&amp;MATCH(Raeburn_Main_Tariff[[#This Row],[Product Code]],Main_Tariff!I:I,0),"#Main_Tariff!A"&amp;MATCH("*"&amp;RIGHT(A1285,8)&amp;"*",Main_Tariff!A:A,0)),Raeburn_Main_Tariff[[#This Row],[PRODUCER]])</f>
        <v>Domaine Olivier Jouan</v>
      </c>
      <c r="C1285" s="1178" t="s">
        <v>20851</v>
      </c>
      <c r="D1285" s="1178" t="s">
        <v>897</v>
      </c>
      <c r="E1285" s="1179">
        <v>2012</v>
      </c>
      <c r="F1285" s="1282" t="s">
        <v>20220</v>
      </c>
      <c r="G1285" s="1368">
        <v>40</v>
      </c>
      <c r="H1285" s="1178" t="s">
        <v>20224</v>
      </c>
      <c r="I1285" s="1178" t="s">
        <v>5181</v>
      </c>
      <c r="J1285" s="1178" t="s">
        <v>662</v>
      </c>
      <c r="K1285" s="1178" t="s">
        <v>267</v>
      </c>
      <c r="L1285" s="1178" t="s">
        <v>211</v>
      </c>
      <c r="M1285" s="1369"/>
      <c r="N1285" s="1178"/>
      <c r="O1285" s="1178">
        <v>6</v>
      </c>
      <c r="P1285" s="1178">
        <v>13.5</v>
      </c>
    </row>
    <row r="1286" spans="1:16">
      <c r="A1286" s="1178" t="s">
        <v>20849</v>
      </c>
      <c r="B1286" s="1371" t="str">
        <f>HYPERLINK(IFERROR("#Main_Tariff!A"&amp;MATCH(Raeburn_Main_Tariff[[#This Row],[Product Code]],Main_Tariff!I:I,0),"#Main_Tariff!A"&amp;MATCH("*"&amp;RIGHT(A1286,8)&amp;"*",Main_Tariff!A:A,0)),Raeburn_Main_Tariff[[#This Row],[PRODUCER]])</f>
        <v>Domaine Olivier Jouan</v>
      </c>
      <c r="C1286" s="1178" t="s">
        <v>20852</v>
      </c>
      <c r="D1286" s="1178" t="s">
        <v>897</v>
      </c>
      <c r="E1286" s="1179">
        <v>2014</v>
      </c>
      <c r="F1286" s="1282" t="s">
        <v>20220</v>
      </c>
      <c r="G1286" s="1368">
        <v>40</v>
      </c>
      <c r="H1286" s="1178" t="s">
        <v>20221</v>
      </c>
      <c r="I1286" s="1178" t="s">
        <v>5183</v>
      </c>
      <c r="J1286" s="1178" t="s">
        <v>662</v>
      </c>
      <c r="K1286" s="1178" t="s">
        <v>267</v>
      </c>
      <c r="L1286" s="1178" t="s">
        <v>211</v>
      </c>
      <c r="M1286" s="1369"/>
      <c r="N1286" s="1178"/>
      <c r="O1286" s="1178">
        <v>6</v>
      </c>
      <c r="P1286" s="1178">
        <v>13</v>
      </c>
    </row>
    <row r="1287" spans="1:16">
      <c r="A1287" s="1178" t="s">
        <v>20849</v>
      </c>
      <c r="B1287" s="1371" t="str">
        <f>HYPERLINK(IFERROR("#Main_Tariff!A"&amp;MATCH(Raeburn_Main_Tariff[[#This Row],[Product Code]],Main_Tariff!I:I,0),"#Main_Tariff!A"&amp;MATCH("*"&amp;RIGHT(A1287,8)&amp;"*",Main_Tariff!A:A,0)),Raeburn_Main_Tariff[[#This Row],[PRODUCER]])</f>
        <v>Domaine Olivier Jouan</v>
      </c>
      <c r="C1287" s="1178" t="s">
        <v>20852</v>
      </c>
      <c r="D1287" s="1178" t="s">
        <v>897</v>
      </c>
      <c r="E1287" s="1179">
        <v>2013</v>
      </c>
      <c r="F1287" s="1282" t="s">
        <v>20220</v>
      </c>
      <c r="G1287" s="1368">
        <v>40</v>
      </c>
      <c r="H1287" s="1178" t="s">
        <v>20221</v>
      </c>
      <c r="I1287" s="1178" t="s">
        <v>5185</v>
      </c>
      <c r="J1287" s="1178" t="s">
        <v>662</v>
      </c>
      <c r="K1287" s="1178" t="s">
        <v>267</v>
      </c>
      <c r="L1287" s="1178" t="s">
        <v>211</v>
      </c>
      <c r="M1287" s="1369"/>
      <c r="N1287" s="1178"/>
      <c r="O1287" s="1178">
        <v>6</v>
      </c>
      <c r="P1287" s="1178">
        <v>13.5</v>
      </c>
    </row>
    <row r="1288" spans="1:16">
      <c r="A1288" s="1178" t="s">
        <v>20849</v>
      </c>
      <c r="B1288" s="1371" t="str">
        <f>HYPERLINK(IFERROR("#Main_Tariff!A"&amp;MATCH(Raeburn_Main_Tariff[[#This Row],[Product Code]],Main_Tariff!I:I,0),"#Main_Tariff!A"&amp;MATCH("*"&amp;RIGHT(A1288,8)&amp;"*",Main_Tariff!A:A,0)),Raeburn_Main_Tariff[[#This Row],[PRODUCER]])</f>
        <v>Domaine Olivier Jouan</v>
      </c>
      <c r="C1288" s="1178" t="s">
        <v>20852</v>
      </c>
      <c r="D1288" s="1178" t="s">
        <v>897</v>
      </c>
      <c r="E1288" s="1179">
        <v>2012</v>
      </c>
      <c r="F1288" s="1282" t="s">
        <v>20220</v>
      </c>
      <c r="G1288" s="1368">
        <v>40</v>
      </c>
      <c r="H1288" s="1178" t="s">
        <v>20277</v>
      </c>
      <c r="I1288" s="1178" t="s">
        <v>5187</v>
      </c>
      <c r="J1288" s="1178" t="s">
        <v>662</v>
      </c>
      <c r="K1288" s="1178" t="s">
        <v>267</v>
      </c>
      <c r="L1288" s="1178" t="s">
        <v>211</v>
      </c>
      <c r="M1288" s="1369"/>
      <c r="N1288" s="1178"/>
      <c r="O1288" s="1178">
        <v>6</v>
      </c>
      <c r="P1288" s="1178">
        <v>13</v>
      </c>
    </row>
    <row r="1289" spans="1:16">
      <c r="A1289" s="1178" t="s">
        <v>20849</v>
      </c>
      <c r="B1289" s="1371" t="str">
        <f>HYPERLINK(IFERROR("#Main_Tariff!A"&amp;MATCH(Raeburn_Main_Tariff[[#This Row],[Product Code]],Main_Tariff!I:I,0),"#Main_Tariff!A"&amp;MATCH("*"&amp;RIGHT(A1289,8)&amp;"*",Main_Tariff!A:A,0)),Raeburn_Main_Tariff[[#This Row],[PRODUCER]])</f>
        <v>Domaine Olivier Jouan</v>
      </c>
      <c r="C1289" s="1178" t="s">
        <v>20853</v>
      </c>
      <c r="D1289" s="1178" t="s">
        <v>897</v>
      </c>
      <c r="E1289" s="1179">
        <v>2014</v>
      </c>
      <c r="F1289" s="1282" t="s">
        <v>20220</v>
      </c>
      <c r="G1289" s="1368">
        <v>50</v>
      </c>
      <c r="H1289" s="1178" t="s">
        <v>20221</v>
      </c>
      <c r="I1289" s="1178" t="s">
        <v>5191</v>
      </c>
      <c r="J1289" s="1178" t="s">
        <v>662</v>
      </c>
      <c r="K1289" s="1178" t="s">
        <v>267</v>
      </c>
      <c r="L1289" s="1178" t="s">
        <v>211</v>
      </c>
      <c r="M1289" s="1369" t="s">
        <v>23297</v>
      </c>
      <c r="N1289" s="1178"/>
      <c r="O1289" s="1178">
        <v>6</v>
      </c>
      <c r="P1289" s="1178">
        <v>13.5</v>
      </c>
    </row>
    <row r="1290" spans="1:16">
      <c r="A1290" s="1178" t="s">
        <v>20849</v>
      </c>
      <c r="B1290" s="1371" t="str">
        <f>HYPERLINK(IFERROR("#Main_Tariff!A"&amp;MATCH(Raeburn_Main_Tariff[[#This Row],[Product Code]],Main_Tariff!I:I,0),"#Main_Tariff!A"&amp;MATCH("*"&amp;RIGHT(A1290,8)&amp;"*",Main_Tariff!A:A,0)),Raeburn_Main_Tariff[[#This Row],[PRODUCER]])</f>
        <v>Domaine Olivier Jouan</v>
      </c>
      <c r="C1290" s="1178" t="s">
        <v>20853</v>
      </c>
      <c r="D1290" s="1178" t="s">
        <v>897</v>
      </c>
      <c r="E1290" s="1179">
        <v>2013</v>
      </c>
      <c r="F1290" s="1282" t="s">
        <v>20220</v>
      </c>
      <c r="G1290" s="1368">
        <v>50</v>
      </c>
      <c r="H1290" s="1178" t="s">
        <v>20221</v>
      </c>
      <c r="I1290" s="1178" t="s">
        <v>5193</v>
      </c>
      <c r="J1290" s="1178" t="s">
        <v>662</v>
      </c>
      <c r="K1290" s="1178" t="s">
        <v>267</v>
      </c>
      <c r="L1290" s="1178" t="s">
        <v>211</v>
      </c>
      <c r="M1290" s="1369" t="s">
        <v>23297</v>
      </c>
      <c r="N1290" s="1178"/>
      <c r="O1290" s="1178">
        <v>6</v>
      </c>
      <c r="P1290" s="1178">
        <v>13.5</v>
      </c>
    </row>
    <row r="1291" spans="1:16">
      <c r="A1291" s="1178" t="s">
        <v>20849</v>
      </c>
      <c r="B1291" s="1371" t="str">
        <f>HYPERLINK(IFERROR("#Main_Tariff!A"&amp;MATCH(Raeburn_Main_Tariff[[#This Row],[Product Code]],Main_Tariff!I:I,0),"#Main_Tariff!A"&amp;MATCH("*"&amp;RIGHT(A1291,8)&amp;"*",Main_Tariff!A:A,0)),Raeburn_Main_Tariff[[#This Row],[PRODUCER]])</f>
        <v>Domaine Olivier Jouan</v>
      </c>
      <c r="C1291" s="1178" t="s">
        <v>20853</v>
      </c>
      <c r="D1291" s="1178" t="s">
        <v>897</v>
      </c>
      <c r="E1291" s="1179">
        <v>2012</v>
      </c>
      <c r="F1291" s="1282" t="s">
        <v>20220</v>
      </c>
      <c r="G1291" s="1368">
        <v>55</v>
      </c>
      <c r="H1291" s="1178" t="s">
        <v>20221</v>
      </c>
      <c r="I1291" s="1178" t="s">
        <v>5195</v>
      </c>
      <c r="J1291" s="1178" t="s">
        <v>662</v>
      </c>
      <c r="K1291" s="1178" t="s">
        <v>267</v>
      </c>
      <c r="L1291" s="1178" t="s">
        <v>211</v>
      </c>
      <c r="M1291" s="1369" t="s">
        <v>23297</v>
      </c>
      <c r="N1291" s="1178"/>
      <c r="O1291" s="1178">
        <v>6</v>
      </c>
      <c r="P1291" s="1178">
        <v>13.5</v>
      </c>
    </row>
    <row r="1292" spans="1:16">
      <c r="A1292" s="1178" t="s">
        <v>20849</v>
      </c>
      <c r="B1292" s="1371" t="str">
        <f>HYPERLINK(IFERROR("#Main_Tariff!A"&amp;MATCH(Raeburn_Main_Tariff[[#This Row],[Product Code]],Main_Tariff!I:I,0),"#Main_Tariff!A"&amp;MATCH("*"&amp;RIGHT(A1292,8)&amp;"*",Main_Tariff!A:A,0)),Raeburn_Main_Tariff[[#This Row],[PRODUCER]])</f>
        <v>Domaine Olivier Jouan</v>
      </c>
      <c r="C1292" s="1178" t="s">
        <v>20854</v>
      </c>
      <c r="D1292" s="1178" t="s">
        <v>897</v>
      </c>
      <c r="E1292" s="1179">
        <v>2013</v>
      </c>
      <c r="F1292" s="1282" t="s">
        <v>20220</v>
      </c>
      <c r="G1292" s="1368">
        <v>58.5</v>
      </c>
      <c r="H1292" s="1178" t="s">
        <v>20224</v>
      </c>
      <c r="I1292" s="1178" t="s">
        <v>5197</v>
      </c>
      <c r="J1292" s="1178" t="s">
        <v>662</v>
      </c>
      <c r="K1292" s="1178" t="s">
        <v>267</v>
      </c>
      <c r="L1292" s="1178" t="s">
        <v>211</v>
      </c>
      <c r="M1292" s="1369" t="s">
        <v>23297</v>
      </c>
      <c r="N1292" s="1178"/>
      <c r="O1292" s="1178">
        <v>6</v>
      </c>
      <c r="P1292" s="1178">
        <v>13.5</v>
      </c>
    </row>
    <row r="1293" spans="1:16">
      <c r="A1293" s="1178" t="s">
        <v>20849</v>
      </c>
      <c r="B1293" s="1371" t="str">
        <f>HYPERLINK(IFERROR("#Main_Tariff!A"&amp;MATCH(Raeburn_Main_Tariff[[#This Row],[Product Code]],Main_Tariff!I:I,0),"#Main_Tariff!A"&amp;MATCH("*"&amp;RIGHT(A1293,8)&amp;"*",Main_Tariff!A:A,0)),Raeburn_Main_Tariff[[#This Row],[PRODUCER]])</f>
        <v>Domaine Olivier Jouan</v>
      </c>
      <c r="C1293" s="1178" t="s">
        <v>20854</v>
      </c>
      <c r="D1293" s="1178" t="s">
        <v>897</v>
      </c>
      <c r="E1293" s="1179">
        <v>2012</v>
      </c>
      <c r="F1293" s="1282" t="s">
        <v>20220</v>
      </c>
      <c r="G1293" s="1368">
        <v>58.5</v>
      </c>
      <c r="H1293" s="1178" t="s">
        <v>20277</v>
      </c>
      <c r="I1293" s="1178" t="s">
        <v>5199</v>
      </c>
      <c r="J1293" s="1178" t="s">
        <v>662</v>
      </c>
      <c r="K1293" s="1178" t="s">
        <v>267</v>
      </c>
      <c r="L1293" s="1178" t="s">
        <v>211</v>
      </c>
      <c r="M1293" s="1369" t="s">
        <v>23297</v>
      </c>
      <c r="N1293" s="1178"/>
      <c r="O1293" s="1178">
        <v>6</v>
      </c>
      <c r="P1293" s="1178">
        <v>13.5</v>
      </c>
    </row>
    <row r="1294" spans="1:16">
      <c r="A1294" s="1178" t="s">
        <v>20849</v>
      </c>
      <c r="B1294" s="1371" t="str">
        <f>HYPERLINK(IFERROR("#Main_Tariff!A"&amp;MATCH(Raeburn_Main_Tariff[[#This Row],[Product Code]],Main_Tariff!I:I,0),"#Main_Tariff!A"&amp;MATCH("*"&amp;RIGHT(A1294,8)&amp;"*",Main_Tariff!A:A,0)),Raeburn_Main_Tariff[[#This Row],[PRODUCER]])</f>
        <v>Domaine Olivier Jouan</v>
      </c>
      <c r="C1294" s="1178" t="s">
        <v>20695</v>
      </c>
      <c r="D1294" s="1178" t="s">
        <v>897</v>
      </c>
      <c r="E1294" s="1179">
        <v>2014</v>
      </c>
      <c r="F1294" s="1282" t="s">
        <v>20220</v>
      </c>
      <c r="G1294" s="1368">
        <v>85.5</v>
      </c>
      <c r="H1294" s="1178" t="s">
        <v>20221</v>
      </c>
      <c r="I1294" s="1178" t="s">
        <v>5203</v>
      </c>
      <c r="J1294" s="1178" t="s">
        <v>662</v>
      </c>
      <c r="K1294" s="1178" t="s">
        <v>267</v>
      </c>
      <c r="L1294" s="1178" t="s">
        <v>211</v>
      </c>
      <c r="M1294" s="1369" t="s">
        <v>23296</v>
      </c>
      <c r="N1294" s="1178"/>
      <c r="O1294" s="1178">
        <v>6</v>
      </c>
      <c r="P1294" s="1178">
        <v>13.5</v>
      </c>
    </row>
    <row r="1295" spans="1:16">
      <c r="A1295" s="1178" t="s">
        <v>20849</v>
      </c>
      <c r="B1295" s="1371" t="str">
        <f>HYPERLINK(IFERROR("#Main_Tariff!A"&amp;MATCH(Raeburn_Main_Tariff[[#This Row],[Product Code]],Main_Tariff!I:I,0),"#Main_Tariff!A"&amp;MATCH("*"&amp;RIGHT(A1295,8)&amp;"*",Main_Tariff!A:A,0)),Raeburn_Main_Tariff[[#This Row],[PRODUCER]])</f>
        <v>Domaine Olivier Jouan</v>
      </c>
      <c r="C1295" s="1178" t="s">
        <v>20695</v>
      </c>
      <c r="D1295" s="1178" t="s">
        <v>897</v>
      </c>
      <c r="E1295" s="1179">
        <v>2013</v>
      </c>
      <c r="F1295" s="1282" t="s">
        <v>20220</v>
      </c>
      <c r="G1295" s="1368">
        <v>85.5</v>
      </c>
      <c r="H1295" s="1178" t="s">
        <v>20221</v>
      </c>
      <c r="I1295" s="1178" t="s">
        <v>5205</v>
      </c>
      <c r="J1295" s="1178" t="s">
        <v>662</v>
      </c>
      <c r="K1295" s="1178" t="s">
        <v>267</v>
      </c>
      <c r="L1295" s="1178" t="s">
        <v>211</v>
      </c>
      <c r="M1295" s="1369" t="s">
        <v>23296</v>
      </c>
      <c r="N1295" s="1178"/>
      <c r="O1295" s="1178">
        <v>6</v>
      </c>
      <c r="P1295" s="1178">
        <v>13.5</v>
      </c>
    </row>
    <row r="1296" spans="1:16">
      <c r="A1296" s="1178" t="s">
        <v>20849</v>
      </c>
      <c r="B1296" s="1371" t="str">
        <f>HYPERLINK(IFERROR("#Main_Tariff!A"&amp;MATCH(Raeburn_Main_Tariff[[#This Row],[Product Code]],Main_Tariff!I:I,0),"#Main_Tariff!A"&amp;MATCH("*"&amp;RIGHT(A1296,8)&amp;"*",Main_Tariff!A:A,0)),Raeburn_Main_Tariff[[#This Row],[PRODUCER]])</f>
        <v>Domaine Olivier Jouan</v>
      </c>
      <c r="C1296" s="1178" t="s">
        <v>20695</v>
      </c>
      <c r="D1296" s="1178" t="s">
        <v>897</v>
      </c>
      <c r="E1296" s="1179">
        <v>2012</v>
      </c>
      <c r="F1296" s="1282" t="s">
        <v>20220</v>
      </c>
      <c r="G1296" s="1368">
        <v>89.5</v>
      </c>
      <c r="H1296" s="1178" t="s">
        <v>20224</v>
      </c>
      <c r="I1296" s="1178" t="s">
        <v>5207</v>
      </c>
      <c r="J1296" s="1178" t="s">
        <v>662</v>
      </c>
      <c r="K1296" s="1178" t="s">
        <v>267</v>
      </c>
      <c r="L1296" s="1178" t="s">
        <v>211</v>
      </c>
      <c r="M1296" s="1369" t="s">
        <v>23296</v>
      </c>
      <c r="N1296" s="1178"/>
      <c r="O1296" s="1178">
        <v>6</v>
      </c>
      <c r="P1296" s="1178">
        <v>13.5</v>
      </c>
    </row>
    <row r="1297" spans="1:16">
      <c r="A1297" s="1178" t="s">
        <v>20855</v>
      </c>
      <c r="B1297" s="1371" t="str">
        <f>HYPERLINK(IFERROR("#Main_Tariff!A"&amp;MATCH(Raeburn_Main_Tariff[[#This Row],[Product Code]],Main_Tariff!I:I,0),"#Main_Tariff!A"&amp;MATCH("*"&amp;RIGHT(A1297,8)&amp;"*",Main_Tariff!A:A,0)),Raeburn_Main_Tariff[[#This Row],[PRODUCER]])</f>
        <v>Nicole Lamarche</v>
      </c>
      <c r="C1297" s="1178" t="s">
        <v>20856</v>
      </c>
      <c r="D1297" s="1178" t="s">
        <v>897</v>
      </c>
      <c r="E1297" s="1179">
        <v>2023</v>
      </c>
      <c r="F1297" s="1282" t="s">
        <v>20220</v>
      </c>
      <c r="G1297" s="1368">
        <v>26.5</v>
      </c>
      <c r="H1297" s="1178" t="s">
        <v>20221</v>
      </c>
      <c r="I1297" s="1178" t="s">
        <v>23267</v>
      </c>
      <c r="J1297" s="1178" t="s">
        <v>662</v>
      </c>
      <c r="K1297" s="1178" t="s">
        <v>267</v>
      </c>
      <c r="L1297" s="1178" t="s">
        <v>211</v>
      </c>
      <c r="M1297" s="1369"/>
      <c r="N1297" s="1178"/>
      <c r="O1297" s="1178">
        <v>6</v>
      </c>
      <c r="P1297" s="1178">
        <v>13</v>
      </c>
    </row>
    <row r="1298" spans="1:16">
      <c r="A1298" s="1178" t="s">
        <v>20855</v>
      </c>
      <c r="B1298" s="1371" t="str">
        <f>HYPERLINK(IFERROR("#Main_Tariff!A"&amp;MATCH(Raeburn_Main_Tariff[[#This Row],[Product Code]],Main_Tariff!I:I,0),"#Main_Tariff!A"&amp;MATCH("*"&amp;RIGHT(A1298,8)&amp;"*",Main_Tariff!A:A,0)),Raeburn_Main_Tariff[[#This Row],[PRODUCER]])</f>
        <v>Nicole Lamarche</v>
      </c>
      <c r="C1298" s="1178" t="s">
        <v>20856</v>
      </c>
      <c r="D1298" s="1178" t="s">
        <v>897</v>
      </c>
      <c r="E1298" s="1179">
        <v>2022</v>
      </c>
      <c r="F1298" s="1282" t="s">
        <v>20220</v>
      </c>
      <c r="G1298" s="1368">
        <v>25.5</v>
      </c>
      <c r="H1298" s="1178" t="s">
        <v>20221</v>
      </c>
      <c r="I1298" s="1178" t="s">
        <v>5216</v>
      </c>
      <c r="J1298" s="1178" t="s">
        <v>662</v>
      </c>
      <c r="K1298" s="1178" t="s">
        <v>267</v>
      </c>
      <c r="L1298" s="1178" t="s">
        <v>211</v>
      </c>
      <c r="M1298" s="1369"/>
      <c r="N1298" s="1178"/>
      <c r="O1298" s="1178">
        <v>6</v>
      </c>
      <c r="P1298" s="1178">
        <v>13</v>
      </c>
    </row>
    <row r="1299" spans="1:16">
      <c r="A1299" s="1178" t="s">
        <v>20855</v>
      </c>
      <c r="B1299" s="1371" t="str">
        <f>HYPERLINK(IFERROR("#Main_Tariff!A"&amp;MATCH(Raeburn_Main_Tariff[[#This Row],[Product Code]],Main_Tariff!I:I,0),"#Main_Tariff!A"&amp;MATCH("*"&amp;RIGHT(A1299,8)&amp;"*",Main_Tariff!A:A,0)),Raeburn_Main_Tariff[[#This Row],[PRODUCER]])</f>
        <v>Nicole Lamarche</v>
      </c>
      <c r="C1299" s="1178" t="s">
        <v>20856</v>
      </c>
      <c r="D1299" s="1178" t="s">
        <v>897</v>
      </c>
      <c r="E1299" s="1179">
        <v>2019</v>
      </c>
      <c r="F1299" s="1282" t="s">
        <v>20220</v>
      </c>
      <c r="G1299" s="1368">
        <v>25.5</v>
      </c>
      <c r="H1299" s="1178" t="s">
        <v>20224</v>
      </c>
      <c r="I1299" s="1178" t="s">
        <v>5218</v>
      </c>
      <c r="J1299" s="1178" t="s">
        <v>662</v>
      </c>
      <c r="K1299" s="1178" t="s">
        <v>267</v>
      </c>
      <c r="L1299" s="1178" t="s">
        <v>211</v>
      </c>
      <c r="M1299" s="1369"/>
      <c r="N1299" s="1178"/>
      <c r="O1299" s="1178">
        <v>6</v>
      </c>
      <c r="P1299" s="1178">
        <v>13</v>
      </c>
    </row>
    <row r="1300" spans="1:16">
      <c r="A1300" s="1178" t="s">
        <v>20855</v>
      </c>
      <c r="B1300" s="1371" t="str">
        <f>HYPERLINK(IFERROR("#Main_Tariff!A"&amp;MATCH(Raeburn_Main_Tariff[[#This Row],[Product Code]],Main_Tariff!I:I,0),"#Main_Tariff!A"&amp;MATCH("*"&amp;RIGHT(A1300,8)&amp;"*",Main_Tariff!A:A,0)),Raeburn_Main_Tariff[[#This Row],[PRODUCER]])</f>
        <v>Nicole Lamarche</v>
      </c>
      <c r="C1300" s="1178" t="s">
        <v>20857</v>
      </c>
      <c r="D1300" s="1178" t="s">
        <v>897</v>
      </c>
      <c r="E1300" s="1179">
        <v>2022</v>
      </c>
      <c r="F1300" s="1282" t="s">
        <v>20220</v>
      </c>
      <c r="G1300" s="1368" t="s">
        <v>5258</v>
      </c>
      <c r="H1300" s="1178" t="s">
        <v>20224</v>
      </c>
      <c r="I1300" s="1178" t="s">
        <v>5220</v>
      </c>
      <c r="J1300" s="1178" t="s">
        <v>662</v>
      </c>
      <c r="K1300" s="1178" t="s">
        <v>267</v>
      </c>
      <c r="L1300" s="1178" t="s">
        <v>211</v>
      </c>
      <c r="M1300" s="1369" t="s">
        <v>23297</v>
      </c>
      <c r="N1300" s="1178"/>
      <c r="O1300" s="1178">
        <v>6</v>
      </c>
      <c r="P1300" s="1178">
        <v>13.5</v>
      </c>
    </row>
    <row r="1301" spans="1:16">
      <c r="A1301" s="1178" t="s">
        <v>20855</v>
      </c>
      <c r="B1301" s="1371" t="str">
        <f>HYPERLINK(IFERROR("#Main_Tariff!A"&amp;MATCH(Raeburn_Main_Tariff[[#This Row],[Product Code]],Main_Tariff!I:I,0),"#Main_Tariff!A"&amp;MATCH("*"&amp;RIGHT(A1301,8)&amp;"*",Main_Tariff!A:A,0)),Raeburn_Main_Tariff[[#This Row],[PRODUCER]])</f>
        <v>Nicole Lamarche</v>
      </c>
      <c r="C1301" s="1178" t="s">
        <v>20858</v>
      </c>
      <c r="D1301" s="1178" t="s">
        <v>897</v>
      </c>
      <c r="E1301" s="1179">
        <v>2023</v>
      </c>
      <c r="F1301" s="1282" t="s">
        <v>20220</v>
      </c>
      <c r="G1301" s="1368" t="s">
        <v>5258</v>
      </c>
      <c r="H1301" s="1178" t="s">
        <v>20224</v>
      </c>
      <c r="I1301" s="1178" t="s">
        <v>23268</v>
      </c>
      <c r="J1301" s="1178" t="s">
        <v>662</v>
      </c>
      <c r="K1301" s="1178" t="s">
        <v>267</v>
      </c>
      <c r="L1301" s="1178" t="s">
        <v>211</v>
      </c>
      <c r="M1301" s="1369" t="s">
        <v>23297</v>
      </c>
      <c r="N1301" s="1178"/>
      <c r="O1301" s="1178">
        <v>3</v>
      </c>
      <c r="P1301" s="1178">
        <v>13</v>
      </c>
    </row>
    <row r="1302" spans="1:16">
      <c r="A1302" s="1178" t="s">
        <v>20855</v>
      </c>
      <c r="B1302" s="1371" t="str">
        <f>HYPERLINK(IFERROR("#Main_Tariff!A"&amp;MATCH(Raeburn_Main_Tariff[[#This Row],[Product Code]],Main_Tariff!I:I,0),"#Main_Tariff!A"&amp;MATCH("*"&amp;RIGHT(A1302,8)&amp;"*",Main_Tariff!A:A,0)),Raeburn_Main_Tariff[[#This Row],[PRODUCER]])</f>
        <v>Nicole Lamarche</v>
      </c>
      <c r="C1302" s="1178" t="s">
        <v>20858</v>
      </c>
      <c r="D1302" s="1178" t="s">
        <v>897</v>
      </c>
      <c r="E1302" s="1179">
        <v>2022</v>
      </c>
      <c r="F1302" s="1282" t="s">
        <v>20220</v>
      </c>
      <c r="G1302" s="1368" t="s">
        <v>5258</v>
      </c>
      <c r="H1302" s="1178" t="s">
        <v>20224</v>
      </c>
      <c r="I1302" s="1178" t="s">
        <v>5222</v>
      </c>
      <c r="J1302" s="1178" t="s">
        <v>662</v>
      </c>
      <c r="K1302" s="1178" t="s">
        <v>267</v>
      </c>
      <c r="L1302" s="1178" t="s">
        <v>211</v>
      </c>
      <c r="M1302" s="1369" t="s">
        <v>23297</v>
      </c>
      <c r="N1302" s="1178"/>
      <c r="O1302" s="1178">
        <v>3</v>
      </c>
      <c r="P1302" s="1178">
        <v>13</v>
      </c>
    </row>
    <row r="1303" spans="1:16">
      <c r="A1303" s="1178" t="s">
        <v>20855</v>
      </c>
      <c r="B1303" s="1371" t="str">
        <f>HYPERLINK(IFERROR("#Main_Tariff!A"&amp;MATCH(Raeburn_Main_Tariff[[#This Row],[Product Code]],Main_Tariff!I:I,0),"#Main_Tariff!A"&amp;MATCH("*"&amp;RIGHT(A1303,8)&amp;"*",Main_Tariff!A:A,0)),Raeburn_Main_Tariff[[#This Row],[PRODUCER]])</f>
        <v>Nicole Lamarche</v>
      </c>
      <c r="C1303" s="1178" t="s">
        <v>20859</v>
      </c>
      <c r="D1303" s="1178" t="s">
        <v>897</v>
      </c>
      <c r="E1303" s="1179">
        <v>2023</v>
      </c>
      <c r="F1303" s="1282" t="s">
        <v>20220</v>
      </c>
      <c r="G1303" s="1368" t="s">
        <v>5258</v>
      </c>
      <c r="H1303" s="1178" t="s">
        <v>20224</v>
      </c>
      <c r="I1303" s="1178" t="s">
        <v>23269</v>
      </c>
      <c r="J1303" s="1178" t="s">
        <v>662</v>
      </c>
      <c r="K1303" s="1178" t="s">
        <v>267</v>
      </c>
      <c r="L1303" s="1178" t="s">
        <v>211</v>
      </c>
      <c r="M1303" s="1369" t="s">
        <v>23297</v>
      </c>
      <c r="N1303" s="1178"/>
      <c r="O1303" s="1178">
        <v>3</v>
      </c>
      <c r="P1303" s="1178">
        <v>13</v>
      </c>
    </row>
    <row r="1304" spans="1:16">
      <c r="A1304" s="1178" t="s">
        <v>20855</v>
      </c>
      <c r="B1304" s="1371" t="str">
        <f>HYPERLINK(IFERROR("#Main_Tariff!A"&amp;MATCH(Raeburn_Main_Tariff[[#This Row],[Product Code]],Main_Tariff!I:I,0),"#Main_Tariff!A"&amp;MATCH("*"&amp;RIGHT(A1304,8)&amp;"*",Main_Tariff!A:A,0)),Raeburn_Main_Tariff[[#This Row],[PRODUCER]])</f>
        <v>Nicole Lamarche</v>
      </c>
      <c r="C1304" s="1178" t="s">
        <v>20859</v>
      </c>
      <c r="D1304" s="1178" t="s">
        <v>897</v>
      </c>
      <c r="E1304" s="1179">
        <v>2022</v>
      </c>
      <c r="F1304" s="1282" t="s">
        <v>20220</v>
      </c>
      <c r="G1304" s="1368" t="s">
        <v>5258</v>
      </c>
      <c r="H1304" s="1178" t="s">
        <v>20224</v>
      </c>
      <c r="I1304" s="1178" t="s">
        <v>5223</v>
      </c>
      <c r="J1304" s="1178" t="s">
        <v>662</v>
      </c>
      <c r="K1304" s="1178" t="s">
        <v>267</v>
      </c>
      <c r="L1304" s="1178" t="s">
        <v>211</v>
      </c>
      <c r="M1304" s="1369" t="s">
        <v>23297</v>
      </c>
      <c r="N1304" s="1178"/>
      <c r="O1304" s="1178">
        <v>3</v>
      </c>
      <c r="P1304" s="1178">
        <v>13</v>
      </c>
    </row>
    <row r="1305" spans="1:16">
      <c r="A1305" s="1178" t="s">
        <v>20855</v>
      </c>
      <c r="B1305" s="1371" t="str">
        <f>HYPERLINK(IFERROR("#Main_Tariff!A"&amp;MATCH(Raeburn_Main_Tariff[[#This Row],[Product Code]],Main_Tariff!I:I,0),"#Main_Tariff!A"&amp;MATCH("*"&amp;RIGHT(A1305,8)&amp;"*",Main_Tariff!A:A,0)),Raeburn_Main_Tariff[[#This Row],[PRODUCER]])</f>
        <v>Nicole Lamarche</v>
      </c>
      <c r="C1305" s="1178" t="s">
        <v>20798</v>
      </c>
      <c r="D1305" s="1178" t="s">
        <v>897</v>
      </c>
      <c r="E1305" s="1179">
        <v>2023</v>
      </c>
      <c r="F1305" s="1282" t="s">
        <v>20220</v>
      </c>
      <c r="G1305" s="1368" t="s">
        <v>5258</v>
      </c>
      <c r="H1305" s="1178" t="s">
        <v>20224</v>
      </c>
      <c r="I1305" s="1178" t="s">
        <v>23270</v>
      </c>
      <c r="J1305" s="1178" t="s">
        <v>662</v>
      </c>
      <c r="K1305" s="1178" t="s">
        <v>267</v>
      </c>
      <c r="L1305" s="1178" t="s">
        <v>211</v>
      </c>
      <c r="M1305" s="1369" t="s">
        <v>23296</v>
      </c>
      <c r="N1305" s="1178"/>
      <c r="O1305" s="1178">
        <v>3</v>
      </c>
      <c r="P1305" s="1178">
        <v>13</v>
      </c>
    </row>
    <row r="1306" spans="1:16">
      <c r="A1306" s="1178" t="s">
        <v>20855</v>
      </c>
      <c r="B1306" s="1371" t="str">
        <f>HYPERLINK(IFERROR("#Main_Tariff!A"&amp;MATCH(Raeburn_Main_Tariff[[#This Row],[Product Code]],Main_Tariff!I:I,0),"#Main_Tariff!A"&amp;MATCH("*"&amp;RIGHT(A1306,8)&amp;"*",Main_Tariff!A:A,0)),Raeburn_Main_Tariff[[#This Row],[PRODUCER]])</f>
        <v>Nicole Lamarche</v>
      </c>
      <c r="C1306" s="1178" t="s">
        <v>20798</v>
      </c>
      <c r="D1306" s="1178" t="s">
        <v>897</v>
      </c>
      <c r="E1306" s="1179">
        <v>2022</v>
      </c>
      <c r="F1306" s="1282" t="s">
        <v>20220</v>
      </c>
      <c r="G1306" s="1368" t="s">
        <v>5258</v>
      </c>
      <c r="H1306" s="1178" t="s">
        <v>20224</v>
      </c>
      <c r="I1306" s="1178" t="s">
        <v>5224</v>
      </c>
      <c r="J1306" s="1178" t="s">
        <v>662</v>
      </c>
      <c r="K1306" s="1178" t="s">
        <v>267</v>
      </c>
      <c r="L1306" s="1178" t="s">
        <v>211</v>
      </c>
      <c r="M1306" s="1369" t="s">
        <v>23296</v>
      </c>
      <c r="N1306" s="1178"/>
      <c r="O1306" s="1178">
        <v>3</v>
      </c>
      <c r="P1306" s="1178">
        <v>13</v>
      </c>
    </row>
    <row r="1307" spans="1:16">
      <c r="A1307" s="1178" t="s">
        <v>20855</v>
      </c>
      <c r="B1307" s="1371" t="str">
        <f>HYPERLINK(IFERROR("#Main_Tariff!A"&amp;MATCH(Raeburn_Main_Tariff[[#This Row],[Product Code]],Main_Tariff!I:I,0),"#Main_Tariff!A"&amp;MATCH("*"&amp;RIGHT(A1307,8)&amp;"*",Main_Tariff!A:A,0)),Raeburn_Main_Tariff[[#This Row],[PRODUCER]])</f>
        <v>Nicole Lamarche</v>
      </c>
      <c r="C1307" s="1178" t="s">
        <v>20670</v>
      </c>
      <c r="D1307" s="1178" t="s">
        <v>897</v>
      </c>
      <c r="E1307" s="1179">
        <v>2023</v>
      </c>
      <c r="F1307" s="1282" t="s">
        <v>20220</v>
      </c>
      <c r="G1307" s="1368" t="s">
        <v>5258</v>
      </c>
      <c r="H1307" s="1178" t="s">
        <v>20224</v>
      </c>
      <c r="I1307" s="1178" t="s">
        <v>23271</v>
      </c>
      <c r="J1307" s="1178" t="s">
        <v>662</v>
      </c>
      <c r="K1307" s="1178" t="s">
        <v>267</v>
      </c>
      <c r="L1307" s="1178" t="s">
        <v>211</v>
      </c>
      <c r="M1307" s="1369" t="s">
        <v>23296</v>
      </c>
      <c r="N1307" s="1178"/>
      <c r="O1307" s="1178">
        <v>3</v>
      </c>
      <c r="P1307" s="1178">
        <v>13</v>
      </c>
    </row>
    <row r="1308" spans="1:16">
      <c r="A1308" s="1178" t="s">
        <v>20855</v>
      </c>
      <c r="B1308" s="1371" t="str">
        <f>HYPERLINK(IFERROR("#Main_Tariff!A"&amp;MATCH(Raeburn_Main_Tariff[[#This Row],[Product Code]],Main_Tariff!I:I,0),"#Main_Tariff!A"&amp;MATCH("*"&amp;RIGHT(A1308,8)&amp;"*",Main_Tariff!A:A,0)),Raeburn_Main_Tariff[[#This Row],[PRODUCER]])</f>
        <v>Nicole Lamarche</v>
      </c>
      <c r="C1308" s="1178" t="s">
        <v>20670</v>
      </c>
      <c r="D1308" s="1178" t="s">
        <v>897</v>
      </c>
      <c r="E1308" s="1179">
        <v>2022</v>
      </c>
      <c r="F1308" s="1282" t="s">
        <v>20220</v>
      </c>
      <c r="G1308" s="1368" t="s">
        <v>5258</v>
      </c>
      <c r="H1308" s="1178" t="s">
        <v>20224</v>
      </c>
      <c r="I1308" s="1178" t="s">
        <v>5225</v>
      </c>
      <c r="J1308" s="1178" t="s">
        <v>662</v>
      </c>
      <c r="K1308" s="1178" t="s">
        <v>267</v>
      </c>
      <c r="L1308" s="1178" t="s">
        <v>211</v>
      </c>
      <c r="M1308" s="1369" t="s">
        <v>23296</v>
      </c>
      <c r="N1308" s="1178"/>
      <c r="O1308" s="1178">
        <v>3</v>
      </c>
      <c r="P1308" s="1178">
        <v>13</v>
      </c>
    </row>
    <row r="1309" spans="1:16">
      <c r="A1309" s="1178" t="s">
        <v>20855</v>
      </c>
      <c r="B1309" s="1371" t="str">
        <f>HYPERLINK(IFERROR("#Main_Tariff!A"&amp;MATCH(Raeburn_Main_Tariff[[#This Row],[Product Code]],Main_Tariff!I:I,0),"#Main_Tariff!A"&amp;MATCH("*"&amp;RIGHT(A1309,8)&amp;"*",Main_Tariff!A:A,0)),Raeburn_Main_Tariff[[#This Row],[PRODUCER]])</f>
        <v>Nicole Lamarche</v>
      </c>
      <c r="C1309" s="1178" t="s">
        <v>20860</v>
      </c>
      <c r="D1309" s="1178" t="s">
        <v>897</v>
      </c>
      <c r="E1309" s="1179">
        <v>2023</v>
      </c>
      <c r="F1309" s="1282" t="s">
        <v>20220</v>
      </c>
      <c r="G1309" s="1368" t="s">
        <v>5258</v>
      </c>
      <c r="H1309" s="1178" t="s">
        <v>20224</v>
      </c>
      <c r="I1309" s="1178" t="s">
        <v>23272</v>
      </c>
      <c r="J1309" s="1178" t="s">
        <v>662</v>
      </c>
      <c r="K1309" s="1178" t="s">
        <v>267</v>
      </c>
      <c r="L1309" s="1178" t="s">
        <v>211</v>
      </c>
      <c r="M1309" s="1369" t="s">
        <v>23296</v>
      </c>
      <c r="N1309" s="1178"/>
      <c r="O1309" s="1178">
        <v>3</v>
      </c>
      <c r="P1309" s="1178">
        <v>13</v>
      </c>
    </row>
    <row r="1310" spans="1:16">
      <c r="A1310" s="1178" t="s">
        <v>20855</v>
      </c>
      <c r="B1310" s="1371" t="str">
        <f>HYPERLINK(IFERROR("#Main_Tariff!A"&amp;MATCH(Raeburn_Main_Tariff[[#This Row],[Product Code]],Main_Tariff!I:I,0),"#Main_Tariff!A"&amp;MATCH("*"&amp;RIGHT(A1310,8)&amp;"*",Main_Tariff!A:A,0)),Raeburn_Main_Tariff[[#This Row],[PRODUCER]])</f>
        <v>Nicole Lamarche</v>
      </c>
      <c r="C1310" s="1178" t="s">
        <v>20860</v>
      </c>
      <c r="D1310" s="1178" t="s">
        <v>897</v>
      </c>
      <c r="E1310" s="1179">
        <v>2022</v>
      </c>
      <c r="F1310" s="1282" t="s">
        <v>20220</v>
      </c>
      <c r="G1310" s="1368" t="s">
        <v>5258</v>
      </c>
      <c r="H1310" s="1178" t="s">
        <v>20224</v>
      </c>
      <c r="I1310" s="1178" t="s">
        <v>5227</v>
      </c>
      <c r="J1310" s="1178" t="s">
        <v>662</v>
      </c>
      <c r="K1310" s="1178" t="s">
        <v>267</v>
      </c>
      <c r="L1310" s="1178" t="s">
        <v>211</v>
      </c>
      <c r="M1310" s="1369" t="s">
        <v>23296</v>
      </c>
      <c r="N1310" s="1178"/>
      <c r="O1310" s="1178">
        <v>3</v>
      </c>
      <c r="P1310" s="1178">
        <v>13</v>
      </c>
    </row>
    <row r="1311" spans="1:16">
      <c r="A1311" s="1178" t="s">
        <v>20861</v>
      </c>
      <c r="B1311" s="1371" t="str">
        <f>HYPERLINK(IFERROR("#Main_Tariff!A"&amp;MATCH(Raeburn_Main_Tariff[[#This Row],[Product Code]],Main_Tariff!I:I,0),"#Main_Tariff!A"&amp;MATCH("*"&amp;RIGHT(A1311,8)&amp;"*",Main_Tariff!A:A,0)),Raeburn_Main_Tariff[[#This Row],[PRODUCER]])</f>
        <v>Domaine des Lambrays</v>
      </c>
      <c r="C1311" s="1178" t="s">
        <v>20679</v>
      </c>
      <c r="D1311" s="1178" t="s">
        <v>897</v>
      </c>
      <c r="E1311" s="1179">
        <v>2022</v>
      </c>
      <c r="F1311" s="1282" t="s">
        <v>20220</v>
      </c>
      <c r="G1311" s="1368" t="s">
        <v>20342</v>
      </c>
      <c r="H1311" s="1178" t="s">
        <v>20343</v>
      </c>
      <c r="I1311" s="1178" t="s">
        <v>5240</v>
      </c>
      <c r="J1311" s="1178" t="s">
        <v>662</v>
      </c>
      <c r="K1311" s="1178" t="s">
        <v>267</v>
      </c>
      <c r="L1311" s="1178" t="s">
        <v>211</v>
      </c>
      <c r="M1311" s="1369"/>
      <c r="N1311" s="1178" t="s">
        <v>20244</v>
      </c>
      <c r="O1311" s="1178">
        <v>6</v>
      </c>
      <c r="P1311" s="1178">
        <v>0</v>
      </c>
    </row>
    <row r="1312" spans="1:16">
      <c r="A1312" s="1178" t="s">
        <v>20861</v>
      </c>
      <c r="B1312" s="1371" t="str">
        <f>HYPERLINK(IFERROR("#Main_Tariff!A"&amp;MATCH(Raeburn_Main_Tariff[[#This Row],[Product Code]],Main_Tariff!I:I,0),"#Main_Tariff!A"&amp;MATCH("*"&amp;RIGHT(A1312,8)&amp;"*",Main_Tariff!A:A,0)),Raeburn_Main_Tariff[[#This Row],[PRODUCER]])</f>
        <v>Domaine des Lambrays</v>
      </c>
      <c r="C1312" s="1178" t="s">
        <v>20862</v>
      </c>
      <c r="D1312" s="1178" t="s">
        <v>897</v>
      </c>
      <c r="E1312" s="1179">
        <v>2022</v>
      </c>
      <c r="F1312" s="1282" t="s">
        <v>20220</v>
      </c>
      <c r="G1312" s="1368" t="s">
        <v>20342</v>
      </c>
      <c r="H1312" s="1178" t="s">
        <v>20343</v>
      </c>
      <c r="I1312" s="1178" t="s">
        <v>5242</v>
      </c>
      <c r="J1312" s="1178" t="s">
        <v>662</v>
      </c>
      <c r="K1312" s="1178" t="s">
        <v>267</v>
      </c>
      <c r="L1312" s="1178" t="s">
        <v>211</v>
      </c>
      <c r="M1312" s="1369" t="s">
        <v>23297</v>
      </c>
      <c r="N1312" s="1178" t="s">
        <v>20244</v>
      </c>
      <c r="O1312" s="1178">
        <v>6</v>
      </c>
      <c r="P1312" s="1178">
        <v>0</v>
      </c>
    </row>
    <row r="1313" spans="1:16">
      <c r="A1313" s="1178" t="s">
        <v>20861</v>
      </c>
      <c r="B1313" s="1371" t="str">
        <f>HYPERLINK(IFERROR("#Main_Tariff!A"&amp;MATCH(Raeburn_Main_Tariff[[#This Row],[Product Code]],Main_Tariff!I:I,0),"#Main_Tariff!A"&amp;MATCH("*"&amp;RIGHT(A1313,8)&amp;"*",Main_Tariff!A:A,0)),Raeburn_Main_Tariff[[#This Row],[PRODUCER]])</f>
        <v>Domaine des Lambrays</v>
      </c>
      <c r="C1313" s="1178" t="s">
        <v>20863</v>
      </c>
      <c r="D1313" s="1178" t="s">
        <v>897</v>
      </c>
      <c r="E1313" s="1179">
        <v>2022</v>
      </c>
      <c r="F1313" s="1282" t="s">
        <v>20220</v>
      </c>
      <c r="G1313" s="1368" t="s">
        <v>20342</v>
      </c>
      <c r="H1313" s="1178" t="s">
        <v>20343</v>
      </c>
      <c r="I1313" s="1178" t="s">
        <v>5244</v>
      </c>
      <c r="J1313" s="1178" t="s">
        <v>662</v>
      </c>
      <c r="K1313" s="1178" t="s">
        <v>267</v>
      </c>
      <c r="L1313" s="1178" t="s">
        <v>211</v>
      </c>
      <c r="M1313" s="1369" t="s">
        <v>23297</v>
      </c>
      <c r="N1313" s="1178" t="s">
        <v>20244</v>
      </c>
      <c r="O1313" s="1178">
        <v>6</v>
      </c>
      <c r="P1313" s="1178">
        <v>0</v>
      </c>
    </row>
    <row r="1314" spans="1:16">
      <c r="A1314" s="1178" t="s">
        <v>20861</v>
      </c>
      <c r="B1314" s="1371" t="str">
        <f>HYPERLINK(IFERROR("#Main_Tariff!A"&amp;MATCH(Raeburn_Main_Tariff[[#This Row],[Product Code]],Main_Tariff!I:I,0),"#Main_Tariff!A"&amp;MATCH("*"&amp;RIGHT(A1314,8)&amp;"*",Main_Tariff!A:A,0)),Raeburn_Main_Tariff[[#This Row],[PRODUCER]])</f>
        <v>Domaine des Lambrays</v>
      </c>
      <c r="C1314" s="1178" t="s">
        <v>20864</v>
      </c>
      <c r="D1314" s="1178" t="s">
        <v>897</v>
      </c>
      <c r="E1314" s="1179">
        <v>2022</v>
      </c>
      <c r="F1314" s="1282" t="s">
        <v>20220</v>
      </c>
      <c r="G1314" s="1368" t="s">
        <v>20342</v>
      </c>
      <c r="H1314" s="1178" t="s">
        <v>20343</v>
      </c>
      <c r="I1314" s="1178" t="s">
        <v>5246</v>
      </c>
      <c r="J1314" s="1178" t="s">
        <v>662</v>
      </c>
      <c r="K1314" s="1178" t="s">
        <v>267</v>
      </c>
      <c r="L1314" s="1178" t="s">
        <v>211</v>
      </c>
      <c r="M1314" s="1369" t="s">
        <v>23297</v>
      </c>
      <c r="N1314" s="1178"/>
      <c r="O1314" s="1178">
        <v>3</v>
      </c>
      <c r="P1314" s="1178">
        <v>0</v>
      </c>
    </row>
    <row r="1315" spans="1:16">
      <c r="A1315" s="1178" t="s">
        <v>20861</v>
      </c>
      <c r="B1315" s="1371" t="str">
        <f>HYPERLINK(IFERROR("#Main_Tariff!A"&amp;MATCH(Raeburn_Main_Tariff[[#This Row],[Product Code]],Main_Tariff!I:I,0),"#Main_Tariff!A"&amp;MATCH("*"&amp;RIGHT(A1315,8)&amp;"*",Main_Tariff!A:A,0)),Raeburn_Main_Tariff[[#This Row],[PRODUCER]])</f>
        <v>Domaine des Lambrays</v>
      </c>
      <c r="C1315" s="1178" t="s">
        <v>20865</v>
      </c>
      <c r="D1315" s="1178" t="s">
        <v>897</v>
      </c>
      <c r="E1315" s="1179">
        <v>2022</v>
      </c>
      <c r="F1315" s="1282" t="s">
        <v>20220</v>
      </c>
      <c r="G1315" s="1368" t="s">
        <v>20342</v>
      </c>
      <c r="H1315" s="1178" t="s">
        <v>20343</v>
      </c>
      <c r="I1315" s="1178" t="s">
        <v>5248</v>
      </c>
      <c r="J1315" s="1178" t="s">
        <v>662</v>
      </c>
      <c r="K1315" s="1178" t="s">
        <v>267</v>
      </c>
      <c r="L1315" s="1178" t="s">
        <v>211</v>
      </c>
      <c r="M1315" s="1369" t="s">
        <v>23297</v>
      </c>
      <c r="N1315" s="1178"/>
      <c r="O1315" s="1178">
        <v>3</v>
      </c>
      <c r="P1315" s="1178">
        <v>0</v>
      </c>
    </row>
    <row r="1316" spans="1:16">
      <c r="A1316" s="1178" t="s">
        <v>20861</v>
      </c>
      <c r="B1316" s="1371" t="str">
        <f>HYPERLINK(IFERROR("#Main_Tariff!A"&amp;MATCH(Raeburn_Main_Tariff[[#This Row],[Product Code]],Main_Tariff!I:I,0),"#Main_Tariff!A"&amp;MATCH("*"&amp;RIGHT(A1316,8)&amp;"*",Main_Tariff!A:A,0)),Raeburn_Main_Tariff[[#This Row],[PRODUCER]])</f>
        <v>Domaine des Lambrays</v>
      </c>
      <c r="C1316" s="1178" t="s">
        <v>20866</v>
      </c>
      <c r="D1316" s="1178" t="s">
        <v>897</v>
      </c>
      <c r="E1316" s="1179">
        <v>2022</v>
      </c>
      <c r="F1316" s="1282" t="s">
        <v>20220</v>
      </c>
      <c r="G1316" s="1368" t="s">
        <v>20342</v>
      </c>
      <c r="H1316" s="1178" t="s">
        <v>20343</v>
      </c>
      <c r="I1316" s="1178" t="s">
        <v>5250</v>
      </c>
      <c r="J1316" s="1178" t="s">
        <v>662</v>
      </c>
      <c r="K1316" s="1178" t="s">
        <v>267</v>
      </c>
      <c r="L1316" s="1178" t="s">
        <v>211</v>
      </c>
      <c r="M1316" s="1369" t="s">
        <v>23296</v>
      </c>
      <c r="N1316" s="1178" t="s">
        <v>20244</v>
      </c>
      <c r="O1316" s="1178">
        <v>3</v>
      </c>
      <c r="P1316" s="1178">
        <v>0</v>
      </c>
    </row>
    <row r="1317" spans="1:16">
      <c r="A1317" s="1178" t="s">
        <v>20861</v>
      </c>
      <c r="B1317" s="1371" t="str">
        <f>HYPERLINK(IFERROR("#Main_Tariff!A"&amp;MATCH(Raeburn_Main_Tariff[[#This Row],[Product Code]],Main_Tariff!I:I,0),"#Main_Tariff!A"&amp;MATCH("*"&amp;RIGHT(A1317,8)&amp;"*",Main_Tariff!A:A,0)),Raeburn_Main_Tariff[[#This Row],[PRODUCER]])</f>
        <v>Domaine des Lambrays</v>
      </c>
      <c r="C1317" s="1178" t="s">
        <v>20866</v>
      </c>
      <c r="D1317" s="1178" t="s">
        <v>897</v>
      </c>
      <c r="E1317" s="1179">
        <v>2021</v>
      </c>
      <c r="F1317" s="1282" t="s">
        <v>20220</v>
      </c>
      <c r="G1317" s="1368" t="s">
        <v>5258</v>
      </c>
      <c r="H1317" s="1178" t="s">
        <v>20221</v>
      </c>
      <c r="I1317" s="1178" t="s">
        <v>5252</v>
      </c>
      <c r="J1317" s="1178" t="s">
        <v>662</v>
      </c>
      <c r="K1317" s="1178" t="s">
        <v>267</v>
      </c>
      <c r="L1317" s="1178" t="s">
        <v>211</v>
      </c>
      <c r="M1317" s="1369" t="s">
        <v>23296</v>
      </c>
      <c r="N1317" s="1178"/>
      <c r="O1317" s="1178">
        <v>3</v>
      </c>
      <c r="P1317" s="1178">
        <v>13.5</v>
      </c>
    </row>
    <row r="1318" spans="1:16">
      <c r="A1318" s="1178" t="s">
        <v>20861</v>
      </c>
      <c r="B1318" s="1371" t="str">
        <f>HYPERLINK(IFERROR("#Main_Tariff!A"&amp;MATCH(Raeburn_Main_Tariff[[#This Row],[Product Code]],Main_Tariff!I:I,0),"#Main_Tariff!A"&amp;MATCH("*"&amp;RIGHT(A1318,8)&amp;"*",Main_Tariff!A:A,0)),Raeburn_Main_Tariff[[#This Row],[PRODUCER]])</f>
        <v>Domaine des Lambrays</v>
      </c>
      <c r="C1318" s="1178" t="s">
        <v>20866</v>
      </c>
      <c r="D1318" s="1178" t="s">
        <v>897</v>
      </c>
      <c r="E1318" s="1179">
        <v>2020</v>
      </c>
      <c r="F1318" s="1282" t="s">
        <v>20220</v>
      </c>
      <c r="G1318" s="1368" t="s">
        <v>5258</v>
      </c>
      <c r="H1318" s="1178" t="s">
        <v>20224</v>
      </c>
      <c r="I1318" s="1178" t="s">
        <v>5254</v>
      </c>
      <c r="J1318" s="1178" t="s">
        <v>662</v>
      </c>
      <c r="K1318" s="1178" t="s">
        <v>267</v>
      </c>
      <c r="L1318" s="1178" t="s">
        <v>211</v>
      </c>
      <c r="M1318" s="1369" t="s">
        <v>23296</v>
      </c>
      <c r="N1318" s="1178"/>
      <c r="O1318" s="1178">
        <v>3</v>
      </c>
      <c r="P1318" s="1178">
        <v>13</v>
      </c>
    </row>
    <row r="1319" spans="1:16">
      <c r="A1319" s="1178" t="s">
        <v>20861</v>
      </c>
      <c r="B1319" s="1371" t="str">
        <f>HYPERLINK(IFERROR("#Main_Tariff!A"&amp;MATCH(Raeburn_Main_Tariff[[#This Row],[Product Code]],Main_Tariff!I:I,0),"#Main_Tariff!A"&amp;MATCH("*"&amp;RIGHT(A1319,8)&amp;"*",Main_Tariff!A:A,0)),Raeburn_Main_Tariff[[#This Row],[PRODUCER]])</f>
        <v>Domaine des Lambrays</v>
      </c>
      <c r="C1319" s="1178" t="s">
        <v>20866</v>
      </c>
      <c r="D1319" s="1178" t="s">
        <v>897</v>
      </c>
      <c r="E1319" s="1179">
        <v>2012</v>
      </c>
      <c r="F1319" s="1282" t="s">
        <v>20220</v>
      </c>
      <c r="G1319" s="1368" t="s">
        <v>5258</v>
      </c>
      <c r="H1319" s="1178" t="s">
        <v>20224</v>
      </c>
      <c r="I1319" s="1178" t="s">
        <v>5259</v>
      </c>
      <c r="J1319" s="1178" t="s">
        <v>662</v>
      </c>
      <c r="K1319" s="1178" t="s">
        <v>267</v>
      </c>
      <c r="L1319" s="1178" t="s">
        <v>211</v>
      </c>
      <c r="M1319" s="1369" t="s">
        <v>23296</v>
      </c>
      <c r="N1319" s="1178"/>
      <c r="O1319" s="1178">
        <v>6</v>
      </c>
      <c r="P1319" s="1178">
        <v>13</v>
      </c>
    </row>
    <row r="1320" spans="1:16">
      <c r="A1320" s="1178" t="s">
        <v>20861</v>
      </c>
      <c r="B1320" s="1371" t="str">
        <f>HYPERLINK(IFERROR("#Main_Tariff!A"&amp;MATCH(Raeburn_Main_Tariff[[#This Row],[Product Code]],Main_Tariff!I:I,0),"#Main_Tariff!A"&amp;MATCH("*"&amp;RIGHT(A1320,8)&amp;"*",Main_Tariff!A:A,0)),Raeburn_Main_Tariff[[#This Row],[PRODUCER]])</f>
        <v>Domaine des Lambrays</v>
      </c>
      <c r="C1320" s="1178" t="s">
        <v>5256</v>
      </c>
      <c r="D1320" s="1178" t="s">
        <v>897</v>
      </c>
      <c r="E1320" s="1179">
        <v>2020</v>
      </c>
      <c r="F1320" s="1282" t="s">
        <v>20240</v>
      </c>
      <c r="G1320" s="1368" t="s">
        <v>5258</v>
      </c>
      <c r="H1320" s="1178" t="s">
        <v>20224</v>
      </c>
      <c r="I1320" s="1178" t="s">
        <v>23305</v>
      </c>
      <c r="J1320" s="1178" t="s">
        <v>662</v>
      </c>
      <c r="K1320" s="1178" t="s">
        <v>267</v>
      </c>
      <c r="L1320" s="1178" t="s">
        <v>211</v>
      </c>
      <c r="M1320" s="1369" t="s">
        <v>23296</v>
      </c>
      <c r="N1320" s="1178"/>
      <c r="O1320" s="1178">
        <v>1</v>
      </c>
      <c r="P1320" s="1178">
        <v>13</v>
      </c>
    </row>
    <row r="1321" spans="1:16">
      <c r="A1321" s="1178" t="s">
        <v>20861</v>
      </c>
      <c r="B1321" s="1371" t="str">
        <f>HYPERLINK(IFERROR("#Main_Tariff!A"&amp;MATCH(Raeburn_Main_Tariff[[#This Row],[Product Code]],Main_Tariff!I:I,0),"#Main_Tariff!A"&amp;MATCH("*"&amp;RIGHT(A1321,8)&amp;"*",Main_Tariff!A:A,0)),Raeburn_Main_Tariff[[#This Row],[PRODUCER]])</f>
        <v>Domaine des Lambrays</v>
      </c>
      <c r="C1321" s="1178" t="s">
        <v>5256</v>
      </c>
      <c r="D1321" s="1178" t="s">
        <v>897</v>
      </c>
      <c r="E1321" s="1179">
        <v>2019</v>
      </c>
      <c r="F1321" s="1282" t="s">
        <v>20240</v>
      </c>
      <c r="G1321" s="1368" t="s">
        <v>5258</v>
      </c>
      <c r="H1321" s="1178" t="s">
        <v>20224</v>
      </c>
      <c r="I1321" s="1178" t="s">
        <v>23306</v>
      </c>
      <c r="J1321" s="1178" t="s">
        <v>662</v>
      </c>
      <c r="K1321" s="1178" t="s">
        <v>267</v>
      </c>
      <c r="L1321" s="1178" t="s">
        <v>211</v>
      </c>
      <c r="M1321" s="1369" t="s">
        <v>23296</v>
      </c>
      <c r="N1321" s="1178"/>
      <c r="O1321" s="1178">
        <v>3</v>
      </c>
      <c r="P1321" s="1178">
        <v>15</v>
      </c>
    </row>
    <row r="1322" spans="1:16">
      <c r="A1322" s="1178" t="s">
        <v>20861</v>
      </c>
      <c r="B1322" s="1371" t="str">
        <f>HYPERLINK(IFERROR("#Main_Tariff!A"&amp;MATCH(Raeburn_Main_Tariff[[#This Row],[Product Code]],Main_Tariff!I:I,0),"#Main_Tariff!A"&amp;MATCH("*"&amp;RIGHT(A1322,8)&amp;"*",Main_Tariff!A:A,0)),Raeburn_Main_Tariff[[#This Row],[PRODUCER]])</f>
        <v>Domaine des Lambrays</v>
      </c>
      <c r="C1322" s="1178" t="s">
        <v>5256</v>
      </c>
      <c r="D1322" s="1178" t="s">
        <v>897</v>
      </c>
      <c r="E1322" s="1179">
        <v>2017</v>
      </c>
      <c r="F1322" s="1282" t="s">
        <v>20240</v>
      </c>
      <c r="G1322" s="1368" t="s">
        <v>5258</v>
      </c>
      <c r="H1322" s="1178" t="s">
        <v>20224</v>
      </c>
      <c r="I1322" s="1178" t="s">
        <v>23307</v>
      </c>
      <c r="J1322" s="1178" t="s">
        <v>662</v>
      </c>
      <c r="K1322" s="1178" t="s">
        <v>267</v>
      </c>
      <c r="L1322" s="1178" t="s">
        <v>211</v>
      </c>
      <c r="M1322" s="1369" t="s">
        <v>23296</v>
      </c>
      <c r="N1322" s="1178"/>
      <c r="O1322" s="1178">
        <v>3</v>
      </c>
      <c r="P1322" s="1178">
        <v>13</v>
      </c>
    </row>
    <row r="1323" spans="1:16">
      <c r="A1323" s="1178" t="s">
        <v>20861</v>
      </c>
      <c r="B1323" s="1371" t="str">
        <f>HYPERLINK(IFERROR("#Main_Tariff!A"&amp;MATCH(Raeburn_Main_Tariff[[#This Row],[Product Code]],Main_Tariff!I:I,0),"#Main_Tariff!A"&amp;MATCH("*"&amp;RIGHT(A1323,8)&amp;"*",Main_Tariff!A:A,0)),Raeburn_Main_Tariff[[#This Row],[PRODUCER]])</f>
        <v>Domaine des Lambrays</v>
      </c>
      <c r="C1323" s="1178" t="s">
        <v>5256</v>
      </c>
      <c r="D1323" s="1178" t="s">
        <v>897</v>
      </c>
      <c r="E1323" s="1179">
        <v>2014</v>
      </c>
      <c r="F1323" s="1282" t="s">
        <v>20240</v>
      </c>
      <c r="G1323" s="1368" t="s">
        <v>5258</v>
      </c>
      <c r="H1323" s="1178" t="s">
        <v>20224</v>
      </c>
      <c r="I1323" s="1178" t="s">
        <v>23308</v>
      </c>
      <c r="J1323" s="1178" t="s">
        <v>662</v>
      </c>
      <c r="K1323" s="1178" t="s">
        <v>267</v>
      </c>
      <c r="L1323" s="1178" t="s">
        <v>211</v>
      </c>
      <c r="M1323" s="1369" t="s">
        <v>23296</v>
      </c>
      <c r="N1323" s="1178"/>
      <c r="O1323" s="1178">
        <v>3</v>
      </c>
      <c r="P1323" s="1178">
        <v>13</v>
      </c>
    </row>
    <row r="1324" spans="1:16">
      <c r="A1324" s="1178" t="s">
        <v>20861</v>
      </c>
      <c r="B1324" s="1371" t="str">
        <f>HYPERLINK(IFERROR("#Main_Tariff!A"&amp;MATCH(Raeburn_Main_Tariff[[#This Row],[Product Code]],Main_Tariff!I:I,0),"#Main_Tariff!A"&amp;MATCH("*"&amp;RIGHT(A1324,8)&amp;"*",Main_Tariff!A:A,0)),Raeburn_Main_Tariff[[#This Row],[PRODUCER]])</f>
        <v>Domaine des Lambrays</v>
      </c>
      <c r="C1324" s="1178" t="s">
        <v>5256</v>
      </c>
      <c r="D1324" s="1178" t="s">
        <v>897</v>
      </c>
      <c r="E1324" s="1179">
        <v>2013</v>
      </c>
      <c r="F1324" s="1282" t="s">
        <v>20240</v>
      </c>
      <c r="G1324" s="1368" t="s">
        <v>5258</v>
      </c>
      <c r="H1324" s="1178" t="s">
        <v>20224</v>
      </c>
      <c r="I1324" s="1178" t="s">
        <v>23309</v>
      </c>
      <c r="J1324" s="1178" t="s">
        <v>662</v>
      </c>
      <c r="K1324" s="1178" t="s">
        <v>267</v>
      </c>
      <c r="L1324" s="1178" t="s">
        <v>211</v>
      </c>
      <c r="M1324" s="1369" t="s">
        <v>23296</v>
      </c>
      <c r="N1324" s="1178"/>
      <c r="O1324" s="1178">
        <v>3</v>
      </c>
      <c r="P1324" s="1178">
        <v>12</v>
      </c>
    </row>
    <row r="1325" spans="1:16">
      <c r="A1325" s="1178" t="s">
        <v>230</v>
      </c>
      <c r="B1325" s="1371" t="str">
        <f>HYPERLINK(IFERROR("#Main_Tariff!A"&amp;MATCH(Raeburn_Main_Tariff[[#This Row],[Product Code]],Main_Tariff!I:I,0),"#Main_Tariff!A"&amp;MATCH("*"&amp;RIGHT(A1325,8)&amp;"*",Main_Tariff!A:A,0)),Raeburn_Main_Tariff[[#This Row],[PRODUCER]])</f>
        <v>Réné Leclerc</v>
      </c>
      <c r="C1325" s="1178" t="s">
        <v>6176</v>
      </c>
      <c r="D1325" s="1178" t="s">
        <v>897</v>
      </c>
      <c r="E1325" s="1179">
        <v>2022</v>
      </c>
      <c r="F1325" s="1282" t="s">
        <v>20220</v>
      </c>
      <c r="G1325" s="1368" t="s">
        <v>20342</v>
      </c>
      <c r="H1325" s="1178" t="s">
        <v>20343</v>
      </c>
      <c r="I1325" s="1178" t="s">
        <v>5282</v>
      </c>
      <c r="J1325" s="1178" t="s">
        <v>662</v>
      </c>
      <c r="K1325" s="1178" t="s">
        <v>267</v>
      </c>
      <c r="L1325" s="1178" t="s">
        <v>211</v>
      </c>
      <c r="M1325" s="1369"/>
      <c r="N1325" s="1178"/>
      <c r="O1325" s="1178">
        <v>6</v>
      </c>
      <c r="P1325" s="1178">
        <v>0</v>
      </c>
    </row>
    <row r="1326" spans="1:16">
      <c r="A1326" s="1178" t="s">
        <v>230</v>
      </c>
      <c r="B1326" s="1371" t="str">
        <f>HYPERLINK(IFERROR("#Main_Tariff!A"&amp;MATCH(Raeburn_Main_Tariff[[#This Row],[Product Code]],Main_Tariff!I:I,0),"#Main_Tariff!A"&amp;MATCH("*"&amp;RIGHT(A1326,8)&amp;"*",Main_Tariff!A:A,0)),Raeburn_Main_Tariff[[#This Row],[PRODUCER]])</f>
        <v>Réné Leclerc</v>
      </c>
      <c r="C1326" s="1178" t="s">
        <v>6176</v>
      </c>
      <c r="D1326" s="1178" t="s">
        <v>897</v>
      </c>
      <c r="E1326" s="1179">
        <v>2021</v>
      </c>
      <c r="F1326" s="1282" t="s">
        <v>20220</v>
      </c>
      <c r="G1326" s="1368">
        <v>26.25</v>
      </c>
      <c r="H1326" s="1178" t="s">
        <v>20221</v>
      </c>
      <c r="I1326" s="1178" t="s">
        <v>5284</v>
      </c>
      <c r="J1326" s="1178" t="s">
        <v>662</v>
      </c>
      <c r="K1326" s="1178" t="s">
        <v>267</v>
      </c>
      <c r="L1326" s="1178" t="s">
        <v>211</v>
      </c>
      <c r="M1326" s="1369"/>
      <c r="N1326" s="1178"/>
      <c r="O1326" s="1178">
        <v>6</v>
      </c>
      <c r="P1326" s="1178">
        <v>12.5</v>
      </c>
    </row>
    <row r="1327" spans="1:16">
      <c r="A1327" s="1178" t="s">
        <v>230</v>
      </c>
      <c r="B1327" s="1371" t="str">
        <f>HYPERLINK(IFERROR("#Main_Tariff!A"&amp;MATCH(Raeburn_Main_Tariff[[#This Row],[Product Code]],Main_Tariff!I:I,0),"#Main_Tariff!A"&amp;MATCH("*"&amp;RIGHT(A1327,8)&amp;"*",Main_Tariff!A:A,0)),Raeburn_Main_Tariff[[#This Row],[PRODUCER]])</f>
        <v>Réné Leclerc</v>
      </c>
      <c r="C1327" s="1178" t="s">
        <v>6176</v>
      </c>
      <c r="D1327" s="1178" t="s">
        <v>897</v>
      </c>
      <c r="E1327" s="1179">
        <v>2020</v>
      </c>
      <c r="F1327" s="1282" t="s">
        <v>20220</v>
      </c>
      <c r="G1327" s="1368">
        <v>19.5</v>
      </c>
      <c r="H1327" s="1178" t="s">
        <v>20221</v>
      </c>
      <c r="I1327" s="1178" t="s">
        <v>5286</v>
      </c>
      <c r="J1327" s="1178" t="s">
        <v>662</v>
      </c>
      <c r="K1327" s="1178" t="s">
        <v>267</v>
      </c>
      <c r="L1327" s="1178" t="s">
        <v>211</v>
      </c>
      <c r="M1327" s="1369"/>
      <c r="N1327" s="1178"/>
      <c r="O1327" s="1178">
        <v>6</v>
      </c>
      <c r="P1327" s="1178">
        <v>13.5</v>
      </c>
    </row>
    <row r="1328" spans="1:16">
      <c r="A1328" s="1178" t="s">
        <v>230</v>
      </c>
      <c r="B1328" s="1371" t="str">
        <f>HYPERLINK(IFERROR("#Main_Tariff!A"&amp;MATCH(Raeburn_Main_Tariff[[#This Row],[Product Code]],Main_Tariff!I:I,0),"#Main_Tariff!A"&amp;MATCH("*"&amp;RIGHT(A1328,8)&amp;"*",Main_Tariff!A:A,0)),Raeburn_Main_Tariff[[#This Row],[PRODUCER]])</f>
        <v>Réné Leclerc</v>
      </c>
      <c r="C1328" s="1178" t="s">
        <v>6176</v>
      </c>
      <c r="D1328" s="1178" t="s">
        <v>897</v>
      </c>
      <c r="E1328" s="1179">
        <v>2019</v>
      </c>
      <c r="F1328" s="1282" t="s">
        <v>20220</v>
      </c>
      <c r="G1328" s="1368">
        <v>19.5</v>
      </c>
      <c r="H1328" s="1178" t="s">
        <v>20221</v>
      </c>
      <c r="I1328" s="1178" t="s">
        <v>5288</v>
      </c>
      <c r="J1328" s="1178" t="s">
        <v>662</v>
      </c>
      <c r="K1328" s="1178" t="s">
        <v>267</v>
      </c>
      <c r="L1328" s="1178" t="s">
        <v>211</v>
      </c>
      <c r="M1328" s="1369"/>
      <c r="N1328" s="1178"/>
      <c r="O1328" s="1178">
        <v>6</v>
      </c>
      <c r="P1328" s="1178">
        <v>13</v>
      </c>
    </row>
    <row r="1329" spans="1:16">
      <c r="A1329" s="1178" t="s">
        <v>230</v>
      </c>
      <c r="B1329" s="1371" t="str">
        <f>HYPERLINK(IFERROR("#Main_Tariff!A"&amp;MATCH(Raeburn_Main_Tariff[[#This Row],[Product Code]],Main_Tariff!I:I,0),"#Main_Tariff!A"&amp;MATCH("*"&amp;RIGHT(A1329,8)&amp;"*",Main_Tariff!A:A,0)),Raeburn_Main_Tariff[[#This Row],[PRODUCER]])</f>
        <v>Réné Leclerc</v>
      </c>
      <c r="C1329" s="1178" t="s">
        <v>6176</v>
      </c>
      <c r="D1329" s="1178" t="s">
        <v>897</v>
      </c>
      <c r="E1329" s="1179">
        <v>2018</v>
      </c>
      <c r="F1329" s="1282" t="s">
        <v>20220</v>
      </c>
      <c r="G1329" s="1368">
        <v>19.5</v>
      </c>
      <c r="H1329" s="1178" t="s">
        <v>20221</v>
      </c>
      <c r="I1329" s="1178" t="s">
        <v>5290</v>
      </c>
      <c r="J1329" s="1178" t="s">
        <v>662</v>
      </c>
      <c r="K1329" s="1178" t="s">
        <v>267</v>
      </c>
      <c r="L1329" s="1178" t="s">
        <v>211</v>
      </c>
      <c r="M1329" s="1369"/>
      <c r="N1329" s="1178"/>
      <c r="O1329" s="1178">
        <v>6</v>
      </c>
      <c r="P1329" s="1178">
        <v>12.5</v>
      </c>
    </row>
    <row r="1330" spans="1:16">
      <c r="A1330" s="1178" t="s">
        <v>230</v>
      </c>
      <c r="B1330" s="1371" t="str">
        <f>HYPERLINK(IFERROR("#Main_Tariff!A"&amp;MATCH(Raeburn_Main_Tariff[[#This Row],[Product Code]],Main_Tariff!I:I,0),"#Main_Tariff!A"&amp;MATCH("*"&amp;RIGHT(A1330,8)&amp;"*",Main_Tariff!A:A,0)),Raeburn_Main_Tariff[[#This Row],[PRODUCER]])</f>
        <v>Réné Leclerc</v>
      </c>
      <c r="C1330" s="1178" t="s">
        <v>6176</v>
      </c>
      <c r="D1330" s="1178" t="s">
        <v>897</v>
      </c>
      <c r="E1330" s="1179">
        <v>2017</v>
      </c>
      <c r="F1330" s="1282" t="s">
        <v>20220</v>
      </c>
      <c r="G1330" s="1368">
        <v>19.5</v>
      </c>
      <c r="H1330" s="1178" t="s">
        <v>20221</v>
      </c>
      <c r="I1330" s="1178" t="s">
        <v>5291</v>
      </c>
      <c r="J1330" s="1178" t="s">
        <v>662</v>
      </c>
      <c r="K1330" s="1178" t="s">
        <v>267</v>
      </c>
      <c r="L1330" s="1178" t="s">
        <v>211</v>
      </c>
      <c r="M1330" s="1369"/>
      <c r="N1330" s="1178"/>
      <c r="O1330" s="1178">
        <v>6</v>
      </c>
      <c r="P1330" s="1178">
        <v>12.5</v>
      </c>
    </row>
    <row r="1331" spans="1:16">
      <c r="A1331" s="1178" t="s">
        <v>230</v>
      </c>
      <c r="B1331" s="1371" t="str">
        <f>HYPERLINK(IFERROR("#Main_Tariff!A"&amp;MATCH(Raeburn_Main_Tariff[[#This Row],[Product Code]],Main_Tariff!I:I,0),"#Main_Tariff!A"&amp;MATCH("*"&amp;RIGHT(A1331,8)&amp;"*",Main_Tariff!A:A,0)),Raeburn_Main_Tariff[[#This Row],[PRODUCER]])</f>
        <v>Réné Leclerc</v>
      </c>
      <c r="C1331" s="1178" t="s">
        <v>20741</v>
      </c>
      <c r="D1331" s="1178" t="s">
        <v>897</v>
      </c>
      <c r="E1331" s="1179">
        <v>2022</v>
      </c>
      <c r="F1331" s="1282" t="s">
        <v>20220</v>
      </c>
      <c r="G1331" s="1368" t="s">
        <v>20342</v>
      </c>
      <c r="H1331" s="1178" t="s">
        <v>20343</v>
      </c>
      <c r="I1331" s="1178" t="s">
        <v>5294</v>
      </c>
      <c r="J1331" s="1178" t="s">
        <v>662</v>
      </c>
      <c r="K1331" s="1178" t="s">
        <v>267</v>
      </c>
      <c r="L1331" s="1178" t="s">
        <v>211</v>
      </c>
      <c r="M1331" s="1369"/>
      <c r="N1331" s="1178"/>
      <c r="O1331" s="1178">
        <v>6</v>
      </c>
      <c r="P1331" s="1178">
        <v>0</v>
      </c>
    </row>
    <row r="1332" spans="1:16">
      <c r="A1332" s="1178" t="s">
        <v>230</v>
      </c>
      <c r="B1332" s="1371" t="str">
        <f>HYPERLINK(IFERROR("#Main_Tariff!A"&amp;MATCH(Raeburn_Main_Tariff[[#This Row],[Product Code]],Main_Tariff!I:I,0),"#Main_Tariff!A"&amp;MATCH("*"&amp;RIGHT(A1332,8)&amp;"*",Main_Tariff!A:A,0)),Raeburn_Main_Tariff[[#This Row],[PRODUCER]])</f>
        <v>Réné Leclerc</v>
      </c>
      <c r="C1332" s="1178" t="s">
        <v>20741</v>
      </c>
      <c r="D1332" s="1178" t="s">
        <v>897</v>
      </c>
      <c r="E1332" s="1179">
        <v>2021</v>
      </c>
      <c r="F1332" s="1282" t="s">
        <v>20220</v>
      </c>
      <c r="G1332" s="1368">
        <v>50</v>
      </c>
      <c r="H1332" s="1178" t="s">
        <v>20221</v>
      </c>
      <c r="I1332" s="1178" t="s">
        <v>5296</v>
      </c>
      <c r="J1332" s="1178" t="s">
        <v>662</v>
      </c>
      <c r="K1332" s="1178" t="s">
        <v>267</v>
      </c>
      <c r="L1332" s="1178" t="s">
        <v>211</v>
      </c>
      <c r="M1332" s="1369"/>
      <c r="N1332" s="1178"/>
      <c r="O1332" s="1178">
        <v>6</v>
      </c>
      <c r="P1332" s="1178">
        <v>13</v>
      </c>
    </row>
    <row r="1333" spans="1:16">
      <c r="A1333" s="1178" t="s">
        <v>230</v>
      </c>
      <c r="B1333" s="1371" t="str">
        <f>HYPERLINK(IFERROR("#Main_Tariff!A"&amp;MATCH(Raeburn_Main_Tariff[[#This Row],[Product Code]],Main_Tariff!I:I,0),"#Main_Tariff!A"&amp;MATCH("*"&amp;RIGHT(A1333,8)&amp;"*",Main_Tariff!A:A,0)),Raeburn_Main_Tariff[[#This Row],[PRODUCER]])</f>
        <v>Réné Leclerc</v>
      </c>
      <c r="C1333" s="1178" t="s">
        <v>20741</v>
      </c>
      <c r="D1333" s="1178" t="s">
        <v>897</v>
      </c>
      <c r="E1333" s="1179">
        <v>2020</v>
      </c>
      <c r="F1333" s="1282" t="s">
        <v>20220</v>
      </c>
      <c r="G1333" s="1368">
        <v>41.5</v>
      </c>
      <c r="H1333" s="1178" t="s">
        <v>20221</v>
      </c>
      <c r="I1333" s="1178" t="s">
        <v>5298</v>
      </c>
      <c r="J1333" s="1178" t="s">
        <v>662</v>
      </c>
      <c r="K1333" s="1178" t="s">
        <v>267</v>
      </c>
      <c r="L1333" s="1178" t="s">
        <v>211</v>
      </c>
      <c r="M1333" s="1369"/>
      <c r="N1333" s="1178"/>
      <c r="O1333" s="1178">
        <v>6</v>
      </c>
      <c r="P1333" s="1178">
        <v>15</v>
      </c>
    </row>
    <row r="1334" spans="1:16">
      <c r="A1334" s="1178" t="s">
        <v>230</v>
      </c>
      <c r="B1334" s="1371" t="str">
        <f>HYPERLINK(IFERROR("#Main_Tariff!A"&amp;MATCH(Raeburn_Main_Tariff[[#This Row],[Product Code]],Main_Tariff!I:I,0),"#Main_Tariff!A"&amp;MATCH("*"&amp;RIGHT(A1334,8)&amp;"*",Main_Tariff!A:A,0)),Raeburn_Main_Tariff[[#This Row],[PRODUCER]])</f>
        <v>Réné Leclerc</v>
      </c>
      <c r="C1334" s="1178" t="s">
        <v>20741</v>
      </c>
      <c r="D1334" s="1178" t="s">
        <v>897</v>
      </c>
      <c r="E1334" s="1179">
        <v>2019</v>
      </c>
      <c r="F1334" s="1282" t="s">
        <v>20220</v>
      </c>
      <c r="G1334" s="1368">
        <v>41.5</v>
      </c>
      <c r="H1334" s="1178" t="s">
        <v>20221</v>
      </c>
      <c r="I1334" s="1178" t="s">
        <v>5300</v>
      </c>
      <c r="J1334" s="1178" t="s">
        <v>662</v>
      </c>
      <c r="K1334" s="1178" t="s">
        <v>267</v>
      </c>
      <c r="L1334" s="1178" t="s">
        <v>211</v>
      </c>
      <c r="M1334" s="1369"/>
      <c r="N1334" s="1178"/>
      <c r="O1334" s="1178">
        <v>6</v>
      </c>
      <c r="P1334" s="1178">
        <v>13</v>
      </c>
    </row>
    <row r="1335" spans="1:16">
      <c r="A1335" s="1178" t="s">
        <v>230</v>
      </c>
      <c r="B1335" s="1371" t="str">
        <f>HYPERLINK(IFERROR("#Main_Tariff!A"&amp;MATCH(Raeburn_Main_Tariff[[#This Row],[Product Code]],Main_Tariff!I:I,0),"#Main_Tariff!A"&amp;MATCH("*"&amp;RIGHT(A1335,8)&amp;"*",Main_Tariff!A:A,0)),Raeburn_Main_Tariff[[#This Row],[PRODUCER]])</f>
        <v>Réné Leclerc</v>
      </c>
      <c r="C1335" s="1178" t="s">
        <v>20741</v>
      </c>
      <c r="D1335" s="1178" t="s">
        <v>897</v>
      </c>
      <c r="E1335" s="1179">
        <v>2018</v>
      </c>
      <c r="F1335" s="1282" t="s">
        <v>20220</v>
      </c>
      <c r="G1335" s="1368">
        <v>41.5</v>
      </c>
      <c r="H1335" s="1178" t="s">
        <v>20221</v>
      </c>
      <c r="I1335" s="1178" t="s">
        <v>5302</v>
      </c>
      <c r="J1335" s="1178" t="s">
        <v>662</v>
      </c>
      <c r="K1335" s="1178" t="s">
        <v>267</v>
      </c>
      <c r="L1335" s="1178" t="s">
        <v>211</v>
      </c>
      <c r="M1335" s="1369"/>
      <c r="N1335" s="1178"/>
      <c r="O1335" s="1178">
        <v>6</v>
      </c>
      <c r="P1335" s="1178">
        <v>13</v>
      </c>
    </row>
    <row r="1336" spans="1:16">
      <c r="A1336" s="1178" t="s">
        <v>230</v>
      </c>
      <c r="B1336" s="1371" t="str">
        <f>HYPERLINK(IFERROR("#Main_Tariff!A"&amp;MATCH(Raeburn_Main_Tariff[[#This Row],[Product Code]],Main_Tariff!I:I,0),"#Main_Tariff!A"&amp;MATCH("*"&amp;RIGHT(A1336,8)&amp;"*",Main_Tariff!A:A,0)),Raeburn_Main_Tariff[[#This Row],[PRODUCER]])</f>
        <v>Réné Leclerc</v>
      </c>
      <c r="C1336" s="1178" t="s">
        <v>20741</v>
      </c>
      <c r="D1336" s="1178" t="s">
        <v>897</v>
      </c>
      <c r="E1336" s="1179">
        <v>2017</v>
      </c>
      <c r="F1336" s="1282" t="s">
        <v>20220</v>
      </c>
      <c r="G1336" s="1368">
        <v>41.5</v>
      </c>
      <c r="H1336" s="1178" t="s">
        <v>20221</v>
      </c>
      <c r="I1336" s="1178" t="s">
        <v>5304</v>
      </c>
      <c r="J1336" s="1178" t="s">
        <v>662</v>
      </c>
      <c r="K1336" s="1178" t="s">
        <v>267</v>
      </c>
      <c r="L1336" s="1178" t="s">
        <v>211</v>
      </c>
      <c r="M1336" s="1369"/>
      <c r="N1336" s="1178"/>
      <c r="O1336" s="1178">
        <v>6</v>
      </c>
      <c r="P1336" s="1178">
        <v>13</v>
      </c>
    </row>
    <row r="1337" spans="1:16">
      <c r="A1337" s="1178" t="s">
        <v>230</v>
      </c>
      <c r="B1337" s="1371" t="str">
        <f>HYPERLINK(IFERROR("#Main_Tariff!A"&amp;MATCH(Raeburn_Main_Tariff[[#This Row],[Product Code]],Main_Tariff!I:I,0),"#Main_Tariff!A"&amp;MATCH("*"&amp;RIGHT(A1337,8)&amp;"*",Main_Tariff!A:A,0)),Raeburn_Main_Tariff[[#This Row],[PRODUCER]])</f>
        <v>Réné Leclerc</v>
      </c>
      <c r="C1337" s="1178" t="s">
        <v>20741</v>
      </c>
      <c r="D1337" s="1178" t="s">
        <v>897</v>
      </c>
      <c r="E1337" s="1179">
        <v>2016</v>
      </c>
      <c r="F1337" s="1282" t="s">
        <v>20220</v>
      </c>
      <c r="G1337" s="1368">
        <v>41.5</v>
      </c>
      <c r="H1337" s="1178" t="s">
        <v>20221</v>
      </c>
      <c r="I1337" s="1178" t="s">
        <v>5306</v>
      </c>
      <c r="J1337" s="1178" t="s">
        <v>662</v>
      </c>
      <c r="K1337" s="1178" t="s">
        <v>267</v>
      </c>
      <c r="L1337" s="1178" t="s">
        <v>211</v>
      </c>
      <c r="M1337" s="1369"/>
      <c r="N1337" s="1178"/>
      <c r="O1337" s="1178">
        <v>6</v>
      </c>
      <c r="P1337" s="1178">
        <v>13</v>
      </c>
    </row>
    <row r="1338" spans="1:16">
      <c r="A1338" s="1178" t="s">
        <v>230</v>
      </c>
      <c r="B1338" s="1371" t="str">
        <f>HYPERLINK(IFERROR("#Main_Tariff!A"&amp;MATCH(Raeburn_Main_Tariff[[#This Row],[Product Code]],Main_Tariff!I:I,0),"#Main_Tariff!A"&amp;MATCH("*"&amp;RIGHT(A1338,8)&amp;"*",Main_Tariff!A:A,0)),Raeburn_Main_Tariff[[#This Row],[PRODUCER]])</f>
        <v>Réné Leclerc</v>
      </c>
      <c r="C1338" s="1178" t="s">
        <v>20741</v>
      </c>
      <c r="D1338" s="1178" t="s">
        <v>897</v>
      </c>
      <c r="E1338" s="1179">
        <v>2015</v>
      </c>
      <c r="F1338" s="1282" t="s">
        <v>20220</v>
      </c>
      <c r="G1338" s="1368">
        <v>41.5</v>
      </c>
      <c r="H1338" s="1178" t="s">
        <v>20221</v>
      </c>
      <c r="I1338" s="1178" t="s">
        <v>5308</v>
      </c>
      <c r="J1338" s="1178" t="s">
        <v>662</v>
      </c>
      <c r="K1338" s="1178" t="s">
        <v>267</v>
      </c>
      <c r="L1338" s="1178" t="s">
        <v>211</v>
      </c>
      <c r="M1338" s="1369"/>
      <c r="N1338" s="1178"/>
      <c r="O1338" s="1178">
        <v>12</v>
      </c>
      <c r="P1338" s="1178">
        <v>13</v>
      </c>
    </row>
    <row r="1339" spans="1:16">
      <c r="A1339" s="1178" t="s">
        <v>230</v>
      </c>
      <c r="B1339" s="1371" t="str">
        <f>HYPERLINK(IFERROR("#Main_Tariff!A"&amp;MATCH(Raeburn_Main_Tariff[[#This Row],[Product Code]],Main_Tariff!I:I,0),"#Main_Tariff!A"&amp;MATCH("*"&amp;RIGHT(A1339,8)&amp;"*",Main_Tariff!A:A,0)),Raeburn_Main_Tariff[[#This Row],[PRODUCER]])</f>
        <v>Réné Leclerc</v>
      </c>
      <c r="C1339" s="1178" t="s">
        <v>20741</v>
      </c>
      <c r="D1339" s="1178" t="s">
        <v>897</v>
      </c>
      <c r="E1339" s="1179">
        <v>2014</v>
      </c>
      <c r="F1339" s="1282" t="s">
        <v>20220</v>
      </c>
      <c r="G1339" s="1368">
        <v>39.5</v>
      </c>
      <c r="H1339" s="1178" t="s">
        <v>20224</v>
      </c>
      <c r="I1339" s="1178" t="s">
        <v>5310</v>
      </c>
      <c r="J1339" s="1178" t="s">
        <v>662</v>
      </c>
      <c r="K1339" s="1178" t="s">
        <v>267</v>
      </c>
      <c r="L1339" s="1178" t="s">
        <v>211</v>
      </c>
      <c r="M1339" s="1369"/>
      <c r="N1339" s="1178"/>
      <c r="O1339" s="1178">
        <v>6</v>
      </c>
      <c r="P1339" s="1178">
        <v>13</v>
      </c>
    </row>
    <row r="1340" spans="1:16">
      <c r="A1340" s="1178" t="s">
        <v>230</v>
      </c>
      <c r="B1340" s="1371" t="str">
        <f>HYPERLINK(IFERROR("#Main_Tariff!A"&amp;MATCH(Raeburn_Main_Tariff[[#This Row],[Product Code]],Main_Tariff!I:I,0),"#Main_Tariff!A"&amp;MATCH("*"&amp;RIGHT(A1340,8)&amp;"*",Main_Tariff!A:A,0)),Raeburn_Main_Tariff[[#This Row],[PRODUCER]])</f>
        <v>Réné Leclerc</v>
      </c>
      <c r="C1340" s="1178" t="s">
        <v>20741</v>
      </c>
      <c r="D1340" s="1178" t="s">
        <v>897</v>
      </c>
      <c r="E1340" s="1179">
        <v>2013</v>
      </c>
      <c r="F1340" s="1282" t="s">
        <v>20220</v>
      </c>
      <c r="G1340" s="1368">
        <v>39.5</v>
      </c>
      <c r="H1340" s="1178" t="s">
        <v>20221</v>
      </c>
      <c r="I1340" s="1178" t="s">
        <v>5312</v>
      </c>
      <c r="J1340" s="1178" t="s">
        <v>662</v>
      </c>
      <c r="K1340" s="1178" t="s">
        <v>267</v>
      </c>
      <c r="L1340" s="1178" t="s">
        <v>211</v>
      </c>
      <c r="M1340" s="1369"/>
      <c r="N1340" s="1178"/>
      <c r="O1340" s="1178">
        <v>6</v>
      </c>
      <c r="P1340" s="1178">
        <v>13</v>
      </c>
    </row>
    <row r="1341" spans="1:16">
      <c r="A1341" s="1178" t="s">
        <v>230</v>
      </c>
      <c r="B1341" s="1371" t="str">
        <f>HYPERLINK(IFERROR("#Main_Tariff!A"&amp;MATCH(Raeburn_Main_Tariff[[#This Row],[Product Code]],Main_Tariff!I:I,0),"#Main_Tariff!A"&amp;MATCH("*"&amp;RIGHT(A1341,8)&amp;"*",Main_Tariff!A:A,0)),Raeburn_Main_Tariff[[#This Row],[PRODUCER]])</f>
        <v>Réné Leclerc</v>
      </c>
      <c r="C1341" s="1178" t="s">
        <v>20867</v>
      </c>
      <c r="D1341" s="1178" t="s">
        <v>897</v>
      </c>
      <c r="E1341" s="1179">
        <v>2021</v>
      </c>
      <c r="F1341" s="1282" t="s">
        <v>20220</v>
      </c>
      <c r="G1341" s="1368">
        <v>53.5</v>
      </c>
      <c r="H1341" s="1178" t="s">
        <v>20221</v>
      </c>
      <c r="I1341" s="1178" t="s">
        <v>5314</v>
      </c>
      <c r="J1341" s="1178" t="s">
        <v>662</v>
      </c>
      <c r="K1341" s="1178" t="s">
        <v>267</v>
      </c>
      <c r="L1341" s="1178" t="s">
        <v>211</v>
      </c>
      <c r="M1341" s="1369"/>
      <c r="N1341" s="1178"/>
      <c r="O1341" s="1178">
        <v>6</v>
      </c>
      <c r="P1341" s="1178">
        <v>13</v>
      </c>
    </row>
    <row r="1342" spans="1:16">
      <c r="A1342" s="1178" t="s">
        <v>230</v>
      </c>
      <c r="B1342" s="1371" t="str">
        <f>HYPERLINK(IFERROR("#Main_Tariff!A"&amp;MATCH(Raeburn_Main_Tariff[[#This Row],[Product Code]],Main_Tariff!I:I,0),"#Main_Tariff!A"&amp;MATCH("*"&amp;RIGHT(A1342,8)&amp;"*",Main_Tariff!A:A,0)),Raeburn_Main_Tariff[[#This Row],[PRODUCER]])</f>
        <v>Réné Leclerc</v>
      </c>
      <c r="C1342" s="1178" t="s">
        <v>20867</v>
      </c>
      <c r="D1342" s="1178" t="s">
        <v>897</v>
      </c>
      <c r="E1342" s="1179">
        <v>2020</v>
      </c>
      <c r="F1342" s="1282" t="s">
        <v>20220</v>
      </c>
      <c r="G1342" s="1368">
        <v>46</v>
      </c>
      <c r="H1342" s="1178" t="s">
        <v>20221</v>
      </c>
      <c r="I1342" s="1178" t="s">
        <v>5316</v>
      </c>
      <c r="J1342" s="1178" t="s">
        <v>662</v>
      </c>
      <c r="K1342" s="1178" t="s">
        <v>267</v>
      </c>
      <c r="L1342" s="1178" t="s">
        <v>211</v>
      </c>
      <c r="M1342" s="1369"/>
      <c r="N1342" s="1178"/>
      <c r="O1342" s="1178">
        <v>6</v>
      </c>
      <c r="P1342" s="1178">
        <v>15</v>
      </c>
    </row>
    <row r="1343" spans="1:16">
      <c r="A1343" s="1178" t="s">
        <v>230</v>
      </c>
      <c r="B1343" s="1371" t="str">
        <f>HYPERLINK(IFERROR("#Main_Tariff!A"&amp;MATCH(Raeburn_Main_Tariff[[#This Row],[Product Code]],Main_Tariff!I:I,0),"#Main_Tariff!A"&amp;MATCH("*"&amp;RIGHT(A1343,8)&amp;"*",Main_Tariff!A:A,0)),Raeburn_Main_Tariff[[#This Row],[PRODUCER]])</f>
        <v>Réné Leclerc</v>
      </c>
      <c r="C1343" s="1178" t="s">
        <v>20867</v>
      </c>
      <c r="D1343" s="1178" t="s">
        <v>897</v>
      </c>
      <c r="E1343" s="1179">
        <v>2018</v>
      </c>
      <c r="F1343" s="1282" t="s">
        <v>20220</v>
      </c>
      <c r="G1343" s="1368">
        <v>46</v>
      </c>
      <c r="H1343" s="1178" t="s">
        <v>20221</v>
      </c>
      <c r="I1343" s="1178" t="s">
        <v>5318</v>
      </c>
      <c r="J1343" s="1178" t="s">
        <v>662</v>
      </c>
      <c r="K1343" s="1178" t="s">
        <v>267</v>
      </c>
      <c r="L1343" s="1178" t="s">
        <v>211</v>
      </c>
      <c r="M1343" s="1369"/>
      <c r="N1343" s="1178"/>
      <c r="O1343" s="1178">
        <v>6</v>
      </c>
      <c r="P1343" s="1178">
        <v>13</v>
      </c>
    </row>
    <row r="1344" spans="1:16">
      <c r="A1344" s="1178" t="s">
        <v>230</v>
      </c>
      <c r="B1344" s="1371" t="str">
        <f>HYPERLINK(IFERROR("#Main_Tariff!A"&amp;MATCH(Raeburn_Main_Tariff[[#This Row],[Product Code]],Main_Tariff!I:I,0),"#Main_Tariff!A"&amp;MATCH("*"&amp;RIGHT(A1344,8)&amp;"*",Main_Tariff!A:A,0)),Raeburn_Main_Tariff[[#This Row],[PRODUCER]])</f>
        <v>Réné Leclerc</v>
      </c>
      <c r="C1344" s="1178" t="s">
        <v>20867</v>
      </c>
      <c r="D1344" s="1178" t="s">
        <v>897</v>
      </c>
      <c r="E1344" s="1179">
        <v>2017</v>
      </c>
      <c r="F1344" s="1282" t="s">
        <v>20220</v>
      </c>
      <c r="G1344" s="1368">
        <v>46</v>
      </c>
      <c r="H1344" s="1178" t="s">
        <v>20221</v>
      </c>
      <c r="I1344" s="1178" t="s">
        <v>5320</v>
      </c>
      <c r="J1344" s="1178" t="s">
        <v>662</v>
      </c>
      <c r="K1344" s="1178" t="s">
        <v>267</v>
      </c>
      <c r="L1344" s="1178" t="s">
        <v>211</v>
      </c>
      <c r="M1344" s="1369"/>
      <c r="N1344" s="1178"/>
      <c r="O1344" s="1178">
        <v>6</v>
      </c>
      <c r="P1344" s="1178">
        <v>13.5</v>
      </c>
    </row>
    <row r="1345" spans="1:16">
      <c r="A1345" s="1178" t="s">
        <v>230</v>
      </c>
      <c r="B1345" s="1371" t="str">
        <f>HYPERLINK(IFERROR("#Main_Tariff!A"&amp;MATCH(Raeburn_Main_Tariff[[#This Row],[Product Code]],Main_Tariff!I:I,0),"#Main_Tariff!A"&amp;MATCH("*"&amp;RIGHT(A1345,8)&amp;"*",Main_Tariff!A:A,0)),Raeburn_Main_Tariff[[#This Row],[PRODUCER]])</f>
        <v>Réné Leclerc</v>
      </c>
      <c r="C1345" s="1178" t="s">
        <v>20867</v>
      </c>
      <c r="D1345" s="1178" t="s">
        <v>897</v>
      </c>
      <c r="E1345" s="1179">
        <v>2015</v>
      </c>
      <c r="F1345" s="1282" t="s">
        <v>20220</v>
      </c>
      <c r="G1345" s="1368">
        <v>46</v>
      </c>
      <c r="H1345" s="1178" t="s">
        <v>20221</v>
      </c>
      <c r="I1345" s="1178" t="s">
        <v>5322</v>
      </c>
      <c r="J1345" s="1178" t="s">
        <v>662</v>
      </c>
      <c r="K1345" s="1178" t="s">
        <v>267</v>
      </c>
      <c r="L1345" s="1178" t="s">
        <v>211</v>
      </c>
      <c r="M1345" s="1369"/>
      <c r="N1345" s="1178"/>
      <c r="O1345" s="1178">
        <v>12</v>
      </c>
      <c r="P1345" s="1178">
        <v>13</v>
      </c>
    </row>
    <row r="1346" spans="1:16">
      <c r="A1346" s="1178" t="s">
        <v>230</v>
      </c>
      <c r="B1346" s="1371" t="str">
        <f>HYPERLINK(IFERROR("#Main_Tariff!A"&amp;MATCH(Raeburn_Main_Tariff[[#This Row],[Product Code]],Main_Tariff!I:I,0),"#Main_Tariff!A"&amp;MATCH("*"&amp;RIGHT(A1346,8)&amp;"*",Main_Tariff!A:A,0)),Raeburn_Main_Tariff[[#This Row],[PRODUCER]])</f>
        <v>Réné Leclerc</v>
      </c>
      <c r="C1346" s="1178" t="s">
        <v>20867</v>
      </c>
      <c r="D1346" s="1178" t="s">
        <v>897</v>
      </c>
      <c r="E1346" s="1179">
        <v>2014</v>
      </c>
      <c r="F1346" s="1282" t="s">
        <v>20220</v>
      </c>
      <c r="G1346" s="1368">
        <v>43.5</v>
      </c>
      <c r="H1346" s="1178" t="s">
        <v>20221</v>
      </c>
      <c r="I1346" s="1178" t="s">
        <v>5324</v>
      </c>
      <c r="J1346" s="1178" t="s">
        <v>662</v>
      </c>
      <c r="K1346" s="1178" t="s">
        <v>267</v>
      </c>
      <c r="L1346" s="1178" t="s">
        <v>211</v>
      </c>
      <c r="M1346" s="1369"/>
      <c r="N1346" s="1178"/>
      <c r="O1346" s="1178">
        <v>6</v>
      </c>
      <c r="P1346" s="1178">
        <v>13</v>
      </c>
    </row>
    <row r="1347" spans="1:16">
      <c r="A1347" s="1178" t="s">
        <v>230</v>
      </c>
      <c r="B1347" s="1371" t="str">
        <f>HYPERLINK(IFERROR("#Main_Tariff!A"&amp;MATCH(Raeburn_Main_Tariff[[#This Row],[Product Code]],Main_Tariff!I:I,0),"#Main_Tariff!A"&amp;MATCH("*"&amp;RIGHT(A1347,8)&amp;"*",Main_Tariff!A:A,0)),Raeburn_Main_Tariff[[#This Row],[PRODUCER]])</f>
        <v>Réné Leclerc</v>
      </c>
      <c r="C1347" s="1178" t="s">
        <v>20867</v>
      </c>
      <c r="D1347" s="1178" t="s">
        <v>897</v>
      </c>
      <c r="E1347" s="1179">
        <v>2012</v>
      </c>
      <c r="F1347" s="1282" t="s">
        <v>20220</v>
      </c>
      <c r="G1347" s="1368">
        <v>46</v>
      </c>
      <c r="H1347" s="1178" t="s">
        <v>20221</v>
      </c>
      <c r="I1347" s="1178" t="s">
        <v>5326</v>
      </c>
      <c r="J1347" s="1178" t="s">
        <v>662</v>
      </c>
      <c r="K1347" s="1178" t="s">
        <v>267</v>
      </c>
      <c r="L1347" s="1178" t="s">
        <v>211</v>
      </c>
      <c r="M1347" s="1369"/>
      <c r="N1347" s="1178"/>
      <c r="O1347" s="1178">
        <v>6</v>
      </c>
      <c r="P1347" s="1178">
        <v>13.5</v>
      </c>
    </row>
    <row r="1348" spans="1:16">
      <c r="A1348" s="1178" t="s">
        <v>230</v>
      </c>
      <c r="B1348" s="1371" t="str">
        <f>HYPERLINK(IFERROR("#Main_Tariff!A"&amp;MATCH(Raeburn_Main_Tariff[[#This Row],[Product Code]],Main_Tariff!I:I,0),"#Main_Tariff!A"&amp;MATCH("*"&amp;RIGHT(A1348,8)&amp;"*",Main_Tariff!A:A,0)),Raeburn_Main_Tariff[[#This Row],[PRODUCER]])</f>
        <v>Réné Leclerc</v>
      </c>
      <c r="C1348" s="1178" t="s">
        <v>20868</v>
      </c>
      <c r="D1348" s="1178" t="s">
        <v>897</v>
      </c>
      <c r="E1348" s="1179">
        <v>2022</v>
      </c>
      <c r="F1348" s="1282" t="s">
        <v>20220</v>
      </c>
      <c r="G1348" s="1368" t="s">
        <v>20342</v>
      </c>
      <c r="H1348" s="1178" t="s">
        <v>20343</v>
      </c>
      <c r="I1348" s="1178" t="s">
        <v>5330</v>
      </c>
      <c r="J1348" s="1178" t="s">
        <v>662</v>
      </c>
      <c r="K1348" s="1178" t="s">
        <v>267</v>
      </c>
      <c r="L1348" s="1178" t="s">
        <v>211</v>
      </c>
      <c r="M1348" s="1369" t="s">
        <v>23297</v>
      </c>
      <c r="N1348" s="1178"/>
      <c r="O1348" s="1178">
        <v>6</v>
      </c>
      <c r="P1348" s="1178">
        <v>0</v>
      </c>
    </row>
    <row r="1349" spans="1:16">
      <c r="A1349" s="1178" t="s">
        <v>230</v>
      </c>
      <c r="B1349" s="1371" t="str">
        <f>HYPERLINK(IFERROR("#Main_Tariff!A"&amp;MATCH(Raeburn_Main_Tariff[[#This Row],[Product Code]],Main_Tariff!I:I,0),"#Main_Tariff!A"&amp;MATCH("*"&amp;RIGHT(A1349,8)&amp;"*",Main_Tariff!A:A,0)),Raeburn_Main_Tariff[[#This Row],[PRODUCER]])</f>
        <v>Réné Leclerc</v>
      </c>
      <c r="C1349" s="1178" t="s">
        <v>20868</v>
      </c>
      <c r="D1349" s="1178" t="s">
        <v>897</v>
      </c>
      <c r="E1349" s="1179">
        <v>2021</v>
      </c>
      <c r="F1349" s="1282" t="s">
        <v>20220</v>
      </c>
      <c r="G1349" s="1368">
        <v>83.75</v>
      </c>
      <c r="H1349" s="1178" t="s">
        <v>20221</v>
      </c>
      <c r="I1349" s="1178" t="s">
        <v>5332</v>
      </c>
      <c r="J1349" s="1178" t="s">
        <v>662</v>
      </c>
      <c r="K1349" s="1178" t="s">
        <v>267</v>
      </c>
      <c r="L1349" s="1178" t="s">
        <v>211</v>
      </c>
      <c r="M1349" s="1369" t="s">
        <v>23297</v>
      </c>
      <c r="N1349" s="1178"/>
      <c r="O1349" s="1178">
        <v>6</v>
      </c>
      <c r="P1349" s="1178">
        <v>13.5</v>
      </c>
    </row>
    <row r="1350" spans="1:16">
      <c r="A1350" s="1178" t="s">
        <v>230</v>
      </c>
      <c r="B1350" s="1371" t="str">
        <f>HYPERLINK(IFERROR("#Main_Tariff!A"&amp;MATCH(Raeburn_Main_Tariff[[#This Row],[Product Code]],Main_Tariff!I:I,0),"#Main_Tariff!A"&amp;MATCH("*"&amp;RIGHT(A1350,8)&amp;"*",Main_Tariff!A:A,0)),Raeburn_Main_Tariff[[#This Row],[PRODUCER]])</f>
        <v>Réné Leclerc</v>
      </c>
      <c r="C1350" s="1178" t="s">
        <v>20868</v>
      </c>
      <c r="D1350" s="1178" t="s">
        <v>897</v>
      </c>
      <c r="E1350" s="1179">
        <v>2020</v>
      </c>
      <c r="F1350" s="1282" t="s">
        <v>20220</v>
      </c>
      <c r="G1350" s="1368">
        <v>68</v>
      </c>
      <c r="H1350" s="1178" t="s">
        <v>20221</v>
      </c>
      <c r="I1350" s="1178" t="s">
        <v>5334</v>
      </c>
      <c r="J1350" s="1178" t="s">
        <v>662</v>
      </c>
      <c r="K1350" s="1178" t="s">
        <v>267</v>
      </c>
      <c r="L1350" s="1178" t="s">
        <v>211</v>
      </c>
      <c r="M1350" s="1369" t="s">
        <v>23297</v>
      </c>
      <c r="N1350" s="1178"/>
      <c r="O1350" s="1178">
        <v>6</v>
      </c>
      <c r="P1350" s="1178">
        <v>13.5</v>
      </c>
    </row>
    <row r="1351" spans="1:16">
      <c r="A1351" s="1178" t="s">
        <v>230</v>
      </c>
      <c r="B1351" s="1371" t="str">
        <f>HYPERLINK(IFERROR("#Main_Tariff!A"&amp;MATCH(Raeburn_Main_Tariff[[#This Row],[Product Code]],Main_Tariff!I:I,0),"#Main_Tariff!A"&amp;MATCH("*"&amp;RIGHT(A1351,8)&amp;"*",Main_Tariff!A:A,0)),Raeburn_Main_Tariff[[#This Row],[PRODUCER]])</f>
        <v>Réné Leclerc</v>
      </c>
      <c r="C1351" s="1178" t="s">
        <v>20868</v>
      </c>
      <c r="D1351" s="1178" t="s">
        <v>897</v>
      </c>
      <c r="E1351" s="1179">
        <v>2019</v>
      </c>
      <c r="F1351" s="1282" t="s">
        <v>20220</v>
      </c>
      <c r="G1351" s="1368">
        <v>68</v>
      </c>
      <c r="H1351" s="1178" t="s">
        <v>20221</v>
      </c>
      <c r="I1351" s="1178" t="s">
        <v>5336</v>
      </c>
      <c r="J1351" s="1178" t="s">
        <v>662</v>
      </c>
      <c r="K1351" s="1178" t="s">
        <v>267</v>
      </c>
      <c r="L1351" s="1178" t="s">
        <v>211</v>
      </c>
      <c r="M1351" s="1369" t="s">
        <v>23297</v>
      </c>
      <c r="N1351" s="1178"/>
      <c r="O1351" s="1178">
        <v>6</v>
      </c>
      <c r="P1351" s="1178">
        <v>13.5</v>
      </c>
    </row>
    <row r="1352" spans="1:16">
      <c r="A1352" s="1178" t="s">
        <v>230</v>
      </c>
      <c r="B1352" s="1371" t="str">
        <f>HYPERLINK(IFERROR("#Main_Tariff!A"&amp;MATCH(Raeburn_Main_Tariff[[#This Row],[Product Code]],Main_Tariff!I:I,0),"#Main_Tariff!A"&amp;MATCH("*"&amp;RIGHT(A1352,8)&amp;"*",Main_Tariff!A:A,0)),Raeburn_Main_Tariff[[#This Row],[PRODUCER]])</f>
        <v>Réné Leclerc</v>
      </c>
      <c r="C1352" s="1178" t="s">
        <v>20868</v>
      </c>
      <c r="D1352" s="1178" t="s">
        <v>897</v>
      </c>
      <c r="E1352" s="1179">
        <v>2018</v>
      </c>
      <c r="F1352" s="1282" t="s">
        <v>20220</v>
      </c>
      <c r="G1352" s="1368">
        <v>68</v>
      </c>
      <c r="H1352" s="1178" t="s">
        <v>20221</v>
      </c>
      <c r="I1352" s="1178" t="s">
        <v>5338</v>
      </c>
      <c r="J1352" s="1178" t="s">
        <v>662</v>
      </c>
      <c r="K1352" s="1178" t="s">
        <v>267</v>
      </c>
      <c r="L1352" s="1178" t="s">
        <v>211</v>
      </c>
      <c r="M1352" s="1369" t="s">
        <v>23297</v>
      </c>
      <c r="N1352" s="1178"/>
      <c r="O1352" s="1178">
        <v>6</v>
      </c>
      <c r="P1352" s="1178">
        <v>13.5</v>
      </c>
    </row>
    <row r="1353" spans="1:16">
      <c r="A1353" s="1178" t="s">
        <v>230</v>
      </c>
      <c r="B1353" s="1371" t="str">
        <f>HYPERLINK(IFERROR("#Main_Tariff!A"&amp;MATCH(Raeburn_Main_Tariff[[#This Row],[Product Code]],Main_Tariff!I:I,0),"#Main_Tariff!A"&amp;MATCH("*"&amp;RIGHT(A1353,8)&amp;"*",Main_Tariff!A:A,0)),Raeburn_Main_Tariff[[#This Row],[PRODUCER]])</f>
        <v>Réné Leclerc</v>
      </c>
      <c r="C1353" s="1178" t="s">
        <v>20868</v>
      </c>
      <c r="D1353" s="1178" t="s">
        <v>897</v>
      </c>
      <c r="E1353" s="1179">
        <v>2017</v>
      </c>
      <c r="F1353" s="1282" t="s">
        <v>20220</v>
      </c>
      <c r="G1353" s="1368">
        <v>68</v>
      </c>
      <c r="H1353" s="1178" t="s">
        <v>20221</v>
      </c>
      <c r="I1353" s="1178" t="s">
        <v>5340</v>
      </c>
      <c r="J1353" s="1178" t="s">
        <v>662</v>
      </c>
      <c r="K1353" s="1178" t="s">
        <v>267</v>
      </c>
      <c r="L1353" s="1178" t="s">
        <v>211</v>
      </c>
      <c r="M1353" s="1369" t="s">
        <v>23297</v>
      </c>
      <c r="N1353" s="1178"/>
      <c r="O1353" s="1178">
        <v>6</v>
      </c>
      <c r="P1353" s="1178">
        <v>13.5</v>
      </c>
    </row>
    <row r="1354" spans="1:16">
      <c r="A1354" s="1178" t="s">
        <v>230</v>
      </c>
      <c r="B1354" s="1371" t="str">
        <f>HYPERLINK(IFERROR("#Main_Tariff!A"&amp;MATCH(Raeburn_Main_Tariff[[#This Row],[Product Code]],Main_Tariff!I:I,0),"#Main_Tariff!A"&amp;MATCH("*"&amp;RIGHT(A1354,8)&amp;"*",Main_Tariff!A:A,0)),Raeburn_Main_Tariff[[#This Row],[PRODUCER]])</f>
        <v>Réné Leclerc</v>
      </c>
      <c r="C1354" s="1178" t="s">
        <v>20868</v>
      </c>
      <c r="D1354" s="1178" t="s">
        <v>897</v>
      </c>
      <c r="E1354" s="1179">
        <v>2016</v>
      </c>
      <c r="F1354" s="1282" t="s">
        <v>20220</v>
      </c>
      <c r="G1354" s="1368">
        <v>68</v>
      </c>
      <c r="H1354" s="1178" t="s">
        <v>20221</v>
      </c>
      <c r="I1354" s="1178" t="s">
        <v>5342</v>
      </c>
      <c r="J1354" s="1178" t="s">
        <v>662</v>
      </c>
      <c r="K1354" s="1178" t="s">
        <v>267</v>
      </c>
      <c r="L1354" s="1178" t="s">
        <v>211</v>
      </c>
      <c r="M1354" s="1369" t="s">
        <v>23297</v>
      </c>
      <c r="N1354" s="1178"/>
      <c r="O1354" s="1178">
        <v>6</v>
      </c>
      <c r="P1354" s="1178">
        <v>13.5</v>
      </c>
    </row>
    <row r="1355" spans="1:16">
      <c r="A1355" s="1178" t="s">
        <v>230</v>
      </c>
      <c r="B1355" s="1371" t="str">
        <f>HYPERLINK(IFERROR("#Main_Tariff!A"&amp;MATCH(Raeburn_Main_Tariff[[#This Row],[Product Code]],Main_Tariff!I:I,0),"#Main_Tariff!A"&amp;MATCH("*"&amp;RIGHT(A1355,8)&amp;"*",Main_Tariff!A:A,0)),Raeburn_Main_Tariff[[#This Row],[PRODUCER]])</f>
        <v>Réné Leclerc</v>
      </c>
      <c r="C1355" s="1178" t="s">
        <v>20868</v>
      </c>
      <c r="D1355" s="1178" t="s">
        <v>897</v>
      </c>
      <c r="E1355" s="1179">
        <v>2015</v>
      </c>
      <c r="F1355" s="1282" t="s">
        <v>20220</v>
      </c>
      <c r="G1355" s="1368">
        <v>68</v>
      </c>
      <c r="H1355" s="1178" t="s">
        <v>20221</v>
      </c>
      <c r="I1355" s="1178" t="s">
        <v>5344</v>
      </c>
      <c r="J1355" s="1178" t="s">
        <v>662</v>
      </c>
      <c r="K1355" s="1178" t="s">
        <v>267</v>
      </c>
      <c r="L1355" s="1178" t="s">
        <v>211</v>
      </c>
      <c r="M1355" s="1369" t="s">
        <v>23297</v>
      </c>
      <c r="N1355" s="1178"/>
      <c r="O1355" s="1178">
        <v>12</v>
      </c>
      <c r="P1355" s="1178">
        <v>13.5</v>
      </c>
    </row>
    <row r="1356" spans="1:16">
      <c r="A1356" s="1178" t="s">
        <v>230</v>
      </c>
      <c r="B1356" s="1371" t="str">
        <f>HYPERLINK(IFERROR("#Main_Tariff!A"&amp;MATCH(Raeburn_Main_Tariff[[#This Row],[Product Code]],Main_Tariff!I:I,0),"#Main_Tariff!A"&amp;MATCH("*"&amp;RIGHT(A1356,8)&amp;"*",Main_Tariff!A:A,0)),Raeburn_Main_Tariff[[#This Row],[PRODUCER]])</f>
        <v>Réné Leclerc</v>
      </c>
      <c r="C1356" s="1178" t="s">
        <v>20868</v>
      </c>
      <c r="D1356" s="1178" t="s">
        <v>897</v>
      </c>
      <c r="E1356" s="1179">
        <v>2014</v>
      </c>
      <c r="F1356" s="1282" t="s">
        <v>20220</v>
      </c>
      <c r="G1356" s="1368">
        <v>64.5</v>
      </c>
      <c r="H1356" s="1178" t="s">
        <v>20221</v>
      </c>
      <c r="I1356" s="1178" t="s">
        <v>5346</v>
      </c>
      <c r="J1356" s="1178" t="s">
        <v>662</v>
      </c>
      <c r="K1356" s="1178" t="s">
        <v>267</v>
      </c>
      <c r="L1356" s="1178" t="s">
        <v>211</v>
      </c>
      <c r="M1356" s="1369" t="s">
        <v>23297</v>
      </c>
      <c r="N1356" s="1178"/>
      <c r="O1356" s="1178">
        <v>6</v>
      </c>
      <c r="P1356" s="1178">
        <v>13.5</v>
      </c>
    </row>
    <row r="1357" spans="1:16">
      <c r="A1357" s="1178" t="s">
        <v>230</v>
      </c>
      <c r="B1357" s="1371" t="str">
        <f>HYPERLINK(IFERROR("#Main_Tariff!A"&amp;MATCH(Raeburn_Main_Tariff[[#This Row],[Product Code]],Main_Tariff!I:I,0),"#Main_Tariff!A"&amp;MATCH("*"&amp;RIGHT(A1357,8)&amp;"*",Main_Tariff!A:A,0)),Raeburn_Main_Tariff[[#This Row],[PRODUCER]])</f>
        <v>Réné Leclerc</v>
      </c>
      <c r="C1357" s="1178" t="s">
        <v>20868</v>
      </c>
      <c r="D1357" s="1178" t="s">
        <v>897</v>
      </c>
      <c r="E1357" s="1179">
        <v>2013</v>
      </c>
      <c r="F1357" s="1282" t="s">
        <v>20220</v>
      </c>
      <c r="G1357" s="1368">
        <v>64.5</v>
      </c>
      <c r="H1357" s="1178" t="s">
        <v>20221</v>
      </c>
      <c r="I1357" s="1178" t="s">
        <v>5348</v>
      </c>
      <c r="J1357" s="1178" t="s">
        <v>662</v>
      </c>
      <c r="K1357" s="1178" t="s">
        <v>267</v>
      </c>
      <c r="L1357" s="1178" t="s">
        <v>211</v>
      </c>
      <c r="M1357" s="1369" t="s">
        <v>23297</v>
      </c>
      <c r="N1357" s="1178"/>
      <c r="O1357" s="1178">
        <v>6</v>
      </c>
      <c r="P1357" s="1178">
        <v>13.5</v>
      </c>
    </row>
    <row r="1358" spans="1:16">
      <c r="A1358" s="1178" t="s">
        <v>230</v>
      </c>
      <c r="B1358" s="1371" t="str">
        <f>HYPERLINK(IFERROR("#Main_Tariff!A"&amp;MATCH(Raeburn_Main_Tariff[[#This Row],[Product Code]],Main_Tariff!I:I,0),"#Main_Tariff!A"&amp;MATCH("*"&amp;RIGHT(A1358,8)&amp;"*",Main_Tariff!A:A,0)),Raeburn_Main_Tariff[[#This Row],[PRODUCER]])</f>
        <v>Réné Leclerc</v>
      </c>
      <c r="C1358" s="1178" t="s">
        <v>20868</v>
      </c>
      <c r="D1358" s="1178" t="s">
        <v>897</v>
      </c>
      <c r="E1358" s="1179">
        <v>2012</v>
      </c>
      <c r="F1358" s="1282" t="s">
        <v>20220</v>
      </c>
      <c r="G1358" s="1368">
        <v>68</v>
      </c>
      <c r="H1358" s="1178" t="s">
        <v>20221</v>
      </c>
      <c r="I1358" s="1178" t="s">
        <v>5350</v>
      </c>
      <c r="J1358" s="1178" t="s">
        <v>662</v>
      </c>
      <c r="K1358" s="1178" t="s">
        <v>267</v>
      </c>
      <c r="L1358" s="1178" t="s">
        <v>211</v>
      </c>
      <c r="M1358" s="1369" t="s">
        <v>23297</v>
      </c>
      <c r="N1358" s="1178"/>
      <c r="O1358" s="1178">
        <v>6</v>
      </c>
      <c r="P1358" s="1178">
        <v>13</v>
      </c>
    </row>
    <row r="1359" spans="1:16">
      <c r="A1359" s="1178" t="s">
        <v>230</v>
      </c>
      <c r="B1359" s="1371" t="str">
        <f>HYPERLINK(IFERROR("#Main_Tariff!A"&amp;MATCH(Raeburn_Main_Tariff[[#This Row],[Product Code]],Main_Tariff!I:I,0),"#Main_Tariff!A"&amp;MATCH("*"&amp;RIGHT(A1359,8)&amp;"*",Main_Tariff!A:A,0)),Raeburn_Main_Tariff[[#This Row],[PRODUCER]])</f>
        <v>Réné Leclerc</v>
      </c>
      <c r="C1359" s="1178" t="s">
        <v>20869</v>
      </c>
      <c r="D1359" s="1178" t="s">
        <v>897</v>
      </c>
      <c r="E1359" s="1179">
        <v>2015</v>
      </c>
      <c r="F1359" s="1282" t="s">
        <v>20220</v>
      </c>
      <c r="G1359" s="1368">
        <v>68</v>
      </c>
      <c r="H1359" s="1178" t="s">
        <v>20221</v>
      </c>
      <c r="I1359" s="1178" t="s">
        <v>5352</v>
      </c>
      <c r="J1359" s="1178" t="s">
        <v>662</v>
      </c>
      <c r="K1359" s="1178" t="s">
        <v>267</v>
      </c>
      <c r="L1359" s="1178" t="s">
        <v>211</v>
      </c>
      <c r="M1359" s="1369" t="s">
        <v>23297</v>
      </c>
      <c r="N1359" s="1178"/>
      <c r="O1359" s="1178">
        <v>12</v>
      </c>
      <c r="P1359" s="1178">
        <v>13.5</v>
      </c>
    </row>
    <row r="1360" spans="1:16">
      <c r="A1360" s="1178" t="s">
        <v>230</v>
      </c>
      <c r="B1360" s="1371" t="str">
        <f>HYPERLINK(IFERROR("#Main_Tariff!A"&amp;MATCH(Raeburn_Main_Tariff[[#This Row],[Product Code]],Main_Tariff!I:I,0),"#Main_Tariff!A"&amp;MATCH("*"&amp;RIGHT(A1360,8)&amp;"*",Main_Tariff!A:A,0)),Raeburn_Main_Tariff[[#This Row],[PRODUCER]])</f>
        <v>Réné Leclerc</v>
      </c>
      <c r="C1360" s="1178" t="s">
        <v>20870</v>
      </c>
      <c r="D1360" s="1178" t="s">
        <v>897</v>
      </c>
      <c r="E1360" s="1179">
        <v>2022</v>
      </c>
      <c r="F1360" s="1282" t="s">
        <v>20220</v>
      </c>
      <c r="G1360" s="1368" t="s">
        <v>20342</v>
      </c>
      <c r="H1360" s="1178" t="s">
        <v>20343</v>
      </c>
      <c r="I1360" s="1178" t="s">
        <v>5353</v>
      </c>
      <c r="J1360" s="1178" t="s">
        <v>662</v>
      </c>
      <c r="K1360" s="1178" t="s">
        <v>267</v>
      </c>
      <c r="L1360" s="1178" t="s">
        <v>211</v>
      </c>
      <c r="M1360" s="1369" t="s">
        <v>23297</v>
      </c>
      <c r="N1360" s="1178"/>
      <c r="O1360" s="1178">
        <v>6</v>
      </c>
      <c r="P1360" s="1178">
        <v>0</v>
      </c>
    </row>
    <row r="1361" spans="1:16">
      <c r="A1361" s="1178" t="s">
        <v>230</v>
      </c>
      <c r="B1361" s="1371" t="str">
        <f>HYPERLINK(IFERROR("#Main_Tariff!A"&amp;MATCH(Raeburn_Main_Tariff[[#This Row],[Product Code]],Main_Tariff!I:I,0),"#Main_Tariff!A"&amp;MATCH("*"&amp;RIGHT(A1361,8)&amp;"*",Main_Tariff!A:A,0)),Raeburn_Main_Tariff[[#This Row],[PRODUCER]])</f>
        <v>Réné Leclerc</v>
      </c>
      <c r="C1361" s="1178" t="s">
        <v>20870</v>
      </c>
      <c r="D1361" s="1178" t="s">
        <v>897</v>
      </c>
      <c r="E1361" s="1179">
        <v>2021</v>
      </c>
      <c r="F1361" s="1282" t="s">
        <v>20220</v>
      </c>
      <c r="G1361" s="1368">
        <v>87.5</v>
      </c>
      <c r="H1361" s="1178" t="s">
        <v>20221</v>
      </c>
      <c r="I1361" s="1178" t="s">
        <v>5354</v>
      </c>
      <c r="J1361" s="1178" t="s">
        <v>662</v>
      </c>
      <c r="K1361" s="1178" t="s">
        <v>267</v>
      </c>
      <c r="L1361" s="1178" t="s">
        <v>211</v>
      </c>
      <c r="M1361" s="1369" t="s">
        <v>23297</v>
      </c>
      <c r="N1361" s="1178"/>
      <c r="O1361" s="1178">
        <v>6</v>
      </c>
      <c r="P1361" s="1178">
        <v>13.5</v>
      </c>
    </row>
    <row r="1362" spans="1:16">
      <c r="A1362" s="1178" t="s">
        <v>230</v>
      </c>
      <c r="B1362" s="1371" t="str">
        <f>HYPERLINK(IFERROR("#Main_Tariff!A"&amp;MATCH(Raeburn_Main_Tariff[[#This Row],[Product Code]],Main_Tariff!I:I,0),"#Main_Tariff!A"&amp;MATCH("*"&amp;RIGHT(A1362,8)&amp;"*",Main_Tariff!A:A,0)),Raeburn_Main_Tariff[[#This Row],[PRODUCER]])</f>
        <v>Réné Leclerc</v>
      </c>
      <c r="C1362" s="1178" t="s">
        <v>20870</v>
      </c>
      <c r="D1362" s="1178" t="s">
        <v>897</v>
      </c>
      <c r="E1362" s="1179">
        <v>2020</v>
      </c>
      <c r="F1362" s="1282" t="s">
        <v>20220</v>
      </c>
      <c r="G1362" s="1368">
        <v>73.5</v>
      </c>
      <c r="H1362" s="1178" t="s">
        <v>20221</v>
      </c>
      <c r="I1362" s="1178" t="s">
        <v>5355</v>
      </c>
      <c r="J1362" s="1178" t="s">
        <v>662</v>
      </c>
      <c r="K1362" s="1178" t="s">
        <v>267</v>
      </c>
      <c r="L1362" s="1178" t="s">
        <v>211</v>
      </c>
      <c r="M1362" s="1369" t="s">
        <v>23297</v>
      </c>
      <c r="N1362" s="1178"/>
      <c r="O1362" s="1178">
        <v>6</v>
      </c>
      <c r="P1362" s="1178">
        <v>13.5</v>
      </c>
    </row>
    <row r="1363" spans="1:16">
      <c r="A1363" s="1178" t="s">
        <v>230</v>
      </c>
      <c r="B1363" s="1371" t="str">
        <f>HYPERLINK(IFERROR("#Main_Tariff!A"&amp;MATCH(Raeburn_Main_Tariff[[#This Row],[Product Code]],Main_Tariff!I:I,0),"#Main_Tariff!A"&amp;MATCH("*"&amp;RIGHT(A1363,8)&amp;"*",Main_Tariff!A:A,0)),Raeburn_Main_Tariff[[#This Row],[PRODUCER]])</f>
        <v>Réné Leclerc</v>
      </c>
      <c r="C1363" s="1178" t="s">
        <v>20870</v>
      </c>
      <c r="D1363" s="1178" t="s">
        <v>897</v>
      </c>
      <c r="E1363" s="1179">
        <v>2019</v>
      </c>
      <c r="F1363" s="1282" t="s">
        <v>20220</v>
      </c>
      <c r="G1363" s="1368">
        <v>73.5</v>
      </c>
      <c r="H1363" s="1178" t="s">
        <v>20221</v>
      </c>
      <c r="I1363" s="1178" t="s">
        <v>5356</v>
      </c>
      <c r="J1363" s="1178" t="s">
        <v>662</v>
      </c>
      <c r="K1363" s="1178" t="s">
        <v>267</v>
      </c>
      <c r="L1363" s="1178" t="s">
        <v>211</v>
      </c>
      <c r="M1363" s="1369" t="s">
        <v>23297</v>
      </c>
      <c r="N1363" s="1178"/>
      <c r="O1363" s="1178">
        <v>6</v>
      </c>
      <c r="P1363" s="1178">
        <v>13.5</v>
      </c>
    </row>
    <row r="1364" spans="1:16">
      <c r="A1364" s="1178" t="s">
        <v>230</v>
      </c>
      <c r="B1364" s="1371" t="str">
        <f>HYPERLINK(IFERROR("#Main_Tariff!A"&amp;MATCH(Raeburn_Main_Tariff[[#This Row],[Product Code]],Main_Tariff!I:I,0),"#Main_Tariff!A"&amp;MATCH("*"&amp;RIGHT(A1364,8)&amp;"*",Main_Tariff!A:A,0)),Raeburn_Main_Tariff[[#This Row],[PRODUCER]])</f>
        <v>Réné Leclerc</v>
      </c>
      <c r="C1364" s="1178" t="s">
        <v>20870</v>
      </c>
      <c r="D1364" s="1178" t="s">
        <v>897</v>
      </c>
      <c r="E1364" s="1179">
        <v>2018</v>
      </c>
      <c r="F1364" s="1282" t="s">
        <v>20220</v>
      </c>
      <c r="G1364" s="1368">
        <v>73.5</v>
      </c>
      <c r="H1364" s="1178" t="s">
        <v>20221</v>
      </c>
      <c r="I1364" s="1178" t="s">
        <v>5357</v>
      </c>
      <c r="J1364" s="1178" t="s">
        <v>662</v>
      </c>
      <c r="K1364" s="1178" t="s">
        <v>267</v>
      </c>
      <c r="L1364" s="1178" t="s">
        <v>211</v>
      </c>
      <c r="M1364" s="1369" t="s">
        <v>23297</v>
      </c>
      <c r="N1364" s="1178"/>
      <c r="O1364" s="1178">
        <v>6</v>
      </c>
      <c r="P1364" s="1178">
        <v>13.5</v>
      </c>
    </row>
    <row r="1365" spans="1:16">
      <c r="A1365" s="1178" t="s">
        <v>230</v>
      </c>
      <c r="B1365" s="1371" t="str">
        <f>HYPERLINK(IFERROR("#Main_Tariff!A"&amp;MATCH(Raeburn_Main_Tariff[[#This Row],[Product Code]],Main_Tariff!I:I,0),"#Main_Tariff!A"&amp;MATCH("*"&amp;RIGHT(A1365,8)&amp;"*",Main_Tariff!A:A,0)),Raeburn_Main_Tariff[[#This Row],[PRODUCER]])</f>
        <v>Réné Leclerc</v>
      </c>
      <c r="C1365" s="1178" t="s">
        <v>20870</v>
      </c>
      <c r="D1365" s="1178" t="s">
        <v>897</v>
      </c>
      <c r="E1365" s="1179">
        <v>2017</v>
      </c>
      <c r="F1365" s="1282" t="s">
        <v>20220</v>
      </c>
      <c r="G1365" s="1368">
        <v>73.5</v>
      </c>
      <c r="H1365" s="1178" t="s">
        <v>20221</v>
      </c>
      <c r="I1365" s="1178" t="s">
        <v>5358</v>
      </c>
      <c r="J1365" s="1178" t="s">
        <v>662</v>
      </c>
      <c r="K1365" s="1178" t="s">
        <v>267</v>
      </c>
      <c r="L1365" s="1178" t="s">
        <v>211</v>
      </c>
      <c r="M1365" s="1369" t="s">
        <v>23297</v>
      </c>
      <c r="N1365" s="1178"/>
      <c r="O1365" s="1178">
        <v>6</v>
      </c>
      <c r="P1365" s="1178">
        <v>13.5</v>
      </c>
    </row>
    <row r="1366" spans="1:16">
      <c r="A1366" s="1178" t="s">
        <v>230</v>
      </c>
      <c r="B1366" s="1371" t="str">
        <f>HYPERLINK(IFERROR("#Main_Tariff!A"&amp;MATCH(Raeburn_Main_Tariff[[#This Row],[Product Code]],Main_Tariff!I:I,0),"#Main_Tariff!A"&amp;MATCH("*"&amp;RIGHT(A1366,8)&amp;"*",Main_Tariff!A:A,0)),Raeburn_Main_Tariff[[#This Row],[PRODUCER]])</f>
        <v>Réné Leclerc</v>
      </c>
      <c r="C1366" s="1178" t="s">
        <v>20870</v>
      </c>
      <c r="D1366" s="1178" t="s">
        <v>897</v>
      </c>
      <c r="E1366" s="1179">
        <v>2016</v>
      </c>
      <c r="F1366" s="1282" t="s">
        <v>20220</v>
      </c>
      <c r="G1366" s="1368">
        <v>73.5</v>
      </c>
      <c r="H1366" s="1178" t="s">
        <v>20221</v>
      </c>
      <c r="I1366" s="1178" t="s">
        <v>5359</v>
      </c>
      <c r="J1366" s="1178" t="s">
        <v>662</v>
      </c>
      <c r="K1366" s="1178" t="s">
        <v>267</v>
      </c>
      <c r="L1366" s="1178" t="s">
        <v>211</v>
      </c>
      <c r="M1366" s="1369" t="s">
        <v>23297</v>
      </c>
      <c r="N1366" s="1178"/>
      <c r="O1366" s="1178">
        <v>6</v>
      </c>
      <c r="P1366" s="1178">
        <v>13.5</v>
      </c>
    </row>
    <row r="1367" spans="1:16">
      <c r="A1367" s="1178" t="s">
        <v>230</v>
      </c>
      <c r="B1367" s="1371" t="str">
        <f>HYPERLINK(IFERROR("#Main_Tariff!A"&amp;MATCH(Raeburn_Main_Tariff[[#This Row],[Product Code]],Main_Tariff!I:I,0),"#Main_Tariff!A"&amp;MATCH("*"&amp;RIGHT(A1367,8)&amp;"*",Main_Tariff!A:A,0)),Raeburn_Main_Tariff[[#This Row],[PRODUCER]])</f>
        <v>Réné Leclerc</v>
      </c>
      <c r="C1367" s="1178" t="s">
        <v>20870</v>
      </c>
      <c r="D1367" s="1178" t="s">
        <v>897</v>
      </c>
      <c r="E1367" s="1179">
        <v>2014</v>
      </c>
      <c r="F1367" s="1282" t="s">
        <v>20220</v>
      </c>
      <c r="G1367" s="1368">
        <v>69.5</v>
      </c>
      <c r="H1367" s="1178" t="s">
        <v>20221</v>
      </c>
      <c r="I1367" s="1178" t="s">
        <v>5360</v>
      </c>
      <c r="J1367" s="1178" t="s">
        <v>662</v>
      </c>
      <c r="K1367" s="1178" t="s">
        <v>267</v>
      </c>
      <c r="L1367" s="1178" t="s">
        <v>211</v>
      </c>
      <c r="M1367" s="1369" t="s">
        <v>23297</v>
      </c>
      <c r="N1367" s="1178"/>
      <c r="O1367" s="1178">
        <v>6</v>
      </c>
      <c r="P1367" s="1178">
        <v>13.5</v>
      </c>
    </row>
    <row r="1368" spans="1:16">
      <c r="A1368" s="1178" t="s">
        <v>230</v>
      </c>
      <c r="B1368" s="1371" t="str">
        <f>HYPERLINK(IFERROR("#Main_Tariff!A"&amp;MATCH(Raeburn_Main_Tariff[[#This Row],[Product Code]],Main_Tariff!I:I,0),"#Main_Tariff!A"&amp;MATCH("*"&amp;RIGHT(A1368,8)&amp;"*",Main_Tariff!A:A,0)),Raeburn_Main_Tariff[[#This Row],[PRODUCER]])</f>
        <v>Réné Leclerc</v>
      </c>
      <c r="C1368" s="1178" t="s">
        <v>20870</v>
      </c>
      <c r="D1368" s="1178" t="s">
        <v>897</v>
      </c>
      <c r="E1368" s="1179">
        <v>2013</v>
      </c>
      <c r="F1368" s="1282" t="s">
        <v>20220</v>
      </c>
      <c r="G1368" s="1368">
        <v>69.5</v>
      </c>
      <c r="H1368" s="1178" t="s">
        <v>20221</v>
      </c>
      <c r="I1368" s="1178" t="s">
        <v>5361</v>
      </c>
      <c r="J1368" s="1178" t="s">
        <v>662</v>
      </c>
      <c r="K1368" s="1178" t="s">
        <v>267</v>
      </c>
      <c r="L1368" s="1178" t="s">
        <v>211</v>
      </c>
      <c r="M1368" s="1369" t="s">
        <v>23297</v>
      </c>
      <c r="N1368" s="1178"/>
      <c r="O1368" s="1178">
        <v>6</v>
      </c>
      <c r="P1368" s="1178">
        <v>13.5</v>
      </c>
    </row>
    <row r="1369" spans="1:16">
      <c r="A1369" s="1178" t="s">
        <v>230</v>
      </c>
      <c r="B1369" s="1371" t="str">
        <f>HYPERLINK(IFERROR("#Main_Tariff!A"&amp;MATCH(Raeburn_Main_Tariff[[#This Row],[Product Code]],Main_Tariff!I:I,0),"#Main_Tariff!A"&amp;MATCH("*"&amp;RIGHT(A1369,8)&amp;"*",Main_Tariff!A:A,0)),Raeburn_Main_Tariff[[#This Row],[PRODUCER]])</f>
        <v>Réné Leclerc</v>
      </c>
      <c r="C1369" s="1178" t="s">
        <v>20871</v>
      </c>
      <c r="D1369" s="1178" t="s">
        <v>897</v>
      </c>
      <c r="E1369" s="1179">
        <v>2022</v>
      </c>
      <c r="F1369" s="1282" t="s">
        <v>20220</v>
      </c>
      <c r="G1369" s="1368" t="s">
        <v>20342</v>
      </c>
      <c r="H1369" s="1178" t="s">
        <v>20343</v>
      </c>
      <c r="I1369" s="1178" t="s">
        <v>5363</v>
      </c>
      <c r="J1369" s="1178" t="s">
        <v>662</v>
      </c>
      <c r="K1369" s="1178" t="s">
        <v>267</v>
      </c>
      <c r="L1369" s="1178" t="s">
        <v>211</v>
      </c>
      <c r="M1369" s="1369" t="s">
        <v>23296</v>
      </c>
      <c r="N1369" s="1178"/>
      <c r="O1369" s="1178">
        <v>6</v>
      </c>
      <c r="P1369" s="1178">
        <v>0</v>
      </c>
    </row>
    <row r="1370" spans="1:16">
      <c r="A1370" s="1178" t="s">
        <v>230</v>
      </c>
      <c r="B1370" s="1371" t="str">
        <f>HYPERLINK(IFERROR("#Main_Tariff!A"&amp;MATCH(Raeburn_Main_Tariff[[#This Row],[Product Code]],Main_Tariff!I:I,0),"#Main_Tariff!A"&amp;MATCH("*"&amp;RIGHT(A1370,8)&amp;"*",Main_Tariff!A:A,0)),Raeburn_Main_Tariff[[#This Row],[PRODUCER]])</f>
        <v>Réné Leclerc</v>
      </c>
      <c r="C1370" s="1178" t="s">
        <v>20871</v>
      </c>
      <c r="D1370" s="1178" t="s">
        <v>897</v>
      </c>
      <c r="E1370" s="1179">
        <v>2021</v>
      </c>
      <c r="F1370" s="1282" t="s">
        <v>20220</v>
      </c>
      <c r="G1370" s="1368">
        <v>239.5</v>
      </c>
      <c r="H1370" s="1178" t="s">
        <v>20221</v>
      </c>
      <c r="I1370" s="1178" t="s">
        <v>5364</v>
      </c>
      <c r="J1370" s="1178" t="s">
        <v>662</v>
      </c>
      <c r="K1370" s="1178" t="s">
        <v>267</v>
      </c>
      <c r="L1370" s="1178" t="s">
        <v>211</v>
      </c>
      <c r="M1370" s="1369" t="s">
        <v>23296</v>
      </c>
      <c r="N1370" s="1178"/>
      <c r="O1370" s="1178">
        <v>6</v>
      </c>
      <c r="P1370" s="1178">
        <v>13</v>
      </c>
    </row>
    <row r="1371" spans="1:16">
      <c r="A1371" s="1178" t="s">
        <v>230</v>
      </c>
      <c r="B1371" s="1371" t="str">
        <f>HYPERLINK(IFERROR("#Main_Tariff!A"&amp;MATCH(Raeburn_Main_Tariff[[#This Row],[Product Code]],Main_Tariff!I:I,0),"#Main_Tariff!A"&amp;MATCH("*"&amp;RIGHT(A1371,8)&amp;"*",Main_Tariff!A:A,0)),Raeburn_Main_Tariff[[#This Row],[PRODUCER]])</f>
        <v>Réné Leclerc</v>
      </c>
      <c r="C1371" s="1178" t="s">
        <v>20871</v>
      </c>
      <c r="D1371" s="1178" t="s">
        <v>897</v>
      </c>
      <c r="E1371" s="1179">
        <v>2020</v>
      </c>
      <c r="F1371" s="1282" t="s">
        <v>20220</v>
      </c>
      <c r="G1371" s="1368">
        <v>202</v>
      </c>
      <c r="H1371" s="1178" t="s">
        <v>20221</v>
      </c>
      <c r="I1371" s="1178" t="s">
        <v>5365</v>
      </c>
      <c r="J1371" s="1178" t="s">
        <v>662</v>
      </c>
      <c r="K1371" s="1178" t="s">
        <v>267</v>
      </c>
      <c r="L1371" s="1178" t="s">
        <v>211</v>
      </c>
      <c r="M1371" s="1369" t="s">
        <v>23296</v>
      </c>
      <c r="N1371" s="1178"/>
      <c r="O1371" s="1178">
        <v>6</v>
      </c>
      <c r="P1371" s="1178">
        <v>13.5</v>
      </c>
    </row>
    <row r="1372" spans="1:16">
      <c r="A1372" s="1178" t="s">
        <v>230</v>
      </c>
      <c r="B1372" s="1371" t="str">
        <f>HYPERLINK(IFERROR("#Main_Tariff!A"&amp;MATCH(Raeburn_Main_Tariff[[#This Row],[Product Code]],Main_Tariff!I:I,0),"#Main_Tariff!A"&amp;MATCH("*"&amp;RIGHT(A1372,8)&amp;"*",Main_Tariff!A:A,0)),Raeburn_Main_Tariff[[#This Row],[PRODUCER]])</f>
        <v>Réné Leclerc</v>
      </c>
      <c r="C1372" s="1178" t="s">
        <v>20871</v>
      </c>
      <c r="D1372" s="1178" t="s">
        <v>897</v>
      </c>
      <c r="E1372" s="1179">
        <v>2019</v>
      </c>
      <c r="F1372" s="1282" t="s">
        <v>20220</v>
      </c>
      <c r="G1372" s="1368">
        <v>202</v>
      </c>
      <c r="H1372" s="1178" t="s">
        <v>20221</v>
      </c>
      <c r="I1372" s="1178" t="s">
        <v>5366</v>
      </c>
      <c r="J1372" s="1178" t="s">
        <v>662</v>
      </c>
      <c r="K1372" s="1178" t="s">
        <v>267</v>
      </c>
      <c r="L1372" s="1178" t="s">
        <v>211</v>
      </c>
      <c r="M1372" s="1369" t="s">
        <v>23296</v>
      </c>
      <c r="N1372" s="1178"/>
      <c r="O1372" s="1178">
        <v>6</v>
      </c>
      <c r="P1372" s="1178">
        <v>13.5</v>
      </c>
    </row>
    <row r="1373" spans="1:16">
      <c r="A1373" s="1178" t="s">
        <v>230</v>
      </c>
      <c r="B1373" s="1371" t="str">
        <f>HYPERLINK(IFERROR("#Main_Tariff!A"&amp;MATCH(Raeburn_Main_Tariff[[#This Row],[Product Code]],Main_Tariff!I:I,0),"#Main_Tariff!A"&amp;MATCH("*"&amp;RIGHT(A1373,8)&amp;"*",Main_Tariff!A:A,0)),Raeburn_Main_Tariff[[#This Row],[PRODUCER]])</f>
        <v>Réné Leclerc</v>
      </c>
      <c r="C1373" s="1178" t="s">
        <v>20871</v>
      </c>
      <c r="D1373" s="1178" t="s">
        <v>897</v>
      </c>
      <c r="E1373" s="1179">
        <v>2018</v>
      </c>
      <c r="F1373" s="1282" t="s">
        <v>20220</v>
      </c>
      <c r="G1373" s="1368">
        <v>199</v>
      </c>
      <c r="H1373" s="1178" t="s">
        <v>20221</v>
      </c>
      <c r="I1373" s="1178" t="s">
        <v>5367</v>
      </c>
      <c r="J1373" s="1178" t="s">
        <v>662</v>
      </c>
      <c r="K1373" s="1178" t="s">
        <v>267</v>
      </c>
      <c r="L1373" s="1178" t="s">
        <v>211</v>
      </c>
      <c r="M1373" s="1369" t="s">
        <v>23296</v>
      </c>
      <c r="N1373" s="1178"/>
      <c r="O1373" s="1178">
        <v>6</v>
      </c>
      <c r="P1373" s="1178">
        <v>13.5</v>
      </c>
    </row>
    <row r="1374" spans="1:16">
      <c r="A1374" s="1178" t="s">
        <v>230</v>
      </c>
      <c r="B1374" s="1371" t="str">
        <f>HYPERLINK(IFERROR("#Main_Tariff!A"&amp;MATCH(Raeburn_Main_Tariff[[#This Row],[Product Code]],Main_Tariff!I:I,0),"#Main_Tariff!A"&amp;MATCH("*"&amp;RIGHT(A1374,8)&amp;"*",Main_Tariff!A:A,0)),Raeburn_Main_Tariff[[#This Row],[PRODUCER]])</f>
        <v>Réné Leclerc</v>
      </c>
      <c r="C1374" s="1178" t="s">
        <v>20871</v>
      </c>
      <c r="D1374" s="1178" t="s">
        <v>897</v>
      </c>
      <c r="E1374" s="1179">
        <v>2017</v>
      </c>
      <c r="F1374" s="1282" t="s">
        <v>20220</v>
      </c>
      <c r="G1374" s="1368">
        <v>199</v>
      </c>
      <c r="H1374" s="1178" t="s">
        <v>20221</v>
      </c>
      <c r="I1374" s="1178" t="s">
        <v>5368</v>
      </c>
      <c r="J1374" s="1178" t="s">
        <v>662</v>
      </c>
      <c r="K1374" s="1178" t="s">
        <v>267</v>
      </c>
      <c r="L1374" s="1178" t="s">
        <v>211</v>
      </c>
      <c r="M1374" s="1369" t="s">
        <v>23296</v>
      </c>
      <c r="N1374" s="1178"/>
      <c r="O1374" s="1178">
        <v>6</v>
      </c>
      <c r="P1374" s="1178">
        <v>13.5</v>
      </c>
    </row>
    <row r="1375" spans="1:16">
      <c r="A1375" s="1178" t="s">
        <v>230</v>
      </c>
      <c r="B1375" s="1371" t="str">
        <f>HYPERLINK(IFERROR("#Main_Tariff!A"&amp;MATCH(Raeburn_Main_Tariff[[#This Row],[Product Code]],Main_Tariff!I:I,0),"#Main_Tariff!A"&amp;MATCH("*"&amp;RIGHT(A1375,8)&amp;"*",Main_Tariff!A:A,0)),Raeburn_Main_Tariff[[#This Row],[PRODUCER]])</f>
        <v>Réné Leclerc</v>
      </c>
      <c r="C1375" s="1178" t="s">
        <v>20871</v>
      </c>
      <c r="D1375" s="1178" t="s">
        <v>897</v>
      </c>
      <c r="E1375" s="1179">
        <v>2016</v>
      </c>
      <c r="F1375" s="1282" t="s">
        <v>20220</v>
      </c>
      <c r="G1375" s="1368">
        <v>199</v>
      </c>
      <c r="H1375" s="1178" t="s">
        <v>20221</v>
      </c>
      <c r="I1375" s="1178" t="s">
        <v>5369</v>
      </c>
      <c r="J1375" s="1178" t="s">
        <v>662</v>
      </c>
      <c r="K1375" s="1178" t="s">
        <v>267</v>
      </c>
      <c r="L1375" s="1178" t="s">
        <v>211</v>
      </c>
      <c r="M1375" s="1369" t="s">
        <v>23296</v>
      </c>
      <c r="N1375" s="1178"/>
      <c r="O1375" s="1178">
        <v>6</v>
      </c>
      <c r="P1375" s="1178">
        <v>13.5</v>
      </c>
    </row>
    <row r="1376" spans="1:16">
      <c r="A1376" s="1178" t="s">
        <v>230</v>
      </c>
      <c r="B1376" s="1371" t="str">
        <f>HYPERLINK(IFERROR("#Main_Tariff!A"&amp;MATCH(Raeburn_Main_Tariff[[#This Row],[Product Code]],Main_Tariff!I:I,0),"#Main_Tariff!A"&amp;MATCH("*"&amp;RIGHT(A1376,8)&amp;"*",Main_Tariff!A:A,0)),Raeburn_Main_Tariff[[#This Row],[PRODUCER]])</f>
        <v>Réné Leclerc</v>
      </c>
      <c r="C1376" s="1178" t="s">
        <v>20871</v>
      </c>
      <c r="D1376" s="1178" t="s">
        <v>897</v>
      </c>
      <c r="E1376" s="1179">
        <v>2014</v>
      </c>
      <c r="F1376" s="1282" t="s">
        <v>20220</v>
      </c>
      <c r="G1376" s="1368">
        <v>189</v>
      </c>
      <c r="H1376" s="1178" t="s">
        <v>20221</v>
      </c>
      <c r="I1376" s="1178" t="s">
        <v>5370</v>
      </c>
      <c r="J1376" s="1178" t="s">
        <v>662</v>
      </c>
      <c r="K1376" s="1178" t="s">
        <v>267</v>
      </c>
      <c r="L1376" s="1178" t="s">
        <v>211</v>
      </c>
      <c r="M1376" s="1369" t="s">
        <v>23296</v>
      </c>
      <c r="N1376" s="1178"/>
      <c r="O1376" s="1178">
        <v>6</v>
      </c>
      <c r="P1376" s="1178">
        <v>13.5</v>
      </c>
    </row>
    <row r="1377" spans="1:16">
      <c r="A1377" s="1178" t="s">
        <v>230</v>
      </c>
      <c r="B1377" s="1371" t="str">
        <f>HYPERLINK(IFERROR("#Main_Tariff!A"&amp;MATCH(Raeburn_Main_Tariff[[#This Row],[Product Code]],Main_Tariff!I:I,0),"#Main_Tariff!A"&amp;MATCH("*"&amp;RIGHT(A1377,8)&amp;"*",Main_Tariff!A:A,0)),Raeburn_Main_Tariff[[#This Row],[PRODUCER]])</f>
        <v>Réné Leclerc</v>
      </c>
      <c r="C1377" s="1178" t="s">
        <v>20871</v>
      </c>
      <c r="D1377" s="1178" t="s">
        <v>897</v>
      </c>
      <c r="E1377" s="1179">
        <v>2013</v>
      </c>
      <c r="F1377" s="1282" t="s">
        <v>20220</v>
      </c>
      <c r="G1377" s="1368">
        <v>189</v>
      </c>
      <c r="H1377" s="1178" t="s">
        <v>20221</v>
      </c>
      <c r="I1377" s="1178" t="s">
        <v>5371</v>
      </c>
      <c r="J1377" s="1178" t="s">
        <v>662</v>
      </c>
      <c r="K1377" s="1178" t="s">
        <v>267</v>
      </c>
      <c r="L1377" s="1178" t="s">
        <v>211</v>
      </c>
      <c r="M1377" s="1369" t="s">
        <v>23296</v>
      </c>
      <c r="N1377" s="1178"/>
      <c r="O1377" s="1178">
        <v>6</v>
      </c>
      <c r="P1377" s="1178">
        <v>13.5</v>
      </c>
    </row>
    <row r="1378" spans="1:16">
      <c r="A1378" s="1178" t="s">
        <v>230</v>
      </c>
      <c r="B1378" s="1371" t="str">
        <f>HYPERLINK(IFERROR("#Main_Tariff!A"&amp;MATCH(Raeburn_Main_Tariff[[#This Row],[Product Code]],Main_Tariff!I:I,0),"#Main_Tariff!A"&amp;MATCH("*"&amp;RIGHT(A1378,8)&amp;"*",Main_Tariff!A:A,0)),Raeburn_Main_Tariff[[#This Row],[PRODUCER]])</f>
        <v>Réné Leclerc</v>
      </c>
      <c r="C1378" s="1178" t="s">
        <v>20871</v>
      </c>
      <c r="D1378" s="1178" t="s">
        <v>897</v>
      </c>
      <c r="E1378" s="1179">
        <v>2012</v>
      </c>
      <c r="F1378" s="1282" t="s">
        <v>20220</v>
      </c>
      <c r="G1378" s="1368">
        <v>202</v>
      </c>
      <c r="H1378" s="1178" t="s">
        <v>20224</v>
      </c>
      <c r="I1378" s="1178" t="s">
        <v>5372</v>
      </c>
      <c r="J1378" s="1178" t="s">
        <v>662</v>
      </c>
      <c r="K1378" s="1178" t="s">
        <v>267</v>
      </c>
      <c r="L1378" s="1178" t="s">
        <v>211</v>
      </c>
      <c r="M1378" s="1369" t="s">
        <v>23296</v>
      </c>
      <c r="N1378" s="1178"/>
      <c r="O1378" s="1178">
        <v>6</v>
      </c>
      <c r="P1378" s="1178">
        <v>13.5</v>
      </c>
    </row>
    <row r="1379" spans="1:16">
      <c r="A1379" s="1178" t="s">
        <v>230</v>
      </c>
      <c r="B1379" s="1371" t="str">
        <f>HYPERLINK(IFERROR("#Main_Tariff!A"&amp;MATCH(Raeburn_Main_Tariff[[#This Row],[Product Code]],Main_Tariff!I:I,0),"#Main_Tariff!A"&amp;MATCH("*"&amp;RIGHT(A1379,8)&amp;"*",Main_Tariff!A:A,0)),Raeburn_Main_Tariff[[#This Row],[PRODUCER]])</f>
        <v>Réné Leclerc</v>
      </c>
      <c r="C1379" s="1178" t="s">
        <v>20872</v>
      </c>
      <c r="D1379" s="1178" t="s">
        <v>897</v>
      </c>
      <c r="E1379" s="1179">
        <v>2015</v>
      </c>
      <c r="F1379" s="1282" t="s">
        <v>20240</v>
      </c>
      <c r="G1379" s="1368">
        <v>42</v>
      </c>
      <c r="H1379" s="1178" t="s">
        <v>20224</v>
      </c>
      <c r="I1379" s="1178" t="s">
        <v>5373</v>
      </c>
      <c r="J1379" s="1178" t="s">
        <v>662</v>
      </c>
      <c r="K1379" s="1178" t="s">
        <v>267</v>
      </c>
      <c r="L1379" s="1178" t="s">
        <v>211</v>
      </c>
      <c r="M1379" s="1369"/>
      <c r="N1379" s="1178"/>
      <c r="O1379" s="1178">
        <v>1</v>
      </c>
      <c r="P1379" s="1178">
        <v>12.5</v>
      </c>
    </row>
    <row r="1380" spans="1:16">
      <c r="A1380" s="1178" t="s">
        <v>230</v>
      </c>
      <c r="B1380" s="1371" t="str">
        <f>HYPERLINK(IFERROR("#Main_Tariff!A"&amp;MATCH(Raeburn_Main_Tariff[[#This Row],[Product Code]],Main_Tariff!I:I,0),"#Main_Tariff!A"&amp;MATCH("*"&amp;RIGHT(A1380,8)&amp;"*",Main_Tariff!A:A,0)),Raeburn_Main_Tariff[[#This Row],[PRODUCER]])</f>
        <v>Réné Leclerc</v>
      </c>
      <c r="C1380" s="1178" t="s">
        <v>20749</v>
      </c>
      <c r="D1380" s="1178" t="s">
        <v>897</v>
      </c>
      <c r="E1380" s="1179">
        <v>2014</v>
      </c>
      <c r="F1380" s="1282" t="s">
        <v>20240</v>
      </c>
      <c r="G1380" s="1368">
        <v>82</v>
      </c>
      <c r="H1380" s="1178" t="s">
        <v>20224</v>
      </c>
      <c r="I1380" s="1178" t="s">
        <v>5374</v>
      </c>
      <c r="J1380" s="1178" t="s">
        <v>662</v>
      </c>
      <c r="K1380" s="1178" t="s">
        <v>267</v>
      </c>
      <c r="L1380" s="1178" t="s">
        <v>211</v>
      </c>
      <c r="M1380" s="1369"/>
      <c r="N1380" s="1178"/>
      <c r="O1380" s="1178">
        <v>1</v>
      </c>
      <c r="P1380" s="1178">
        <v>13.5</v>
      </c>
    </row>
    <row r="1381" spans="1:16">
      <c r="A1381" s="1178" t="s">
        <v>230</v>
      </c>
      <c r="B1381" s="1371" t="str">
        <f>HYPERLINK(IFERROR("#Main_Tariff!A"&amp;MATCH(Raeburn_Main_Tariff[[#This Row],[Product Code]],Main_Tariff!I:I,0),"#Main_Tariff!A"&amp;MATCH("*"&amp;RIGHT(A1381,8)&amp;"*",Main_Tariff!A:A,0)),Raeburn_Main_Tariff[[#This Row],[PRODUCER]])</f>
        <v>Réné Leclerc</v>
      </c>
      <c r="C1381" s="1178" t="s">
        <v>20873</v>
      </c>
      <c r="D1381" s="1178" t="s">
        <v>897</v>
      </c>
      <c r="E1381" s="1179">
        <v>2014</v>
      </c>
      <c r="F1381" s="1282" t="s">
        <v>20240</v>
      </c>
      <c r="G1381" s="1368">
        <v>92</v>
      </c>
      <c r="H1381" s="1178" t="s">
        <v>20224</v>
      </c>
      <c r="I1381" s="1178" t="s">
        <v>5375</v>
      </c>
      <c r="J1381" s="1178" t="s">
        <v>662</v>
      </c>
      <c r="K1381" s="1178" t="s">
        <v>267</v>
      </c>
      <c r="L1381" s="1178" t="s">
        <v>211</v>
      </c>
      <c r="M1381" s="1369"/>
      <c r="N1381" s="1178"/>
      <c r="O1381" s="1178">
        <v>1</v>
      </c>
      <c r="P1381" s="1178">
        <v>13</v>
      </c>
    </row>
    <row r="1382" spans="1:16">
      <c r="A1382" s="1178" t="s">
        <v>230</v>
      </c>
      <c r="B1382" s="1371" t="str">
        <f>HYPERLINK(IFERROR("#Main_Tariff!A"&amp;MATCH(Raeburn_Main_Tariff[[#This Row],[Product Code]],Main_Tariff!I:I,0),"#Main_Tariff!A"&amp;MATCH("*"&amp;RIGHT(A1382,8)&amp;"*",Main_Tariff!A:A,0)),Raeburn_Main_Tariff[[#This Row],[PRODUCER]])</f>
        <v>Réné Leclerc</v>
      </c>
      <c r="C1382" s="1178" t="s">
        <v>20874</v>
      </c>
      <c r="D1382" s="1178" t="s">
        <v>897</v>
      </c>
      <c r="E1382" s="1179">
        <v>2013</v>
      </c>
      <c r="F1382" s="1282" t="s">
        <v>20240</v>
      </c>
      <c r="G1382" s="1368">
        <v>388</v>
      </c>
      <c r="H1382" s="1178" t="s">
        <v>20224</v>
      </c>
      <c r="I1382" s="1178" t="s">
        <v>5376</v>
      </c>
      <c r="J1382" s="1178" t="s">
        <v>662</v>
      </c>
      <c r="K1382" s="1178" t="s">
        <v>267</v>
      </c>
      <c r="L1382" s="1178" t="s">
        <v>211</v>
      </c>
      <c r="M1382" s="1369" t="s">
        <v>23296</v>
      </c>
      <c r="N1382" s="1178"/>
      <c r="O1382" s="1178">
        <v>1</v>
      </c>
      <c r="P1382" s="1178">
        <v>13.5</v>
      </c>
    </row>
    <row r="1383" spans="1:16">
      <c r="A1383" s="1178" t="s">
        <v>20875</v>
      </c>
      <c r="B1383" s="1371" t="str">
        <f>HYPERLINK(IFERROR("#Main_Tariff!A"&amp;MATCH(Raeburn_Main_Tariff[[#This Row],[Product Code]],Main_Tariff!I:I,0),"#Main_Tariff!A"&amp;MATCH("*"&amp;RIGHT(A1383,8)&amp;"*",Main_Tariff!A:A,0)),Raeburn_Main_Tariff[[#This Row],[PRODUCER]])</f>
        <v>Francois Legros</v>
      </c>
      <c r="C1383" s="1178" t="s">
        <v>20876</v>
      </c>
      <c r="D1383" s="1178" t="s">
        <v>1129</v>
      </c>
      <c r="E1383" s="1179">
        <v>2022</v>
      </c>
      <c r="F1383" s="1282" t="s">
        <v>20220</v>
      </c>
      <c r="G1383" s="1368">
        <v>29</v>
      </c>
      <c r="H1383" s="1178" t="s">
        <v>20221</v>
      </c>
      <c r="I1383" s="1178" t="s">
        <v>5383</v>
      </c>
      <c r="J1383" s="1178" t="s">
        <v>662</v>
      </c>
      <c r="K1383" s="1178" t="s">
        <v>267</v>
      </c>
      <c r="L1383" s="1178" t="s">
        <v>211</v>
      </c>
      <c r="M1383" s="1369"/>
      <c r="N1383" s="1178"/>
      <c r="O1383" s="1178">
        <v>6</v>
      </c>
      <c r="P1383" s="1178">
        <v>13</v>
      </c>
    </row>
    <row r="1384" spans="1:16">
      <c r="A1384" s="1178" t="s">
        <v>20875</v>
      </c>
      <c r="B1384" s="1371" t="str">
        <f>HYPERLINK(IFERROR("#Main_Tariff!A"&amp;MATCH(Raeburn_Main_Tariff[[#This Row],[Product Code]],Main_Tariff!I:I,0),"#Main_Tariff!A"&amp;MATCH("*"&amp;RIGHT(A1384,8)&amp;"*",Main_Tariff!A:A,0)),Raeburn_Main_Tariff[[#This Row],[PRODUCER]])</f>
        <v>Francois Legros</v>
      </c>
      <c r="C1384" s="1178" t="s">
        <v>20876</v>
      </c>
      <c r="D1384" s="1178" t="s">
        <v>1129</v>
      </c>
      <c r="E1384" s="1179">
        <v>2021</v>
      </c>
      <c r="F1384" s="1282" t="s">
        <v>20220</v>
      </c>
      <c r="G1384" s="1368">
        <v>29.5</v>
      </c>
      <c r="H1384" s="1178" t="s">
        <v>20221</v>
      </c>
      <c r="I1384" s="1178" t="s">
        <v>5385</v>
      </c>
      <c r="J1384" s="1178" t="s">
        <v>662</v>
      </c>
      <c r="K1384" s="1178" t="s">
        <v>267</v>
      </c>
      <c r="L1384" s="1178" t="s">
        <v>211</v>
      </c>
      <c r="M1384" s="1369"/>
      <c r="N1384" s="1178"/>
      <c r="O1384" s="1178">
        <v>6</v>
      </c>
      <c r="P1384" s="1178">
        <v>13</v>
      </c>
    </row>
    <row r="1385" spans="1:16">
      <c r="A1385" s="1178" t="s">
        <v>20875</v>
      </c>
      <c r="B1385" s="1371" t="str">
        <f>HYPERLINK(IFERROR("#Main_Tariff!A"&amp;MATCH(Raeburn_Main_Tariff[[#This Row],[Product Code]],Main_Tariff!I:I,0),"#Main_Tariff!A"&amp;MATCH("*"&amp;RIGHT(A1385,8)&amp;"*",Main_Tariff!A:A,0)),Raeburn_Main_Tariff[[#This Row],[PRODUCER]])</f>
        <v>Francois Legros</v>
      </c>
      <c r="C1385" s="1178" t="s">
        <v>20876</v>
      </c>
      <c r="D1385" s="1178" t="s">
        <v>1129</v>
      </c>
      <c r="E1385" s="1179">
        <v>2020</v>
      </c>
      <c r="F1385" s="1282" t="s">
        <v>20220</v>
      </c>
      <c r="G1385" s="1368">
        <v>29</v>
      </c>
      <c r="H1385" s="1178" t="s">
        <v>20221</v>
      </c>
      <c r="I1385" s="1178" t="s">
        <v>5387</v>
      </c>
      <c r="J1385" s="1178" t="s">
        <v>662</v>
      </c>
      <c r="K1385" s="1178" t="s">
        <v>267</v>
      </c>
      <c r="L1385" s="1178" t="s">
        <v>211</v>
      </c>
      <c r="M1385" s="1369"/>
      <c r="N1385" s="1178"/>
      <c r="O1385" s="1178">
        <v>6</v>
      </c>
      <c r="P1385" s="1178">
        <v>13</v>
      </c>
    </row>
    <row r="1386" spans="1:16">
      <c r="A1386" s="1178" t="s">
        <v>20875</v>
      </c>
      <c r="B1386" s="1371" t="str">
        <f>HYPERLINK(IFERROR("#Main_Tariff!A"&amp;MATCH(Raeburn_Main_Tariff[[#This Row],[Product Code]],Main_Tariff!I:I,0),"#Main_Tariff!A"&amp;MATCH("*"&amp;RIGHT(A1386,8)&amp;"*",Main_Tariff!A:A,0)),Raeburn_Main_Tariff[[#This Row],[PRODUCER]])</f>
        <v>Francois Legros</v>
      </c>
      <c r="C1386" s="1178" t="s">
        <v>20877</v>
      </c>
      <c r="D1386" s="1178" t="s">
        <v>1129</v>
      </c>
      <c r="E1386" s="1179">
        <v>2022</v>
      </c>
      <c r="F1386" s="1282" t="s">
        <v>20220</v>
      </c>
      <c r="G1386" s="1368">
        <v>39.5</v>
      </c>
      <c r="H1386" s="1178" t="s">
        <v>20221</v>
      </c>
      <c r="I1386" s="1178" t="s">
        <v>5388</v>
      </c>
      <c r="J1386" s="1178" t="s">
        <v>662</v>
      </c>
      <c r="K1386" s="1178" t="s">
        <v>267</v>
      </c>
      <c r="L1386" s="1178" t="s">
        <v>211</v>
      </c>
      <c r="M1386" s="1369" t="s">
        <v>23297</v>
      </c>
      <c r="N1386" s="1178"/>
      <c r="O1386" s="1178">
        <v>6</v>
      </c>
      <c r="P1386" s="1178">
        <v>13.5</v>
      </c>
    </row>
    <row r="1387" spans="1:16">
      <c r="A1387" s="1178" t="s">
        <v>20875</v>
      </c>
      <c r="B1387" s="1371" t="str">
        <f>HYPERLINK(IFERROR("#Main_Tariff!A"&amp;MATCH(Raeburn_Main_Tariff[[#This Row],[Product Code]],Main_Tariff!I:I,0),"#Main_Tariff!A"&amp;MATCH("*"&amp;RIGHT(A1387,8)&amp;"*",Main_Tariff!A:A,0)),Raeburn_Main_Tariff[[#This Row],[PRODUCER]])</f>
        <v>Francois Legros</v>
      </c>
      <c r="C1387" s="1178" t="s">
        <v>20877</v>
      </c>
      <c r="D1387" s="1178" t="s">
        <v>1129</v>
      </c>
      <c r="E1387" s="1179">
        <v>2021</v>
      </c>
      <c r="F1387" s="1282" t="s">
        <v>20220</v>
      </c>
      <c r="G1387" s="1368">
        <v>40</v>
      </c>
      <c r="H1387" s="1178" t="s">
        <v>20221</v>
      </c>
      <c r="I1387" s="1178" t="s">
        <v>5389</v>
      </c>
      <c r="J1387" s="1178" t="s">
        <v>662</v>
      </c>
      <c r="K1387" s="1178" t="s">
        <v>267</v>
      </c>
      <c r="L1387" s="1178" t="s">
        <v>211</v>
      </c>
      <c r="M1387" s="1369" t="s">
        <v>23297</v>
      </c>
      <c r="N1387" s="1178"/>
      <c r="O1387" s="1178">
        <v>6</v>
      </c>
      <c r="P1387" s="1178">
        <v>13.5</v>
      </c>
    </row>
    <row r="1388" spans="1:16">
      <c r="A1388" s="1178" t="s">
        <v>20875</v>
      </c>
      <c r="B1388" s="1371" t="str">
        <f>HYPERLINK(IFERROR("#Main_Tariff!A"&amp;MATCH(Raeburn_Main_Tariff[[#This Row],[Product Code]],Main_Tariff!I:I,0),"#Main_Tariff!A"&amp;MATCH("*"&amp;RIGHT(A1388,8)&amp;"*",Main_Tariff!A:A,0)),Raeburn_Main_Tariff[[#This Row],[PRODUCER]])</f>
        <v>Francois Legros</v>
      </c>
      <c r="C1388" s="1178" t="s">
        <v>20877</v>
      </c>
      <c r="D1388" s="1178" t="s">
        <v>1129</v>
      </c>
      <c r="E1388" s="1179">
        <v>2020</v>
      </c>
      <c r="F1388" s="1282" t="s">
        <v>20220</v>
      </c>
      <c r="G1388" s="1368">
        <v>39.5</v>
      </c>
      <c r="H1388" s="1178" t="s">
        <v>20221</v>
      </c>
      <c r="I1388" s="1178" t="s">
        <v>5390</v>
      </c>
      <c r="J1388" s="1178" t="s">
        <v>662</v>
      </c>
      <c r="K1388" s="1178" t="s">
        <v>267</v>
      </c>
      <c r="L1388" s="1178" t="s">
        <v>211</v>
      </c>
      <c r="M1388" s="1369" t="s">
        <v>23297</v>
      </c>
      <c r="N1388" s="1178"/>
      <c r="O1388" s="1178">
        <v>6</v>
      </c>
      <c r="P1388" s="1178">
        <v>13.5</v>
      </c>
    </row>
    <row r="1389" spans="1:16">
      <c r="A1389" s="1178" t="s">
        <v>20875</v>
      </c>
      <c r="B1389" s="1371" t="str">
        <f>HYPERLINK(IFERROR("#Main_Tariff!A"&amp;MATCH(Raeburn_Main_Tariff[[#This Row],[Product Code]],Main_Tariff!I:I,0),"#Main_Tariff!A"&amp;MATCH("*"&amp;RIGHT(A1389,8)&amp;"*",Main_Tariff!A:A,0)),Raeburn_Main_Tariff[[#This Row],[PRODUCER]])</f>
        <v>Francois Legros</v>
      </c>
      <c r="C1389" s="1178" t="s">
        <v>20878</v>
      </c>
      <c r="D1389" s="1178" t="s">
        <v>1129</v>
      </c>
      <c r="E1389" s="1179">
        <v>2022</v>
      </c>
      <c r="F1389" s="1282" t="s">
        <v>20220</v>
      </c>
      <c r="G1389" s="1368">
        <v>39.5</v>
      </c>
      <c r="H1389" s="1178" t="s">
        <v>20221</v>
      </c>
      <c r="I1389" s="1178" t="s">
        <v>5392</v>
      </c>
      <c r="J1389" s="1178" t="s">
        <v>662</v>
      </c>
      <c r="K1389" s="1178" t="s">
        <v>267</v>
      </c>
      <c r="L1389" s="1178" t="s">
        <v>211</v>
      </c>
      <c r="M1389" s="1369" t="s">
        <v>23297</v>
      </c>
      <c r="N1389" s="1178"/>
      <c r="O1389" s="1178">
        <v>6</v>
      </c>
      <c r="P1389" s="1178">
        <v>13.5</v>
      </c>
    </row>
    <row r="1390" spans="1:16">
      <c r="A1390" s="1178" t="s">
        <v>20875</v>
      </c>
      <c r="B1390" s="1371" t="str">
        <f>HYPERLINK(IFERROR("#Main_Tariff!A"&amp;MATCH(Raeburn_Main_Tariff[[#This Row],[Product Code]],Main_Tariff!I:I,0),"#Main_Tariff!A"&amp;MATCH("*"&amp;RIGHT(A1390,8)&amp;"*",Main_Tariff!A:A,0)),Raeburn_Main_Tariff[[#This Row],[PRODUCER]])</f>
        <v>Francois Legros</v>
      </c>
      <c r="C1390" s="1178" t="s">
        <v>20878</v>
      </c>
      <c r="D1390" s="1178" t="s">
        <v>1129</v>
      </c>
      <c r="E1390" s="1179">
        <v>2021</v>
      </c>
      <c r="F1390" s="1282" t="s">
        <v>20220</v>
      </c>
      <c r="G1390" s="1368">
        <v>40</v>
      </c>
      <c r="H1390" s="1178" t="s">
        <v>20221</v>
      </c>
      <c r="I1390" s="1178" t="s">
        <v>5394</v>
      </c>
      <c r="J1390" s="1178" t="s">
        <v>662</v>
      </c>
      <c r="K1390" s="1178" t="s">
        <v>267</v>
      </c>
      <c r="L1390" s="1178" t="s">
        <v>211</v>
      </c>
      <c r="M1390" s="1369" t="s">
        <v>23297</v>
      </c>
      <c r="N1390" s="1178"/>
      <c r="O1390" s="1178">
        <v>6</v>
      </c>
      <c r="P1390" s="1178">
        <v>13.5</v>
      </c>
    </row>
    <row r="1391" spans="1:16">
      <c r="A1391" s="1178" t="s">
        <v>20875</v>
      </c>
      <c r="B1391" s="1371" t="str">
        <f>HYPERLINK(IFERROR("#Main_Tariff!A"&amp;MATCH(Raeburn_Main_Tariff[[#This Row],[Product Code]],Main_Tariff!I:I,0),"#Main_Tariff!A"&amp;MATCH("*"&amp;RIGHT(A1391,8)&amp;"*",Main_Tariff!A:A,0)),Raeburn_Main_Tariff[[#This Row],[PRODUCER]])</f>
        <v>Francois Legros</v>
      </c>
      <c r="C1391" s="1178" t="s">
        <v>20878</v>
      </c>
      <c r="D1391" s="1178" t="s">
        <v>1129</v>
      </c>
      <c r="E1391" s="1179">
        <v>2020</v>
      </c>
      <c r="F1391" s="1282" t="s">
        <v>20220</v>
      </c>
      <c r="G1391" s="1368">
        <v>39.5</v>
      </c>
      <c r="H1391" s="1178" t="s">
        <v>20221</v>
      </c>
      <c r="I1391" s="1178" t="s">
        <v>5396</v>
      </c>
      <c r="J1391" s="1178" t="s">
        <v>662</v>
      </c>
      <c r="K1391" s="1178" t="s">
        <v>267</v>
      </c>
      <c r="L1391" s="1178" t="s">
        <v>211</v>
      </c>
      <c r="M1391" s="1369" t="s">
        <v>23297</v>
      </c>
      <c r="N1391" s="1178"/>
      <c r="O1391" s="1178">
        <v>6</v>
      </c>
      <c r="P1391" s="1178">
        <v>13.5</v>
      </c>
    </row>
    <row r="1392" spans="1:16">
      <c r="A1392" s="1178" t="s">
        <v>20875</v>
      </c>
      <c r="B1392" s="1371" t="str">
        <f>HYPERLINK(IFERROR("#Main_Tariff!A"&amp;MATCH(Raeburn_Main_Tariff[[#This Row],[Product Code]],Main_Tariff!I:I,0),"#Main_Tariff!A"&amp;MATCH("*"&amp;RIGHT(A1392,8)&amp;"*",Main_Tariff!A:A,0)),Raeburn_Main_Tariff[[#This Row],[PRODUCER]])</f>
        <v>Francois Legros</v>
      </c>
      <c r="C1392" s="1178" t="s">
        <v>20879</v>
      </c>
      <c r="D1392" s="1178" t="s">
        <v>1129</v>
      </c>
      <c r="E1392" s="1179">
        <v>2022</v>
      </c>
      <c r="F1392" s="1282" t="s">
        <v>20220</v>
      </c>
      <c r="G1392" s="1368">
        <v>42</v>
      </c>
      <c r="H1392" s="1178" t="s">
        <v>20221</v>
      </c>
      <c r="I1392" s="1178" t="s">
        <v>5400</v>
      </c>
      <c r="J1392" s="1178" t="s">
        <v>662</v>
      </c>
      <c r="K1392" s="1178" t="s">
        <v>267</v>
      </c>
      <c r="L1392" s="1178" t="s">
        <v>211</v>
      </c>
      <c r="M1392" s="1369"/>
      <c r="N1392" s="1178"/>
      <c r="O1392" s="1178">
        <v>6</v>
      </c>
      <c r="P1392" s="1178">
        <v>13</v>
      </c>
    </row>
    <row r="1393" spans="1:16">
      <c r="A1393" s="1178" t="s">
        <v>20875</v>
      </c>
      <c r="B1393" s="1371" t="str">
        <f>HYPERLINK(IFERROR("#Main_Tariff!A"&amp;MATCH(Raeburn_Main_Tariff[[#This Row],[Product Code]],Main_Tariff!I:I,0),"#Main_Tariff!A"&amp;MATCH("*"&amp;RIGHT(A1393,8)&amp;"*",Main_Tariff!A:A,0)),Raeburn_Main_Tariff[[#This Row],[PRODUCER]])</f>
        <v>Francois Legros</v>
      </c>
      <c r="C1393" s="1178" t="s">
        <v>20879</v>
      </c>
      <c r="D1393" s="1178" t="s">
        <v>1129</v>
      </c>
      <c r="E1393" s="1179">
        <v>2021</v>
      </c>
      <c r="F1393" s="1282" t="s">
        <v>20220</v>
      </c>
      <c r="G1393" s="1368">
        <v>42.5</v>
      </c>
      <c r="H1393" s="1178" t="s">
        <v>20224</v>
      </c>
      <c r="I1393" s="1178" t="s">
        <v>5402</v>
      </c>
      <c r="J1393" s="1178" t="s">
        <v>662</v>
      </c>
      <c r="K1393" s="1178" t="s">
        <v>267</v>
      </c>
      <c r="L1393" s="1178" t="s">
        <v>211</v>
      </c>
      <c r="M1393" s="1369"/>
      <c r="N1393" s="1178"/>
      <c r="O1393" s="1178">
        <v>6</v>
      </c>
      <c r="P1393" s="1178">
        <v>13</v>
      </c>
    </row>
    <row r="1394" spans="1:16">
      <c r="A1394" s="1178" t="s">
        <v>20875</v>
      </c>
      <c r="B1394" s="1371" t="str">
        <f>HYPERLINK(IFERROR("#Main_Tariff!A"&amp;MATCH(Raeburn_Main_Tariff[[#This Row],[Product Code]],Main_Tariff!I:I,0),"#Main_Tariff!A"&amp;MATCH("*"&amp;RIGHT(A1394,8)&amp;"*",Main_Tariff!A:A,0)),Raeburn_Main_Tariff[[#This Row],[PRODUCER]])</f>
        <v>Francois Legros</v>
      </c>
      <c r="C1394" s="1178" t="s">
        <v>20756</v>
      </c>
      <c r="D1394" s="1178" t="s">
        <v>897</v>
      </c>
      <c r="E1394" s="1179">
        <v>2022</v>
      </c>
      <c r="F1394" s="1282" t="s">
        <v>20220</v>
      </c>
      <c r="G1394" s="1368">
        <v>39.5</v>
      </c>
      <c r="H1394" s="1178" t="s">
        <v>20221</v>
      </c>
      <c r="I1394" s="1178" t="s">
        <v>5407</v>
      </c>
      <c r="J1394" s="1178" t="s">
        <v>662</v>
      </c>
      <c r="K1394" s="1178" t="s">
        <v>267</v>
      </c>
      <c r="L1394" s="1178" t="s">
        <v>211</v>
      </c>
      <c r="M1394" s="1369"/>
      <c r="N1394" s="1178"/>
      <c r="O1394" s="1178">
        <v>6</v>
      </c>
      <c r="P1394" s="1178">
        <v>13</v>
      </c>
    </row>
    <row r="1395" spans="1:16">
      <c r="A1395" s="1178" t="s">
        <v>20875</v>
      </c>
      <c r="B1395" s="1371" t="str">
        <f>HYPERLINK(IFERROR("#Main_Tariff!A"&amp;MATCH(Raeburn_Main_Tariff[[#This Row],[Product Code]],Main_Tariff!I:I,0),"#Main_Tariff!A"&amp;MATCH("*"&amp;RIGHT(A1395,8)&amp;"*",Main_Tariff!A:A,0)),Raeburn_Main_Tariff[[#This Row],[PRODUCER]])</f>
        <v>Francois Legros</v>
      </c>
      <c r="C1395" s="1178" t="s">
        <v>20756</v>
      </c>
      <c r="D1395" s="1178" t="s">
        <v>897</v>
      </c>
      <c r="E1395" s="1179">
        <v>2021</v>
      </c>
      <c r="F1395" s="1282" t="s">
        <v>20220</v>
      </c>
      <c r="G1395" s="1368">
        <v>39.5</v>
      </c>
      <c r="H1395" s="1178" t="s">
        <v>20221</v>
      </c>
      <c r="I1395" s="1178" t="s">
        <v>5408</v>
      </c>
      <c r="J1395" s="1178" t="s">
        <v>662</v>
      </c>
      <c r="K1395" s="1178" t="s">
        <v>267</v>
      </c>
      <c r="L1395" s="1178" t="s">
        <v>211</v>
      </c>
      <c r="M1395" s="1369"/>
      <c r="N1395" s="1178"/>
      <c r="O1395" s="1178">
        <v>6</v>
      </c>
      <c r="P1395" s="1178">
        <v>13</v>
      </c>
    </row>
    <row r="1396" spans="1:16">
      <c r="A1396" s="1178" t="s">
        <v>20875</v>
      </c>
      <c r="B1396" s="1371" t="str">
        <f>HYPERLINK(IFERROR("#Main_Tariff!A"&amp;MATCH(Raeburn_Main_Tariff[[#This Row],[Product Code]],Main_Tariff!I:I,0),"#Main_Tariff!A"&amp;MATCH("*"&amp;RIGHT(A1396,8)&amp;"*",Main_Tariff!A:A,0)),Raeburn_Main_Tariff[[#This Row],[PRODUCER]])</f>
        <v>Francois Legros</v>
      </c>
      <c r="C1396" s="1178" t="s">
        <v>20756</v>
      </c>
      <c r="D1396" s="1178" t="s">
        <v>897</v>
      </c>
      <c r="E1396" s="1179">
        <v>2020</v>
      </c>
      <c r="F1396" s="1282" t="s">
        <v>20220</v>
      </c>
      <c r="G1396" s="1368">
        <v>38.5</v>
      </c>
      <c r="H1396" s="1178" t="s">
        <v>20221</v>
      </c>
      <c r="I1396" s="1178" t="s">
        <v>5410</v>
      </c>
      <c r="J1396" s="1178" t="s">
        <v>662</v>
      </c>
      <c r="K1396" s="1178" t="s">
        <v>267</v>
      </c>
      <c r="L1396" s="1178" t="s">
        <v>211</v>
      </c>
      <c r="M1396" s="1369"/>
      <c r="N1396" s="1178"/>
      <c r="O1396" s="1178">
        <v>6</v>
      </c>
      <c r="P1396" s="1178">
        <v>13.5</v>
      </c>
    </row>
    <row r="1397" spans="1:16">
      <c r="A1397" s="1178" t="s">
        <v>20875</v>
      </c>
      <c r="B1397" s="1371" t="str">
        <f>HYPERLINK(IFERROR("#Main_Tariff!A"&amp;MATCH(Raeburn_Main_Tariff[[#This Row],[Product Code]],Main_Tariff!I:I,0),"#Main_Tariff!A"&amp;MATCH("*"&amp;RIGHT(A1397,8)&amp;"*",Main_Tariff!A:A,0)),Raeburn_Main_Tariff[[#This Row],[PRODUCER]])</f>
        <v>Francois Legros</v>
      </c>
      <c r="C1397" s="1178" t="s">
        <v>20756</v>
      </c>
      <c r="D1397" s="1178" t="s">
        <v>897</v>
      </c>
      <c r="E1397" s="1179">
        <v>2019</v>
      </c>
      <c r="F1397" s="1282" t="s">
        <v>20220</v>
      </c>
      <c r="G1397" s="1368">
        <v>38.5</v>
      </c>
      <c r="H1397" s="1178" t="s">
        <v>20221</v>
      </c>
      <c r="I1397" s="1178" t="s">
        <v>5412</v>
      </c>
      <c r="J1397" s="1178" t="s">
        <v>662</v>
      </c>
      <c r="K1397" s="1178" t="s">
        <v>267</v>
      </c>
      <c r="L1397" s="1178" t="s">
        <v>211</v>
      </c>
      <c r="M1397" s="1369"/>
      <c r="N1397" s="1178"/>
      <c r="O1397" s="1178">
        <v>6</v>
      </c>
      <c r="P1397" s="1178">
        <v>13</v>
      </c>
    </row>
    <row r="1398" spans="1:16">
      <c r="A1398" s="1178" t="s">
        <v>20875</v>
      </c>
      <c r="B1398" s="1371" t="str">
        <f>HYPERLINK(IFERROR("#Main_Tariff!A"&amp;MATCH(Raeburn_Main_Tariff[[#This Row],[Product Code]],Main_Tariff!I:I,0),"#Main_Tariff!A"&amp;MATCH("*"&amp;RIGHT(A1398,8)&amp;"*",Main_Tariff!A:A,0)),Raeburn_Main_Tariff[[#This Row],[PRODUCER]])</f>
        <v>Francois Legros</v>
      </c>
      <c r="C1398" s="1178" t="s">
        <v>20756</v>
      </c>
      <c r="D1398" s="1178" t="s">
        <v>897</v>
      </c>
      <c r="E1398" s="1179">
        <v>2018</v>
      </c>
      <c r="F1398" s="1282" t="s">
        <v>20220</v>
      </c>
      <c r="G1398" s="1368">
        <v>37.5</v>
      </c>
      <c r="H1398" s="1178" t="s">
        <v>20221</v>
      </c>
      <c r="I1398" s="1178" t="s">
        <v>5414</v>
      </c>
      <c r="J1398" s="1178" t="s">
        <v>662</v>
      </c>
      <c r="K1398" s="1178" t="s">
        <v>267</v>
      </c>
      <c r="L1398" s="1178" t="s">
        <v>211</v>
      </c>
      <c r="M1398" s="1369"/>
      <c r="N1398" s="1178"/>
      <c r="O1398" s="1178">
        <v>6</v>
      </c>
      <c r="P1398" s="1178">
        <v>13</v>
      </c>
    </row>
    <row r="1399" spans="1:16">
      <c r="A1399" s="1178" t="s">
        <v>20875</v>
      </c>
      <c r="B1399" s="1371" t="str">
        <f>HYPERLINK(IFERROR("#Main_Tariff!A"&amp;MATCH(Raeburn_Main_Tariff[[#This Row],[Product Code]],Main_Tariff!I:I,0),"#Main_Tariff!A"&amp;MATCH("*"&amp;RIGHT(A1399,8)&amp;"*",Main_Tariff!A:A,0)),Raeburn_Main_Tariff[[#This Row],[PRODUCER]])</f>
        <v>Francois Legros</v>
      </c>
      <c r="C1399" s="1178" t="s">
        <v>20880</v>
      </c>
      <c r="D1399" s="1178" t="s">
        <v>897</v>
      </c>
      <c r="E1399" s="1179">
        <v>2022</v>
      </c>
      <c r="F1399" s="1282" t="s">
        <v>20220</v>
      </c>
      <c r="G1399" s="1368">
        <v>44</v>
      </c>
      <c r="H1399" s="1178" t="s">
        <v>20221</v>
      </c>
      <c r="I1399" s="1178" t="s">
        <v>5416</v>
      </c>
      <c r="J1399" s="1178" t="s">
        <v>662</v>
      </c>
      <c r="K1399" s="1178" t="s">
        <v>267</v>
      </c>
      <c r="L1399" s="1178" t="s">
        <v>211</v>
      </c>
      <c r="M1399" s="1369"/>
      <c r="N1399" s="1178"/>
      <c r="O1399" s="1178">
        <v>6</v>
      </c>
      <c r="P1399" s="1178">
        <v>13</v>
      </c>
    </row>
    <row r="1400" spans="1:16">
      <c r="A1400" s="1178" t="s">
        <v>20875</v>
      </c>
      <c r="B1400" s="1371" t="str">
        <f>HYPERLINK(IFERROR("#Main_Tariff!A"&amp;MATCH(Raeburn_Main_Tariff[[#This Row],[Product Code]],Main_Tariff!I:I,0),"#Main_Tariff!A"&amp;MATCH("*"&amp;RIGHT(A1400,8)&amp;"*",Main_Tariff!A:A,0)),Raeburn_Main_Tariff[[#This Row],[PRODUCER]])</f>
        <v>Francois Legros</v>
      </c>
      <c r="C1400" s="1178" t="s">
        <v>20880</v>
      </c>
      <c r="D1400" s="1178" t="s">
        <v>897</v>
      </c>
      <c r="E1400" s="1179">
        <v>2021</v>
      </c>
      <c r="F1400" s="1282" t="s">
        <v>20220</v>
      </c>
      <c r="G1400" s="1368">
        <v>44</v>
      </c>
      <c r="H1400" s="1178" t="s">
        <v>20221</v>
      </c>
      <c r="I1400" s="1178" t="s">
        <v>5418</v>
      </c>
      <c r="J1400" s="1178" t="s">
        <v>662</v>
      </c>
      <c r="K1400" s="1178" t="s">
        <v>267</v>
      </c>
      <c r="L1400" s="1178" t="s">
        <v>211</v>
      </c>
      <c r="M1400" s="1369"/>
      <c r="N1400" s="1178"/>
      <c r="O1400" s="1178">
        <v>6</v>
      </c>
      <c r="P1400" s="1178">
        <v>13</v>
      </c>
    </row>
    <row r="1401" spans="1:16">
      <c r="A1401" s="1178" t="s">
        <v>20875</v>
      </c>
      <c r="B1401" s="1371" t="str">
        <f>HYPERLINK(IFERROR("#Main_Tariff!A"&amp;MATCH(Raeburn_Main_Tariff[[#This Row],[Product Code]],Main_Tariff!I:I,0),"#Main_Tariff!A"&amp;MATCH("*"&amp;RIGHT(A1401,8)&amp;"*",Main_Tariff!A:A,0)),Raeburn_Main_Tariff[[#This Row],[PRODUCER]])</f>
        <v>Francois Legros</v>
      </c>
      <c r="C1401" s="1178" t="s">
        <v>20880</v>
      </c>
      <c r="D1401" s="1178" t="s">
        <v>897</v>
      </c>
      <c r="E1401" s="1179">
        <v>2020</v>
      </c>
      <c r="F1401" s="1282" t="s">
        <v>20220</v>
      </c>
      <c r="G1401" s="1368">
        <v>42</v>
      </c>
      <c r="H1401" s="1178" t="s">
        <v>20221</v>
      </c>
      <c r="I1401" s="1178" t="s">
        <v>5420</v>
      </c>
      <c r="J1401" s="1178" t="s">
        <v>662</v>
      </c>
      <c r="K1401" s="1178" t="s">
        <v>267</v>
      </c>
      <c r="L1401" s="1178" t="s">
        <v>211</v>
      </c>
      <c r="M1401" s="1369"/>
      <c r="N1401" s="1178"/>
      <c r="O1401" s="1178">
        <v>6</v>
      </c>
      <c r="P1401" s="1178">
        <v>13</v>
      </c>
    </row>
    <row r="1402" spans="1:16">
      <c r="A1402" s="1178" t="s">
        <v>20875</v>
      </c>
      <c r="B1402" s="1371" t="str">
        <f>HYPERLINK(IFERROR("#Main_Tariff!A"&amp;MATCH(Raeburn_Main_Tariff[[#This Row],[Product Code]],Main_Tariff!I:I,0),"#Main_Tariff!A"&amp;MATCH("*"&amp;RIGHT(A1402,8)&amp;"*",Main_Tariff!A:A,0)),Raeburn_Main_Tariff[[#This Row],[PRODUCER]])</f>
        <v>Francois Legros</v>
      </c>
      <c r="C1402" s="1178" t="s">
        <v>20880</v>
      </c>
      <c r="D1402" s="1178" t="s">
        <v>897</v>
      </c>
      <c r="E1402" s="1179">
        <v>2019</v>
      </c>
      <c r="F1402" s="1282" t="s">
        <v>20220</v>
      </c>
      <c r="G1402" s="1368">
        <v>42</v>
      </c>
      <c r="H1402" s="1178" t="s">
        <v>20221</v>
      </c>
      <c r="I1402" s="1178" t="s">
        <v>5422</v>
      </c>
      <c r="J1402" s="1178" t="s">
        <v>662</v>
      </c>
      <c r="K1402" s="1178" t="s">
        <v>267</v>
      </c>
      <c r="L1402" s="1178" t="s">
        <v>211</v>
      </c>
      <c r="M1402" s="1369"/>
      <c r="N1402" s="1178"/>
      <c r="O1402" s="1178">
        <v>6</v>
      </c>
      <c r="P1402" s="1178">
        <v>13</v>
      </c>
    </row>
    <row r="1403" spans="1:16">
      <c r="A1403" s="1178" t="s">
        <v>20875</v>
      </c>
      <c r="B1403" s="1371" t="str">
        <f>HYPERLINK(IFERROR("#Main_Tariff!A"&amp;MATCH(Raeburn_Main_Tariff[[#This Row],[Product Code]],Main_Tariff!I:I,0),"#Main_Tariff!A"&amp;MATCH("*"&amp;RIGHT(A1403,8)&amp;"*",Main_Tariff!A:A,0)),Raeburn_Main_Tariff[[#This Row],[PRODUCER]])</f>
        <v>Francois Legros</v>
      </c>
      <c r="C1403" s="1178" t="s">
        <v>20880</v>
      </c>
      <c r="D1403" s="1178" t="s">
        <v>897</v>
      </c>
      <c r="E1403" s="1179">
        <v>2018</v>
      </c>
      <c r="F1403" s="1282" t="s">
        <v>20220</v>
      </c>
      <c r="G1403" s="1368">
        <v>41</v>
      </c>
      <c r="H1403" s="1178" t="s">
        <v>20221</v>
      </c>
      <c r="I1403" s="1178" t="s">
        <v>5424</v>
      </c>
      <c r="J1403" s="1178" t="s">
        <v>662</v>
      </c>
      <c r="K1403" s="1178" t="s">
        <v>267</v>
      </c>
      <c r="L1403" s="1178" t="s">
        <v>211</v>
      </c>
      <c r="M1403" s="1369"/>
      <c r="N1403" s="1178"/>
      <c r="O1403" s="1178">
        <v>6</v>
      </c>
      <c r="P1403" s="1178">
        <v>13</v>
      </c>
    </row>
    <row r="1404" spans="1:16">
      <c r="A1404" s="1178" t="s">
        <v>20875</v>
      </c>
      <c r="B1404" s="1371" t="str">
        <f>HYPERLINK(IFERROR("#Main_Tariff!A"&amp;MATCH(Raeburn_Main_Tariff[[#This Row],[Product Code]],Main_Tariff!I:I,0),"#Main_Tariff!A"&amp;MATCH("*"&amp;RIGHT(A1404,8)&amp;"*",Main_Tariff!A:A,0)),Raeburn_Main_Tariff[[#This Row],[PRODUCER]])</f>
        <v>Francois Legros</v>
      </c>
      <c r="C1404" s="1178" t="s">
        <v>20881</v>
      </c>
      <c r="D1404" s="1178" t="s">
        <v>897</v>
      </c>
      <c r="E1404" s="1179">
        <v>2022</v>
      </c>
      <c r="F1404" s="1282" t="s">
        <v>20220</v>
      </c>
      <c r="G1404" s="1368">
        <v>47</v>
      </c>
      <c r="H1404" s="1178" t="s">
        <v>20221</v>
      </c>
      <c r="I1404" s="1178" t="s">
        <v>5428</v>
      </c>
      <c r="J1404" s="1178" t="s">
        <v>662</v>
      </c>
      <c r="K1404" s="1178" t="s">
        <v>267</v>
      </c>
      <c r="L1404" s="1178" t="s">
        <v>211</v>
      </c>
      <c r="M1404" s="1369" t="s">
        <v>23297</v>
      </c>
      <c r="N1404" s="1178"/>
      <c r="O1404" s="1178">
        <v>6</v>
      </c>
      <c r="P1404" s="1178">
        <v>13.5</v>
      </c>
    </row>
    <row r="1405" spans="1:16">
      <c r="A1405" s="1178" t="s">
        <v>20875</v>
      </c>
      <c r="B1405" s="1371" t="str">
        <f>HYPERLINK(IFERROR("#Main_Tariff!A"&amp;MATCH(Raeburn_Main_Tariff[[#This Row],[Product Code]],Main_Tariff!I:I,0),"#Main_Tariff!A"&amp;MATCH("*"&amp;RIGHT(A1405,8)&amp;"*",Main_Tariff!A:A,0)),Raeburn_Main_Tariff[[#This Row],[PRODUCER]])</f>
        <v>Francois Legros</v>
      </c>
      <c r="C1405" s="1178" t="s">
        <v>20760</v>
      </c>
      <c r="D1405" s="1178" t="s">
        <v>897</v>
      </c>
      <c r="E1405" s="1179">
        <v>2022</v>
      </c>
      <c r="F1405" s="1282" t="s">
        <v>20220</v>
      </c>
      <c r="G1405" s="1368">
        <v>50</v>
      </c>
      <c r="H1405" s="1178" t="s">
        <v>20221</v>
      </c>
      <c r="I1405" s="1178" t="s">
        <v>5430</v>
      </c>
      <c r="J1405" s="1178" t="s">
        <v>662</v>
      </c>
      <c r="K1405" s="1178" t="s">
        <v>267</v>
      </c>
      <c r="L1405" s="1178" t="s">
        <v>211</v>
      </c>
      <c r="M1405" s="1369" t="s">
        <v>23297</v>
      </c>
      <c r="N1405" s="1178"/>
      <c r="O1405" s="1178">
        <v>6</v>
      </c>
      <c r="P1405" s="1178">
        <v>13.5</v>
      </c>
    </row>
    <row r="1406" spans="1:16">
      <c r="A1406" s="1178" t="s">
        <v>20875</v>
      </c>
      <c r="B1406" s="1371" t="str">
        <f>HYPERLINK(IFERROR("#Main_Tariff!A"&amp;MATCH(Raeburn_Main_Tariff[[#This Row],[Product Code]],Main_Tariff!I:I,0),"#Main_Tariff!A"&amp;MATCH("*"&amp;RIGHT(A1406,8)&amp;"*",Main_Tariff!A:A,0)),Raeburn_Main_Tariff[[#This Row],[PRODUCER]])</f>
        <v>Francois Legros</v>
      </c>
      <c r="C1406" s="1178" t="s">
        <v>20760</v>
      </c>
      <c r="D1406" s="1178" t="s">
        <v>897</v>
      </c>
      <c r="E1406" s="1179">
        <v>2021</v>
      </c>
      <c r="F1406" s="1282" t="s">
        <v>20220</v>
      </c>
      <c r="G1406" s="1368">
        <v>50</v>
      </c>
      <c r="H1406" s="1178" t="s">
        <v>20221</v>
      </c>
      <c r="I1406" s="1178" t="s">
        <v>5432</v>
      </c>
      <c r="J1406" s="1178" t="s">
        <v>662</v>
      </c>
      <c r="K1406" s="1178" t="s">
        <v>267</v>
      </c>
      <c r="L1406" s="1178" t="s">
        <v>211</v>
      </c>
      <c r="M1406" s="1369" t="s">
        <v>23297</v>
      </c>
      <c r="N1406" s="1178"/>
      <c r="O1406" s="1178">
        <v>6</v>
      </c>
      <c r="P1406" s="1178">
        <v>13.5</v>
      </c>
    </row>
    <row r="1407" spans="1:16">
      <c r="A1407" s="1178" t="s">
        <v>20875</v>
      </c>
      <c r="B1407" s="1371" t="str">
        <f>HYPERLINK(IFERROR("#Main_Tariff!A"&amp;MATCH(Raeburn_Main_Tariff[[#This Row],[Product Code]],Main_Tariff!I:I,0),"#Main_Tariff!A"&amp;MATCH("*"&amp;RIGHT(A1407,8)&amp;"*",Main_Tariff!A:A,0)),Raeburn_Main_Tariff[[#This Row],[PRODUCER]])</f>
        <v>Francois Legros</v>
      </c>
      <c r="C1407" s="1178" t="s">
        <v>20760</v>
      </c>
      <c r="D1407" s="1178" t="s">
        <v>897</v>
      </c>
      <c r="E1407" s="1179">
        <v>2020</v>
      </c>
      <c r="F1407" s="1282" t="s">
        <v>20220</v>
      </c>
      <c r="G1407" s="1368">
        <v>49</v>
      </c>
      <c r="H1407" s="1178" t="s">
        <v>20221</v>
      </c>
      <c r="I1407" s="1178" t="s">
        <v>5434</v>
      </c>
      <c r="J1407" s="1178" t="s">
        <v>662</v>
      </c>
      <c r="K1407" s="1178" t="s">
        <v>267</v>
      </c>
      <c r="L1407" s="1178" t="s">
        <v>211</v>
      </c>
      <c r="M1407" s="1369" t="s">
        <v>23297</v>
      </c>
      <c r="N1407" s="1178"/>
      <c r="O1407" s="1178">
        <v>6</v>
      </c>
      <c r="P1407" s="1178">
        <v>13.5</v>
      </c>
    </row>
    <row r="1408" spans="1:16">
      <c r="A1408" s="1178" t="s">
        <v>20875</v>
      </c>
      <c r="B1408" s="1371" t="str">
        <f>HYPERLINK(IFERROR("#Main_Tariff!A"&amp;MATCH(Raeburn_Main_Tariff[[#This Row],[Product Code]],Main_Tariff!I:I,0),"#Main_Tariff!A"&amp;MATCH("*"&amp;RIGHT(A1408,8)&amp;"*",Main_Tariff!A:A,0)),Raeburn_Main_Tariff[[#This Row],[PRODUCER]])</f>
        <v>Francois Legros</v>
      </c>
      <c r="C1408" s="1178" t="s">
        <v>20760</v>
      </c>
      <c r="D1408" s="1178" t="s">
        <v>897</v>
      </c>
      <c r="E1408" s="1179">
        <v>2019</v>
      </c>
      <c r="F1408" s="1282" t="s">
        <v>20220</v>
      </c>
      <c r="G1408" s="1368">
        <v>49</v>
      </c>
      <c r="H1408" s="1178" t="s">
        <v>20221</v>
      </c>
      <c r="I1408" s="1178" t="s">
        <v>5436</v>
      </c>
      <c r="J1408" s="1178" t="s">
        <v>662</v>
      </c>
      <c r="K1408" s="1178" t="s">
        <v>267</v>
      </c>
      <c r="L1408" s="1178" t="s">
        <v>211</v>
      </c>
      <c r="M1408" s="1369" t="s">
        <v>23297</v>
      </c>
      <c r="N1408" s="1178"/>
      <c r="O1408" s="1178">
        <v>6</v>
      </c>
      <c r="P1408" s="1178">
        <v>13.5</v>
      </c>
    </row>
    <row r="1409" spans="1:16">
      <c r="A1409" s="1178" t="s">
        <v>20875</v>
      </c>
      <c r="B1409" s="1371" t="str">
        <f>HYPERLINK(IFERROR("#Main_Tariff!A"&amp;MATCH(Raeburn_Main_Tariff[[#This Row],[Product Code]],Main_Tariff!I:I,0),"#Main_Tariff!A"&amp;MATCH("*"&amp;RIGHT(A1409,8)&amp;"*",Main_Tariff!A:A,0)),Raeburn_Main_Tariff[[#This Row],[PRODUCER]])</f>
        <v>Francois Legros</v>
      </c>
      <c r="C1409" s="1178" t="s">
        <v>20760</v>
      </c>
      <c r="D1409" s="1178" t="s">
        <v>897</v>
      </c>
      <c r="E1409" s="1179">
        <v>2018</v>
      </c>
      <c r="F1409" s="1282" t="s">
        <v>20220</v>
      </c>
      <c r="G1409" s="1368">
        <v>47.5</v>
      </c>
      <c r="H1409" s="1178" t="s">
        <v>20221</v>
      </c>
      <c r="I1409" s="1178" t="s">
        <v>5438</v>
      </c>
      <c r="J1409" s="1178" t="s">
        <v>662</v>
      </c>
      <c r="K1409" s="1178" t="s">
        <v>267</v>
      </c>
      <c r="L1409" s="1178" t="s">
        <v>211</v>
      </c>
      <c r="M1409" s="1369" t="s">
        <v>23297</v>
      </c>
      <c r="N1409" s="1178"/>
      <c r="O1409" s="1178">
        <v>6</v>
      </c>
      <c r="P1409" s="1178">
        <v>13.5</v>
      </c>
    </row>
    <row r="1410" spans="1:16">
      <c r="A1410" s="1178" t="s">
        <v>20875</v>
      </c>
      <c r="B1410" s="1371" t="str">
        <f>HYPERLINK(IFERROR("#Main_Tariff!A"&amp;MATCH(Raeburn_Main_Tariff[[#This Row],[Product Code]],Main_Tariff!I:I,0),"#Main_Tariff!A"&amp;MATCH("*"&amp;RIGHT(A1410,8)&amp;"*",Main_Tariff!A:A,0)),Raeburn_Main_Tariff[[#This Row],[PRODUCER]])</f>
        <v>Francois Legros</v>
      </c>
      <c r="C1410" s="1178" t="s">
        <v>20882</v>
      </c>
      <c r="D1410" s="1178" t="s">
        <v>897</v>
      </c>
      <c r="E1410" s="1179">
        <v>2022</v>
      </c>
      <c r="F1410" s="1282" t="s">
        <v>20220</v>
      </c>
      <c r="G1410" s="1368">
        <v>52</v>
      </c>
      <c r="H1410" s="1178" t="s">
        <v>20221</v>
      </c>
      <c r="I1410" s="1178" t="s">
        <v>5440</v>
      </c>
      <c r="J1410" s="1178" t="s">
        <v>662</v>
      </c>
      <c r="K1410" s="1178" t="s">
        <v>267</v>
      </c>
      <c r="L1410" s="1178" t="s">
        <v>211</v>
      </c>
      <c r="M1410" s="1369" t="s">
        <v>23297</v>
      </c>
      <c r="N1410" s="1178"/>
      <c r="O1410" s="1178">
        <v>6</v>
      </c>
      <c r="P1410" s="1178">
        <v>13.5</v>
      </c>
    </row>
    <row r="1411" spans="1:16">
      <c r="A1411" s="1178" t="s">
        <v>20875</v>
      </c>
      <c r="B1411" s="1371" t="str">
        <f>HYPERLINK(IFERROR("#Main_Tariff!A"&amp;MATCH(Raeburn_Main_Tariff[[#This Row],[Product Code]],Main_Tariff!I:I,0),"#Main_Tariff!A"&amp;MATCH("*"&amp;RIGHT(A1411,8)&amp;"*",Main_Tariff!A:A,0)),Raeburn_Main_Tariff[[#This Row],[PRODUCER]])</f>
        <v>Francois Legros</v>
      </c>
      <c r="C1411" s="1178" t="s">
        <v>20883</v>
      </c>
      <c r="D1411" s="1178" t="s">
        <v>897</v>
      </c>
      <c r="E1411" s="1179">
        <v>2022</v>
      </c>
      <c r="F1411" s="1282" t="s">
        <v>20220</v>
      </c>
      <c r="G1411" s="1368">
        <v>54</v>
      </c>
      <c r="H1411" s="1178" t="s">
        <v>20221</v>
      </c>
      <c r="I1411" s="1178" t="s">
        <v>5442</v>
      </c>
      <c r="J1411" s="1178" t="s">
        <v>662</v>
      </c>
      <c r="K1411" s="1178" t="s">
        <v>267</v>
      </c>
      <c r="L1411" s="1178" t="s">
        <v>211</v>
      </c>
      <c r="M1411" s="1369" t="s">
        <v>23297</v>
      </c>
      <c r="N1411" s="1178"/>
      <c r="O1411" s="1178">
        <v>6</v>
      </c>
      <c r="P1411" s="1178">
        <v>13.5</v>
      </c>
    </row>
    <row r="1412" spans="1:16">
      <c r="A1412" s="1178" t="s">
        <v>20875</v>
      </c>
      <c r="B1412" s="1371" t="str">
        <f>HYPERLINK(IFERROR("#Main_Tariff!A"&amp;MATCH(Raeburn_Main_Tariff[[#This Row],[Product Code]],Main_Tariff!I:I,0),"#Main_Tariff!A"&amp;MATCH("*"&amp;RIGHT(A1412,8)&amp;"*",Main_Tariff!A:A,0)),Raeburn_Main_Tariff[[#This Row],[PRODUCER]])</f>
        <v>Francois Legros</v>
      </c>
      <c r="C1412" s="1178" t="s">
        <v>20883</v>
      </c>
      <c r="D1412" s="1178" t="s">
        <v>897</v>
      </c>
      <c r="E1412" s="1179">
        <v>2021</v>
      </c>
      <c r="F1412" s="1282" t="s">
        <v>20220</v>
      </c>
      <c r="G1412" s="1368">
        <v>54</v>
      </c>
      <c r="H1412" s="1178" t="s">
        <v>20221</v>
      </c>
      <c r="I1412" s="1178" t="s">
        <v>5444</v>
      </c>
      <c r="J1412" s="1178" t="s">
        <v>662</v>
      </c>
      <c r="K1412" s="1178" t="s">
        <v>267</v>
      </c>
      <c r="L1412" s="1178" t="s">
        <v>211</v>
      </c>
      <c r="M1412" s="1369" t="s">
        <v>23297</v>
      </c>
      <c r="N1412" s="1178"/>
      <c r="O1412" s="1178">
        <v>6</v>
      </c>
      <c r="P1412" s="1178">
        <v>13.5</v>
      </c>
    </row>
    <row r="1413" spans="1:16">
      <c r="A1413" s="1178" t="s">
        <v>20875</v>
      </c>
      <c r="B1413" s="1371" t="str">
        <f>HYPERLINK(IFERROR("#Main_Tariff!A"&amp;MATCH(Raeburn_Main_Tariff[[#This Row],[Product Code]],Main_Tariff!I:I,0),"#Main_Tariff!A"&amp;MATCH("*"&amp;RIGHT(A1413,8)&amp;"*",Main_Tariff!A:A,0)),Raeburn_Main_Tariff[[#This Row],[PRODUCER]])</f>
        <v>Francois Legros</v>
      </c>
      <c r="C1413" s="1178" t="s">
        <v>20883</v>
      </c>
      <c r="D1413" s="1178" t="s">
        <v>897</v>
      </c>
      <c r="E1413" s="1179">
        <v>2020</v>
      </c>
      <c r="F1413" s="1282" t="s">
        <v>20220</v>
      </c>
      <c r="G1413" s="1368">
        <v>52.5</v>
      </c>
      <c r="H1413" s="1178" t="s">
        <v>20221</v>
      </c>
      <c r="I1413" s="1178" t="s">
        <v>5446</v>
      </c>
      <c r="J1413" s="1178" t="s">
        <v>662</v>
      </c>
      <c r="K1413" s="1178" t="s">
        <v>267</v>
      </c>
      <c r="L1413" s="1178" t="s">
        <v>211</v>
      </c>
      <c r="M1413" s="1369" t="s">
        <v>23297</v>
      </c>
      <c r="N1413" s="1178"/>
      <c r="O1413" s="1178">
        <v>6</v>
      </c>
      <c r="P1413" s="1178">
        <v>13.5</v>
      </c>
    </row>
    <row r="1414" spans="1:16">
      <c r="A1414" s="1178" t="s">
        <v>20875</v>
      </c>
      <c r="B1414" s="1371" t="str">
        <f>HYPERLINK(IFERROR("#Main_Tariff!A"&amp;MATCH(Raeburn_Main_Tariff[[#This Row],[Product Code]],Main_Tariff!I:I,0),"#Main_Tariff!A"&amp;MATCH("*"&amp;RIGHT(A1414,8)&amp;"*",Main_Tariff!A:A,0)),Raeburn_Main_Tariff[[#This Row],[PRODUCER]])</f>
        <v>Francois Legros</v>
      </c>
      <c r="C1414" s="1178" t="s">
        <v>20883</v>
      </c>
      <c r="D1414" s="1178" t="s">
        <v>897</v>
      </c>
      <c r="E1414" s="1179">
        <v>2019</v>
      </c>
      <c r="F1414" s="1282" t="s">
        <v>20220</v>
      </c>
      <c r="G1414" s="1368">
        <v>52.5</v>
      </c>
      <c r="H1414" s="1178" t="s">
        <v>20221</v>
      </c>
      <c r="I1414" s="1178" t="s">
        <v>5448</v>
      </c>
      <c r="J1414" s="1178" t="s">
        <v>662</v>
      </c>
      <c r="K1414" s="1178" t="s">
        <v>267</v>
      </c>
      <c r="L1414" s="1178" t="s">
        <v>211</v>
      </c>
      <c r="M1414" s="1369" t="s">
        <v>23297</v>
      </c>
      <c r="N1414" s="1178"/>
      <c r="O1414" s="1178">
        <v>6</v>
      </c>
      <c r="P1414" s="1178">
        <v>13.5</v>
      </c>
    </row>
    <row r="1415" spans="1:16">
      <c r="A1415" s="1178" t="s">
        <v>20875</v>
      </c>
      <c r="B1415" s="1371" t="str">
        <f>HYPERLINK(IFERROR("#Main_Tariff!A"&amp;MATCH(Raeburn_Main_Tariff[[#This Row],[Product Code]],Main_Tariff!I:I,0),"#Main_Tariff!A"&amp;MATCH("*"&amp;RIGHT(A1415,8)&amp;"*",Main_Tariff!A:A,0)),Raeburn_Main_Tariff[[#This Row],[PRODUCER]])</f>
        <v>Francois Legros</v>
      </c>
      <c r="C1415" s="1178" t="s">
        <v>20883</v>
      </c>
      <c r="D1415" s="1178" t="s">
        <v>897</v>
      </c>
      <c r="E1415" s="1179">
        <v>2018</v>
      </c>
      <c r="F1415" s="1282" t="s">
        <v>20220</v>
      </c>
      <c r="G1415" s="1368">
        <v>50</v>
      </c>
      <c r="H1415" s="1178" t="s">
        <v>20221</v>
      </c>
      <c r="I1415" s="1178" t="s">
        <v>5450</v>
      </c>
      <c r="J1415" s="1178" t="s">
        <v>662</v>
      </c>
      <c r="K1415" s="1178" t="s">
        <v>267</v>
      </c>
      <c r="L1415" s="1178" t="s">
        <v>211</v>
      </c>
      <c r="M1415" s="1369" t="s">
        <v>23297</v>
      </c>
      <c r="N1415" s="1178"/>
      <c r="O1415" s="1178">
        <v>6</v>
      </c>
      <c r="P1415" s="1178">
        <v>13.5</v>
      </c>
    </row>
    <row r="1416" spans="1:16">
      <c r="A1416" s="1178" t="s">
        <v>20875</v>
      </c>
      <c r="B1416" s="1371" t="str">
        <f>HYPERLINK(IFERROR("#Main_Tariff!A"&amp;MATCH(Raeburn_Main_Tariff[[#This Row],[Product Code]],Main_Tariff!I:I,0),"#Main_Tariff!A"&amp;MATCH("*"&amp;RIGHT(A1416,8)&amp;"*",Main_Tariff!A:A,0)),Raeburn_Main_Tariff[[#This Row],[PRODUCER]])</f>
        <v>Francois Legros</v>
      </c>
      <c r="C1416" s="1178" t="s">
        <v>20884</v>
      </c>
      <c r="D1416" s="1178" t="s">
        <v>897</v>
      </c>
      <c r="E1416" s="1179">
        <v>2022</v>
      </c>
      <c r="F1416" s="1282" t="s">
        <v>20220</v>
      </c>
      <c r="G1416" s="1368">
        <v>48.5</v>
      </c>
      <c r="H1416" s="1178" t="s">
        <v>20221</v>
      </c>
      <c r="I1416" s="1178" t="s">
        <v>5454</v>
      </c>
      <c r="J1416" s="1178" t="s">
        <v>662</v>
      </c>
      <c r="K1416" s="1178" t="s">
        <v>267</v>
      </c>
      <c r="L1416" s="1178" t="s">
        <v>211</v>
      </c>
      <c r="M1416" s="1369" t="s">
        <v>23297</v>
      </c>
      <c r="N1416" s="1178"/>
      <c r="O1416" s="1178">
        <v>6</v>
      </c>
      <c r="P1416" s="1178">
        <v>13.5</v>
      </c>
    </row>
    <row r="1417" spans="1:16">
      <c r="A1417" s="1178" t="s">
        <v>20875</v>
      </c>
      <c r="B1417" s="1371" t="str">
        <f>HYPERLINK(IFERROR("#Main_Tariff!A"&amp;MATCH(Raeburn_Main_Tariff[[#This Row],[Product Code]],Main_Tariff!I:I,0),"#Main_Tariff!A"&amp;MATCH("*"&amp;RIGHT(A1417,8)&amp;"*",Main_Tariff!A:A,0)),Raeburn_Main_Tariff[[#This Row],[PRODUCER]])</f>
        <v>Francois Legros</v>
      </c>
      <c r="C1417" s="1178" t="s">
        <v>20884</v>
      </c>
      <c r="D1417" s="1178" t="s">
        <v>897</v>
      </c>
      <c r="E1417" s="1179">
        <v>2021</v>
      </c>
      <c r="F1417" s="1282" t="s">
        <v>20220</v>
      </c>
      <c r="G1417" s="1368">
        <v>48.5</v>
      </c>
      <c r="H1417" s="1178" t="s">
        <v>20221</v>
      </c>
      <c r="I1417" s="1178" t="s">
        <v>5456</v>
      </c>
      <c r="J1417" s="1178" t="s">
        <v>662</v>
      </c>
      <c r="K1417" s="1178" t="s">
        <v>267</v>
      </c>
      <c r="L1417" s="1178" t="s">
        <v>211</v>
      </c>
      <c r="M1417" s="1369" t="s">
        <v>23297</v>
      </c>
      <c r="N1417" s="1178"/>
      <c r="O1417" s="1178">
        <v>6</v>
      </c>
      <c r="P1417" s="1178">
        <v>13.5</v>
      </c>
    </row>
    <row r="1418" spans="1:16">
      <c r="A1418" s="1178" t="s">
        <v>20875</v>
      </c>
      <c r="B1418" s="1371" t="str">
        <f>HYPERLINK(IFERROR("#Main_Tariff!A"&amp;MATCH(Raeburn_Main_Tariff[[#This Row],[Product Code]],Main_Tariff!I:I,0),"#Main_Tariff!A"&amp;MATCH("*"&amp;RIGHT(A1418,8)&amp;"*",Main_Tariff!A:A,0)),Raeburn_Main_Tariff[[#This Row],[PRODUCER]])</f>
        <v>Francois Legros</v>
      </c>
      <c r="C1418" s="1178" t="s">
        <v>20884</v>
      </c>
      <c r="D1418" s="1178" t="s">
        <v>897</v>
      </c>
      <c r="E1418" s="1179">
        <v>2020</v>
      </c>
      <c r="F1418" s="1282" t="s">
        <v>20220</v>
      </c>
      <c r="G1418" s="1368">
        <v>47.5</v>
      </c>
      <c r="H1418" s="1178" t="s">
        <v>20221</v>
      </c>
      <c r="I1418" s="1178" t="s">
        <v>5458</v>
      </c>
      <c r="J1418" s="1178" t="s">
        <v>662</v>
      </c>
      <c r="K1418" s="1178" t="s">
        <v>267</v>
      </c>
      <c r="L1418" s="1178" t="s">
        <v>211</v>
      </c>
      <c r="M1418" s="1369" t="s">
        <v>23297</v>
      </c>
      <c r="N1418" s="1178"/>
      <c r="O1418" s="1178">
        <v>6</v>
      </c>
      <c r="P1418" s="1178">
        <v>13.5</v>
      </c>
    </row>
    <row r="1419" spans="1:16">
      <c r="A1419" s="1178" t="s">
        <v>20875</v>
      </c>
      <c r="B1419" s="1371" t="str">
        <f>HYPERLINK(IFERROR("#Main_Tariff!A"&amp;MATCH(Raeburn_Main_Tariff[[#This Row],[Product Code]],Main_Tariff!I:I,0),"#Main_Tariff!A"&amp;MATCH("*"&amp;RIGHT(A1419,8)&amp;"*",Main_Tariff!A:A,0)),Raeburn_Main_Tariff[[#This Row],[PRODUCER]])</f>
        <v>Francois Legros</v>
      </c>
      <c r="C1419" s="1178" t="s">
        <v>20884</v>
      </c>
      <c r="D1419" s="1178" t="s">
        <v>897</v>
      </c>
      <c r="E1419" s="1179">
        <v>2019</v>
      </c>
      <c r="F1419" s="1282" t="s">
        <v>20220</v>
      </c>
      <c r="G1419" s="1368">
        <v>47.5</v>
      </c>
      <c r="H1419" s="1178" t="s">
        <v>20221</v>
      </c>
      <c r="I1419" s="1178" t="s">
        <v>5460</v>
      </c>
      <c r="J1419" s="1178" t="s">
        <v>662</v>
      </c>
      <c r="K1419" s="1178" t="s">
        <v>267</v>
      </c>
      <c r="L1419" s="1178" t="s">
        <v>211</v>
      </c>
      <c r="M1419" s="1369" t="s">
        <v>23297</v>
      </c>
      <c r="N1419" s="1178"/>
      <c r="O1419" s="1178">
        <v>6</v>
      </c>
      <c r="P1419" s="1178">
        <v>13.5</v>
      </c>
    </row>
    <row r="1420" spans="1:16">
      <c r="A1420" s="1178" t="s">
        <v>20875</v>
      </c>
      <c r="B1420" s="1371" t="str">
        <f>HYPERLINK(IFERROR("#Main_Tariff!A"&amp;MATCH(Raeburn_Main_Tariff[[#This Row],[Product Code]],Main_Tariff!I:I,0),"#Main_Tariff!A"&amp;MATCH("*"&amp;RIGHT(A1420,8)&amp;"*",Main_Tariff!A:A,0)),Raeburn_Main_Tariff[[#This Row],[PRODUCER]])</f>
        <v>Francois Legros</v>
      </c>
      <c r="C1420" s="1178" t="s">
        <v>20884</v>
      </c>
      <c r="D1420" s="1178" t="s">
        <v>897</v>
      </c>
      <c r="E1420" s="1179">
        <v>2018</v>
      </c>
      <c r="F1420" s="1282" t="s">
        <v>20220</v>
      </c>
      <c r="G1420" s="1368">
        <v>45.5</v>
      </c>
      <c r="H1420" s="1178" t="s">
        <v>20221</v>
      </c>
      <c r="I1420" s="1178" t="s">
        <v>5462</v>
      </c>
      <c r="J1420" s="1178" t="s">
        <v>662</v>
      </c>
      <c r="K1420" s="1178" t="s">
        <v>267</v>
      </c>
      <c r="L1420" s="1178" t="s">
        <v>211</v>
      </c>
      <c r="M1420" s="1369" t="s">
        <v>23297</v>
      </c>
      <c r="N1420" s="1178"/>
      <c r="O1420" s="1178">
        <v>6</v>
      </c>
      <c r="P1420" s="1178">
        <v>13.5</v>
      </c>
    </row>
    <row r="1421" spans="1:16">
      <c r="A1421" s="1178" t="s">
        <v>20875</v>
      </c>
      <c r="B1421" s="1371" t="str">
        <f>HYPERLINK(IFERROR("#Main_Tariff!A"&amp;MATCH(Raeburn_Main_Tariff[[#This Row],[Product Code]],Main_Tariff!I:I,0),"#Main_Tariff!A"&amp;MATCH("*"&amp;RIGHT(A1421,8)&amp;"*",Main_Tariff!A:A,0)),Raeburn_Main_Tariff[[#This Row],[PRODUCER]])</f>
        <v>Francois Legros</v>
      </c>
      <c r="C1421" s="1178" t="s">
        <v>20687</v>
      </c>
      <c r="D1421" s="1178" t="s">
        <v>897</v>
      </c>
      <c r="E1421" s="1179"/>
      <c r="F1421" s="1282" t="s">
        <v>20220</v>
      </c>
      <c r="G1421" s="1368"/>
      <c r="H1421" s="1178" t="s">
        <v>3907</v>
      </c>
      <c r="I1421" s="1178" t="s">
        <v>5464</v>
      </c>
      <c r="J1421" s="1178" t="s">
        <v>662</v>
      </c>
      <c r="K1421" s="1178" t="s">
        <v>267</v>
      </c>
      <c r="L1421" s="1178" t="s">
        <v>211</v>
      </c>
      <c r="M1421" s="1369" t="s">
        <v>23297</v>
      </c>
      <c r="N1421" s="1178"/>
      <c r="O1421" s="1178">
        <v>6</v>
      </c>
      <c r="P1421" s="1178">
        <v>13.5</v>
      </c>
    </row>
    <row r="1422" spans="1:16">
      <c r="A1422" s="1178" t="s">
        <v>20875</v>
      </c>
      <c r="B1422" s="1371" t="str">
        <f>HYPERLINK(IFERROR("#Main_Tariff!A"&amp;MATCH(Raeburn_Main_Tariff[[#This Row],[Product Code]],Main_Tariff!I:I,0),"#Main_Tariff!A"&amp;MATCH("*"&amp;RIGHT(A1422,8)&amp;"*",Main_Tariff!A:A,0)),Raeburn_Main_Tariff[[#This Row],[PRODUCER]])</f>
        <v>Francois Legros</v>
      </c>
      <c r="C1422" s="1178" t="s">
        <v>20885</v>
      </c>
      <c r="D1422" s="1178" t="s">
        <v>897</v>
      </c>
      <c r="E1422" s="1179">
        <v>2022</v>
      </c>
      <c r="F1422" s="1282" t="s">
        <v>20220</v>
      </c>
      <c r="G1422" s="1368">
        <v>52</v>
      </c>
      <c r="H1422" s="1178" t="s">
        <v>20221</v>
      </c>
      <c r="I1422" s="1178" t="s">
        <v>5466</v>
      </c>
      <c r="J1422" s="1178" t="s">
        <v>662</v>
      </c>
      <c r="K1422" s="1178" t="s">
        <v>267</v>
      </c>
      <c r="L1422" s="1178" t="s">
        <v>211</v>
      </c>
      <c r="M1422" s="1369" t="s">
        <v>23297</v>
      </c>
      <c r="N1422" s="1178"/>
      <c r="O1422" s="1178">
        <v>6</v>
      </c>
      <c r="P1422" s="1178">
        <v>13.5</v>
      </c>
    </row>
    <row r="1423" spans="1:16">
      <c r="A1423" s="1178" t="s">
        <v>20875</v>
      </c>
      <c r="B1423" s="1371" t="str">
        <f>HYPERLINK(IFERROR("#Main_Tariff!A"&amp;MATCH(Raeburn_Main_Tariff[[#This Row],[Product Code]],Main_Tariff!I:I,0),"#Main_Tariff!A"&amp;MATCH("*"&amp;RIGHT(A1423,8)&amp;"*",Main_Tariff!A:A,0)),Raeburn_Main_Tariff[[#This Row],[PRODUCER]])</f>
        <v>Francois Legros</v>
      </c>
      <c r="C1423" s="1178" t="s">
        <v>20690</v>
      </c>
      <c r="D1423" s="1178" t="s">
        <v>897</v>
      </c>
      <c r="E1423" s="1179">
        <v>2022</v>
      </c>
      <c r="F1423" s="1282" t="s">
        <v>20220</v>
      </c>
      <c r="G1423" s="1368">
        <v>57</v>
      </c>
      <c r="H1423" s="1178" t="s">
        <v>20221</v>
      </c>
      <c r="I1423" s="1178" t="s">
        <v>5467</v>
      </c>
      <c r="J1423" s="1178" t="s">
        <v>662</v>
      </c>
      <c r="K1423" s="1178" t="s">
        <v>267</v>
      </c>
      <c r="L1423" s="1178" t="s">
        <v>211</v>
      </c>
      <c r="M1423" s="1369" t="s">
        <v>23297</v>
      </c>
      <c r="N1423" s="1178"/>
      <c r="O1423" s="1178">
        <v>6</v>
      </c>
      <c r="P1423" s="1178">
        <v>13.5</v>
      </c>
    </row>
    <row r="1424" spans="1:16">
      <c r="A1424" s="1178" t="s">
        <v>20875</v>
      </c>
      <c r="B1424" s="1371" t="str">
        <f>HYPERLINK(IFERROR("#Main_Tariff!A"&amp;MATCH(Raeburn_Main_Tariff[[#This Row],[Product Code]],Main_Tariff!I:I,0),"#Main_Tariff!A"&amp;MATCH("*"&amp;RIGHT(A1424,8)&amp;"*",Main_Tariff!A:A,0)),Raeburn_Main_Tariff[[#This Row],[PRODUCER]])</f>
        <v>Francois Legros</v>
      </c>
      <c r="C1424" s="1178" t="s">
        <v>20690</v>
      </c>
      <c r="D1424" s="1178" t="s">
        <v>897</v>
      </c>
      <c r="E1424" s="1179">
        <v>2021</v>
      </c>
      <c r="F1424" s="1282" t="s">
        <v>20220</v>
      </c>
      <c r="G1424" s="1368">
        <v>57</v>
      </c>
      <c r="H1424" s="1178" t="s">
        <v>20221</v>
      </c>
      <c r="I1424" s="1178" t="s">
        <v>5468</v>
      </c>
      <c r="J1424" s="1178" t="s">
        <v>662</v>
      </c>
      <c r="K1424" s="1178" t="s">
        <v>267</v>
      </c>
      <c r="L1424" s="1178" t="s">
        <v>211</v>
      </c>
      <c r="M1424" s="1369" t="s">
        <v>23297</v>
      </c>
      <c r="N1424" s="1178"/>
      <c r="O1424" s="1178">
        <v>6</v>
      </c>
      <c r="P1424" s="1178">
        <v>13.5</v>
      </c>
    </row>
    <row r="1425" spans="1:16">
      <c r="A1425" s="1178" t="s">
        <v>20875</v>
      </c>
      <c r="B1425" s="1371" t="str">
        <f>HYPERLINK(IFERROR("#Main_Tariff!A"&amp;MATCH(Raeburn_Main_Tariff[[#This Row],[Product Code]],Main_Tariff!I:I,0),"#Main_Tariff!A"&amp;MATCH("*"&amp;RIGHT(A1425,8)&amp;"*",Main_Tariff!A:A,0)),Raeburn_Main_Tariff[[#This Row],[PRODUCER]])</f>
        <v>Francois Legros</v>
      </c>
      <c r="C1425" s="1178" t="s">
        <v>20690</v>
      </c>
      <c r="D1425" s="1178" t="s">
        <v>897</v>
      </c>
      <c r="E1425" s="1179">
        <v>2020</v>
      </c>
      <c r="F1425" s="1282" t="s">
        <v>20220</v>
      </c>
      <c r="G1425" s="1368">
        <v>55.5</v>
      </c>
      <c r="H1425" s="1178" t="s">
        <v>20221</v>
      </c>
      <c r="I1425" s="1178" t="s">
        <v>5469</v>
      </c>
      <c r="J1425" s="1178" t="s">
        <v>662</v>
      </c>
      <c r="K1425" s="1178" t="s">
        <v>267</v>
      </c>
      <c r="L1425" s="1178" t="s">
        <v>211</v>
      </c>
      <c r="M1425" s="1369" t="s">
        <v>23297</v>
      </c>
      <c r="N1425" s="1178"/>
      <c r="O1425" s="1178">
        <v>6</v>
      </c>
      <c r="P1425" s="1178">
        <v>13.5</v>
      </c>
    </row>
    <row r="1426" spans="1:16">
      <c r="A1426" s="1178" t="s">
        <v>20875</v>
      </c>
      <c r="B1426" s="1371" t="str">
        <f>HYPERLINK(IFERROR("#Main_Tariff!A"&amp;MATCH(Raeburn_Main_Tariff[[#This Row],[Product Code]],Main_Tariff!I:I,0),"#Main_Tariff!A"&amp;MATCH("*"&amp;RIGHT(A1426,8)&amp;"*",Main_Tariff!A:A,0)),Raeburn_Main_Tariff[[#This Row],[PRODUCER]])</f>
        <v>Francois Legros</v>
      </c>
      <c r="C1426" s="1178" t="s">
        <v>20690</v>
      </c>
      <c r="D1426" s="1178" t="s">
        <v>897</v>
      </c>
      <c r="E1426" s="1179">
        <v>2019</v>
      </c>
      <c r="F1426" s="1282" t="s">
        <v>20220</v>
      </c>
      <c r="G1426" s="1368">
        <v>55.5</v>
      </c>
      <c r="H1426" s="1178" t="s">
        <v>20221</v>
      </c>
      <c r="I1426" s="1178" t="s">
        <v>5470</v>
      </c>
      <c r="J1426" s="1178" t="s">
        <v>662</v>
      </c>
      <c r="K1426" s="1178" t="s">
        <v>267</v>
      </c>
      <c r="L1426" s="1178" t="s">
        <v>211</v>
      </c>
      <c r="M1426" s="1369" t="s">
        <v>23297</v>
      </c>
      <c r="N1426" s="1178"/>
      <c r="O1426" s="1178">
        <v>6</v>
      </c>
      <c r="P1426" s="1178">
        <v>13.5</v>
      </c>
    </row>
    <row r="1427" spans="1:16">
      <c r="A1427" s="1178" t="s">
        <v>20875</v>
      </c>
      <c r="B1427" s="1371" t="str">
        <f>HYPERLINK(IFERROR("#Main_Tariff!A"&amp;MATCH(Raeburn_Main_Tariff[[#This Row],[Product Code]],Main_Tariff!I:I,0),"#Main_Tariff!A"&amp;MATCH("*"&amp;RIGHT(A1427,8)&amp;"*",Main_Tariff!A:A,0)),Raeburn_Main_Tariff[[#This Row],[PRODUCER]])</f>
        <v>Francois Legros</v>
      </c>
      <c r="C1427" s="1178" t="s">
        <v>20690</v>
      </c>
      <c r="D1427" s="1178" t="s">
        <v>897</v>
      </c>
      <c r="E1427" s="1179">
        <v>2018</v>
      </c>
      <c r="F1427" s="1282" t="s">
        <v>20220</v>
      </c>
      <c r="G1427" s="1368">
        <v>53.5</v>
      </c>
      <c r="H1427" s="1178" t="s">
        <v>20277</v>
      </c>
      <c r="I1427" s="1178" t="s">
        <v>5471</v>
      </c>
      <c r="J1427" s="1178" t="s">
        <v>662</v>
      </c>
      <c r="K1427" s="1178" t="s">
        <v>267</v>
      </c>
      <c r="L1427" s="1178" t="s">
        <v>211</v>
      </c>
      <c r="M1427" s="1369" t="s">
        <v>23297</v>
      </c>
      <c r="N1427" s="1178"/>
      <c r="O1427" s="1178">
        <v>6</v>
      </c>
      <c r="P1427" s="1178">
        <v>13.5</v>
      </c>
    </row>
    <row r="1428" spans="1:16">
      <c r="A1428" s="1178" t="s">
        <v>20875</v>
      </c>
      <c r="B1428" s="1371" t="str">
        <f>HYPERLINK(IFERROR("#Main_Tariff!A"&amp;MATCH(Raeburn_Main_Tariff[[#This Row],[Product Code]],Main_Tariff!I:I,0),"#Main_Tariff!A"&amp;MATCH("*"&amp;RIGHT(A1428,8)&amp;"*",Main_Tariff!A:A,0)),Raeburn_Main_Tariff[[#This Row],[PRODUCER]])</f>
        <v>Francois Legros</v>
      </c>
      <c r="C1428" s="1178" t="s">
        <v>20886</v>
      </c>
      <c r="D1428" s="1178" t="s">
        <v>897</v>
      </c>
      <c r="E1428" s="1179">
        <v>2022</v>
      </c>
      <c r="F1428" s="1282" t="s">
        <v>20220</v>
      </c>
      <c r="G1428" s="1368">
        <v>58.5</v>
      </c>
      <c r="H1428" s="1178" t="s">
        <v>20221</v>
      </c>
      <c r="I1428" s="1178" t="s">
        <v>5472</v>
      </c>
      <c r="J1428" s="1178" t="s">
        <v>662</v>
      </c>
      <c r="K1428" s="1178" t="s">
        <v>267</v>
      </c>
      <c r="L1428" s="1178" t="s">
        <v>211</v>
      </c>
      <c r="M1428" s="1369" t="s">
        <v>23297</v>
      </c>
      <c r="N1428" s="1178"/>
      <c r="O1428" s="1178">
        <v>6</v>
      </c>
      <c r="P1428" s="1178">
        <v>13.5</v>
      </c>
    </row>
    <row r="1429" spans="1:16">
      <c r="A1429" s="1178" t="s">
        <v>20875</v>
      </c>
      <c r="B1429" s="1371" t="str">
        <f>HYPERLINK(IFERROR("#Main_Tariff!A"&amp;MATCH(Raeburn_Main_Tariff[[#This Row],[Product Code]],Main_Tariff!I:I,0),"#Main_Tariff!A"&amp;MATCH("*"&amp;RIGHT(A1429,8)&amp;"*",Main_Tariff!A:A,0)),Raeburn_Main_Tariff[[#This Row],[PRODUCER]])</f>
        <v>Francois Legros</v>
      </c>
      <c r="C1429" s="1178" t="s">
        <v>20886</v>
      </c>
      <c r="D1429" s="1178" t="s">
        <v>897</v>
      </c>
      <c r="E1429" s="1179">
        <v>2021</v>
      </c>
      <c r="F1429" s="1282" t="s">
        <v>20220</v>
      </c>
      <c r="G1429" s="1368">
        <v>58.5</v>
      </c>
      <c r="H1429" s="1178" t="s">
        <v>20221</v>
      </c>
      <c r="I1429" s="1178" t="s">
        <v>5473</v>
      </c>
      <c r="J1429" s="1178" t="s">
        <v>662</v>
      </c>
      <c r="K1429" s="1178" t="s">
        <v>267</v>
      </c>
      <c r="L1429" s="1178" t="s">
        <v>211</v>
      </c>
      <c r="M1429" s="1369" t="s">
        <v>23297</v>
      </c>
      <c r="N1429" s="1178"/>
      <c r="O1429" s="1178">
        <v>6</v>
      </c>
      <c r="P1429" s="1178">
        <v>13.5</v>
      </c>
    </row>
    <row r="1430" spans="1:16">
      <c r="A1430" s="1178" t="s">
        <v>20875</v>
      </c>
      <c r="B1430" s="1371" t="str">
        <f>HYPERLINK(IFERROR("#Main_Tariff!A"&amp;MATCH(Raeburn_Main_Tariff[[#This Row],[Product Code]],Main_Tariff!I:I,0),"#Main_Tariff!A"&amp;MATCH("*"&amp;RIGHT(A1430,8)&amp;"*",Main_Tariff!A:A,0)),Raeburn_Main_Tariff[[#This Row],[PRODUCER]])</f>
        <v>Francois Legros</v>
      </c>
      <c r="C1430" s="1178" t="s">
        <v>20886</v>
      </c>
      <c r="D1430" s="1178" t="s">
        <v>897</v>
      </c>
      <c r="E1430" s="1179">
        <v>2020</v>
      </c>
      <c r="F1430" s="1282" t="s">
        <v>20220</v>
      </c>
      <c r="G1430" s="1368">
        <v>57</v>
      </c>
      <c r="H1430" s="1178" t="s">
        <v>20221</v>
      </c>
      <c r="I1430" s="1178" t="s">
        <v>5474</v>
      </c>
      <c r="J1430" s="1178" t="s">
        <v>662</v>
      </c>
      <c r="K1430" s="1178" t="s">
        <v>267</v>
      </c>
      <c r="L1430" s="1178" t="s">
        <v>211</v>
      </c>
      <c r="M1430" s="1369" t="s">
        <v>23297</v>
      </c>
      <c r="N1430" s="1178"/>
      <c r="O1430" s="1178">
        <v>6</v>
      </c>
      <c r="P1430" s="1178">
        <v>13</v>
      </c>
    </row>
    <row r="1431" spans="1:16">
      <c r="A1431" s="1178" t="s">
        <v>20875</v>
      </c>
      <c r="B1431" s="1371" t="str">
        <f>HYPERLINK(IFERROR("#Main_Tariff!A"&amp;MATCH(Raeburn_Main_Tariff[[#This Row],[Product Code]],Main_Tariff!I:I,0),"#Main_Tariff!A"&amp;MATCH("*"&amp;RIGHT(A1431,8)&amp;"*",Main_Tariff!A:A,0)),Raeburn_Main_Tariff[[#This Row],[PRODUCER]])</f>
        <v>Francois Legros</v>
      </c>
      <c r="C1431" s="1178" t="s">
        <v>20886</v>
      </c>
      <c r="D1431" s="1178" t="s">
        <v>897</v>
      </c>
      <c r="E1431" s="1179">
        <v>2019</v>
      </c>
      <c r="F1431" s="1282" t="s">
        <v>20220</v>
      </c>
      <c r="G1431" s="1368">
        <v>57</v>
      </c>
      <c r="H1431" s="1178" t="s">
        <v>20221</v>
      </c>
      <c r="I1431" s="1178" t="s">
        <v>5475</v>
      </c>
      <c r="J1431" s="1178" t="s">
        <v>662</v>
      </c>
      <c r="K1431" s="1178" t="s">
        <v>267</v>
      </c>
      <c r="L1431" s="1178" t="s">
        <v>211</v>
      </c>
      <c r="M1431" s="1369" t="s">
        <v>23297</v>
      </c>
      <c r="N1431" s="1178"/>
      <c r="O1431" s="1178">
        <v>6</v>
      </c>
      <c r="P1431" s="1178">
        <v>13</v>
      </c>
    </row>
    <row r="1432" spans="1:16">
      <c r="A1432" s="1178" t="s">
        <v>20875</v>
      </c>
      <c r="B1432" s="1371" t="str">
        <f>HYPERLINK(IFERROR("#Main_Tariff!A"&amp;MATCH(Raeburn_Main_Tariff[[#This Row],[Product Code]],Main_Tariff!I:I,0),"#Main_Tariff!A"&amp;MATCH("*"&amp;RIGHT(A1432,8)&amp;"*",Main_Tariff!A:A,0)),Raeburn_Main_Tariff[[#This Row],[PRODUCER]])</f>
        <v>Francois Legros</v>
      </c>
      <c r="C1432" s="1178" t="s">
        <v>20886</v>
      </c>
      <c r="D1432" s="1178" t="s">
        <v>897</v>
      </c>
      <c r="E1432" s="1179">
        <v>2018</v>
      </c>
      <c r="F1432" s="1282" t="s">
        <v>20220</v>
      </c>
      <c r="G1432" s="1368">
        <v>55</v>
      </c>
      <c r="H1432" s="1178" t="s">
        <v>20221</v>
      </c>
      <c r="I1432" s="1178" t="s">
        <v>5476</v>
      </c>
      <c r="J1432" s="1178" t="s">
        <v>662</v>
      </c>
      <c r="K1432" s="1178" t="s">
        <v>267</v>
      </c>
      <c r="L1432" s="1178" t="s">
        <v>211</v>
      </c>
      <c r="M1432" s="1369" t="s">
        <v>23297</v>
      </c>
      <c r="N1432" s="1178"/>
      <c r="O1432" s="1178">
        <v>6</v>
      </c>
      <c r="P1432" s="1178">
        <v>13.5</v>
      </c>
    </row>
    <row r="1433" spans="1:16">
      <c r="A1433" s="1178" t="s">
        <v>20875</v>
      </c>
      <c r="B1433" s="1371" t="str">
        <f>HYPERLINK(IFERROR("#Main_Tariff!A"&amp;MATCH(Raeburn_Main_Tariff[[#This Row],[Product Code]],Main_Tariff!I:I,0),"#Main_Tariff!A"&amp;MATCH("*"&amp;RIGHT(A1433,8)&amp;"*",Main_Tariff!A:A,0)),Raeburn_Main_Tariff[[#This Row],[PRODUCER]])</f>
        <v>Francois Legros</v>
      </c>
      <c r="C1433" s="1178" t="s">
        <v>20887</v>
      </c>
      <c r="D1433" s="1178" t="s">
        <v>897</v>
      </c>
      <c r="E1433" s="1179">
        <v>2022</v>
      </c>
      <c r="F1433" s="1282" t="s">
        <v>20240</v>
      </c>
      <c r="G1433" s="1368">
        <v>84</v>
      </c>
      <c r="H1433" s="1178" t="s">
        <v>20224</v>
      </c>
      <c r="I1433" s="1178" t="s">
        <v>5478</v>
      </c>
      <c r="J1433" s="1178" t="s">
        <v>662</v>
      </c>
      <c r="K1433" s="1178" t="s">
        <v>267</v>
      </c>
      <c r="L1433" s="1178" t="s">
        <v>211</v>
      </c>
      <c r="M1433" s="1369"/>
      <c r="N1433" s="1178"/>
      <c r="O1433" s="1178">
        <v>3</v>
      </c>
      <c r="P1433" s="1178">
        <v>13</v>
      </c>
    </row>
    <row r="1434" spans="1:16">
      <c r="A1434" s="1178" t="s">
        <v>20875</v>
      </c>
      <c r="B1434" s="1371" t="str">
        <f>HYPERLINK(IFERROR("#Main_Tariff!A"&amp;MATCH(Raeburn_Main_Tariff[[#This Row],[Product Code]],Main_Tariff!I:I,0),"#Main_Tariff!A"&amp;MATCH("*"&amp;RIGHT(A1434,8)&amp;"*",Main_Tariff!A:A,0)),Raeburn_Main_Tariff[[#This Row],[PRODUCER]])</f>
        <v>Francois Legros</v>
      </c>
      <c r="C1434" s="1178" t="s">
        <v>20887</v>
      </c>
      <c r="D1434" s="1178" t="s">
        <v>897</v>
      </c>
      <c r="E1434" s="1179">
        <v>2021</v>
      </c>
      <c r="F1434" s="1282" t="s">
        <v>20240</v>
      </c>
      <c r="G1434" s="1368">
        <v>84</v>
      </c>
      <c r="H1434" s="1178" t="s">
        <v>20224</v>
      </c>
      <c r="I1434" s="1178" t="s">
        <v>5479</v>
      </c>
      <c r="J1434" s="1178" t="s">
        <v>662</v>
      </c>
      <c r="K1434" s="1178" t="s">
        <v>267</v>
      </c>
      <c r="L1434" s="1178" t="s">
        <v>211</v>
      </c>
      <c r="M1434" s="1369"/>
      <c r="N1434" s="1178"/>
      <c r="O1434" s="1178">
        <v>3</v>
      </c>
      <c r="P1434" s="1178">
        <v>13</v>
      </c>
    </row>
    <row r="1435" spans="1:16">
      <c r="A1435" s="1178" t="s">
        <v>20875</v>
      </c>
      <c r="B1435" s="1371" t="str">
        <f>HYPERLINK(IFERROR("#Main_Tariff!A"&amp;MATCH(Raeburn_Main_Tariff[[#This Row],[Product Code]],Main_Tariff!I:I,0),"#Main_Tariff!A"&amp;MATCH("*"&amp;RIGHT(A1435,8)&amp;"*",Main_Tariff!A:A,0)),Raeburn_Main_Tariff[[#This Row],[PRODUCER]])</f>
        <v>Francois Legros</v>
      </c>
      <c r="C1435" s="1178" t="s">
        <v>20887</v>
      </c>
      <c r="D1435" s="1178" t="s">
        <v>897</v>
      </c>
      <c r="E1435" s="1179">
        <v>2020</v>
      </c>
      <c r="F1435" s="1282" t="s">
        <v>20240</v>
      </c>
      <c r="G1435" s="1368">
        <v>82</v>
      </c>
      <c r="H1435" s="1178" t="s">
        <v>20224</v>
      </c>
      <c r="I1435" s="1178" t="s">
        <v>5480</v>
      </c>
      <c r="J1435" s="1178" t="s">
        <v>662</v>
      </c>
      <c r="K1435" s="1178" t="s">
        <v>267</v>
      </c>
      <c r="L1435" s="1178" t="s">
        <v>211</v>
      </c>
      <c r="M1435" s="1369"/>
      <c r="N1435" s="1178"/>
      <c r="O1435" s="1178">
        <v>3</v>
      </c>
      <c r="P1435" s="1178">
        <v>13</v>
      </c>
    </row>
    <row r="1436" spans="1:16">
      <c r="A1436" s="1178" t="s">
        <v>20875</v>
      </c>
      <c r="B1436" s="1371" t="str">
        <f>HYPERLINK(IFERROR("#Main_Tariff!A"&amp;MATCH(Raeburn_Main_Tariff[[#This Row],[Product Code]],Main_Tariff!I:I,0),"#Main_Tariff!A"&amp;MATCH("*"&amp;RIGHT(A1436,8)&amp;"*",Main_Tariff!A:A,0)),Raeburn_Main_Tariff[[#This Row],[PRODUCER]])</f>
        <v>Francois Legros</v>
      </c>
      <c r="C1436" s="1178" t="s">
        <v>20887</v>
      </c>
      <c r="D1436" s="1178" t="s">
        <v>897</v>
      </c>
      <c r="E1436" s="1179">
        <v>2019</v>
      </c>
      <c r="F1436" s="1282" t="s">
        <v>20240</v>
      </c>
      <c r="G1436" s="1368">
        <v>82</v>
      </c>
      <c r="H1436" s="1178" t="s">
        <v>20224</v>
      </c>
      <c r="I1436" s="1178" t="s">
        <v>5481</v>
      </c>
      <c r="J1436" s="1178" t="s">
        <v>662</v>
      </c>
      <c r="K1436" s="1178" t="s">
        <v>267</v>
      </c>
      <c r="L1436" s="1178" t="s">
        <v>211</v>
      </c>
      <c r="M1436" s="1369"/>
      <c r="N1436" s="1178"/>
      <c r="O1436" s="1178">
        <v>6</v>
      </c>
      <c r="P1436" s="1178">
        <v>13</v>
      </c>
    </row>
    <row r="1437" spans="1:16">
      <c r="A1437" s="1178" t="s">
        <v>20875</v>
      </c>
      <c r="B1437" s="1371" t="str">
        <f>HYPERLINK(IFERROR("#Main_Tariff!A"&amp;MATCH(Raeburn_Main_Tariff[[#This Row],[Product Code]],Main_Tariff!I:I,0),"#Main_Tariff!A"&amp;MATCH("*"&amp;RIGHT(A1437,8)&amp;"*",Main_Tariff!A:A,0)),Raeburn_Main_Tariff[[#This Row],[PRODUCER]])</f>
        <v>Francois Legros</v>
      </c>
      <c r="C1437" s="1178" t="s">
        <v>20888</v>
      </c>
      <c r="D1437" s="1178" t="s">
        <v>897</v>
      </c>
      <c r="E1437" s="1179">
        <v>2022</v>
      </c>
      <c r="F1437" s="1282" t="s">
        <v>20240</v>
      </c>
      <c r="G1437" s="1368">
        <v>103</v>
      </c>
      <c r="H1437" s="1178" t="s">
        <v>20224</v>
      </c>
      <c r="I1437" s="1178" t="s">
        <v>5483</v>
      </c>
      <c r="J1437" s="1178" t="s">
        <v>662</v>
      </c>
      <c r="K1437" s="1178" t="s">
        <v>267</v>
      </c>
      <c r="L1437" s="1178" t="s">
        <v>211</v>
      </c>
      <c r="M1437" s="1369" t="s">
        <v>23297</v>
      </c>
      <c r="N1437" s="1178"/>
      <c r="O1437" s="1178">
        <v>3</v>
      </c>
      <c r="P1437" s="1178">
        <v>13.5</v>
      </c>
    </row>
    <row r="1438" spans="1:16">
      <c r="A1438" s="1178" t="s">
        <v>20875</v>
      </c>
      <c r="B1438" s="1371" t="str">
        <f>HYPERLINK(IFERROR("#Main_Tariff!A"&amp;MATCH(Raeburn_Main_Tariff[[#This Row],[Product Code]],Main_Tariff!I:I,0),"#Main_Tariff!A"&amp;MATCH("*"&amp;RIGHT(A1438,8)&amp;"*",Main_Tariff!A:A,0)),Raeburn_Main_Tariff[[#This Row],[PRODUCER]])</f>
        <v>Francois Legros</v>
      </c>
      <c r="C1438" s="1178" t="s">
        <v>20888</v>
      </c>
      <c r="D1438" s="1178" t="s">
        <v>897</v>
      </c>
      <c r="E1438" s="1179">
        <v>2021</v>
      </c>
      <c r="F1438" s="1282" t="s">
        <v>20240</v>
      </c>
      <c r="G1438" s="1368">
        <v>103</v>
      </c>
      <c r="H1438" s="1178" t="s">
        <v>20224</v>
      </c>
      <c r="I1438" s="1178" t="s">
        <v>5484</v>
      </c>
      <c r="J1438" s="1178" t="s">
        <v>662</v>
      </c>
      <c r="K1438" s="1178" t="s">
        <v>267</v>
      </c>
      <c r="L1438" s="1178" t="s">
        <v>211</v>
      </c>
      <c r="M1438" s="1369" t="s">
        <v>23297</v>
      </c>
      <c r="N1438" s="1178"/>
      <c r="O1438" s="1178">
        <v>3</v>
      </c>
      <c r="P1438" s="1178">
        <v>13.5</v>
      </c>
    </row>
    <row r="1439" spans="1:16">
      <c r="A1439" s="1178" t="s">
        <v>20875</v>
      </c>
      <c r="B1439" s="1371" t="str">
        <f>HYPERLINK(IFERROR("#Main_Tariff!A"&amp;MATCH(Raeburn_Main_Tariff[[#This Row],[Product Code]],Main_Tariff!I:I,0),"#Main_Tariff!A"&amp;MATCH("*"&amp;RIGHT(A1439,8)&amp;"*",Main_Tariff!A:A,0)),Raeburn_Main_Tariff[[#This Row],[PRODUCER]])</f>
        <v>Francois Legros</v>
      </c>
      <c r="C1439" s="1178" t="s">
        <v>20888</v>
      </c>
      <c r="D1439" s="1178" t="s">
        <v>897</v>
      </c>
      <c r="E1439" s="1179">
        <v>2020</v>
      </c>
      <c r="F1439" s="1282" t="s">
        <v>20240</v>
      </c>
      <c r="G1439" s="1368">
        <v>100.5</v>
      </c>
      <c r="H1439" s="1178" t="s">
        <v>20224</v>
      </c>
      <c r="I1439" s="1178" t="s">
        <v>5485</v>
      </c>
      <c r="J1439" s="1178" t="s">
        <v>662</v>
      </c>
      <c r="K1439" s="1178" t="s">
        <v>267</v>
      </c>
      <c r="L1439" s="1178" t="s">
        <v>211</v>
      </c>
      <c r="M1439" s="1369" t="s">
        <v>23297</v>
      </c>
      <c r="N1439" s="1178"/>
      <c r="O1439" s="1178">
        <v>3</v>
      </c>
      <c r="P1439" s="1178">
        <v>13.5</v>
      </c>
    </row>
    <row r="1440" spans="1:16">
      <c r="A1440" s="1178" t="s">
        <v>20875</v>
      </c>
      <c r="B1440" s="1371" t="str">
        <f>HYPERLINK(IFERROR("#Main_Tariff!A"&amp;MATCH(Raeburn_Main_Tariff[[#This Row],[Product Code]],Main_Tariff!I:I,0),"#Main_Tariff!A"&amp;MATCH("*"&amp;RIGHT(A1440,8)&amp;"*",Main_Tariff!A:A,0)),Raeburn_Main_Tariff[[#This Row],[PRODUCER]])</f>
        <v>Francois Legros</v>
      </c>
      <c r="C1440" s="1178" t="s">
        <v>20888</v>
      </c>
      <c r="D1440" s="1178" t="s">
        <v>897</v>
      </c>
      <c r="E1440" s="1179">
        <v>2019</v>
      </c>
      <c r="F1440" s="1282" t="s">
        <v>20240</v>
      </c>
      <c r="G1440" s="1368">
        <v>100.5</v>
      </c>
      <c r="H1440" s="1178" t="s">
        <v>20224</v>
      </c>
      <c r="I1440" s="1178" t="s">
        <v>5486</v>
      </c>
      <c r="J1440" s="1178" t="s">
        <v>662</v>
      </c>
      <c r="K1440" s="1178" t="s">
        <v>267</v>
      </c>
      <c r="L1440" s="1178" t="s">
        <v>211</v>
      </c>
      <c r="M1440" s="1369" t="s">
        <v>23297</v>
      </c>
      <c r="N1440" s="1178"/>
      <c r="O1440" s="1178">
        <v>6</v>
      </c>
      <c r="P1440" s="1178">
        <v>13.5</v>
      </c>
    </row>
    <row r="1441" spans="1:16">
      <c r="A1441" s="1178" t="s">
        <v>20875</v>
      </c>
      <c r="B1441" s="1371" t="str">
        <f>HYPERLINK(IFERROR("#Main_Tariff!A"&amp;MATCH(Raeburn_Main_Tariff[[#This Row],[Product Code]],Main_Tariff!I:I,0),"#Main_Tariff!A"&amp;MATCH("*"&amp;RIGHT(A1441,8)&amp;"*",Main_Tariff!A:A,0)),Raeburn_Main_Tariff[[#This Row],[PRODUCER]])</f>
        <v>Francois Legros</v>
      </c>
      <c r="C1441" s="1178" t="s">
        <v>20889</v>
      </c>
      <c r="D1441" s="1178" t="s">
        <v>897</v>
      </c>
      <c r="E1441" s="1179">
        <v>2022</v>
      </c>
      <c r="F1441" s="1282" t="s">
        <v>20240</v>
      </c>
      <c r="G1441" s="1368">
        <v>106</v>
      </c>
      <c r="H1441" s="1178" t="s">
        <v>20224</v>
      </c>
      <c r="I1441" s="1178" t="s">
        <v>5487</v>
      </c>
      <c r="J1441" s="1178" t="s">
        <v>662</v>
      </c>
      <c r="K1441" s="1178" t="s">
        <v>267</v>
      </c>
      <c r="L1441" s="1178" t="s">
        <v>211</v>
      </c>
      <c r="M1441" s="1369" t="s">
        <v>23297</v>
      </c>
      <c r="N1441" s="1178"/>
      <c r="O1441" s="1178">
        <v>3</v>
      </c>
      <c r="P1441" s="1178">
        <v>13</v>
      </c>
    </row>
    <row r="1442" spans="1:16">
      <c r="A1442" s="1178" t="s">
        <v>20875</v>
      </c>
      <c r="B1442" s="1371" t="str">
        <f>HYPERLINK(IFERROR("#Main_Tariff!A"&amp;MATCH(Raeburn_Main_Tariff[[#This Row],[Product Code]],Main_Tariff!I:I,0),"#Main_Tariff!A"&amp;MATCH("*"&amp;RIGHT(A1442,8)&amp;"*",Main_Tariff!A:A,0)),Raeburn_Main_Tariff[[#This Row],[PRODUCER]])</f>
        <v>Francois Legros</v>
      </c>
      <c r="C1442" s="1178" t="s">
        <v>20889</v>
      </c>
      <c r="D1442" s="1178" t="s">
        <v>897</v>
      </c>
      <c r="E1442" s="1179">
        <v>2021</v>
      </c>
      <c r="F1442" s="1282" t="s">
        <v>20240</v>
      </c>
      <c r="G1442" s="1368">
        <v>106</v>
      </c>
      <c r="H1442" s="1178" t="s">
        <v>20224</v>
      </c>
      <c r="I1442" s="1178" t="s">
        <v>5488</v>
      </c>
      <c r="J1442" s="1178" t="s">
        <v>662</v>
      </c>
      <c r="K1442" s="1178" t="s">
        <v>267</v>
      </c>
      <c r="L1442" s="1178" t="s">
        <v>211</v>
      </c>
      <c r="M1442" s="1369" t="s">
        <v>23297</v>
      </c>
      <c r="N1442" s="1178"/>
      <c r="O1442" s="1178">
        <v>3</v>
      </c>
      <c r="P1442" s="1178">
        <v>13.5</v>
      </c>
    </row>
    <row r="1443" spans="1:16">
      <c r="A1443" s="1178" t="s">
        <v>20875</v>
      </c>
      <c r="B1443" s="1371" t="str">
        <f>HYPERLINK(IFERROR("#Main_Tariff!A"&amp;MATCH(Raeburn_Main_Tariff[[#This Row],[Product Code]],Main_Tariff!I:I,0),"#Main_Tariff!A"&amp;MATCH("*"&amp;RIGHT(A1443,8)&amp;"*",Main_Tariff!A:A,0)),Raeburn_Main_Tariff[[#This Row],[PRODUCER]])</f>
        <v>Francois Legros</v>
      </c>
      <c r="C1443" s="1178" t="s">
        <v>20889</v>
      </c>
      <c r="D1443" s="1178" t="s">
        <v>897</v>
      </c>
      <c r="E1443" s="1179">
        <v>2019</v>
      </c>
      <c r="F1443" s="1282" t="s">
        <v>20240</v>
      </c>
      <c r="G1443" s="1368">
        <v>104</v>
      </c>
      <c r="H1443" s="1178" t="s">
        <v>20224</v>
      </c>
      <c r="I1443" s="1178" t="s">
        <v>5489</v>
      </c>
      <c r="J1443" s="1178" t="s">
        <v>662</v>
      </c>
      <c r="K1443" s="1178" t="s">
        <v>267</v>
      </c>
      <c r="L1443" s="1178" t="s">
        <v>211</v>
      </c>
      <c r="M1443" s="1369" t="s">
        <v>23297</v>
      </c>
      <c r="N1443" s="1178"/>
      <c r="O1443" s="1178">
        <v>6</v>
      </c>
      <c r="P1443" s="1178">
        <v>13.5</v>
      </c>
    </row>
    <row r="1444" spans="1:16">
      <c r="A1444" s="1178" t="s">
        <v>20875</v>
      </c>
      <c r="B1444" s="1371" t="str">
        <f>HYPERLINK(IFERROR("#Main_Tariff!A"&amp;MATCH(Raeburn_Main_Tariff[[#This Row],[Product Code]],Main_Tariff!I:I,0),"#Main_Tariff!A"&amp;MATCH("*"&amp;RIGHT(A1444,8)&amp;"*",Main_Tariff!A:A,0)),Raeburn_Main_Tariff[[#This Row],[PRODUCER]])</f>
        <v>Francois Legros</v>
      </c>
      <c r="C1444" s="1178" t="s">
        <v>20778</v>
      </c>
      <c r="D1444" s="1178" t="s">
        <v>897</v>
      </c>
      <c r="E1444" s="1179">
        <v>2022</v>
      </c>
      <c r="F1444" s="1282" t="s">
        <v>20240</v>
      </c>
      <c r="G1444" s="1368">
        <v>113</v>
      </c>
      <c r="H1444" s="1178" t="s">
        <v>20224</v>
      </c>
      <c r="I1444" s="1178" t="s">
        <v>5490</v>
      </c>
      <c r="J1444" s="1178" t="s">
        <v>662</v>
      </c>
      <c r="K1444" s="1178" t="s">
        <v>267</v>
      </c>
      <c r="L1444" s="1178" t="s">
        <v>211</v>
      </c>
      <c r="M1444" s="1369" t="s">
        <v>23297</v>
      </c>
      <c r="N1444" s="1178"/>
      <c r="O1444" s="1178">
        <v>3</v>
      </c>
      <c r="P1444" s="1178">
        <v>13.5</v>
      </c>
    </row>
    <row r="1445" spans="1:16">
      <c r="A1445" s="1178" t="s">
        <v>20875</v>
      </c>
      <c r="B1445" s="1371" t="str">
        <f>HYPERLINK(IFERROR("#Main_Tariff!A"&amp;MATCH(Raeburn_Main_Tariff[[#This Row],[Product Code]],Main_Tariff!I:I,0),"#Main_Tariff!A"&amp;MATCH("*"&amp;RIGHT(A1445,8)&amp;"*",Main_Tariff!A:A,0)),Raeburn_Main_Tariff[[#This Row],[PRODUCER]])</f>
        <v>Francois Legros</v>
      </c>
      <c r="C1445" s="1178" t="s">
        <v>20778</v>
      </c>
      <c r="D1445" s="1178" t="s">
        <v>897</v>
      </c>
      <c r="E1445" s="1179">
        <v>2021</v>
      </c>
      <c r="F1445" s="1282" t="s">
        <v>20240</v>
      </c>
      <c r="G1445" s="1368">
        <v>113</v>
      </c>
      <c r="H1445" s="1178" t="s">
        <v>20224</v>
      </c>
      <c r="I1445" s="1178" t="s">
        <v>5491</v>
      </c>
      <c r="J1445" s="1178" t="s">
        <v>662</v>
      </c>
      <c r="K1445" s="1178" t="s">
        <v>267</v>
      </c>
      <c r="L1445" s="1178" t="s">
        <v>211</v>
      </c>
      <c r="M1445" s="1369" t="s">
        <v>23297</v>
      </c>
      <c r="N1445" s="1178"/>
      <c r="O1445" s="1178">
        <v>3</v>
      </c>
      <c r="P1445" s="1178">
        <v>13.5</v>
      </c>
    </row>
    <row r="1446" spans="1:16">
      <c r="A1446" s="1178" t="s">
        <v>20875</v>
      </c>
      <c r="B1446" s="1371" t="str">
        <f>HYPERLINK(IFERROR("#Main_Tariff!A"&amp;MATCH(Raeburn_Main_Tariff[[#This Row],[Product Code]],Main_Tariff!I:I,0),"#Main_Tariff!A"&amp;MATCH("*"&amp;RIGHT(A1446,8)&amp;"*",Main_Tariff!A:A,0)),Raeburn_Main_Tariff[[#This Row],[PRODUCER]])</f>
        <v>Francois Legros</v>
      </c>
      <c r="C1446" s="1178" t="s">
        <v>20778</v>
      </c>
      <c r="D1446" s="1178" t="s">
        <v>897</v>
      </c>
      <c r="E1446" s="1179">
        <v>2020</v>
      </c>
      <c r="F1446" s="1282" t="s">
        <v>20240</v>
      </c>
      <c r="G1446" s="1368">
        <v>111</v>
      </c>
      <c r="H1446" s="1178" t="s">
        <v>20224</v>
      </c>
      <c r="I1446" s="1178" t="s">
        <v>5492</v>
      </c>
      <c r="J1446" s="1178" t="s">
        <v>662</v>
      </c>
      <c r="K1446" s="1178" t="s">
        <v>267</v>
      </c>
      <c r="L1446" s="1178" t="s">
        <v>211</v>
      </c>
      <c r="M1446" s="1369" t="s">
        <v>23297</v>
      </c>
      <c r="N1446" s="1178"/>
      <c r="O1446" s="1178">
        <v>3</v>
      </c>
      <c r="P1446" s="1178">
        <v>13.5</v>
      </c>
    </row>
    <row r="1447" spans="1:16">
      <c r="A1447" s="1178" t="s">
        <v>232</v>
      </c>
      <c r="B1447" s="1371" t="str">
        <f>HYPERLINK(IFERROR("#Main_Tariff!A"&amp;MATCH(Raeburn_Main_Tariff[[#This Row],[Product Code]],Main_Tariff!I:I,0),"#Main_Tariff!A"&amp;MATCH("*"&amp;RIGHT(A1447,8)&amp;"*",Main_Tariff!A:A,0)),Raeburn_Main_Tariff[[#This Row],[PRODUCER]])</f>
        <v>Hubert Lignier</v>
      </c>
      <c r="C1447" s="1178" t="s">
        <v>20890</v>
      </c>
      <c r="D1447" s="1178" t="s">
        <v>1129</v>
      </c>
      <c r="E1447" s="1179">
        <v>2022</v>
      </c>
      <c r="F1447" s="1282" t="s">
        <v>20220</v>
      </c>
      <c r="G1447" s="1368">
        <v>21.5</v>
      </c>
      <c r="H1447" s="1178" t="s">
        <v>20221</v>
      </c>
      <c r="I1447" s="1178" t="s">
        <v>5513</v>
      </c>
      <c r="J1447" s="1178" t="s">
        <v>662</v>
      </c>
      <c r="K1447" s="1178" t="s">
        <v>267</v>
      </c>
      <c r="L1447" s="1178" t="s">
        <v>211</v>
      </c>
      <c r="M1447" s="1369"/>
      <c r="N1447" s="1178" t="s">
        <v>20244</v>
      </c>
      <c r="O1447" s="1178">
        <v>6</v>
      </c>
      <c r="P1447" s="1178">
        <v>12</v>
      </c>
    </row>
    <row r="1448" spans="1:16">
      <c r="A1448" s="1178" t="s">
        <v>232</v>
      </c>
      <c r="B1448" s="1371" t="str">
        <f>HYPERLINK(IFERROR("#Main_Tariff!A"&amp;MATCH(Raeburn_Main_Tariff[[#This Row],[Product Code]],Main_Tariff!I:I,0),"#Main_Tariff!A"&amp;MATCH("*"&amp;RIGHT(A1448,8)&amp;"*",Main_Tariff!A:A,0)),Raeburn_Main_Tariff[[#This Row],[PRODUCER]])</f>
        <v>Hubert Lignier</v>
      </c>
      <c r="C1448" s="1178" t="s">
        <v>20890</v>
      </c>
      <c r="D1448" s="1178" t="s">
        <v>1129</v>
      </c>
      <c r="E1448" s="1179">
        <v>2021</v>
      </c>
      <c r="F1448" s="1282" t="s">
        <v>20220</v>
      </c>
      <c r="G1448" s="1368">
        <v>20</v>
      </c>
      <c r="H1448" s="1178" t="s">
        <v>20221</v>
      </c>
      <c r="I1448" s="1178" t="s">
        <v>5515</v>
      </c>
      <c r="J1448" s="1178" t="s">
        <v>662</v>
      </c>
      <c r="K1448" s="1178" t="s">
        <v>267</v>
      </c>
      <c r="L1448" s="1178" t="s">
        <v>211</v>
      </c>
      <c r="M1448" s="1369"/>
      <c r="N1448" s="1178" t="s">
        <v>20244</v>
      </c>
      <c r="O1448" s="1178">
        <v>6</v>
      </c>
      <c r="P1448" s="1178">
        <v>11</v>
      </c>
    </row>
    <row r="1449" spans="1:16">
      <c r="A1449" s="1178" t="s">
        <v>232</v>
      </c>
      <c r="B1449" s="1371" t="str">
        <f>HYPERLINK(IFERROR("#Main_Tariff!A"&amp;MATCH(Raeburn_Main_Tariff[[#This Row],[Product Code]],Main_Tariff!I:I,0),"#Main_Tariff!A"&amp;MATCH("*"&amp;RIGHT(A1449,8)&amp;"*",Main_Tariff!A:A,0)),Raeburn_Main_Tariff[[#This Row],[PRODUCER]])</f>
        <v>Hubert Lignier</v>
      </c>
      <c r="C1449" s="1178" t="s">
        <v>20890</v>
      </c>
      <c r="D1449" s="1178" t="s">
        <v>1129</v>
      </c>
      <c r="E1449" s="1179">
        <v>2020</v>
      </c>
      <c r="F1449" s="1282" t="s">
        <v>20220</v>
      </c>
      <c r="G1449" s="1368">
        <v>18.25</v>
      </c>
      <c r="H1449" s="1178" t="s">
        <v>20221</v>
      </c>
      <c r="I1449" s="1178" t="s">
        <v>5517</v>
      </c>
      <c r="J1449" s="1178" t="s">
        <v>662</v>
      </c>
      <c r="K1449" s="1178" t="s">
        <v>267</v>
      </c>
      <c r="L1449" s="1178" t="s">
        <v>211</v>
      </c>
      <c r="M1449" s="1369"/>
      <c r="N1449" s="1178" t="s">
        <v>20244</v>
      </c>
      <c r="O1449" s="1178">
        <v>6</v>
      </c>
      <c r="P1449" s="1178">
        <v>13.5</v>
      </c>
    </row>
    <row r="1450" spans="1:16">
      <c r="A1450" s="1178" t="s">
        <v>232</v>
      </c>
      <c r="B1450" s="1371" t="str">
        <f>HYPERLINK(IFERROR("#Main_Tariff!A"&amp;MATCH(Raeburn_Main_Tariff[[#This Row],[Product Code]],Main_Tariff!I:I,0),"#Main_Tariff!A"&amp;MATCH("*"&amp;RIGHT(A1450,8)&amp;"*",Main_Tariff!A:A,0)),Raeburn_Main_Tariff[[#This Row],[PRODUCER]])</f>
        <v>Hubert Lignier</v>
      </c>
      <c r="C1450" s="1178" t="s">
        <v>20890</v>
      </c>
      <c r="D1450" s="1178" t="s">
        <v>1129</v>
      </c>
      <c r="E1450" s="1179">
        <v>2019</v>
      </c>
      <c r="F1450" s="1282" t="s">
        <v>20220</v>
      </c>
      <c r="G1450" s="1368">
        <v>18.25</v>
      </c>
      <c r="H1450" s="1178" t="s">
        <v>20221</v>
      </c>
      <c r="I1450" s="1178" t="s">
        <v>5519</v>
      </c>
      <c r="J1450" s="1178" t="s">
        <v>662</v>
      </c>
      <c r="K1450" s="1178" t="s">
        <v>267</v>
      </c>
      <c r="L1450" s="1178" t="s">
        <v>211</v>
      </c>
      <c r="M1450" s="1369"/>
      <c r="N1450" s="1178" t="s">
        <v>20244</v>
      </c>
      <c r="O1450" s="1178">
        <v>6</v>
      </c>
      <c r="P1450" s="1178">
        <v>13.5</v>
      </c>
    </row>
    <row r="1451" spans="1:16">
      <c r="A1451" s="1178" t="s">
        <v>232</v>
      </c>
      <c r="B1451" s="1371" t="str">
        <f>HYPERLINK(IFERROR("#Main_Tariff!A"&amp;MATCH(Raeburn_Main_Tariff[[#This Row],[Product Code]],Main_Tariff!I:I,0),"#Main_Tariff!A"&amp;MATCH("*"&amp;RIGHT(A1451,8)&amp;"*",Main_Tariff!A:A,0)),Raeburn_Main_Tariff[[#This Row],[PRODUCER]])</f>
        <v>Hubert Lignier</v>
      </c>
      <c r="C1451" s="1178" t="s">
        <v>20890</v>
      </c>
      <c r="D1451" s="1178" t="s">
        <v>1129</v>
      </c>
      <c r="E1451" s="1179">
        <v>2018</v>
      </c>
      <c r="F1451" s="1282" t="s">
        <v>20220</v>
      </c>
      <c r="G1451" s="1368">
        <v>18.25</v>
      </c>
      <c r="H1451" s="1178" t="s">
        <v>20221</v>
      </c>
      <c r="I1451" s="1178" t="s">
        <v>5521</v>
      </c>
      <c r="J1451" s="1178" t="s">
        <v>662</v>
      </c>
      <c r="K1451" s="1178" t="s">
        <v>267</v>
      </c>
      <c r="L1451" s="1178" t="s">
        <v>211</v>
      </c>
      <c r="M1451" s="1369"/>
      <c r="N1451" s="1178"/>
      <c r="O1451" s="1178">
        <v>6</v>
      </c>
      <c r="P1451" s="1178">
        <v>12.5</v>
      </c>
    </row>
    <row r="1452" spans="1:16">
      <c r="A1452" s="1178" t="s">
        <v>232</v>
      </c>
      <c r="B1452" s="1371" t="str">
        <f>HYPERLINK(IFERROR("#Main_Tariff!A"&amp;MATCH(Raeburn_Main_Tariff[[#This Row],[Product Code]],Main_Tariff!I:I,0),"#Main_Tariff!A"&amp;MATCH("*"&amp;RIGHT(A1452,8)&amp;"*",Main_Tariff!A:A,0)),Raeburn_Main_Tariff[[#This Row],[PRODUCER]])</f>
        <v>Hubert Lignier</v>
      </c>
      <c r="C1452" s="1178" t="s">
        <v>20890</v>
      </c>
      <c r="D1452" s="1178" t="s">
        <v>1129</v>
      </c>
      <c r="E1452" s="1179">
        <v>2017</v>
      </c>
      <c r="F1452" s="1282" t="s">
        <v>20220</v>
      </c>
      <c r="G1452" s="1368">
        <v>18.25</v>
      </c>
      <c r="H1452" s="1178" t="s">
        <v>20221</v>
      </c>
      <c r="I1452" s="1178" t="s">
        <v>4097</v>
      </c>
      <c r="J1452" s="1178" t="s">
        <v>662</v>
      </c>
      <c r="K1452" s="1178" t="s">
        <v>267</v>
      </c>
      <c r="L1452" s="1178" t="s">
        <v>211</v>
      </c>
      <c r="M1452" s="1369"/>
      <c r="N1452" s="1178"/>
      <c r="O1452" s="1178">
        <v>6</v>
      </c>
      <c r="P1452" s="1178">
        <v>12.5</v>
      </c>
    </row>
    <row r="1453" spans="1:16">
      <c r="A1453" s="1178" t="s">
        <v>232</v>
      </c>
      <c r="B1453" s="1371" t="str">
        <f>HYPERLINK(IFERROR("#Main_Tariff!A"&amp;MATCH(Raeburn_Main_Tariff[[#This Row],[Product Code]],Main_Tariff!I:I,0),"#Main_Tariff!A"&amp;MATCH("*"&amp;RIGHT(A1453,8)&amp;"*",Main_Tariff!A:A,0)),Raeburn_Main_Tariff[[#This Row],[PRODUCER]])</f>
        <v>Hubert Lignier</v>
      </c>
      <c r="C1453" s="1178" t="s">
        <v>18923</v>
      </c>
      <c r="D1453" s="1178" t="s">
        <v>1129</v>
      </c>
      <c r="E1453" s="1179">
        <v>2022</v>
      </c>
      <c r="F1453" s="1282" t="s">
        <v>20220</v>
      </c>
      <c r="G1453" s="1368">
        <v>38</v>
      </c>
      <c r="H1453" s="1178" t="s">
        <v>20221</v>
      </c>
      <c r="I1453" s="1178" t="s">
        <v>5526</v>
      </c>
      <c r="J1453" s="1178" t="s">
        <v>662</v>
      </c>
      <c r="K1453" s="1178" t="s">
        <v>267</v>
      </c>
      <c r="L1453" s="1178" t="s">
        <v>211</v>
      </c>
      <c r="M1453" s="1369"/>
      <c r="N1453" s="1178"/>
      <c r="O1453" s="1178">
        <v>6</v>
      </c>
      <c r="P1453" s="1178">
        <v>13</v>
      </c>
    </row>
    <row r="1454" spans="1:16">
      <c r="A1454" s="1178" t="s">
        <v>232</v>
      </c>
      <c r="B1454" s="1371" t="str">
        <f>HYPERLINK(IFERROR("#Main_Tariff!A"&amp;MATCH(Raeburn_Main_Tariff[[#This Row],[Product Code]],Main_Tariff!I:I,0),"#Main_Tariff!A"&amp;MATCH("*"&amp;RIGHT(A1454,8)&amp;"*",Main_Tariff!A:A,0)),Raeburn_Main_Tariff[[#This Row],[PRODUCER]])</f>
        <v>Hubert Lignier</v>
      </c>
      <c r="C1454" s="1178" t="s">
        <v>18923</v>
      </c>
      <c r="D1454" s="1178" t="s">
        <v>1129</v>
      </c>
      <c r="E1454" s="1179">
        <v>2021</v>
      </c>
      <c r="F1454" s="1282" t="s">
        <v>20220</v>
      </c>
      <c r="G1454" s="1368">
        <v>35.25</v>
      </c>
      <c r="H1454" s="1178" t="s">
        <v>20221</v>
      </c>
      <c r="I1454" s="1178" t="s">
        <v>5527</v>
      </c>
      <c r="J1454" s="1178" t="s">
        <v>662</v>
      </c>
      <c r="K1454" s="1178" t="s">
        <v>267</v>
      </c>
      <c r="L1454" s="1178" t="s">
        <v>211</v>
      </c>
      <c r="M1454" s="1369"/>
      <c r="N1454" s="1178"/>
      <c r="O1454" s="1178">
        <v>6</v>
      </c>
      <c r="P1454" s="1178">
        <v>12.5</v>
      </c>
    </row>
    <row r="1455" spans="1:16">
      <c r="A1455" s="1178" t="s">
        <v>232</v>
      </c>
      <c r="B1455" s="1371" t="str">
        <f>HYPERLINK(IFERROR("#Main_Tariff!A"&amp;MATCH(Raeburn_Main_Tariff[[#This Row],[Product Code]],Main_Tariff!I:I,0),"#Main_Tariff!A"&amp;MATCH("*"&amp;RIGHT(A1455,8)&amp;"*",Main_Tariff!A:A,0)),Raeburn_Main_Tariff[[#This Row],[PRODUCER]])</f>
        <v>Hubert Lignier</v>
      </c>
      <c r="C1455" s="1178" t="s">
        <v>18923</v>
      </c>
      <c r="D1455" s="1178" t="s">
        <v>1129</v>
      </c>
      <c r="E1455" s="1179">
        <v>2020</v>
      </c>
      <c r="F1455" s="1282" t="s">
        <v>20220</v>
      </c>
      <c r="G1455" s="1368">
        <v>32</v>
      </c>
      <c r="H1455" s="1178" t="s">
        <v>20221</v>
      </c>
      <c r="I1455" s="1178" t="s">
        <v>5529</v>
      </c>
      <c r="J1455" s="1178" t="s">
        <v>662</v>
      </c>
      <c r="K1455" s="1178" t="s">
        <v>267</v>
      </c>
      <c r="L1455" s="1178" t="s">
        <v>211</v>
      </c>
      <c r="M1455" s="1369"/>
      <c r="N1455" s="1178"/>
      <c r="O1455" s="1178">
        <v>6</v>
      </c>
      <c r="P1455" s="1178">
        <v>13</v>
      </c>
    </row>
    <row r="1456" spans="1:16">
      <c r="A1456" s="1178" t="s">
        <v>232</v>
      </c>
      <c r="B1456" s="1371" t="str">
        <f>HYPERLINK(IFERROR("#Main_Tariff!A"&amp;MATCH(Raeburn_Main_Tariff[[#This Row],[Product Code]],Main_Tariff!I:I,0),"#Main_Tariff!A"&amp;MATCH("*"&amp;RIGHT(A1456,8)&amp;"*",Main_Tariff!A:A,0)),Raeburn_Main_Tariff[[#This Row],[PRODUCER]])</f>
        <v>Hubert Lignier</v>
      </c>
      <c r="C1456" s="1178" t="s">
        <v>18923</v>
      </c>
      <c r="D1456" s="1178" t="s">
        <v>1129</v>
      </c>
      <c r="E1456" s="1179">
        <v>2019</v>
      </c>
      <c r="F1456" s="1282" t="s">
        <v>20220</v>
      </c>
      <c r="G1456" s="1368">
        <v>30.5</v>
      </c>
      <c r="H1456" s="1178" t="s">
        <v>20224</v>
      </c>
      <c r="I1456" s="1178" t="s">
        <v>5530</v>
      </c>
      <c r="J1456" s="1178" t="s">
        <v>662</v>
      </c>
      <c r="K1456" s="1178" t="s">
        <v>267</v>
      </c>
      <c r="L1456" s="1178" t="s">
        <v>211</v>
      </c>
      <c r="M1456" s="1369"/>
      <c r="N1456" s="1178"/>
      <c r="O1456" s="1178">
        <v>6</v>
      </c>
      <c r="P1456" s="1178">
        <v>13.5</v>
      </c>
    </row>
    <row r="1457" spans="1:16">
      <c r="A1457" s="1178" t="s">
        <v>232</v>
      </c>
      <c r="B1457" s="1371" t="str">
        <f>HYPERLINK(IFERROR("#Main_Tariff!A"&amp;MATCH(Raeburn_Main_Tariff[[#This Row],[Product Code]],Main_Tariff!I:I,0),"#Main_Tariff!A"&amp;MATCH("*"&amp;RIGHT(A1457,8)&amp;"*",Main_Tariff!A:A,0)),Raeburn_Main_Tariff[[#This Row],[PRODUCER]])</f>
        <v>Hubert Lignier</v>
      </c>
      <c r="C1457" s="1178" t="s">
        <v>18923</v>
      </c>
      <c r="D1457" s="1178" t="s">
        <v>1129</v>
      </c>
      <c r="E1457" s="1179">
        <v>2018</v>
      </c>
      <c r="F1457" s="1282" t="s">
        <v>20220</v>
      </c>
      <c r="G1457" s="1368">
        <v>30.5</v>
      </c>
      <c r="H1457" s="1178" t="s">
        <v>20221</v>
      </c>
      <c r="I1457" s="1178" t="s">
        <v>5532</v>
      </c>
      <c r="J1457" s="1178" t="s">
        <v>662</v>
      </c>
      <c r="K1457" s="1178" t="s">
        <v>267</v>
      </c>
      <c r="L1457" s="1178" t="s">
        <v>211</v>
      </c>
      <c r="M1457" s="1369"/>
      <c r="N1457" s="1178"/>
      <c r="O1457" s="1178">
        <v>6</v>
      </c>
      <c r="P1457" s="1178">
        <v>13</v>
      </c>
    </row>
    <row r="1458" spans="1:16">
      <c r="A1458" s="1178" t="s">
        <v>232</v>
      </c>
      <c r="B1458" s="1371" t="str">
        <f>HYPERLINK(IFERROR("#Main_Tariff!A"&amp;MATCH(Raeburn_Main_Tariff[[#This Row],[Product Code]],Main_Tariff!I:I,0),"#Main_Tariff!A"&amp;MATCH("*"&amp;RIGHT(A1458,8)&amp;"*",Main_Tariff!A:A,0)),Raeburn_Main_Tariff[[#This Row],[PRODUCER]])</f>
        <v>Hubert Lignier</v>
      </c>
      <c r="C1458" s="1178" t="s">
        <v>18923</v>
      </c>
      <c r="D1458" s="1178" t="s">
        <v>1129</v>
      </c>
      <c r="E1458" s="1179">
        <v>2017</v>
      </c>
      <c r="F1458" s="1282" t="s">
        <v>20220</v>
      </c>
      <c r="G1458" s="1368">
        <v>30.5</v>
      </c>
      <c r="H1458" s="1178" t="s">
        <v>20277</v>
      </c>
      <c r="I1458" s="1178" t="s">
        <v>5534</v>
      </c>
      <c r="J1458" s="1178" t="s">
        <v>662</v>
      </c>
      <c r="K1458" s="1178" t="s">
        <v>267</v>
      </c>
      <c r="L1458" s="1178" t="s">
        <v>211</v>
      </c>
      <c r="M1458" s="1369"/>
      <c r="N1458" s="1178"/>
      <c r="O1458" s="1178">
        <v>6</v>
      </c>
      <c r="P1458" s="1178">
        <v>13</v>
      </c>
    </row>
    <row r="1459" spans="1:16">
      <c r="A1459" s="1178" t="s">
        <v>232</v>
      </c>
      <c r="B1459" s="1371" t="str">
        <f>HYPERLINK(IFERROR("#Main_Tariff!A"&amp;MATCH(Raeburn_Main_Tariff[[#This Row],[Product Code]],Main_Tariff!I:I,0),"#Main_Tariff!A"&amp;MATCH("*"&amp;RIGHT(A1459,8)&amp;"*",Main_Tariff!A:A,0)),Raeburn_Main_Tariff[[#This Row],[PRODUCER]])</f>
        <v>Hubert Lignier</v>
      </c>
      <c r="C1459" s="1178" t="s">
        <v>20891</v>
      </c>
      <c r="D1459" s="1178" t="s">
        <v>1129</v>
      </c>
      <c r="E1459" s="1179">
        <v>2022</v>
      </c>
      <c r="F1459" s="1282" t="s">
        <v>20240</v>
      </c>
      <c r="G1459" s="1368">
        <v>83.25</v>
      </c>
      <c r="H1459" s="1178" t="s">
        <v>20224</v>
      </c>
      <c r="I1459" s="1178" t="s">
        <v>5536</v>
      </c>
      <c r="J1459" s="1178" t="s">
        <v>662</v>
      </c>
      <c r="K1459" s="1178" t="s">
        <v>267</v>
      </c>
      <c r="L1459" s="1178" t="s">
        <v>211</v>
      </c>
      <c r="M1459" s="1369"/>
      <c r="N1459" s="1178"/>
      <c r="O1459" s="1178">
        <v>3</v>
      </c>
      <c r="P1459" s="1178">
        <v>13.5</v>
      </c>
    </row>
    <row r="1460" spans="1:16">
      <c r="A1460" s="1178" t="s">
        <v>232</v>
      </c>
      <c r="B1460" s="1371" t="str">
        <f>HYPERLINK(IFERROR("#Main_Tariff!A"&amp;MATCH(Raeburn_Main_Tariff[[#This Row],[Product Code]],Main_Tariff!I:I,0),"#Main_Tariff!A"&amp;MATCH("*"&amp;RIGHT(A1460,8)&amp;"*",Main_Tariff!A:A,0)),Raeburn_Main_Tariff[[#This Row],[PRODUCER]])</f>
        <v>Hubert Lignier</v>
      </c>
      <c r="C1460" s="1178" t="s">
        <v>20892</v>
      </c>
      <c r="D1460" s="1178" t="s">
        <v>897</v>
      </c>
      <c r="E1460" s="1179">
        <v>2022</v>
      </c>
      <c r="F1460" s="1282" t="s">
        <v>20220</v>
      </c>
      <c r="G1460" s="1368">
        <v>29.75</v>
      </c>
      <c r="H1460" s="1178" t="s">
        <v>20221</v>
      </c>
      <c r="I1460" s="1178" t="s">
        <v>5539</v>
      </c>
      <c r="J1460" s="1178" t="s">
        <v>662</v>
      </c>
      <c r="K1460" s="1178" t="s">
        <v>267</v>
      </c>
      <c r="L1460" s="1178" t="s">
        <v>211</v>
      </c>
      <c r="M1460" s="1369"/>
      <c r="N1460" s="1178" t="s">
        <v>20244</v>
      </c>
      <c r="O1460" s="1178">
        <v>6</v>
      </c>
      <c r="P1460" s="1178">
        <v>13</v>
      </c>
    </row>
    <row r="1461" spans="1:16">
      <c r="A1461" s="1178" t="s">
        <v>232</v>
      </c>
      <c r="B1461" s="1371" t="str">
        <f>HYPERLINK(IFERROR("#Main_Tariff!A"&amp;MATCH(Raeburn_Main_Tariff[[#This Row],[Product Code]],Main_Tariff!I:I,0),"#Main_Tariff!A"&amp;MATCH("*"&amp;RIGHT(A1461,8)&amp;"*",Main_Tariff!A:A,0)),Raeburn_Main_Tariff[[#This Row],[PRODUCER]])</f>
        <v>Hubert Lignier</v>
      </c>
      <c r="C1461" s="1178" t="s">
        <v>20892</v>
      </c>
      <c r="D1461" s="1178" t="s">
        <v>897</v>
      </c>
      <c r="E1461" s="1179">
        <v>2021</v>
      </c>
      <c r="F1461" s="1282" t="s">
        <v>20220</v>
      </c>
      <c r="G1461" s="1368">
        <v>28.5</v>
      </c>
      <c r="H1461" s="1178" t="s">
        <v>20221</v>
      </c>
      <c r="I1461" s="1178" t="s">
        <v>5541</v>
      </c>
      <c r="J1461" s="1178" t="s">
        <v>662</v>
      </c>
      <c r="K1461" s="1178" t="s">
        <v>267</v>
      </c>
      <c r="L1461" s="1178" t="s">
        <v>211</v>
      </c>
      <c r="M1461" s="1369"/>
      <c r="N1461" s="1178" t="s">
        <v>20244</v>
      </c>
      <c r="O1461" s="1178">
        <v>6</v>
      </c>
      <c r="P1461" s="1178">
        <v>12.5</v>
      </c>
    </row>
    <row r="1462" spans="1:16">
      <c r="A1462" s="1178" t="s">
        <v>232</v>
      </c>
      <c r="B1462" s="1371" t="str">
        <f>HYPERLINK(IFERROR("#Main_Tariff!A"&amp;MATCH(Raeburn_Main_Tariff[[#This Row],[Product Code]],Main_Tariff!I:I,0),"#Main_Tariff!A"&amp;MATCH("*"&amp;RIGHT(A1462,8)&amp;"*",Main_Tariff!A:A,0)),Raeburn_Main_Tariff[[#This Row],[PRODUCER]])</f>
        <v>Hubert Lignier</v>
      </c>
      <c r="C1462" s="1178" t="s">
        <v>20892</v>
      </c>
      <c r="D1462" s="1178" t="s">
        <v>897</v>
      </c>
      <c r="E1462" s="1179">
        <v>2020</v>
      </c>
      <c r="F1462" s="1282" t="s">
        <v>20220</v>
      </c>
      <c r="G1462" s="1368">
        <v>26.5</v>
      </c>
      <c r="H1462" s="1178" t="s">
        <v>20221</v>
      </c>
      <c r="I1462" s="1178" t="s">
        <v>5543</v>
      </c>
      <c r="J1462" s="1178" t="s">
        <v>662</v>
      </c>
      <c r="K1462" s="1178" t="s">
        <v>267</v>
      </c>
      <c r="L1462" s="1178" t="s">
        <v>211</v>
      </c>
      <c r="M1462" s="1369"/>
      <c r="N1462" s="1178" t="s">
        <v>20244</v>
      </c>
      <c r="O1462" s="1178">
        <v>6</v>
      </c>
      <c r="P1462" s="1178">
        <v>15</v>
      </c>
    </row>
    <row r="1463" spans="1:16">
      <c r="A1463" s="1178" t="s">
        <v>232</v>
      </c>
      <c r="B1463" s="1371" t="str">
        <f>HYPERLINK(IFERROR("#Main_Tariff!A"&amp;MATCH(Raeburn_Main_Tariff[[#This Row],[Product Code]],Main_Tariff!I:I,0),"#Main_Tariff!A"&amp;MATCH("*"&amp;RIGHT(A1463,8)&amp;"*",Main_Tariff!A:A,0)),Raeburn_Main_Tariff[[#This Row],[PRODUCER]])</f>
        <v>Hubert Lignier</v>
      </c>
      <c r="C1463" s="1178" t="s">
        <v>20856</v>
      </c>
      <c r="D1463" s="1178" t="s">
        <v>897</v>
      </c>
      <c r="E1463" s="1179">
        <v>2018</v>
      </c>
      <c r="F1463" s="1282" t="s">
        <v>20220</v>
      </c>
      <c r="G1463" s="1368">
        <v>25.5</v>
      </c>
      <c r="H1463" s="1178" t="s">
        <v>20221</v>
      </c>
      <c r="I1463" s="1178" t="s">
        <v>5545</v>
      </c>
      <c r="J1463" s="1178" t="s">
        <v>662</v>
      </c>
      <c r="K1463" s="1178" t="s">
        <v>267</v>
      </c>
      <c r="L1463" s="1178" t="s">
        <v>211</v>
      </c>
      <c r="M1463" s="1369"/>
      <c r="N1463" s="1178"/>
      <c r="O1463" s="1178">
        <v>6</v>
      </c>
      <c r="P1463" s="1178">
        <v>14.5</v>
      </c>
    </row>
    <row r="1464" spans="1:16">
      <c r="A1464" s="1178" t="s">
        <v>232</v>
      </c>
      <c r="B1464" s="1371" t="str">
        <f>HYPERLINK(IFERROR("#Main_Tariff!A"&amp;MATCH(Raeburn_Main_Tariff[[#This Row],[Product Code]],Main_Tariff!I:I,0),"#Main_Tariff!A"&amp;MATCH("*"&amp;RIGHT(A1464,8)&amp;"*",Main_Tariff!A:A,0)),Raeburn_Main_Tariff[[#This Row],[PRODUCER]])</f>
        <v>Hubert Lignier</v>
      </c>
      <c r="C1464" s="1178" t="s">
        <v>20856</v>
      </c>
      <c r="D1464" s="1178" t="s">
        <v>897</v>
      </c>
      <c r="E1464" s="1179">
        <v>2017</v>
      </c>
      <c r="F1464" s="1282" t="s">
        <v>20220</v>
      </c>
      <c r="G1464" s="1368">
        <v>25.5</v>
      </c>
      <c r="H1464" s="1178" t="s">
        <v>20221</v>
      </c>
      <c r="I1464" s="1178" t="s">
        <v>5547</v>
      </c>
      <c r="J1464" s="1178" t="s">
        <v>662</v>
      </c>
      <c r="K1464" s="1178" t="s">
        <v>267</v>
      </c>
      <c r="L1464" s="1178" t="s">
        <v>211</v>
      </c>
      <c r="M1464" s="1369"/>
      <c r="N1464" s="1178"/>
      <c r="O1464" s="1178">
        <v>6</v>
      </c>
      <c r="P1464" s="1178">
        <v>13</v>
      </c>
    </row>
    <row r="1465" spans="1:16">
      <c r="A1465" s="1178" t="s">
        <v>232</v>
      </c>
      <c r="B1465" s="1371" t="str">
        <f>HYPERLINK(IFERROR("#Main_Tariff!A"&amp;MATCH(Raeburn_Main_Tariff[[#This Row],[Product Code]],Main_Tariff!I:I,0),"#Main_Tariff!A"&amp;MATCH("*"&amp;RIGHT(A1465,8)&amp;"*",Main_Tariff!A:A,0)),Raeburn_Main_Tariff[[#This Row],[PRODUCER]])</f>
        <v>Hubert Lignier</v>
      </c>
      <c r="C1465" s="1178" t="s">
        <v>20856</v>
      </c>
      <c r="D1465" s="1178" t="s">
        <v>897</v>
      </c>
      <c r="E1465" s="1179">
        <v>2016</v>
      </c>
      <c r="F1465" s="1282" t="s">
        <v>20220</v>
      </c>
      <c r="G1465" s="1368">
        <v>25.5</v>
      </c>
      <c r="H1465" s="1178" t="s">
        <v>20221</v>
      </c>
      <c r="I1465" s="1178" t="s">
        <v>5549</v>
      </c>
      <c r="J1465" s="1178" t="s">
        <v>662</v>
      </c>
      <c r="K1465" s="1178" t="s">
        <v>267</v>
      </c>
      <c r="L1465" s="1178" t="s">
        <v>211</v>
      </c>
      <c r="M1465" s="1369"/>
      <c r="N1465" s="1178"/>
      <c r="O1465" s="1178">
        <v>6</v>
      </c>
      <c r="P1465" s="1178">
        <v>13</v>
      </c>
    </row>
    <row r="1466" spans="1:16">
      <c r="A1466" s="1178" t="s">
        <v>232</v>
      </c>
      <c r="B1466" s="1371" t="str">
        <f>HYPERLINK(IFERROR("#Main_Tariff!A"&amp;MATCH(Raeburn_Main_Tariff[[#This Row],[Product Code]],Main_Tariff!I:I,0),"#Main_Tariff!A"&amp;MATCH("*"&amp;RIGHT(A1466,8)&amp;"*",Main_Tariff!A:A,0)),Raeburn_Main_Tariff[[#This Row],[PRODUCER]])</f>
        <v>Hubert Lignier</v>
      </c>
      <c r="C1466" s="1178" t="s">
        <v>20856</v>
      </c>
      <c r="D1466" s="1178" t="s">
        <v>897</v>
      </c>
      <c r="E1466" s="1179">
        <v>2015</v>
      </c>
      <c r="F1466" s="1282" t="s">
        <v>20220</v>
      </c>
      <c r="G1466" s="1368">
        <v>25.5</v>
      </c>
      <c r="H1466" s="1178" t="s">
        <v>20224</v>
      </c>
      <c r="I1466" s="1178" t="s">
        <v>5551</v>
      </c>
      <c r="J1466" s="1178" t="s">
        <v>662</v>
      </c>
      <c r="K1466" s="1178" t="s">
        <v>267</v>
      </c>
      <c r="L1466" s="1178" t="s">
        <v>211</v>
      </c>
      <c r="M1466" s="1369"/>
      <c r="N1466" s="1178"/>
      <c r="O1466" s="1178">
        <v>6</v>
      </c>
      <c r="P1466" s="1178">
        <v>13</v>
      </c>
    </row>
    <row r="1467" spans="1:16">
      <c r="A1467" s="1178" t="s">
        <v>232</v>
      </c>
      <c r="B1467" s="1371" t="str">
        <f>HYPERLINK(IFERROR("#Main_Tariff!A"&amp;MATCH(Raeburn_Main_Tariff[[#This Row],[Product Code]],Main_Tariff!I:I,0),"#Main_Tariff!A"&amp;MATCH("*"&amp;RIGHT(A1467,8)&amp;"*",Main_Tariff!A:A,0)),Raeburn_Main_Tariff[[#This Row],[PRODUCER]])</f>
        <v>Hubert Lignier</v>
      </c>
      <c r="C1467" s="1178" t="s">
        <v>20893</v>
      </c>
      <c r="D1467" s="1178" t="s">
        <v>897</v>
      </c>
      <c r="E1467" s="1179">
        <v>2021</v>
      </c>
      <c r="F1467" s="1282" t="s">
        <v>20220</v>
      </c>
      <c r="G1467" s="1368">
        <v>56</v>
      </c>
      <c r="H1467" s="1178" t="s">
        <v>20221</v>
      </c>
      <c r="I1467" s="1178" t="s">
        <v>5554</v>
      </c>
      <c r="J1467" s="1178" t="s">
        <v>662</v>
      </c>
      <c r="K1467" s="1178" t="s">
        <v>267</v>
      </c>
      <c r="L1467" s="1178" t="s">
        <v>211</v>
      </c>
      <c r="M1467" s="1369"/>
      <c r="N1467" s="1178"/>
      <c r="O1467" s="1178">
        <v>6</v>
      </c>
      <c r="P1467" s="1178">
        <v>13</v>
      </c>
    </row>
    <row r="1468" spans="1:16">
      <c r="A1468" s="1178" t="s">
        <v>232</v>
      </c>
      <c r="B1468" s="1371" t="str">
        <f>HYPERLINK(IFERROR("#Main_Tariff!A"&amp;MATCH(Raeburn_Main_Tariff[[#This Row],[Product Code]],Main_Tariff!I:I,0),"#Main_Tariff!A"&amp;MATCH("*"&amp;RIGHT(A1468,8)&amp;"*",Main_Tariff!A:A,0)),Raeburn_Main_Tariff[[#This Row],[PRODUCER]])</f>
        <v>Hubert Lignier</v>
      </c>
      <c r="C1468" s="1178" t="s">
        <v>20893</v>
      </c>
      <c r="D1468" s="1178" t="s">
        <v>897</v>
      </c>
      <c r="E1468" s="1179">
        <v>2020</v>
      </c>
      <c r="F1468" s="1282" t="s">
        <v>20220</v>
      </c>
      <c r="G1468" s="1368">
        <v>53.5</v>
      </c>
      <c r="H1468" s="1178" t="s">
        <v>20221</v>
      </c>
      <c r="I1468" s="1178" t="s">
        <v>5556</v>
      </c>
      <c r="J1468" s="1178" t="s">
        <v>662</v>
      </c>
      <c r="K1468" s="1178" t="s">
        <v>267</v>
      </c>
      <c r="L1468" s="1178" t="s">
        <v>211</v>
      </c>
      <c r="M1468" s="1369"/>
      <c r="N1468" s="1178"/>
      <c r="O1468" s="1178">
        <v>6</v>
      </c>
      <c r="P1468" s="1178">
        <v>13</v>
      </c>
    </row>
    <row r="1469" spans="1:16">
      <c r="A1469" s="1178" t="s">
        <v>232</v>
      </c>
      <c r="B1469" s="1371" t="str">
        <f>HYPERLINK(IFERROR("#Main_Tariff!A"&amp;MATCH(Raeburn_Main_Tariff[[#This Row],[Product Code]],Main_Tariff!I:I,0),"#Main_Tariff!A"&amp;MATCH("*"&amp;RIGHT(A1469,8)&amp;"*",Main_Tariff!A:A,0)),Raeburn_Main_Tariff[[#This Row],[PRODUCER]])</f>
        <v>Hubert Lignier</v>
      </c>
      <c r="C1469" s="1178" t="s">
        <v>20893</v>
      </c>
      <c r="D1469" s="1178" t="s">
        <v>897</v>
      </c>
      <c r="E1469" s="1179">
        <v>2018</v>
      </c>
      <c r="F1469" s="1282" t="s">
        <v>20220</v>
      </c>
      <c r="G1469" s="1368">
        <v>47</v>
      </c>
      <c r="H1469" s="1178" t="s">
        <v>20221</v>
      </c>
      <c r="I1469" s="1178" t="s">
        <v>5558</v>
      </c>
      <c r="J1469" s="1178" t="s">
        <v>662</v>
      </c>
      <c r="K1469" s="1178" t="s">
        <v>267</v>
      </c>
      <c r="L1469" s="1178" t="s">
        <v>211</v>
      </c>
      <c r="M1469" s="1369"/>
      <c r="N1469" s="1178"/>
      <c r="O1469" s="1178">
        <v>6</v>
      </c>
      <c r="P1469" s="1178">
        <v>13.5</v>
      </c>
    </row>
    <row r="1470" spans="1:16">
      <c r="A1470" s="1178" t="s">
        <v>232</v>
      </c>
      <c r="B1470" s="1371" t="str">
        <f>HYPERLINK(IFERROR("#Main_Tariff!A"&amp;MATCH(Raeburn_Main_Tariff[[#This Row],[Product Code]],Main_Tariff!I:I,0),"#Main_Tariff!A"&amp;MATCH("*"&amp;RIGHT(A1470,8)&amp;"*",Main_Tariff!A:A,0)),Raeburn_Main_Tariff[[#This Row],[PRODUCER]])</f>
        <v>Hubert Lignier</v>
      </c>
      <c r="C1470" s="1178" t="s">
        <v>20893</v>
      </c>
      <c r="D1470" s="1178" t="s">
        <v>897</v>
      </c>
      <c r="E1470" s="1179">
        <v>2017</v>
      </c>
      <c r="F1470" s="1282" t="s">
        <v>20220</v>
      </c>
      <c r="G1470" s="1368">
        <v>47</v>
      </c>
      <c r="H1470" s="1178" t="s">
        <v>20221</v>
      </c>
      <c r="I1470" s="1178" t="s">
        <v>5560</v>
      </c>
      <c r="J1470" s="1178" t="s">
        <v>662</v>
      </c>
      <c r="K1470" s="1178" t="s">
        <v>267</v>
      </c>
      <c r="L1470" s="1178" t="s">
        <v>211</v>
      </c>
      <c r="M1470" s="1369"/>
      <c r="N1470" s="1178"/>
      <c r="O1470" s="1178">
        <v>6</v>
      </c>
      <c r="P1470" s="1178">
        <v>12.5</v>
      </c>
    </row>
    <row r="1471" spans="1:16">
      <c r="A1471" s="1178" t="s">
        <v>232</v>
      </c>
      <c r="B1471" s="1371" t="str">
        <f>HYPERLINK(IFERROR("#Main_Tariff!A"&amp;MATCH(Raeburn_Main_Tariff[[#This Row],[Product Code]],Main_Tariff!I:I,0),"#Main_Tariff!A"&amp;MATCH("*"&amp;RIGHT(A1471,8)&amp;"*",Main_Tariff!A:A,0)),Raeburn_Main_Tariff[[#This Row],[PRODUCER]])</f>
        <v>Hubert Lignier</v>
      </c>
      <c r="C1471" s="1178" t="s">
        <v>20894</v>
      </c>
      <c r="D1471" s="1178" t="s">
        <v>897</v>
      </c>
      <c r="E1471" s="1179">
        <v>2021</v>
      </c>
      <c r="F1471" s="1282" t="s">
        <v>20220</v>
      </c>
      <c r="G1471" s="1368">
        <v>61</v>
      </c>
      <c r="H1471" s="1178" t="s">
        <v>20221</v>
      </c>
      <c r="I1471" s="1178" t="s">
        <v>5562</v>
      </c>
      <c r="J1471" s="1178" t="s">
        <v>662</v>
      </c>
      <c r="K1471" s="1178" t="s">
        <v>267</v>
      </c>
      <c r="L1471" s="1178" t="s">
        <v>211</v>
      </c>
      <c r="M1471" s="1369"/>
      <c r="N1471" s="1178" t="s">
        <v>20244</v>
      </c>
      <c r="O1471" s="1178">
        <v>6</v>
      </c>
      <c r="P1471" s="1178">
        <v>13</v>
      </c>
    </row>
    <row r="1472" spans="1:16">
      <c r="A1472" s="1178" t="s">
        <v>232</v>
      </c>
      <c r="B1472" s="1371" t="str">
        <f>HYPERLINK(IFERROR("#Main_Tariff!A"&amp;MATCH(Raeburn_Main_Tariff[[#This Row],[Product Code]],Main_Tariff!I:I,0),"#Main_Tariff!A"&amp;MATCH("*"&amp;RIGHT(A1472,8)&amp;"*",Main_Tariff!A:A,0)),Raeburn_Main_Tariff[[#This Row],[PRODUCER]])</f>
        <v>Hubert Lignier</v>
      </c>
      <c r="C1472" s="1178" t="s">
        <v>20894</v>
      </c>
      <c r="D1472" s="1178" t="s">
        <v>897</v>
      </c>
      <c r="E1472" s="1179">
        <v>2020</v>
      </c>
      <c r="F1472" s="1282" t="s">
        <v>20220</v>
      </c>
      <c r="G1472" s="1368">
        <v>57.75</v>
      </c>
      <c r="H1472" s="1178" t="s">
        <v>20224</v>
      </c>
      <c r="I1472" s="1178" t="s">
        <v>5564</v>
      </c>
      <c r="J1472" s="1178" t="s">
        <v>662</v>
      </c>
      <c r="K1472" s="1178" t="s">
        <v>267</v>
      </c>
      <c r="L1472" s="1178" t="s">
        <v>211</v>
      </c>
      <c r="M1472" s="1369"/>
      <c r="N1472" s="1178" t="s">
        <v>20244</v>
      </c>
      <c r="O1472" s="1178">
        <v>6</v>
      </c>
      <c r="P1472" s="1178">
        <v>13.5</v>
      </c>
    </row>
    <row r="1473" spans="1:16">
      <c r="A1473" s="1178" t="s">
        <v>232</v>
      </c>
      <c r="B1473" s="1371" t="str">
        <f>HYPERLINK(IFERROR("#Main_Tariff!A"&amp;MATCH(Raeburn_Main_Tariff[[#This Row],[Product Code]],Main_Tariff!I:I,0),"#Main_Tariff!A"&amp;MATCH("*"&amp;RIGHT(A1473,8)&amp;"*",Main_Tariff!A:A,0)),Raeburn_Main_Tariff[[#This Row],[PRODUCER]])</f>
        <v>Hubert Lignier</v>
      </c>
      <c r="C1473" s="1178" t="s">
        <v>20894</v>
      </c>
      <c r="D1473" s="1178" t="s">
        <v>897</v>
      </c>
      <c r="E1473" s="1179">
        <v>2019</v>
      </c>
      <c r="F1473" s="1282" t="s">
        <v>20220</v>
      </c>
      <c r="G1473" s="1368">
        <v>57.75</v>
      </c>
      <c r="H1473" s="1178" t="s">
        <v>20221</v>
      </c>
      <c r="I1473" s="1178" t="s">
        <v>5566</v>
      </c>
      <c r="J1473" s="1178" t="s">
        <v>662</v>
      </c>
      <c r="K1473" s="1178" t="s">
        <v>267</v>
      </c>
      <c r="L1473" s="1178" t="s">
        <v>211</v>
      </c>
      <c r="M1473" s="1369"/>
      <c r="N1473" s="1178" t="s">
        <v>20244</v>
      </c>
      <c r="O1473" s="1178">
        <v>6</v>
      </c>
      <c r="P1473" s="1178">
        <v>14.5</v>
      </c>
    </row>
    <row r="1474" spans="1:16">
      <c r="A1474" s="1178" t="s">
        <v>232</v>
      </c>
      <c r="B1474" s="1371" t="str">
        <f>HYPERLINK(IFERROR("#Main_Tariff!A"&amp;MATCH(Raeburn_Main_Tariff[[#This Row],[Product Code]],Main_Tariff!I:I,0),"#Main_Tariff!A"&amp;MATCH("*"&amp;RIGHT(A1474,8)&amp;"*",Main_Tariff!A:A,0)),Raeburn_Main_Tariff[[#This Row],[PRODUCER]])</f>
        <v>Hubert Lignier</v>
      </c>
      <c r="C1474" s="1178" t="s">
        <v>20894</v>
      </c>
      <c r="D1474" s="1178" t="s">
        <v>897</v>
      </c>
      <c r="E1474" s="1179">
        <v>2018</v>
      </c>
      <c r="F1474" s="1282" t="s">
        <v>20220</v>
      </c>
      <c r="G1474" s="1368">
        <v>50</v>
      </c>
      <c r="H1474" s="1178" t="s">
        <v>20221</v>
      </c>
      <c r="I1474" s="1178" t="s">
        <v>5568</v>
      </c>
      <c r="J1474" s="1178" t="s">
        <v>662</v>
      </c>
      <c r="K1474" s="1178" t="s">
        <v>267</v>
      </c>
      <c r="L1474" s="1178" t="s">
        <v>211</v>
      </c>
      <c r="M1474" s="1369"/>
      <c r="N1474" s="1178"/>
      <c r="O1474" s="1178">
        <v>6</v>
      </c>
      <c r="P1474" s="1178">
        <v>13.5</v>
      </c>
    </row>
    <row r="1475" spans="1:16">
      <c r="A1475" s="1178" t="s">
        <v>232</v>
      </c>
      <c r="B1475" s="1371" t="str">
        <f>HYPERLINK(IFERROR("#Main_Tariff!A"&amp;MATCH(Raeburn_Main_Tariff[[#This Row],[Product Code]],Main_Tariff!I:I,0),"#Main_Tariff!A"&amp;MATCH("*"&amp;RIGHT(A1475,8)&amp;"*",Main_Tariff!A:A,0)),Raeburn_Main_Tariff[[#This Row],[PRODUCER]])</f>
        <v>Hubert Lignier</v>
      </c>
      <c r="C1475" s="1178" t="s">
        <v>20894</v>
      </c>
      <c r="D1475" s="1178" t="s">
        <v>897</v>
      </c>
      <c r="E1475" s="1179">
        <v>2017</v>
      </c>
      <c r="F1475" s="1282" t="s">
        <v>20220</v>
      </c>
      <c r="G1475" s="1368">
        <v>50</v>
      </c>
      <c r="H1475" s="1178" t="s">
        <v>20221</v>
      </c>
      <c r="I1475" s="1178" t="s">
        <v>5570</v>
      </c>
      <c r="J1475" s="1178" t="s">
        <v>662</v>
      </c>
      <c r="K1475" s="1178" t="s">
        <v>267</v>
      </c>
      <c r="L1475" s="1178" t="s">
        <v>211</v>
      </c>
      <c r="M1475" s="1369"/>
      <c r="N1475" s="1178"/>
      <c r="O1475" s="1178">
        <v>6</v>
      </c>
      <c r="P1475" s="1178">
        <v>13</v>
      </c>
    </row>
    <row r="1476" spans="1:16">
      <c r="A1476" s="1178" t="s">
        <v>232</v>
      </c>
      <c r="B1476" s="1371" t="str">
        <f>HYPERLINK(IFERROR("#Main_Tariff!A"&amp;MATCH(Raeburn_Main_Tariff[[#This Row],[Product Code]],Main_Tariff!I:I,0),"#Main_Tariff!A"&amp;MATCH("*"&amp;RIGHT(A1476,8)&amp;"*",Main_Tariff!A:A,0)),Raeburn_Main_Tariff[[#This Row],[PRODUCER]])</f>
        <v>Hubert Lignier</v>
      </c>
      <c r="C1476" s="1178" t="s">
        <v>20894</v>
      </c>
      <c r="D1476" s="1178" t="s">
        <v>897</v>
      </c>
      <c r="E1476" s="1179">
        <v>2016</v>
      </c>
      <c r="F1476" s="1282" t="s">
        <v>20220</v>
      </c>
      <c r="G1476" s="1368">
        <v>50</v>
      </c>
      <c r="H1476" s="1178" t="s">
        <v>20224</v>
      </c>
      <c r="I1476" s="1178" t="s">
        <v>5572</v>
      </c>
      <c r="J1476" s="1178" t="s">
        <v>662</v>
      </c>
      <c r="K1476" s="1178" t="s">
        <v>267</v>
      </c>
      <c r="L1476" s="1178" t="s">
        <v>211</v>
      </c>
      <c r="M1476" s="1369"/>
      <c r="N1476" s="1178"/>
      <c r="O1476" s="1178">
        <v>6</v>
      </c>
      <c r="P1476" s="1178">
        <v>13</v>
      </c>
    </row>
    <row r="1477" spans="1:16">
      <c r="A1477" s="1178" t="s">
        <v>232</v>
      </c>
      <c r="B1477" s="1371" t="str">
        <f>HYPERLINK(IFERROR("#Main_Tariff!A"&amp;MATCH(Raeburn_Main_Tariff[[#This Row],[Product Code]],Main_Tariff!I:I,0),"#Main_Tariff!A"&amp;MATCH("*"&amp;RIGHT(A1477,8)&amp;"*",Main_Tariff!A:A,0)),Raeburn_Main_Tariff[[#This Row],[PRODUCER]])</f>
        <v>Hubert Lignier</v>
      </c>
      <c r="C1477" s="1178" t="s">
        <v>20679</v>
      </c>
      <c r="D1477" s="1178" t="s">
        <v>897</v>
      </c>
      <c r="E1477" s="1179">
        <v>2019</v>
      </c>
      <c r="F1477" s="1282" t="s">
        <v>20220</v>
      </c>
      <c r="G1477" s="1368">
        <v>49</v>
      </c>
      <c r="H1477" s="1178" t="s">
        <v>20221</v>
      </c>
      <c r="I1477" s="1178" t="s">
        <v>5574</v>
      </c>
      <c r="J1477" s="1178" t="s">
        <v>662</v>
      </c>
      <c r="K1477" s="1178" t="s">
        <v>267</v>
      </c>
      <c r="L1477" s="1178" t="s">
        <v>211</v>
      </c>
      <c r="M1477" s="1369"/>
      <c r="N1477" s="1178"/>
      <c r="O1477" s="1178">
        <v>6</v>
      </c>
      <c r="P1477" s="1178">
        <v>14</v>
      </c>
    </row>
    <row r="1478" spans="1:16">
      <c r="A1478" s="1178" t="s">
        <v>232</v>
      </c>
      <c r="B1478" s="1371" t="str">
        <f>HYPERLINK(IFERROR("#Main_Tariff!A"&amp;MATCH(Raeburn_Main_Tariff[[#This Row],[Product Code]],Main_Tariff!I:I,0),"#Main_Tariff!A"&amp;MATCH("*"&amp;RIGHT(A1478,8)&amp;"*",Main_Tariff!A:A,0)),Raeburn_Main_Tariff[[#This Row],[PRODUCER]])</f>
        <v>Hubert Lignier</v>
      </c>
      <c r="C1478" s="1178" t="s">
        <v>20895</v>
      </c>
      <c r="D1478" s="1178" t="s">
        <v>897</v>
      </c>
      <c r="E1478" s="1179">
        <v>2014</v>
      </c>
      <c r="F1478" s="1282" t="s">
        <v>20220</v>
      </c>
      <c r="G1478" s="1368">
        <v>45.5</v>
      </c>
      <c r="H1478" s="1178" t="s">
        <v>20221</v>
      </c>
      <c r="I1478" s="1178" t="s">
        <v>5576</v>
      </c>
      <c r="J1478" s="1178" t="s">
        <v>662</v>
      </c>
      <c r="K1478" s="1178" t="s">
        <v>267</v>
      </c>
      <c r="L1478" s="1178" t="s">
        <v>211</v>
      </c>
      <c r="M1478" s="1369"/>
      <c r="N1478" s="1178"/>
      <c r="O1478" s="1178">
        <v>6</v>
      </c>
      <c r="P1478" s="1178">
        <v>13</v>
      </c>
    </row>
    <row r="1479" spans="1:16">
      <c r="A1479" s="1178" t="s">
        <v>232</v>
      </c>
      <c r="B1479" s="1371" t="str">
        <f>HYPERLINK(IFERROR("#Main_Tariff!A"&amp;MATCH(Raeburn_Main_Tariff[[#This Row],[Product Code]],Main_Tariff!I:I,0),"#Main_Tariff!A"&amp;MATCH("*"&amp;RIGHT(A1479,8)&amp;"*",Main_Tariff!A:A,0)),Raeburn_Main_Tariff[[#This Row],[PRODUCER]])</f>
        <v>Hubert Lignier</v>
      </c>
      <c r="C1479" s="1178" t="s">
        <v>20896</v>
      </c>
      <c r="D1479" s="1178" t="s">
        <v>897</v>
      </c>
      <c r="E1479" s="1179">
        <v>2020</v>
      </c>
      <c r="F1479" s="1282" t="s">
        <v>20220</v>
      </c>
      <c r="G1479" s="1368">
        <v>53.5</v>
      </c>
      <c r="H1479" s="1178" t="s">
        <v>20221</v>
      </c>
      <c r="I1479" s="1178" t="s">
        <v>5578</v>
      </c>
      <c r="J1479" s="1178" t="s">
        <v>662</v>
      </c>
      <c r="K1479" s="1178" t="s">
        <v>267</v>
      </c>
      <c r="L1479" s="1178" t="s">
        <v>211</v>
      </c>
      <c r="M1479" s="1369"/>
      <c r="N1479" s="1178"/>
      <c r="O1479" s="1178">
        <v>6</v>
      </c>
      <c r="P1479" s="1178">
        <v>13.5</v>
      </c>
    </row>
    <row r="1480" spans="1:16">
      <c r="A1480" s="1178" t="s">
        <v>232</v>
      </c>
      <c r="B1480" s="1371" t="str">
        <f>HYPERLINK(IFERROR("#Main_Tariff!A"&amp;MATCH(Raeburn_Main_Tariff[[#This Row],[Product Code]],Main_Tariff!I:I,0),"#Main_Tariff!A"&amp;MATCH("*"&amp;RIGHT(A1480,8)&amp;"*",Main_Tariff!A:A,0)),Raeburn_Main_Tariff[[#This Row],[PRODUCER]])</f>
        <v>Hubert Lignier</v>
      </c>
      <c r="C1480" s="1178" t="s">
        <v>20896</v>
      </c>
      <c r="D1480" s="1178" t="s">
        <v>897</v>
      </c>
      <c r="E1480" s="1179">
        <v>2019</v>
      </c>
      <c r="F1480" s="1282" t="s">
        <v>20220</v>
      </c>
      <c r="G1480" s="1368">
        <v>53.5</v>
      </c>
      <c r="H1480" s="1178" t="s">
        <v>20224</v>
      </c>
      <c r="I1480" s="1178" t="s">
        <v>5580</v>
      </c>
      <c r="J1480" s="1178" t="s">
        <v>662</v>
      </c>
      <c r="K1480" s="1178" t="s">
        <v>267</v>
      </c>
      <c r="L1480" s="1178" t="s">
        <v>211</v>
      </c>
      <c r="M1480" s="1369"/>
      <c r="N1480" s="1178"/>
      <c r="O1480" s="1178">
        <v>6</v>
      </c>
      <c r="P1480" s="1178">
        <v>14.5</v>
      </c>
    </row>
    <row r="1481" spans="1:16">
      <c r="A1481" s="1178" t="s">
        <v>232</v>
      </c>
      <c r="B1481" s="1371" t="str">
        <f>HYPERLINK(IFERROR("#Main_Tariff!A"&amp;MATCH(Raeburn_Main_Tariff[[#This Row],[Product Code]],Main_Tariff!I:I,0),"#Main_Tariff!A"&amp;MATCH("*"&amp;RIGHT(A1481,8)&amp;"*",Main_Tariff!A:A,0)),Raeburn_Main_Tariff[[#This Row],[PRODUCER]])</f>
        <v>Hubert Lignier</v>
      </c>
      <c r="C1481" s="1178" t="s">
        <v>20896</v>
      </c>
      <c r="D1481" s="1178" t="s">
        <v>897</v>
      </c>
      <c r="E1481" s="1179">
        <v>2018</v>
      </c>
      <c r="F1481" s="1282" t="s">
        <v>20220</v>
      </c>
      <c r="G1481" s="1368">
        <v>45</v>
      </c>
      <c r="H1481" s="1178" t="s">
        <v>20221</v>
      </c>
      <c r="I1481" s="1178" t="s">
        <v>5582</v>
      </c>
      <c r="J1481" s="1178" t="s">
        <v>662</v>
      </c>
      <c r="K1481" s="1178" t="s">
        <v>267</v>
      </c>
      <c r="L1481" s="1178" t="s">
        <v>211</v>
      </c>
      <c r="M1481" s="1369"/>
      <c r="N1481" s="1178"/>
      <c r="O1481" s="1178">
        <v>6</v>
      </c>
      <c r="P1481" s="1178">
        <v>13.5</v>
      </c>
    </row>
    <row r="1482" spans="1:16">
      <c r="A1482" s="1178" t="s">
        <v>232</v>
      </c>
      <c r="B1482" s="1371" t="str">
        <f>HYPERLINK(IFERROR("#Main_Tariff!A"&amp;MATCH(Raeburn_Main_Tariff[[#This Row],[Product Code]],Main_Tariff!I:I,0),"#Main_Tariff!A"&amp;MATCH("*"&amp;RIGHT(A1482,8)&amp;"*",Main_Tariff!A:A,0)),Raeburn_Main_Tariff[[#This Row],[PRODUCER]])</f>
        <v>Hubert Lignier</v>
      </c>
      <c r="C1482" s="1178" t="s">
        <v>20896</v>
      </c>
      <c r="D1482" s="1178" t="s">
        <v>897</v>
      </c>
      <c r="E1482" s="1179">
        <v>2017</v>
      </c>
      <c r="F1482" s="1282" t="s">
        <v>20220</v>
      </c>
      <c r="G1482" s="1368">
        <v>45</v>
      </c>
      <c r="H1482" s="1178" t="s">
        <v>20221</v>
      </c>
      <c r="I1482" s="1178" t="s">
        <v>5584</v>
      </c>
      <c r="J1482" s="1178" t="s">
        <v>662</v>
      </c>
      <c r="K1482" s="1178" t="s">
        <v>267</v>
      </c>
      <c r="L1482" s="1178" t="s">
        <v>211</v>
      </c>
      <c r="M1482" s="1369"/>
      <c r="N1482" s="1178"/>
      <c r="O1482" s="1178">
        <v>6</v>
      </c>
      <c r="P1482" s="1178">
        <v>13</v>
      </c>
    </row>
    <row r="1483" spans="1:16">
      <c r="A1483" s="1178" t="s">
        <v>232</v>
      </c>
      <c r="B1483" s="1371" t="str">
        <f>HYPERLINK(IFERROR("#Main_Tariff!A"&amp;MATCH(Raeburn_Main_Tariff[[#This Row],[Product Code]],Main_Tariff!I:I,0),"#Main_Tariff!A"&amp;MATCH("*"&amp;RIGHT(A1483,8)&amp;"*",Main_Tariff!A:A,0)),Raeburn_Main_Tariff[[#This Row],[PRODUCER]])</f>
        <v>Hubert Lignier</v>
      </c>
      <c r="C1483" s="1178" t="s">
        <v>20896</v>
      </c>
      <c r="D1483" s="1178" t="s">
        <v>897</v>
      </c>
      <c r="E1483" s="1179">
        <v>2016</v>
      </c>
      <c r="F1483" s="1282" t="s">
        <v>20220</v>
      </c>
      <c r="G1483" s="1368">
        <v>45</v>
      </c>
      <c r="H1483" s="1178" t="s">
        <v>20221</v>
      </c>
      <c r="I1483" s="1178" t="s">
        <v>5586</v>
      </c>
      <c r="J1483" s="1178" t="s">
        <v>662</v>
      </c>
      <c r="K1483" s="1178" t="s">
        <v>267</v>
      </c>
      <c r="L1483" s="1178" t="s">
        <v>211</v>
      </c>
      <c r="M1483" s="1369"/>
      <c r="N1483" s="1178"/>
      <c r="O1483" s="1178">
        <v>6</v>
      </c>
      <c r="P1483" s="1178">
        <v>13.5</v>
      </c>
    </row>
    <row r="1484" spans="1:16">
      <c r="A1484" s="1178" t="s">
        <v>232</v>
      </c>
      <c r="B1484" s="1371" t="str">
        <f>HYPERLINK(IFERROR("#Main_Tariff!A"&amp;MATCH(Raeburn_Main_Tariff[[#This Row],[Product Code]],Main_Tariff!I:I,0),"#Main_Tariff!A"&amp;MATCH("*"&amp;RIGHT(A1484,8)&amp;"*",Main_Tariff!A:A,0)),Raeburn_Main_Tariff[[#This Row],[PRODUCER]])</f>
        <v>Hubert Lignier</v>
      </c>
      <c r="C1484" s="1178" t="s">
        <v>20897</v>
      </c>
      <c r="D1484" s="1178" t="s">
        <v>897</v>
      </c>
      <c r="E1484" s="1179">
        <v>2021</v>
      </c>
      <c r="F1484" s="1282" t="s">
        <v>20220</v>
      </c>
      <c r="G1484" s="1368">
        <v>78</v>
      </c>
      <c r="H1484" s="1178" t="s">
        <v>20221</v>
      </c>
      <c r="I1484" s="1178" t="s">
        <v>5588</v>
      </c>
      <c r="J1484" s="1178" t="s">
        <v>662</v>
      </c>
      <c r="K1484" s="1178" t="s">
        <v>267</v>
      </c>
      <c r="L1484" s="1178" t="s">
        <v>211</v>
      </c>
      <c r="M1484" s="1369"/>
      <c r="N1484" s="1178" t="s">
        <v>20244</v>
      </c>
      <c r="O1484" s="1178">
        <v>6</v>
      </c>
      <c r="P1484" s="1178">
        <v>13</v>
      </c>
    </row>
    <row r="1485" spans="1:16">
      <c r="A1485" s="1178" t="s">
        <v>232</v>
      </c>
      <c r="B1485" s="1371" t="str">
        <f>HYPERLINK(IFERROR("#Main_Tariff!A"&amp;MATCH(Raeburn_Main_Tariff[[#This Row],[Product Code]],Main_Tariff!I:I,0),"#Main_Tariff!A"&amp;MATCH("*"&amp;RIGHT(A1485,8)&amp;"*",Main_Tariff!A:A,0)),Raeburn_Main_Tariff[[#This Row],[PRODUCER]])</f>
        <v>Hubert Lignier</v>
      </c>
      <c r="C1485" s="1178" t="s">
        <v>20897</v>
      </c>
      <c r="D1485" s="1178" t="s">
        <v>897</v>
      </c>
      <c r="E1485" s="1179">
        <v>2020</v>
      </c>
      <c r="F1485" s="1282" t="s">
        <v>20220</v>
      </c>
      <c r="G1485" s="1368">
        <v>74.75</v>
      </c>
      <c r="H1485" s="1178" t="s">
        <v>20224</v>
      </c>
      <c r="I1485" s="1178" t="s">
        <v>5590</v>
      </c>
      <c r="J1485" s="1178" t="s">
        <v>662</v>
      </c>
      <c r="K1485" s="1178" t="s">
        <v>267</v>
      </c>
      <c r="L1485" s="1178" t="s">
        <v>211</v>
      </c>
      <c r="M1485" s="1369"/>
      <c r="N1485" s="1178" t="s">
        <v>20244</v>
      </c>
      <c r="O1485" s="1178">
        <v>6</v>
      </c>
      <c r="P1485" s="1178">
        <v>13.5</v>
      </c>
    </row>
    <row r="1486" spans="1:16">
      <c r="A1486" s="1178" t="s">
        <v>232</v>
      </c>
      <c r="B1486" s="1371" t="str">
        <f>HYPERLINK(IFERROR("#Main_Tariff!A"&amp;MATCH(Raeburn_Main_Tariff[[#This Row],[Product Code]],Main_Tariff!I:I,0),"#Main_Tariff!A"&amp;MATCH("*"&amp;RIGHT(A1486,8)&amp;"*",Main_Tariff!A:A,0)),Raeburn_Main_Tariff[[#This Row],[PRODUCER]])</f>
        <v>Hubert Lignier</v>
      </c>
      <c r="C1486" s="1178" t="s">
        <v>20897</v>
      </c>
      <c r="D1486" s="1178" t="s">
        <v>897</v>
      </c>
      <c r="E1486" s="1179">
        <v>2019</v>
      </c>
      <c r="F1486" s="1282" t="s">
        <v>20220</v>
      </c>
      <c r="G1486" s="1368">
        <v>74.75</v>
      </c>
      <c r="H1486" s="1178" t="s">
        <v>20224</v>
      </c>
      <c r="I1486" s="1178" t="s">
        <v>5592</v>
      </c>
      <c r="J1486" s="1178" t="s">
        <v>662</v>
      </c>
      <c r="K1486" s="1178" t="s">
        <v>267</v>
      </c>
      <c r="L1486" s="1178" t="s">
        <v>211</v>
      </c>
      <c r="M1486" s="1369"/>
      <c r="N1486" s="1178" t="s">
        <v>20244</v>
      </c>
      <c r="O1486" s="1178">
        <v>6</v>
      </c>
      <c r="P1486" s="1178">
        <v>14</v>
      </c>
    </row>
    <row r="1487" spans="1:16">
      <c r="A1487" s="1178" t="s">
        <v>232</v>
      </c>
      <c r="B1487" s="1371" t="str">
        <f>HYPERLINK(IFERROR("#Main_Tariff!A"&amp;MATCH(Raeburn_Main_Tariff[[#This Row],[Product Code]],Main_Tariff!I:I,0),"#Main_Tariff!A"&amp;MATCH("*"&amp;RIGHT(A1487,8)&amp;"*",Main_Tariff!A:A,0)),Raeburn_Main_Tariff[[#This Row],[PRODUCER]])</f>
        <v>Hubert Lignier</v>
      </c>
      <c r="C1487" s="1178" t="s">
        <v>20897</v>
      </c>
      <c r="D1487" s="1178" t="s">
        <v>897</v>
      </c>
      <c r="E1487" s="1179">
        <v>2018</v>
      </c>
      <c r="F1487" s="1282" t="s">
        <v>20220</v>
      </c>
      <c r="G1487" s="1368">
        <v>62</v>
      </c>
      <c r="H1487" s="1178" t="s">
        <v>20224</v>
      </c>
      <c r="I1487" s="1178" t="s">
        <v>5594</v>
      </c>
      <c r="J1487" s="1178" t="s">
        <v>662</v>
      </c>
      <c r="K1487" s="1178" t="s">
        <v>267</v>
      </c>
      <c r="L1487" s="1178" t="s">
        <v>211</v>
      </c>
      <c r="M1487" s="1369"/>
      <c r="N1487" s="1178"/>
      <c r="O1487" s="1178">
        <v>6</v>
      </c>
      <c r="P1487" s="1178">
        <v>13.5</v>
      </c>
    </row>
    <row r="1488" spans="1:16">
      <c r="A1488" s="1178" t="s">
        <v>232</v>
      </c>
      <c r="B1488" s="1371" t="str">
        <f>HYPERLINK(IFERROR("#Main_Tariff!A"&amp;MATCH(Raeburn_Main_Tariff[[#This Row],[Product Code]],Main_Tariff!I:I,0),"#Main_Tariff!A"&amp;MATCH("*"&amp;RIGHT(A1488,8)&amp;"*",Main_Tariff!A:A,0)),Raeburn_Main_Tariff[[#This Row],[PRODUCER]])</f>
        <v>Hubert Lignier</v>
      </c>
      <c r="C1488" s="1178" t="s">
        <v>20898</v>
      </c>
      <c r="D1488" s="1178" t="s">
        <v>897</v>
      </c>
      <c r="E1488" s="1179">
        <v>2021</v>
      </c>
      <c r="F1488" s="1282" t="s">
        <v>20220</v>
      </c>
      <c r="G1488" s="1368">
        <v>156</v>
      </c>
      <c r="H1488" s="1178" t="s">
        <v>20224</v>
      </c>
      <c r="I1488" s="1178" t="s">
        <v>5599</v>
      </c>
      <c r="J1488" s="1178" t="s">
        <v>662</v>
      </c>
      <c r="K1488" s="1178" t="s">
        <v>267</v>
      </c>
      <c r="L1488" s="1178" t="s">
        <v>211</v>
      </c>
      <c r="M1488" s="1369" t="s">
        <v>23297</v>
      </c>
      <c r="N1488" s="1178" t="s">
        <v>20244</v>
      </c>
      <c r="O1488" s="1178">
        <v>3</v>
      </c>
      <c r="P1488" s="1178">
        <v>13</v>
      </c>
    </row>
    <row r="1489" spans="1:16">
      <c r="A1489" s="1178" t="s">
        <v>232</v>
      </c>
      <c r="B1489" s="1371" t="str">
        <f>HYPERLINK(IFERROR("#Main_Tariff!A"&amp;MATCH(Raeburn_Main_Tariff[[#This Row],[Product Code]],Main_Tariff!I:I,0),"#Main_Tariff!A"&amp;MATCH("*"&amp;RIGHT(A1489,8)&amp;"*",Main_Tariff!A:A,0)),Raeburn_Main_Tariff[[#This Row],[PRODUCER]])</f>
        <v>Hubert Lignier</v>
      </c>
      <c r="C1489" s="1178" t="s">
        <v>20898</v>
      </c>
      <c r="D1489" s="1178" t="s">
        <v>897</v>
      </c>
      <c r="E1489" s="1179">
        <v>2020</v>
      </c>
      <c r="F1489" s="1282" t="s">
        <v>20220</v>
      </c>
      <c r="G1489" s="1368">
        <v>148</v>
      </c>
      <c r="H1489" s="1178" t="s">
        <v>20224</v>
      </c>
      <c r="I1489" s="1178" t="s">
        <v>5601</v>
      </c>
      <c r="J1489" s="1178" t="s">
        <v>662</v>
      </c>
      <c r="K1489" s="1178" t="s">
        <v>267</v>
      </c>
      <c r="L1489" s="1178" t="s">
        <v>211</v>
      </c>
      <c r="M1489" s="1369" t="s">
        <v>23297</v>
      </c>
      <c r="N1489" s="1178" t="s">
        <v>20244</v>
      </c>
      <c r="O1489" s="1178">
        <v>3</v>
      </c>
      <c r="P1489" s="1178">
        <v>14</v>
      </c>
    </row>
    <row r="1490" spans="1:16">
      <c r="A1490" s="1178" t="s">
        <v>232</v>
      </c>
      <c r="B1490" s="1371" t="str">
        <f>HYPERLINK(IFERROR("#Main_Tariff!A"&amp;MATCH(Raeburn_Main_Tariff[[#This Row],[Product Code]],Main_Tariff!I:I,0),"#Main_Tariff!A"&amp;MATCH("*"&amp;RIGHT(A1490,8)&amp;"*",Main_Tariff!A:A,0)),Raeburn_Main_Tariff[[#This Row],[PRODUCER]])</f>
        <v>Hubert Lignier</v>
      </c>
      <c r="C1490" s="1178" t="s">
        <v>20899</v>
      </c>
      <c r="D1490" s="1178" t="s">
        <v>897</v>
      </c>
      <c r="E1490" s="1179">
        <v>2019</v>
      </c>
      <c r="F1490" s="1282" t="s">
        <v>20220</v>
      </c>
      <c r="G1490" s="1368">
        <v>73</v>
      </c>
      <c r="H1490" s="1178" t="s">
        <v>20221</v>
      </c>
      <c r="I1490" s="1178" t="s">
        <v>5603</v>
      </c>
      <c r="J1490" s="1178" t="s">
        <v>662</v>
      </c>
      <c r="K1490" s="1178" t="s">
        <v>267</v>
      </c>
      <c r="L1490" s="1178" t="s">
        <v>211</v>
      </c>
      <c r="M1490" s="1369" t="s">
        <v>23297</v>
      </c>
      <c r="N1490" s="1178"/>
      <c r="O1490" s="1178">
        <v>6</v>
      </c>
      <c r="P1490" s="1178">
        <v>13.5</v>
      </c>
    </row>
    <row r="1491" spans="1:16">
      <c r="A1491" s="1178" t="s">
        <v>232</v>
      </c>
      <c r="B1491" s="1371" t="str">
        <f>HYPERLINK(IFERROR("#Main_Tariff!A"&amp;MATCH(Raeburn_Main_Tariff[[#This Row],[Product Code]],Main_Tariff!I:I,0),"#Main_Tariff!A"&amp;MATCH("*"&amp;RIGHT(A1491,8)&amp;"*",Main_Tariff!A:A,0)),Raeburn_Main_Tariff[[#This Row],[PRODUCER]])</f>
        <v>Hubert Lignier</v>
      </c>
      <c r="C1491" s="1178" t="s">
        <v>20899</v>
      </c>
      <c r="D1491" s="1178" t="s">
        <v>897</v>
      </c>
      <c r="E1491" s="1179">
        <v>2018</v>
      </c>
      <c r="F1491" s="1282" t="s">
        <v>20220</v>
      </c>
      <c r="G1491" s="1368">
        <v>70</v>
      </c>
      <c r="H1491" s="1178" t="s">
        <v>20221</v>
      </c>
      <c r="I1491" s="1178" t="s">
        <v>5605</v>
      </c>
      <c r="J1491" s="1178" t="s">
        <v>662</v>
      </c>
      <c r="K1491" s="1178" t="s">
        <v>267</v>
      </c>
      <c r="L1491" s="1178" t="s">
        <v>211</v>
      </c>
      <c r="M1491" s="1369" t="s">
        <v>23297</v>
      </c>
      <c r="N1491" s="1178"/>
      <c r="O1491" s="1178">
        <v>6</v>
      </c>
      <c r="P1491" s="1178">
        <v>13.5</v>
      </c>
    </row>
    <row r="1492" spans="1:16">
      <c r="A1492" s="1178" t="s">
        <v>232</v>
      </c>
      <c r="B1492" s="1371" t="str">
        <f>HYPERLINK(IFERROR("#Main_Tariff!A"&amp;MATCH(Raeburn_Main_Tariff[[#This Row],[Product Code]],Main_Tariff!I:I,0),"#Main_Tariff!A"&amp;MATCH("*"&amp;RIGHT(A1492,8)&amp;"*",Main_Tariff!A:A,0)),Raeburn_Main_Tariff[[#This Row],[PRODUCER]])</f>
        <v>Hubert Lignier</v>
      </c>
      <c r="C1492" s="1178" t="s">
        <v>20899</v>
      </c>
      <c r="D1492" s="1178" t="s">
        <v>897</v>
      </c>
      <c r="E1492" s="1179">
        <v>2017</v>
      </c>
      <c r="F1492" s="1282" t="s">
        <v>20220</v>
      </c>
      <c r="G1492" s="1368">
        <v>70</v>
      </c>
      <c r="H1492" s="1178" t="s">
        <v>20221</v>
      </c>
      <c r="I1492" s="1178" t="s">
        <v>5607</v>
      </c>
      <c r="J1492" s="1178" t="s">
        <v>662</v>
      </c>
      <c r="K1492" s="1178" t="s">
        <v>267</v>
      </c>
      <c r="L1492" s="1178" t="s">
        <v>211</v>
      </c>
      <c r="M1492" s="1369" t="s">
        <v>23297</v>
      </c>
      <c r="N1492" s="1178"/>
      <c r="O1492" s="1178">
        <v>6</v>
      </c>
      <c r="P1492" s="1178">
        <v>13</v>
      </c>
    </row>
    <row r="1493" spans="1:16">
      <c r="A1493" s="1178" t="s">
        <v>232</v>
      </c>
      <c r="B1493" s="1371" t="str">
        <f>HYPERLINK(IFERROR("#Main_Tariff!A"&amp;MATCH(Raeburn_Main_Tariff[[#This Row],[Product Code]],Main_Tariff!I:I,0),"#Main_Tariff!A"&amp;MATCH("*"&amp;RIGHT(A1493,8)&amp;"*",Main_Tariff!A:A,0)),Raeburn_Main_Tariff[[#This Row],[PRODUCER]])</f>
        <v>Hubert Lignier</v>
      </c>
      <c r="C1493" s="1178" t="s">
        <v>20899</v>
      </c>
      <c r="D1493" s="1178" t="s">
        <v>897</v>
      </c>
      <c r="E1493" s="1179">
        <v>2016</v>
      </c>
      <c r="F1493" s="1282" t="s">
        <v>20220</v>
      </c>
      <c r="G1493" s="1368">
        <v>70</v>
      </c>
      <c r="H1493" s="1178" t="s">
        <v>20221</v>
      </c>
      <c r="I1493" s="1178" t="s">
        <v>5609</v>
      </c>
      <c r="J1493" s="1178" t="s">
        <v>662</v>
      </c>
      <c r="K1493" s="1178" t="s">
        <v>267</v>
      </c>
      <c r="L1493" s="1178" t="s">
        <v>211</v>
      </c>
      <c r="M1493" s="1369" t="s">
        <v>23297</v>
      </c>
      <c r="N1493" s="1178"/>
      <c r="O1493" s="1178">
        <v>6</v>
      </c>
      <c r="P1493" s="1178">
        <v>13</v>
      </c>
    </row>
    <row r="1494" spans="1:16">
      <c r="A1494" s="1178" t="s">
        <v>232</v>
      </c>
      <c r="B1494" s="1371" t="str">
        <f>HYPERLINK(IFERROR("#Main_Tariff!A"&amp;MATCH(Raeburn_Main_Tariff[[#This Row],[Product Code]],Main_Tariff!I:I,0),"#Main_Tariff!A"&amp;MATCH("*"&amp;RIGHT(A1494,8)&amp;"*",Main_Tariff!A:A,0)),Raeburn_Main_Tariff[[#This Row],[PRODUCER]])</f>
        <v>Hubert Lignier</v>
      </c>
      <c r="C1494" s="1178" t="s">
        <v>20899</v>
      </c>
      <c r="D1494" s="1178" t="s">
        <v>897</v>
      </c>
      <c r="E1494" s="1179">
        <v>2015</v>
      </c>
      <c r="F1494" s="1282" t="s">
        <v>20220</v>
      </c>
      <c r="G1494" s="1368">
        <v>70</v>
      </c>
      <c r="H1494" s="1178" t="s">
        <v>20221</v>
      </c>
      <c r="I1494" s="1178" t="s">
        <v>5611</v>
      </c>
      <c r="J1494" s="1178" t="s">
        <v>662</v>
      </c>
      <c r="K1494" s="1178" t="s">
        <v>267</v>
      </c>
      <c r="L1494" s="1178" t="s">
        <v>211</v>
      </c>
      <c r="M1494" s="1369" t="s">
        <v>23297</v>
      </c>
      <c r="N1494" s="1178"/>
      <c r="O1494" s="1178">
        <v>6</v>
      </c>
      <c r="P1494" s="1178">
        <v>13</v>
      </c>
    </row>
    <row r="1495" spans="1:16">
      <c r="A1495" s="1178" t="s">
        <v>232</v>
      </c>
      <c r="B1495" s="1371" t="str">
        <f>HYPERLINK(IFERROR("#Main_Tariff!A"&amp;MATCH(Raeburn_Main_Tariff[[#This Row],[Product Code]],Main_Tariff!I:I,0),"#Main_Tariff!A"&amp;MATCH("*"&amp;RIGHT(A1495,8)&amp;"*",Main_Tariff!A:A,0)),Raeburn_Main_Tariff[[#This Row],[PRODUCER]])</f>
        <v>Hubert Lignier</v>
      </c>
      <c r="C1495" s="1178" t="s">
        <v>20899</v>
      </c>
      <c r="D1495" s="1178" t="s">
        <v>897</v>
      </c>
      <c r="E1495" s="1179">
        <v>2014</v>
      </c>
      <c r="F1495" s="1282" t="s">
        <v>20220</v>
      </c>
      <c r="G1495" s="1368">
        <v>68</v>
      </c>
      <c r="H1495" s="1178" t="s">
        <v>20221</v>
      </c>
      <c r="I1495" s="1178" t="s">
        <v>5613</v>
      </c>
      <c r="J1495" s="1178" t="s">
        <v>662</v>
      </c>
      <c r="K1495" s="1178" t="s">
        <v>267</v>
      </c>
      <c r="L1495" s="1178" t="s">
        <v>211</v>
      </c>
      <c r="M1495" s="1369" t="s">
        <v>23297</v>
      </c>
      <c r="N1495" s="1178"/>
      <c r="O1495" s="1178">
        <v>6</v>
      </c>
      <c r="P1495" s="1178">
        <v>13</v>
      </c>
    </row>
    <row r="1496" spans="1:16">
      <c r="A1496" s="1178" t="s">
        <v>232</v>
      </c>
      <c r="B1496" s="1371" t="str">
        <f>HYPERLINK(IFERROR("#Main_Tariff!A"&amp;MATCH(Raeburn_Main_Tariff[[#This Row],[Product Code]],Main_Tariff!I:I,0),"#Main_Tariff!A"&amp;MATCH("*"&amp;RIGHT(A1496,8)&amp;"*",Main_Tariff!A:A,0)),Raeburn_Main_Tariff[[#This Row],[PRODUCER]])</f>
        <v>Hubert Lignier</v>
      </c>
      <c r="C1496" s="1178" t="s">
        <v>20899</v>
      </c>
      <c r="D1496" s="1178" t="s">
        <v>897</v>
      </c>
      <c r="E1496" s="1179">
        <v>2013</v>
      </c>
      <c r="F1496" s="1282" t="s">
        <v>20220</v>
      </c>
      <c r="G1496" s="1368">
        <v>67</v>
      </c>
      <c r="H1496" s="1178" t="s">
        <v>20221</v>
      </c>
      <c r="I1496" s="1178" t="s">
        <v>5615</v>
      </c>
      <c r="J1496" s="1178" t="s">
        <v>662</v>
      </c>
      <c r="K1496" s="1178" t="s">
        <v>267</v>
      </c>
      <c r="L1496" s="1178" t="s">
        <v>211</v>
      </c>
      <c r="M1496" s="1369" t="s">
        <v>23297</v>
      </c>
      <c r="N1496" s="1178"/>
      <c r="O1496" s="1178">
        <v>6</v>
      </c>
      <c r="P1496" s="1178">
        <v>13</v>
      </c>
    </row>
    <row r="1497" spans="1:16">
      <c r="A1497" s="1178" t="s">
        <v>232</v>
      </c>
      <c r="B1497" s="1371" t="str">
        <f>HYPERLINK(IFERROR("#Main_Tariff!A"&amp;MATCH(Raeburn_Main_Tariff[[#This Row],[Product Code]],Main_Tariff!I:I,0),"#Main_Tariff!A"&amp;MATCH("*"&amp;RIGHT(A1497,8)&amp;"*",Main_Tariff!A:A,0)),Raeburn_Main_Tariff[[#This Row],[PRODUCER]])</f>
        <v>Hubert Lignier</v>
      </c>
      <c r="C1497" s="1178" t="s">
        <v>20899</v>
      </c>
      <c r="D1497" s="1178" t="s">
        <v>897</v>
      </c>
      <c r="E1497" s="1179">
        <v>2011</v>
      </c>
      <c r="F1497" s="1282" t="s">
        <v>20220</v>
      </c>
      <c r="G1497" s="1368">
        <v>64</v>
      </c>
      <c r="H1497" s="1178" t="s">
        <v>20224</v>
      </c>
      <c r="I1497" s="1178" t="s">
        <v>5617</v>
      </c>
      <c r="J1497" s="1178" t="s">
        <v>662</v>
      </c>
      <c r="K1497" s="1178" t="s">
        <v>267</v>
      </c>
      <c r="L1497" s="1178" t="s">
        <v>211</v>
      </c>
      <c r="M1497" s="1369" t="s">
        <v>23297</v>
      </c>
      <c r="N1497" s="1178"/>
      <c r="O1497" s="1178">
        <v>6</v>
      </c>
      <c r="P1497" s="1178">
        <v>13</v>
      </c>
    </row>
    <row r="1498" spans="1:16">
      <c r="A1498" s="1178" t="s">
        <v>232</v>
      </c>
      <c r="B1498" s="1371" t="str">
        <f>HYPERLINK(IFERROR("#Main_Tariff!A"&amp;MATCH(Raeburn_Main_Tariff[[#This Row],[Product Code]],Main_Tariff!I:I,0),"#Main_Tariff!A"&amp;MATCH("*"&amp;RIGHT(A1498,8)&amp;"*",Main_Tariff!A:A,0)),Raeburn_Main_Tariff[[#This Row],[PRODUCER]])</f>
        <v>Hubert Lignier</v>
      </c>
      <c r="C1498" s="1178" t="s">
        <v>20900</v>
      </c>
      <c r="D1498" s="1178" t="s">
        <v>897</v>
      </c>
      <c r="E1498" s="1179">
        <v>2021</v>
      </c>
      <c r="F1498" s="1282" t="s">
        <v>20220</v>
      </c>
      <c r="G1498" s="1368">
        <v>87</v>
      </c>
      <c r="H1498" s="1178" t="s">
        <v>20221</v>
      </c>
      <c r="I1498" s="1178" t="s">
        <v>5619</v>
      </c>
      <c r="J1498" s="1178" t="s">
        <v>662</v>
      </c>
      <c r="K1498" s="1178" t="s">
        <v>267</v>
      </c>
      <c r="L1498" s="1178" t="s">
        <v>211</v>
      </c>
      <c r="M1498" s="1369" t="s">
        <v>23297</v>
      </c>
      <c r="N1498" s="1178"/>
      <c r="O1498" s="1178">
        <v>6</v>
      </c>
      <c r="P1498" s="1178">
        <v>13</v>
      </c>
    </row>
    <row r="1499" spans="1:16">
      <c r="A1499" s="1178" t="s">
        <v>232</v>
      </c>
      <c r="B1499" s="1371" t="str">
        <f>HYPERLINK(IFERROR("#Main_Tariff!A"&amp;MATCH(Raeburn_Main_Tariff[[#This Row],[Product Code]],Main_Tariff!I:I,0),"#Main_Tariff!A"&amp;MATCH("*"&amp;RIGHT(A1499,8)&amp;"*",Main_Tariff!A:A,0)),Raeburn_Main_Tariff[[#This Row],[PRODUCER]])</f>
        <v>Hubert Lignier</v>
      </c>
      <c r="C1499" s="1178" t="s">
        <v>20900</v>
      </c>
      <c r="D1499" s="1178" t="s">
        <v>897</v>
      </c>
      <c r="E1499" s="1179">
        <v>2020</v>
      </c>
      <c r="F1499" s="1282" t="s">
        <v>20220</v>
      </c>
      <c r="G1499" s="1368">
        <v>82.5</v>
      </c>
      <c r="H1499" s="1178" t="s">
        <v>20221</v>
      </c>
      <c r="I1499" s="1178" t="s">
        <v>5621</v>
      </c>
      <c r="J1499" s="1178" t="s">
        <v>662</v>
      </c>
      <c r="K1499" s="1178" t="s">
        <v>267</v>
      </c>
      <c r="L1499" s="1178" t="s">
        <v>211</v>
      </c>
      <c r="M1499" s="1369" t="s">
        <v>23297</v>
      </c>
      <c r="N1499" s="1178"/>
      <c r="O1499" s="1178">
        <v>6</v>
      </c>
      <c r="P1499" s="1178">
        <v>13.5</v>
      </c>
    </row>
    <row r="1500" spans="1:16">
      <c r="A1500" s="1178" t="s">
        <v>232</v>
      </c>
      <c r="B1500" s="1371" t="str">
        <f>HYPERLINK(IFERROR("#Main_Tariff!A"&amp;MATCH(Raeburn_Main_Tariff[[#This Row],[Product Code]],Main_Tariff!I:I,0),"#Main_Tariff!A"&amp;MATCH("*"&amp;RIGHT(A1500,8)&amp;"*",Main_Tariff!A:A,0)),Raeburn_Main_Tariff[[#This Row],[PRODUCER]])</f>
        <v>Hubert Lignier</v>
      </c>
      <c r="C1500" s="1178" t="s">
        <v>20900</v>
      </c>
      <c r="D1500" s="1178" t="s">
        <v>897</v>
      </c>
      <c r="E1500" s="1179">
        <v>2018</v>
      </c>
      <c r="F1500" s="1282" t="s">
        <v>20220</v>
      </c>
      <c r="G1500" s="1368">
        <v>70</v>
      </c>
      <c r="H1500" s="1178" t="s">
        <v>20224</v>
      </c>
      <c r="I1500" s="1178" t="s">
        <v>5623</v>
      </c>
      <c r="J1500" s="1178" t="s">
        <v>662</v>
      </c>
      <c r="K1500" s="1178" t="s">
        <v>267</v>
      </c>
      <c r="L1500" s="1178" t="s">
        <v>211</v>
      </c>
      <c r="M1500" s="1369" t="s">
        <v>23297</v>
      </c>
      <c r="N1500" s="1178"/>
      <c r="O1500" s="1178">
        <v>6</v>
      </c>
      <c r="P1500" s="1178">
        <v>13.5</v>
      </c>
    </row>
    <row r="1501" spans="1:16">
      <c r="A1501" s="1178" t="s">
        <v>232</v>
      </c>
      <c r="B1501" s="1371" t="str">
        <f>HYPERLINK(IFERROR("#Main_Tariff!A"&amp;MATCH(Raeburn_Main_Tariff[[#This Row],[Product Code]],Main_Tariff!I:I,0),"#Main_Tariff!A"&amp;MATCH("*"&amp;RIGHT(A1501,8)&amp;"*",Main_Tariff!A:A,0)),Raeburn_Main_Tariff[[#This Row],[PRODUCER]])</f>
        <v>Hubert Lignier</v>
      </c>
      <c r="C1501" s="1178" t="s">
        <v>20900</v>
      </c>
      <c r="D1501" s="1178" t="s">
        <v>897</v>
      </c>
      <c r="E1501" s="1179">
        <v>2017</v>
      </c>
      <c r="F1501" s="1282" t="s">
        <v>20220</v>
      </c>
      <c r="G1501" s="1368">
        <v>70</v>
      </c>
      <c r="H1501" s="1178" t="s">
        <v>20224</v>
      </c>
      <c r="I1501" s="1178" t="s">
        <v>5625</v>
      </c>
      <c r="J1501" s="1178" t="s">
        <v>662</v>
      </c>
      <c r="K1501" s="1178" t="s">
        <v>267</v>
      </c>
      <c r="L1501" s="1178" t="s">
        <v>211</v>
      </c>
      <c r="M1501" s="1369" t="s">
        <v>23297</v>
      </c>
      <c r="N1501" s="1178"/>
      <c r="O1501" s="1178">
        <v>6</v>
      </c>
      <c r="P1501" s="1178">
        <v>13</v>
      </c>
    </row>
    <row r="1502" spans="1:16">
      <c r="A1502" s="1178" t="s">
        <v>232</v>
      </c>
      <c r="B1502" s="1371" t="str">
        <f>HYPERLINK(IFERROR("#Main_Tariff!A"&amp;MATCH(Raeburn_Main_Tariff[[#This Row],[Product Code]],Main_Tariff!I:I,0),"#Main_Tariff!A"&amp;MATCH("*"&amp;RIGHT(A1502,8)&amp;"*",Main_Tariff!A:A,0)),Raeburn_Main_Tariff[[#This Row],[PRODUCER]])</f>
        <v>Hubert Lignier</v>
      </c>
      <c r="C1502" s="1178" t="s">
        <v>20900</v>
      </c>
      <c r="D1502" s="1178" t="s">
        <v>897</v>
      </c>
      <c r="E1502" s="1179">
        <v>2016</v>
      </c>
      <c r="F1502" s="1282" t="s">
        <v>20220</v>
      </c>
      <c r="G1502" s="1368">
        <v>68</v>
      </c>
      <c r="H1502" s="1178" t="s">
        <v>20224</v>
      </c>
      <c r="I1502" s="1178" t="s">
        <v>5627</v>
      </c>
      <c r="J1502" s="1178" t="s">
        <v>662</v>
      </c>
      <c r="K1502" s="1178" t="s">
        <v>267</v>
      </c>
      <c r="L1502" s="1178" t="s">
        <v>211</v>
      </c>
      <c r="M1502" s="1369" t="s">
        <v>23297</v>
      </c>
      <c r="N1502" s="1178"/>
      <c r="O1502" s="1178">
        <v>6</v>
      </c>
      <c r="P1502" s="1178">
        <v>13.5</v>
      </c>
    </row>
    <row r="1503" spans="1:16">
      <c r="A1503" s="1178" t="s">
        <v>232</v>
      </c>
      <c r="B1503" s="1371" t="str">
        <f>HYPERLINK(IFERROR("#Main_Tariff!A"&amp;MATCH(Raeburn_Main_Tariff[[#This Row],[Product Code]],Main_Tariff!I:I,0),"#Main_Tariff!A"&amp;MATCH("*"&amp;RIGHT(A1503,8)&amp;"*",Main_Tariff!A:A,0)),Raeburn_Main_Tariff[[#This Row],[PRODUCER]])</f>
        <v>Hubert Lignier</v>
      </c>
      <c r="C1503" s="1178" t="s">
        <v>20900</v>
      </c>
      <c r="D1503" s="1178" t="s">
        <v>897</v>
      </c>
      <c r="E1503" s="1179">
        <v>2014</v>
      </c>
      <c r="F1503" s="1282" t="s">
        <v>20220</v>
      </c>
      <c r="G1503" s="1368">
        <v>67</v>
      </c>
      <c r="H1503" s="1178" t="s">
        <v>20224</v>
      </c>
      <c r="I1503" s="1178" t="s">
        <v>5629</v>
      </c>
      <c r="J1503" s="1178" t="s">
        <v>662</v>
      </c>
      <c r="K1503" s="1178" t="s">
        <v>267</v>
      </c>
      <c r="L1503" s="1178" t="s">
        <v>211</v>
      </c>
      <c r="M1503" s="1369" t="s">
        <v>23297</v>
      </c>
      <c r="N1503" s="1178"/>
      <c r="O1503" s="1178">
        <v>6</v>
      </c>
      <c r="P1503" s="1178">
        <v>13</v>
      </c>
    </row>
    <row r="1504" spans="1:16">
      <c r="A1504" s="1178" t="s">
        <v>232</v>
      </c>
      <c r="B1504" s="1371" t="str">
        <f>HYPERLINK(IFERROR("#Main_Tariff!A"&amp;MATCH(Raeburn_Main_Tariff[[#This Row],[Product Code]],Main_Tariff!I:I,0),"#Main_Tariff!A"&amp;MATCH("*"&amp;RIGHT(A1504,8)&amp;"*",Main_Tariff!A:A,0)),Raeburn_Main_Tariff[[#This Row],[PRODUCER]])</f>
        <v>Hubert Lignier</v>
      </c>
      <c r="C1504" s="1178" t="s">
        <v>20900</v>
      </c>
      <c r="D1504" s="1178" t="s">
        <v>897</v>
      </c>
      <c r="E1504" s="1179">
        <v>2013</v>
      </c>
      <c r="F1504" s="1282" t="s">
        <v>20220</v>
      </c>
      <c r="G1504" s="1368">
        <v>67</v>
      </c>
      <c r="H1504" s="1178" t="s">
        <v>20224</v>
      </c>
      <c r="I1504" s="1178" t="s">
        <v>5631</v>
      </c>
      <c r="J1504" s="1178" t="s">
        <v>662</v>
      </c>
      <c r="K1504" s="1178" t="s">
        <v>267</v>
      </c>
      <c r="L1504" s="1178" t="s">
        <v>211</v>
      </c>
      <c r="M1504" s="1369" t="s">
        <v>23297</v>
      </c>
      <c r="N1504" s="1178"/>
      <c r="O1504" s="1178">
        <v>6</v>
      </c>
      <c r="P1504" s="1178">
        <v>13</v>
      </c>
    </row>
    <row r="1505" spans="1:16">
      <c r="A1505" s="1178" t="s">
        <v>232</v>
      </c>
      <c r="B1505" s="1371" t="str">
        <f>HYPERLINK(IFERROR("#Main_Tariff!A"&amp;MATCH(Raeburn_Main_Tariff[[#This Row],[Product Code]],Main_Tariff!I:I,0),"#Main_Tariff!A"&amp;MATCH("*"&amp;RIGHT(A1505,8)&amp;"*",Main_Tariff!A:A,0)),Raeburn_Main_Tariff[[#This Row],[PRODUCER]])</f>
        <v>Hubert Lignier</v>
      </c>
      <c r="C1505" s="1178" t="s">
        <v>20900</v>
      </c>
      <c r="D1505" s="1178" t="s">
        <v>897</v>
      </c>
      <c r="E1505" s="1179">
        <v>2011</v>
      </c>
      <c r="F1505" s="1282" t="s">
        <v>20220</v>
      </c>
      <c r="G1505" s="1368">
        <v>70.5</v>
      </c>
      <c r="H1505" s="1178" t="s">
        <v>20224</v>
      </c>
      <c r="I1505" s="1178" t="s">
        <v>5633</v>
      </c>
      <c r="J1505" s="1178" t="s">
        <v>662</v>
      </c>
      <c r="K1505" s="1178" t="s">
        <v>267</v>
      </c>
      <c r="L1505" s="1178" t="s">
        <v>211</v>
      </c>
      <c r="M1505" s="1369" t="s">
        <v>23297</v>
      </c>
      <c r="N1505" s="1178"/>
      <c r="O1505" s="1178">
        <v>6</v>
      </c>
      <c r="P1505" s="1178">
        <v>13</v>
      </c>
    </row>
    <row r="1506" spans="1:16">
      <c r="A1506" s="1178" t="s">
        <v>232</v>
      </c>
      <c r="B1506" s="1371" t="str">
        <f>HYPERLINK(IFERROR("#Main_Tariff!A"&amp;MATCH(Raeburn_Main_Tariff[[#This Row],[Product Code]],Main_Tariff!I:I,0),"#Main_Tariff!A"&amp;MATCH("*"&amp;RIGHT(A1506,8)&amp;"*",Main_Tariff!A:A,0)),Raeburn_Main_Tariff[[#This Row],[PRODUCER]])</f>
        <v>Hubert Lignier</v>
      </c>
      <c r="C1506" s="1178" t="s">
        <v>20885</v>
      </c>
      <c r="D1506" s="1178" t="s">
        <v>897</v>
      </c>
      <c r="E1506" s="1179">
        <v>2021</v>
      </c>
      <c r="F1506" s="1282" t="s">
        <v>20220</v>
      </c>
      <c r="G1506" s="1368">
        <v>98</v>
      </c>
      <c r="H1506" s="1178" t="s">
        <v>20224</v>
      </c>
      <c r="I1506" s="1178" t="s">
        <v>5634</v>
      </c>
      <c r="J1506" s="1178" t="s">
        <v>662</v>
      </c>
      <c r="K1506" s="1178" t="s">
        <v>267</v>
      </c>
      <c r="L1506" s="1178" t="s">
        <v>211</v>
      </c>
      <c r="M1506" s="1369" t="s">
        <v>23297</v>
      </c>
      <c r="N1506" s="1178"/>
      <c r="O1506" s="1178">
        <v>3</v>
      </c>
      <c r="P1506" s="1178">
        <v>13.5</v>
      </c>
    </row>
    <row r="1507" spans="1:16">
      <c r="A1507" s="1178" t="s">
        <v>232</v>
      </c>
      <c r="B1507" s="1371" t="str">
        <f>HYPERLINK(IFERROR("#Main_Tariff!A"&amp;MATCH(Raeburn_Main_Tariff[[#This Row],[Product Code]],Main_Tariff!I:I,0),"#Main_Tariff!A"&amp;MATCH("*"&amp;RIGHT(A1507,8)&amp;"*",Main_Tariff!A:A,0)),Raeburn_Main_Tariff[[#This Row],[PRODUCER]])</f>
        <v>Hubert Lignier</v>
      </c>
      <c r="C1507" s="1178" t="s">
        <v>20885</v>
      </c>
      <c r="D1507" s="1178" t="s">
        <v>897</v>
      </c>
      <c r="E1507" s="1179">
        <v>2020</v>
      </c>
      <c r="F1507" s="1282" t="s">
        <v>20220</v>
      </c>
      <c r="G1507" s="1368">
        <v>94</v>
      </c>
      <c r="H1507" s="1178" t="s">
        <v>20224</v>
      </c>
      <c r="I1507" s="1178" t="s">
        <v>5635</v>
      </c>
      <c r="J1507" s="1178" t="s">
        <v>662</v>
      </c>
      <c r="K1507" s="1178" t="s">
        <v>267</v>
      </c>
      <c r="L1507" s="1178" t="s">
        <v>211</v>
      </c>
      <c r="M1507" s="1369" t="s">
        <v>23297</v>
      </c>
      <c r="N1507" s="1178"/>
      <c r="O1507" s="1178">
        <v>6</v>
      </c>
      <c r="P1507" s="1178">
        <v>14</v>
      </c>
    </row>
    <row r="1508" spans="1:16">
      <c r="A1508" s="1178" t="s">
        <v>232</v>
      </c>
      <c r="B1508" s="1371" t="str">
        <f>HYPERLINK(IFERROR("#Main_Tariff!A"&amp;MATCH(Raeburn_Main_Tariff[[#This Row],[Product Code]],Main_Tariff!I:I,0),"#Main_Tariff!A"&amp;MATCH("*"&amp;RIGHT(A1508,8)&amp;"*",Main_Tariff!A:A,0)),Raeburn_Main_Tariff[[#This Row],[PRODUCER]])</f>
        <v>Hubert Lignier</v>
      </c>
      <c r="C1508" s="1178" t="s">
        <v>20885</v>
      </c>
      <c r="D1508" s="1178" t="s">
        <v>897</v>
      </c>
      <c r="E1508" s="1179">
        <v>2019</v>
      </c>
      <c r="F1508" s="1282" t="s">
        <v>20220</v>
      </c>
      <c r="G1508" s="1368">
        <v>94</v>
      </c>
      <c r="H1508" s="1178" t="s">
        <v>20221</v>
      </c>
      <c r="I1508" s="1178" t="s">
        <v>5637</v>
      </c>
      <c r="J1508" s="1178" t="s">
        <v>662</v>
      </c>
      <c r="K1508" s="1178" t="s">
        <v>267</v>
      </c>
      <c r="L1508" s="1178" t="s">
        <v>211</v>
      </c>
      <c r="M1508" s="1369" t="s">
        <v>23297</v>
      </c>
      <c r="N1508" s="1178"/>
      <c r="O1508" s="1178">
        <v>6</v>
      </c>
      <c r="P1508" s="1178">
        <v>15</v>
      </c>
    </row>
    <row r="1509" spans="1:16">
      <c r="A1509" s="1178" t="s">
        <v>232</v>
      </c>
      <c r="B1509" s="1371" t="str">
        <f>HYPERLINK(IFERROR("#Main_Tariff!A"&amp;MATCH(Raeburn_Main_Tariff[[#This Row],[Product Code]],Main_Tariff!I:I,0),"#Main_Tariff!A"&amp;MATCH("*"&amp;RIGHT(A1509,8)&amp;"*",Main_Tariff!A:A,0)),Raeburn_Main_Tariff[[#This Row],[PRODUCER]])</f>
        <v>Hubert Lignier</v>
      </c>
      <c r="C1509" s="1178" t="s">
        <v>20885</v>
      </c>
      <c r="D1509" s="1178" t="s">
        <v>897</v>
      </c>
      <c r="E1509" s="1179">
        <v>2018</v>
      </c>
      <c r="F1509" s="1282" t="s">
        <v>20220</v>
      </c>
      <c r="G1509" s="1368">
        <v>80</v>
      </c>
      <c r="H1509" s="1178" t="s">
        <v>20224</v>
      </c>
      <c r="I1509" s="1178" t="s">
        <v>5638</v>
      </c>
      <c r="J1509" s="1178" t="s">
        <v>662</v>
      </c>
      <c r="K1509" s="1178" t="s">
        <v>267</v>
      </c>
      <c r="L1509" s="1178" t="s">
        <v>211</v>
      </c>
      <c r="M1509" s="1369" t="s">
        <v>23297</v>
      </c>
      <c r="N1509" s="1178"/>
      <c r="O1509" s="1178">
        <v>6</v>
      </c>
      <c r="P1509" s="1178">
        <v>13.5</v>
      </c>
    </row>
    <row r="1510" spans="1:16">
      <c r="A1510" s="1178" t="s">
        <v>232</v>
      </c>
      <c r="B1510" s="1371" t="str">
        <f>HYPERLINK(IFERROR("#Main_Tariff!A"&amp;MATCH(Raeburn_Main_Tariff[[#This Row],[Product Code]],Main_Tariff!I:I,0),"#Main_Tariff!A"&amp;MATCH("*"&amp;RIGHT(A1510,8)&amp;"*",Main_Tariff!A:A,0)),Raeburn_Main_Tariff[[#This Row],[PRODUCER]])</f>
        <v>Hubert Lignier</v>
      </c>
      <c r="C1510" s="1178" t="s">
        <v>20885</v>
      </c>
      <c r="D1510" s="1178" t="s">
        <v>897</v>
      </c>
      <c r="E1510" s="1179">
        <v>2015</v>
      </c>
      <c r="F1510" s="1282" t="s">
        <v>20220</v>
      </c>
      <c r="G1510" s="1368">
        <v>80</v>
      </c>
      <c r="H1510" s="1178" t="s">
        <v>20224</v>
      </c>
      <c r="I1510" s="1178" t="s">
        <v>5639</v>
      </c>
      <c r="J1510" s="1178" t="s">
        <v>662</v>
      </c>
      <c r="K1510" s="1178" t="s">
        <v>267</v>
      </c>
      <c r="L1510" s="1178" t="s">
        <v>211</v>
      </c>
      <c r="M1510" s="1369" t="s">
        <v>23297</v>
      </c>
      <c r="N1510" s="1178"/>
      <c r="O1510" s="1178">
        <v>3</v>
      </c>
      <c r="P1510" s="1178">
        <v>14</v>
      </c>
    </row>
    <row r="1511" spans="1:16">
      <c r="A1511" s="1178" t="s">
        <v>232</v>
      </c>
      <c r="B1511" s="1371" t="str">
        <f>HYPERLINK(IFERROR("#Main_Tariff!A"&amp;MATCH(Raeburn_Main_Tariff[[#This Row],[Product Code]],Main_Tariff!I:I,0),"#Main_Tariff!A"&amp;MATCH("*"&amp;RIGHT(A1511,8)&amp;"*",Main_Tariff!A:A,0)),Raeburn_Main_Tariff[[#This Row],[PRODUCER]])</f>
        <v>Hubert Lignier</v>
      </c>
      <c r="C1511" s="1178" t="s">
        <v>20901</v>
      </c>
      <c r="D1511" s="1178" t="s">
        <v>897</v>
      </c>
      <c r="E1511" s="1179">
        <v>2021</v>
      </c>
      <c r="F1511" s="1282" t="s">
        <v>20220</v>
      </c>
      <c r="G1511" s="1368">
        <v>124</v>
      </c>
      <c r="H1511" s="1178" t="s">
        <v>20224</v>
      </c>
      <c r="I1511" s="1178" t="s">
        <v>5640</v>
      </c>
      <c r="J1511" s="1178" t="s">
        <v>662</v>
      </c>
      <c r="K1511" s="1178" t="s">
        <v>267</v>
      </c>
      <c r="L1511" s="1178" t="s">
        <v>211</v>
      </c>
      <c r="M1511" s="1369" t="s">
        <v>23297</v>
      </c>
      <c r="N1511" s="1178"/>
      <c r="O1511" s="1178">
        <v>3</v>
      </c>
      <c r="P1511" s="1178">
        <v>13.5</v>
      </c>
    </row>
    <row r="1512" spans="1:16">
      <c r="A1512" s="1178" t="s">
        <v>232</v>
      </c>
      <c r="B1512" s="1371" t="str">
        <f>HYPERLINK(IFERROR("#Main_Tariff!A"&amp;MATCH(Raeburn_Main_Tariff[[#This Row],[Product Code]],Main_Tariff!I:I,0),"#Main_Tariff!A"&amp;MATCH("*"&amp;RIGHT(A1512,8)&amp;"*",Main_Tariff!A:A,0)),Raeburn_Main_Tariff[[#This Row],[PRODUCER]])</f>
        <v>Hubert Lignier</v>
      </c>
      <c r="C1512" s="1178" t="s">
        <v>20902</v>
      </c>
      <c r="D1512" s="1178" t="s">
        <v>897</v>
      </c>
      <c r="E1512" s="1179">
        <v>2019</v>
      </c>
      <c r="F1512" s="1282" t="s">
        <v>20220</v>
      </c>
      <c r="G1512" s="1368">
        <v>128.5</v>
      </c>
      <c r="H1512" s="1178" t="s">
        <v>20224</v>
      </c>
      <c r="I1512" s="1178" t="s">
        <v>5641</v>
      </c>
      <c r="J1512" s="1178" t="s">
        <v>662</v>
      </c>
      <c r="K1512" s="1178" t="s">
        <v>267</v>
      </c>
      <c r="L1512" s="1178" t="s">
        <v>211</v>
      </c>
      <c r="M1512" s="1369" t="s">
        <v>23297</v>
      </c>
      <c r="N1512" s="1178"/>
      <c r="O1512" s="1178">
        <v>6</v>
      </c>
      <c r="P1512" s="1178">
        <v>14</v>
      </c>
    </row>
    <row r="1513" spans="1:16">
      <c r="A1513" s="1178" t="s">
        <v>232</v>
      </c>
      <c r="B1513" s="1371" t="str">
        <f>HYPERLINK(IFERROR("#Main_Tariff!A"&amp;MATCH(Raeburn_Main_Tariff[[#This Row],[Product Code]],Main_Tariff!I:I,0),"#Main_Tariff!A"&amp;MATCH("*"&amp;RIGHT(A1513,8)&amp;"*",Main_Tariff!A:A,0)),Raeburn_Main_Tariff[[#This Row],[PRODUCER]])</f>
        <v>Hubert Lignier</v>
      </c>
      <c r="C1513" s="1178" t="s">
        <v>20902</v>
      </c>
      <c r="D1513" s="1178" t="s">
        <v>897</v>
      </c>
      <c r="E1513" s="1179">
        <v>2017</v>
      </c>
      <c r="F1513" s="1282" t="s">
        <v>20220</v>
      </c>
      <c r="G1513" s="1368">
        <v>127.5</v>
      </c>
      <c r="H1513" s="1178" t="s">
        <v>20224</v>
      </c>
      <c r="I1513" s="1178" t="s">
        <v>5642</v>
      </c>
      <c r="J1513" s="1178" t="s">
        <v>662</v>
      </c>
      <c r="K1513" s="1178" t="s">
        <v>267</v>
      </c>
      <c r="L1513" s="1178" t="s">
        <v>211</v>
      </c>
      <c r="M1513" s="1369" t="s">
        <v>23297</v>
      </c>
      <c r="N1513" s="1178"/>
      <c r="O1513" s="1178">
        <v>6</v>
      </c>
      <c r="P1513" s="1178">
        <v>13.5</v>
      </c>
    </row>
    <row r="1514" spans="1:16">
      <c r="A1514" s="1178" t="s">
        <v>232</v>
      </c>
      <c r="B1514" s="1371" t="str">
        <f>HYPERLINK(IFERROR("#Main_Tariff!A"&amp;MATCH(Raeburn_Main_Tariff[[#This Row],[Product Code]],Main_Tariff!I:I,0),"#Main_Tariff!A"&amp;MATCH("*"&amp;RIGHT(A1514,8)&amp;"*",Main_Tariff!A:A,0)),Raeburn_Main_Tariff[[#This Row],[PRODUCER]])</f>
        <v>Hubert Lignier</v>
      </c>
      <c r="C1514" s="1178" t="s">
        <v>20902</v>
      </c>
      <c r="D1514" s="1178" t="s">
        <v>897</v>
      </c>
      <c r="E1514" s="1179">
        <v>2016</v>
      </c>
      <c r="F1514" s="1282" t="s">
        <v>20220</v>
      </c>
      <c r="G1514" s="1368">
        <v>127.5</v>
      </c>
      <c r="H1514" s="1178" t="s">
        <v>20221</v>
      </c>
      <c r="I1514" s="1178" t="s">
        <v>5643</v>
      </c>
      <c r="J1514" s="1178" t="s">
        <v>662</v>
      </c>
      <c r="K1514" s="1178" t="s">
        <v>267</v>
      </c>
      <c r="L1514" s="1178" t="s">
        <v>211</v>
      </c>
      <c r="M1514" s="1369" t="s">
        <v>23297</v>
      </c>
      <c r="N1514" s="1178"/>
      <c r="O1514" s="1178">
        <v>6</v>
      </c>
      <c r="P1514" s="1178">
        <v>14</v>
      </c>
    </row>
    <row r="1515" spans="1:16">
      <c r="A1515" s="1178" t="s">
        <v>232</v>
      </c>
      <c r="B1515" s="1371" t="str">
        <f>HYPERLINK(IFERROR("#Main_Tariff!A"&amp;MATCH(Raeburn_Main_Tariff[[#This Row],[Product Code]],Main_Tariff!I:I,0),"#Main_Tariff!A"&amp;MATCH("*"&amp;RIGHT(A1515,8)&amp;"*",Main_Tariff!A:A,0)),Raeburn_Main_Tariff[[#This Row],[PRODUCER]])</f>
        <v>Hubert Lignier</v>
      </c>
      <c r="C1515" s="1178" t="s">
        <v>20902</v>
      </c>
      <c r="D1515" s="1178" t="s">
        <v>897</v>
      </c>
      <c r="E1515" s="1179">
        <v>2015</v>
      </c>
      <c r="F1515" s="1282" t="s">
        <v>20220</v>
      </c>
      <c r="G1515" s="1368">
        <v>127.5</v>
      </c>
      <c r="H1515" s="1178" t="s">
        <v>20221</v>
      </c>
      <c r="I1515" s="1178" t="s">
        <v>5644</v>
      </c>
      <c r="J1515" s="1178" t="s">
        <v>662</v>
      </c>
      <c r="K1515" s="1178" t="s">
        <v>267</v>
      </c>
      <c r="L1515" s="1178" t="s">
        <v>211</v>
      </c>
      <c r="M1515" s="1369" t="s">
        <v>23297</v>
      </c>
      <c r="N1515" s="1178"/>
      <c r="O1515" s="1178">
        <v>6</v>
      </c>
      <c r="P1515" s="1178">
        <v>13.5</v>
      </c>
    </row>
    <row r="1516" spans="1:16">
      <c r="A1516" s="1178" t="s">
        <v>232</v>
      </c>
      <c r="B1516" s="1371" t="str">
        <f>HYPERLINK(IFERROR("#Main_Tariff!A"&amp;MATCH(Raeburn_Main_Tariff[[#This Row],[Product Code]],Main_Tariff!I:I,0),"#Main_Tariff!A"&amp;MATCH("*"&amp;RIGHT(A1516,8)&amp;"*",Main_Tariff!A:A,0)),Raeburn_Main_Tariff[[#This Row],[PRODUCER]])</f>
        <v>Hubert Lignier</v>
      </c>
      <c r="C1516" s="1178" t="s">
        <v>20902</v>
      </c>
      <c r="D1516" s="1178" t="s">
        <v>897</v>
      </c>
      <c r="E1516" s="1179">
        <v>2014</v>
      </c>
      <c r="F1516" s="1282" t="s">
        <v>20220</v>
      </c>
      <c r="G1516" s="1368">
        <v>112.5</v>
      </c>
      <c r="H1516" s="1178" t="s">
        <v>20221</v>
      </c>
      <c r="I1516" s="1178" t="s">
        <v>5645</v>
      </c>
      <c r="J1516" s="1178" t="s">
        <v>662</v>
      </c>
      <c r="K1516" s="1178" t="s">
        <v>267</v>
      </c>
      <c r="L1516" s="1178" t="s">
        <v>211</v>
      </c>
      <c r="M1516" s="1369" t="s">
        <v>23297</v>
      </c>
      <c r="N1516" s="1178"/>
      <c r="O1516" s="1178">
        <v>6</v>
      </c>
      <c r="P1516" s="1178">
        <v>13.5</v>
      </c>
    </row>
    <row r="1517" spans="1:16">
      <c r="A1517" s="1178" t="s">
        <v>232</v>
      </c>
      <c r="B1517" s="1371" t="str">
        <f>HYPERLINK(IFERROR("#Main_Tariff!A"&amp;MATCH(Raeburn_Main_Tariff[[#This Row],[Product Code]],Main_Tariff!I:I,0),"#Main_Tariff!A"&amp;MATCH("*"&amp;RIGHT(A1517,8)&amp;"*",Main_Tariff!A:A,0)),Raeburn_Main_Tariff[[#This Row],[PRODUCER]])</f>
        <v>Hubert Lignier</v>
      </c>
      <c r="C1517" s="1178" t="s">
        <v>20902</v>
      </c>
      <c r="D1517" s="1178" t="s">
        <v>897</v>
      </c>
      <c r="E1517" s="1179">
        <v>2013</v>
      </c>
      <c r="F1517" s="1282" t="s">
        <v>20220</v>
      </c>
      <c r="G1517" s="1368">
        <v>112.5</v>
      </c>
      <c r="H1517" s="1178" t="s">
        <v>20224</v>
      </c>
      <c r="I1517" s="1178" t="s">
        <v>5646</v>
      </c>
      <c r="J1517" s="1178" t="s">
        <v>662</v>
      </c>
      <c r="K1517" s="1178" t="s">
        <v>267</v>
      </c>
      <c r="L1517" s="1178" t="s">
        <v>211</v>
      </c>
      <c r="M1517" s="1369" t="s">
        <v>23297</v>
      </c>
      <c r="N1517" s="1178"/>
      <c r="O1517" s="1178">
        <v>6</v>
      </c>
      <c r="P1517" s="1178">
        <v>13.5</v>
      </c>
    </row>
    <row r="1518" spans="1:16">
      <c r="A1518" s="1178" t="s">
        <v>232</v>
      </c>
      <c r="B1518" s="1371" t="str">
        <f>HYPERLINK(IFERROR("#Main_Tariff!A"&amp;MATCH(Raeburn_Main_Tariff[[#This Row],[Product Code]],Main_Tariff!I:I,0),"#Main_Tariff!A"&amp;MATCH("*"&amp;RIGHT(A1518,8)&amp;"*",Main_Tariff!A:A,0)),Raeburn_Main_Tariff[[#This Row],[PRODUCER]])</f>
        <v>Hubert Lignier</v>
      </c>
      <c r="C1518" s="1178" t="s">
        <v>20902</v>
      </c>
      <c r="D1518" s="1178" t="s">
        <v>897</v>
      </c>
      <c r="E1518" s="1179">
        <v>2012</v>
      </c>
      <c r="F1518" s="1282" t="s">
        <v>20220</v>
      </c>
      <c r="G1518" s="1368">
        <v>112.5</v>
      </c>
      <c r="H1518" s="1178" t="s">
        <v>20221</v>
      </c>
      <c r="I1518" s="1178" t="s">
        <v>5647</v>
      </c>
      <c r="J1518" s="1178" t="s">
        <v>662</v>
      </c>
      <c r="K1518" s="1178" t="s">
        <v>267</v>
      </c>
      <c r="L1518" s="1178" t="s">
        <v>211</v>
      </c>
      <c r="M1518" s="1369" t="s">
        <v>23297</v>
      </c>
      <c r="N1518" s="1178"/>
      <c r="O1518" s="1178">
        <v>6</v>
      </c>
      <c r="P1518" s="1178">
        <v>13.5</v>
      </c>
    </row>
    <row r="1519" spans="1:16">
      <c r="A1519" s="1178" t="s">
        <v>232</v>
      </c>
      <c r="B1519" s="1371" t="str">
        <f>HYPERLINK(IFERROR("#Main_Tariff!A"&amp;MATCH(Raeburn_Main_Tariff[[#This Row],[Product Code]],Main_Tariff!I:I,0),"#Main_Tariff!A"&amp;MATCH("*"&amp;RIGHT(A1519,8)&amp;"*",Main_Tariff!A:A,0)),Raeburn_Main_Tariff[[#This Row],[PRODUCER]])</f>
        <v>Hubert Lignier</v>
      </c>
      <c r="C1519" s="1178" t="s">
        <v>20903</v>
      </c>
      <c r="D1519" s="1178" t="s">
        <v>897</v>
      </c>
      <c r="E1519" s="1179">
        <v>2012</v>
      </c>
      <c r="F1519" s="1282" t="s">
        <v>20220</v>
      </c>
      <c r="G1519" s="1368">
        <v>79.5</v>
      </c>
      <c r="H1519" s="1178" t="s">
        <v>20224</v>
      </c>
      <c r="I1519" s="1178" t="s">
        <v>5648</v>
      </c>
      <c r="J1519" s="1178" t="s">
        <v>662</v>
      </c>
      <c r="K1519" s="1178" t="s">
        <v>267</v>
      </c>
      <c r="L1519" s="1178" t="s">
        <v>211</v>
      </c>
      <c r="M1519" s="1369" t="s">
        <v>23297</v>
      </c>
      <c r="N1519" s="1178"/>
      <c r="O1519" s="1178">
        <v>6</v>
      </c>
      <c r="P1519" s="1178">
        <v>13.5</v>
      </c>
    </row>
    <row r="1520" spans="1:16">
      <c r="A1520" s="1178" t="s">
        <v>232</v>
      </c>
      <c r="B1520" s="1371" t="str">
        <f>HYPERLINK(IFERROR("#Main_Tariff!A"&amp;MATCH(Raeburn_Main_Tariff[[#This Row],[Product Code]],Main_Tariff!I:I,0),"#Main_Tariff!A"&amp;MATCH("*"&amp;RIGHT(A1520,8)&amp;"*",Main_Tariff!A:A,0)),Raeburn_Main_Tariff[[#This Row],[PRODUCER]])</f>
        <v>Hubert Lignier</v>
      </c>
      <c r="C1520" s="1178" t="s">
        <v>20798</v>
      </c>
      <c r="D1520" s="1178" t="s">
        <v>897</v>
      </c>
      <c r="E1520" s="1179">
        <v>2021</v>
      </c>
      <c r="F1520" s="1282" t="s">
        <v>20220</v>
      </c>
      <c r="G1520" s="1368" t="s">
        <v>5258</v>
      </c>
      <c r="H1520" s="1178" t="s">
        <v>20224</v>
      </c>
      <c r="I1520" s="1178" t="s">
        <v>5650</v>
      </c>
      <c r="J1520" s="1178" t="s">
        <v>662</v>
      </c>
      <c r="K1520" s="1178" t="s">
        <v>267</v>
      </c>
      <c r="L1520" s="1178" t="s">
        <v>211</v>
      </c>
      <c r="M1520" s="1369" t="s">
        <v>23296</v>
      </c>
      <c r="N1520" s="1178"/>
      <c r="O1520" s="1178">
        <v>6</v>
      </c>
      <c r="P1520" s="1178">
        <v>13.5</v>
      </c>
    </row>
    <row r="1521" spans="1:16">
      <c r="A1521" s="1178" t="s">
        <v>232</v>
      </c>
      <c r="B1521" s="1371" t="str">
        <f>HYPERLINK(IFERROR("#Main_Tariff!A"&amp;MATCH(Raeburn_Main_Tariff[[#This Row],[Product Code]],Main_Tariff!I:I,0),"#Main_Tariff!A"&amp;MATCH("*"&amp;RIGHT(A1521,8)&amp;"*",Main_Tariff!A:A,0)),Raeburn_Main_Tariff[[#This Row],[PRODUCER]])</f>
        <v>Hubert Lignier</v>
      </c>
      <c r="C1521" s="1178" t="s">
        <v>20798</v>
      </c>
      <c r="D1521" s="1178" t="s">
        <v>897</v>
      </c>
      <c r="E1521" s="1179">
        <v>2020</v>
      </c>
      <c r="F1521" s="1282" t="s">
        <v>20220</v>
      </c>
      <c r="G1521" s="1368" t="s">
        <v>5258</v>
      </c>
      <c r="H1521" s="1178" t="s">
        <v>20224</v>
      </c>
      <c r="I1521" s="1178" t="s">
        <v>5651</v>
      </c>
      <c r="J1521" s="1178" t="s">
        <v>662</v>
      </c>
      <c r="K1521" s="1178" t="s">
        <v>267</v>
      </c>
      <c r="L1521" s="1178" t="s">
        <v>211</v>
      </c>
      <c r="M1521" s="1369" t="s">
        <v>23296</v>
      </c>
      <c r="N1521" s="1178"/>
      <c r="O1521" s="1178">
        <v>3</v>
      </c>
      <c r="P1521" s="1178">
        <v>13.5</v>
      </c>
    </row>
    <row r="1522" spans="1:16">
      <c r="A1522" s="1178" t="s">
        <v>232</v>
      </c>
      <c r="B1522" s="1371" t="str">
        <f>HYPERLINK(IFERROR("#Main_Tariff!A"&amp;MATCH(Raeburn_Main_Tariff[[#This Row],[Product Code]],Main_Tariff!I:I,0),"#Main_Tariff!A"&amp;MATCH("*"&amp;RIGHT(A1522,8)&amp;"*",Main_Tariff!A:A,0)),Raeburn_Main_Tariff[[#This Row],[PRODUCER]])</f>
        <v>Hubert Lignier</v>
      </c>
      <c r="C1522" s="1178" t="s">
        <v>20798</v>
      </c>
      <c r="D1522" s="1178" t="s">
        <v>897</v>
      </c>
      <c r="E1522" s="1179">
        <v>2018</v>
      </c>
      <c r="F1522" s="1282" t="s">
        <v>20220</v>
      </c>
      <c r="G1522" s="1368" t="s">
        <v>5258</v>
      </c>
      <c r="H1522" s="1178" t="s">
        <v>20221</v>
      </c>
      <c r="I1522" s="1178" t="s">
        <v>5652</v>
      </c>
      <c r="J1522" s="1178" t="s">
        <v>662</v>
      </c>
      <c r="K1522" s="1178" t="s">
        <v>267</v>
      </c>
      <c r="L1522" s="1178" t="s">
        <v>211</v>
      </c>
      <c r="M1522" s="1369" t="s">
        <v>23296</v>
      </c>
      <c r="N1522" s="1178"/>
      <c r="O1522" s="1178">
        <v>6</v>
      </c>
      <c r="P1522" s="1178">
        <v>13.5</v>
      </c>
    </row>
    <row r="1523" spans="1:16">
      <c r="A1523" s="1178" t="s">
        <v>232</v>
      </c>
      <c r="B1523" s="1371" t="str">
        <f>HYPERLINK(IFERROR("#Main_Tariff!A"&amp;MATCH(Raeburn_Main_Tariff[[#This Row],[Product Code]],Main_Tariff!I:I,0),"#Main_Tariff!A"&amp;MATCH("*"&amp;RIGHT(A1523,8)&amp;"*",Main_Tariff!A:A,0)),Raeburn_Main_Tariff[[#This Row],[PRODUCER]])</f>
        <v>Hubert Lignier</v>
      </c>
      <c r="C1523" s="1178" t="s">
        <v>20798</v>
      </c>
      <c r="D1523" s="1178" t="s">
        <v>897</v>
      </c>
      <c r="E1523" s="1179">
        <v>2017</v>
      </c>
      <c r="F1523" s="1282" t="s">
        <v>20220</v>
      </c>
      <c r="G1523" s="1368" t="s">
        <v>5258</v>
      </c>
      <c r="H1523" s="1178" t="s">
        <v>20224</v>
      </c>
      <c r="I1523" s="1178" t="s">
        <v>5653</v>
      </c>
      <c r="J1523" s="1178" t="s">
        <v>662</v>
      </c>
      <c r="K1523" s="1178" t="s">
        <v>267</v>
      </c>
      <c r="L1523" s="1178" t="s">
        <v>211</v>
      </c>
      <c r="M1523" s="1369" t="s">
        <v>23296</v>
      </c>
      <c r="N1523" s="1178"/>
      <c r="O1523" s="1178">
        <v>3</v>
      </c>
      <c r="P1523" s="1178">
        <v>13.5</v>
      </c>
    </row>
    <row r="1524" spans="1:16">
      <c r="A1524" s="1178" t="s">
        <v>232</v>
      </c>
      <c r="B1524" s="1371" t="str">
        <f>HYPERLINK(IFERROR("#Main_Tariff!A"&amp;MATCH(Raeburn_Main_Tariff[[#This Row],[Product Code]],Main_Tariff!I:I,0),"#Main_Tariff!A"&amp;MATCH("*"&amp;RIGHT(A1524,8)&amp;"*",Main_Tariff!A:A,0)),Raeburn_Main_Tariff[[#This Row],[PRODUCER]])</f>
        <v>Hubert Lignier</v>
      </c>
      <c r="C1524" s="1178" t="s">
        <v>20904</v>
      </c>
      <c r="D1524" s="1178" t="s">
        <v>897</v>
      </c>
      <c r="E1524" s="1179">
        <v>2021</v>
      </c>
      <c r="F1524" s="1282" t="s">
        <v>20220</v>
      </c>
      <c r="G1524" s="1368" t="s">
        <v>5258</v>
      </c>
      <c r="H1524" s="1178" t="s">
        <v>20224</v>
      </c>
      <c r="I1524" s="1178" t="s">
        <v>5654</v>
      </c>
      <c r="J1524" s="1178" t="s">
        <v>662</v>
      </c>
      <c r="K1524" s="1178" t="s">
        <v>267</v>
      </c>
      <c r="L1524" s="1178" t="s">
        <v>211</v>
      </c>
      <c r="M1524" s="1369" t="s">
        <v>23296</v>
      </c>
      <c r="N1524" s="1178" t="s">
        <v>20244</v>
      </c>
      <c r="O1524" s="1178">
        <v>6</v>
      </c>
      <c r="P1524" s="1178">
        <v>13</v>
      </c>
    </row>
    <row r="1525" spans="1:16">
      <c r="A1525" s="1178" t="s">
        <v>232</v>
      </c>
      <c r="B1525" s="1371" t="str">
        <f>HYPERLINK(IFERROR("#Main_Tariff!A"&amp;MATCH(Raeburn_Main_Tariff[[#This Row],[Product Code]],Main_Tariff!I:I,0),"#Main_Tariff!A"&amp;MATCH("*"&amp;RIGHT(A1525,8)&amp;"*",Main_Tariff!A:A,0)),Raeburn_Main_Tariff[[#This Row],[PRODUCER]])</f>
        <v>Hubert Lignier</v>
      </c>
      <c r="C1525" s="1178" t="s">
        <v>20904</v>
      </c>
      <c r="D1525" s="1178" t="s">
        <v>897</v>
      </c>
      <c r="E1525" s="1179">
        <v>2020</v>
      </c>
      <c r="F1525" s="1282" t="s">
        <v>20220</v>
      </c>
      <c r="G1525" s="1368" t="s">
        <v>5258</v>
      </c>
      <c r="H1525" s="1178" t="s">
        <v>20224</v>
      </c>
      <c r="I1525" s="1178" t="s">
        <v>5655</v>
      </c>
      <c r="J1525" s="1178" t="s">
        <v>662</v>
      </c>
      <c r="K1525" s="1178" t="s">
        <v>267</v>
      </c>
      <c r="L1525" s="1178" t="s">
        <v>211</v>
      </c>
      <c r="M1525" s="1369" t="s">
        <v>23296</v>
      </c>
      <c r="N1525" s="1178" t="s">
        <v>20244</v>
      </c>
      <c r="O1525" s="1178">
        <v>3</v>
      </c>
      <c r="P1525" s="1178">
        <v>13.5</v>
      </c>
    </row>
    <row r="1526" spans="1:16">
      <c r="A1526" s="1178" t="s">
        <v>232</v>
      </c>
      <c r="B1526" s="1371" t="str">
        <f>HYPERLINK(IFERROR("#Main_Tariff!A"&amp;MATCH(Raeburn_Main_Tariff[[#This Row],[Product Code]],Main_Tariff!I:I,0),"#Main_Tariff!A"&amp;MATCH("*"&amp;RIGHT(A1526,8)&amp;"*",Main_Tariff!A:A,0)),Raeburn_Main_Tariff[[#This Row],[PRODUCER]])</f>
        <v>Hubert Lignier</v>
      </c>
      <c r="C1526" s="1178" t="s">
        <v>20904</v>
      </c>
      <c r="D1526" s="1178" t="s">
        <v>897</v>
      </c>
      <c r="E1526" s="1179">
        <v>2019</v>
      </c>
      <c r="F1526" s="1282" t="s">
        <v>20220</v>
      </c>
      <c r="G1526" s="1368" t="s">
        <v>5258</v>
      </c>
      <c r="H1526" s="1178" t="s">
        <v>20224</v>
      </c>
      <c r="I1526" s="1178" t="s">
        <v>5656</v>
      </c>
      <c r="J1526" s="1178" t="s">
        <v>662</v>
      </c>
      <c r="K1526" s="1178" t="s">
        <v>267</v>
      </c>
      <c r="L1526" s="1178" t="s">
        <v>211</v>
      </c>
      <c r="M1526" s="1369" t="s">
        <v>23296</v>
      </c>
      <c r="N1526" s="1178" t="s">
        <v>20244</v>
      </c>
      <c r="O1526" s="1178">
        <v>3</v>
      </c>
      <c r="P1526" s="1178">
        <v>14</v>
      </c>
    </row>
    <row r="1527" spans="1:16">
      <c r="A1527" s="1178" t="s">
        <v>232</v>
      </c>
      <c r="B1527" s="1371" t="str">
        <f>HYPERLINK(IFERROR("#Main_Tariff!A"&amp;MATCH(Raeburn_Main_Tariff[[#This Row],[Product Code]],Main_Tariff!I:I,0),"#Main_Tariff!A"&amp;MATCH("*"&amp;RIGHT(A1527,8)&amp;"*",Main_Tariff!A:A,0)),Raeburn_Main_Tariff[[#This Row],[PRODUCER]])</f>
        <v>Hubert Lignier</v>
      </c>
      <c r="C1527" s="1178" t="s">
        <v>20904</v>
      </c>
      <c r="D1527" s="1178" t="s">
        <v>897</v>
      </c>
      <c r="E1527" s="1179">
        <v>2018</v>
      </c>
      <c r="F1527" s="1282" t="s">
        <v>20220</v>
      </c>
      <c r="G1527" s="1368" t="s">
        <v>5258</v>
      </c>
      <c r="H1527" s="1178" t="s">
        <v>20224</v>
      </c>
      <c r="I1527" s="1178" t="s">
        <v>5657</v>
      </c>
      <c r="J1527" s="1178" t="s">
        <v>662</v>
      </c>
      <c r="K1527" s="1178" t="s">
        <v>267</v>
      </c>
      <c r="L1527" s="1178" t="s">
        <v>211</v>
      </c>
      <c r="M1527" s="1369" t="s">
        <v>23296</v>
      </c>
      <c r="N1527" s="1178"/>
      <c r="O1527" s="1178">
        <v>6</v>
      </c>
      <c r="P1527" s="1178">
        <v>13.5</v>
      </c>
    </row>
    <row r="1528" spans="1:16">
      <c r="A1528" s="1178" t="s">
        <v>232</v>
      </c>
      <c r="B1528" s="1371" t="str">
        <f>HYPERLINK(IFERROR("#Main_Tariff!A"&amp;MATCH(Raeburn_Main_Tariff[[#This Row],[Product Code]],Main_Tariff!I:I,0),"#Main_Tariff!A"&amp;MATCH("*"&amp;RIGHT(A1528,8)&amp;"*",Main_Tariff!A:A,0)),Raeburn_Main_Tariff[[#This Row],[PRODUCER]])</f>
        <v>Hubert Lignier</v>
      </c>
      <c r="C1528" s="1178" t="s">
        <v>20904</v>
      </c>
      <c r="D1528" s="1178" t="s">
        <v>897</v>
      </c>
      <c r="E1528" s="1179">
        <v>2016</v>
      </c>
      <c r="F1528" s="1282" t="s">
        <v>20220</v>
      </c>
      <c r="G1528" s="1368" t="s">
        <v>5258</v>
      </c>
      <c r="H1528" s="1178" t="s">
        <v>20224</v>
      </c>
      <c r="I1528" s="1178" t="s">
        <v>5658</v>
      </c>
      <c r="J1528" s="1178" t="s">
        <v>662</v>
      </c>
      <c r="K1528" s="1178" t="s">
        <v>267</v>
      </c>
      <c r="L1528" s="1178" t="s">
        <v>211</v>
      </c>
      <c r="M1528" s="1369" t="s">
        <v>23296</v>
      </c>
      <c r="N1528" s="1178"/>
      <c r="O1528" s="1178">
        <v>3</v>
      </c>
      <c r="P1528" s="1178">
        <v>13</v>
      </c>
    </row>
    <row r="1529" spans="1:16">
      <c r="A1529" s="1178" t="s">
        <v>232</v>
      </c>
      <c r="B1529" s="1371" t="str">
        <f>HYPERLINK(IFERROR("#Main_Tariff!A"&amp;MATCH(Raeburn_Main_Tariff[[#This Row],[Product Code]],Main_Tariff!I:I,0),"#Main_Tariff!A"&amp;MATCH("*"&amp;RIGHT(A1529,8)&amp;"*",Main_Tariff!A:A,0)),Raeburn_Main_Tariff[[#This Row],[PRODUCER]])</f>
        <v>Hubert Lignier</v>
      </c>
      <c r="C1529" s="1178" t="s">
        <v>20905</v>
      </c>
      <c r="D1529" s="1178" t="s">
        <v>897</v>
      </c>
      <c r="E1529" s="1179">
        <v>2021</v>
      </c>
      <c r="F1529" s="1282" t="s">
        <v>20220</v>
      </c>
      <c r="G1529" s="1368" t="s">
        <v>5258</v>
      </c>
      <c r="H1529" s="1178" t="s">
        <v>20224</v>
      </c>
      <c r="I1529" s="1178" t="s">
        <v>5659</v>
      </c>
      <c r="J1529" s="1178" t="s">
        <v>662</v>
      </c>
      <c r="K1529" s="1178" t="s">
        <v>267</v>
      </c>
      <c r="L1529" s="1178" t="s">
        <v>211</v>
      </c>
      <c r="M1529" s="1369" t="s">
        <v>23296</v>
      </c>
      <c r="N1529" s="1178" t="s">
        <v>20244</v>
      </c>
      <c r="O1529" s="1178">
        <v>6</v>
      </c>
      <c r="P1529" s="1178">
        <v>13.5</v>
      </c>
    </row>
    <row r="1530" spans="1:16">
      <c r="A1530" s="1178" t="s">
        <v>232</v>
      </c>
      <c r="B1530" s="1371" t="str">
        <f>HYPERLINK(IFERROR("#Main_Tariff!A"&amp;MATCH(Raeburn_Main_Tariff[[#This Row],[Product Code]],Main_Tariff!I:I,0),"#Main_Tariff!A"&amp;MATCH("*"&amp;RIGHT(A1530,8)&amp;"*",Main_Tariff!A:A,0)),Raeburn_Main_Tariff[[#This Row],[PRODUCER]])</f>
        <v>Hubert Lignier</v>
      </c>
      <c r="C1530" s="1178" t="s">
        <v>20906</v>
      </c>
      <c r="D1530" s="1178" t="s">
        <v>897</v>
      </c>
      <c r="E1530" s="1179">
        <v>2021</v>
      </c>
      <c r="F1530" s="1282" t="s">
        <v>20220</v>
      </c>
      <c r="G1530" s="1368" t="s">
        <v>5258</v>
      </c>
      <c r="H1530" s="1178" t="s">
        <v>20224</v>
      </c>
      <c r="I1530" s="1178" t="s">
        <v>5660</v>
      </c>
      <c r="J1530" s="1178" t="s">
        <v>662</v>
      </c>
      <c r="K1530" s="1178" t="s">
        <v>267</v>
      </c>
      <c r="L1530" s="1178" t="s">
        <v>211</v>
      </c>
      <c r="M1530" s="1369" t="s">
        <v>23296</v>
      </c>
      <c r="N1530" s="1178" t="s">
        <v>20244</v>
      </c>
      <c r="O1530" s="1178">
        <v>1</v>
      </c>
      <c r="P1530" s="1178">
        <v>13</v>
      </c>
    </row>
    <row r="1531" spans="1:16">
      <c r="A1531" s="1178" t="s">
        <v>232</v>
      </c>
      <c r="B1531" s="1371" t="str">
        <f>HYPERLINK(IFERROR("#Main_Tariff!A"&amp;MATCH(Raeburn_Main_Tariff[[#This Row],[Product Code]],Main_Tariff!I:I,0),"#Main_Tariff!A"&amp;MATCH("*"&amp;RIGHT(A1531,8)&amp;"*",Main_Tariff!A:A,0)),Raeburn_Main_Tariff[[#This Row],[PRODUCER]])</f>
        <v>Hubert Lignier</v>
      </c>
      <c r="C1531" s="1178" t="s">
        <v>20907</v>
      </c>
      <c r="D1531" s="1178" t="s">
        <v>897</v>
      </c>
      <c r="E1531" s="1179">
        <v>2021</v>
      </c>
      <c r="F1531" s="1282" t="s">
        <v>20240</v>
      </c>
      <c r="G1531" s="1368">
        <v>128</v>
      </c>
      <c r="H1531" s="1178" t="s">
        <v>20224</v>
      </c>
      <c r="I1531" s="1178" t="s">
        <v>5661</v>
      </c>
      <c r="J1531" s="1178" t="s">
        <v>662</v>
      </c>
      <c r="K1531" s="1178" t="s">
        <v>267</v>
      </c>
      <c r="L1531" s="1178" t="s">
        <v>211</v>
      </c>
      <c r="M1531" s="1369"/>
      <c r="N1531" s="1178" t="s">
        <v>20244</v>
      </c>
      <c r="O1531" s="1178">
        <v>3</v>
      </c>
      <c r="P1531" s="1178">
        <v>13.5</v>
      </c>
    </row>
    <row r="1532" spans="1:16">
      <c r="A1532" s="1178" t="s">
        <v>232</v>
      </c>
      <c r="B1532" s="1371" t="str">
        <f>HYPERLINK(IFERROR("#Main_Tariff!A"&amp;MATCH(Raeburn_Main_Tariff[[#This Row],[Product Code]],Main_Tariff!I:I,0),"#Main_Tariff!A"&amp;MATCH("*"&amp;RIGHT(A1532,8)&amp;"*",Main_Tariff!A:A,0)),Raeburn_Main_Tariff[[#This Row],[PRODUCER]])</f>
        <v>Hubert Lignier</v>
      </c>
      <c r="C1532" s="1178" t="s">
        <v>20907</v>
      </c>
      <c r="D1532" s="1178" t="s">
        <v>897</v>
      </c>
      <c r="E1532" s="1179">
        <v>2020</v>
      </c>
      <c r="F1532" s="1282" t="s">
        <v>20240</v>
      </c>
      <c r="G1532" s="1368">
        <v>123</v>
      </c>
      <c r="H1532" s="1178" t="s">
        <v>20224</v>
      </c>
      <c r="I1532" s="1178" t="s">
        <v>5662</v>
      </c>
      <c r="J1532" s="1178" t="s">
        <v>662</v>
      </c>
      <c r="K1532" s="1178" t="s">
        <v>267</v>
      </c>
      <c r="L1532" s="1178" t="s">
        <v>211</v>
      </c>
      <c r="M1532" s="1369"/>
      <c r="N1532" s="1178" t="s">
        <v>20244</v>
      </c>
      <c r="O1532" s="1178">
        <v>3</v>
      </c>
      <c r="P1532" s="1178">
        <v>13.5</v>
      </c>
    </row>
    <row r="1533" spans="1:16">
      <c r="A1533" s="1178" t="s">
        <v>232</v>
      </c>
      <c r="B1533" s="1371" t="str">
        <f>HYPERLINK(IFERROR("#Main_Tariff!A"&amp;MATCH(Raeburn_Main_Tariff[[#This Row],[Product Code]],Main_Tariff!I:I,0),"#Main_Tariff!A"&amp;MATCH("*"&amp;RIGHT(A1533,8)&amp;"*",Main_Tariff!A:A,0)),Raeburn_Main_Tariff[[#This Row],[PRODUCER]])</f>
        <v>Hubert Lignier</v>
      </c>
      <c r="C1533" s="1178" t="s">
        <v>20907</v>
      </c>
      <c r="D1533" s="1178" t="s">
        <v>897</v>
      </c>
      <c r="E1533" s="1179">
        <v>2019</v>
      </c>
      <c r="F1533" s="1282" t="s">
        <v>20240</v>
      </c>
      <c r="G1533" s="1368">
        <v>123</v>
      </c>
      <c r="H1533" s="1178" t="s">
        <v>20224</v>
      </c>
      <c r="I1533" s="1178" t="s">
        <v>5663</v>
      </c>
      <c r="J1533" s="1178" t="s">
        <v>662</v>
      </c>
      <c r="K1533" s="1178" t="s">
        <v>267</v>
      </c>
      <c r="L1533" s="1178" t="s">
        <v>211</v>
      </c>
      <c r="M1533" s="1369"/>
      <c r="N1533" s="1178" t="s">
        <v>20244</v>
      </c>
      <c r="O1533" s="1178">
        <v>3</v>
      </c>
      <c r="P1533" s="1178">
        <v>14.5</v>
      </c>
    </row>
    <row r="1534" spans="1:16">
      <c r="A1534" s="1178" t="s">
        <v>232</v>
      </c>
      <c r="B1534" s="1371" t="str">
        <f>HYPERLINK(IFERROR("#Main_Tariff!A"&amp;MATCH(Raeburn_Main_Tariff[[#This Row],[Product Code]],Main_Tariff!I:I,0),"#Main_Tariff!A"&amp;MATCH("*"&amp;RIGHT(A1534,8)&amp;"*",Main_Tariff!A:A,0)),Raeburn_Main_Tariff[[#This Row],[PRODUCER]])</f>
        <v>Hubert Lignier</v>
      </c>
      <c r="C1534" s="1178" t="s">
        <v>20907</v>
      </c>
      <c r="D1534" s="1178" t="s">
        <v>897</v>
      </c>
      <c r="E1534" s="1179">
        <v>2018</v>
      </c>
      <c r="F1534" s="1282" t="s">
        <v>20240</v>
      </c>
      <c r="G1534" s="1368">
        <v>107</v>
      </c>
      <c r="H1534" s="1178" t="s">
        <v>20224</v>
      </c>
      <c r="I1534" s="1178" t="s">
        <v>5664</v>
      </c>
      <c r="J1534" s="1178" t="s">
        <v>662</v>
      </c>
      <c r="K1534" s="1178" t="s">
        <v>267</v>
      </c>
      <c r="L1534" s="1178" t="s">
        <v>211</v>
      </c>
      <c r="M1534" s="1369"/>
      <c r="N1534" s="1178"/>
      <c r="O1534" s="1178">
        <v>3</v>
      </c>
      <c r="P1534" s="1178">
        <v>13.5</v>
      </c>
    </row>
    <row r="1535" spans="1:16">
      <c r="A1535" s="1178" t="s">
        <v>232</v>
      </c>
      <c r="B1535" s="1371" t="str">
        <f>HYPERLINK(IFERROR("#Main_Tariff!A"&amp;MATCH(Raeburn_Main_Tariff[[#This Row],[Product Code]],Main_Tariff!I:I,0),"#Main_Tariff!A"&amp;MATCH("*"&amp;RIGHT(A1535,8)&amp;"*",Main_Tariff!A:A,0)),Raeburn_Main_Tariff[[#This Row],[PRODUCER]])</f>
        <v>Hubert Lignier</v>
      </c>
      <c r="C1535" s="1178" t="s">
        <v>20908</v>
      </c>
      <c r="D1535" s="1178" t="s">
        <v>897</v>
      </c>
      <c r="E1535" s="1179">
        <v>2021</v>
      </c>
      <c r="F1535" s="1282" t="s">
        <v>20240</v>
      </c>
      <c r="G1535" s="1368">
        <v>204</v>
      </c>
      <c r="H1535" s="1178" t="s">
        <v>20224</v>
      </c>
      <c r="I1535" s="1178" t="s">
        <v>5665</v>
      </c>
      <c r="J1535" s="1178" t="s">
        <v>662</v>
      </c>
      <c r="K1535" s="1178" t="s">
        <v>267</v>
      </c>
      <c r="L1535" s="1178" t="s">
        <v>211</v>
      </c>
      <c r="M1535" s="1369" t="s">
        <v>23297</v>
      </c>
      <c r="N1535" s="1178"/>
      <c r="O1535" s="1178">
        <v>3</v>
      </c>
      <c r="P1535" s="1178">
        <v>13.5</v>
      </c>
    </row>
    <row r="1536" spans="1:16">
      <c r="A1536" s="1178" t="s">
        <v>232</v>
      </c>
      <c r="B1536" s="1371" t="str">
        <f>HYPERLINK(IFERROR("#Main_Tariff!A"&amp;MATCH(Raeburn_Main_Tariff[[#This Row],[Product Code]],Main_Tariff!I:I,0),"#Main_Tariff!A"&amp;MATCH("*"&amp;RIGHT(A1536,8)&amp;"*",Main_Tariff!A:A,0)),Raeburn_Main_Tariff[[#This Row],[PRODUCER]])</f>
        <v>Hubert Lignier</v>
      </c>
      <c r="C1536" s="1178" t="s">
        <v>20908</v>
      </c>
      <c r="D1536" s="1178" t="s">
        <v>897</v>
      </c>
      <c r="E1536" s="1179">
        <v>2020</v>
      </c>
      <c r="F1536" s="1282" t="s">
        <v>20240</v>
      </c>
      <c r="G1536" s="1368">
        <v>196.5</v>
      </c>
      <c r="H1536" s="1178" t="s">
        <v>20224</v>
      </c>
      <c r="I1536" s="1178" t="s">
        <v>5666</v>
      </c>
      <c r="J1536" s="1178" t="s">
        <v>662</v>
      </c>
      <c r="K1536" s="1178" t="s">
        <v>267</v>
      </c>
      <c r="L1536" s="1178" t="s">
        <v>211</v>
      </c>
      <c r="M1536" s="1369" t="s">
        <v>23297</v>
      </c>
      <c r="N1536" s="1178"/>
      <c r="O1536" s="1178">
        <v>3</v>
      </c>
      <c r="P1536" s="1178">
        <v>14</v>
      </c>
    </row>
    <row r="1537" spans="1:16">
      <c r="A1537" s="1178" t="s">
        <v>232</v>
      </c>
      <c r="B1537" s="1371" t="str">
        <f>HYPERLINK(IFERROR("#Main_Tariff!A"&amp;MATCH(Raeburn_Main_Tariff[[#This Row],[Product Code]],Main_Tariff!I:I,0),"#Main_Tariff!A"&amp;MATCH("*"&amp;RIGHT(A1537,8)&amp;"*",Main_Tariff!A:A,0)),Raeburn_Main_Tariff[[#This Row],[PRODUCER]])</f>
        <v>Hubert Lignier</v>
      </c>
      <c r="C1537" s="1178" t="s">
        <v>20908</v>
      </c>
      <c r="D1537" s="1178" t="s">
        <v>897</v>
      </c>
      <c r="E1537" s="1179">
        <v>2019</v>
      </c>
      <c r="F1537" s="1282" t="s">
        <v>20240</v>
      </c>
      <c r="G1537" s="1368">
        <v>196.5</v>
      </c>
      <c r="H1537" s="1178" t="s">
        <v>20224</v>
      </c>
      <c r="I1537" s="1178" t="s">
        <v>5667</v>
      </c>
      <c r="J1537" s="1178" t="s">
        <v>662</v>
      </c>
      <c r="K1537" s="1178" t="s">
        <v>267</v>
      </c>
      <c r="L1537" s="1178" t="s">
        <v>211</v>
      </c>
      <c r="M1537" s="1369" t="s">
        <v>23297</v>
      </c>
      <c r="N1537" s="1178"/>
      <c r="O1537" s="1178">
        <v>3</v>
      </c>
      <c r="P1537" s="1178">
        <v>15</v>
      </c>
    </row>
    <row r="1538" spans="1:16">
      <c r="A1538" s="1178" t="s">
        <v>232</v>
      </c>
      <c r="B1538" s="1371" t="str">
        <f>HYPERLINK(IFERROR("#Main_Tariff!A"&amp;MATCH(Raeburn_Main_Tariff[[#This Row],[Product Code]],Main_Tariff!I:I,0),"#Main_Tariff!A"&amp;MATCH("*"&amp;RIGHT(A1538,8)&amp;"*",Main_Tariff!A:A,0)),Raeburn_Main_Tariff[[#This Row],[PRODUCER]])</f>
        <v>Hubert Lignier</v>
      </c>
      <c r="C1538" s="1178" t="s">
        <v>20908</v>
      </c>
      <c r="D1538" s="1178" t="s">
        <v>897</v>
      </c>
      <c r="E1538" s="1179">
        <v>2018</v>
      </c>
      <c r="F1538" s="1282" t="s">
        <v>20240</v>
      </c>
      <c r="G1538" s="1368">
        <v>171</v>
      </c>
      <c r="H1538" s="1178" t="s">
        <v>20224</v>
      </c>
      <c r="I1538" s="1178" t="s">
        <v>5668</v>
      </c>
      <c r="J1538" s="1178" t="s">
        <v>662</v>
      </c>
      <c r="K1538" s="1178" t="s">
        <v>267</v>
      </c>
      <c r="L1538" s="1178" t="s">
        <v>211</v>
      </c>
      <c r="M1538" s="1369" t="s">
        <v>23297</v>
      </c>
      <c r="N1538" s="1178"/>
      <c r="O1538" s="1178">
        <v>6</v>
      </c>
      <c r="P1538" s="1178">
        <v>13.5</v>
      </c>
    </row>
    <row r="1539" spans="1:16">
      <c r="A1539" s="1178" t="s">
        <v>232</v>
      </c>
      <c r="B1539" s="1371" t="str">
        <f>HYPERLINK(IFERROR("#Main_Tariff!A"&amp;MATCH(Raeburn_Main_Tariff[[#This Row],[Product Code]],Main_Tariff!I:I,0),"#Main_Tariff!A"&amp;MATCH("*"&amp;RIGHT(A1539,8)&amp;"*",Main_Tariff!A:A,0)),Raeburn_Main_Tariff[[#This Row],[PRODUCER]])</f>
        <v>Hubert Lignier</v>
      </c>
      <c r="C1539" s="1178" t="s">
        <v>20908</v>
      </c>
      <c r="D1539" s="1178" t="s">
        <v>897</v>
      </c>
      <c r="E1539" s="1179">
        <v>2017</v>
      </c>
      <c r="F1539" s="1282" t="s">
        <v>20240</v>
      </c>
      <c r="G1539" s="1368">
        <v>171</v>
      </c>
      <c r="H1539" s="1178" t="s">
        <v>20224</v>
      </c>
      <c r="I1539" s="1178" t="s">
        <v>5669</v>
      </c>
      <c r="J1539" s="1178" t="s">
        <v>662</v>
      </c>
      <c r="K1539" s="1178" t="s">
        <v>267</v>
      </c>
      <c r="L1539" s="1178" t="s">
        <v>211</v>
      </c>
      <c r="M1539" s="1369" t="s">
        <v>23297</v>
      </c>
      <c r="N1539" s="1178"/>
      <c r="O1539" s="1178">
        <v>3</v>
      </c>
      <c r="P1539" s="1178">
        <v>13</v>
      </c>
    </row>
    <row r="1540" spans="1:16">
      <c r="A1540" s="1178" t="s">
        <v>232</v>
      </c>
      <c r="B1540" s="1371" t="str">
        <f>HYPERLINK(IFERROR("#Main_Tariff!A"&amp;MATCH(Raeburn_Main_Tariff[[#This Row],[Product Code]],Main_Tariff!I:I,0),"#Main_Tariff!A"&amp;MATCH("*"&amp;RIGHT(A1540,8)&amp;"*",Main_Tariff!A:A,0)),Raeburn_Main_Tariff[[#This Row],[PRODUCER]])</f>
        <v>Hubert Lignier</v>
      </c>
      <c r="C1540" s="1178" t="s">
        <v>20908</v>
      </c>
      <c r="D1540" s="1178" t="s">
        <v>897</v>
      </c>
      <c r="E1540" s="1179">
        <v>2016</v>
      </c>
      <c r="F1540" s="1282" t="s">
        <v>20240</v>
      </c>
      <c r="G1540" s="1368">
        <v>171</v>
      </c>
      <c r="H1540" s="1178" t="s">
        <v>20224</v>
      </c>
      <c r="I1540" s="1178" t="s">
        <v>5670</v>
      </c>
      <c r="J1540" s="1178" t="s">
        <v>662</v>
      </c>
      <c r="K1540" s="1178" t="s">
        <v>267</v>
      </c>
      <c r="L1540" s="1178" t="s">
        <v>211</v>
      </c>
      <c r="M1540" s="1369" t="s">
        <v>23297</v>
      </c>
      <c r="N1540" s="1178"/>
      <c r="O1540" s="1178">
        <v>3</v>
      </c>
      <c r="P1540" s="1178">
        <v>13</v>
      </c>
    </row>
    <row r="1541" spans="1:16">
      <c r="A1541" s="1178" t="s">
        <v>232</v>
      </c>
      <c r="B1541" s="1371" t="str">
        <f>HYPERLINK(IFERROR("#Main_Tariff!A"&amp;MATCH(Raeburn_Main_Tariff[[#This Row],[Product Code]],Main_Tariff!I:I,0),"#Main_Tariff!A"&amp;MATCH("*"&amp;RIGHT(A1541,8)&amp;"*",Main_Tariff!A:A,0)),Raeburn_Main_Tariff[[#This Row],[PRODUCER]])</f>
        <v>Hubert Lignier</v>
      </c>
      <c r="C1541" s="1178" t="s">
        <v>20909</v>
      </c>
      <c r="D1541" s="1178" t="s">
        <v>897</v>
      </c>
      <c r="E1541" s="1179">
        <v>2016</v>
      </c>
      <c r="F1541" s="1282" t="s">
        <v>20240</v>
      </c>
      <c r="G1541" s="1368">
        <v>261</v>
      </c>
      <c r="H1541" s="1178" t="s">
        <v>20224</v>
      </c>
      <c r="I1541" s="1178" t="s">
        <v>5671</v>
      </c>
      <c r="J1541" s="1178" t="s">
        <v>662</v>
      </c>
      <c r="K1541" s="1178" t="s">
        <v>267</v>
      </c>
      <c r="L1541" s="1178" t="s">
        <v>211</v>
      </c>
      <c r="M1541" s="1369" t="s">
        <v>23297</v>
      </c>
      <c r="N1541" s="1178"/>
      <c r="O1541" s="1178">
        <v>3</v>
      </c>
      <c r="P1541" s="1178">
        <v>14</v>
      </c>
    </row>
    <row r="1542" spans="1:16">
      <c r="A1542" s="1178" t="s">
        <v>232</v>
      </c>
      <c r="B1542" s="1371" t="str">
        <f>HYPERLINK(IFERROR("#Main_Tariff!A"&amp;MATCH(Raeburn_Main_Tariff[[#This Row],[Product Code]],Main_Tariff!I:I,0),"#Main_Tariff!A"&amp;MATCH("*"&amp;RIGHT(A1542,8)&amp;"*",Main_Tariff!A:A,0)),Raeburn_Main_Tariff[[#This Row],[PRODUCER]])</f>
        <v>Hubert Lignier</v>
      </c>
      <c r="C1542" s="1178" t="s">
        <v>20910</v>
      </c>
      <c r="D1542" s="1178" t="s">
        <v>897</v>
      </c>
      <c r="E1542" s="1179">
        <v>2021</v>
      </c>
      <c r="F1542" s="1282" t="s">
        <v>20240</v>
      </c>
      <c r="G1542" s="1368" t="s">
        <v>5258</v>
      </c>
      <c r="H1542" s="1178" t="s">
        <v>20224</v>
      </c>
      <c r="I1542" s="1178" t="s">
        <v>5672</v>
      </c>
      <c r="J1542" s="1178" t="s">
        <v>662</v>
      </c>
      <c r="K1542" s="1178" t="s">
        <v>267</v>
      </c>
      <c r="L1542" s="1178" t="s">
        <v>211</v>
      </c>
      <c r="M1542" s="1369" t="s">
        <v>23296</v>
      </c>
      <c r="N1542" s="1178"/>
      <c r="O1542" s="1178">
        <v>3</v>
      </c>
      <c r="P1542" s="1178">
        <v>13.5</v>
      </c>
    </row>
    <row r="1543" spans="1:16">
      <c r="A1543" s="1178" t="s">
        <v>232</v>
      </c>
      <c r="B1543" s="1371" t="str">
        <f>HYPERLINK(IFERROR("#Main_Tariff!A"&amp;MATCH(Raeburn_Main_Tariff[[#This Row],[Product Code]],Main_Tariff!I:I,0),"#Main_Tariff!A"&amp;MATCH("*"&amp;RIGHT(A1543,8)&amp;"*",Main_Tariff!A:A,0)),Raeburn_Main_Tariff[[#This Row],[PRODUCER]])</f>
        <v>Hubert Lignier</v>
      </c>
      <c r="C1543" s="1178" t="s">
        <v>20910</v>
      </c>
      <c r="D1543" s="1178" t="s">
        <v>897</v>
      </c>
      <c r="E1543" s="1179">
        <v>2020</v>
      </c>
      <c r="F1543" s="1282" t="s">
        <v>20240</v>
      </c>
      <c r="G1543" s="1368" t="s">
        <v>5258</v>
      </c>
      <c r="H1543" s="1178" t="s">
        <v>20224</v>
      </c>
      <c r="I1543" s="1178" t="s">
        <v>5673</v>
      </c>
      <c r="J1543" s="1178" t="s">
        <v>662</v>
      </c>
      <c r="K1543" s="1178" t="s">
        <v>267</v>
      </c>
      <c r="L1543" s="1178" t="s">
        <v>211</v>
      </c>
      <c r="M1543" s="1369" t="s">
        <v>23296</v>
      </c>
      <c r="N1543" s="1178"/>
      <c r="O1543" s="1178">
        <v>3</v>
      </c>
      <c r="P1543" s="1178">
        <v>13.5</v>
      </c>
    </row>
    <row r="1544" spans="1:16">
      <c r="A1544" s="1178" t="s">
        <v>232</v>
      </c>
      <c r="B1544" s="1371" t="str">
        <f>HYPERLINK(IFERROR("#Main_Tariff!A"&amp;MATCH(Raeburn_Main_Tariff[[#This Row],[Product Code]],Main_Tariff!I:I,0),"#Main_Tariff!A"&amp;MATCH("*"&amp;RIGHT(A1544,8)&amp;"*",Main_Tariff!A:A,0)),Raeburn_Main_Tariff[[#This Row],[PRODUCER]])</f>
        <v>Hubert Lignier</v>
      </c>
      <c r="C1544" s="1178" t="s">
        <v>20910</v>
      </c>
      <c r="D1544" s="1178" t="s">
        <v>897</v>
      </c>
      <c r="E1544" s="1179">
        <v>2019</v>
      </c>
      <c r="F1544" s="1282" t="s">
        <v>20240</v>
      </c>
      <c r="G1544" s="1368" t="s">
        <v>5258</v>
      </c>
      <c r="H1544" s="1178" t="s">
        <v>20224</v>
      </c>
      <c r="I1544" s="1178" t="s">
        <v>5674</v>
      </c>
      <c r="J1544" s="1178" t="s">
        <v>662</v>
      </c>
      <c r="K1544" s="1178" t="s">
        <v>267</v>
      </c>
      <c r="L1544" s="1178" t="s">
        <v>211</v>
      </c>
      <c r="M1544" s="1369" t="s">
        <v>23296</v>
      </c>
      <c r="N1544" s="1178"/>
      <c r="O1544" s="1178">
        <v>3</v>
      </c>
      <c r="P1544" s="1178">
        <v>13.5</v>
      </c>
    </row>
    <row r="1545" spans="1:16">
      <c r="A1545" s="1178" t="s">
        <v>232</v>
      </c>
      <c r="B1545" s="1371" t="str">
        <f>HYPERLINK(IFERROR("#Main_Tariff!A"&amp;MATCH(Raeburn_Main_Tariff[[#This Row],[Product Code]],Main_Tariff!I:I,0),"#Main_Tariff!A"&amp;MATCH("*"&amp;RIGHT(A1545,8)&amp;"*",Main_Tariff!A:A,0)),Raeburn_Main_Tariff[[#This Row],[PRODUCER]])</f>
        <v>Hubert Lignier</v>
      </c>
      <c r="C1545" s="1178" t="s">
        <v>20910</v>
      </c>
      <c r="D1545" s="1178" t="s">
        <v>897</v>
      </c>
      <c r="E1545" s="1179">
        <v>2017</v>
      </c>
      <c r="F1545" s="1282" t="s">
        <v>20240</v>
      </c>
      <c r="G1545" s="1368" t="s">
        <v>5258</v>
      </c>
      <c r="H1545" s="1178" t="s">
        <v>20224</v>
      </c>
      <c r="I1545" s="1178" t="s">
        <v>5675</v>
      </c>
      <c r="J1545" s="1178" t="s">
        <v>662</v>
      </c>
      <c r="K1545" s="1178" t="s">
        <v>267</v>
      </c>
      <c r="L1545" s="1178" t="s">
        <v>211</v>
      </c>
      <c r="M1545" s="1369" t="s">
        <v>23296</v>
      </c>
      <c r="N1545" s="1178"/>
      <c r="O1545" s="1178">
        <v>3</v>
      </c>
      <c r="P1545" s="1178">
        <v>13.5</v>
      </c>
    </row>
    <row r="1546" spans="1:16">
      <c r="A1546" s="1178" t="s">
        <v>232</v>
      </c>
      <c r="B1546" s="1371" t="str">
        <f>HYPERLINK(IFERROR("#Main_Tariff!A"&amp;MATCH(Raeburn_Main_Tariff[[#This Row],[Product Code]],Main_Tariff!I:I,0),"#Main_Tariff!A"&amp;MATCH("*"&amp;RIGHT(A1546,8)&amp;"*",Main_Tariff!A:A,0)),Raeburn_Main_Tariff[[#This Row],[PRODUCER]])</f>
        <v>Hubert Lignier</v>
      </c>
      <c r="C1546" s="1178" t="s">
        <v>20911</v>
      </c>
      <c r="D1546" s="1178" t="s">
        <v>897</v>
      </c>
      <c r="E1546" s="1179">
        <v>2020</v>
      </c>
      <c r="F1546" s="1282" t="s">
        <v>20240</v>
      </c>
      <c r="G1546" s="1368" t="s">
        <v>5258</v>
      </c>
      <c r="H1546" s="1178" t="s">
        <v>20224</v>
      </c>
      <c r="I1546" s="1178" t="s">
        <v>5676</v>
      </c>
      <c r="J1546" s="1178" t="s">
        <v>662</v>
      </c>
      <c r="K1546" s="1178" t="s">
        <v>267</v>
      </c>
      <c r="L1546" s="1178" t="s">
        <v>211</v>
      </c>
      <c r="M1546" s="1369" t="s">
        <v>23296</v>
      </c>
      <c r="N1546" s="1178" t="s">
        <v>20244</v>
      </c>
      <c r="O1546" s="1178">
        <v>3</v>
      </c>
      <c r="P1546" s="1178">
        <v>13.5</v>
      </c>
    </row>
    <row r="1547" spans="1:16">
      <c r="A1547" s="1178" t="s">
        <v>232</v>
      </c>
      <c r="B1547" s="1371" t="str">
        <f>HYPERLINK(IFERROR("#Main_Tariff!A"&amp;MATCH(Raeburn_Main_Tariff[[#This Row],[Product Code]],Main_Tariff!I:I,0),"#Main_Tariff!A"&amp;MATCH("*"&amp;RIGHT(A1547,8)&amp;"*",Main_Tariff!A:A,0)),Raeburn_Main_Tariff[[#This Row],[PRODUCER]])</f>
        <v>Hubert Lignier</v>
      </c>
      <c r="C1547" s="1178" t="s">
        <v>20911</v>
      </c>
      <c r="D1547" s="1178" t="s">
        <v>897</v>
      </c>
      <c r="E1547" s="1179">
        <v>2019</v>
      </c>
      <c r="F1547" s="1282" t="s">
        <v>20240</v>
      </c>
      <c r="G1547" s="1368" t="s">
        <v>5258</v>
      </c>
      <c r="H1547" s="1178" t="s">
        <v>20224</v>
      </c>
      <c r="I1547" s="1178" t="s">
        <v>5677</v>
      </c>
      <c r="J1547" s="1178" t="s">
        <v>662</v>
      </c>
      <c r="K1547" s="1178" t="s">
        <v>267</v>
      </c>
      <c r="L1547" s="1178" t="s">
        <v>211</v>
      </c>
      <c r="M1547" s="1369" t="s">
        <v>23296</v>
      </c>
      <c r="N1547" s="1178" t="s">
        <v>20244</v>
      </c>
      <c r="O1547" s="1178">
        <v>3</v>
      </c>
      <c r="P1547" s="1178">
        <v>14</v>
      </c>
    </row>
    <row r="1548" spans="1:16">
      <c r="A1548" s="1178" t="s">
        <v>232</v>
      </c>
      <c r="B1548" s="1371" t="str">
        <f>HYPERLINK(IFERROR("#Main_Tariff!A"&amp;MATCH(Raeburn_Main_Tariff[[#This Row],[Product Code]],Main_Tariff!I:I,0),"#Main_Tariff!A"&amp;MATCH("*"&amp;RIGHT(A1548,8)&amp;"*",Main_Tariff!A:A,0)),Raeburn_Main_Tariff[[#This Row],[PRODUCER]])</f>
        <v>Hubert Lignier</v>
      </c>
      <c r="C1548" s="1178" t="s">
        <v>20911</v>
      </c>
      <c r="D1548" s="1178" t="s">
        <v>897</v>
      </c>
      <c r="E1548" s="1179">
        <v>2017</v>
      </c>
      <c r="F1548" s="1282" t="s">
        <v>20240</v>
      </c>
      <c r="G1548" s="1368" t="s">
        <v>5258</v>
      </c>
      <c r="H1548" s="1178" t="s">
        <v>20224</v>
      </c>
      <c r="I1548" s="1178" t="s">
        <v>5678</v>
      </c>
      <c r="J1548" s="1178" t="s">
        <v>662</v>
      </c>
      <c r="K1548" s="1178" t="s">
        <v>267</v>
      </c>
      <c r="L1548" s="1178" t="s">
        <v>211</v>
      </c>
      <c r="M1548" s="1369" t="s">
        <v>23296</v>
      </c>
      <c r="N1548" s="1178"/>
      <c r="O1548" s="1178">
        <v>3</v>
      </c>
      <c r="P1548" s="1178">
        <v>13</v>
      </c>
    </row>
    <row r="1549" spans="1:16">
      <c r="A1549" s="1178" t="s">
        <v>232</v>
      </c>
      <c r="B1549" s="1371" t="str">
        <f>HYPERLINK(IFERROR("#Main_Tariff!A"&amp;MATCH(Raeburn_Main_Tariff[[#This Row],[Product Code]],Main_Tariff!I:I,0),"#Main_Tariff!A"&amp;MATCH("*"&amp;RIGHT(A1549,8)&amp;"*",Main_Tariff!A:A,0)),Raeburn_Main_Tariff[[#This Row],[PRODUCER]])</f>
        <v>Hubert Lignier</v>
      </c>
      <c r="C1549" s="1178" t="s">
        <v>20911</v>
      </c>
      <c r="D1549" s="1178" t="s">
        <v>897</v>
      </c>
      <c r="E1549" s="1179">
        <v>2016</v>
      </c>
      <c r="F1549" s="1282" t="s">
        <v>20240</v>
      </c>
      <c r="G1549" s="1368" t="s">
        <v>5258</v>
      </c>
      <c r="H1549" s="1178" t="s">
        <v>20224</v>
      </c>
      <c r="I1549" s="1178" t="s">
        <v>5679</v>
      </c>
      <c r="J1549" s="1178" t="s">
        <v>662</v>
      </c>
      <c r="K1549" s="1178" t="s">
        <v>267</v>
      </c>
      <c r="L1549" s="1178" t="s">
        <v>211</v>
      </c>
      <c r="M1549" s="1369" t="s">
        <v>23296</v>
      </c>
      <c r="N1549" s="1178"/>
      <c r="O1549" s="1178">
        <v>3</v>
      </c>
      <c r="P1549" s="1178">
        <v>13</v>
      </c>
    </row>
    <row r="1550" spans="1:16">
      <c r="A1550" s="1178" t="s">
        <v>20912</v>
      </c>
      <c r="B1550" s="1371" t="str">
        <f>HYPERLINK(IFERROR("#Main_Tariff!A"&amp;MATCH(Raeburn_Main_Tariff[[#This Row],[Product Code]],Main_Tariff!I:I,0),"#Main_Tariff!A"&amp;MATCH("*"&amp;RIGHT(A1550,8)&amp;"*",Main_Tariff!A:A,0)),Raeburn_Main_Tariff[[#This Row],[PRODUCER]])</f>
        <v>Domaine Maume-Siblas</v>
      </c>
      <c r="C1550" s="1178" t="s">
        <v>20913</v>
      </c>
      <c r="D1550" s="1178" t="s">
        <v>897</v>
      </c>
      <c r="E1550" s="1179">
        <v>2023</v>
      </c>
      <c r="F1550" s="1282" t="s">
        <v>20220</v>
      </c>
      <c r="G1550" s="1368" t="s">
        <v>5258</v>
      </c>
      <c r="H1550" s="1178" t="s">
        <v>20221</v>
      </c>
      <c r="I1550" s="1178" t="s">
        <v>5692</v>
      </c>
      <c r="J1550" s="1178" t="s">
        <v>662</v>
      </c>
      <c r="K1550" s="1178" t="s">
        <v>267</v>
      </c>
      <c r="L1550" s="1178" t="s">
        <v>211</v>
      </c>
      <c r="M1550" s="1369"/>
      <c r="N1550" s="1178"/>
      <c r="O1550" s="1178">
        <v>6</v>
      </c>
      <c r="P1550" s="1178">
        <v>13</v>
      </c>
    </row>
    <row r="1551" spans="1:16">
      <c r="A1551" s="1178" t="s">
        <v>20912</v>
      </c>
      <c r="B1551" s="1371" t="str">
        <f>HYPERLINK(IFERROR("#Main_Tariff!A"&amp;MATCH(Raeburn_Main_Tariff[[#This Row],[Product Code]],Main_Tariff!I:I,0),"#Main_Tariff!A"&amp;MATCH("*"&amp;RIGHT(A1551,8)&amp;"*",Main_Tariff!A:A,0)),Raeburn_Main_Tariff[[#This Row],[PRODUCER]])</f>
        <v>Domaine Maume-Siblas</v>
      </c>
      <c r="C1551" s="1178" t="s">
        <v>20913</v>
      </c>
      <c r="D1551" s="1178" t="s">
        <v>897</v>
      </c>
      <c r="E1551" s="1179">
        <v>2022</v>
      </c>
      <c r="F1551" s="1282" t="s">
        <v>20220</v>
      </c>
      <c r="G1551" s="1368">
        <v>61</v>
      </c>
      <c r="H1551" s="1178" t="s">
        <v>20221</v>
      </c>
      <c r="I1551" s="1178" t="s">
        <v>5694</v>
      </c>
      <c r="J1551" s="1178" t="s">
        <v>662</v>
      </c>
      <c r="K1551" s="1178" t="s">
        <v>267</v>
      </c>
      <c r="L1551" s="1178" t="s">
        <v>211</v>
      </c>
      <c r="M1551" s="1369"/>
      <c r="N1551" s="1178"/>
      <c r="O1551" s="1178">
        <v>6</v>
      </c>
      <c r="P1551" s="1178">
        <v>13</v>
      </c>
    </row>
    <row r="1552" spans="1:16">
      <c r="A1552" s="1178" t="s">
        <v>20912</v>
      </c>
      <c r="B1552" s="1371" t="str">
        <f>HYPERLINK(IFERROR("#Main_Tariff!A"&amp;MATCH(Raeburn_Main_Tariff[[#This Row],[Product Code]],Main_Tariff!I:I,0),"#Main_Tariff!A"&amp;MATCH("*"&amp;RIGHT(A1552,8)&amp;"*",Main_Tariff!A:A,0)),Raeburn_Main_Tariff[[#This Row],[PRODUCER]])</f>
        <v>Domaine Maume-Siblas</v>
      </c>
      <c r="C1552" s="1178" t="s">
        <v>20913</v>
      </c>
      <c r="D1552" s="1178" t="s">
        <v>897</v>
      </c>
      <c r="E1552" s="1179">
        <v>2021</v>
      </c>
      <c r="F1552" s="1282" t="s">
        <v>20220</v>
      </c>
      <c r="G1552" s="1368">
        <v>58.25</v>
      </c>
      <c r="H1552" s="1178" t="s">
        <v>20221</v>
      </c>
      <c r="I1552" s="1178" t="s">
        <v>5696</v>
      </c>
      <c r="J1552" s="1178" t="s">
        <v>662</v>
      </c>
      <c r="K1552" s="1178" t="s">
        <v>267</v>
      </c>
      <c r="L1552" s="1178" t="s">
        <v>211</v>
      </c>
      <c r="M1552" s="1369"/>
      <c r="N1552" s="1178"/>
      <c r="O1552" s="1178">
        <v>6</v>
      </c>
      <c r="P1552" s="1178">
        <v>13</v>
      </c>
    </row>
    <row r="1553" spans="1:16">
      <c r="A1553" s="1178" t="s">
        <v>20912</v>
      </c>
      <c r="B1553" s="1371" t="str">
        <f>HYPERLINK(IFERROR("#Main_Tariff!A"&amp;MATCH(Raeburn_Main_Tariff[[#This Row],[Product Code]],Main_Tariff!I:I,0),"#Main_Tariff!A"&amp;MATCH("*"&amp;RIGHT(A1553,8)&amp;"*",Main_Tariff!A:A,0)),Raeburn_Main_Tariff[[#This Row],[PRODUCER]])</f>
        <v>Domaine Maume-Siblas</v>
      </c>
      <c r="C1553" s="1178" t="s">
        <v>20913</v>
      </c>
      <c r="D1553" s="1178" t="s">
        <v>897</v>
      </c>
      <c r="E1553" s="1179">
        <v>2020</v>
      </c>
      <c r="F1553" s="1282" t="s">
        <v>20220</v>
      </c>
      <c r="G1553" s="1368">
        <v>56</v>
      </c>
      <c r="H1553" s="1178" t="s">
        <v>20221</v>
      </c>
      <c r="I1553" s="1178" t="s">
        <v>5698</v>
      </c>
      <c r="J1553" s="1178" t="s">
        <v>662</v>
      </c>
      <c r="K1553" s="1178" t="s">
        <v>267</v>
      </c>
      <c r="L1553" s="1178" t="s">
        <v>211</v>
      </c>
      <c r="M1553" s="1369"/>
      <c r="N1553" s="1178"/>
      <c r="O1553" s="1178">
        <v>6</v>
      </c>
      <c r="P1553" s="1178">
        <v>13</v>
      </c>
    </row>
    <row r="1554" spans="1:16">
      <c r="A1554" s="1178" t="s">
        <v>20912</v>
      </c>
      <c r="B1554" s="1371" t="str">
        <f>HYPERLINK(IFERROR("#Main_Tariff!A"&amp;MATCH(Raeburn_Main_Tariff[[#This Row],[Product Code]],Main_Tariff!I:I,0),"#Main_Tariff!A"&amp;MATCH("*"&amp;RIGHT(A1554,8)&amp;"*",Main_Tariff!A:A,0)),Raeburn_Main_Tariff[[#This Row],[PRODUCER]])</f>
        <v>Domaine Maume-Siblas</v>
      </c>
      <c r="C1554" s="1178" t="s">
        <v>20913</v>
      </c>
      <c r="D1554" s="1178" t="s">
        <v>897</v>
      </c>
      <c r="E1554" s="1179">
        <v>2019</v>
      </c>
      <c r="F1554" s="1282" t="s">
        <v>20220</v>
      </c>
      <c r="G1554" s="1368">
        <v>56</v>
      </c>
      <c r="H1554" s="1178" t="s">
        <v>20221</v>
      </c>
      <c r="I1554" s="1178" t="s">
        <v>5700</v>
      </c>
      <c r="J1554" s="1178" t="s">
        <v>662</v>
      </c>
      <c r="K1554" s="1178" t="s">
        <v>267</v>
      </c>
      <c r="L1554" s="1178" t="s">
        <v>211</v>
      </c>
      <c r="M1554" s="1369"/>
      <c r="N1554" s="1178"/>
      <c r="O1554" s="1178">
        <v>6</v>
      </c>
      <c r="P1554" s="1178">
        <v>12.5</v>
      </c>
    </row>
    <row r="1555" spans="1:16">
      <c r="A1555" s="1178" t="s">
        <v>20912</v>
      </c>
      <c r="B1555" s="1371" t="str">
        <f>HYPERLINK(IFERROR("#Main_Tariff!A"&amp;MATCH(Raeburn_Main_Tariff[[#This Row],[Product Code]],Main_Tariff!I:I,0),"#Main_Tariff!A"&amp;MATCH("*"&amp;RIGHT(A1555,8)&amp;"*",Main_Tariff!A:A,0)),Raeburn_Main_Tariff[[#This Row],[PRODUCER]])</f>
        <v>Domaine Maume-Siblas</v>
      </c>
      <c r="C1555" s="1178" t="s">
        <v>20913</v>
      </c>
      <c r="D1555" s="1178" t="s">
        <v>897</v>
      </c>
      <c r="E1555" s="1179">
        <v>2018</v>
      </c>
      <c r="F1555" s="1282" t="s">
        <v>20220</v>
      </c>
      <c r="G1555" s="1368">
        <v>50</v>
      </c>
      <c r="H1555" s="1178" t="s">
        <v>20224</v>
      </c>
      <c r="I1555" s="1178" t="s">
        <v>5702</v>
      </c>
      <c r="J1555" s="1178" t="s">
        <v>662</v>
      </c>
      <c r="K1555" s="1178" t="s">
        <v>267</v>
      </c>
      <c r="L1555" s="1178" t="s">
        <v>211</v>
      </c>
      <c r="M1555" s="1369"/>
      <c r="N1555" s="1178"/>
      <c r="O1555" s="1178">
        <v>6</v>
      </c>
      <c r="P1555" s="1178">
        <v>15</v>
      </c>
    </row>
    <row r="1556" spans="1:16">
      <c r="A1556" s="1178" t="s">
        <v>20912</v>
      </c>
      <c r="B1556" s="1371" t="str">
        <f>HYPERLINK(IFERROR("#Main_Tariff!A"&amp;MATCH(Raeburn_Main_Tariff[[#This Row],[Product Code]],Main_Tariff!I:I,0),"#Main_Tariff!A"&amp;MATCH("*"&amp;RIGHT(A1556,8)&amp;"*",Main_Tariff!A:A,0)),Raeburn_Main_Tariff[[#This Row],[PRODUCER]])</f>
        <v>Domaine Maume-Siblas</v>
      </c>
      <c r="C1556" s="1178" t="s">
        <v>20913</v>
      </c>
      <c r="D1556" s="1178" t="s">
        <v>897</v>
      </c>
      <c r="E1556" s="1179">
        <v>2017</v>
      </c>
      <c r="F1556" s="1282" t="s">
        <v>20220</v>
      </c>
      <c r="G1556" s="1368">
        <v>50</v>
      </c>
      <c r="H1556" s="1178" t="s">
        <v>20221</v>
      </c>
      <c r="I1556" s="1178" t="s">
        <v>5703</v>
      </c>
      <c r="J1556" s="1178" t="s">
        <v>662</v>
      </c>
      <c r="K1556" s="1178" t="s">
        <v>267</v>
      </c>
      <c r="L1556" s="1178" t="s">
        <v>211</v>
      </c>
      <c r="M1556" s="1369"/>
      <c r="N1556" s="1178"/>
      <c r="O1556" s="1178">
        <v>6</v>
      </c>
      <c r="P1556" s="1178">
        <v>13</v>
      </c>
    </row>
    <row r="1557" spans="1:16">
      <c r="A1557" s="1178" t="s">
        <v>20912</v>
      </c>
      <c r="B1557" s="1371" t="str">
        <f>HYPERLINK(IFERROR("#Main_Tariff!A"&amp;MATCH(Raeburn_Main_Tariff[[#This Row],[Product Code]],Main_Tariff!I:I,0),"#Main_Tariff!A"&amp;MATCH("*"&amp;RIGHT(A1557,8)&amp;"*",Main_Tariff!A:A,0)),Raeburn_Main_Tariff[[#This Row],[PRODUCER]])</f>
        <v>Domaine Maume-Siblas</v>
      </c>
      <c r="C1557" s="1178" t="s">
        <v>20914</v>
      </c>
      <c r="D1557" s="1178" t="s">
        <v>897</v>
      </c>
      <c r="E1557" s="1179">
        <v>2023</v>
      </c>
      <c r="F1557" s="1282" t="s">
        <v>20220</v>
      </c>
      <c r="G1557" s="1368" t="s">
        <v>5258</v>
      </c>
      <c r="H1557" s="1178" t="s">
        <v>20221</v>
      </c>
      <c r="I1557" s="1178" t="s">
        <v>5705</v>
      </c>
      <c r="J1557" s="1178" t="s">
        <v>662</v>
      </c>
      <c r="K1557" s="1178" t="s">
        <v>267</v>
      </c>
      <c r="L1557" s="1178" t="s">
        <v>211</v>
      </c>
      <c r="M1557" s="1369" t="s">
        <v>23297</v>
      </c>
      <c r="N1557" s="1178"/>
      <c r="O1557" s="1178">
        <v>6</v>
      </c>
      <c r="P1557" s="1178">
        <v>13</v>
      </c>
    </row>
    <row r="1558" spans="1:16">
      <c r="A1558" s="1178" t="s">
        <v>20912</v>
      </c>
      <c r="B1558" s="1371" t="str">
        <f>HYPERLINK(IFERROR("#Main_Tariff!A"&amp;MATCH(Raeburn_Main_Tariff[[#This Row],[Product Code]],Main_Tariff!I:I,0),"#Main_Tariff!A"&amp;MATCH("*"&amp;RIGHT(A1558,8)&amp;"*",Main_Tariff!A:A,0)),Raeburn_Main_Tariff[[#This Row],[PRODUCER]])</f>
        <v>Domaine Maume-Siblas</v>
      </c>
      <c r="C1558" s="1178" t="s">
        <v>20914</v>
      </c>
      <c r="D1558" s="1178" t="s">
        <v>897</v>
      </c>
      <c r="E1558" s="1179">
        <v>2022</v>
      </c>
      <c r="F1558" s="1282" t="s">
        <v>20220</v>
      </c>
      <c r="G1558" s="1368">
        <v>80</v>
      </c>
      <c r="H1558" s="1178" t="s">
        <v>20221</v>
      </c>
      <c r="I1558" s="1178" t="s">
        <v>5707</v>
      </c>
      <c r="J1558" s="1178" t="s">
        <v>662</v>
      </c>
      <c r="K1558" s="1178" t="s">
        <v>267</v>
      </c>
      <c r="L1558" s="1178" t="s">
        <v>211</v>
      </c>
      <c r="M1558" s="1369" t="s">
        <v>23297</v>
      </c>
      <c r="N1558" s="1178"/>
      <c r="O1558" s="1178">
        <v>6</v>
      </c>
      <c r="P1558" s="1178">
        <v>13</v>
      </c>
    </row>
    <row r="1559" spans="1:16">
      <c r="A1559" s="1178" t="s">
        <v>20912</v>
      </c>
      <c r="B1559" s="1371" t="str">
        <f>HYPERLINK(IFERROR("#Main_Tariff!A"&amp;MATCH(Raeburn_Main_Tariff[[#This Row],[Product Code]],Main_Tariff!I:I,0),"#Main_Tariff!A"&amp;MATCH("*"&amp;RIGHT(A1559,8)&amp;"*",Main_Tariff!A:A,0)),Raeburn_Main_Tariff[[#This Row],[PRODUCER]])</f>
        <v>Domaine Maume-Siblas</v>
      </c>
      <c r="C1559" s="1178" t="s">
        <v>20914</v>
      </c>
      <c r="D1559" s="1178" t="s">
        <v>897</v>
      </c>
      <c r="E1559" s="1179">
        <v>2021</v>
      </c>
      <c r="F1559" s="1282" t="s">
        <v>20220</v>
      </c>
      <c r="G1559" s="1368">
        <v>74</v>
      </c>
      <c r="H1559" s="1178" t="s">
        <v>20221</v>
      </c>
      <c r="I1559" s="1178" t="s">
        <v>5709</v>
      </c>
      <c r="J1559" s="1178" t="s">
        <v>662</v>
      </c>
      <c r="K1559" s="1178" t="s">
        <v>267</v>
      </c>
      <c r="L1559" s="1178" t="s">
        <v>211</v>
      </c>
      <c r="M1559" s="1369" t="s">
        <v>23297</v>
      </c>
      <c r="N1559" s="1178"/>
      <c r="O1559" s="1178">
        <v>6</v>
      </c>
      <c r="P1559" s="1178">
        <v>13</v>
      </c>
    </row>
    <row r="1560" spans="1:16">
      <c r="A1560" s="1178" t="s">
        <v>20912</v>
      </c>
      <c r="B1560" s="1371" t="str">
        <f>HYPERLINK(IFERROR("#Main_Tariff!A"&amp;MATCH(Raeburn_Main_Tariff[[#This Row],[Product Code]],Main_Tariff!I:I,0),"#Main_Tariff!A"&amp;MATCH("*"&amp;RIGHT(A1560,8)&amp;"*",Main_Tariff!A:A,0)),Raeburn_Main_Tariff[[#This Row],[PRODUCER]])</f>
        <v>Domaine Maume-Siblas</v>
      </c>
      <c r="C1560" s="1178" t="s">
        <v>20914</v>
      </c>
      <c r="D1560" s="1178" t="s">
        <v>897</v>
      </c>
      <c r="E1560" s="1179">
        <v>2020</v>
      </c>
      <c r="F1560" s="1282" t="s">
        <v>20220</v>
      </c>
      <c r="G1560" s="1368">
        <v>70</v>
      </c>
      <c r="H1560" s="1178" t="s">
        <v>20221</v>
      </c>
      <c r="I1560" s="1178" t="s">
        <v>5711</v>
      </c>
      <c r="J1560" s="1178" t="s">
        <v>662</v>
      </c>
      <c r="K1560" s="1178" t="s">
        <v>267</v>
      </c>
      <c r="L1560" s="1178" t="s">
        <v>211</v>
      </c>
      <c r="M1560" s="1369" t="s">
        <v>23297</v>
      </c>
      <c r="N1560" s="1178"/>
      <c r="O1560" s="1178">
        <v>6</v>
      </c>
      <c r="P1560" s="1178">
        <v>15</v>
      </c>
    </row>
    <row r="1561" spans="1:16">
      <c r="A1561" s="1178" t="s">
        <v>20912</v>
      </c>
      <c r="B1561" s="1371" t="str">
        <f>HYPERLINK(IFERROR("#Main_Tariff!A"&amp;MATCH(Raeburn_Main_Tariff[[#This Row],[Product Code]],Main_Tariff!I:I,0),"#Main_Tariff!A"&amp;MATCH("*"&amp;RIGHT(A1561,8)&amp;"*",Main_Tariff!A:A,0)),Raeburn_Main_Tariff[[#This Row],[PRODUCER]])</f>
        <v>Domaine Maume-Siblas</v>
      </c>
      <c r="C1561" s="1178" t="s">
        <v>20914</v>
      </c>
      <c r="D1561" s="1178" t="s">
        <v>897</v>
      </c>
      <c r="E1561" s="1179">
        <v>2019</v>
      </c>
      <c r="F1561" s="1282" t="s">
        <v>20220</v>
      </c>
      <c r="G1561" s="1368">
        <v>70</v>
      </c>
      <c r="H1561" s="1178" t="s">
        <v>20221</v>
      </c>
      <c r="I1561" s="1178" t="s">
        <v>5713</v>
      </c>
      <c r="J1561" s="1178" t="s">
        <v>662</v>
      </c>
      <c r="K1561" s="1178" t="s">
        <v>267</v>
      </c>
      <c r="L1561" s="1178" t="s">
        <v>211</v>
      </c>
      <c r="M1561" s="1369" t="s">
        <v>23297</v>
      </c>
      <c r="N1561" s="1178"/>
      <c r="O1561" s="1178">
        <v>6</v>
      </c>
      <c r="P1561" s="1178">
        <v>12.5</v>
      </c>
    </row>
    <row r="1562" spans="1:16">
      <c r="A1562" s="1178" t="s">
        <v>20912</v>
      </c>
      <c r="B1562" s="1371" t="str">
        <f>HYPERLINK(IFERROR("#Main_Tariff!A"&amp;MATCH(Raeburn_Main_Tariff[[#This Row],[Product Code]],Main_Tariff!I:I,0),"#Main_Tariff!A"&amp;MATCH("*"&amp;RIGHT(A1562,8)&amp;"*",Main_Tariff!A:A,0)),Raeburn_Main_Tariff[[#This Row],[PRODUCER]])</f>
        <v>Domaine Maume-Siblas</v>
      </c>
      <c r="C1562" s="1178" t="s">
        <v>20914</v>
      </c>
      <c r="D1562" s="1178" t="s">
        <v>897</v>
      </c>
      <c r="E1562" s="1179">
        <v>2018</v>
      </c>
      <c r="F1562" s="1282" t="s">
        <v>20220</v>
      </c>
      <c r="G1562" s="1368">
        <v>64</v>
      </c>
      <c r="H1562" s="1178" t="s">
        <v>20221</v>
      </c>
      <c r="I1562" s="1178" t="s">
        <v>5715</v>
      </c>
      <c r="J1562" s="1178" t="s">
        <v>662</v>
      </c>
      <c r="K1562" s="1178" t="s">
        <v>267</v>
      </c>
      <c r="L1562" s="1178" t="s">
        <v>211</v>
      </c>
      <c r="M1562" s="1369" t="s">
        <v>23297</v>
      </c>
      <c r="N1562" s="1178"/>
      <c r="O1562" s="1178">
        <v>6</v>
      </c>
      <c r="P1562" s="1178">
        <v>15</v>
      </c>
    </row>
    <row r="1563" spans="1:16">
      <c r="A1563" s="1178" t="s">
        <v>20912</v>
      </c>
      <c r="B1563" s="1371" t="str">
        <f>HYPERLINK(IFERROR("#Main_Tariff!A"&amp;MATCH(Raeburn_Main_Tariff[[#This Row],[Product Code]],Main_Tariff!I:I,0),"#Main_Tariff!A"&amp;MATCH("*"&amp;RIGHT(A1563,8)&amp;"*",Main_Tariff!A:A,0)),Raeburn_Main_Tariff[[#This Row],[PRODUCER]])</f>
        <v>Domaine Maume-Siblas</v>
      </c>
      <c r="C1563" s="1178" t="s">
        <v>20914</v>
      </c>
      <c r="D1563" s="1178" t="s">
        <v>897</v>
      </c>
      <c r="E1563" s="1179">
        <v>2017</v>
      </c>
      <c r="F1563" s="1282" t="s">
        <v>20220</v>
      </c>
      <c r="G1563" s="1368">
        <v>64</v>
      </c>
      <c r="H1563" s="1178" t="s">
        <v>20221</v>
      </c>
      <c r="I1563" s="1178" t="s">
        <v>5717</v>
      </c>
      <c r="J1563" s="1178" t="s">
        <v>662</v>
      </c>
      <c r="K1563" s="1178" t="s">
        <v>267</v>
      </c>
      <c r="L1563" s="1178" t="s">
        <v>211</v>
      </c>
      <c r="M1563" s="1369" t="s">
        <v>23297</v>
      </c>
      <c r="N1563" s="1178"/>
      <c r="O1563" s="1178">
        <v>6</v>
      </c>
      <c r="P1563" s="1178">
        <v>13</v>
      </c>
    </row>
    <row r="1564" spans="1:16">
      <c r="A1564" s="1178" t="s">
        <v>20915</v>
      </c>
      <c r="B1564" s="1371" t="str">
        <f>HYPERLINK(IFERROR("#Main_Tariff!A"&amp;MATCH(Raeburn_Main_Tariff[[#This Row],[Product Code]],Main_Tariff!I:I,0),"#Main_Tariff!A"&amp;MATCH("*"&amp;RIGHT(A1564,8)&amp;"*",Main_Tariff!A:A,0)),Raeburn_Main_Tariff[[#This Row],[PRODUCER]])</f>
        <v>Marchand-Tawse</v>
      </c>
      <c r="C1564" s="1178" t="s">
        <v>20916</v>
      </c>
      <c r="D1564" s="1178" t="s">
        <v>897</v>
      </c>
      <c r="E1564" s="1179">
        <v>2019</v>
      </c>
      <c r="F1564" s="1282" t="s">
        <v>20280</v>
      </c>
      <c r="G1564" s="1368">
        <v>22.5</v>
      </c>
      <c r="H1564" s="1178" t="s">
        <v>20221</v>
      </c>
      <c r="I1564" s="1178" t="s">
        <v>5783</v>
      </c>
      <c r="J1564" s="1178" t="s">
        <v>662</v>
      </c>
      <c r="K1564" s="1178" t="s">
        <v>267</v>
      </c>
      <c r="L1564" s="1178" t="s">
        <v>211</v>
      </c>
      <c r="M1564" s="1369"/>
      <c r="N1564" s="1178" t="s">
        <v>20244</v>
      </c>
      <c r="O1564" s="1178">
        <v>12</v>
      </c>
      <c r="P1564" s="1178">
        <v>13</v>
      </c>
    </row>
    <row r="1565" spans="1:16">
      <c r="A1565" s="1178" t="s">
        <v>20915</v>
      </c>
      <c r="B1565" s="1371" t="str">
        <f>HYPERLINK(IFERROR("#Main_Tariff!A"&amp;MATCH(Raeburn_Main_Tariff[[#This Row],[Product Code]],Main_Tariff!I:I,0),"#Main_Tariff!A"&amp;MATCH("*"&amp;RIGHT(A1565,8)&amp;"*",Main_Tariff!A:A,0)),Raeburn_Main_Tariff[[#This Row],[PRODUCER]])</f>
        <v>Marchand-Tawse</v>
      </c>
      <c r="C1565" s="1178" t="s">
        <v>20916</v>
      </c>
      <c r="D1565" s="1178" t="s">
        <v>897</v>
      </c>
      <c r="E1565" s="1179">
        <v>2014</v>
      </c>
      <c r="F1565" s="1282" t="s">
        <v>20280</v>
      </c>
      <c r="G1565" s="1368">
        <v>19.75</v>
      </c>
      <c r="H1565" s="1178" t="s">
        <v>20221</v>
      </c>
      <c r="I1565" s="1178" t="s">
        <v>5785</v>
      </c>
      <c r="J1565" s="1178" t="s">
        <v>662</v>
      </c>
      <c r="K1565" s="1178" t="s">
        <v>267</v>
      </c>
      <c r="L1565" s="1178" t="s">
        <v>211</v>
      </c>
      <c r="M1565" s="1369"/>
      <c r="N1565" s="1178"/>
      <c r="O1565" s="1178">
        <v>12</v>
      </c>
      <c r="P1565" s="1178">
        <v>12.5</v>
      </c>
    </row>
    <row r="1566" spans="1:16">
      <c r="A1566" s="1178" t="s">
        <v>20915</v>
      </c>
      <c r="B1566" s="1371" t="str">
        <f>HYPERLINK(IFERROR("#Main_Tariff!A"&amp;MATCH(Raeburn_Main_Tariff[[#This Row],[Product Code]],Main_Tariff!I:I,0),"#Main_Tariff!A"&amp;MATCH("*"&amp;RIGHT(A1566,8)&amp;"*",Main_Tariff!A:A,0)),Raeburn_Main_Tariff[[#This Row],[PRODUCER]])</f>
        <v>Marchand-Tawse</v>
      </c>
      <c r="C1566" s="1178" t="s">
        <v>20917</v>
      </c>
      <c r="D1566" s="1178" t="s">
        <v>897</v>
      </c>
      <c r="E1566" s="1179">
        <v>2021</v>
      </c>
      <c r="F1566" s="1282" t="s">
        <v>20220</v>
      </c>
      <c r="G1566" s="1368">
        <v>27</v>
      </c>
      <c r="H1566" s="1178" t="s">
        <v>20221</v>
      </c>
      <c r="I1566" s="1178" t="s">
        <v>5789</v>
      </c>
      <c r="J1566" s="1178" t="s">
        <v>662</v>
      </c>
      <c r="K1566" s="1178" t="s">
        <v>267</v>
      </c>
      <c r="L1566" s="1178" t="s">
        <v>211</v>
      </c>
      <c r="M1566" s="1369"/>
      <c r="N1566" s="1178"/>
      <c r="O1566" s="1178">
        <v>6</v>
      </c>
      <c r="P1566" s="1178">
        <v>13</v>
      </c>
    </row>
    <row r="1567" spans="1:16">
      <c r="A1567" s="1178" t="s">
        <v>20915</v>
      </c>
      <c r="B1567" s="1371" t="str">
        <f>HYPERLINK(IFERROR("#Main_Tariff!A"&amp;MATCH(Raeburn_Main_Tariff[[#This Row],[Product Code]],Main_Tariff!I:I,0),"#Main_Tariff!A"&amp;MATCH("*"&amp;RIGHT(A1567,8)&amp;"*",Main_Tariff!A:A,0)),Raeburn_Main_Tariff[[#This Row],[PRODUCER]])</f>
        <v>Marchand-Tawse</v>
      </c>
      <c r="C1567" s="1178" t="s">
        <v>20917</v>
      </c>
      <c r="D1567" s="1178" t="s">
        <v>897</v>
      </c>
      <c r="E1567" s="1179">
        <v>2020</v>
      </c>
      <c r="F1567" s="1282" t="s">
        <v>20220</v>
      </c>
      <c r="G1567" s="1368">
        <v>25.75</v>
      </c>
      <c r="H1567" s="1178" t="s">
        <v>20221</v>
      </c>
      <c r="I1567" s="1178" t="s">
        <v>5791</v>
      </c>
      <c r="J1567" s="1178" t="s">
        <v>662</v>
      </c>
      <c r="K1567" s="1178" t="s">
        <v>267</v>
      </c>
      <c r="L1567" s="1178" t="s">
        <v>211</v>
      </c>
      <c r="M1567" s="1369"/>
      <c r="N1567" s="1178"/>
      <c r="O1567" s="1178">
        <v>6</v>
      </c>
      <c r="P1567" s="1178">
        <v>14</v>
      </c>
    </row>
    <row r="1568" spans="1:16">
      <c r="A1568" s="1178" t="s">
        <v>20915</v>
      </c>
      <c r="B1568" s="1371" t="str">
        <f>HYPERLINK(IFERROR("#Main_Tariff!A"&amp;MATCH(Raeburn_Main_Tariff[[#This Row],[Product Code]],Main_Tariff!I:I,0),"#Main_Tariff!A"&amp;MATCH("*"&amp;RIGHT(A1568,8)&amp;"*",Main_Tariff!A:A,0)),Raeburn_Main_Tariff[[#This Row],[PRODUCER]])</f>
        <v>Marchand-Tawse</v>
      </c>
      <c r="C1568" s="1178" t="s">
        <v>20918</v>
      </c>
      <c r="D1568" s="1178" t="s">
        <v>897</v>
      </c>
      <c r="E1568" s="1179">
        <v>2021</v>
      </c>
      <c r="F1568" s="1282" t="s">
        <v>20220</v>
      </c>
      <c r="G1568" s="1368">
        <v>27</v>
      </c>
      <c r="H1568" s="1178" t="s">
        <v>20221</v>
      </c>
      <c r="I1568" s="1178" t="s">
        <v>5793</v>
      </c>
      <c r="J1568" s="1178" t="s">
        <v>662</v>
      </c>
      <c r="K1568" s="1178" t="s">
        <v>267</v>
      </c>
      <c r="L1568" s="1178" t="s">
        <v>211</v>
      </c>
      <c r="M1568" s="1369"/>
      <c r="N1568" s="1178"/>
      <c r="O1568" s="1178">
        <v>6</v>
      </c>
      <c r="P1568" s="1178">
        <v>13</v>
      </c>
    </row>
    <row r="1569" spans="1:16">
      <c r="A1569" s="1178" t="s">
        <v>20915</v>
      </c>
      <c r="B1569" s="1371" t="str">
        <f>HYPERLINK(IFERROR("#Main_Tariff!A"&amp;MATCH(Raeburn_Main_Tariff[[#This Row],[Product Code]],Main_Tariff!I:I,0),"#Main_Tariff!A"&amp;MATCH("*"&amp;RIGHT(A1569,8)&amp;"*",Main_Tariff!A:A,0)),Raeburn_Main_Tariff[[#This Row],[PRODUCER]])</f>
        <v>Marchand-Tawse</v>
      </c>
      <c r="C1569" s="1178" t="s">
        <v>20918</v>
      </c>
      <c r="D1569" s="1178" t="s">
        <v>897</v>
      </c>
      <c r="E1569" s="1179">
        <v>2020</v>
      </c>
      <c r="F1569" s="1282" t="s">
        <v>20220</v>
      </c>
      <c r="G1569" s="1368">
        <v>25.75</v>
      </c>
      <c r="H1569" s="1178" t="s">
        <v>20221</v>
      </c>
      <c r="I1569" s="1178" t="s">
        <v>5794</v>
      </c>
      <c r="J1569" s="1178" t="s">
        <v>662</v>
      </c>
      <c r="K1569" s="1178" t="s">
        <v>267</v>
      </c>
      <c r="L1569" s="1178" t="s">
        <v>211</v>
      </c>
      <c r="M1569" s="1369"/>
      <c r="N1569" s="1178"/>
      <c r="O1569" s="1178">
        <v>6</v>
      </c>
      <c r="P1569" s="1178">
        <v>13.5</v>
      </c>
    </row>
    <row r="1570" spans="1:16">
      <c r="A1570" s="1178" t="s">
        <v>20915</v>
      </c>
      <c r="B1570" s="1371" t="str">
        <f>HYPERLINK(IFERROR("#Main_Tariff!A"&amp;MATCH(Raeburn_Main_Tariff[[#This Row],[Product Code]],Main_Tariff!I:I,0),"#Main_Tariff!A"&amp;MATCH("*"&amp;RIGHT(A1570,8)&amp;"*",Main_Tariff!A:A,0)),Raeburn_Main_Tariff[[#This Row],[PRODUCER]])</f>
        <v>Marchand-Tawse</v>
      </c>
      <c r="C1570" s="1178" t="s">
        <v>20756</v>
      </c>
      <c r="D1570" s="1178" t="s">
        <v>897</v>
      </c>
      <c r="E1570" s="1179">
        <v>2021</v>
      </c>
      <c r="F1570" s="1282" t="s">
        <v>20220</v>
      </c>
      <c r="G1570" s="1368">
        <v>42</v>
      </c>
      <c r="H1570" s="1178" t="s">
        <v>20224</v>
      </c>
      <c r="I1570" s="1178" t="s">
        <v>5795</v>
      </c>
      <c r="J1570" s="1178" t="s">
        <v>662</v>
      </c>
      <c r="K1570" s="1178" t="s">
        <v>267</v>
      </c>
      <c r="L1570" s="1178" t="s">
        <v>211</v>
      </c>
      <c r="M1570" s="1369"/>
      <c r="N1570" s="1178"/>
      <c r="O1570" s="1178">
        <v>6</v>
      </c>
      <c r="P1570" s="1178">
        <v>13</v>
      </c>
    </row>
    <row r="1571" spans="1:16">
      <c r="A1571" s="1178" t="s">
        <v>20915</v>
      </c>
      <c r="B1571" s="1371" t="str">
        <f>HYPERLINK(IFERROR("#Main_Tariff!A"&amp;MATCH(Raeburn_Main_Tariff[[#This Row],[Product Code]],Main_Tariff!I:I,0),"#Main_Tariff!A"&amp;MATCH("*"&amp;RIGHT(A1571,8)&amp;"*",Main_Tariff!A:A,0)),Raeburn_Main_Tariff[[#This Row],[PRODUCER]])</f>
        <v>Marchand-Tawse</v>
      </c>
      <c r="C1571" s="1178" t="s">
        <v>20756</v>
      </c>
      <c r="D1571" s="1178" t="s">
        <v>897</v>
      </c>
      <c r="E1571" s="1179">
        <v>2020</v>
      </c>
      <c r="F1571" s="1282" t="s">
        <v>20220</v>
      </c>
      <c r="G1571" s="1368">
        <v>38.75</v>
      </c>
      <c r="H1571" s="1178" t="s">
        <v>20221</v>
      </c>
      <c r="I1571" s="1178" t="s">
        <v>5797</v>
      </c>
      <c r="J1571" s="1178" t="s">
        <v>662</v>
      </c>
      <c r="K1571" s="1178" t="s">
        <v>267</v>
      </c>
      <c r="L1571" s="1178" t="s">
        <v>211</v>
      </c>
      <c r="M1571" s="1369"/>
      <c r="N1571" s="1178"/>
      <c r="O1571" s="1178">
        <v>6</v>
      </c>
      <c r="P1571" s="1178">
        <v>14</v>
      </c>
    </row>
    <row r="1572" spans="1:16">
      <c r="A1572" s="1178" t="s">
        <v>20915</v>
      </c>
      <c r="B1572" s="1371" t="str">
        <f>HYPERLINK(IFERROR("#Main_Tariff!A"&amp;MATCH(Raeburn_Main_Tariff[[#This Row],[Product Code]],Main_Tariff!I:I,0),"#Main_Tariff!A"&amp;MATCH("*"&amp;RIGHT(A1572,8)&amp;"*",Main_Tariff!A:A,0)),Raeburn_Main_Tariff[[#This Row],[PRODUCER]])</f>
        <v>Marchand-Tawse</v>
      </c>
      <c r="C1572" s="1178" t="s">
        <v>20919</v>
      </c>
      <c r="D1572" s="1178" t="s">
        <v>897</v>
      </c>
      <c r="E1572" s="1179">
        <v>2021</v>
      </c>
      <c r="F1572" s="1282" t="s">
        <v>20220</v>
      </c>
      <c r="G1572" s="1368">
        <v>47.25</v>
      </c>
      <c r="H1572" s="1178" t="s">
        <v>20221</v>
      </c>
      <c r="I1572" s="1178" t="s">
        <v>5799</v>
      </c>
      <c r="J1572" s="1178" t="s">
        <v>662</v>
      </c>
      <c r="K1572" s="1178" t="s">
        <v>267</v>
      </c>
      <c r="L1572" s="1178" t="s">
        <v>211</v>
      </c>
      <c r="M1572" s="1369"/>
      <c r="N1572" s="1178" t="s">
        <v>20244</v>
      </c>
      <c r="O1572" s="1178">
        <v>6</v>
      </c>
      <c r="P1572" s="1178">
        <v>13</v>
      </c>
    </row>
    <row r="1573" spans="1:16">
      <c r="A1573" s="1178" t="s">
        <v>20915</v>
      </c>
      <c r="B1573" s="1371" t="str">
        <f>HYPERLINK(IFERROR("#Main_Tariff!A"&amp;MATCH(Raeburn_Main_Tariff[[#This Row],[Product Code]],Main_Tariff!I:I,0),"#Main_Tariff!A"&amp;MATCH("*"&amp;RIGHT(A1573,8)&amp;"*",Main_Tariff!A:A,0)),Raeburn_Main_Tariff[[#This Row],[PRODUCER]])</f>
        <v>Marchand-Tawse</v>
      </c>
      <c r="C1573" s="1178" t="s">
        <v>20919</v>
      </c>
      <c r="D1573" s="1178" t="s">
        <v>897</v>
      </c>
      <c r="E1573" s="1179">
        <v>2020</v>
      </c>
      <c r="F1573" s="1282" t="s">
        <v>20220</v>
      </c>
      <c r="G1573" s="1368">
        <v>44</v>
      </c>
      <c r="H1573" s="1178" t="s">
        <v>20221</v>
      </c>
      <c r="I1573" s="1178" t="s">
        <v>5801</v>
      </c>
      <c r="J1573" s="1178" t="s">
        <v>662</v>
      </c>
      <c r="K1573" s="1178" t="s">
        <v>267</v>
      </c>
      <c r="L1573" s="1178" t="s">
        <v>211</v>
      </c>
      <c r="M1573" s="1369"/>
      <c r="N1573" s="1178" t="s">
        <v>20244</v>
      </c>
      <c r="O1573" s="1178">
        <v>6</v>
      </c>
      <c r="P1573" s="1178">
        <v>13.5</v>
      </c>
    </row>
    <row r="1574" spans="1:16">
      <c r="A1574" s="1178" t="s">
        <v>20915</v>
      </c>
      <c r="B1574" s="1371" t="str">
        <f>HYPERLINK(IFERROR("#Main_Tariff!A"&amp;MATCH(Raeburn_Main_Tariff[[#This Row],[Product Code]],Main_Tariff!I:I,0),"#Main_Tariff!A"&amp;MATCH("*"&amp;RIGHT(A1574,8)&amp;"*",Main_Tariff!A:A,0)),Raeburn_Main_Tariff[[#This Row],[PRODUCER]])</f>
        <v>Marchand-Tawse</v>
      </c>
      <c r="C1574" s="1178" t="s">
        <v>20725</v>
      </c>
      <c r="D1574" s="1178" t="s">
        <v>897</v>
      </c>
      <c r="E1574" s="1179">
        <v>2022</v>
      </c>
      <c r="F1574" s="1282" t="s">
        <v>20220</v>
      </c>
      <c r="G1574" s="1368" t="s">
        <v>20342</v>
      </c>
      <c r="H1574" s="1178" t="s">
        <v>20343</v>
      </c>
      <c r="I1574" s="1178" t="s">
        <v>5803</v>
      </c>
      <c r="J1574" s="1178" t="s">
        <v>662</v>
      </c>
      <c r="K1574" s="1178" t="s">
        <v>267</v>
      </c>
      <c r="L1574" s="1178" t="s">
        <v>211</v>
      </c>
      <c r="M1574" s="1369"/>
      <c r="N1574" s="1178"/>
      <c r="O1574" s="1178">
        <v>6</v>
      </c>
      <c r="P1574" s="1178">
        <v>0</v>
      </c>
    </row>
    <row r="1575" spans="1:16">
      <c r="A1575" s="1178" t="s">
        <v>20915</v>
      </c>
      <c r="B1575" s="1371" t="str">
        <f>HYPERLINK(IFERROR("#Main_Tariff!A"&amp;MATCH(Raeburn_Main_Tariff[[#This Row],[Product Code]],Main_Tariff!I:I,0),"#Main_Tariff!A"&amp;MATCH("*"&amp;RIGHT(A1575,8)&amp;"*",Main_Tariff!A:A,0)),Raeburn_Main_Tariff[[#This Row],[PRODUCER]])</f>
        <v>Marchand-Tawse</v>
      </c>
      <c r="C1575" s="1178" t="s">
        <v>20725</v>
      </c>
      <c r="D1575" s="1178" t="s">
        <v>897</v>
      </c>
      <c r="E1575" s="1179">
        <v>2021</v>
      </c>
      <c r="F1575" s="1282" t="s">
        <v>20220</v>
      </c>
      <c r="G1575" s="1368">
        <v>59</v>
      </c>
      <c r="H1575" s="1178" t="s">
        <v>20221</v>
      </c>
      <c r="I1575" s="1178" t="s">
        <v>5805</v>
      </c>
      <c r="J1575" s="1178" t="s">
        <v>662</v>
      </c>
      <c r="K1575" s="1178" t="s">
        <v>267</v>
      </c>
      <c r="L1575" s="1178" t="s">
        <v>211</v>
      </c>
      <c r="M1575" s="1369"/>
      <c r="N1575" s="1178"/>
      <c r="O1575" s="1178">
        <v>6</v>
      </c>
      <c r="P1575" s="1178">
        <v>13.5</v>
      </c>
    </row>
    <row r="1576" spans="1:16">
      <c r="A1576" s="1178" t="s">
        <v>20915</v>
      </c>
      <c r="B1576" s="1371" t="str">
        <f>HYPERLINK(IFERROR("#Main_Tariff!A"&amp;MATCH(Raeburn_Main_Tariff[[#This Row],[Product Code]],Main_Tariff!I:I,0),"#Main_Tariff!A"&amp;MATCH("*"&amp;RIGHT(A1576,8)&amp;"*",Main_Tariff!A:A,0)),Raeburn_Main_Tariff[[#This Row],[PRODUCER]])</f>
        <v>Marchand-Tawse</v>
      </c>
      <c r="C1576" s="1178" t="s">
        <v>20725</v>
      </c>
      <c r="D1576" s="1178" t="s">
        <v>897</v>
      </c>
      <c r="E1576" s="1179">
        <v>2020</v>
      </c>
      <c r="F1576" s="1282" t="s">
        <v>20220</v>
      </c>
      <c r="G1576" s="1368">
        <v>53.5</v>
      </c>
      <c r="H1576" s="1178" t="s">
        <v>20221</v>
      </c>
      <c r="I1576" s="1178" t="s">
        <v>5807</v>
      </c>
      <c r="J1576" s="1178" t="s">
        <v>662</v>
      </c>
      <c r="K1576" s="1178" t="s">
        <v>267</v>
      </c>
      <c r="L1576" s="1178" t="s">
        <v>211</v>
      </c>
      <c r="M1576" s="1369"/>
      <c r="N1576" s="1178"/>
      <c r="O1576" s="1178">
        <v>6</v>
      </c>
      <c r="P1576" s="1178">
        <v>13.5</v>
      </c>
    </row>
    <row r="1577" spans="1:16">
      <c r="A1577" s="1178" t="s">
        <v>20915</v>
      </c>
      <c r="B1577" s="1371" t="str">
        <f>HYPERLINK(IFERROR("#Main_Tariff!A"&amp;MATCH(Raeburn_Main_Tariff[[#This Row],[Product Code]],Main_Tariff!I:I,0),"#Main_Tariff!A"&amp;MATCH("*"&amp;RIGHT(A1577,8)&amp;"*",Main_Tariff!A:A,0)),Raeburn_Main_Tariff[[#This Row],[PRODUCER]])</f>
        <v>Marchand-Tawse</v>
      </c>
      <c r="C1577" s="1178" t="s">
        <v>20725</v>
      </c>
      <c r="D1577" s="1178" t="s">
        <v>897</v>
      </c>
      <c r="E1577" s="1179">
        <v>2019</v>
      </c>
      <c r="F1577" s="1282" t="s">
        <v>20220</v>
      </c>
      <c r="G1577" s="1368">
        <v>53.5</v>
      </c>
      <c r="H1577" s="1178" t="s">
        <v>20221</v>
      </c>
      <c r="I1577" s="1178" t="s">
        <v>5809</v>
      </c>
      <c r="J1577" s="1178" t="s">
        <v>662</v>
      </c>
      <c r="K1577" s="1178" t="s">
        <v>267</v>
      </c>
      <c r="L1577" s="1178" t="s">
        <v>211</v>
      </c>
      <c r="M1577" s="1369"/>
      <c r="N1577" s="1178"/>
      <c r="O1577" s="1178">
        <v>6</v>
      </c>
      <c r="P1577" s="1178">
        <v>13.5</v>
      </c>
    </row>
    <row r="1578" spans="1:16">
      <c r="A1578" s="1178" t="s">
        <v>20915</v>
      </c>
      <c r="B1578" s="1371" t="str">
        <f>HYPERLINK(IFERROR("#Main_Tariff!A"&amp;MATCH(Raeburn_Main_Tariff[[#This Row],[Product Code]],Main_Tariff!I:I,0),"#Main_Tariff!A"&amp;MATCH("*"&amp;RIGHT(A1578,8)&amp;"*",Main_Tariff!A:A,0)),Raeburn_Main_Tariff[[#This Row],[PRODUCER]])</f>
        <v>Marchand-Tawse</v>
      </c>
      <c r="C1578" s="1178" t="s">
        <v>20725</v>
      </c>
      <c r="D1578" s="1178" t="s">
        <v>897</v>
      </c>
      <c r="E1578" s="1179">
        <v>2018</v>
      </c>
      <c r="F1578" s="1282" t="s">
        <v>20220</v>
      </c>
      <c r="G1578" s="1368">
        <v>45</v>
      </c>
      <c r="H1578" s="1178" t="s">
        <v>20221</v>
      </c>
      <c r="I1578" s="1178" t="s">
        <v>5811</v>
      </c>
      <c r="J1578" s="1178" t="s">
        <v>662</v>
      </c>
      <c r="K1578" s="1178" t="s">
        <v>267</v>
      </c>
      <c r="L1578" s="1178" t="s">
        <v>211</v>
      </c>
      <c r="M1578" s="1369"/>
      <c r="N1578" s="1178"/>
      <c r="O1578" s="1178">
        <v>6</v>
      </c>
      <c r="P1578" s="1178">
        <v>14</v>
      </c>
    </row>
    <row r="1579" spans="1:16">
      <c r="A1579" s="1178" t="s">
        <v>20915</v>
      </c>
      <c r="B1579" s="1371" t="str">
        <f>HYPERLINK(IFERROR("#Main_Tariff!A"&amp;MATCH(Raeburn_Main_Tariff[[#This Row],[Product Code]],Main_Tariff!I:I,0),"#Main_Tariff!A"&amp;MATCH("*"&amp;RIGHT(A1579,8)&amp;"*",Main_Tariff!A:A,0)),Raeburn_Main_Tariff[[#This Row],[PRODUCER]])</f>
        <v>Marchand-Tawse</v>
      </c>
      <c r="C1579" s="1178" t="s">
        <v>20920</v>
      </c>
      <c r="D1579" s="1178" t="s">
        <v>897</v>
      </c>
      <c r="E1579" s="1179">
        <v>2021</v>
      </c>
      <c r="F1579" s="1282" t="s">
        <v>20220</v>
      </c>
      <c r="G1579" s="1368">
        <v>47.25</v>
      </c>
      <c r="H1579" s="1178" t="s">
        <v>20221</v>
      </c>
      <c r="I1579" s="1178" t="s">
        <v>5813</v>
      </c>
      <c r="J1579" s="1178" t="s">
        <v>662</v>
      </c>
      <c r="K1579" s="1178" t="s">
        <v>267</v>
      </c>
      <c r="L1579" s="1178" t="s">
        <v>211</v>
      </c>
      <c r="M1579" s="1369"/>
      <c r="N1579" s="1178"/>
      <c r="O1579" s="1178">
        <v>6</v>
      </c>
      <c r="P1579" s="1178">
        <v>13</v>
      </c>
    </row>
    <row r="1580" spans="1:16">
      <c r="A1580" s="1178" t="s">
        <v>20915</v>
      </c>
      <c r="B1580" s="1371" t="str">
        <f>HYPERLINK(IFERROR("#Main_Tariff!A"&amp;MATCH(Raeburn_Main_Tariff[[#This Row],[Product Code]],Main_Tariff!I:I,0),"#Main_Tariff!A"&amp;MATCH("*"&amp;RIGHT(A1580,8)&amp;"*",Main_Tariff!A:A,0)),Raeburn_Main_Tariff[[#This Row],[PRODUCER]])</f>
        <v>Marchand-Tawse</v>
      </c>
      <c r="C1580" s="1178" t="s">
        <v>20920</v>
      </c>
      <c r="D1580" s="1178" t="s">
        <v>897</v>
      </c>
      <c r="E1580" s="1179">
        <v>2019</v>
      </c>
      <c r="F1580" s="1282" t="s">
        <v>20220</v>
      </c>
      <c r="G1580" s="1368">
        <v>38</v>
      </c>
      <c r="H1580" s="1178" t="s">
        <v>20221</v>
      </c>
      <c r="I1580" s="1178" t="s">
        <v>5815</v>
      </c>
      <c r="J1580" s="1178" t="s">
        <v>662</v>
      </c>
      <c r="K1580" s="1178" t="s">
        <v>267</v>
      </c>
      <c r="L1580" s="1178" t="s">
        <v>211</v>
      </c>
      <c r="M1580" s="1369"/>
      <c r="N1580" s="1178"/>
      <c r="O1580" s="1178">
        <v>6</v>
      </c>
      <c r="P1580" s="1178">
        <v>13.5</v>
      </c>
    </row>
    <row r="1581" spans="1:16">
      <c r="A1581" s="1178" t="s">
        <v>20915</v>
      </c>
      <c r="B1581" s="1371" t="str">
        <f>HYPERLINK(IFERROR("#Main_Tariff!A"&amp;MATCH(Raeburn_Main_Tariff[[#This Row],[Product Code]],Main_Tariff!I:I,0),"#Main_Tariff!A"&amp;MATCH("*"&amp;RIGHT(A1581,8)&amp;"*",Main_Tariff!A:A,0)),Raeburn_Main_Tariff[[#This Row],[PRODUCER]])</f>
        <v>Marchand-Tawse</v>
      </c>
      <c r="C1581" s="1178" t="s">
        <v>20920</v>
      </c>
      <c r="D1581" s="1178" t="s">
        <v>897</v>
      </c>
      <c r="E1581" s="1179">
        <v>2018</v>
      </c>
      <c r="F1581" s="1282" t="s">
        <v>20220</v>
      </c>
      <c r="G1581" s="1368">
        <v>36</v>
      </c>
      <c r="H1581" s="1178" t="s">
        <v>20221</v>
      </c>
      <c r="I1581" s="1178" t="s">
        <v>5817</v>
      </c>
      <c r="J1581" s="1178" t="s">
        <v>662</v>
      </c>
      <c r="K1581" s="1178" t="s">
        <v>267</v>
      </c>
      <c r="L1581" s="1178" t="s">
        <v>211</v>
      </c>
      <c r="M1581" s="1369"/>
      <c r="N1581" s="1178"/>
      <c r="O1581" s="1178">
        <v>6</v>
      </c>
      <c r="P1581" s="1178">
        <v>13.5</v>
      </c>
    </row>
    <row r="1582" spans="1:16">
      <c r="A1582" s="1178" t="s">
        <v>20915</v>
      </c>
      <c r="B1582" s="1371" t="str">
        <f>HYPERLINK(IFERROR("#Main_Tariff!A"&amp;MATCH(Raeburn_Main_Tariff[[#This Row],[Product Code]],Main_Tariff!I:I,0),"#Main_Tariff!A"&amp;MATCH("*"&amp;RIGHT(A1582,8)&amp;"*",Main_Tariff!A:A,0)),Raeburn_Main_Tariff[[#This Row],[PRODUCER]])</f>
        <v>Marchand-Tawse</v>
      </c>
      <c r="C1582" s="1178" t="s">
        <v>20920</v>
      </c>
      <c r="D1582" s="1178" t="s">
        <v>897</v>
      </c>
      <c r="E1582" s="1179">
        <v>2017</v>
      </c>
      <c r="F1582" s="1282" t="s">
        <v>20220</v>
      </c>
      <c r="G1582" s="1368">
        <v>36</v>
      </c>
      <c r="H1582" s="1178" t="s">
        <v>20221</v>
      </c>
      <c r="I1582" s="1178" t="s">
        <v>5819</v>
      </c>
      <c r="J1582" s="1178" t="s">
        <v>662</v>
      </c>
      <c r="K1582" s="1178" t="s">
        <v>267</v>
      </c>
      <c r="L1582" s="1178" t="s">
        <v>211</v>
      </c>
      <c r="M1582" s="1369"/>
      <c r="N1582" s="1178"/>
      <c r="O1582" s="1178">
        <v>6</v>
      </c>
      <c r="P1582" s="1178">
        <v>13</v>
      </c>
    </row>
    <row r="1583" spans="1:16">
      <c r="A1583" s="1178" t="s">
        <v>20915</v>
      </c>
      <c r="B1583" s="1371" t="str">
        <f>HYPERLINK(IFERROR("#Main_Tariff!A"&amp;MATCH(Raeburn_Main_Tariff[[#This Row],[Product Code]],Main_Tariff!I:I,0),"#Main_Tariff!A"&amp;MATCH("*"&amp;RIGHT(A1583,8)&amp;"*",Main_Tariff!A:A,0)),Raeburn_Main_Tariff[[#This Row],[PRODUCER]])</f>
        <v>Marchand-Tawse</v>
      </c>
      <c r="C1583" s="1178" t="s">
        <v>20920</v>
      </c>
      <c r="D1583" s="1178" t="s">
        <v>897</v>
      </c>
      <c r="E1583" s="1179">
        <v>2016</v>
      </c>
      <c r="F1583" s="1282" t="s">
        <v>20220</v>
      </c>
      <c r="G1583" s="1368">
        <v>36</v>
      </c>
      <c r="H1583" s="1178" t="s">
        <v>20221</v>
      </c>
      <c r="I1583" s="1178" t="s">
        <v>5821</v>
      </c>
      <c r="J1583" s="1178" t="s">
        <v>662</v>
      </c>
      <c r="K1583" s="1178" t="s">
        <v>267</v>
      </c>
      <c r="L1583" s="1178" t="s">
        <v>211</v>
      </c>
      <c r="M1583" s="1369"/>
      <c r="N1583" s="1178"/>
      <c r="O1583" s="1178">
        <v>6</v>
      </c>
      <c r="P1583" s="1178">
        <v>13</v>
      </c>
    </row>
    <row r="1584" spans="1:16">
      <c r="A1584" s="1178" t="s">
        <v>20915</v>
      </c>
      <c r="B1584" s="1371" t="str">
        <f>HYPERLINK(IFERROR("#Main_Tariff!A"&amp;MATCH(Raeburn_Main_Tariff[[#This Row],[Product Code]],Main_Tariff!I:I,0),"#Main_Tariff!A"&amp;MATCH("*"&amp;RIGHT(A1584,8)&amp;"*",Main_Tariff!A:A,0)),Raeburn_Main_Tariff[[#This Row],[PRODUCER]])</f>
        <v>Marchand-Tawse</v>
      </c>
      <c r="C1584" s="1178" t="s">
        <v>20741</v>
      </c>
      <c r="D1584" s="1178" t="s">
        <v>897</v>
      </c>
      <c r="E1584" s="1179">
        <v>2021</v>
      </c>
      <c r="F1584" s="1282" t="s">
        <v>20220</v>
      </c>
      <c r="G1584" s="1368">
        <v>45</v>
      </c>
      <c r="H1584" s="1178" t="s">
        <v>20221</v>
      </c>
      <c r="I1584" s="1178" t="s">
        <v>5823</v>
      </c>
      <c r="J1584" s="1178" t="s">
        <v>662</v>
      </c>
      <c r="K1584" s="1178" t="s">
        <v>267</v>
      </c>
      <c r="L1584" s="1178" t="s">
        <v>211</v>
      </c>
      <c r="M1584" s="1369"/>
      <c r="N1584" s="1178" t="s">
        <v>20244</v>
      </c>
      <c r="O1584" s="1178">
        <v>6</v>
      </c>
      <c r="P1584" s="1178">
        <v>13</v>
      </c>
    </row>
    <row r="1585" spans="1:16">
      <c r="A1585" s="1178" t="s">
        <v>20915</v>
      </c>
      <c r="B1585" s="1371" t="str">
        <f>HYPERLINK(IFERROR("#Main_Tariff!A"&amp;MATCH(Raeburn_Main_Tariff[[#This Row],[Product Code]],Main_Tariff!I:I,0),"#Main_Tariff!A"&amp;MATCH("*"&amp;RIGHT(A1585,8)&amp;"*",Main_Tariff!A:A,0)),Raeburn_Main_Tariff[[#This Row],[PRODUCER]])</f>
        <v>Marchand-Tawse</v>
      </c>
      <c r="C1585" s="1178" t="s">
        <v>20741</v>
      </c>
      <c r="D1585" s="1178" t="s">
        <v>897</v>
      </c>
      <c r="E1585" s="1179">
        <v>2020</v>
      </c>
      <c r="F1585" s="1282" t="s">
        <v>20220</v>
      </c>
      <c r="G1585" s="1368">
        <v>42.5</v>
      </c>
      <c r="H1585" s="1178" t="s">
        <v>20221</v>
      </c>
      <c r="I1585" s="1178" t="s">
        <v>5825</v>
      </c>
      <c r="J1585" s="1178" t="s">
        <v>662</v>
      </c>
      <c r="K1585" s="1178" t="s">
        <v>267</v>
      </c>
      <c r="L1585" s="1178" t="s">
        <v>211</v>
      </c>
      <c r="M1585" s="1369"/>
      <c r="N1585" s="1178" t="s">
        <v>20244</v>
      </c>
      <c r="O1585" s="1178">
        <v>6</v>
      </c>
      <c r="P1585" s="1178">
        <v>13</v>
      </c>
    </row>
    <row r="1586" spans="1:16">
      <c r="A1586" s="1178" t="s">
        <v>20915</v>
      </c>
      <c r="B1586" s="1371" t="str">
        <f>HYPERLINK(IFERROR("#Main_Tariff!A"&amp;MATCH(Raeburn_Main_Tariff[[#This Row],[Product Code]],Main_Tariff!I:I,0),"#Main_Tariff!A"&amp;MATCH("*"&amp;RIGHT(A1586,8)&amp;"*",Main_Tariff!A:A,0)),Raeburn_Main_Tariff[[#This Row],[PRODUCER]])</f>
        <v>Marchand-Tawse</v>
      </c>
      <c r="C1586" s="1178" t="s">
        <v>20741</v>
      </c>
      <c r="D1586" s="1178" t="s">
        <v>897</v>
      </c>
      <c r="E1586" s="1179">
        <v>2019</v>
      </c>
      <c r="F1586" s="1282" t="s">
        <v>20220</v>
      </c>
      <c r="G1586" s="1368">
        <v>42.5</v>
      </c>
      <c r="H1586" s="1178" t="s">
        <v>20221</v>
      </c>
      <c r="I1586" s="1178" t="s">
        <v>5827</v>
      </c>
      <c r="J1586" s="1178" t="s">
        <v>662</v>
      </c>
      <c r="K1586" s="1178" t="s">
        <v>267</v>
      </c>
      <c r="L1586" s="1178" t="s">
        <v>211</v>
      </c>
      <c r="M1586" s="1369"/>
      <c r="N1586" s="1178" t="s">
        <v>20244</v>
      </c>
      <c r="O1586" s="1178">
        <v>6</v>
      </c>
      <c r="P1586" s="1178">
        <v>14</v>
      </c>
    </row>
    <row r="1587" spans="1:16">
      <c r="A1587" s="1178" t="s">
        <v>20915</v>
      </c>
      <c r="B1587" s="1371" t="str">
        <f>HYPERLINK(IFERROR("#Main_Tariff!A"&amp;MATCH(Raeburn_Main_Tariff[[#This Row],[Product Code]],Main_Tariff!I:I,0),"#Main_Tariff!A"&amp;MATCH("*"&amp;RIGHT(A1587,8)&amp;"*",Main_Tariff!A:A,0)),Raeburn_Main_Tariff[[#This Row],[PRODUCER]])</f>
        <v>Marchand-Tawse</v>
      </c>
      <c r="C1587" s="1178" t="s">
        <v>20741</v>
      </c>
      <c r="D1587" s="1178" t="s">
        <v>897</v>
      </c>
      <c r="E1587" s="1179">
        <v>2018</v>
      </c>
      <c r="F1587" s="1282" t="s">
        <v>20220</v>
      </c>
      <c r="G1587" s="1368">
        <v>40</v>
      </c>
      <c r="H1587" s="1178" t="s">
        <v>20221</v>
      </c>
      <c r="I1587" s="1178" t="s">
        <v>5829</v>
      </c>
      <c r="J1587" s="1178" t="s">
        <v>662</v>
      </c>
      <c r="K1587" s="1178" t="s">
        <v>267</v>
      </c>
      <c r="L1587" s="1178" t="s">
        <v>211</v>
      </c>
      <c r="M1587" s="1369"/>
      <c r="N1587" s="1178"/>
      <c r="O1587" s="1178">
        <v>6</v>
      </c>
      <c r="P1587" s="1178">
        <v>13.5</v>
      </c>
    </row>
    <row r="1588" spans="1:16">
      <c r="A1588" s="1178" t="s">
        <v>20915</v>
      </c>
      <c r="B1588" s="1371" t="str">
        <f>HYPERLINK(IFERROR("#Main_Tariff!A"&amp;MATCH(Raeburn_Main_Tariff[[#This Row],[Product Code]],Main_Tariff!I:I,0),"#Main_Tariff!A"&amp;MATCH("*"&amp;RIGHT(A1588,8)&amp;"*",Main_Tariff!A:A,0)),Raeburn_Main_Tariff[[#This Row],[PRODUCER]])</f>
        <v>Marchand-Tawse</v>
      </c>
      <c r="C1588" s="1178" t="s">
        <v>20741</v>
      </c>
      <c r="D1588" s="1178" t="s">
        <v>897</v>
      </c>
      <c r="E1588" s="1179">
        <v>2017</v>
      </c>
      <c r="F1588" s="1282" t="s">
        <v>20220</v>
      </c>
      <c r="G1588" s="1368">
        <v>38</v>
      </c>
      <c r="H1588" s="1178" t="s">
        <v>20277</v>
      </c>
      <c r="I1588" s="1178" t="s">
        <v>5830</v>
      </c>
      <c r="J1588" s="1178" t="s">
        <v>662</v>
      </c>
      <c r="K1588" s="1178" t="s">
        <v>267</v>
      </c>
      <c r="L1588" s="1178" t="s">
        <v>211</v>
      </c>
      <c r="M1588" s="1369"/>
      <c r="N1588" s="1178"/>
      <c r="O1588" s="1178">
        <v>6</v>
      </c>
      <c r="P1588" s="1178">
        <v>12.5</v>
      </c>
    </row>
    <row r="1589" spans="1:16">
      <c r="A1589" s="1178" t="s">
        <v>20915</v>
      </c>
      <c r="B1589" s="1371" t="str">
        <f>HYPERLINK(IFERROR("#Main_Tariff!A"&amp;MATCH(Raeburn_Main_Tariff[[#This Row],[Product Code]],Main_Tariff!I:I,0),"#Main_Tariff!A"&amp;MATCH("*"&amp;RIGHT(A1589,8)&amp;"*",Main_Tariff!A:A,0)),Raeburn_Main_Tariff[[#This Row],[PRODUCER]])</f>
        <v>Marchand-Tawse</v>
      </c>
      <c r="C1589" s="1178" t="s">
        <v>20921</v>
      </c>
      <c r="D1589" s="1178" t="s">
        <v>897</v>
      </c>
      <c r="E1589" s="1179">
        <v>2021</v>
      </c>
      <c r="F1589" s="1282" t="s">
        <v>20220</v>
      </c>
      <c r="G1589" s="1368" t="s">
        <v>20342</v>
      </c>
      <c r="H1589" s="1178" t="s">
        <v>20343</v>
      </c>
      <c r="I1589" s="1178" t="s">
        <v>5831</v>
      </c>
      <c r="J1589" s="1178" t="s">
        <v>662</v>
      </c>
      <c r="K1589" s="1178" t="s">
        <v>267</v>
      </c>
      <c r="L1589" s="1178" t="s">
        <v>211</v>
      </c>
      <c r="M1589" s="1369"/>
      <c r="N1589" s="1178" t="s">
        <v>20244</v>
      </c>
      <c r="O1589" s="1178">
        <v>6</v>
      </c>
      <c r="P1589" s="1178">
        <v>0</v>
      </c>
    </row>
    <row r="1590" spans="1:16">
      <c r="A1590" s="1178" t="s">
        <v>20915</v>
      </c>
      <c r="B1590" s="1371" t="str">
        <f>HYPERLINK(IFERROR("#Main_Tariff!A"&amp;MATCH(Raeburn_Main_Tariff[[#This Row],[Product Code]],Main_Tariff!I:I,0),"#Main_Tariff!A"&amp;MATCH("*"&amp;RIGHT(A1590,8)&amp;"*",Main_Tariff!A:A,0)),Raeburn_Main_Tariff[[#This Row],[PRODUCER]])</f>
        <v>Marchand-Tawse</v>
      </c>
      <c r="C1590" s="1178" t="s">
        <v>20921</v>
      </c>
      <c r="D1590" s="1178" t="s">
        <v>897</v>
      </c>
      <c r="E1590" s="1179">
        <v>2017</v>
      </c>
      <c r="F1590" s="1282" t="s">
        <v>20220</v>
      </c>
      <c r="G1590" s="1368">
        <v>37.5</v>
      </c>
      <c r="H1590" s="1178" t="s">
        <v>20221</v>
      </c>
      <c r="I1590" s="1178" t="s">
        <v>5832</v>
      </c>
      <c r="J1590" s="1178" t="s">
        <v>662</v>
      </c>
      <c r="K1590" s="1178" t="s">
        <v>267</v>
      </c>
      <c r="L1590" s="1178" t="s">
        <v>211</v>
      </c>
      <c r="M1590" s="1369"/>
      <c r="N1590" s="1178"/>
      <c r="O1590" s="1178">
        <v>6</v>
      </c>
      <c r="P1590" s="1178">
        <v>12.5</v>
      </c>
    </row>
    <row r="1591" spans="1:16">
      <c r="A1591" s="1178" t="s">
        <v>20915</v>
      </c>
      <c r="B1591" s="1371" t="str">
        <f>HYPERLINK(IFERROR("#Main_Tariff!A"&amp;MATCH(Raeburn_Main_Tariff[[#This Row],[Product Code]],Main_Tariff!I:I,0),"#Main_Tariff!A"&amp;MATCH("*"&amp;RIGHT(A1591,8)&amp;"*",Main_Tariff!A:A,0)),Raeburn_Main_Tariff[[#This Row],[PRODUCER]])</f>
        <v>Marchand-Tawse</v>
      </c>
      <c r="C1591" s="1178" t="s">
        <v>20922</v>
      </c>
      <c r="D1591" s="1178" t="s">
        <v>897</v>
      </c>
      <c r="E1591" s="1179">
        <v>2021</v>
      </c>
      <c r="F1591" s="1282" t="s">
        <v>20220</v>
      </c>
      <c r="G1591" s="1368">
        <v>52</v>
      </c>
      <c r="H1591" s="1178" t="s">
        <v>20221</v>
      </c>
      <c r="I1591" s="1178" t="s">
        <v>5833</v>
      </c>
      <c r="J1591" s="1178" t="s">
        <v>662</v>
      </c>
      <c r="K1591" s="1178" t="s">
        <v>267</v>
      </c>
      <c r="L1591" s="1178" t="s">
        <v>211</v>
      </c>
      <c r="M1591" s="1369"/>
      <c r="N1591" s="1178" t="s">
        <v>20244</v>
      </c>
      <c r="O1591" s="1178">
        <v>6</v>
      </c>
      <c r="P1591" s="1178">
        <v>13</v>
      </c>
    </row>
    <row r="1592" spans="1:16">
      <c r="A1592" s="1178" t="s">
        <v>20915</v>
      </c>
      <c r="B1592" s="1371" t="str">
        <f>HYPERLINK(IFERROR("#Main_Tariff!A"&amp;MATCH(Raeburn_Main_Tariff[[#This Row],[Product Code]],Main_Tariff!I:I,0),"#Main_Tariff!A"&amp;MATCH("*"&amp;RIGHT(A1592,8)&amp;"*",Main_Tariff!A:A,0)),Raeburn_Main_Tariff[[#This Row],[PRODUCER]])</f>
        <v>Marchand-Tawse</v>
      </c>
      <c r="C1592" s="1178" t="s">
        <v>20922</v>
      </c>
      <c r="D1592" s="1178" t="s">
        <v>897</v>
      </c>
      <c r="E1592" s="1179">
        <v>2020</v>
      </c>
      <c r="F1592" s="1282" t="s">
        <v>20220</v>
      </c>
      <c r="G1592" s="1368">
        <v>47.5</v>
      </c>
      <c r="H1592" s="1178" t="s">
        <v>20224</v>
      </c>
      <c r="I1592" s="1178" t="s">
        <v>5834</v>
      </c>
      <c r="J1592" s="1178" t="s">
        <v>662</v>
      </c>
      <c r="K1592" s="1178" t="s">
        <v>267</v>
      </c>
      <c r="L1592" s="1178" t="s">
        <v>211</v>
      </c>
      <c r="M1592" s="1369"/>
      <c r="N1592" s="1178" t="s">
        <v>20244</v>
      </c>
      <c r="O1592" s="1178">
        <v>6</v>
      </c>
      <c r="P1592" s="1178">
        <v>13</v>
      </c>
    </row>
    <row r="1593" spans="1:16">
      <c r="A1593" s="1178" t="s">
        <v>20915</v>
      </c>
      <c r="B1593" s="1371" t="str">
        <f>HYPERLINK(IFERROR("#Main_Tariff!A"&amp;MATCH(Raeburn_Main_Tariff[[#This Row],[Product Code]],Main_Tariff!I:I,0),"#Main_Tariff!A"&amp;MATCH("*"&amp;RIGHT(A1593,8)&amp;"*",Main_Tariff!A:A,0)),Raeburn_Main_Tariff[[#This Row],[PRODUCER]])</f>
        <v>Marchand-Tawse</v>
      </c>
      <c r="C1593" s="1178" t="s">
        <v>20922</v>
      </c>
      <c r="D1593" s="1178" t="s">
        <v>897</v>
      </c>
      <c r="E1593" s="1179">
        <v>2019</v>
      </c>
      <c r="F1593" s="1282" t="s">
        <v>20220</v>
      </c>
      <c r="G1593" s="1368">
        <v>47.5</v>
      </c>
      <c r="H1593" s="1178" t="s">
        <v>20224</v>
      </c>
      <c r="I1593" s="1178" t="s">
        <v>5835</v>
      </c>
      <c r="J1593" s="1178" t="s">
        <v>662</v>
      </c>
      <c r="K1593" s="1178" t="s">
        <v>267</v>
      </c>
      <c r="L1593" s="1178" t="s">
        <v>211</v>
      </c>
      <c r="M1593" s="1369"/>
      <c r="N1593" s="1178" t="s">
        <v>20244</v>
      </c>
      <c r="O1593" s="1178">
        <v>6</v>
      </c>
      <c r="P1593" s="1178">
        <v>14</v>
      </c>
    </row>
    <row r="1594" spans="1:16">
      <c r="A1594" s="1178" t="s">
        <v>20915</v>
      </c>
      <c r="B1594" s="1371" t="str">
        <f>HYPERLINK(IFERROR("#Main_Tariff!A"&amp;MATCH(Raeburn_Main_Tariff[[#This Row],[Product Code]],Main_Tariff!I:I,0),"#Main_Tariff!A"&amp;MATCH("*"&amp;RIGHT(A1594,8)&amp;"*",Main_Tariff!A:A,0)),Raeburn_Main_Tariff[[#This Row],[PRODUCER]])</f>
        <v>Marchand-Tawse</v>
      </c>
      <c r="C1594" s="1178" t="s">
        <v>20922</v>
      </c>
      <c r="D1594" s="1178" t="s">
        <v>897</v>
      </c>
      <c r="E1594" s="1179">
        <v>2017</v>
      </c>
      <c r="F1594" s="1282" t="s">
        <v>20220</v>
      </c>
      <c r="G1594" s="1368">
        <v>43.5</v>
      </c>
      <c r="H1594" s="1178" t="s">
        <v>20221</v>
      </c>
      <c r="I1594" s="1178" t="s">
        <v>5836</v>
      </c>
      <c r="J1594" s="1178" t="s">
        <v>662</v>
      </c>
      <c r="K1594" s="1178" t="s">
        <v>267</v>
      </c>
      <c r="L1594" s="1178" t="s">
        <v>211</v>
      </c>
      <c r="M1594" s="1369"/>
      <c r="N1594" s="1178"/>
      <c r="O1594" s="1178">
        <v>6</v>
      </c>
      <c r="P1594" s="1178">
        <v>12</v>
      </c>
    </row>
    <row r="1595" spans="1:16">
      <c r="A1595" s="1178" t="s">
        <v>20915</v>
      </c>
      <c r="B1595" s="1371" t="str">
        <f>HYPERLINK(IFERROR("#Main_Tariff!A"&amp;MATCH(Raeburn_Main_Tariff[[#This Row],[Product Code]],Main_Tariff!I:I,0),"#Main_Tariff!A"&amp;MATCH("*"&amp;RIGHT(A1595,8)&amp;"*",Main_Tariff!A:A,0)),Raeburn_Main_Tariff[[#This Row],[PRODUCER]])</f>
        <v>Marchand-Tawse</v>
      </c>
      <c r="C1595" s="1178" t="s">
        <v>20922</v>
      </c>
      <c r="D1595" s="1178" t="s">
        <v>897</v>
      </c>
      <c r="E1595" s="1179">
        <v>2016</v>
      </c>
      <c r="F1595" s="1282" t="s">
        <v>20220</v>
      </c>
      <c r="G1595" s="1368">
        <v>43.5</v>
      </c>
      <c r="H1595" s="1178" t="s">
        <v>20221</v>
      </c>
      <c r="I1595" s="1178" t="s">
        <v>5837</v>
      </c>
      <c r="J1595" s="1178" t="s">
        <v>662</v>
      </c>
      <c r="K1595" s="1178" t="s">
        <v>267</v>
      </c>
      <c r="L1595" s="1178" t="s">
        <v>211</v>
      </c>
      <c r="M1595" s="1369"/>
      <c r="N1595" s="1178"/>
      <c r="O1595" s="1178">
        <v>6</v>
      </c>
      <c r="P1595" s="1178">
        <v>13</v>
      </c>
    </row>
    <row r="1596" spans="1:16">
      <c r="A1596" s="1178" t="s">
        <v>20915</v>
      </c>
      <c r="B1596" s="1371" t="str">
        <f>HYPERLINK(IFERROR("#Main_Tariff!A"&amp;MATCH(Raeburn_Main_Tariff[[#This Row],[Product Code]],Main_Tariff!I:I,0),"#Main_Tariff!A"&amp;MATCH("*"&amp;RIGHT(A1596,8)&amp;"*",Main_Tariff!A:A,0)),Raeburn_Main_Tariff[[#This Row],[PRODUCER]])</f>
        <v>Marchand-Tawse</v>
      </c>
      <c r="C1596" s="1178" t="s">
        <v>20922</v>
      </c>
      <c r="D1596" s="1178" t="s">
        <v>897</v>
      </c>
      <c r="E1596" s="1179">
        <v>2015</v>
      </c>
      <c r="F1596" s="1282" t="s">
        <v>20220</v>
      </c>
      <c r="G1596" s="1368">
        <v>43.5</v>
      </c>
      <c r="H1596" s="1178" t="s">
        <v>20224</v>
      </c>
      <c r="I1596" s="1178" t="s">
        <v>5838</v>
      </c>
      <c r="J1596" s="1178" t="s">
        <v>662</v>
      </c>
      <c r="K1596" s="1178" t="s">
        <v>267</v>
      </c>
      <c r="L1596" s="1178" t="s">
        <v>211</v>
      </c>
      <c r="M1596" s="1369"/>
      <c r="N1596" s="1178"/>
      <c r="O1596" s="1178">
        <v>6</v>
      </c>
      <c r="P1596" s="1178">
        <v>13.5</v>
      </c>
    </row>
    <row r="1597" spans="1:16">
      <c r="A1597" s="1178" t="s">
        <v>20915</v>
      </c>
      <c r="B1597" s="1371" t="str">
        <f>HYPERLINK(IFERROR("#Main_Tariff!A"&amp;MATCH(Raeburn_Main_Tariff[[#This Row],[Product Code]],Main_Tariff!I:I,0),"#Main_Tariff!A"&amp;MATCH("*"&amp;RIGHT(A1597,8)&amp;"*",Main_Tariff!A:A,0)),Raeburn_Main_Tariff[[#This Row],[PRODUCER]])</f>
        <v>Marchand-Tawse</v>
      </c>
      <c r="C1597" s="1178" t="s">
        <v>20922</v>
      </c>
      <c r="D1597" s="1178" t="s">
        <v>897</v>
      </c>
      <c r="E1597" s="1179">
        <v>2014</v>
      </c>
      <c r="F1597" s="1282" t="s">
        <v>20220</v>
      </c>
      <c r="G1597" s="1368">
        <v>43</v>
      </c>
      <c r="H1597" s="1178" t="s">
        <v>20221</v>
      </c>
      <c r="I1597" s="1178" t="s">
        <v>5839</v>
      </c>
      <c r="J1597" s="1178" t="s">
        <v>662</v>
      </c>
      <c r="K1597" s="1178" t="s">
        <v>267</v>
      </c>
      <c r="L1597" s="1178" t="s">
        <v>211</v>
      </c>
      <c r="M1597" s="1369"/>
      <c r="N1597" s="1178"/>
      <c r="O1597" s="1178">
        <v>6</v>
      </c>
      <c r="P1597" s="1178">
        <v>12.5</v>
      </c>
    </row>
    <row r="1598" spans="1:16">
      <c r="A1598" s="1178" t="s">
        <v>20915</v>
      </c>
      <c r="B1598" s="1371" t="str">
        <f>HYPERLINK(IFERROR("#Main_Tariff!A"&amp;MATCH(Raeburn_Main_Tariff[[#This Row],[Product Code]],Main_Tariff!I:I,0),"#Main_Tariff!A"&amp;MATCH("*"&amp;RIGHT(A1598,8)&amp;"*",Main_Tariff!A:A,0)),Raeburn_Main_Tariff[[#This Row],[PRODUCER]])</f>
        <v>Marchand-Tawse</v>
      </c>
      <c r="C1598" s="1178" t="s">
        <v>20759</v>
      </c>
      <c r="D1598" s="1178" t="s">
        <v>897</v>
      </c>
      <c r="E1598" s="1179">
        <v>2020</v>
      </c>
      <c r="F1598" s="1282" t="s">
        <v>20220</v>
      </c>
      <c r="G1598" s="1368">
        <v>52.5</v>
      </c>
      <c r="H1598" s="1178" t="s">
        <v>20224</v>
      </c>
      <c r="I1598" s="1178" t="s">
        <v>5841</v>
      </c>
      <c r="J1598" s="1178" t="s">
        <v>662</v>
      </c>
      <c r="K1598" s="1178" t="s">
        <v>267</v>
      </c>
      <c r="L1598" s="1178" t="s">
        <v>211</v>
      </c>
      <c r="M1598" s="1369" t="s">
        <v>23297</v>
      </c>
      <c r="N1598" s="1178"/>
      <c r="O1598" s="1178">
        <v>6</v>
      </c>
      <c r="P1598" s="1178">
        <v>13.5</v>
      </c>
    </row>
    <row r="1599" spans="1:16">
      <c r="A1599" s="1178" t="s">
        <v>20915</v>
      </c>
      <c r="B1599" s="1371" t="str">
        <f>HYPERLINK(IFERROR("#Main_Tariff!A"&amp;MATCH(Raeburn_Main_Tariff[[#This Row],[Product Code]],Main_Tariff!I:I,0),"#Main_Tariff!A"&amp;MATCH("*"&amp;RIGHT(A1599,8)&amp;"*",Main_Tariff!A:A,0)),Raeburn_Main_Tariff[[#This Row],[PRODUCER]])</f>
        <v>Marchand-Tawse</v>
      </c>
      <c r="C1599" s="1178" t="s">
        <v>20759</v>
      </c>
      <c r="D1599" s="1178" t="s">
        <v>897</v>
      </c>
      <c r="E1599" s="1179">
        <v>2019</v>
      </c>
      <c r="F1599" s="1282" t="s">
        <v>20220</v>
      </c>
      <c r="G1599" s="1368">
        <v>52.5</v>
      </c>
      <c r="H1599" s="1178" t="s">
        <v>20224</v>
      </c>
      <c r="I1599" s="1178" t="s">
        <v>5842</v>
      </c>
      <c r="J1599" s="1178" t="s">
        <v>662</v>
      </c>
      <c r="K1599" s="1178" t="s">
        <v>267</v>
      </c>
      <c r="L1599" s="1178" t="s">
        <v>211</v>
      </c>
      <c r="M1599" s="1369" t="s">
        <v>23297</v>
      </c>
      <c r="N1599" s="1178"/>
      <c r="O1599" s="1178">
        <v>6</v>
      </c>
      <c r="P1599" s="1178">
        <v>14</v>
      </c>
    </row>
    <row r="1600" spans="1:16">
      <c r="A1600" s="1178" t="s">
        <v>20915</v>
      </c>
      <c r="B1600" s="1371" t="str">
        <f>HYPERLINK(IFERROR("#Main_Tariff!A"&amp;MATCH(Raeburn_Main_Tariff[[#This Row],[Product Code]],Main_Tariff!I:I,0),"#Main_Tariff!A"&amp;MATCH("*"&amp;RIGHT(A1600,8)&amp;"*",Main_Tariff!A:A,0)),Raeburn_Main_Tariff[[#This Row],[PRODUCER]])</f>
        <v>Marchand-Tawse</v>
      </c>
      <c r="C1600" s="1178" t="s">
        <v>20923</v>
      </c>
      <c r="D1600" s="1178" t="s">
        <v>897</v>
      </c>
      <c r="E1600" s="1179">
        <v>2021</v>
      </c>
      <c r="F1600" s="1282" t="s">
        <v>20220</v>
      </c>
      <c r="G1600" s="1368">
        <v>62</v>
      </c>
      <c r="H1600" s="1178" t="s">
        <v>20224</v>
      </c>
      <c r="I1600" s="1178" t="s">
        <v>5843</v>
      </c>
      <c r="J1600" s="1178" t="s">
        <v>662</v>
      </c>
      <c r="K1600" s="1178" t="s">
        <v>267</v>
      </c>
      <c r="L1600" s="1178" t="s">
        <v>211</v>
      </c>
      <c r="M1600" s="1369" t="s">
        <v>23297</v>
      </c>
      <c r="N1600" s="1178"/>
      <c r="O1600" s="1178">
        <v>6</v>
      </c>
      <c r="P1600" s="1178">
        <v>13</v>
      </c>
    </row>
    <row r="1601" spans="1:16">
      <c r="A1601" s="1178" t="s">
        <v>20915</v>
      </c>
      <c r="B1601" s="1371" t="str">
        <f>HYPERLINK(IFERROR("#Main_Tariff!A"&amp;MATCH(Raeburn_Main_Tariff[[#This Row],[Product Code]],Main_Tariff!I:I,0),"#Main_Tariff!A"&amp;MATCH("*"&amp;RIGHT(A1601,8)&amp;"*",Main_Tariff!A:A,0)),Raeburn_Main_Tariff[[#This Row],[PRODUCER]])</f>
        <v>Marchand-Tawse</v>
      </c>
      <c r="C1601" s="1178" t="s">
        <v>20924</v>
      </c>
      <c r="D1601" s="1178" t="s">
        <v>897</v>
      </c>
      <c r="E1601" s="1179">
        <v>2021</v>
      </c>
      <c r="F1601" s="1282" t="s">
        <v>20220</v>
      </c>
      <c r="G1601" s="1368">
        <v>58</v>
      </c>
      <c r="H1601" s="1178" t="s">
        <v>20221</v>
      </c>
      <c r="I1601" s="1178" t="s">
        <v>5844</v>
      </c>
      <c r="J1601" s="1178" t="s">
        <v>662</v>
      </c>
      <c r="K1601" s="1178" t="s">
        <v>267</v>
      </c>
      <c r="L1601" s="1178" t="s">
        <v>211</v>
      </c>
      <c r="M1601" s="1369" t="s">
        <v>23297</v>
      </c>
      <c r="N1601" s="1178"/>
      <c r="O1601" s="1178">
        <v>6</v>
      </c>
      <c r="P1601" s="1178">
        <v>13</v>
      </c>
    </row>
    <row r="1602" spans="1:16">
      <c r="A1602" s="1178" t="s">
        <v>20915</v>
      </c>
      <c r="B1602" s="1371" t="str">
        <f>HYPERLINK(IFERROR("#Main_Tariff!A"&amp;MATCH(Raeburn_Main_Tariff[[#This Row],[Product Code]],Main_Tariff!I:I,0),"#Main_Tariff!A"&amp;MATCH("*"&amp;RIGHT(A1602,8)&amp;"*",Main_Tariff!A:A,0)),Raeburn_Main_Tariff[[#This Row],[PRODUCER]])</f>
        <v>Marchand-Tawse</v>
      </c>
      <c r="C1602" s="1178" t="s">
        <v>20924</v>
      </c>
      <c r="D1602" s="1178" t="s">
        <v>897</v>
      </c>
      <c r="E1602" s="1179">
        <v>2020</v>
      </c>
      <c r="F1602" s="1282" t="s">
        <v>20220</v>
      </c>
      <c r="G1602" s="1368">
        <v>52.5</v>
      </c>
      <c r="H1602" s="1178" t="s">
        <v>20221</v>
      </c>
      <c r="I1602" s="1178" t="s">
        <v>5845</v>
      </c>
      <c r="J1602" s="1178" t="s">
        <v>662</v>
      </c>
      <c r="K1602" s="1178" t="s">
        <v>267</v>
      </c>
      <c r="L1602" s="1178" t="s">
        <v>211</v>
      </c>
      <c r="M1602" s="1369" t="s">
        <v>23297</v>
      </c>
      <c r="N1602" s="1178"/>
      <c r="O1602" s="1178">
        <v>6</v>
      </c>
      <c r="P1602" s="1178">
        <v>14</v>
      </c>
    </row>
    <row r="1603" spans="1:16">
      <c r="A1603" s="1178" t="s">
        <v>20915</v>
      </c>
      <c r="B1603" s="1371" t="str">
        <f>HYPERLINK(IFERROR("#Main_Tariff!A"&amp;MATCH(Raeburn_Main_Tariff[[#This Row],[Product Code]],Main_Tariff!I:I,0),"#Main_Tariff!A"&amp;MATCH("*"&amp;RIGHT(A1603,8)&amp;"*",Main_Tariff!A:A,0)),Raeburn_Main_Tariff[[#This Row],[PRODUCER]])</f>
        <v>Marchand-Tawse</v>
      </c>
      <c r="C1603" s="1178" t="s">
        <v>20924</v>
      </c>
      <c r="D1603" s="1178" t="s">
        <v>897</v>
      </c>
      <c r="E1603" s="1179">
        <v>2019</v>
      </c>
      <c r="F1603" s="1282" t="s">
        <v>20220</v>
      </c>
      <c r="G1603" s="1368">
        <v>52.5</v>
      </c>
      <c r="H1603" s="1178" t="s">
        <v>20221</v>
      </c>
      <c r="I1603" s="1178" t="s">
        <v>5846</v>
      </c>
      <c r="J1603" s="1178" t="s">
        <v>662</v>
      </c>
      <c r="K1603" s="1178" t="s">
        <v>267</v>
      </c>
      <c r="L1603" s="1178" t="s">
        <v>211</v>
      </c>
      <c r="M1603" s="1369" t="s">
        <v>23297</v>
      </c>
      <c r="N1603" s="1178"/>
      <c r="O1603" s="1178">
        <v>6</v>
      </c>
      <c r="P1603" s="1178">
        <v>13.5</v>
      </c>
    </row>
    <row r="1604" spans="1:16">
      <c r="A1604" s="1178" t="s">
        <v>20915</v>
      </c>
      <c r="B1604" s="1371" t="str">
        <f>HYPERLINK(IFERROR("#Main_Tariff!A"&amp;MATCH(Raeburn_Main_Tariff[[#This Row],[Product Code]],Main_Tariff!I:I,0),"#Main_Tariff!A"&amp;MATCH("*"&amp;RIGHT(A1604,8)&amp;"*",Main_Tariff!A:A,0)),Raeburn_Main_Tariff[[#This Row],[PRODUCER]])</f>
        <v>Marchand-Tawse</v>
      </c>
      <c r="C1604" s="1178" t="s">
        <v>20924</v>
      </c>
      <c r="D1604" s="1178" t="s">
        <v>897</v>
      </c>
      <c r="E1604" s="1179">
        <v>2018</v>
      </c>
      <c r="F1604" s="1282" t="s">
        <v>20220</v>
      </c>
      <c r="G1604" s="1368">
        <v>45</v>
      </c>
      <c r="H1604" s="1178" t="s">
        <v>20221</v>
      </c>
      <c r="I1604" s="1178" t="s">
        <v>5847</v>
      </c>
      <c r="J1604" s="1178" t="s">
        <v>662</v>
      </c>
      <c r="K1604" s="1178" t="s">
        <v>267</v>
      </c>
      <c r="L1604" s="1178" t="s">
        <v>211</v>
      </c>
      <c r="M1604" s="1369" t="s">
        <v>23297</v>
      </c>
      <c r="N1604" s="1178"/>
      <c r="O1604" s="1178">
        <v>6</v>
      </c>
      <c r="P1604" s="1178">
        <v>13</v>
      </c>
    </row>
    <row r="1605" spans="1:16">
      <c r="A1605" s="1178" t="s">
        <v>20915</v>
      </c>
      <c r="B1605" s="1371" t="str">
        <f>HYPERLINK(IFERROR("#Main_Tariff!A"&amp;MATCH(Raeburn_Main_Tariff[[#This Row],[Product Code]],Main_Tariff!I:I,0),"#Main_Tariff!A"&amp;MATCH("*"&amp;RIGHT(A1605,8)&amp;"*",Main_Tariff!A:A,0)),Raeburn_Main_Tariff[[#This Row],[PRODUCER]])</f>
        <v>Marchand-Tawse</v>
      </c>
      <c r="C1605" s="1178" t="s">
        <v>20924</v>
      </c>
      <c r="D1605" s="1178" t="s">
        <v>897</v>
      </c>
      <c r="E1605" s="1179">
        <v>2017</v>
      </c>
      <c r="F1605" s="1282" t="s">
        <v>20220</v>
      </c>
      <c r="G1605" s="1368">
        <v>45</v>
      </c>
      <c r="H1605" s="1178" t="s">
        <v>20221</v>
      </c>
      <c r="I1605" s="1178" t="s">
        <v>5848</v>
      </c>
      <c r="J1605" s="1178" t="s">
        <v>662</v>
      </c>
      <c r="K1605" s="1178" t="s">
        <v>267</v>
      </c>
      <c r="L1605" s="1178" t="s">
        <v>211</v>
      </c>
      <c r="M1605" s="1369" t="s">
        <v>23297</v>
      </c>
      <c r="N1605" s="1178"/>
      <c r="O1605" s="1178">
        <v>6</v>
      </c>
      <c r="P1605" s="1178">
        <v>13</v>
      </c>
    </row>
    <row r="1606" spans="1:16">
      <c r="A1606" s="1178" t="s">
        <v>20915</v>
      </c>
      <c r="B1606" s="1371" t="str">
        <f>HYPERLINK(IFERROR("#Main_Tariff!A"&amp;MATCH(Raeburn_Main_Tariff[[#This Row],[Product Code]],Main_Tariff!I:I,0),"#Main_Tariff!A"&amp;MATCH("*"&amp;RIGHT(A1606,8)&amp;"*",Main_Tariff!A:A,0)),Raeburn_Main_Tariff[[#This Row],[PRODUCER]])</f>
        <v>Marchand-Tawse</v>
      </c>
      <c r="C1606" s="1178" t="s">
        <v>20687</v>
      </c>
      <c r="D1606" s="1178" t="s">
        <v>897</v>
      </c>
      <c r="E1606" s="1179">
        <v>2021</v>
      </c>
      <c r="F1606" s="1282" t="s">
        <v>20220</v>
      </c>
      <c r="G1606" s="1368">
        <v>62</v>
      </c>
      <c r="H1606" s="1178" t="s">
        <v>20224</v>
      </c>
      <c r="I1606" s="1178" t="s">
        <v>5849</v>
      </c>
      <c r="J1606" s="1178" t="s">
        <v>662</v>
      </c>
      <c r="K1606" s="1178" t="s">
        <v>267</v>
      </c>
      <c r="L1606" s="1178" t="s">
        <v>211</v>
      </c>
      <c r="M1606" s="1369" t="s">
        <v>23297</v>
      </c>
      <c r="N1606" s="1178"/>
      <c r="O1606" s="1178">
        <v>6</v>
      </c>
      <c r="P1606" s="1178">
        <v>13</v>
      </c>
    </row>
    <row r="1607" spans="1:16">
      <c r="A1607" s="1178" t="s">
        <v>20915</v>
      </c>
      <c r="B1607" s="1371" t="str">
        <f>HYPERLINK(IFERROR("#Main_Tariff!A"&amp;MATCH(Raeburn_Main_Tariff[[#This Row],[Product Code]],Main_Tariff!I:I,0),"#Main_Tariff!A"&amp;MATCH("*"&amp;RIGHT(A1607,8)&amp;"*",Main_Tariff!A:A,0)),Raeburn_Main_Tariff[[#This Row],[PRODUCER]])</f>
        <v>Marchand-Tawse</v>
      </c>
      <c r="C1607" s="1178" t="s">
        <v>20687</v>
      </c>
      <c r="D1607" s="1178" t="s">
        <v>897</v>
      </c>
      <c r="E1607" s="1179">
        <v>2019</v>
      </c>
      <c r="F1607" s="1282" t="s">
        <v>20220</v>
      </c>
      <c r="G1607" s="1368">
        <v>51.5</v>
      </c>
      <c r="H1607" s="1178" t="s">
        <v>20224</v>
      </c>
      <c r="I1607" s="1178" t="s">
        <v>5850</v>
      </c>
      <c r="J1607" s="1178" t="s">
        <v>662</v>
      </c>
      <c r="K1607" s="1178" t="s">
        <v>267</v>
      </c>
      <c r="L1607" s="1178" t="s">
        <v>211</v>
      </c>
      <c r="M1607" s="1369" t="s">
        <v>23297</v>
      </c>
      <c r="N1607" s="1178"/>
      <c r="O1607" s="1178">
        <v>6</v>
      </c>
      <c r="P1607" s="1178">
        <v>13.5</v>
      </c>
    </row>
    <row r="1608" spans="1:16">
      <c r="A1608" s="1178" t="s">
        <v>20915</v>
      </c>
      <c r="B1608" s="1371" t="str">
        <f>HYPERLINK(IFERROR("#Main_Tariff!A"&amp;MATCH(Raeburn_Main_Tariff[[#This Row],[Product Code]],Main_Tariff!I:I,0),"#Main_Tariff!A"&amp;MATCH("*"&amp;RIGHT(A1608,8)&amp;"*",Main_Tariff!A:A,0)),Raeburn_Main_Tariff[[#This Row],[PRODUCER]])</f>
        <v>Marchand-Tawse</v>
      </c>
      <c r="C1608" s="1178" t="s">
        <v>20687</v>
      </c>
      <c r="D1608" s="1178" t="s">
        <v>897</v>
      </c>
      <c r="E1608" s="1179">
        <v>2018</v>
      </c>
      <c r="F1608" s="1282" t="s">
        <v>20220</v>
      </c>
      <c r="G1608" s="1368">
        <v>47</v>
      </c>
      <c r="H1608" s="1178" t="s">
        <v>20224</v>
      </c>
      <c r="I1608" s="1178" t="s">
        <v>5851</v>
      </c>
      <c r="J1608" s="1178" t="s">
        <v>662</v>
      </c>
      <c r="K1608" s="1178" t="s">
        <v>267</v>
      </c>
      <c r="L1608" s="1178" t="s">
        <v>211</v>
      </c>
      <c r="M1608" s="1369" t="s">
        <v>23297</v>
      </c>
      <c r="N1608" s="1178"/>
      <c r="O1608" s="1178">
        <v>6</v>
      </c>
      <c r="P1608" s="1178">
        <v>14</v>
      </c>
    </row>
    <row r="1609" spans="1:16">
      <c r="A1609" s="1178" t="s">
        <v>20915</v>
      </c>
      <c r="B1609" s="1371" t="str">
        <f>HYPERLINK(IFERROR("#Main_Tariff!A"&amp;MATCH(Raeburn_Main_Tariff[[#This Row],[Product Code]],Main_Tariff!I:I,0),"#Main_Tariff!A"&amp;MATCH("*"&amp;RIGHT(A1609,8)&amp;"*",Main_Tariff!A:A,0)),Raeburn_Main_Tariff[[#This Row],[PRODUCER]])</f>
        <v>Marchand-Tawse</v>
      </c>
      <c r="C1609" s="1178" t="s">
        <v>20687</v>
      </c>
      <c r="D1609" s="1178" t="s">
        <v>897</v>
      </c>
      <c r="E1609" s="1179">
        <v>2017</v>
      </c>
      <c r="F1609" s="1282" t="s">
        <v>20220</v>
      </c>
      <c r="G1609" s="1368">
        <v>47</v>
      </c>
      <c r="H1609" s="1178" t="s">
        <v>20221</v>
      </c>
      <c r="I1609" s="1178" t="s">
        <v>5852</v>
      </c>
      <c r="J1609" s="1178" t="s">
        <v>662</v>
      </c>
      <c r="K1609" s="1178" t="s">
        <v>267</v>
      </c>
      <c r="L1609" s="1178" t="s">
        <v>211</v>
      </c>
      <c r="M1609" s="1369" t="s">
        <v>23297</v>
      </c>
      <c r="N1609" s="1178"/>
      <c r="O1609" s="1178">
        <v>6</v>
      </c>
      <c r="P1609" s="1178">
        <v>13</v>
      </c>
    </row>
    <row r="1610" spans="1:16">
      <c r="A1610" s="1178" t="s">
        <v>20915</v>
      </c>
      <c r="B1610" s="1371" t="str">
        <f>HYPERLINK(IFERROR("#Main_Tariff!A"&amp;MATCH(Raeburn_Main_Tariff[[#This Row],[Product Code]],Main_Tariff!I:I,0),"#Main_Tariff!A"&amp;MATCH("*"&amp;RIGHT(A1610,8)&amp;"*",Main_Tariff!A:A,0)),Raeburn_Main_Tariff[[#This Row],[PRODUCER]])</f>
        <v>Marchand-Tawse</v>
      </c>
      <c r="C1610" s="1178" t="s">
        <v>20687</v>
      </c>
      <c r="D1610" s="1178" t="s">
        <v>897</v>
      </c>
      <c r="E1610" s="1179">
        <v>2016</v>
      </c>
      <c r="F1610" s="1282" t="s">
        <v>20220</v>
      </c>
      <c r="G1610" s="1368">
        <v>47</v>
      </c>
      <c r="H1610" s="1178" t="s">
        <v>20221</v>
      </c>
      <c r="I1610" s="1178" t="s">
        <v>5853</v>
      </c>
      <c r="J1610" s="1178" t="s">
        <v>662</v>
      </c>
      <c r="K1610" s="1178" t="s">
        <v>267</v>
      </c>
      <c r="L1610" s="1178" t="s">
        <v>211</v>
      </c>
      <c r="M1610" s="1369" t="s">
        <v>23297</v>
      </c>
      <c r="N1610" s="1178"/>
      <c r="O1610" s="1178">
        <v>6</v>
      </c>
      <c r="P1610" s="1178">
        <v>13.5</v>
      </c>
    </row>
    <row r="1611" spans="1:16">
      <c r="A1611" s="1178" t="s">
        <v>20915</v>
      </c>
      <c r="B1611" s="1371" t="str">
        <f>HYPERLINK(IFERROR("#Main_Tariff!A"&amp;MATCH(Raeburn_Main_Tariff[[#This Row],[Product Code]],Main_Tariff!I:I,0),"#Main_Tariff!A"&amp;MATCH("*"&amp;RIGHT(A1611,8)&amp;"*",Main_Tariff!A:A,0)),Raeburn_Main_Tariff[[#This Row],[PRODUCER]])</f>
        <v>Marchand-Tawse</v>
      </c>
      <c r="C1611" s="1178" t="s">
        <v>20925</v>
      </c>
      <c r="D1611" s="1178" t="s">
        <v>897</v>
      </c>
      <c r="E1611" s="1179">
        <v>2021</v>
      </c>
      <c r="F1611" s="1282" t="s">
        <v>20220</v>
      </c>
      <c r="G1611" s="1368">
        <v>72</v>
      </c>
      <c r="H1611" s="1178" t="s">
        <v>20221</v>
      </c>
      <c r="I1611" s="1178" t="s">
        <v>5854</v>
      </c>
      <c r="J1611" s="1178" t="s">
        <v>662</v>
      </c>
      <c r="K1611" s="1178" t="s">
        <v>267</v>
      </c>
      <c r="L1611" s="1178" t="s">
        <v>211</v>
      </c>
      <c r="M1611" s="1369" t="s">
        <v>23297</v>
      </c>
      <c r="N1611" s="1178"/>
      <c r="O1611" s="1178">
        <v>6</v>
      </c>
      <c r="P1611" s="1178">
        <v>13.5</v>
      </c>
    </row>
    <row r="1612" spans="1:16">
      <c r="A1612" s="1178" t="s">
        <v>20915</v>
      </c>
      <c r="B1612" s="1371" t="str">
        <f>HYPERLINK(IFERROR("#Main_Tariff!A"&amp;MATCH(Raeburn_Main_Tariff[[#This Row],[Product Code]],Main_Tariff!I:I,0),"#Main_Tariff!A"&amp;MATCH("*"&amp;RIGHT(A1612,8)&amp;"*",Main_Tariff!A:A,0)),Raeburn_Main_Tariff[[#This Row],[PRODUCER]])</f>
        <v>Marchand-Tawse</v>
      </c>
      <c r="C1612" s="1178" t="s">
        <v>20925</v>
      </c>
      <c r="D1612" s="1178" t="s">
        <v>897</v>
      </c>
      <c r="E1612" s="1179">
        <v>2020</v>
      </c>
      <c r="F1612" s="1282" t="s">
        <v>20220</v>
      </c>
      <c r="G1612" s="1368">
        <v>61.5</v>
      </c>
      <c r="H1612" s="1178" t="s">
        <v>20221</v>
      </c>
      <c r="I1612" s="1178" t="s">
        <v>5855</v>
      </c>
      <c r="J1612" s="1178" t="s">
        <v>662</v>
      </c>
      <c r="K1612" s="1178" t="s">
        <v>267</v>
      </c>
      <c r="L1612" s="1178" t="s">
        <v>211</v>
      </c>
      <c r="M1612" s="1369" t="s">
        <v>23297</v>
      </c>
      <c r="N1612" s="1178"/>
      <c r="O1612" s="1178">
        <v>6</v>
      </c>
      <c r="P1612" s="1178">
        <v>13</v>
      </c>
    </row>
    <row r="1613" spans="1:16">
      <c r="A1613" s="1178" t="s">
        <v>20915</v>
      </c>
      <c r="B1613" s="1371" t="str">
        <f>HYPERLINK(IFERROR("#Main_Tariff!A"&amp;MATCH(Raeburn_Main_Tariff[[#This Row],[Product Code]],Main_Tariff!I:I,0),"#Main_Tariff!A"&amp;MATCH("*"&amp;RIGHT(A1613,8)&amp;"*",Main_Tariff!A:A,0)),Raeburn_Main_Tariff[[#This Row],[PRODUCER]])</f>
        <v>Marchand-Tawse</v>
      </c>
      <c r="C1613" s="1178" t="s">
        <v>20925</v>
      </c>
      <c r="D1613" s="1178" t="s">
        <v>897</v>
      </c>
      <c r="E1613" s="1179">
        <v>2019</v>
      </c>
      <c r="F1613" s="1282" t="s">
        <v>20220</v>
      </c>
      <c r="G1613" s="1368">
        <v>61.5</v>
      </c>
      <c r="H1613" s="1178" t="s">
        <v>20221</v>
      </c>
      <c r="I1613" s="1178" t="s">
        <v>5856</v>
      </c>
      <c r="J1613" s="1178" t="s">
        <v>662</v>
      </c>
      <c r="K1613" s="1178" t="s">
        <v>267</v>
      </c>
      <c r="L1613" s="1178" t="s">
        <v>211</v>
      </c>
      <c r="M1613" s="1369" t="s">
        <v>23297</v>
      </c>
      <c r="N1613" s="1178"/>
      <c r="O1613" s="1178">
        <v>6</v>
      </c>
      <c r="P1613" s="1178">
        <v>13</v>
      </c>
    </row>
    <row r="1614" spans="1:16">
      <c r="A1614" s="1178" t="s">
        <v>20915</v>
      </c>
      <c r="B1614" s="1371" t="str">
        <f>HYPERLINK(IFERROR("#Main_Tariff!A"&amp;MATCH(Raeburn_Main_Tariff[[#This Row],[Product Code]],Main_Tariff!I:I,0),"#Main_Tariff!A"&amp;MATCH("*"&amp;RIGHT(A1614,8)&amp;"*",Main_Tariff!A:A,0)),Raeburn_Main_Tariff[[#This Row],[PRODUCER]])</f>
        <v>Marchand-Tawse</v>
      </c>
      <c r="C1614" s="1178" t="s">
        <v>20925</v>
      </c>
      <c r="D1614" s="1178" t="s">
        <v>897</v>
      </c>
      <c r="E1614" s="1179">
        <v>2018</v>
      </c>
      <c r="F1614" s="1282" t="s">
        <v>20220</v>
      </c>
      <c r="G1614" s="1368">
        <v>52</v>
      </c>
      <c r="H1614" s="1178" t="s">
        <v>20224</v>
      </c>
      <c r="I1614" s="1178" t="s">
        <v>5857</v>
      </c>
      <c r="J1614" s="1178" t="s">
        <v>662</v>
      </c>
      <c r="K1614" s="1178" t="s">
        <v>267</v>
      </c>
      <c r="L1614" s="1178" t="s">
        <v>211</v>
      </c>
      <c r="M1614" s="1369" t="s">
        <v>23297</v>
      </c>
      <c r="N1614" s="1178"/>
      <c r="O1614" s="1178">
        <v>6</v>
      </c>
      <c r="P1614" s="1178">
        <v>13</v>
      </c>
    </row>
    <row r="1615" spans="1:16">
      <c r="A1615" s="1178" t="s">
        <v>20915</v>
      </c>
      <c r="B1615" s="1371" t="str">
        <f>HYPERLINK(IFERROR("#Main_Tariff!A"&amp;MATCH(Raeburn_Main_Tariff[[#This Row],[Product Code]],Main_Tariff!I:I,0),"#Main_Tariff!A"&amp;MATCH("*"&amp;RIGHT(A1615,8)&amp;"*",Main_Tariff!A:A,0)),Raeburn_Main_Tariff[[#This Row],[PRODUCER]])</f>
        <v>Marchand-Tawse</v>
      </c>
      <c r="C1615" s="1178" t="s">
        <v>20869</v>
      </c>
      <c r="D1615" s="1178" t="s">
        <v>897</v>
      </c>
      <c r="E1615" s="1179">
        <v>2021</v>
      </c>
      <c r="F1615" s="1282" t="s">
        <v>20220</v>
      </c>
      <c r="G1615" s="1368">
        <v>81</v>
      </c>
      <c r="H1615" s="1178" t="s">
        <v>20224</v>
      </c>
      <c r="I1615" s="1178" t="s">
        <v>5858</v>
      </c>
      <c r="J1615" s="1178" t="s">
        <v>662</v>
      </c>
      <c r="K1615" s="1178" t="s">
        <v>267</v>
      </c>
      <c r="L1615" s="1178" t="s">
        <v>211</v>
      </c>
      <c r="M1615" s="1369" t="s">
        <v>23297</v>
      </c>
      <c r="N1615" s="1178" t="s">
        <v>20244</v>
      </c>
      <c r="O1615" s="1178">
        <v>3</v>
      </c>
      <c r="P1615" s="1178">
        <v>13</v>
      </c>
    </row>
    <row r="1616" spans="1:16">
      <c r="A1616" s="1178" t="s">
        <v>20915</v>
      </c>
      <c r="B1616" s="1371" t="str">
        <f>HYPERLINK(IFERROR("#Main_Tariff!A"&amp;MATCH(Raeburn_Main_Tariff[[#This Row],[Product Code]],Main_Tariff!I:I,0),"#Main_Tariff!A"&amp;MATCH("*"&amp;RIGHT(A1616,8)&amp;"*",Main_Tariff!A:A,0)),Raeburn_Main_Tariff[[#This Row],[PRODUCER]])</f>
        <v>Marchand-Tawse</v>
      </c>
      <c r="C1616" s="1178" t="s">
        <v>20869</v>
      </c>
      <c r="D1616" s="1178" t="s">
        <v>897</v>
      </c>
      <c r="E1616" s="1179">
        <v>2013</v>
      </c>
      <c r="F1616" s="1282" t="s">
        <v>20220</v>
      </c>
      <c r="G1616" s="1368">
        <v>66.5</v>
      </c>
      <c r="H1616" s="1178" t="s">
        <v>20224</v>
      </c>
      <c r="I1616" s="1178" t="s">
        <v>5859</v>
      </c>
      <c r="J1616" s="1178" t="s">
        <v>662</v>
      </c>
      <c r="K1616" s="1178" t="s">
        <v>267</v>
      </c>
      <c r="L1616" s="1178" t="s">
        <v>211</v>
      </c>
      <c r="M1616" s="1369" t="s">
        <v>23297</v>
      </c>
      <c r="N1616" s="1178"/>
      <c r="O1616" s="1178">
        <v>6</v>
      </c>
      <c r="P1616" s="1178">
        <v>13</v>
      </c>
    </row>
    <row r="1617" spans="1:16">
      <c r="A1617" s="1178" t="s">
        <v>20915</v>
      </c>
      <c r="B1617" s="1371" t="str">
        <f>HYPERLINK(IFERROR("#Main_Tariff!A"&amp;MATCH(Raeburn_Main_Tariff[[#This Row],[Product Code]],Main_Tariff!I:I,0),"#Main_Tariff!A"&amp;MATCH("*"&amp;RIGHT(A1617,8)&amp;"*",Main_Tariff!A:A,0)),Raeburn_Main_Tariff[[#This Row],[PRODUCER]])</f>
        <v>Marchand-Tawse</v>
      </c>
      <c r="C1617" s="1178" t="s">
        <v>20869</v>
      </c>
      <c r="D1617" s="1178" t="s">
        <v>897</v>
      </c>
      <c r="E1617" s="1179">
        <v>2012</v>
      </c>
      <c r="F1617" s="1282" t="s">
        <v>20220</v>
      </c>
      <c r="G1617" s="1368">
        <v>66.5</v>
      </c>
      <c r="H1617" s="1178" t="s">
        <v>20221</v>
      </c>
      <c r="I1617" s="1178" t="s">
        <v>5860</v>
      </c>
      <c r="J1617" s="1178" t="s">
        <v>662</v>
      </c>
      <c r="K1617" s="1178" t="s">
        <v>267</v>
      </c>
      <c r="L1617" s="1178" t="s">
        <v>211</v>
      </c>
      <c r="M1617" s="1369" t="s">
        <v>23297</v>
      </c>
      <c r="N1617" s="1178"/>
      <c r="O1617" s="1178">
        <v>6</v>
      </c>
      <c r="P1617" s="1178">
        <v>13</v>
      </c>
    </row>
    <row r="1618" spans="1:16">
      <c r="A1618" s="1178" t="s">
        <v>20915</v>
      </c>
      <c r="B1618" s="1371" t="str">
        <f>HYPERLINK(IFERROR("#Main_Tariff!A"&amp;MATCH(Raeburn_Main_Tariff[[#This Row],[Product Code]],Main_Tariff!I:I,0),"#Main_Tariff!A"&amp;MATCH("*"&amp;RIGHT(A1618,8)&amp;"*",Main_Tariff!A:A,0)),Raeburn_Main_Tariff[[#This Row],[PRODUCER]])</f>
        <v>Marchand-Tawse</v>
      </c>
      <c r="C1618" s="1178" t="s">
        <v>20926</v>
      </c>
      <c r="D1618" s="1178" t="s">
        <v>897</v>
      </c>
      <c r="E1618" s="1179">
        <v>2015</v>
      </c>
      <c r="F1618" s="1282" t="s">
        <v>20220</v>
      </c>
      <c r="G1618" s="1368">
        <v>78</v>
      </c>
      <c r="H1618" s="1178" t="s">
        <v>20224</v>
      </c>
      <c r="I1618" s="1178" t="s">
        <v>5861</v>
      </c>
      <c r="J1618" s="1178" t="s">
        <v>662</v>
      </c>
      <c r="K1618" s="1178" t="s">
        <v>267</v>
      </c>
      <c r="L1618" s="1178" t="s">
        <v>211</v>
      </c>
      <c r="M1618" s="1369" t="s">
        <v>23297</v>
      </c>
      <c r="N1618" s="1178"/>
      <c r="O1618" s="1178">
        <v>6</v>
      </c>
      <c r="P1618" s="1178">
        <v>13.5</v>
      </c>
    </row>
    <row r="1619" spans="1:16">
      <c r="A1619" s="1178" t="s">
        <v>20915</v>
      </c>
      <c r="B1619" s="1371" t="str">
        <f>HYPERLINK(IFERROR("#Main_Tariff!A"&amp;MATCH(Raeburn_Main_Tariff[[#This Row],[Product Code]],Main_Tariff!I:I,0),"#Main_Tariff!A"&amp;MATCH("*"&amp;RIGHT(A1619,8)&amp;"*",Main_Tariff!A:A,0)),Raeburn_Main_Tariff[[#This Row],[PRODUCER]])</f>
        <v>Marchand-Tawse</v>
      </c>
      <c r="C1619" s="1178" t="s">
        <v>20927</v>
      </c>
      <c r="D1619" s="1178" t="s">
        <v>897</v>
      </c>
      <c r="E1619" s="1179">
        <v>2014</v>
      </c>
      <c r="F1619" s="1282" t="s">
        <v>20220</v>
      </c>
      <c r="G1619" s="1368">
        <v>76</v>
      </c>
      <c r="H1619" s="1178" t="s">
        <v>20224</v>
      </c>
      <c r="I1619" s="1178" t="s">
        <v>5862</v>
      </c>
      <c r="J1619" s="1178" t="s">
        <v>662</v>
      </c>
      <c r="K1619" s="1178" t="s">
        <v>267</v>
      </c>
      <c r="L1619" s="1178" t="s">
        <v>211</v>
      </c>
      <c r="M1619" s="1369" t="s">
        <v>23297</v>
      </c>
      <c r="N1619" s="1178"/>
      <c r="O1619" s="1178">
        <v>6</v>
      </c>
      <c r="P1619" s="1178">
        <v>12.5</v>
      </c>
    </row>
    <row r="1620" spans="1:16">
      <c r="A1620" s="1178" t="s">
        <v>20915</v>
      </c>
      <c r="B1620" s="1371" t="str">
        <f>HYPERLINK(IFERROR("#Main_Tariff!A"&amp;MATCH(Raeburn_Main_Tariff[[#This Row],[Product Code]],Main_Tariff!I:I,0),"#Main_Tariff!A"&amp;MATCH("*"&amp;RIGHT(A1620,8)&amp;"*",Main_Tariff!A:A,0)),Raeburn_Main_Tariff[[#This Row],[PRODUCER]])</f>
        <v>Marchand-Tawse</v>
      </c>
      <c r="C1620" s="1178" t="s">
        <v>20927</v>
      </c>
      <c r="D1620" s="1178" t="s">
        <v>897</v>
      </c>
      <c r="E1620" s="1179">
        <v>2013</v>
      </c>
      <c r="F1620" s="1282" t="s">
        <v>20220</v>
      </c>
      <c r="G1620" s="1368">
        <v>76</v>
      </c>
      <c r="H1620" s="1178" t="s">
        <v>20221</v>
      </c>
      <c r="I1620" s="1178" t="s">
        <v>5863</v>
      </c>
      <c r="J1620" s="1178" t="s">
        <v>662</v>
      </c>
      <c r="K1620" s="1178" t="s">
        <v>267</v>
      </c>
      <c r="L1620" s="1178" t="s">
        <v>211</v>
      </c>
      <c r="M1620" s="1369" t="s">
        <v>23297</v>
      </c>
      <c r="N1620" s="1178"/>
      <c r="O1620" s="1178">
        <v>6</v>
      </c>
      <c r="P1620" s="1178">
        <v>13</v>
      </c>
    </row>
    <row r="1621" spans="1:16">
      <c r="A1621" s="1178" t="s">
        <v>20915</v>
      </c>
      <c r="B1621" s="1371" t="str">
        <f>HYPERLINK(IFERROR("#Main_Tariff!A"&amp;MATCH(Raeburn_Main_Tariff[[#This Row],[Product Code]],Main_Tariff!I:I,0),"#Main_Tariff!A"&amp;MATCH("*"&amp;RIGHT(A1621,8)&amp;"*",Main_Tariff!A:A,0)),Raeburn_Main_Tariff[[#This Row],[PRODUCER]])</f>
        <v>Marchand-Tawse</v>
      </c>
      <c r="C1621" s="1178" t="s">
        <v>20928</v>
      </c>
      <c r="D1621" s="1178" t="s">
        <v>897</v>
      </c>
      <c r="E1621" s="1179">
        <v>2014</v>
      </c>
      <c r="F1621" s="1282" t="s">
        <v>20220</v>
      </c>
      <c r="G1621" s="1368">
        <v>112.5</v>
      </c>
      <c r="H1621" s="1178" t="s">
        <v>20224</v>
      </c>
      <c r="I1621" s="1178" t="s">
        <v>5865</v>
      </c>
      <c r="J1621" s="1178" t="s">
        <v>662</v>
      </c>
      <c r="K1621" s="1178" t="s">
        <v>267</v>
      </c>
      <c r="L1621" s="1178" t="s">
        <v>211</v>
      </c>
      <c r="M1621" s="1369" t="s">
        <v>23296</v>
      </c>
      <c r="N1621" s="1178"/>
      <c r="O1621" s="1178">
        <v>6</v>
      </c>
      <c r="P1621" s="1178">
        <v>13</v>
      </c>
    </row>
    <row r="1622" spans="1:16">
      <c r="A1622" s="1178" t="s">
        <v>20915</v>
      </c>
      <c r="B1622" s="1371" t="str">
        <f>HYPERLINK(IFERROR("#Main_Tariff!A"&amp;MATCH(Raeburn_Main_Tariff[[#This Row],[Product Code]],Main_Tariff!I:I,0),"#Main_Tariff!A"&amp;MATCH("*"&amp;RIGHT(A1622,8)&amp;"*",Main_Tariff!A:A,0)),Raeburn_Main_Tariff[[#This Row],[PRODUCER]])</f>
        <v>Marchand-Tawse</v>
      </c>
      <c r="C1622" s="1178" t="s">
        <v>20928</v>
      </c>
      <c r="D1622" s="1178" t="s">
        <v>897</v>
      </c>
      <c r="E1622" s="1179">
        <v>2013</v>
      </c>
      <c r="F1622" s="1282" t="s">
        <v>20220</v>
      </c>
      <c r="G1622" s="1368">
        <v>112.5</v>
      </c>
      <c r="H1622" s="1178" t="s">
        <v>20224</v>
      </c>
      <c r="I1622" s="1178" t="s">
        <v>5866</v>
      </c>
      <c r="J1622" s="1178" t="s">
        <v>662</v>
      </c>
      <c r="K1622" s="1178" t="s">
        <v>267</v>
      </c>
      <c r="L1622" s="1178" t="s">
        <v>211</v>
      </c>
      <c r="M1622" s="1369" t="s">
        <v>23296</v>
      </c>
      <c r="N1622" s="1178"/>
      <c r="O1622" s="1178">
        <v>6</v>
      </c>
      <c r="P1622" s="1178">
        <v>13</v>
      </c>
    </row>
    <row r="1623" spans="1:16">
      <c r="A1623" s="1178" t="s">
        <v>20915</v>
      </c>
      <c r="B1623" s="1371" t="str">
        <f>HYPERLINK(IFERROR("#Main_Tariff!A"&amp;MATCH(Raeburn_Main_Tariff[[#This Row],[Product Code]],Main_Tariff!I:I,0),"#Main_Tariff!A"&amp;MATCH("*"&amp;RIGHT(A1623,8)&amp;"*",Main_Tariff!A:A,0)),Raeburn_Main_Tariff[[#This Row],[PRODUCER]])</f>
        <v>Marchand-Tawse</v>
      </c>
      <c r="C1623" s="1178" t="s">
        <v>20928</v>
      </c>
      <c r="D1623" s="1178" t="s">
        <v>897</v>
      </c>
      <c r="E1623" s="1179">
        <v>2012</v>
      </c>
      <c r="F1623" s="1282" t="s">
        <v>20220</v>
      </c>
      <c r="G1623" s="1368">
        <v>112.5</v>
      </c>
      <c r="H1623" s="1178" t="s">
        <v>20277</v>
      </c>
      <c r="I1623" s="1178" t="s">
        <v>5867</v>
      </c>
      <c r="J1623" s="1178" t="s">
        <v>662</v>
      </c>
      <c r="K1623" s="1178" t="s">
        <v>267</v>
      </c>
      <c r="L1623" s="1178" t="s">
        <v>211</v>
      </c>
      <c r="M1623" s="1369" t="s">
        <v>23296</v>
      </c>
      <c r="N1623" s="1178"/>
      <c r="O1623" s="1178">
        <v>6</v>
      </c>
      <c r="P1623" s="1178">
        <v>13</v>
      </c>
    </row>
    <row r="1624" spans="1:16">
      <c r="A1624" s="1178" t="s">
        <v>20915</v>
      </c>
      <c r="B1624" s="1371" t="str">
        <f>HYPERLINK(IFERROR("#Main_Tariff!A"&amp;MATCH(Raeburn_Main_Tariff[[#This Row],[Product Code]],Main_Tariff!I:I,0),"#Main_Tariff!A"&amp;MATCH("*"&amp;RIGHT(A1624,8)&amp;"*",Main_Tariff!A:A,0)),Raeburn_Main_Tariff[[#This Row],[PRODUCER]])</f>
        <v>Marchand-Tawse</v>
      </c>
      <c r="C1624" s="1178" t="s">
        <v>20929</v>
      </c>
      <c r="D1624" s="1178" t="s">
        <v>897</v>
      </c>
      <c r="E1624" s="1179"/>
      <c r="F1624" s="1282" t="s">
        <v>20220</v>
      </c>
      <c r="G1624" s="1368"/>
      <c r="H1624" s="1178" t="s">
        <v>3907</v>
      </c>
      <c r="I1624" s="1178" t="s">
        <v>5868</v>
      </c>
      <c r="J1624" s="1178" t="s">
        <v>662</v>
      </c>
      <c r="K1624" s="1178" t="s">
        <v>267</v>
      </c>
      <c r="L1624" s="1178" t="s">
        <v>211</v>
      </c>
      <c r="M1624" s="1369" t="s">
        <v>23296</v>
      </c>
      <c r="N1624" s="1178"/>
      <c r="O1624" s="1178">
        <v>6</v>
      </c>
      <c r="P1624" s="1178">
        <v>13.5</v>
      </c>
    </row>
    <row r="1625" spans="1:16">
      <c r="A1625" s="1178" t="s">
        <v>20915</v>
      </c>
      <c r="B1625" s="1371" t="str">
        <f>HYPERLINK(IFERROR("#Main_Tariff!A"&amp;MATCH(Raeburn_Main_Tariff[[#This Row],[Product Code]],Main_Tariff!I:I,0),"#Main_Tariff!A"&amp;MATCH("*"&amp;RIGHT(A1625,8)&amp;"*",Main_Tariff!A:A,0)),Raeburn_Main_Tariff[[#This Row],[PRODUCER]])</f>
        <v>Marchand-Tawse</v>
      </c>
      <c r="C1625" s="1178" t="s">
        <v>20930</v>
      </c>
      <c r="D1625" s="1178" t="s">
        <v>897</v>
      </c>
      <c r="E1625" s="1179"/>
      <c r="F1625" s="1282" t="s">
        <v>20220</v>
      </c>
      <c r="G1625" s="1368"/>
      <c r="H1625" s="1178" t="s">
        <v>3907</v>
      </c>
      <c r="I1625" s="1178" t="s">
        <v>5869</v>
      </c>
      <c r="J1625" s="1178" t="s">
        <v>662</v>
      </c>
      <c r="K1625" s="1178" t="s">
        <v>267</v>
      </c>
      <c r="L1625" s="1178" t="s">
        <v>211</v>
      </c>
      <c r="M1625" s="1369" t="s">
        <v>23296</v>
      </c>
      <c r="N1625" s="1178"/>
      <c r="O1625" s="1178">
        <v>6</v>
      </c>
      <c r="P1625" s="1178">
        <v>14</v>
      </c>
    </row>
    <row r="1626" spans="1:16">
      <c r="A1626" s="1178" t="s">
        <v>20915</v>
      </c>
      <c r="B1626" s="1371" t="str">
        <f>HYPERLINK(IFERROR("#Main_Tariff!A"&amp;MATCH(Raeburn_Main_Tariff[[#This Row],[Product Code]],Main_Tariff!I:I,0),"#Main_Tariff!A"&amp;MATCH("*"&amp;RIGHT(A1626,8)&amp;"*",Main_Tariff!A:A,0)),Raeburn_Main_Tariff[[#This Row],[PRODUCER]])</f>
        <v>Marchand-Tawse</v>
      </c>
      <c r="C1626" s="1178" t="s">
        <v>20697</v>
      </c>
      <c r="D1626" s="1178" t="s">
        <v>897</v>
      </c>
      <c r="E1626" s="1179">
        <v>2021</v>
      </c>
      <c r="F1626" s="1282" t="s">
        <v>20220</v>
      </c>
      <c r="G1626" s="1368" t="s">
        <v>5258</v>
      </c>
      <c r="H1626" s="1178" t="s">
        <v>20224</v>
      </c>
      <c r="I1626" s="1178" t="s">
        <v>5870</v>
      </c>
      <c r="J1626" s="1178" t="s">
        <v>662</v>
      </c>
      <c r="K1626" s="1178" t="s">
        <v>267</v>
      </c>
      <c r="L1626" s="1178" t="s">
        <v>211</v>
      </c>
      <c r="M1626" s="1369" t="s">
        <v>23296</v>
      </c>
      <c r="N1626" s="1178"/>
      <c r="O1626" s="1178">
        <v>3</v>
      </c>
      <c r="P1626" s="1178">
        <v>13</v>
      </c>
    </row>
    <row r="1627" spans="1:16">
      <c r="A1627" s="1178" t="s">
        <v>20915</v>
      </c>
      <c r="B1627" s="1371" t="str">
        <f>HYPERLINK(IFERROR("#Main_Tariff!A"&amp;MATCH(Raeburn_Main_Tariff[[#This Row],[Product Code]],Main_Tariff!I:I,0),"#Main_Tariff!A"&amp;MATCH("*"&amp;RIGHT(A1627,8)&amp;"*",Main_Tariff!A:A,0)),Raeburn_Main_Tariff[[#This Row],[PRODUCER]])</f>
        <v>Marchand-Tawse</v>
      </c>
      <c r="C1627" s="1178" t="s">
        <v>20696</v>
      </c>
      <c r="D1627" s="1178" t="s">
        <v>897</v>
      </c>
      <c r="E1627" s="1179"/>
      <c r="F1627" s="1282" t="s">
        <v>20220</v>
      </c>
      <c r="G1627" s="1368"/>
      <c r="H1627" s="1178" t="s">
        <v>3907</v>
      </c>
      <c r="I1627" s="1178" t="s">
        <v>5871</v>
      </c>
      <c r="J1627" s="1178" t="s">
        <v>662</v>
      </c>
      <c r="K1627" s="1178" t="s">
        <v>267</v>
      </c>
      <c r="L1627" s="1178" t="s">
        <v>211</v>
      </c>
      <c r="M1627" s="1369" t="s">
        <v>23296</v>
      </c>
      <c r="N1627" s="1178"/>
      <c r="O1627" s="1178">
        <v>3</v>
      </c>
      <c r="P1627" s="1178">
        <v>0</v>
      </c>
    </row>
    <row r="1628" spans="1:16">
      <c r="A1628" s="1178" t="s">
        <v>20915</v>
      </c>
      <c r="B1628" s="1371" t="str">
        <f>HYPERLINK(IFERROR("#Main_Tariff!A"&amp;MATCH(Raeburn_Main_Tariff[[#This Row],[Product Code]],Main_Tariff!I:I,0),"#Main_Tariff!A"&amp;MATCH("*"&amp;RIGHT(A1628,8)&amp;"*",Main_Tariff!A:A,0)),Raeburn_Main_Tariff[[#This Row],[PRODUCER]])</f>
        <v>Marchand-Tawse</v>
      </c>
      <c r="C1628" s="1178" t="s">
        <v>20698</v>
      </c>
      <c r="D1628" s="1178" t="s">
        <v>897</v>
      </c>
      <c r="E1628" s="1179"/>
      <c r="F1628" s="1282" t="s">
        <v>20220</v>
      </c>
      <c r="G1628" s="1368"/>
      <c r="H1628" s="1178" t="s">
        <v>3907</v>
      </c>
      <c r="I1628" s="1178" t="s">
        <v>5872</v>
      </c>
      <c r="J1628" s="1178" t="s">
        <v>662</v>
      </c>
      <c r="K1628" s="1178" t="s">
        <v>267</v>
      </c>
      <c r="L1628" s="1178" t="s">
        <v>211</v>
      </c>
      <c r="M1628" s="1369" t="s">
        <v>23296</v>
      </c>
      <c r="N1628" s="1178"/>
      <c r="O1628" s="1178">
        <v>3</v>
      </c>
      <c r="P1628" s="1178">
        <v>13.5</v>
      </c>
    </row>
    <row r="1629" spans="1:16">
      <c r="A1629" s="1178" t="s">
        <v>20915</v>
      </c>
      <c r="B1629" s="1371" t="str">
        <f>HYPERLINK(IFERROR("#Main_Tariff!A"&amp;MATCH(Raeburn_Main_Tariff[[#This Row],[Product Code]],Main_Tariff!I:I,0),"#Main_Tariff!A"&amp;MATCH("*"&amp;RIGHT(A1629,8)&amp;"*",Main_Tariff!A:A,0)),Raeburn_Main_Tariff[[#This Row],[PRODUCER]])</f>
        <v>Marchand-Tawse</v>
      </c>
      <c r="C1629" s="1178" t="s">
        <v>20800</v>
      </c>
      <c r="D1629" s="1178" t="s">
        <v>897</v>
      </c>
      <c r="E1629" s="1179"/>
      <c r="F1629" s="1282" t="s">
        <v>20220</v>
      </c>
      <c r="G1629" s="1368"/>
      <c r="H1629" s="1178" t="s">
        <v>3907</v>
      </c>
      <c r="I1629" s="1178" t="s">
        <v>5873</v>
      </c>
      <c r="J1629" s="1178" t="s">
        <v>662</v>
      </c>
      <c r="K1629" s="1178" t="s">
        <v>267</v>
      </c>
      <c r="L1629" s="1178" t="s">
        <v>211</v>
      </c>
      <c r="M1629" s="1369" t="s">
        <v>23296</v>
      </c>
      <c r="N1629" s="1178" t="s">
        <v>20244</v>
      </c>
      <c r="O1629" s="1178">
        <v>1</v>
      </c>
      <c r="P1629" s="1178">
        <v>12.5</v>
      </c>
    </row>
    <row r="1630" spans="1:16">
      <c r="A1630" s="1178" t="s">
        <v>20915</v>
      </c>
      <c r="B1630" s="1371" t="str">
        <f>HYPERLINK(IFERROR("#Main_Tariff!A"&amp;MATCH(Raeburn_Main_Tariff[[#This Row],[Product Code]],Main_Tariff!I:I,0),"#Main_Tariff!A"&amp;MATCH("*"&amp;RIGHT(A1630,8)&amp;"*",Main_Tariff!A:A,0)),Raeburn_Main_Tariff[[#This Row],[PRODUCER]])</f>
        <v>Marchand-Tawse</v>
      </c>
      <c r="C1630" s="1178" t="s">
        <v>20749</v>
      </c>
      <c r="D1630" s="1178" t="s">
        <v>897</v>
      </c>
      <c r="E1630" s="1179">
        <v>2010</v>
      </c>
      <c r="F1630" s="1282" t="s">
        <v>20240</v>
      </c>
      <c r="G1630" s="1368">
        <v>92</v>
      </c>
      <c r="H1630" s="1178" t="s">
        <v>20277</v>
      </c>
      <c r="I1630" s="1178" t="s">
        <v>5874</v>
      </c>
      <c r="J1630" s="1178" t="s">
        <v>662</v>
      </c>
      <c r="K1630" s="1178" t="s">
        <v>267</v>
      </c>
      <c r="L1630" s="1178" t="s">
        <v>211</v>
      </c>
      <c r="M1630" s="1369"/>
      <c r="N1630" s="1178"/>
      <c r="O1630" s="1178">
        <v>3</v>
      </c>
      <c r="P1630" s="1178">
        <v>0</v>
      </c>
    </row>
    <row r="1631" spans="1:16">
      <c r="A1631" s="1178" t="s">
        <v>20915</v>
      </c>
      <c r="B1631" s="1371" t="str">
        <f>HYPERLINK(IFERROR("#Main_Tariff!A"&amp;MATCH(Raeburn_Main_Tariff[[#This Row],[Product Code]],Main_Tariff!I:I,0),"#Main_Tariff!A"&amp;MATCH("*"&amp;RIGHT(A1631,8)&amp;"*",Main_Tariff!A:A,0)),Raeburn_Main_Tariff[[#This Row],[PRODUCER]])</f>
        <v>Marchand-Tawse</v>
      </c>
      <c r="C1631" s="1178" t="s">
        <v>20931</v>
      </c>
      <c r="D1631" s="1178" t="s">
        <v>897</v>
      </c>
      <c r="E1631" s="1179">
        <v>2013</v>
      </c>
      <c r="F1631" s="1282" t="s">
        <v>20240</v>
      </c>
      <c r="G1631" s="1368">
        <v>234</v>
      </c>
      <c r="H1631" s="1178" t="s">
        <v>20224</v>
      </c>
      <c r="I1631" s="1178" t="s">
        <v>5875</v>
      </c>
      <c r="J1631" s="1178" t="s">
        <v>662</v>
      </c>
      <c r="K1631" s="1178" t="s">
        <v>267</v>
      </c>
      <c r="L1631" s="1178" t="s">
        <v>211</v>
      </c>
      <c r="M1631" s="1369" t="s">
        <v>23296</v>
      </c>
      <c r="N1631" s="1178"/>
      <c r="O1631" s="1178">
        <v>6</v>
      </c>
      <c r="P1631" s="1178">
        <v>13</v>
      </c>
    </row>
    <row r="1632" spans="1:16">
      <c r="A1632" s="1178" t="s">
        <v>20915</v>
      </c>
      <c r="B1632" s="1371" t="str">
        <f>HYPERLINK(IFERROR("#Main_Tariff!A"&amp;MATCH(Raeburn_Main_Tariff[[#This Row],[Product Code]],Main_Tariff!I:I,0),"#Main_Tariff!A"&amp;MATCH("*"&amp;RIGHT(A1632,8)&amp;"*",Main_Tariff!A:A,0)),Raeburn_Main_Tariff[[#This Row],[PRODUCER]])</f>
        <v>Marchand-Tawse</v>
      </c>
      <c r="C1632" s="1178" t="s">
        <v>20932</v>
      </c>
      <c r="D1632" s="1178" t="s">
        <v>897</v>
      </c>
      <c r="E1632" s="1179">
        <v>2013</v>
      </c>
      <c r="F1632" s="1282" t="s">
        <v>20240</v>
      </c>
      <c r="G1632" s="1368">
        <v>294</v>
      </c>
      <c r="H1632" s="1178" t="s">
        <v>20224</v>
      </c>
      <c r="I1632" s="1178" t="s">
        <v>5876</v>
      </c>
      <c r="J1632" s="1178" t="s">
        <v>662</v>
      </c>
      <c r="K1632" s="1178" t="s">
        <v>267</v>
      </c>
      <c r="L1632" s="1178" t="s">
        <v>211</v>
      </c>
      <c r="M1632" s="1369" t="s">
        <v>23296</v>
      </c>
      <c r="N1632" s="1178"/>
      <c r="O1632" s="1178">
        <v>6</v>
      </c>
      <c r="P1632" s="1178">
        <v>13</v>
      </c>
    </row>
    <row r="1633" spans="1:16">
      <c r="A1633" s="1178" t="s">
        <v>20915</v>
      </c>
      <c r="B1633" s="1371" t="str">
        <f>HYPERLINK(IFERROR("#Main_Tariff!A"&amp;MATCH(Raeburn_Main_Tariff[[#This Row],[Product Code]],Main_Tariff!I:I,0),"#Main_Tariff!A"&amp;MATCH("*"&amp;RIGHT(A1633,8)&amp;"*",Main_Tariff!A:A,0)),Raeburn_Main_Tariff[[#This Row],[PRODUCER]])</f>
        <v>Marchand-Tawse</v>
      </c>
      <c r="C1633" s="1178" t="s">
        <v>20932</v>
      </c>
      <c r="D1633" s="1178" t="s">
        <v>897</v>
      </c>
      <c r="E1633" s="1179">
        <v>2012</v>
      </c>
      <c r="F1633" s="1282" t="s">
        <v>20240</v>
      </c>
      <c r="G1633" s="1368">
        <v>294</v>
      </c>
      <c r="H1633" s="1178" t="s">
        <v>20224</v>
      </c>
      <c r="I1633" s="1178" t="s">
        <v>5877</v>
      </c>
      <c r="J1633" s="1178" t="s">
        <v>662</v>
      </c>
      <c r="K1633" s="1178" t="s">
        <v>267</v>
      </c>
      <c r="L1633" s="1178" t="s">
        <v>211</v>
      </c>
      <c r="M1633" s="1369" t="s">
        <v>23296</v>
      </c>
      <c r="N1633" s="1178"/>
      <c r="O1633" s="1178">
        <v>6</v>
      </c>
      <c r="P1633" s="1178">
        <v>13</v>
      </c>
    </row>
    <row r="1634" spans="1:16">
      <c r="A1634" s="1178" t="s">
        <v>20933</v>
      </c>
      <c r="B1634" s="1371" t="str">
        <f>HYPERLINK(IFERROR("#Main_Tariff!A"&amp;MATCH(Raeburn_Main_Tariff[[#This Row],[Product Code]],Main_Tariff!I:I,0),"#Main_Tariff!A"&amp;MATCH("*"&amp;RIGHT(A1634,8)&amp;"*",Main_Tariff!A:A,0)),Raeburn_Main_Tariff[[#This Row],[PRODUCER]])</f>
        <v>Domaine Méo-Camuzet</v>
      </c>
      <c r="C1634" s="1178" t="s">
        <v>20934</v>
      </c>
      <c r="D1634" s="1178" t="s">
        <v>1129</v>
      </c>
      <c r="E1634" s="1179">
        <v>2022</v>
      </c>
      <c r="F1634" s="1282" t="s">
        <v>20220</v>
      </c>
      <c r="G1634" s="1368">
        <v>36</v>
      </c>
      <c r="H1634" s="1178" t="s">
        <v>20221</v>
      </c>
      <c r="I1634" s="1178" t="s">
        <v>5881</v>
      </c>
      <c r="J1634" s="1178" t="s">
        <v>662</v>
      </c>
      <c r="K1634" s="1178" t="s">
        <v>267</v>
      </c>
      <c r="L1634" s="1178" t="s">
        <v>211</v>
      </c>
      <c r="M1634" s="1369"/>
      <c r="N1634" s="1178"/>
      <c r="O1634" s="1178">
        <v>6</v>
      </c>
      <c r="P1634" s="1178">
        <v>13</v>
      </c>
    </row>
    <row r="1635" spans="1:16">
      <c r="A1635" s="1178" t="s">
        <v>20933</v>
      </c>
      <c r="B1635" s="1371" t="str">
        <f>HYPERLINK(IFERROR("#Main_Tariff!A"&amp;MATCH(Raeburn_Main_Tariff[[#This Row],[Product Code]],Main_Tariff!I:I,0),"#Main_Tariff!A"&amp;MATCH("*"&amp;RIGHT(A1635,8)&amp;"*",Main_Tariff!A:A,0)),Raeburn_Main_Tariff[[#This Row],[PRODUCER]])</f>
        <v>Domaine Méo-Camuzet</v>
      </c>
      <c r="C1635" s="1178" t="s">
        <v>20935</v>
      </c>
      <c r="D1635" s="1178" t="s">
        <v>1129</v>
      </c>
      <c r="E1635" s="1179">
        <v>2020</v>
      </c>
      <c r="F1635" s="1282" t="s">
        <v>20240</v>
      </c>
      <c r="G1635" s="1368">
        <v>73</v>
      </c>
      <c r="H1635" s="1178" t="s">
        <v>20224</v>
      </c>
      <c r="I1635" s="1178" t="s">
        <v>5883</v>
      </c>
      <c r="J1635" s="1178" t="s">
        <v>662</v>
      </c>
      <c r="K1635" s="1178" t="s">
        <v>267</v>
      </c>
      <c r="L1635" s="1178" t="s">
        <v>211</v>
      </c>
      <c r="M1635" s="1369"/>
      <c r="N1635" s="1178"/>
      <c r="O1635" s="1178">
        <v>3</v>
      </c>
      <c r="P1635" s="1178">
        <v>13</v>
      </c>
    </row>
    <row r="1636" spans="1:16">
      <c r="A1636" s="1178" t="s">
        <v>20933</v>
      </c>
      <c r="B1636" s="1371" t="str">
        <f>HYPERLINK(IFERROR("#Main_Tariff!A"&amp;MATCH(Raeburn_Main_Tariff[[#This Row],[Product Code]],Main_Tariff!I:I,0),"#Main_Tariff!A"&amp;MATCH("*"&amp;RIGHT(A1636,8)&amp;"*",Main_Tariff!A:A,0)),Raeburn_Main_Tariff[[#This Row],[PRODUCER]])</f>
        <v>Domaine Méo-Camuzet</v>
      </c>
      <c r="C1636" s="1178" t="s">
        <v>20936</v>
      </c>
      <c r="D1636" s="1178" t="s">
        <v>897</v>
      </c>
      <c r="E1636" s="1179">
        <v>2020</v>
      </c>
      <c r="F1636" s="1282" t="s">
        <v>20220</v>
      </c>
      <c r="G1636" s="1368">
        <v>32</v>
      </c>
      <c r="H1636" s="1178" t="s">
        <v>20221</v>
      </c>
      <c r="I1636" s="1178" t="s">
        <v>5886</v>
      </c>
      <c r="J1636" s="1178" t="s">
        <v>662</v>
      </c>
      <c r="K1636" s="1178" t="s">
        <v>267</v>
      </c>
      <c r="L1636" s="1178" t="s">
        <v>211</v>
      </c>
      <c r="M1636" s="1369"/>
      <c r="N1636" s="1178"/>
      <c r="O1636" s="1178">
        <v>6</v>
      </c>
      <c r="P1636" s="1178">
        <v>13</v>
      </c>
    </row>
    <row r="1637" spans="1:16">
      <c r="A1637" s="1178" t="s">
        <v>20933</v>
      </c>
      <c r="B1637" s="1371" t="str">
        <f>HYPERLINK(IFERROR("#Main_Tariff!A"&amp;MATCH(Raeburn_Main_Tariff[[#This Row],[Product Code]],Main_Tariff!I:I,0),"#Main_Tariff!A"&amp;MATCH("*"&amp;RIGHT(A1637,8)&amp;"*",Main_Tariff!A:A,0)),Raeburn_Main_Tariff[[#This Row],[PRODUCER]])</f>
        <v>Domaine Méo-Camuzet</v>
      </c>
      <c r="C1637" s="1178" t="s">
        <v>20936</v>
      </c>
      <c r="D1637" s="1178" t="s">
        <v>897</v>
      </c>
      <c r="E1637" s="1179">
        <v>2019</v>
      </c>
      <c r="F1637" s="1282" t="s">
        <v>20220</v>
      </c>
      <c r="G1637" s="1368">
        <v>32</v>
      </c>
      <c r="H1637" s="1178" t="s">
        <v>20221</v>
      </c>
      <c r="I1637" s="1178" t="s">
        <v>5888</v>
      </c>
      <c r="J1637" s="1178" t="s">
        <v>662</v>
      </c>
      <c r="K1637" s="1178" t="s">
        <v>267</v>
      </c>
      <c r="L1637" s="1178" t="s">
        <v>211</v>
      </c>
      <c r="M1637" s="1369"/>
      <c r="N1637" s="1178"/>
      <c r="O1637" s="1178">
        <v>6</v>
      </c>
      <c r="P1637" s="1178">
        <v>13</v>
      </c>
    </row>
    <row r="1638" spans="1:16">
      <c r="A1638" s="1178" t="s">
        <v>20933</v>
      </c>
      <c r="B1638" s="1371" t="str">
        <f>HYPERLINK(IFERROR("#Main_Tariff!A"&amp;MATCH(Raeburn_Main_Tariff[[#This Row],[Product Code]],Main_Tariff!I:I,0),"#Main_Tariff!A"&amp;MATCH("*"&amp;RIGHT(A1638,8)&amp;"*",Main_Tariff!A:A,0)),Raeburn_Main_Tariff[[#This Row],[PRODUCER]])</f>
        <v>Domaine Méo-Camuzet</v>
      </c>
      <c r="C1638" s="1178" t="s">
        <v>20936</v>
      </c>
      <c r="D1638" s="1178" t="s">
        <v>897</v>
      </c>
      <c r="E1638" s="1179">
        <v>2018</v>
      </c>
      <c r="F1638" s="1282" t="s">
        <v>20220</v>
      </c>
      <c r="G1638" s="1368">
        <v>30</v>
      </c>
      <c r="H1638" s="1178" t="s">
        <v>20221</v>
      </c>
      <c r="I1638" s="1178" t="s">
        <v>5890</v>
      </c>
      <c r="J1638" s="1178" t="s">
        <v>662</v>
      </c>
      <c r="K1638" s="1178" t="s">
        <v>267</v>
      </c>
      <c r="L1638" s="1178" t="s">
        <v>211</v>
      </c>
      <c r="M1638" s="1369"/>
      <c r="N1638" s="1178"/>
      <c r="O1638" s="1178">
        <v>6</v>
      </c>
      <c r="P1638" s="1178">
        <v>13.5</v>
      </c>
    </row>
    <row r="1639" spans="1:16">
      <c r="A1639" s="1178" t="s">
        <v>20933</v>
      </c>
      <c r="B1639" s="1371" t="str">
        <f>HYPERLINK(IFERROR("#Main_Tariff!A"&amp;MATCH(Raeburn_Main_Tariff[[#This Row],[Product Code]],Main_Tariff!I:I,0),"#Main_Tariff!A"&amp;MATCH("*"&amp;RIGHT(A1639,8)&amp;"*",Main_Tariff!A:A,0)),Raeburn_Main_Tariff[[#This Row],[PRODUCER]])</f>
        <v>Domaine Méo-Camuzet</v>
      </c>
      <c r="C1639" s="1178" t="s">
        <v>20937</v>
      </c>
      <c r="D1639" s="1178" t="s">
        <v>897</v>
      </c>
      <c r="E1639" s="1179">
        <v>2013</v>
      </c>
      <c r="F1639" s="1282" t="s">
        <v>20220</v>
      </c>
      <c r="G1639" s="1368">
        <v>30</v>
      </c>
      <c r="H1639" s="1178" t="s">
        <v>20277</v>
      </c>
      <c r="I1639" s="1178" t="s">
        <v>5892</v>
      </c>
      <c r="J1639" s="1178" t="s">
        <v>662</v>
      </c>
      <c r="K1639" s="1178" t="s">
        <v>267</v>
      </c>
      <c r="L1639" s="1178" t="s">
        <v>211</v>
      </c>
      <c r="M1639" s="1369"/>
      <c r="N1639" s="1178"/>
      <c r="O1639" s="1178">
        <v>6</v>
      </c>
      <c r="P1639" s="1178">
        <v>12.5</v>
      </c>
    </row>
    <row r="1640" spans="1:16">
      <c r="A1640" s="1178" t="s">
        <v>20933</v>
      </c>
      <c r="B1640" s="1371" t="str">
        <f>HYPERLINK(IFERROR("#Main_Tariff!A"&amp;MATCH(Raeburn_Main_Tariff[[#This Row],[Product Code]],Main_Tariff!I:I,0),"#Main_Tariff!A"&amp;MATCH("*"&amp;RIGHT(A1640,8)&amp;"*",Main_Tariff!A:A,0)),Raeburn_Main_Tariff[[#This Row],[PRODUCER]])</f>
        <v>Domaine Méo-Camuzet</v>
      </c>
      <c r="C1640" s="1178" t="s">
        <v>20938</v>
      </c>
      <c r="D1640" s="1178" t="s">
        <v>897</v>
      </c>
      <c r="E1640" s="1179">
        <v>2018</v>
      </c>
      <c r="F1640" s="1282" t="s">
        <v>20220</v>
      </c>
      <c r="G1640" s="1368">
        <v>33.5</v>
      </c>
      <c r="H1640" s="1178" t="s">
        <v>20221</v>
      </c>
      <c r="I1640" s="1178" t="s">
        <v>5894</v>
      </c>
      <c r="J1640" s="1178" t="s">
        <v>662</v>
      </c>
      <c r="K1640" s="1178" t="s">
        <v>267</v>
      </c>
      <c r="L1640" s="1178" t="s">
        <v>211</v>
      </c>
      <c r="M1640" s="1369"/>
      <c r="N1640" s="1178"/>
      <c r="O1640" s="1178">
        <v>6</v>
      </c>
      <c r="P1640" s="1178">
        <v>13.5</v>
      </c>
    </row>
    <row r="1641" spans="1:16">
      <c r="A1641" s="1178" t="s">
        <v>20933</v>
      </c>
      <c r="B1641" s="1371" t="str">
        <f>HYPERLINK(IFERROR("#Main_Tariff!A"&amp;MATCH(Raeburn_Main_Tariff[[#This Row],[Product Code]],Main_Tariff!I:I,0),"#Main_Tariff!A"&amp;MATCH("*"&amp;RIGHT(A1641,8)&amp;"*",Main_Tariff!A:A,0)),Raeburn_Main_Tariff[[#This Row],[PRODUCER]])</f>
        <v>Domaine Méo-Camuzet</v>
      </c>
      <c r="C1641" s="1178" t="s">
        <v>20938</v>
      </c>
      <c r="D1641" s="1178" t="s">
        <v>897</v>
      </c>
      <c r="E1641" s="1179">
        <v>2017</v>
      </c>
      <c r="F1641" s="1282" t="s">
        <v>20220</v>
      </c>
      <c r="G1641" s="1368">
        <v>33.5</v>
      </c>
      <c r="H1641" s="1178" t="s">
        <v>20224</v>
      </c>
      <c r="I1641" s="1178" t="s">
        <v>5896</v>
      </c>
      <c r="J1641" s="1178" t="s">
        <v>662</v>
      </c>
      <c r="K1641" s="1178" t="s">
        <v>267</v>
      </c>
      <c r="L1641" s="1178" t="s">
        <v>211</v>
      </c>
      <c r="M1641" s="1369"/>
      <c r="N1641" s="1178"/>
      <c r="O1641" s="1178">
        <v>6</v>
      </c>
      <c r="P1641" s="1178">
        <v>13</v>
      </c>
    </row>
    <row r="1642" spans="1:16">
      <c r="A1642" s="1178" t="s">
        <v>20933</v>
      </c>
      <c r="B1642" s="1371" t="str">
        <f>HYPERLINK(IFERROR("#Main_Tariff!A"&amp;MATCH(Raeburn_Main_Tariff[[#This Row],[Product Code]],Main_Tariff!I:I,0),"#Main_Tariff!A"&amp;MATCH("*"&amp;RIGHT(A1642,8)&amp;"*",Main_Tariff!A:A,0)),Raeburn_Main_Tariff[[#This Row],[PRODUCER]])</f>
        <v>Domaine Méo-Camuzet</v>
      </c>
      <c r="C1642" s="1178" t="s">
        <v>20938</v>
      </c>
      <c r="D1642" s="1178" t="s">
        <v>897</v>
      </c>
      <c r="E1642" s="1179">
        <v>2011</v>
      </c>
      <c r="F1642" s="1282" t="s">
        <v>20220</v>
      </c>
      <c r="G1642" s="1368">
        <v>30</v>
      </c>
      <c r="H1642" s="1178" t="s">
        <v>20277</v>
      </c>
      <c r="I1642" s="1178" t="s">
        <v>5897</v>
      </c>
      <c r="J1642" s="1178" t="s">
        <v>662</v>
      </c>
      <c r="K1642" s="1178" t="s">
        <v>267</v>
      </c>
      <c r="L1642" s="1178" t="s">
        <v>211</v>
      </c>
      <c r="M1642" s="1369"/>
      <c r="N1642" s="1178"/>
      <c r="O1642" s="1178">
        <v>12</v>
      </c>
      <c r="P1642" s="1178">
        <v>12.5</v>
      </c>
    </row>
    <row r="1643" spans="1:16">
      <c r="A1643" s="1178" t="s">
        <v>20933</v>
      </c>
      <c r="B1643" s="1371" t="str">
        <f>HYPERLINK(IFERROR("#Main_Tariff!A"&amp;MATCH(Raeburn_Main_Tariff[[#This Row],[Product Code]],Main_Tariff!I:I,0),"#Main_Tariff!A"&amp;MATCH("*"&amp;RIGHT(A1643,8)&amp;"*",Main_Tariff!A:A,0)),Raeburn_Main_Tariff[[#This Row],[PRODUCER]])</f>
        <v>Domaine Méo-Camuzet</v>
      </c>
      <c r="C1643" s="1178" t="s">
        <v>20939</v>
      </c>
      <c r="D1643" s="1178" t="s">
        <v>897</v>
      </c>
      <c r="E1643" s="1179">
        <v>2017</v>
      </c>
      <c r="F1643" s="1282" t="s">
        <v>20220</v>
      </c>
      <c r="G1643" s="1368">
        <v>48.5</v>
      </c>
      <c r="H1643" s="1178" t="s">
        <v>20224</v>
      </c>
      <c r="I1643" s="1178" t="s">
        <v>5900</v>
      </c>
      <c r="J1643" s="1178" t="s">
        <v>662</v>
      </c>
      <c r="K1643" s="1178" t="s">
        <v>267</v>
      </c>
      <c r="L1643" s="1178" t="s">
        <v>211</v>
      </c>
      <c r="M1643" s="1369" t="s">
        <v>23297</v>
      </c>
      <c r="N1643" s="1178"/>
      <c r="O1643" s="1178">
        <v>6</v>
      </c>
      <c r="P1643" s="1178">
        <v>13.5</v>
      </c>
    </row>
    <row r="1644" spans="1:16">
      <c r="A1644" s="1178" t="s">
        <v>20933</v>
      </c>
      <c r="B1644" s="1371" t="str">
        <f>HYPERLINK(IFERROR("#Main_Tariff!A"&amp;MATCH(Raeburn_Main_Tariff[[#This Row],[Product Code]],Main_Tariff!I:I,0),"#Main_Tariff!A"&amp;MATCH("*"&amp;RIGHT(A1644,8)&amp;"*",Main_Tariff!A:A,0)),Raeburn_Main_Tariff[[#This Row],[PRODUCER]])</f>
        <v>Domaine Méo-Camuzet</v>
      </c>
      <c r="C1644" s="1178" t="s">
        <v>20939</v>
      </c>
      <c r="D1644" s="1178" t="s">
        <v>897</v>
      </c>
      <c r="E1644" s="1179">
        <v>2012</v>
      </c>
      <c r="F1644" s="1282" t="s">
        <v>20220</v>
      </c>
      <c r="G1644" s="1368">
        <v>48.5</v>
      </c>
      <c r="H1644" s="1178" t="s">
        <v>20277</v>
      </c>
      <c r="I1644" s="1178" t="s">
        <v>5902</v>
      </c>
      <c r="J1644" s="1178" t="s">
        <v>662</v>
      </c>
      <c r="K1644" s="1178" t="s">
        <v>267</v>
      </c>
      <c r="L1644" s="1178" t="s">
        <v>211</v>
      </c>
      <c r="M1644" s="1369" t="s">
        <v>23297</v>
      </c>
      <c r="N1644" s="1178"/>
      <c r="O1644" s="1178">
        <v>6</v>
      </c>
      <c r="P1644" s="1178">
        <v>13</v>
      </c>
    </row>
    <row r="1645" spans="1:16">
      <c r="A1645" s="1178" t="s">
        <v>20933</v>
      </c>
      <c r="B1645" s="1371" t="str">
        <f>HYPERLINK(IFERROR("#Main_Tariff!A"&amp;MATCH(Raeburn_Main_Tariff[[#This Row],[Product Code]],Main_Tariff!I:I,0),"#Main_Tariff!A"&amp;MATCH("*"&amp;RIGHT(A1645,8)&amp;"*",Main_Tariff!A:A,0)),Raeburn_Main_Tariff[[#This Row],[PRODUCER]])</f>
        <v>Domaine Méo-Camuzet</v>
      </c>
      <c r="C1645" s="1178" t="s">
        <v>20939</v>
      </c>
      <c r="D1645" s="1178" t="s">
        <v>897</v>
      </c>
      <c r="E1645" s="1179">
        <v>2011</v>
      </c>
      <c r="F1645" s="1282" t="s">
        <v>20220</v>
      </c>
      <c r="G1645" s="1368">
        <v>45.5</v>
      </c>
      <c r="H1645" s="1178" t="s">
        <v>20277</v>
      </c>
      <c r="I1645" s="1178" t="s">
        <v>5904</v>
      </c>
      <c r="J1645" s="1178" t="s">
        <v>662</v>
      </c>
      <c r="K1645" s="1178" t="s">
        <v>267</v>
      </c>
      <c r="L1645" s="1178" t="s">
        <v>211</v>
      </c>
      <c r="M1645" s="1369" t="s">
        <v>23297</v>
      </c>
      <c r="N1645" s="1178"/>
      <c r="O1645" s="1178">
        <v>6</v>
      </c>
      <c r="P1645" s="1178">
        <v>13</v>
      </c>
    </row>
    <row r="1646" spans="1:16">
      <c r="A1646" s="1178" t="s">
        <v>20933</v>
      </c>
      <c r="B1646" s="1371" t="str">
        <f>HYPERLINK(IFERROR("#Main_Tariff!A"&amp;MATCH(Raeburn_Main_Tariff[[#This Row],[Product Code]],Main_Tariff!I:I,0),"#Main_Tariff!A"&amp;MATCH("*"&amp;RIGHT(A1646,8)&amp;"*",Main_Tariff!A:A,0)),Raeburn_Main_Tariff[[#This Row],[PRODUCER]])</f>
        <v>Domaine Méo-Camuzet</v>
      </c>
      <c r="C1646" s="1178" t="s">
        <v>20940</v>
      </c>
      <c r="D1646" s="1178" t="s">
        <v>897</v>
      </c>
      <c r="E1646" s="1179">
        <v>2022</v>
      </c>
      <c r="F1646" s="1282" t="s">
        <v>20220</v>
      </c>
      <c r="G1646" s="1368" t="s">
        <v>5258</v>
      </c>
      <c r="H1646" s="1178" t="s">
        <v>20224</v>
      </c>
      <c r="I1646" s="1178" t="s">
        <v>5905</v>
      </c>
      <c r="J1646" s="1178" t="s">
        <v>662</v>
      </c>
      <c r="K1646" s="1178" t="s">
        <v>267</v>
      </c>
      <c r="L1646" s="1178" t="s">
        <v>211</v>
      </c>
      <c r="M1646" s="1369" t="s">
        <v>23297</v>
      </c>
      <c r="N1646" s="1178"/>
      <c r="O1646" s="1178">
        <v>6</v>
      </c>
      <c r="P1646" s="1178">
        <v>13</v>
      </c>
    </row>
    <row r="1647" spans="1:16">
      <c r="A1647" s="1178" t="s">
        <v>20933</v>
      </c>
      <c r="B1647" s="1371" t="str">
        <f>HYPERLINK(IFERROR("#Main_Tariff!A"&amp;MATCH(Raeburn_Main_Tariff[[#This Row],[Product Code]],Main_Tariff!I:I,0),"#Main_Tariff!A"&amp;MATCH("*"&amp;RIGHT(A1647,8)&amp;"*",Main_Tariff!A:A,0)),Raeburn_Main_Tariff[[#This Row],[PRODUCER]])</f>
        <v>Domaine Méo-Camuzet</v>
      </c>
      <c r="C1647" s="1178" t="s">
        <v>20941</v>
      </c>
      <c r="D1647" s="1178" t="s">
        <v>897</v>
      </c>
      <c r="E1647" s="1179"/>
      <c r="F1647" s="1282" t="s">
        <v>20220</v>
      </c>
      <c r="G1647" s="1368"/>
      <c r="H1647" s="1178" t="s">
        <v>3907</v>
      </c>
      <c r="I1647" s="1178" t="s">
        <v>5907</v>
      </c>
      <c r="J1647" s="1178" t="s">
        <v>662</v>
      </c>
      <c r="K1647" s="1178" t="s">
        <v>267</v>
      </c>
      <c r="L1647" s="1178" t="s">
        <v>211</v>
      </c>
      <c r="M1647" s="1369" t="s">
        <v>23297</v>
      </c>
      <c r="N1647" s="1178"/>
      <c r="O1647" s="1178">
        <v>3</v>
      </c>
      <c r="P1647" s="1178">
        <v>13.5</v>
      </c>
    </row>
    <row r="1648" spans="1:16">
      <c r="A1648" s="1178" t="s">
        <v>20933</v>
      </c>
      <c r="B1648" s="1371" t="str">
        <f>HYPERLINK(IFERROR("#Main_Tariff!A"&amp;MATCH(Raeburn_Main_Tariff[[#This Row],[Product Code]],Main_Tariff!I:I,0),"#Main_Tariff!A"&amp;MATCH("*"&amp;RIGHT(A1648,8)&amp;"*",Main_Tariff!A:A,0)),Raeburn_Main_Tariff[[#This Row],[PRODUCER]])</f>
        <v>Domaine Méo-Camuzet</v>
      </c>
      <c r="C1648" s="1178" t="s">
        <v>20942</v>
      </c>
      <c r="D1648" s="1178" t="s">
        <v>897</v>
      </c>
      <c r="E1648" s="1179"/>
      <c r="F1648" s="1282" t="s">
        <v>20220</v>
      </c>
      <c r="G1648" s="1368"/>
      <c r="H1648" s="1178" t="s">
        <v>3907</v>
      </c>
      <c r="I1648" s="1178" t="s">
        <v>5914</v>
      </c>
      <c r="J1648" s="1178" t="s">
        <v>662</v>
      </c>
      <c r="K1648" s="1178" t="s">
        <v>267</v>
      </c>
      <c r="L1648" s="1178" t="s">
        <v>211</v>
      </c>
      <c r="M1648" s="1369" t="s">
        <v>23296</v>
      </c>
      <c r="N1648" s="1178"/>
      <c r="O1648" s="1178">
        <v>3</v>
      </c>
      <c r="P1648" s="1178">
        <v>14</v>
      </c>
    </row>
    <row r="1649" spans="1:16">
      <c r="A1649" s="1178" t="s">
        <v>20933</v>
      </c>
      <c r="B1649" s="1371" t="str">
        <f>HYPERLINK(IFERROR("#Main_Tariff!A"&amp;MATCH(Raeburn_Main_Tariff[[#This Row],[Product Code]],Main_Tariff!I:I,0),"#Main_Tariff!A"&amp;MATCH("*"&amp;RIGHT(A1649,8)&amp;"*",Main_Tariff!A:A,0)),Raeburn_Main_Tariff[[#This Row],[PRODUCER]])</f>
        <v>Domaine Méo-Camuzet</v>
      </c>
      <c r="C1649" s="1178" t="s">
        <v>20798</v>
      </c>
      <c r="D1649" s="1178" t="s">
        <v>897</v>
      </c>
      <c r="E1649" s="1179">
        <v>2022</v>
      </c>
      <c r="F1649" s="1282" t="s">
        <v>20220</v>
      </c>
      <c r="G1649" s="1368" t="s">
        <v>5258</v>
      </c>
      <c r="H1649" s="1178" t="s">
        <v>20224</v>
      </c>
      <c r="I1649" s="1178" t="s">
        <v>5916</v>
      </c>
      <c r="J1649" s="1178" t="s">
        <v>662</v>
      </c>
      <c r="K1649" s="1178" t="s">
        <v>267</v>
      </c>
      <c r="L1649" s="1178" t="s">
        <v>211</v>
      </c>
      <c r="M1649" s="1369" t="s">
        <v>23296</v>
      </c>
      <c r="N1649" s="1178"/>
      <c r="O1649" s="1178">
        <v>3</v>
      </c>
      <c r="P1649" s="1178">
        <v>14</v>
      </c>
    </row>
    <row r="1650" spans="1:16">
      <c r="A1650" s="1178" t="s">
        <v>20933</v>
      </c>
      <c r="B1650" s="1371" t="str">
        <f>HYPERLINK(IFERROR("#Main_Tariff!A"&amp;MATCH(Raeburn_Main_Tariff[[#This Row],[Product Code]],Main_Tariff!I:I,0),"#Main_Tariff!A"&amp;MATCH("*"&amp;RIGHT(A1650,8)&amp;"*",Main_Tariff!A:A,0)),Raeburn_Main_Tariff[[#This Row],[PRODUCER]])</f>
        <v>Domaine Méo-Camuzet</v>
      </c>
      <c r="C1650" s="1178" t="s">
        <v>20943</v>
      </c>
      <c r="D1650" s="1178" t="s">
        <v>897</v>
      </c>
      <c r="E1650" s="1179">
        <v>2019</v>
      </c>
      <c r="F1650" s="1282" t="s">
        <v>20220</v>
      </c>
      <c r="G1650" s="1368" t="s">
        <v>5258</v>
      </c>
      <c r="H1650" s="1178" t="s">
        <v>20224</v>
      </c>
      <c r="I1650" s="1178" t="s">
        <v>5909</v>
      </c>
      <c r="J1650" s="1178" t="s">
        <v>662</v>
      </c>
      <c r="K1650" s="1178" t="s">
        <v>267</v>
      </c>
      <c r="L1650" s="1178" t="s">
        <v>211</v>
      </c>
      <c r="M1650" s="1369" t="s">
        <v>23297</v>
      </c>
      <c r="N1650" s="1178"/>
      <c r="O1650" s="1178">
        <v>1</v>
      </c>
      <c r="P1650" s="1178">
        <v>14.5</v>
      </c>
    </row>
    <row r="1651" spans="1:16">
      <c r="A1651" s="1178" t="s">
        <v>20933</v>
      </c>
      <c r="B1651" s="1371" t="str">
        <f>HYPERLINK(IFERROR("#Main_Tariff!A"&amp;MATCH(Raeburn_Main_Tariff[[#This Row],[Product Code]],Main_Tariff!I:I,0),"#Main_Tariff!A"&amp;MATCH("*"&amp;RIGHT(A1651,8)&amp;"*",Main_Tariff!A:A,0)),Raeburn_Main_Tariff[[#This Row],[PRODUCER]])</f>
        <v>Domaine Méo-Camuzet</v>
      </c>
      <c r="C1651" s="1178" t="s">
        <v>20944</v>
      </c>
      <c r="D1651" s="1178" t="s">
        <v>897</v>
      </c>
      <c r="E1651" s="1179">
        <v>2019</v>
      </c>
      <c r="F1651" s="1282" t="s">
        <v>20220</v>
      </c>
      <c r="G1651" s="1368" t="s">
        <v>5258</v>
      </c>
      <c r="H1651" s="1178" t="s">
        <v>20224</v>
      </c>
      <c r="I1651" s="1178" t="s">
        <v>5911</v>
      </c>
      <c r="J1651" s="1178" t="s">
        <v>662</v>
      </c>
      <c r="K1651" s="1178" t="s">
        <v>267</v>
      </c>
      <c r="L1651" s="1178" t="s">
        <v>211</v>
      </c>
      <c r="M1651" s="1369" t="s">
        <v>23297</v>
      </c>
      <c r="N1651" s="1178"/>
      <c r="O1651" s="1178">
        <v>1</v>
      </c>
      <c r="P1651" s="1178">
        <v>13.5</v>
      </c>
    </row>
    <row r="1652" spans="1:16">
      <c r="A1652" s="1178" t="s">
        <v>20933</v>
      </c>
      <c r="B1652" s="1371" t="str">
        <f>HYPERLINK(IFERROR("#Main_Tariff!A"&amp;MATCH(Raeburn_Main_Tariff[[#This Row],[Product Code]],Main_Tariff!I:I,0),"#Main_Tariff!A"&amp;MATCH("*"&amp;RIGHT(A1652,8)&amp;"*",Main_Tariff!A:A,0)),Raeburn_Main_Tariff[[#This Row],[PRODUCER]])</f>
        <v>Domaine Méo-Camuzet</v>
      </c>
      <c r="C1652" s="1178" t="s">
        <v>20828</v>
      </c>
      <c r="D1652" s="1178" t="s">
        <v>897</v>
      </c>
      <c r="E1652" s="1179" t="s">
        <v>19075</v>
      </c>
      <c r="F1652" s="1282" t="s">
        <v>20220</v>
      </c>
      <c r="G1652" s="1368" t="s">
        <v>5258</v>
      </c>
      <c r="H1652" s="1178" t="s">
        <v>20224</v>
      </c>
      <c r="I1652" s="1178" t="s">
        <v>5918</v>
      </c>
      <c r="J1652" s="1178" t="s">
        <v>662</v>
      </c>
      <c r="K1652" s="1178" t="s">
        <v>267</v>
      </c>
      <c r="L1652" s="1178" t="s">
        <v>211</v>
      </c>
      <c r="M1652" s="1369" t="s">
        <v>23296</v>
      </c>
      <c r="N1652" s="1178"/>
      <c r="O1652" s="1178">
        <v>1</v>
      </c>
      <c r="P1652" s="1178">
        <v>13</v>
      </c>
    </row>
    <row r="1653" spans="1:16">
      <c r="A1653" s="1178" t="s">
        <v>20945</v>
      </c>
      <c r="B1653" s="1371" t="str">
        <f>HYPERLINK(IFERROR("#Main_Tariff!A"&amp;MATCH(Raeburn_Main_Tariff[[#This Row],[Product Code]],Main_Tariff!I:I,0),"#Main_Tariff!A"&amp;MATCH("*"&amp;RIGHT(A1653,8)&amp;"*",Main_Tariff!A:A,0)),Raeburn_Main_Tariff[[#This Row],[PRODUCER]])</f>
        <v>Domaine A &amp; JM Molin</v>
      </c>
      <c r="C1653" s="1178" t="s">
        <v>20946</v>
      </c>
      <c r="D1653" s="1178" t="s">
        <v>1129</v>
      </c>
      <c r="E1653" s="1179">
        <v>2022</v>
      </c>
      <c r="F1653" s="1282" t="s">
        <v>20220</v>
      </c>
      <c r="G1653" s="1368">
        <v>35.5</v>
      </c>
      <c r="H1653" s="1178" t="s">
        <v>20221</v>
      </c>
      <c r="I1653" s="1178" t="s">
        <v>5946</v>
      </c>
      <c r="J1653" s="1178" t="s">
        <v>662</v>
      </c>
      <c r="K1653" s="1178" t="s">
        <v>267</v>
      </c>
      <c r="L1653" s="1178" t="s">
        <v>211</v>
      </c>
      <c r="M1653" s="1369"/>
      <c r="N1653" s="1178" t="s">
        <v>20244</v>
      </c>
      <c r="O1653" s="1178">
        <v>12</v>
      </c>
      <c r="P1653" s="1178">
        <v>13.5</v>
      </c>
    </row>
    <row r="1654" spans="1:16">
      <c r="A1654" s="1178" t="s">
        <v>20945</v>
      </c>
      <c r="B1654" s="1371" t="str">
        <f>HYPERLINK(IFERROR("#Main_Tariff!A"&amp;MATCH(Raeburn_Main_Tariff[[#This Row],[Product Code]],Main_Tariff!I:I,0),"#Main_Tariff!A"&amp;MATCH("*"&amp;RIGHT(A1654,8)&amp;"*",Main_Tariff!A:A,0)),Raeburn_Main_Tariff[[#This Row],[PRODUCER]])</f>
        <v>Domaine A &amp; JM Molin</v>
      </c>
      <c r="C1654" s="1178" t="s">
        <v>20946</v>
      </c>
      <c r="D1654" s="1178" t="s">
        <v>1129</v>
      </c>
      <c r="E1654" s="1179">
        <v>2019</v>
      </c>
      <c r="F1654" s="1282" t="s">
        <v>20220</v>
      </c>
      <c r="G1654" s="1368">
        <v>31</v>
      </c>
      <c r="H1654" s="1178" t="s">
        <v>20221</v>
      </c>
      <c r="I1654" s="1178" t="s">
        <v>5940</v>
      </c>
      <c r="J1654" s="1178" t="s">
        <v>662</v>
      </c>
      <c r="K1654" s="1178" t="s">
        <v>267</v>
      </c>
      <c r="L1654" s="1178" t="s">
        <v>211</v>
      </c>
      <c r="M1654" s="1369"/>
      <c r="N1654" s="1178" t="s">
        <v>20244</v>
      </c>
      <c r="O1654" s="1178">
        <v>6</v>
      </c>
      <c r="P1654" s="1178">
        <v>13.5</v>
      </c>
    </row>
    <row r="1655" spans="1:16">
      <c r="A1655" s="1178" t="s">
        <v>20945</v>
      </c>
      <c r="B1655" s="1371" t="str">
        <f>HYPERLINK(IFERROR("#Main_Tariff!A"&amp;MATCH(Raeburn_Main_Tariff[[#This Row],[Product Code]],Main_Tariff!I:I,0),"#Main_Tariff!A"&amp;MATCH("*"&amp;RIGHT(A1655,8)&amp;"*",Main_Tariff!A:A,0)),Raeburn_Main_Tariff[[#This Row],[PRODUCER]])</f>
        <v>Domaine A &amp; JM Molin</v>
      </c>
      <c r="C1655" s="1178" t="s">
        <v>20946</v>
      </c>
      <c r="D1655" s="1178" t="s">
        <v>1129</v>
      </c>
      <c r="E1655" s="1179">
        <v>2018</v>
      </c>
      <c r="F1655" s="1282" t="s">
        <v>20220</v>
      </c>
      <c r="G1655" s="1368">
        <v>31</v>
      </c>
      <c r="H1655" s="1178" t="s">
        <v>20221</v>
      </c>
      <c r="I1655" s="1178" t="s">
        <v>4105</v>
      </c>
      <c r="J1655" s="1178" t="s">
        <v>662</v>
      </c>
      <c r="K1655" s="1178" t="s">
        <v>267</v>
      </c>
      <c r="L1655" s="1178" t="s">
        <v>211</v>
      </c>
      <c r="M1655" s="1369"/>
      <c r="N1655" s="1178" t="s">
        <v>20244</v>
      </c>
      <c r="O1655" s="1178">
        <v>12</v>
      </c>
      <c r="P1655" s="1178">
        <v>13.5</v>
      </c>
    </row>
    <row r="1656" spans="1:16">
      <c r="A1656" s="1178" t="s">
        <v>20945</v>
      </c>
      <c r="B1656" s="1371" t="str">
        <f>HYPERLINK(IFERROR("#Main_Tariff!A"&amp;MATCH(Raeburn_Main_Tariff[[#This Row],[Product Code]],Main_Tariff!I:I,0),"#Main_Tariff!A"&amp;MATCH("*"&amp;RIGHT(A1656,8)&amp;"*",Main_Tariff!A:A,0)),Raeburn_Main_Tariff[[#This Row],[PRODUCER]])</f>
        <v>Domaine A &amp; JM Molin</v>
      </c>
      <c r="C1656" s="1178" t="s">
        <v>20947</v>
      </c>
      <c r="D1656" s="1178" t="s">
        <v>1129</v>
      </c>
      <c r="E1656" s="1179">
        <v>2017</v>
      </c>
      <c r="F1656" s="1282" t="s">
        <v>20220</v>
      </c>
      <c r="G1656" s="1368">
        <v>40</v>
      </c>
      <c r="H1656" s="1178" t="s">
        <v>20221</v>
      </c>
      <c r="I1656" s="1178" t="s">
        <v>5943</v>
      </c>
      <c r="J1656" s="1178" t="s">
        <v>662</v>
      </c>
      <c r="K1656" s="1178" t="s">
        <v>267</v>
      </c>
      <c r="L1656" s="1178" t="s">
        <v>211</v>
      </c>
      <c r="M1656" s="1369" t="s">
        <v>23297</v>
      </c>
      <c r="N1656" s="1178" t="s">
        <v>20244</v>
      </c>
      <c r="O1656" s="1178">
        <v>6</v>
      </c>
      <c r="P1656" s="1178">
        <v>13.5</v>
      </c>
    </row>
    <row r="1657" spans="1:16">
      <c r="A1657" s="1178" t="s">
        <v>20945</v>
      </c>
      <c r="B1657" s="1371" t="str">
        <f>HYPERLINK(IFERROR("#Main_Tariff!A"&amp;MATCH(Raeburn_Main_Tariff[[#This Row],[Product Code]],Main_Tariff!I:I,0),"#Main_Tariff!A"&amp;MATCH("*"&amp;RIGHT(A1657,8)&amp;"*",Main_Tariff!A:A,0)),Raeburn_Main_Tariff[[#This Row],[PRODUCER]])</f>
        <v>Domaine A &amp; JM Molin</v>
      </c>
      <c r="C1657" s="1178" t="s">
        <v>20947</v>
      </c>
      <c r="D1657" s="1178" t="s">
        <v>1129</v>
      </c>
      <c r="E1657" s="1179">
        <v>2016</v>
      </c>
      <c r="F1657" s="1282" t="s">
        <v>20220</v>
      </c>
      <c r="G1657" s="1368">
        <v>41</v>
      </c>
      <c r="H1657" s="1178" t="s">
        <v>20221</v>
      </c>
      <c r="I1657" s="1178" t="s">
        <v>4109</v>
      </c>
      <c r="J1657" s="1178" t="s">
        <v>662</v>
      </c>
      <c r="K1657" s="1178" t="s">
        <v>267</v>
      </c>
      <c r="L1657" s="1178" t="s">
        <v>211</v>
      </c>
      <c r="M1657" s="1369" t="s">
        <v>23297</v>
      </c>
      <c r="N1657" s="1178" t="s">
        <v>20244</v>
      </c>
      <c r="O1657" s="1178">
        <v>12</v>
      </c>
      <c r="P1657" s="1178">
        <v>13.5</v>
      </c>
    </row>
    <row r="1658" spans="1:16">
      <c r="A1658" s="1178" t="s">
        <v>20945</v>
      </c>
      <c r="B1658" s="1371" t="str">
        <f>HYPERLINK(IFERROR("#Main_Tariff!A"&amp;MATCH(Raeburn_Main_Tariff[[#This Row],[Product Code]],Main_Tariff!I:I,0),"#Main_Tariff!A"&amp;MATCH("*"&amp;RIGHT(A1658,8)&amp;"*",Main_Tariff!A:A,0)),Raeburn_Main_Tariff[[#This Row],[PRODUCER]])</f>
        <v>Domaine A &amp; JM Molin</v>
      </c>
      <c r="C1658" s="1178" t="s">
        <v>20948</v>
      </c>
      <c r="D1658" s="1178" t="s">
        <v>897</v>
      </c>
      <c r="E1658" s="1179">
        <v>2021</v>
      </c>
      <c r="F1658" s="1282" t="s">
        <v>20220</v>
      </c>
      <c r="G1658" s="1368">
        <v>28.75</v>
      </c>
      <c r="H1658" s="1178" t="s">
        <v>20221</v>
      </c>
      <c r="I1658" s="1178" t="s">
        <v>5948</v>
      </c>
      <c r="J1658" s="1178" t="s">
        <v>662</v>
      </c>
      <c r="K1658" s="1178" t="s">
        <v>267</v>
      </c>
      <c r="L1658" s="1178" t="s">
        <v>211</v>
      </c>
      <c r="M1658" s="1369"/>
      <c r="N1658" s="1178" t="s">
        <v>20244</v>
      </c>
      <c r="O1658" s="1178">
        <v>12</v>
      </c>
      <c r="P1658" s="1178">
        <v>13</v>
      </c>
    </row>
    <row r="1659" spans="1:16">
      <c r="A1659" s="1178" t="s">
        <v>20945</v>
      </c>
      <c r="B1659" s="1371" t="str">
        <f>HYPERLINK(IFERROR("#Main_Tariff!A"&amp;MATCH(Raeburn_Main_Tariff[[#This Row],[Product Code]],Main_Tariff!I:I,0),"#Main_Tariff!A"&amp;MATCH("*"&amp;RIGHT(A1659,8)&amp;"*",Main_Tariff!A:A,0)),Raeburn_Main_Tariff[[#This Row],[PRODUCER]])</f>
        <v>Domaine A &amp; JM Molin</v>
      </c>
      <c r="C1659" s="1178" t="s">
        <v>20948</v>
      </c>
      <c r="D1659" s="1178" t="s">
        <v>897</v>
      </c>
      <c r="E1659" s="1179">
        <v>2020</v>
      </c>
      <c r="F1659" s="1282" t="s">
        <v>20220</v>
      </c>
      <c r="G1659" s="1368">
        <v>28.25</v>
      </c>
      <c r="H1659" s="1178" t="s">
        <v>20221</v>
      </c>
      <c r="I1659" s="1178" t="s">
        <v>5950</v>
      </c>
      <c r="J1659" s="1178" t="s">
        <v>662</v>
      </c>
      <c r="K1659" s="1178" t="s">
        <v>267</v>
      </c>
      <c r="L1659" s="1178" t="s">
        <v>211</v>
      </c>
      <c r="M1659" s="1369"/>
      <c r="N1659" s="1178" t="s">
        <v>20244</v>
      </c>
      <c r="O1659" s="1178">
        <v>12</v>
      </c>
      <c r="P1659" s="1178">
        <v>14</v>
      </c>
    </row>
    <row r="1660" spans="1:16">
      <c r="A1660" s="1178" t="s">
        <v>20945</v>
      </c>
      <c r="B1660" s="1371" t="str">
        <f>HYPERLINK(IFERROR("#Main_Tariff!A"&amp;MATCH(Raeburn_Main_Tariff[[#This Row],[Product Code]],Main_Tariff!I:I,0),"#Main_Tariff!A"&amp;MATCH("*"&amp;RIGHT(A1660,8)&amp;"*",Main_Tariff!A:A,0)),Raeburn_Main_Tariff[[#This Row],[PRODUCER]])</f>
        <v>Domaine A &amp; JM Molin</v>
      </c>
      <c r="C1660" s="1178" t="s">
        <v>20948</v>
      </c>
      <c r="D1660" s="1178" t="s">
        <v>897</v>
      </c>
      <c r="E1660" s="1179">
        <v>2013</v>
      </c>
      <c r="F1660" s="1282" t="s">
        <v>20220</v>
      </c>
      <c r="G1660" s="1368">
        <v>26</v>
      </c>
      <c r="H1660" s="1178" t="s">
        <v>20221</v>
      </c>
      <c r="I1660" s="1178" t="s">
        <v>5951</v>
      </c>
      <c r="J1660" s="1178" t="s">
        <v>662</v>
      </c>
      <c r="K1660" s="1178" t="s">
        <v>267</v>
      </c>
      <c r="L1660" s="1178" t="s">
        <v>211</v>
      </c>
      <c r="M1660" s="1369"/>
      <c r="N1660" s="1178" t="s">
        <v>20244</v>
      </c>
      <c r="O1660" s="1178">
        <v>12</v>
      </c>
      <c r="P1660" s="1178">
        <v>13</v>
      </c>
    </row>
    <row r="1661" spans="1:16">
      <c r="A1661" s="1178" t="s">
        <v>20945</v>
      </c>
      <c r="B1661" s="1371" t="str">
        <f>HYPERLINK(IFERROR("#Main_Tariff!A"&amp;MATCH(Raeburn_Main_Tariff[[#This Row],[Product Code]],Main_Tariff!I:I,0),"#Main_Tariff!A"&amp;MATCH("*"&amp;RIGHT(A1661,8)&amp;"*",Main_Tariff!A:A,0)),Raeburn_Main_Tariff[[#This Row],[PRODUCER]])</f>
        <v>Domaine A &amp; JM Molin</v>
      </c>
      <c r="C1661" s="1178" t="s">
        <v>20949</v>
      </c>
      <c r="D1661" s="1178" t="s">
        <v>897</v>
      </c>
      <c r="E1661" s="1179">
        <v>2022</v>
      </c>
      <c r="F1661" s="1282" t="s">
        <v>20220</v>
      </c>
      <c r="G1661" s="1368">
        <v>32.5</v>
      </c>
      <c r="H1661" s="1178" t="s">
        <v>20221</v>
      </c>
      <c r="I1661" s="1178" t="s">
        <v>5953</v>
      </c>
      <c r="J1661" s="1178" t="s">
        <v>662</v>
      </c>
      <c r="K1661" s="1178" t="s">
        <v>267</v>
      </c>
      <c r="L1661" s="1178" t="s">
        <v>211</v>
      </c>
      <c r="M1661" s="1369"/>
      <c r="N1661" s="1178" t="s">
        <v>20244</v>
      </c>
      <c r="O1661" s="1178">
        <v>12</v>
      </c>
      <c r="P1661" s="1178">
        <v>13</v>
      </c>
    </row>
    <row r="1662" spans="1:16">
      <c r="A1662" s="1178" t="s">
        <v>20945</v>
      </c>
      <c r="B1662" s="1371" t="str">
        <f>HYPERLINK(IFERROR("#Main_Tariff!A"&amp;MATCH(Raeburn_Main_Tariff[[#This Row],[Product Code]],Main_Tariff!I:I,0),"#Main_Tariff!A"&amp;MATCH("*"&amp;RIGHT(A1662,8)&amp;"*",Main_Tariff!A:A,0)),Raeburn_Main_Tariff[[#This Row],[PRODUCER]])</f>
        <v>Domaine A &amp; JM Molin</v>
      </c>
      <c r="C1662" s="1178" t="s">
        <v>20949</v>
      </c>
      <c r="D1662" s="1178" t="s">
        <v>897</v>
      </c>
      <c r="E1662" s="1179">
        <v>2020</v>
      </c>
      <c r="F1662" s="1282" t="s">
        <v>20220</v>
      </c>
      <c r="G1662" s="1368">
        <v>29</v>
      </c>
      <c r="H1662" s="1178" t="s">
        <v>20221</v>
      </c>
      <c r="I1662" s="1178" t="s">
        <v>5955</v>
      </c>
      <c r="J1662" s="1178" t="s">
        <v>662</v>
      </c>
      <c r="K1662" s="1178" t="s">
        <v>267</v>
      </c>
      <c r="L1662" s="1178" t="s">
        <v>211</v>
      </c>
      <c r="M1662" s="1369"/>
      <c r="N1662" s="1178" t="s">
        <v>20244</v>
      </c>
      <c r="O1662" s="1178">
        <v>12</v>
      </c>
      <c r="P1662" s="1178">
        <v>14</v>
      </c>
    </row>
    <row r="1663" spans="1:16">
      <c r="A1663" s="1178" t="s">
        <v>20945</v>
      </c>
      <c r="B1663" s="1371" t="str">
        <f>HYPERLINK(IFERROR("#Main_Tariff!A"&amp;MATCH(Raeburn_Main_Tariff[[#This Row],[Product Code]],Main_Tariff!I:I,0),"#Main_Tariff!A"&amp;MATCH("*"&amp;RIGHT(A1663,8)&amp;"*",Main_Tariff!A:A,0)),Raeburn_Main_Tariff[[#This Row],[PRODUCER]])</f>
        <v>Domaine A &amp; JM Molin</v>
      </c>
      <c r="C1663" s="1178" t="s">
        <v>20949</v>
      </c>
      <c r="D1663" s="1178" t="s">
        <v>897</v>
      </c>
      <c r="E1663" s="1179">
        <v>2019</v>
      </c>
      <c r="F1663" s="1282" t="s">
        <v>20220</v>
      </c>
      <c r="G1663" s="1368">
        <v>29</v>
      </c>
      <c r="H1663" s="1178" t="s">
        <v>20221</v>
      </c>
      <c r="I1663" s="1178" t="s">
        <v>5957</v>
      </c>
      <c r="J1663" s="1178" t="s">
        <v>662</v>
      </c>
      <c r="K1663" s="1178" t="s">
        <v>267</v>
      </c>
      <c r="L1663" s="1178" t="s">
        <v>211</v>
      </c>
      <c r="M1663" s="1369"/>
      <c r="N1663" s="1178" t="s">
        <v>20244</v>
      </c>
      <c r="O1663" s="1178">
        <v>6</v>
      </c>
      <c r="P1663" s="1178">
        <v>13</v>
      </c>
    </row>
    <row r="1664" spans="1:16">
      <c r="A1664" s="1178" t="s">
        <v>20945</v>
      </c>
      <c r="B1664" s="1371" t="str">
        <f>HYPERLINK(IFERROR("#Main_Tariff!A"&amp;MATCH(Raeburn_Main_Tariff[[#This Row],[Product Code]],Main_Tariff!I:I,0),"#Main_Tariff!A"&amp;MATCH("*"&amp;RIGHT(A1664,8)&amp;"*",Main_Tariff!A:A,0)),Raeburn_Main_Tariff[[#This Row],[PRODUCER]])</f>
        <v>Domaine A &amp; JM Molin</v>
      </c>
      <c r="C1664" s="1178" t="s">
        <v>20949</v>
      </c>
      <c r="D1664" s="1178" t="s">
        <v>897</v>
      </c>
      <c r="E1664" s="1179">
        <v>2018</v>
      </c>
      <c r="F1664" s="1282" t="s">
        <v>20220</v>
      </c>
      <c r="G1664" s="1368">
        <v>27.5</v>
      </c>
      <c r="H1664" s="1178" t="s">
        <v>20221</v>
      </c>
      <c r="I1664" s="1178" t="s">
        <v>5959</v>
      </c>
      <c r="J1664" s="1178" t="s">
        <v>662</v>
      </c>
      <c r="K1664" s="1178" t="s">
        <v>267</v>
      </c>
      <c r="L1664" s="1178" t="s">
        <v>211</v>
      </c>
      <c r="M1664" s="1369"/>
      <c r="N1664" s="1178" t="s">
        <v>20244</v>
      </c>
      <c r="O1664" s="1178">
        <v>12</v>
      </c>
      <c r="P1664" s="1178">
        <v>13</v>
      </c>
    </row>
    <row r="1665" spans="1:16">
      <c r="A1665" s="1178" t="s">
        <v>20945</v>
      </c>
      <c r="B1665" s="1371" t="str">
        <f>HYPERLINK(IFERROR("#Main_Tariff!A"&amp;MATCH(Raeburn_Main_Tariff[[#This Row],[Product Code]],Main_Tariff!I:I,0),"#Main_Tariff!A"&amp;MATCH("*"&amp;RIGHT(A1665,8)&amp;"*",Main_Tariff!A:A,0)),Raeburn_Main_Tariff[[#This Row],[PRODUCER]])</f>
        <v>Domaine A &amp; JM Molin</v>
      </c>
      <c r="C1665" s="1178" t="s">
        <v>20950</v>
      </c>
      <c r="D1665" s="1178" t="s">
        <v>897</v>
      </c>
      <c r="E1665" s="1179">
        <v>2022</v>
      </c>
      <c r="F1665" s="1282" t="s">
        <v>20220</v>
      </c>
      <c r="G1665" s="1368">
        <v>44.25</v>
      </c>
      <c r="H1665" s="1178" t="s">
        <v>20221</v>
      </c>
      <c r="I1665" s="1178" t="s">
        <v>5960</v>
      </c>
      <c r="J1665" s="1178" t="s">
        <v>662</v>
      </c>
      <c r="K1665" s="1178" t="s">
        <v>267</v>
      </c>
      <c r="L1665" s="1178" t="s">
        <v>211</v>
      </c>
      <c r="M1665" s="1369" t="s">
        <v>23297</v>
      </c>
      <c r="N1665" s="1178" t="s">
        <v>20244</v>
      </c>
      <c r="O1665" s="1178">
        <v>12</v>
      </c>
      <c r="P1665" s="1178">
        <v>13.5</v>
      </c>
    </row>
    <row r="1666" spans="1:16">
      <c r="A1666" s="1178" t="s">
        <v>20945</v>
      </c>
      <c r="B1666" s="1371" t="str">
        <f>HYPERLINK(IFERROR("#Main_Tariff!A"&amp;MATCH(Raeburn_Main_Tariff[[#This Row],[Product Code]],Main_Tariff!I:I,0),"#Main_Tariff!A"&amp;MATCH("*"&amp;RIGHT(A1666,8)&amp;"*",Main_Tariff!A:A,0)),Raeburn_Main_Tariff[[#This Row],[PRODUCER]])</f>
        <v>Domaine A &amp; JM Molin</v>
      </c>
      <c r="C1666" s="1178" t="s">
        <v>20950</v>
      </c>
      <c r="D1666" s="1178" t="s">
        <v>897</v>
      </c>
      <c r="E1666" s="1179">
        <v>2021</v>
      </c>
      <c r="F1666" s="1282" t="s">
        <v>20220</v>
      </c>
      <c r="G1666" s="1368">
        <v>43.25</v>
      </c>
      <c r="H1666" s="1178" t="s">
        <v>20221</v>
      </c>
      <c r="I1666" s="1178" t="s">
        <v>5961</v>
      </c>
      <c r="J1666" s="1178" t="s">
        <v>662</v>
      </c>
      <c r="K1666" s="1178" t="s">
        <v>267</v>
      </c>
      <c r="L1666" s="1178" t="s">
        <v>211</v>
      </c>
      <c r="M1666" s="1369" t="s">
        <v>23297</v>
      </c>
      <c r="N1666" s="1178" t="s">
        <v>20244</v>
      </c>
      <c r="O1666" s="1178">
        <v>12</v>
      </c>
      <c r="P1666" s="1178">
        <v>13</v>
      </c>
    </row>
    <row r="1667" spans="1:16">
      <c r="A1667" s="1178" t="s">
        <v>20945</v>
      </c>
      <c r="B1667" s="1371" t="str">
        <f>HYPERLINK(IFERROR("#Main_Tariff!A"&amp;MATCH(Raeburn_Main_Tariff[[#This Row],[Product Code]],Main_Tariff!I:I,0),"#Main_Tariff!A"&amp;MATCH("*"&amp;RIGHT(A1667,8)&amp;"*",Main_Tariff!A:A,0)),Raeburn_Main_Tariff[[#This Row],[PRODUCER]])</f>
        <v>Domaine A &amp; JM Molin</v>
      </c>
      <c r="C1667" s="1178" t="s">
        <v>20950</v>
      </c>
      <c r="D1667" s="1178" t="s">
        <v>897</v>
      </c>
      <c r="E1667" s="1179">
        <v>2020</v>
      </c>
      <c r="F1667" s="1282" t="s">
        <v>20220</v>
      </c>
      <c r="G1667" s="1368">
        <v>43.25</v>
      </c>
      <c r="H1667" s="1178" t="s">
        <v>20221</v>
      </c>
      <c r="I1667" s="1178" t="s">
        <v>5963</v>
      </c>
      <c r="J1667" s="1178" t="s">
        <v>662</v>
      </c>
      <c r="K1667" s="1178" t="s">
        <v>267</v>
      </c>
      <c r="L1667" s="1178" t="s">
        <v>211</v>
      </c>
      <c r="M1667" s="1369" t="s">
        <v>23297</v>
      </c>
      <c r="N1667" s="1178" t="s">
        <v>20244</v>
      </c>
      <c r="O1667" s="1178">
        <v>12</v>
      </c>
      <c r="P1667" s="1178">
        <v>14</v>
      </c>
    </row>
    <row r="1668" spans="1:16">
      <c r="A1668" s="1178" t="s">
        <v>20945</v>
      </c>
      <c r="B1668" s="1371" t="str">
        <f>HYPERLINK(IFERROR("#Main_Tariff!A"&amp;MATCH(Raeburn_Main_Tariff[[#This Row],[Product Code]],Main_Tariff!I:I,0),"#Main_Tariff!A"&amp;MATCH("*"&amp;RIGHT(A1668,8)&amp;"*",Main_Tariff!A:A,0)),Raeburn_Main_Tariff[[#This Row],[PRODUCER]])</f>
        <v>Domaine A &amp; JM Molin</v>
      </c>
      <c r="C1668" s="1178" t="s">
        <v>20950</v>
      </c>
      <c r="D1668" s="1178" t="s">
        <v>897</v>
      </c>
      <c r="E1668" s="1179">
        <v>2019</v>
      </c>
      <c r="F1668" s="1282" t="s">
        <v>20220</v>
      </c>
      <c r="G1668" s="1368">
        <v>43.25</v>
      </c>
      <c r="H1668" s="1178" t="s">
        <v>20221</v>
      </c>
      <c r="I1668" s="1178" t="s">
        <v>5965</v>
      </c>
      <c r="J1668" s="1178" t="s">
        <v>662</v>
      </c>
      <c r="K1668" s="1178" t="s">
        <v>267</v>
      </c>
      <c r="L1668" s="1178" t="s">
        <v>211</v>
      </c>
      <c r="M1668" s="1369" t="s">
        <v>23297</v>
      </c>
      <c r="N1668" s="1178" t="s">
        <v>20244</v>
      </c>
      <c r="O1668" s="1178">
        <v>6</v>
      </c>
      <c r="P1668" s="1178">
        <v>13.5</v>
      </c>
    </row>
    <row r="1669" spans="1:16">
      <c r="A1669" s="1178" t="s">
        <v>20945</v>
      </c>
      <c r="B1669" s="1371" t="str">
        <f>HYPERLINK(IFERROR("#Main_Tariff!A"&amp;MATCH(Raeburn_Main_Tariff[[#This Row],[Product Code]],Main_Tariff!I:I,0),"#Main_Tariff!A"&amp;MATCH("*"&amp;RIGHT(A1669,8)&amp;"*",Main_Tariff!A:A,0)),Raeburn_Main_Tariff[[#This Row],[PRODUCER]])</f>
        <v>Domaine A &amp; JM Molin</v>
      </c>
      <c r="C1669" s="1178" t="s">
        <v>20950</v>
      </c>
      <c r="D1669" s="1178" t="s">
        <v>897</v>
      </c>
      <c r="E1669" s="1179">
        <v>2018</v>
      </c>
      <c r="F1669" s="1282" t="s">
        <v>20220</v>
      </c>
      <c r="G1669" s="1368">
        <v>38</v>
      </c>
      <c r="H1669" s="1178" t="s">
        <v>20221</v>
      </c>
      <c r="I1669" s="1178" t="s">
        <v>5967</v>
      </c>
      <c r="J1669" s="1178" t="s">
        <v>662</v>
      </c>
      <c r="K1669" s="1178" t="s">
        <v>267</v>
      </c>
      <c r="L1669" s="1178" t="s">
        <v>211</v>
      </c>
      <c r="M1669" s="1369" t="s">
        <v>23297</v>
      </c>
      <c r="N1669" s="1178" t="s">
        <v>20244</v>
      </c>
      <c r="O1669" s="1178">
        <v>12</v>
      </c>
      <c r="P1669" s="1178">
        <v>13.5</v>
      </c>
    </row>
    <row r="1670" spans="1:16">
      <c r="A1670" s="1178" t="s">
        <v>20945</v>
      </c>
      <c r="B1670" s="1371" t="str">
        <f>HYPERLINK(IFERROR("#Main_Tariff!A"&amp;MATCH(Raeburn_Main_Tariff[[#This Row],[Product Code]],Main_Tariff!I:I,0),"#Main_Tariff!A"&amp;MATCH("*"&amp;RIGHT(A1670,8)&amp;"*",Main_Tariff!A:A,0)),Raeburn_Main_Tariff[[#This Row],[PRODUCER]])</f>
        <v>Domaine A &amp; JM Molin</v>
      </c>
      <c r="C1670" s="1178" t="s">
        <v>20950</v>
      </c>
      <c r="D1670" s="1178" t="s">
        <v>897</v>
      </c>
      <c r="E1670" s="1179">
        <v>2017</v>
      </c>
      <c r="F1670" s="1282" t="s">
        <v>20220</v>
      </c>
      <c r="G1670" s="1368">
        <v>38</v>
      </c>
      <c r="H1670" s="1178" t="s">
        <v>20221</v>
      </c>
      <c r="I1670" s="1178" t="s">
        <v>5969</v>
      </c>
      <c r="J1670" s="1178" t="s">
        <v>662</v>
      </c>
      <c r="K1670" s="1178" t="s">
        <v>267</v>
      </c>
      <c r="L1670" s="1178" t="s">
        <v>211</v>
      </c>
      <c r="M1670" s="1369" t="s">
        <v>23297</v>
      </c>
      <c r="N1670" s="1178" t="s">
        <v>20244</v>
      </c>
      <c r="O1670" s="1178">
        <v>6</v>
      </c>
      <c r="P1670" s="1178">
        <v>15</v>
      </c>
    </row>
    <row r="1671" spans="1:16">
      <c r="A1671" s="1178" t="s">
        <v>20945</v>
      </c>
      <c r="B1671" s="1371" t="str">
        <f>HYPERLINK(IFERROR("#Main_Tariff!A"&amp;MATCH(Raeburn_Main_Tariff[[#This Row],[Product Code]],Main_Tariff!I:I,0),"#Main_Tariff!A"&amp;MATCH("*"&amp;RIGHT(A1671,8)&amp;"*",Main_Tariff!A:A,0)),Raeburn_Main_Tariff[[#This Row],[PRODUCER]])</f>
        <v>Domaine A &amp; JM Molin</v>
      </c>
      <c r="C1671" s="1178" t="s">
        <v>20950</v>
      </c>
      <c r="D1671" s="1178" t="s">
        <v>897</v>
      </c>
      <c r="E1671" s="1179">
        <v>2016</v>
      </c>
      <c r="F1671" s="1282" t="s">
        <v>20220</v>
      </c>
      <c r="G1671" s="1368">
        <v>38</v>
      </c>
      <c r="H1671" s="1178" t="s">
        <v>20221</v>
      </c>
      <c r="I1671" s="1178" t="s">
        <v>5971</v>
      </c>
      <c r="J1671" s="1178" t="s">
        <v>662</v>
      </c>
      <c r="K1671" s="1178" t="s">
        <v>267</v>
      </c>
      <c r="L1671" s="1178" t="s">
        <v>211</v>
      </c>
      <c r="M1671" s="1369" t="s">
        <v>23297</v>
      </c>
      <c r="N1671" s="1178" t="s">
        <v>20244</v>
      </c>
      <c r="O1671" s="1178">
        <v>12</v>
      </c>
      <c r="P1671" s="1178">
        <v>13.5</v>
      </c>
    </row>
    <row r="1672" spans="1:16">
      <c r="A1672" s="1178" t="s">
        <v>20945</v>
      </c>
      <c r="B1672" s="1371" t="str">
        <f>HYPERLINK(IFERROR("#Main_Tariff!A"&amp;MATCH(Raeburn_Main_Tariff[[#This Row],[Product Code]],Main_Tariff!I:I,0),"#Main_Tariff!A"&amp;MATCH("*"&amp;RIGHT(A1672,8)&amp;"*",Main_Tariff!A:A,0)),Raeburn_Main_Tariff[[#This Row],[PRODUCER]])</f>
        <v>Domaine A &amp; JM Molin</v>
      </c>
      <c r="C1672" s="1178" t="s">
        <v>20951</v>
      </c>
      <c r="D1672" s="1178" t="s">
        <v>897</v>
      </c>
      <c r="E1672" s="1179">
        <v>2022</v>
      </c>
      <c r="F1672" s="1282" t="s">
        <v>20220</v>
      </c>
      <c r="G1672" s="1368">
        <v>215</v>
      </c>
      <c r="H1672" s="1178" t="s">
        <v>20221</v>
      </c>
      <c r="I1672" s="1178" t="s">
        <v>5975</v>
      </c>
      <c r="J1672" s="1178" t="s">
        <v>662</v>
      </c>
      <c r="K1672" s="1178" t="s">
        <v>267</v>
      </c>
      <c r="L1672" s="1178" t="s">
        <v>211</v>
      </c>
      <c r="M1672" s="1369" t="s">
        <v>23296</v>
      </c>
      <c r="N1672" s="1178" t="s">
        <v>20244</v>
      </c>
      <c r="O1672" s="1178">
        <v>6</v>
      </c>
      <c r="P1672" s="1178">
        <v>13.5</v>
      </c>
    </row>
    <row r="1673" spans="1:16">
      <c r="A1673" s="1178" t="s">
        <v>20945</v>
      </c>
      <c r="B1673" s="1371" t="str">
        <f>HYPERLINK(IFERROR("#Main_Tariff!A"&amp;MATCH(Raeburn_Main_Tariff[[#This Row],[Product Code]],Main_Tariff!I:I,0),"#Main_Tariff!A"&amp;MATCH("*"&amp;RIGHT(A1673,8)&amp;"*",Main_Tariff!A:A,0)),Raeburn_Main_Tariff[[#This Row],[PRODUCER]])</f>
        <v>Domaine A &amp; JM Molin</v>
      </c>
      <c r="C1673" s="1178" t="s">
        <v>20951</v>
      </c>
      <c r="D1673" s="1178" t="s">
        <v>897</v>
      </c>
      <c r="E1673" s="1179">
        <v>2021</v>
      </c>
      <c r="F1673" s="1282" t="s">
        <v>20220</v>
      </c>
      <c r="G1673" s="1368">
        <v>218.5</v>
      </c>
      <c r="H1673" s="1178" t="s">
        <v>20221</v>
      </c>
      <c r="I1673" s="1178" t="s">
        <v>5977</v>
      </c>
      <c r="J1673" s="1178" t="s">
        <v>662</v>
      </c>
      <c r="K1673" s="1178" t="s">
        <v>267</v>
      </c>
      <c r="L1673" s="1178" t="s">
        <v>211</v>
      </c>
      <c r="M1673" s="1369" t="s">
        <v>23296</v>
      </c>
      <c r="N1673" s="1178" t="s">
        <v>20244</v>
      </c>
      <c r="O1673" s="1178">
        <v>12</v>
      </c>
      <c r="P1673" s="1178">
        <v>13.5</v>
      </c>
    </row>
    <row r="1674" spans="1:16">
      <c r="A1674" s="1178" t="s">
        <v>20945</v>
      </c>
      <c r="B1674" s="1371" t="str">
        <f>HYPERLINK(IFERROR("#Main_Tariff!A"&amp;MATCH(Raeburn_Main_Tariff[[#This Row],[Product Code]],Main_Tariff!I:I,0),"#Main_Tariff!A"&amp;MATCH("*"&amp;RIGHT(A1674,8)&amp;"*",Main_Tariff!A:A,0)),Raeburn_Main_Tariff[[#This Row],[PRODUCER]])</f>
        <v>Domaine A &amp; JM Molin</v>
      </c>
      <c r="C1674" s="1178" t="s">
        <v>20951</v>
      </c>
      <c r="D1674" s="1178" t="s">
        <v>897</v>
      </c>
      <c r="E1674" s="1179">
        <v>2019</v>
      </c>
      <c r="F1674" s="1282" t="s">
        <v>20220</v>
      </c>
      <c r="G1674" s="1368">
        <v>218.5</v>
      </c>
      <c r="H1674" s="1178" t="s">
        <v>20221</v>
      </c>
      <c r="I1674" s="1178" t="s">
        <v>5979</v>
      </c>
      <c r="J1674" s="1178" t="s">
        <v>662</v>
      </c>
      <c r="K1674" s="1178" t="s">
        <v>267</v>
      </c>
      <c r="L1674" s="1178" t="s">
        <v>211</v>
      </c>
      <c r="M1674" s="1369" t="s">
        <v>23296</v>
      </c>
      <c r="N1674" s="1178" t="s">
        <v>20244</v>
      </c>
      <c r="O1674" s="1178">
        <v>6</v>
      </c>
      <c r="P1674" s="1178">
        <v>13.5</v>
      </c>
    </row>
    <row r="1675" spans="1:16">
      <c r="A1675" s="1178" t="s">
        <v>20945</v>
      </c>
      <c r="B1675" s="1371" t="str">
        <f>HYPERLINK(IFERROR("#Main_Tariff!A"&amp;MATCH(Raeburn_Main_Tariff[[#This Row],[Product Code]],Main_Tariff!I:I,0),"#Main_Tariff!A"&amp;MATCH("*"&amp;RIGHT(A1675,8)&amp;"*",Main_Tariff!A:A,0)),Raeburn_Main_Tariff[[#This Row],[PRODUCER]])</f>
        <v>Domaine A &amp; JM Molin</v>
      </c>
      <c r="C1675" s="1178" t="s">
        <v>20951</v>
      </c>
      <c r="D1675" s="1178" t="s">
        <v>897</v>
      </c>
      <c r="E1675" s="1179">
        <v>2018</v>
      </c>
      <c r="F1675" s="1282" t="s">
        <v>20220</v>
      </c>
      <c r="G1675" s="1368">
        <v>130</v>
      </c>
      <c r="H1675" s="1178" t="s">
        <v>20221</v>
      </c>
      <c r="I1675" s="1178" t="s">
        <v>5981</v>
      </c>
      <c r="J1675" s="1178" t="s">
        <v>662</v>
      </c>
      <c r="K1675" s="1178" t="s">
        <v>267</v>
      </c>
      <c r="L1675" s="1178" t="s">
        <v>211</v>
      </c>
      <c r="M1675" s="1369" t="s">
        <v>23296</v>
      </c>
      <c r="N1675" s="1178" t="s">
        <v>20244</v>
      </c>
      <c r="O1675" s="1178">
        <v>12</v>
      </c>
      <c r="P1675" s="1178">
        <v>13.5</v>
      </c>
    </row>
    <row r="1676" spans="1:16">
      <c r="A1676" s="1178" t="s">
        <v>20945</v>
      </c>
      <c r="B1676" s="1371" t="str">
        <f>HYPERLINK(IFERROR("#Main_Tariff!A"&amp;MATCH(Raeburn_Main_Tariff[[#This Row],[Product Code]],Main_Tariff!I:I,0),"#Main_Tariff!A"&amp;MATCH("*"&amp;RIGHT(A1676,8)&amp;"*",Main_Tariff!A:A,0)),Raeburn_Main_Tariff[[#This Row],[PRODUCER]])</f>
        <v>Domaine A &amp; JM Molin</v>
      </c>
      <c r="C1676" s="1178" t="s">
        <v>20951</v>
      </c>
      <c r="D1676" s="1178" t="s">
        <v>897</v>
      </c>
      <c r="E1676" s="1179">
        <v>2017</v>
      </c>
      <c r="F1676" s="1282" t="s">
        <v>20220</v>
      </c>
      <c r="G1676" s="1368">
        <v>128</v>
      </c>
      <c r="H1676" s="1178" t="s">
        <v>20221</v>
      </c>
      <c r="I1676" s="1178" t="s">
        <v>5983</v>
      </c>
      <c r="J1676" s="1178" t="s">
        <v>662</v>
      </c>
      <c r="K1676" s="1178" t="s">
        <v>267</v>
      </c>
      <c r="L1676" s="1178" t="s">
        <v>211</v>
      </c>
      <c r="M1676" s="1369" t="s">
        <v>23296</v>
      </c>
      <c r="N1676" s="1178" t="s">
        <v>20244</v>
      </c>
      <c r="O1676" s="1178">
        <v>6</v>
      </c>
      <c r="P1676" s="1178">
        <v>13.5</v>
      </c>
    </row>
    <row r="1677" spans="1:16">
      <c r="A1677" s="1178" t="s">
        <v>237</v>
      </c>
      <c r="B1677" s="1371" t="str">
        <f>HYPERLINK(IFERROR("#Main_Tariff!A"&amp;MATCH(Raeburn_Main_Tariff[[#This Row],[Product Code]],Main_Tariff!I:I,0),"#Main_Tariff!A"&amp;MATCH("*"&amp;RIGHT(A1677,8)&amp;"*",Main_Tariff!A:A,0)),Raeburn_Main_Tariff[[#This Row],[PRODUCER]])</f>
        <v>J.F. Mugnier</v>
      </c>
      <c r="C1677" s="1178" t="s">
        <v>20952</v>
      </c>
      <c r="D1677" s="1178" t="s">
        <v>897</v>
      </c>
      <c r="E1677" s="1179">
        <v>2022</v>
      </c>
      <c r="F1677" s="1282" t="s">
        <v>20220</v>
      </c>
      <c r="G1677" s="1368" t="s">
        <v>5258</v>
      </c>
      <c r="H1677" s="1178" t="s">
        <v>20224</v>
      </c>
      <c r="I1677" s="1178" t="s">
        <v>6010</v>
      </c>
      <c r="J1677" s="1178" t="s">
        <v>662</v>
      </c>
      <c r="K1677" s="1178" t="s">
        <v>267</v>
      </c>
      <c r="L1677" s="1178" t="s">
        <v>211</v>
      </c>
      <c r="M1677" s="1369" t="s">
        <v>23297</v>
      </c>
      <c r="N1677" s="1178"/>
      <c r="O1677" s="1178">
        <v>6</v>
      </c>
      <c r="P1677" s="1178">
        <v>14</v>
      </c>
    </row>
    <row r="1678" spans="1:16">
      <c r="A1678" s="1178" t="s">
        <v>237</v>
      </c>
      <c r="B1678" s="1371" t="str">
        <f>HYPERLINK(IFERROR("#Main_Tariff!A"&amp;MATCH(Raeburn_Main_Tariff[[#This Row],[Product Code]],Main_Tariff!I:I,0),"#Main_Tariff!A"&amp;MATCH("*"&amp;RIGHT(A1678,8)&amp;"*",Main_Tariff!A:A,0)),Raeburn_Main_Tariff[[#This Row],[PRODUCER]])</f>
        <v>J.F. Mugnier</v>
      </c>
      <c r="C1678" s="1178" t="s">
        <v>20725</v>
      </c>
      <c r="D1678" s="1178" t="s">
        <v>897</v>
      </c>
      <c r="E1678" s="1179">
        <v>2022</v>
      </c>
      <c r="F1678" s="1282" t="s">
        <v>20220</v>
      </c>
      <c r="G1678" s="1368" t="s">
        <v>5258</v>
      </c>
      <c r="H1678" s="1178" t="s">
        <v>20224</v>
      </c>
      <c r="I1678" s="1178" t="s">
        <v>6012</v>
      </c>
      <c r="J1678" s="1178" t="s">
        <v>662</v>
      </c>
      <c r="K1678" s="1178" t="s">
        <v>267</v>
      </c>
      <c r="L1678" s="1178" t="s">
        <v>211</v>
      </c>
      <c r="M1678" s="1369"/>
      <c r="N1678" s="1178"/>
      <c r="O1678" s="1178">
        <v>6</v>
      </c>
      <c r="P1678" s="1178">
        <v>13</v>
      </c>
    </row>
    <row r="1679" spans="1:16">
      <c r="A1679" s="1178" t="s">
        <v>237</v>
      </c>
      <c r="B1679" s="1371" t="str">
        <f>HYPERLINK(IFERROR("#Main_Tariff!A"&amp;MATCH(Raeburn_Main_Tariff[[#This Row],[Product Code]],Main_Tariff!I:I,0),"#Main_Tariff!A"&amp;MATCH("*"&amp;RIGHT(A1679,8)&amp;"*",Main_Tariff!A:A,0)),Raeburn_Main_Tariff[[#This Row],[PRODUCER]])</f>
        <v>J.F. Mugnier</v>
      </c>
      <c r="C1679" s="1178" t="s">
        <v>20728</v>
      </c>
      <c r="D1679" s="1178" t="s">
        <v>897</v>
      </c>
      <c r="E1679" s="1179" t="s">
        <v>19075</v>
      </c>
      <c r="F1679" s="1282" t="s">
        <v>20220</v>
      </c>
      <c r="G1679" s="1368" t="s">
        <v>5258</v>
      </c>
      <c r="H1679" s="1178" t="s">
        <v>20224</v>
      </c>
      <c r="I1679" s="1178" t="s">
        <v>6014</v>
      </c>
      <c r="J1679" s="1178" t="s">
        <v>662</v>
      </c>
      <c r="K1679" s="1178" t="s">
        <v>267</v>
      </c>
      <c r="L1679" s="1178" t="s">
        <v>211</v>
      </c>
      <c r="M1679" s="1369" t="s">
        <v>23297</v>
      </c>
      <c r="N1679" s="1178"/>
      <c r="O1679" s="1178">
        <v>3</v>
      </c>
      <c r="P1679" s="1178">
        <v>13.5</v>
      </c>
    </row>
    <row r="1680" spans="1:16">
      <c r="A1680" s="1178" t="s">
        <v>237</v>
      </c>
      <c r="B1680" s="1371" t="str">
        <f>HYPERLINK(IFERROR("#Main_Tariff!A"&amp;MATCH(Raeburn_Main_Tariff[[#This Row],[Product Code]],Main_Tariff!I:I,0),"#Main_Tariff!A"&amp;MATCH("*"&amp;RIGHT(A1680,8)&amp;"*",Main_Tariff!A:A,0)),Raeburn_Main_Tariff[[#This Row],[PRODUCER]])</f>
        <v>J.F. Mugnier</v>
      </c>
      <c r="C1680" s="1178" t="s">
        <v>20953</v>
      </c>
      <c r="D1680" s="1178" t="s">
        <v>897</v>
      </c>
      <c r="E1680" s="1179" t="s">
        <v>19075</v>
      </c>
      <c r="F1680" s="1282" t="s">
        <v>20220</v>
      </c>
      <c r="G1680" s="1368" t="s">
        <v>5258</v>
      </c>
      <c r="H1680" s="1178" t="s">
        <v>20224</v>
      </c>
      <c r="I1680" s="1178" t="s">
        <v>6016</v>
      </c>
      <c r="J1680" s="1178" t="s">
        <v>662</v>
      </c>
      <c r="K1680" s="1178" t="s">
        <v>267</v>
      </c>
      <c r="L1680" s="1178" t="s">
        <v>211</v>
      </c>
      <c r="M1680" s="1369" t="s">
        <v>23297</v>
      </c>
      <c r="N1680" s="1178"/>
      <c r="O1680" s="1178">
        <v>3</v>
      </c>
      <c r="P1680" s="1178">
        <v>13</v>
      </c>
    </row>
    <row r="1681" spans="1:16">
      <c r="A1681" s="1178" t="s">
        <v>237</v>
      </c>
      <c r="B1681" s="1371" t="str">
        <f>HYPERLINK(IFERROR("#Main_Tariff!A"&amp;MATCH(Raeburn_Main_Tariff[[#This Row],[Product Code]],Main_Tariff!I:I,0),"#Main_Tariff!A"&amp;MATCH("*"&amp;RIGHT(A1681,8)&amp;"*",Main_Tariff!A:A,0)),Raeburn_Main_Tariff[[#This Row],[PRODUCER]])</f>
        <v>J.F. Mugnier</v>
      </c>
      <c r="C1681" s="1178" t="s">
        <v>20954</v>
      </c>
      <c r="D1681" s="1178" t="s">
        <v>897</v>
      </c>
      <c r="E1681" s="1179">
        <v>2017</v>
      </c>
      <c r="F1681" s="1282" t="s">
        <v>20220</v>
      </c>
      <c r="G1681" s="1368" t="s">
        <v>5258</v>
      </c>
      <c r="H1681" s="1178" t="s">
        <v>20224</v>
      </c>
      <c r="I1681" s="1178" t="s">
        <v>6018</v>
      </c>
      <c r="J1681" s="1178" t="s">
        <v>662</v>
      </c>
      <c r="K1681" s="1178" t="s">
        <v>267</v>
      </c>
      <c r="L1681" s="1178" t="s">
        <v>211</v>
      </c>
      <c r="M1681" s="1369" t="s">
        <v>23296</v>
      </c>
      <c r="N1681" s="1178"/>
      <c r="O1681" s="1178">
        <v>3</v>
      </c>
      <c r="P1681" s="1178">
        <v>13</v>
      </c>
    </row>
    <row r="1682" spans="1:16">
      <c r="A1682" s="1178" t="s">
        <v>20955</v>
      </c>
      <c r="B1682" s="1371" t="str">
        <f>HYPERLINK(IFERROR("#Main_Tariff!A"&amp;MATCH(Raeburn_Main_Tariff[[#This Row],[Product Code]],Main_Tariff!I:I,0),"#Main_Tariff!A"&amp;MATCH("*"&amp;RIGHT(A1682,8)&amp;"*",Main_Tariff!A:A,0)),Raeburn_Main_Tariff[[#This Row],[PRODUCER]])</f>
        <v>Domaine Chantal Remy</v>
      </c>
      <c r="C1682" s="1178" t="s">
        <v>20956</v>
      </c>
      <c r="D1682" s="1178" t="s">
        <v>897</v>
      </c>
      <c r="E1682" s="1179">
        <v>2018</v>
      </c>
      <c r="F1682" s="1282" t="s">
        <v>20220</v>
      </c>
      <c r="G1682" s="1368">
        <v>26</v>
      </c>
      <c r="H1682" s="1178" t="s">
        <v>20224</v>
      </c>
      <c r="I1682" s="1178" t="s">
        <v>6060</v>
      </c>
      <c r="J1682" s="1178" t="s">
        <v>662</v>
      </c>
      <c r="K1682" s="1178" t="s">
        <v>267</v>
      </c>
      <c r="L1682" s="1178" t="s">
        <v>211</v>
      </c>
      <c r="M1682" s="1369"/>
      <c r="N1682" s="1178"/>
      <c r="O1682" s="1178">
        <v>6</v>
      </c>
      <c r="P1682" s="1178">
        <v>13</v>
      </c>
    </row>
    <row r="1683" spans="1:16">
      <c r="A1683" s="1178" t="s">
        <v>20955</v>
      </c>
      <c r="B1683" s="1371" t="str">
        <f>HYPERLINK(IFERROR("#Main_Tariff!A"&amp;MATCH(Raeburn_Main_Tariff[[#This Row],[Product Code]],Main_Tariff!I:I,0),"#Main_Tariff!A"&amp;MATCH("*"&amp;RIGHT(A1683,8)&amp;"*",Main_Tariff!A:A,0)),Raeburn_Main_Tariff[[#This Row],[PRODUCER]])</f>
        <v>Domaine Chantal Remy</v>
      </c>
      <c r="C1683" s="1178" t="s">
        <v>20924</v>
      </c>
      <c r="D1683" s="1178" t="s">
        <v>897</v>
      </c>
      <c r="E1683" s="1179">
        <v>2012</v>
      </c>
      <c r="F1683" s="1282" t="s">
        <v>20220</v>
      </c>
      <c r="G1683" s="1368">
        <v>70</v>
      </c>
      <c r="H1683" s="1178" t="s">
        <v>20221</v>
      </c>
      <c r="I1683" s="1178" t="s">
        <v>6062</v>
      </c>
      <c r="J1683" s="1178" t="s">
        <v>662</v>
      </c>
      <c r="K1683" s="1178" t="s">
        <v>267</v>
      </c>
      <c r="L1683" s="1178" t="s">
        <v>211</v>
      </c>
      <c r="M1683" s="1369" t="s">
        <v>23297</v>
      </c>
      <c r="N1683" s="1178"/>
      <c r="O1683" s="1178">
        <v>6</v>
      </c>
      <c r="P1683" s="1178">
        <v>13</v>
      </c>
    </row>
    <row r="1684" spans="1:16">
      <c r="A1684" s="1178" t="s">
        <v>20955</v>
      </c>
      <c r="B1684" s="1371" t="str">
        <f>HYPERLINK(IFERROR("#Main_Tariff!A"&amp;MATCH(Raeburn_Main_Tariff[[#This Row],[Product Code]],Main_Tariff!I:I,0),"#Main_Tariff!A"&amp;MATCH("*"&amp;RIGHT(A1684,8)&amp;"*",Main_Tariff!A:A,0)),Raeburn_Main_Tariff[[#This Row],[PRODUCER]])</f>
        <v>Domaine Chantal Remy</v>
      </c>
      <c r="C1684" s="1178" t="s">
        <v>20957</v>
      </c>
      <c r="D1684" s="1178" t="s">
        <v>897</v>
      </c>
      <c r="E1684" s="1179">
        <v>2022</v>
      </c>
      <c r="F1684" s="1282" t="s">
        <v>20220</v>
      </c>
      <c r="G1684" s="1368">
        <v>78</v>
      </c>
      <c r="H1684" s="1178" t="s">
        <v>20221</v>
      </c>
      <c r="I1684" s="1178" t="s">
        <v>6066</v>
      </c>
      <c r="J1684" s="1178" t="s">
        <v>662</v>
      </c>
      <c r="K1684" s="1178" t="s">
        <v>267</v>
      </c>
      <c r="L1684" s="1178" t="s">
        <v>211</v>
      </c>
      <c r="M1684" s="1369"/>
      <c r="N1684" s="1178"/>
      <c r="O1684" s="1178">
        <v>6</v>
      </c>
      <c r="P1684" s="1178">
        <v>13.5</v>
      </c>
    </row>
    <row r="1685" spans="1:16">
      <c r="A1685" s="1178" t="s">
        <v>20955</v>
      </c>
      <c r="B1685" s="1371" t="str">
        <f>HYPERLINK(IFERROR("#Main_Tariff!A"&amp;MATCH(Raeburn_Main_Tariff[[#This Row],[Product Code]],Main_Tariff!I:I,0),"#Main_Tariff!A"&amp;MATCH("*"&amp;RIGHT(A1685,8)&amp;"*",Main_Tariff!A:A,0)),Raeburn_Main_Tariff[[#This Row],[PRODUCER]])</f>
        <v>Domaine Chantal Remy</v>
      </c>
      <c r="C1685" s="1178" t="s">
        <v>20957</v>
      </c>
      <c r="D1685" s="1178" t="s">
        <v>897</v>
      </c>
      <c r="E1685" s="1179">
        <v>2021</v>
      </c>
      <c r="F1685" s="1282" t="s">
        <v>20220</v>
      </c>
      <c r="G1685" s="1368">
        <v>78</v>
      </c>
      <c r="H1685" s="1178" t="s">
        <v>20221</v>
      </c>
      <c r="I1685" s="1178" t="s">
        <v>6067</v>
      </c>
      <c r="J1685" s="1178" t="s">
        <v>662</v>
      </c>
      <c r="K1685" s="1178" t="s">
        <v>267</v>
      </c>
      <c r="L1685" s="1178" t="s">
        <v>211</v>
      </c>
      <c r="M1685" s="1369"/>
      <c r="N1685" s="1178"/>
      <c r="O1685" s="1178">
        <v>6</v>
      </c>
      <c r="P1685" s="1178">
        <v>13.5</v>
      </c>
    </row>
    <row r="1686" spans="1:16">
      <c r="A1686" s="1178" t="s">
        <v>20955</v>
      </c>
      <c r="B1686" s="1371" t="str">
        <f>HYPERLINK(IFERROR("#Main_Tariff!A"&amp;MATCH(Raeburn_Main_Tariff[[#This Row],[Product Code]],Main_Tariff!I:I,0),"#Main_Tariff!A"&amp;MATCH("*"&amp;RIGHT(A1686,8)&amp;"*",Main_Tariff!A:A,0)),Raeburn_Main_Tariff[[#This Row],[PRODUCER]])</f>
        <v>Domaine Chantal Remy</v>
      </c>
      <c r="C1686" s="1178" t="s">
        <v>20957</v>
      </c>
      <c r="D1686" s="1178" t="s">
        <v>897</v>
      </c>
      <c r="E1686" s="1179">
        <v>2020</v>
      </c>
      <c r="F1686" s="1282" t="s">
        <v>20220</v>
      </c>
      <c r="G1686" s="1368">
        <v>74</v>
      </c>
      <c r="H1686" s="1178" t="s">
        <v>20221</v>
      </c>
      <c r="I1686" s="1178" t="s">
        <v>6069</v>
      </c>
      <c r="J1686" s="1178" t="s">
        <v>662</v>
      </c>
      <c r="K1686" s="1178" t="s">
        <v>267</v>
      </c>
      <c r="L1686" s="1178" t="s">
        <v>211</v>
      </c>
      <c r="M1686" s="1369"/>
      <c r="N1686" s="1178"/>
      <c r="O1686" s="1178">
        <v>6</v>
      </c>
      <c r="P1686" s="1178">
        <v>13.5</v>
      </c>
    </row>
    <row r="1687" spans="1:16">
      <c r="A1687" s="1178" t="s">
        <v>20955</v>
      </c>
      <c r="B1687" s="1371" t="str">
        <f>HYPERLINK(IFERROR("#Main_Tariff!A"&amp;MATCH(Raeburn_Main_Tariff[[#This Row],[Product Code]],Main_Tariff!I:I,0),"#Main_Tariff!A"&amp;MATCH("*"&amp;RIGHT(A1687,8)&amp;"*",Main_Tariff!A:A,0)),Raeburn_Main_Tariff[[#This Row],[PRODUCER]])</f>
        <v>Domaine Chantal Remy</v>
      </c>
      <c r="C1687" s="1178" t="s">
        <v>20957</v>
      </c>
      <c r="D1687" s="1178" t="s">
        <v>897</v>
      </c>
      <c r="E1687" s="1179">
        <v>2019</v>
      </c>
      <c r="F1687" s="1282" t="s">
        <v>20220</v>
      </c>
      <c r="G1687" s="1368">
        <v>73</v>
      </c>
      <c r="H1687" s="1178" t="s">
        <v>20221</v>
      </c>
      <c r="I1687" s="1178" t="s">
        <v>6071</v>
      </c>
      <c r="J1687" s="1178" t="s">
        <v>662</v>
      </c>
      <c r="K1687" s="1178" t="s">
        <v>267</v>
      </c>
      <c r="L1687" s="1178" t="s">
        <v>211</v>
      </c>
      <c r="M1687" s="1369"/>
      <c r="N1687" s="1178"/>
      <c r="O1687" s="1178">
        <v>6</v>
      </c>
      <c r="P1687" s="1178">
        <v>13</v>
      </c>
    </row>
    <row r="1688" spans="1:16">
      <c r="A1688" s="1178" t="s">
        <v>20955</v>
      </c>
      <c r="B1688" s="1371" t="str">
        <f>HYPERLINK(IFERROR("#Main_Tariff!A"&amp;MATCH(Raeburn_Main_Tariff[[#This Row],[Product Code]],Main_Tariff!I:I,0),"#Main_Tariff!A"&amp;MATCH("*"&amp;RIGHT(A1688,8)&amp;"*",Main_Tariff!A:A,0)),Raeburn_Main_Tariff[[#This Row],[PRODUCER]])</f>
        <v>Domaine Chantal Remy</v>
      </c>
      <c r="C1688" s="1178" t="s">
        <v>20957</v>
      </c>
      <c r="D1688" s="1178" t="s">
        <v>897</v>
      </c>
      <c r="E1688" s="1179">
        <v>2018</v>
      </c>
      <c r="F1688" s="1282" t="s">
        <v>20220</v>
      </c>
      <c r="G1688" s="1368">
        <v>73</v>
      </c>
      <c r="H1688" s="1178" t="s">
        <v>20221</v>
      </c>
      <c r="I1688" s="1178" t="s">
        <v>6073</v>
      </c>
      <c r="J1688" s="1178" t="s">
        <v>662</v>
      </c>
      <c r="K1688" s="1178" t="s">
        <v>267</v>
      </c>
      <c r="L1688" s="1178" t="s">
        <v>211</v>
      </c>
      <c r="M1688" s="1369"/>
      <c r="N1688" s="1178"/>
      <c r="O1688" s="1178">
        <v>6</v>
      </c>
      <c r="P1688" s="1178">
        <v>13.5</v>
      </c>
    </row>
    <row r="1689" spans="1:16">
      <c r="A1689" s="1178" t="s">
        <v>20955</v>
      </c>
      <c r="B1689" s="1371" t="str">
        <f>HYPERLINK(IFERROR("#Main_Tariff!A"&amp;MATCH(Raeburn_Main_Tariff[[#This Row],[Product Code]],Main_Tariff!I:I,0),"#Main_Tariff!A"&amp;MATCH("*"&amp;RIGHT(A1689,8)&amp;"*",Main_Tariff!A:A,0)),Raeburn_Main_Tariff[[#This Row],[PRODUCER]])</f>
        <v>Domaine Chantal Remy</v>
      </c>
      <c r="C1689" s="1178" t="s">
        <v>20957</v>
      </c>
      <c r="D1689" s="1178" t="s">
        <v>897</v>
      </c>
      <c r="E1689" s="1179">
        <v>2017</v>
      </c>
      <c r="F1689" s="1282" t="s">
        <v>20220</v>
      </c>
      <c r="G1689" s="1368">
        <v>72</v>
      </c>
      <c r="H1689" s="1178" t="s">
        <v>20221</v>
      </c>
      <c r="I1689" s="1178" t="s">
        <v>6075</v>
      </c>
      <c r="J1689" s="1178" t="s">
        <v>662</v>
      </c>
      <c r="K1689" s="1178" t="s">
        <v>267</v>
      </c>
      <c r="L1689" s="1178" t="s">
        <v>211</v>
      </c>
      <c r="M1689" s="1369"/>
      <c r="N1689" s="1178"/>
      <c r="O1689" s="1178">
        <v>6</v>
      </c>
      <c r="P1689" s="1178">
        <v>13</v>
      </c>
    </row>
    <row r="1690" spans="1:16">
      <c r="A1690" s="1178" t="s">
        <v>20955</v>
      </c>
      <c r="B1690" s="1371" t="str">
        <f>HYPERLINK(IFERROR("#Main_Tariff!A"&amp;MATCH(Raeburn_Main_Tariff[[#This Row],[Product Code]],Main_Tariff!I:I,0),"#Main_Tariff!A"&amp;MATCH("*"&amp;RIGHT(A1690,8)&amp;"*",Main_Tariff!A:A,0)),Raeburn_Main_Tariff[[#This Row],[PRODUCER]])</f>
        <v>Domaine Chantal Remy</v>
      </c>
      <c r="C1690" s="1178" t="s">
        <v>20957</v>
      </c>
      <c r="D1690" s="1178" t="s">
        <v>897</v>
      </c>
      <c r="E1690" s="1179">
        <v>2014</v>
      </c>
      <c r="F1690" s="1282" t="s">
        <v>20220</v>
      </c>
      <c r="G1690" s="1368">
        <v>63</v>
      </c>
      <c r="H1690" s="1178" t="s">
        <v>20277</v>
      </c>
      <c r="I1690" s="1178" t="s">
        <v>6078</v>
      </c>
      <c r="J1690" s="1178" t="s">
        <v>662</v>
      </c>
      <c r="K1690" s="1178" t="s">
        <v>267</v>
      </c>
      <c r="L1690" s="1178" t="s">
        <v>211</v>
      </c>
      <c r="M1690" s="1369"/>
      <c r="N1690" s="1178"/>
      <c r="O1690" s="1178">
        <v>6</v>
      </c>
      <c r="P1690" s="1178">
        <v>12.5</v>
      </c>
    </row>
    <row r="1691" spans="1:16">
      <c r="A1691" s="1178" t="s">
        <v>20955</v>
      </c>
      <c r="B1691" s="1371" t="str">
        <f>HYPERLINK(IFERROR("#Main_Tariff!A"&amp;MATCH(Raeburn_Main_Tariff[[#This Row],[Product Code]],Main_Tariff!I:I,0),"#Main_Tariff!A"&amp;MATCH("*"&amp;RIGHT(A1691,8)&amp;"*",Main_Tariff!A:A,0)),Raeburn_Main_Tariff[[#This Row],[PRODUCER]])</f>
        <v>Domaine Chantal Remy</v>
      </c>
      <c r="C1691" s="1178" t="s">
        <v>20957</v>
      </c>
      <c r="D1691" s="1178" t="s">
        <v>897</v>
      </c>
      <c r="E1691" s="1179">
        <v>2011</v>
      </c>
      <c r="F1691" s="1282" t="s">
        <v>20220</v>
      </c>
      <c r="G1691" s="1368">
        <v>63</v>
      </c>
      <c r="H1691" s="1178" t="s">
        <v>20221</v>
      </c>
      <c r="I1691" s="1178" t="s">
        <v>6080</v>
      </c>
      <c r="J1691" s="1178" t="s">
        <v>662</v>
      </c>
      <c r="K1691" s="1178" t="s">
        <v>267</v>
      </c>
      <c r="L1691" s="1178" t="s">
        <v>211</v>
      </c>
      <c r="M1691" s="1369"/>
      <c r="N1691" s="1178"/>
      <c r="O1691" s="1178">
        <v>6</v>
      </c>
      <c r="P1691" s="1178">
        <v>12.5</v>
      </c>
    </row>
    <row r="1692" spans="1:16">
      <c r="A1692" s="1178" t="s">
        <v>20955</v>
      </c>
      <c r="B1692" s="1371" t="str">
        <f>HYPERLINK(IFERROR("#Main_Tariff!A"&amp;MATCH(Raeburn_Main_Tariff[[#This Row],[Product Code]],Main_Tariff!I:I,0),"#Main_Tariff!A"&amp;MATCH("*"&amp;RIGHT(A1692,8)&amp;"*",Main_Tariff!A:A,0)),Raeburn_Main_Tariff[[#This Row],[PRODUCER]])</f>
        <v>Domaine Chantal Remy</v>
      </c>
      <c r="C1692" s="1178" t="s">
        <v>20958</v>
      </c>
      <c r="D1692" s="1178" t="s">
        <v>897</v>
      </c>
      <c r="E1692" s="1179">
        <v>2022</v>
      </c>
      <c r="F1692" s="1282" t="s">
        <v>20288</v>
      </c>
      <c r="G1692" s="1368">
        <v>376</v>
      </c>
      <c r="H1692" s="1178" t="s">
        <v>20224</v>
      </c>
      <c r="I1692" s="1178" t="s">
        <v>6082</v>
      </c>
      <c r="J1692" s="1178" t="s">
        <v>662</v>
      </c>
      <c r="K1692" s="1178" t="s">
        <v>267</v>
      </c>
      <c r="L1692" s="1178" t="s">
        <v>211</v>
      </c>
      <c r="M1692" s="1369"/>
      <c r="N1692" s="1178"/>
      <c r="O1692" s="1178">
        <v>1</v>
      </c>
      <c r="P1692" s="1178">
        <v>13.5</v>
      </c>
    </row>
    <row r="1693" spans="1:16">
      <c r="A1693" s="1178" t="s">
        <v>20955</v>
      </c>
      <c r="B1693" s="1371" t="str">
        <f>HYPERLINK(IFERROR("#Main_Tariff!A"&amp;MATCH(Raeburn_Main_Tariff[[#This Row],[Product Code]],Main_Tariff!I:I,0),"#Main_Tariff!A"&amp;MATCH("*"&amp;RIGHT(A1693,8)&amp;"*",Main_Tariff!A:A,0)),Raeburn_Main_Tariff[[#This Row],[PRODUCER]])</f>
        <v>Domaine Chantal Remy</v>
      </c>
      <c r="C1693" s="1178" t="s">
        <v>20958</v>
      </c>
      <c r="D1693" s="1178" t="s">
        <v>897</v>
      </c>
      <c r="E1693" s="1179">
        <v>2013</v>
      </c>
      <c r="F1693" s="1282" t="s">
        <v>20288</v>
      </c>
      <c r="G1693" s="1368">
        <v>263</v>
      </c>
      <c r="H1693" s="1178" t="s">
        <v>20224</v>
      </c>
      <c r="I1693" s="1178" t="s">
        <v>6084</v>
      </c>
      <c r="J1693" s="1178" t="s">
        <v>662</v>
      </c>
      <c r="K1693" s="1178" t="s">
        <v>267</v>
      </c>
      <c r="L1693" s="1178" t="s">
        <v>211</v>
      </c>
      <c r="M1693" s="1369"/>
      <c r="N1693" s="1178"/>
      <c r="O1693" s="1178">
        <v>1</v>
      </c>
      <c r="P1693" s="1178">
        <v>12.5</v>
      </c>
    </row>
    <row r="1694" spans="1:16">
      <c r="A1694" s="1178" t="s">
        <v>20955</v>
      </c>
      <c r="B1694" s="1371" t="str">
        <f>HYPERLINK(IFERROR("#Main_Tariff!A"&amp;MATCH(Raeburn_Main_Tariff[[#This Row],[Product Code]],Main_Tariff!I:I,0),"#Main_Tariff!A"&amp;MATCH("*"&amp;RIGHT(A1694,8)&amp;"*",Main_Tariff!A:A,0)),Raeburn_Main_Tariff[[#This Row],[PRODUCER]])</f>
        <v>Domaine Chantal Remy</v>
      </c>
      <c r="C1694" s="1178" t="s">
        <v>20959</v>
      </c>
      <c r="D1694" s="1178" t="s">
        <v>897</v>
      </c>
      <c r="E1694" s="1179">
        <v>2022</v>
      </c>
      <c r="F1694" s="1282" t="s">
        <v>20220</v>
      </c>
      <c r="G1694" s="1368">
        <v>132</v>
      </c>
      <c r="H1694" s="1178" t="s">
        <v>20224</v>
      </c>
      <c r="I1694" s="1178" t="s">
        <v>6087</v>
      </c>
      <c r="J1694" s="1178" t="s">
        <v>662</v>
      </c>
      <c r="K1694" s="1178" t="s">
        <v>267</v>
      </c>
      <c r="L1694" s="1178" t="s">
        <v>211</v>
      </c>
      <c r="M1694" s="1369" t="s">
        <v>23296</v>
      </c>
      <c r="N1694" s="1178"/>
      <c r="O1694" s="1178">
        <v>3</v>
      </c>
      <c r="P1694" s="1178">
        <v>13</v>
      </c>
    </row>
    <row r="1695" spans="1:16">
      <c r="A1695" s="1178" t="s">
        <v>20955</v>
      </c>
      <c r="B1695" s="1371" t="str">
        <f>HYPERLINK(IFERROR("#Main_Tariff!A"&amp;MATCH(Raeburn_Main_Tariff[[#This Row],[Product Code]],Main_Tariff!I:I,0),"#Main_Tariff!A"&amp;MATCH("*"&amp;RIGHT(A1695,8)&amp;"*",Main_Tariff!A:A,0)),Raeburn_Main_Tariff[[#This Row],[PRODUCER]])</f>
        <v>Domaine Chantal Remy</v>
      </c>
      <c r="C1695" s="1178" t="s">
        <v>20959</v>
      </c>
      <c r="D1695" s="1178" t="s">
        <v>897</v>
      </c>
      <c r="E1695" s="1179">
        <v>2021</v>
      </c>
      <c r="F1695" s="1282" t="s">
        <v>20220</v>
      </c>
      <c r="G1695" s="1368">
        <v>132</v>
      </c>
      <c r="H1695" s="1178" t="s">
        <v>20224</v>
      </c>
      <c r="I1695" s="1178" t="s">
        <v>6089</v>
      </c>
      <c r="J1695" s="1178" t="s">
        <v>662</v>
      </c>
      <c r="K1695" s="1178" t="s">
        <v>267</v>
      </c>
      <c r="L1695" s="1178" t="s">
        <v>211</v>
      </c>
      <c r="M1695" s="1369" t="s">
        <v>23296</v>
      </c>
      <c r="N1695" s="1178"/>
      <c r="O1695" s="1178">
        <v>3</v>
      </c>
      <c r="P1695" s="1178">
        <v>14.5</v>
      </c>
    </row>
    <row r="1696" spans="1:16">
      <c r="A1696" s="1178" t="s">
        <v>20955</v>
      </c>
      <c r="B1696" s="1371" t="str">
        <f>HYPERLINK(IFERROR("#Main_Tariff!A"&amp;MATCH(Raeburn_Main_Tariff[[#This Row],[Product Code]],Main_Tariff!I:I,0),"#Main_Tariff!A"&amp;MATCH("*"&amp;RIGHT(A1696,8)&amp;"*",Main_Tariff!A:A,0)),Raeburn_Main_Tariff[[#This Row],[PRODUCER]])</f>
        <v>Domaine Chantal Remy</v>
      </c>
      <c r="C1696" s="1178" t="s">
        <v>20959</v>
      </c>
      <c r="D1696" s="1178" t="s">
        <v>897</v>
      </c>
      <c r="E1696" s="1179">
        <v>2020</v>
      </c>
      <c r="F1696" s="1282" t="s">
        <v>20220</v>
      </c>
      <c r="G1696" s="1368">
        <v>125</v>
      </c>
      <c r="H1696" s="1178" t="s">
        <v>20224</v>
      </c>
      <c r="I1696" s="1178" t="s">
        <v>6091</v>
      </c>
      <c r="J1696" s="1178" t="s">
        <v>662</v>
      </c>
      <c r="K1696" s="1178" t="s">
        <v>267</v>
      </c>
      <c r="L1696" s="1178" t="s">
        <v>211</v>
      </c>
      <c r="M1696" s="1369" t="s">
        <v>23296</v>
      </c>
      <c r="N1696" s="1178"/>
      <c r="O1696" s="1178">
        <v>3</v>
      </c>
      <c r="P1696" s="1178">
        <v>14.5</v>
      </c>
    </row>
    <row r="1697" spans="1:16">
      <c r="A1697" s="1178" t="s">
        <v>20955</v>
      </c>
      <c r="B1697" s="1371" t="str">
        <f>HYPERLINK(IFERROR("#Main_Tariff!A"&amp;MATCH(Raeburn_Main_Tariff[[#This Row],[Product Code]],Main_Tariff!I:I,0),"#Main_Tariff!A"&amp;MATCH("*"&amp;RIGHT(A1697,8)&amp;"*",Main_Tariff!A:A,0)),Raeburn_Main_Tariff[[#This Row],[PRODUCER]])</f>
        <v>Domaine Chantal Remy</v>
      </c>
      <c r="C1697" s="1178" t="s">
        <v>20959</v>
      </c>
      <c r="D1697" s="1178" t="s">
        <v>897</v>
      </c>
      <c r="E1697" s="1179">
        <v>2019</v>
      </c>
      <c r="F1697" s="1282" t="s">
        <v>20220</v>
      </c>
      <c r="G1697" s="1368">
        <v>119</v>
      </c>
      <c r="H1697" s="1178" t="s">
        <v>20221</v>
      </c>
      <c r="I1697" s="1178" t="s">
        <v>6093</v>
      </c>
      <c r="J1697" s="1178" t="s">
        <v>662</v>
      </c>
      <c r="K1697" s="1178" t="s">
        <v>267</v>
      </c>
      <c r="L1697" s="1178" t="s">
        <v>211</v>
      </c>
      <c r="M1697" s="1369" t="s">
        <v>23296</v>
      </c>
      <c r="N1697" s="1178"/>
      <c r="O1697" s="1178">
        <v>6</v>
      </c>
      <c r="P1697" s="1178">
        <v>14.5</v>
      </c>
    </row>
    <row r="1698" spans="1:16">
      <c r="A1698" s="1178" t="s">
        <v>20955</v>
      </c>
      <c r="B1698" s="1371" t="str">
        <f>HYPERLINK(IFERROR("#Main_Tariff!A"&amp;MATCH(Raeburn_Main_Tariff[[#This Row],[Product Code]],Main_Tariff!I:I,0),"#Main_Tariff!A"&amp;MATCH("*"&amp;RIGHT(A1698,8)&amp;"*",Main_Tariff!A:A,0)),Raeburn_Main_Tariff[[#This Row],[PRODUCER]])</f>
        <v>Domaine Chantal Remy</v>
      </c>
      <c r="C1698" s="1178" t="s">
        <v>20959</v>
      </c>
      <c r="D1698" s="1178" t="s">
        <v>897</v>
      </c>
      <c r="E1698" s="1179">
        <v>2017</v>
      </c>
      <c r="F1698" s="1282" t="s">
        <v>20220</v>
      </c>
      <c r="G1698" s="1368">
        <v>115</v>
      </c>
      <c r="H1698" s="1178" t="s">
        <v>20221</v>
      </c>
      <c r="I1698" s="1178" t="s">
        <v>6095</v>
      </c>
      <c r="J1698" s="1178" t="s">
        <v>662</v>
      </c>
      <c r="K1698" s="1178" t="s">
        <v>267</v>
      </c>
      <c r="L1698" s="1178" t="s">
        <v>211</v>
      </c>
      <c r="M1698" s="1369" t="s">
        <v>23296</v>
      </c>
      <c r="N1698" s="1178"/>
      <c r="O1698" s="1178">
        <v>6</v>
      </c>
      <c r="P1698" s="1178">
        <v>13</v>
      </c>
    </row>
    <row r="1699" spans="1:16">
      <c r="A1699" s="1178" t="s">
        <v>20955</v>
      </c>
      <c r="B1699" s="1371" t="str">
        <f>HYPERLINK(IFERROR("#Main_Tariff!A"&amp;MATCH(Raeburn_Main_Tariff[[#This Row],[Product Code]],Main_Tariff!I:I,0),"#Main_Tariff!A"&amp;MATCH("*"&amp;RIGHT(A1699,8)&amp;"*",Main_Tariff!A:A,0)),Raeburn_Main_Tariff[[#This Row],[PRODUCER]])</f>
        <v>Domaine Chantal Remy</v>
      </c>
      <c r="C1699" s="1178" t="s">
        <v>20959</v>
      </c>
      <c r="D1699" s="1178" t="s">
        <v>897</v>
      </c>
      <c r="E1699" s="1179">
        <v>2016</v>
      </c>
      <c r="F1699" s="1282" t="s">
        <v>20220</v>
      </c>
      <c r="G1699" s="1368">
        <v>115</v>
      </c>
      <c r="H1699" s="1178" t="s">
        <v>20221</v>
      </c>
      <c r="I1699" s="1178" t="s">
        <v>6097</v>
      </c>
      <c r="J1699" s="1178" t="s">
        <v>662</v>
      </c>
      <c r="K1699" s="1178" t="s">
        <v>267</v>
      </c>
      <c r="L1699" s="1178" t="s">
        <v>211</v>
      </c>
      <c r="M1699" s="1369" t="s">
        <v>23296</v>
      </c>
      <c r="N1699" s="1178"/>
      <c r="O1699" s="1178">
        <v>6</v>
      </c>
      <c r="P1699" s="1178">
        <v>13</v>
      </c>
    </row>
    <row r="1700" spans="1:16">
      <c r="A1700" s="1178" t="s">
        <v>20955</v>
      </c>
      <c r="B1700" s="1371" t="str">
        <f>HYPERLINK(IFERROR("#Main_Tariff!A"&amp;MATCH(Raeburn_Main_Tariff[[#This Row],[Product Code]],Main_Tariff!I:I,0),"#Main_Tariff!A"&amp;MATCH("*"&amp;RIGHT(A1700,8)&amp;"*",Main_Tariff!A:A,0)),Raeburn_Main_Tariff[[#This Row],[PRODUCER]])</f>
        <v>Domaine Chantal Remy</v>
      </c>
      <c r="C1700" s="1178" t="s">
        <v>20959</v>
      </c>
      <c r="D1700" s="1178" t="s">
        <v>897</v>
      </c>
      <c r="E1700" s="1179">
        <v>2015</v>
      </c>
      <c r="F1700" s="1282" t="s">
        <v>20220</v>
      </c>
      <c r="G1700" s="1368">
        <v>115</v>
      </c>
      <c r="H1700" s="1178" t="s">
        <v>20221</v>
      </c>
      <c r="I1700" s="1178" t="s">
        <v>6099</v>
      </c>
      <c r="J1700" s="1178" t="s">
        <v>662</v>
      </c>
      <c r="K1700" s="1178" t="s">
        <v>267</v>
      </c>
      <c r="L1700" s="1178" t="s">
        <v>211</v>
      </c>
      <c r="M1700" s="1369" t="s">
        <v>23296</v>
      </c>
      <c r="N1700" s="1178"/>
      <c r="O1700" s="1178">
        <v>6</v>
      </c>
      <c r="P1700" s="1178">
        <v>13</v>
      </c>
    </row>
    <row r="1701" spans="1:16">
      <c r="A1701" s="1178" t="s">
        <v>20955</v>
      </c>
      <c r="B1701" s="1371" t="str">
        <f>HYPERLINK(IFERROR("#Main_Tariff!A"&amp;MATCH(Raeburn_Main_Tariff[[#This Row],[Product Code]],Main_Tariff!I:I,0),"#Main_Tariff!A"&amp;MATCH("*"&amp;RIGHT(A1701,8)&amp;"*",Main_Tariff!A:A,0)),Raeburn_Main_Tariff[[#This Row],[PRODUCER]])</f>
        <v>Domaine Chantal Remy</v>
      </c>
      <c r="C1701" s="1178" t="s">
        <v>20959</v>
      </c>
      <c r="D1701" s="1178" t="s">
        <v>897</v>
      </c>
      <c r="E1701" s="1179">
        <v>2014</v>
      </c>
      <c r="F1701" s="1282" t="s">
        <v>20220</v>
      </c>
      <c r="G1701" s="1368">
        <v>110</v>
      </c>
      <c r="H1701" s="1178" t="s">
        <v>20224</v>
      </c>
      <c r="I1701" s="1178" t="s">
        <v>6101</v>
      </c>
      <c r="J1701" s="1178" t="s">
        <v>662</v>
      </c>
      <c r="K1701" s="1178" t="s">
        <v>267</v>
      </c>
      <c r="L1701" s="1178" t="s">
        <v>211</v>
      </c>
      <c r="M1701" s="1369" t="s">
        <v>23296</v>
      </c>
      <c r="N1701" s="1178"/>
      <c r="O1701" s="1178">
        <v>6</v>
      </c>
      <c r="P1701" s="1178">
        <v>13</v>
      </c>
    </row>
    <row r="1702" spans="1:16">
      <c r="A1702" s="1178" t="s">
        <v>20955</v>
      </c>
      <c r="B1702" s="1371" t="str">
        <f>HYPERLINK(IFERROR("#Main_Tariff!A"&amp;MATCH(Raeburn_Main_Tariff[[#This Row],[Product Code]],Main_Tariff!I:I,0),"#Main_Tariff!A"&amp;MATCH("*"&amp;RIGHT(A1702,8)&amp;"*",Main_Tariff!A:A,0)),Raeburn_Main_Tariff[[#This Row],[PRODUCER]])</f>
        <v>Domaine Chantal Remy</v>
      </c>
      <c r="C1702" s="1178" t="s">
        <v>20959</v>
      </c>
      <c r="D1702" s="1178" t="s">
        <v>897</v>
      </c>
      <c r="E1702" s="1179">
        <v>2013</v>
      </c>
      <c r="F1702" s="1282" t="s">
        <v>20220</v>
      </c>
      <c r="G1702" s="1368">
        <v>110</v>
      </c>
      <c r="H1702" s="1178" t="s">
        <v>20221</v>
      </c>
      <c r="I1702" s="1178" t="s">
        <v>6103</v>
      </c>
      <c r="J1702" s="1178" t="s">
        <v>662</v>
      </c>
      <c r="K1702" s="1178" t="s">
        <v>267</v>
      </c>
      <c r="L1702" s="1178" t="s">
        <v>211</v>
      </c>
      <c r="M1702" s="1369" t="s">
        <v>23296</v>
      </c>
      <c r="N1702" s="1178"/>
      <c r="O1702" s="1178">
        <v>6</v>
      </c>
      <c r="P1702" s="1178">
        <v>13</v>
      </c>
    </row>
    <row r="1703" spans="1:16">
      <c r="A1703" s="1178" t="s">
        <v>20955</v>
      </c>
      <c r="B1703" s="1371" t="str">
        <f>HYPERLINK(IFERROR("#Main_Tariff!A"&amp;MATCH(Raeburn_Main_Tariff[[#This Row],[Product Code]],Main_Tariff!I:I,0),"#Main_Tariff!A"&amp;MATCH("*"&amp;RIGHT(A1703,8)&amp;"*",Main_Tariff!A:A,0)),Raeburn_Main_Tariff[[#This Row],[PRODUCER]])</f>
        <v>Domaine Chantal Remy</v>
      </c>
      <c r="C1703" s="1178" t="s">
        <v>20960</v>
      </c>
      <c r="D1703" s="1178" t="s">
        <v>897</v>
      </c>
      <c r="E1703" s="1179">
        <v>2014</v>
      </c>
      <c r="F1703" s="1282" t="s">
        <v>20240</v>
      </c>
      <c r="G1703" s="1368">
        <v>222</v>
      </c>
      <c r="H1703" s="1178" t="s">
        <v>20224</v>
      </c>
      <c r="I1703" s="1178" t="s">
        <v>6105</v>
      </c>
      <c r="J1703" s="1178" t="s">
        <v>662</v>
      </c>
      <c r="K1703" s="1178" t="s">
        <v>267</v>
      </c>
      <c r="L1703" s="1178" t="s">
        <v>211</v>
      </c>
      <c r="M1703" s="1369" t="s">
        <v>23296</v>
      </c>
      <c r="N1703" s="1178"/>
      <c r="O1703" s="1178">
        <v>6</v>
      </c>
      <c r="P1703" s="1178">
        <v>13</v>
      </c>
    </row>
    <row r="1704" spans="1:16">
      <c r="A1704" s="1178" t="s">
        <v>20955</v>
      </c>
      <c r="B1704" s="1371" t="str">
        <f>HYPERLINK(IFERROR("#Main_Tariff!A"&amp;MATCH(Raeburn_Main_Tariff[[#This Row],[Product Code]],Main_Tariff!I:I,0),"#Main_Tariff!A"&amp;MATCH("*"&amp;RIGHT(A1704,8)&amp;"*",Main_Tariff!A:A,0)),Raeburn_Main_Tariff[[#This Row],[PRODUCER]])</f>
        <v>Domaine Chantal Remy</v>
      </c>
      <c r="C1704" s="1178" t="s">
        <v>20961</v>
      </c>
      <c r="D1704" s="1178" t="s">
        <v>897</v>
      </c>
      <c r="E1704" s="1179">
        <v>2022</v>
      </c>
      <c r="F1704" s="1282" t="s">
        <v>20288</v>
      </c>
      <c r="G1704" s="1368">
        <v>592</v>
      </c>
      <c r="H1704" s="1178" t="s">
        <v>20224</v>
      </c>
      <c r="I1704" s="1178" t="s">
        <v>6107</v>
      </c>
      <c r="J1704" s="1178" t="s">
        <v>662</v>
      </c>
      <c r="K1704" s="1178" t="s">
        <v>267</v>
      </c>
      <c r="L1704" s="1178" t="s">
        <v>211</v>
      </c>
      <c r="M1704" s="1369" t="s">
        <v>23296</v>
      </c>
      <c r="N1704" s="1178"/>
      <c r="O1704" s="1178">
        <v>1</v>
      </c>
      <c r="P1704" s="1178">
        <v>13</v>
      </c>
    </row>
    <row r="1705" spans="1:16">
      <c r="A1705" s="1178" t="s">
        <v>20955</v>
      </c>
      <c r="B1705" s="1371" t="str">
        <f>HYPERLINK(IFERROR("#Main_Tariff!A"&amp;MATCH(Raeburn_Main_Tariff[[#This Row],[Product Code]],Main_Tariff!I:I,0),"#Main_Tariff!A"&amp;MATCH("*"&amp;RIGHT(A1705,8)&amp;"*",Main_Tariff!A:A,0)),Raeburn_Main_Tariff[[#This Row],[PRODUCER]])</f>
        <v>Domaine Chantal Remy</v>
      </c>
      <c r="C1705" s="1178" t="s">
        <v>20962</v>
      </c>
      <c r="D1705" s="1178" t="s">
        <v>897</v>
      </c>
      <c r="E1705" s="1179">
        <v>2022</v>
      </c>
      <c r="F1705" s="1282" t="s">
        <v>20220</v>
      </c>
      <c r="G1705" s="1368">
        <v>147</v>
      </c>
      <c r="H1705" s="1178" t="s">
        <v>20221</v>
      </c>
      <c r="I1705" s="1178" t="s">
        <v>6111</v>
      </c>
      <c r="J1705" s="1178" t="s">
        <v>662</v>
      </c>
      <c r="K1705" s="1178" t="s">
        <v>267</v>
      </c>
      <c r="L1705" s="1178" t="s">
        <v>211</v>
      </c>
      <c r="M1705" s="1369" t="s">
        <v>23296</v>
      </c>
      <c r="N1705" s="1178"/>
      <c r="O1705" s="1178">
        <v>3</v>
      </c>
      <c r="P1705" s="1178">
        <v>14</v>
      </c>
    </row>
    <row r="1706" spans="1:16">
      <c r="A1706" s="1178" t="s">
        <v>20955</v>
      </c>
      <c r="B1706" s="1371" t="str">
        <f>HYPERLINK(IFERROR("#Main_Tariff!A"&amp;MATCH(Raeburn_Main_Tariff[[#This Row],[Product Code]],Main_Tariff!I:I,0),"#Main_Tariff!A"&amp;MATCH("*"&amp;RIGHT(A1706,8)&amp;"*",Main_Tariff!A:A,0)),Raeburn_Main_Tariff[[#This Row],[PRODUCER]])</f>
        <v>Domaine Chantal Remy</v>
      </c>
      <c r="C1706" s="1178" t="s">
        <v>20962</v>
      </c>
      <c r="D1706" s="1178" t="s">
        <v>897</v>
      </c>
      <c r="E1706" s="1179">
        <v>2021</v>
      </c>
      <c r="F1706" s="1282" t="s">
        <v>20220</v>
      </c>
      <c r="G1706" s="1368">
        <v>146</v>
      </c>
      <c r="H1706" s="1178" t="s">
        <v>20221</v>
      </c>
      <c r="I1706" s="1178" t="s">
        <v>6113</v>
      </c>
      <c r="J1706" s="1178" t="s">
        <v>662</v>
      </c>
      <c r="K1706" s="1178" t="s">
        <v>267</v>
      </c>
      <c r="L1706" s="1178" t="s">
        <v>211</v>
      </c>
      <c r="M1706" s="1369" t="s">
        <v>23296</v>
      </c>
      <c r="N1706" s="1178"/>
      <c r="O1706" s="1178">
        <v>3</v>
      </c>
      <c r="P1706" s="1178">
        <v>14</v>
      </c>
    </row>
    <row r="1707" spans="1:16">
      <c r="A1707" s="1178" t="s">
        <v>20955</v>
      </c>
      <c r="B1707" s="1371" t="str">
        <f>HYPERLINK(IFERROR("#Main_Tariff!A"&amp;MATCH(Raeburn_Main_Tariff[[#This Row],[Product Code]],Main_Tariff!I:I,0),"#Main_Tariff!A"&amp;MATCH("*"&amp;RIGHT(A1707,8)&amp;"*",Main_Tariff!A:A,0)),Raeburn_Main_Tariff[[#This Row],[PRODUCER]])</f>
        <v>Domaine Chantal Remy</v>
      </c>
      <c r="C1707" s="1178" t="s">
        <v>20962</v>
      </c>
      <c r="D1707" s="1178" t="s">
        <v>897</v>
      </c>
      <c r="E1707" s="1179">
        <v>2020</v>
      </c>
      <c r="F1707" s="1282" t="s">
        <v>20220</v>
      </c>
      <c r="G1707" s="1368">
        <v>131</v>
      </c>
      <c r="H1707" s="1178" t="s">
        <v>20221</v>
      </c>
      <c r="I1707" s="1178" t="s">
        <v>6115</v>
      </c>
      <c r="J1707" s="1178" t="s">
        <v>662</v>
      </c>
      <c r="K1707" s="1178" t="s">
        <v>267</v>
      </c>
      <c r="L1707" s="1178" t="s">
        <v>211</v>
      </c>
      <c r="M1707" s="1369" t="s">
        <v>23296</v>
      </c>
      <c r="N1707" s="1178"/>
      <c r="O1707" s="1178">
        <v>3</v>
      </c>
      <c r="P1707" s="1178">
        <v>13</v>
      </c>
    </row>
    <row r="1708" spans="1:16">
      <c r="A1708" s="1178" t="s">
        <v>20955</v>
      </c>
      <c r="B1708" s="1371" t="str">
        <f>HYPERLINK(IFERROR("#Main_Tariff!A"&amp;MATCH(Raeburn_Main_Tariff[[#This Row],[Product Code]],Main_Tariff!I:I,0),"#Main_Tariff!A"&amp;MATCH("*"&amp;RIGHT(A1708,8)&amp;"*",Main_Tariff!A:A,0)),Raeburn_Main_Tariff[[#This Row],[PRODUCER]])</f>
        <v>Domaine Chantal Remy</v>
      </c>
      <c r="C1708" s="1178" t="s">
        <v>20962</v>
      </c>
      <c r="D1708" s="1178" t="s">
        <v>897</v>
      </c>
      <c r="E1708" s="1179">
        <v>2019</v>
      </c>
      <c r="F1708" s="1282" t="s">
        <v>20220</v>
      </c>
      <c r="G1708" s="1368">
        <v>131</v>
      </c>
      <c r="H1708" s="1178" t="s">
        <v>20221</v>
      </c>
      <c r="I1708" s="1178" t="s">
        <v>6116</v>
      </c>
      <c r="J1708" s="1178" t="s">
        <v>662</v>
      </c>
      <c r="K1708" s="1178" t="s">
        <v>267</v>
      </c>
      <c r="L1708" s="1178" t="s">
        <v>211</v>
      </c>
      <c r="M1708" s="1369" t="s">
        <v>23296</v>
      </c>
      <c r="N1708" s="1178"/>
      <c r="O1708" s="1178">
        <v>6</v>
      </c>
      <c r="P1708" s="1178">
        <v>14</v>
      </c>
    </row>
    <row r="1709" spans="1:16">
      <c r="A1709" s="1178" t="s">
        <v>20955</v>
      </c>
      <c r="B1709" s="1371" t="str">
        <f>HYPERLINK(IFERROR("#Main_Tariff!A"&amp;MATCH(Raeburn_Main_Tariff[[#This Row],[Product Code]],Main_Tariff!I:I,0),"#Main_Tariff!A"&amp;MATCH("*"&amp;RIGHT(A1709,8)&amp;"*",Main_Tariff!A:A,0)),Raeburn_Main_Tariff[[#This Row],[PRODUCER]])</f>
        <v>Domaine Chantal Remy</v>
      </c>
      <c r="C1709" s="1178" t="s">
        <v>20962</v>
      </c>
      <c r="D1709" s="1178" t="s">
        <v>897</v>
      </c>
      <c r="E1709" s="1179">
        <v>2018</v>
      </c>
      <c r="F1709" s="1282" t="s">
        <v>20220</v>
      </c>
      <c r="G1709" s="1368">
        <v>125</v>
      </c>
      <c r="H1709" s="1178" t="s">
        <v>20221</v>
      </c>
      <c r="I1709" s="1178" t="s">
        <v>6118</v>
      </c>
      <c r="J1709" s="1178" t="s">
        <v>662</v>
      </c>
      <c r="K1709" s="1178" t="s">
        <v>267</v>
      </c>
      <c r="L1709" s="1178" t="s">
        <v>211</v>
      </c>
      <c r="M1709" s="1369" t="s">
        <v>23296</v>
      </c>
      <c r="N1709" s="1178"/>
      <c r="O1709" s="1178">
        <v>6</v>
      </c>
      <c r="P1709" s="1178">
        <v>14</v>
      </c>
    </row>
    <row r="1710" spans="1:16">
      <c r="A1710" s="1178" t="s">
        <v>20955</v>
      </c>
      <c r="B1710" s="1371" t="str">
        <f>HYPERLINK(IFERROR("#Main_Tariff!A"&amp;MATCH(Raeburn_Main_Tariff[[#This Row],[Product Code]],Main_Tariff!I:I,0),"#Main_Tariff!A"&amp;MATCH("*"&amp;RIGHT(A1710,8)&amp;"*",Main_Tariff!A:A,0)),Raeburn_Main_Tariff[[#This Row],[PRODUCER]])</f>
        <v>Domaine Chantal Remy</v>
      </c>
      <c r="C1710" s="1178" t="s">
        <v>20962</v>
      </c>
      <c r="D1710" s="1178" t="s">
        <v>897</v>
      </c>
      <c r="E1710" s="1179">
        <v>2017</v>
      </c>
      <c r="F1710" s="1282" t="s">
        <v>20220</v>
      </c>
      <c r="G1710" s="1368">
        <v>122</v>
      </c>
      <c r="H1710" s="1178" t="s">
        <v>20221</v>
      </c>
      <c r="I1710" s="1178" t="s">
        <v>6120</v>
      </c>
      <c r="J1710" s="1178" t="s">
        <v>662</v>
      </c>
      <c r="K1710" s="1178" t="s">
        <v>267</v>
      </c>
      <c r="L1710" s="1178" t="s">
        <v>211</v>
      </c>
      <c r="M1710" s="1369" t="s">
        <v>23296</v>
      </c>
      <c r="N1710" s="1178"/>
      <c r="O1710" s="1178">
        <v>6</v>
      </c>
      <c r="P1710" s="1178">
        <v>13</v>
      </c>
    </row>
    <row r="1711" spans="1:16">
      <c r="A1711" s="1178" t="s">
        <v>20955</v>
      </c>
      <c r="B1711" s="1371" t="str">
        <f>HYPERLINK(IFERROR("#Main_Tariff!A"&amp;MATCH(Raeburn_Main_Tariff[[#This Row],[Product Code]],Main_Tariff!I:I,0),"#Main_Tariff!A"&amp;MATCH("*"&amp;RIGHT(A1711,8)&amp;"*",Main_Tariff!A:A,0)),Raeburn_Main_Tariff[[#This Row],[PRODUCER]])</f>
        <v>Domaine Chantal Remy</v>
      </c>
      <c r="C1711" s="1178" t="s">
        <v>20962</v>
      </c>
      <c r="D1711" s="1178" t="s">
        <v>897</v>
      </c>
      <c r="E1711" s="1179">
        <v>2015</v>
      </c>
      <c r="F1711" s="1282" t="s">
        <v>20220</v>
      </c>
      <c r="G1711" s="1368">
        <v>122</v>
      </c>
      <c r="H1711" s="1178" t="s">
        <v>20221</v>
      </c>
      <c r="I1711" s="1178" t="s">
        <v>6121</v>
      </c>
      <c r="J1711" s="1178" t="s">
        <v>662</v>
      </c>
      <c r="K1711" s="1178" t="s">
        <v>267</v>
      </c>
      <c r="L1711" s="1178" t="s">
        <v>211</v>
      </c>
      <c r="M1711" s="1369" t="s">
        <v>23296</v>
      </c>
      <c r="N1711" s="1178"/>
      <c r="O1711" s="1178">
        <v>6</v>
      </c>
      <c r="P1711" s="1178">
        <v>13</v>
      </c>
    </row>
    <row r="1712" spans="1:16">
      <c r="A1712" s="1178" t="s">
        <v>20955</v>
      </c>
      <c r="B1712" s="1371" t="str">
        <f>HYPERLINK(IFERROR("#Main_Tariff!A"&amp;MATCH(Raeburn_Main_Tariff[[#This Row],[Product Code]],Main_Tariff!I:I,0),"#Main_Tariff!A"&amp;MATCH("*"&amp;RIGHT(A1712,8)&amp;"*",Main_Tariff!A:A,0)),Raeburn_Main_Tariff[[#This Row],[PRODUCER]])</f>
        <v>Domaine Chantal Remy</v>
      </c>
      <c r="C1712" s="1178" t="s">
        <v>20962</v>
      </c>
      <c r="D1712" s="1178" t="s">
        <v>897</v>
      </c>
      <c r="E1712" s="1179">
        <v>2014</v>
      </c>
      <c r="F1712" s="1282" t="s">
        <v>20220</v>
      </c>
      <c r="G1712" s="1368">
        <v>117</v>
      </c>
      <c r="H1712" s="1178" t="s">
        <v>20224</v>
      </c>
      <c r="I1712" s="1178" t="s">
        <v>6122</v>
      </c>
      <c r="J1712" s="1178" t="s">
        <v>662</v>
      </c>
      <c r="K1712" s="1178" t="s">
        <v>267</v>
      </c>
      <c r="L1712" s="1178" t="s">
        <v>211</v>
      </c>
      <c r="M1712" s="1369" t="s">
        <v>23296</v>
      </c>
      <c r="N1712" s="1178"/>
      <c r="O1712" s="1178">
        <v>6</v>
      </c>
      <c r="P1712" s="1178">
        <v>13</v>
      </c>
    </row>
    <row r="1713" spans="1:16">
      <c r="A1713" s="1178" t="s">
        <v>20955</v>
      </c>
      <c r="B1713" s="1371" t="str">
        <f>HYPERLINK(IFERROR("#Main_Tariff!A"&amp;MATCH(Raeburn_Main_Tariff[[#This Row],[Product Code]],Main_Tariff!I:I,0),"#Main_Tariff!A"&amp;MATCH("*"&amp;RIGHT(A1713,8)&amp;"*",Main_Tariff!A:A,0)),Raeburn_Main_Tariff[[#This Row],[PRODUCER]])</f>
        <v>Domaine Chantal Remy</v>
      </c>
      <c r="C1713" s="1178" t="s">
        <v>20962</v>
      </c>
      <c r="D1713" s="1178" t="s">
        <v>897</v>
      </c>
      <c r="E1713" s="1179">
        <v>2013</v>
      </c>
      <c r="F1713" s="1282" t="s">
        <v>20220</v>
      </c>
      <c r="G1713" s="1368">
        <v>117</v>
      </c>
      <c r="H1713" s="1178" t="s">
        <v>20224</v>
      </c>
      <c r="I1713" s="1178" t="s">
        <v>6123</v>
      </c>
      <c r="J1713" s="1178" t="s">
        <v>662</v>
      </c>
      <c r="K1713" s="1178" t="s">
        <v>267</v>
      </c>
      <c r="L1713" s="1178" t="s">
        <v>211</v>
      </c>
      <c r="M1713" s="1369" t="s">
        <v>23296</v>
      </c>
      <c r="N1713" s="1178"/>
      <c r="O1713" s="1178">
        <v>6</v>
      </c>
      <c r="P1713" s="1178">
        <v>13</v>
      </c>
    </row>
    <row r="1714" spans="1:16">
      <c r="A1714" s="1178" t="s">
        <v>20955</v>
      </c>
      <c r="B1714" s="1371" t="str">
        <f>HYPERLINK(IFERROR("#Main_Tariff!A"&amp;MATCH(Raeburn_Main_Tariff[[#This Row],[Product Code]],Main_Tariff!I:I,0),"#Main_Tariff!A"&amp;MATCH("*"&amp;RIGHT(A1714,8)&amp;"*",Main_Tariff!A:A,0)),Raeburn_Main_Tariff[[#This Row],[PRODUCER]])</f>
        <v>Domaine Chantal Remy</v>
      </c>
      <c r="C1714" s="1178" t="s">
        <v>20962</v>
      </c>
      <c r="D1714" s="1178" t="s">
        <v>897</v>
      </c>
      <c r="E1714" s="1179">
        <v>2011</v>
      </c>
      <c r="F1714" s="1282" t="s">
        <v>20220</v>
      </c>
      <c r="G1714" s="1368">
        <v>112</v>
      </c>
      <c r="H1714" s="1178" t="s">
        <v>20224</v>
      </c>
      <c r="I1714" s="1178" t="s">
        <v>6124</v>
      </c>
      <c r="J1714" s="1178" t="s">
        <v>662</v>
      </c>
      <c r="K1714" s="1178" t="s">
        <v>267</v>
      </c>
      <c r="L1714" s="1178" t="s">
        <v>211</v>
      </c>
      <c r="M1714" s="1369" t="s">
        <v>23296</v>
      </c>
      <c r="N1714" s="1178"/>
      <c r="O1714" s="1178">
        <v>6</v>
      </c>
      <c r="P1714" s="1178">
        <v>15</v>
      </c>
    </row>
    <row r="1715" spans="1:16">
      <c r="A1715" s="1178" t="s">
        <v>20955</v>
      </c>
      <c r="B1715" s="1371" t="str">
        <f>HYPERLINK(IFERROR("#Main_Tariff!A"&amp;MATCH(Raeburn_Main_Tariff[[#This Row],[Product Code]],Main_Tariff!I:I,0),"#Main_Tariff!A"&amp;MATCH("*"&amp;RIGHT(A1715,8)&amp;"*",Main_Tariff!A:A,0)),Raeburn_Main_Tariff[[#This Row],[PRODUCER]])</f>
        <v>Domaine Chantal Remy</v>
      </c>
      <c r="C1715" s="1178" t="s">
        <v>20963</v>
      </c>
      <c r="D1715" s="1178" t="s">
        <v>897</v>
      </c>
      <c r="E1715" s="1179">
        <v>2022</v>
      </c>
      <c r="F1715" s="1282" t="s">
        <v>20288</v>
      </c>
      <c r="G1715" s="1368">
        <v>651</v>
      </c>
      <c r="H1715" s="1178" t="s">
        <v>20224</v>
      </c>
      <c r="I1715" s="1178" t="s">
        <v>6125</v>
      </c>
      <c r="J1715" s="1178" t="s">
        <v>662</v>
      </c>
      <c r="K1715" s="1178" t="s">
        <v>267</v>
      </c>
      <c r="L1715" s="1178" t="s">
        <v>211</v>
      </c>
      <c r="M1715" s="1369" t="s">
        <v>23296</v>
      </c>
      <c r="N1715" s="1178"/>
      <c r="O1715" s="1178">
        <v>1</v>
      </c>
      <c r="P1715" s="1178">
        <v>13</v>
      </c>
    </row>
    <row r="1716" spans="1:16">
      <c r="A1716" s="1178" t="s">
        <v>20955</v>
      </c>
      <c r="B1716" s="1371" t="str">
        <f>HYPERLINK(IFERROR("#Main_Tariff!A"&amp;MATCH(Raeburn_Main_Tariff[[#This Row],[Product Code]],Main_Tariff!I:I,0),"#Main_Tariff!A"&amp;MATCH("*"&amp;RIGHT(A1716,8)&amp;"*",Main_Tariff!A:A,0)),Raeburn_Main_Tariff[[#This Row],[PRODUCER]])</f>
        <v>Domaine Chantal Remy</v>
      </c>
      <c r="C1716" s="1178" t="s">
        <v>20964</v>
      </c>
      <c r="D1716" s="1178" t="s">
        <v>897</v>
      </c>
      <c r="E1716" s="1179">
        <v>2022</v>
      </c>
      <c r="F1716" s="1282" t="s">
        <v>20220</v>
      </c>
      <c r="G1716" s="1368">
        <v>228</v>
      </c>
      <c r="H1716" s="1178" t="s">
        <v>20224</v>
      </c>
      <c r="I1716" s="1178" t="s">
        <v>6127</v>
      </c>
      <c r="J1716" s="1178" t="s">
        <v>662</v>
      </c>
      <c r="K1716" s="1178" t="s">
        <v>267</v>
      </c>
      <c r="L1716" s="1178" t="s">
        <v>211</v>
      </c>
      <c r="M1716" s="1369" t="s">
        <v>23296</v>
      </c>
      <c r="N1716" s="1178"/>
      <c r="O1716" s="1178">
        <v>3</v>
      </c>
      <c r="P1716" s="1178">
        <v>13</v>
      </c>
    </row>
    <row r="1717" spans="1:16">
      <c r="A1717" s="1178" t="s">
        <v>20955</v>
      </c>
      <c r="B1717" s="1371" t="str">
        <f>HYPERLINK(IFERROR("#Main_Tariff!A"&amp;MATCH(Raeburn_Main_Tariff[[#This Row],[Product Code]],Main_Tariff!I:I,0),"#Main_Tariff!A"&amp;MATCH("*"&amp;RIGHT(A1717,8)&amp;"*",Main_Tariff!A:A,0)),Raeburn_Main_Tariff[[#This Row],[PRODUCER]])</f>
        <v>Domaine Chantal Remy</v>
      </c>
      <c r="C1717" s="1178" t="s">
        <v>20964</v>
      </c>
      <c r="D1717" s="1178" t="s">
        <v>897</v>
      </c>
      <c r="E1717" s="1179">
        <v>2021</v>
      </c>
      <c r="F1717" s="1282" t="s">
        <v>20220</v>
      </c>
      <c r="G1717" s="1368">
        <v>228</v>
      </c>
      <c r="H1717" s="1178" t="s">
        <v>20224</v>
      </c>
      <c r="I1717" s="1178" t="s">
        <v>6128</v>
      </c>
      <c r="J1717" s="1178" t="s">
        <v>662</v>
      </c>
      <c r="K1717" s="1178" t="s">
        <v>267</v>
      </c>
      <c r="L1717" s="1178" t="s">
        <v>211</v>
      </c>
      <c r="M1717" s="1369" t="s">
        <v>23296</v>
      </c>
      <c r="N1717" s="1178"/>
      <c r="O1717" s="1178">
        <v>3</v>
      </c>
      <c r="P1717" s="1178">
        <v>13</v>
      </c>
    </row>
    <row r="1718" spans="1:16">
      <c r="A1718" s="1178" t="s">
        <v>20955</v>
      </c>
      <c r="B1718" s="1371" t="str">
        <f>HYPERLINK(IFERROR("#Main_Tariff!A"&amp;MATCH(Raeburn_Main_Tariff[[#This Row],[Product Code]],Main_Tariff!I:I,0),"#Main_Tariff!A"&amp;MATCH("*"&amp;RIGHT(A1718,8)&amp;"*",Main_Tariff!A:A,0)),Raeburn_Main_Tariff[[#This Row],[PRODUCER]])</f>
        <v>Domaine Chantal Remy</v>
      </c>
      <c r="C1718" s="1178" t="s">
        <v>20964</v>
      </c>
      <c r="D1718" s="1178" t="s">
        <v>897</v>
      </c>
      <c r="E1718" s="1179">
        <v>2020</v>
      </c>
      <c r="F1718" s="1282" t="s">
        <v>20220</v>
      </c>
      <c r="G1718" s="1368">
        <v>200</v>
      </c>
      <c r="H1718" s="1178" t="s">
        <v>20224</v>
      </c>
      <c r="I1718" s="1178" t="s">
        <v>6129</v>
      </c>
      <c r="J1718" s="1178" t="s">
        <v>662</v>
      </c>
      <c r="K1718" s="1178" t="s">
        <v>267</v>
      </c>
      <c r="L1718" s="1178" t="s">
        <v>211</v>
      </c>
      <c r="M1718" s="1369" t="s">
        <v>23296</v>
      </c>
      <c r="N1718" s="1178"/>
      <c r="O1718" s="1178">
        <v>3</v>
      </c>
      <c r="P1718" s="1178">
        <v>13</v>
      </c>
    </row>
    <row r="1719" spans="1:16">
      <c r="A1719" s="1178" t="s">
        <v>20955</v>
      </c>
      <c r="B1719" s="1371" t="str">
        <f>HYPERLINK(IFERROR("#Main_Tariff!A"&amp;MATCH(Raeburn_Main_Tariff[[#This Row],[Product Code]],Main_Tariff!I:I,0),"#Main_Tariff!A"&amp;MATCH("*"&amp;RIGHT(A1719,8)&amp;"*",Main_Tariff!A:A,0)),Raeburn_Main_Tariff[[#This Row],[PRODUCER]])</f>
        <v>Domaine Chantal Remy</v>
      </c>
      <c r="C1719" s="1178" t="s">
        <v>20964</v>
      </c>
      <c r="D1719" s="1178" t="s">
        <v>897</v>
      </c>
      <c r="E1719" s="1179">
        <v>2019</v>
      </c>
      <c r="F1719" s="1282" t="s">
        <v>20220</v>
      </c>
      <c r="G1719" s="1368">
        <v>200</v>
      </c>
      <c r="H1719" s="1178" t="s">
        <v>20224</v>
      </c>
      <c r="I1719" s="1178" t="s">
        <v>6130</v>
      </c>
      <c r="J1719" s="1178" t="s">
        <v>662</v>
      </c>
      <c r="K1719" s="1178" t="s">
        <v>267</v>
      </c>
      <c r="L1719" s="1178" t="s">
        <v>211</v>
      </c>
      <c r="M1719" s="1369" t="s">
        <v>23296</v>
      </c>
      <c r="N1719" s="1178"/>
      <c r="O1719" s="1178">
        <v>6</v>
      </c>
      <c r="P1719" s="1178">
        <v>14</v>
      </c>
    </row>
    <row r="1720" spans="1:16">
      <c r="A1720" s="1178" t="s">
        <v>20955</v>
      </c>
      <c r="B1720" s="1371" t="str">
        <f>HYPERLINK(IFERROR("#Main_Tariff!A"&amp;MATCH(Raeburn_Main_Tariff[[#This Row],[Product Code]],Main_Tariff!I:I,0),"#Main_Tariff!A"&amp;MATCH("*"&amp;RIGHT(A1720,8)&amp;"*",Main_Tariff!A:A,0)),Raeburn_Main_Tariff[[#This Row],[PRODUCER]])</f>
        <v>Domaine Chantal Remy</v>
      </c>
      <c r="C1720" s="1178" t="s">
        <v>20964</v>
      </c>
      <c r="D1720" s="1178" t="s">
        <v>897</v>
      </c>
      <c r="E1720" s="1179">
        <v>2018</v>
      </c>
      <c r="F1720" s="1282" t="s">
        <v>20220</v>
      </c>
      <c r="G1720" s="1368">
        <v>179</v>
      </c>
      <c r="H1720" s="1178" t="s">
        <v>20221</v>
      </c>
      <c r="I1720" s="1178" t="s">
        <v>6131</v>
      </c>
      <c r="J1720" s="1178" t="s">
        <v>662</v>
      </c>
      <c r="K1720" s="1178" t="s">
        <v>267</v>
      </c>
      <c r="L1720" s="1178" t="s">
        <v>211</v>
      </c>
      <c r="M1720" s="1369" t="s">
        <v>23296</v>
      </c>
      <c r="N1720" s="1178"/>
      <c r="O1720" s="1178">
        <v>6</v>
      </c>
      <c r="P1720" s="1178">
        <v>14</v>
      </c>
    </row>
    <row r="1721" spans="1:16">
      <c r="A1721" s="1178" t="s">
        <v>20955</v>
      </c>
      <c r="B1721" s="1371" t="str">
        <f>HYPERLINK(IFERROR("#Main_Tariff!A"&amp;MATCH(Raeburn_Main_Tariff[[#This Row],[Product Code]],Main_Tariff!I:I,0),"#Main_Tariff!A"&amp;MATCH("*"&amp;RIGHT(A1721,8)&amp;"*",Main_Tariff!A:A,0)),Raeburn_Main_Tariff[[#This Row],[PRODUCER]])</f>
        <v>Domaine Chantal Remy</v>
      </c>
      <c r="C1721" s="1178" t="s">
        <v>20964</v>
      </c>
      <c r="D1721" s="1178" t="s">
        <v>897</v>
      </c>
      <c r="E1721" s="1179">
        <v>2017</v>
      </c>
      <c r="F1721" s="1282" t="s">
        <v>20220</v>
      </c>
      <c r="G1721" s="1368">
        <v>177</v>
      </c>
      <c r="H1721" s="1178" t="s">
        <v>20224</v>
      </c>
      <c r="I1721" s="1178" t="s">
        <v>6132</v>
      </c>
      <c r="J1721" s="1178" t="s">
        <v>662</v>
      </c>
      <c r="K1721" s="1178" t="s">
        <v>267</v>
      </c>
      <c r="L1721" s="1178" t="s">
        <v>211</v>
      </c>
      <c r="M1721" s="1369" t="s">
        <v>23296</v>
      </c>
      <c r="N1721" s="1178"/>
      <c r="O1721" s="1178">
        <v>6</v>
      </c>
      <c r="P1721" s="1178">
        <v>13</v>
      </c>
    </row>
    <row r="1722" spans="1:16">
      <c r="A1722" s="1178" t="s">
        <v>20955</v>
      </c>
      <c r="B1722" s="1371" t="str">
        <f>HYPERLINK(IFERROR("#Main_Tariff!A"&amp;MATCH(Raeburn_Main_Tariff[[#This Row],[Product Code]],Main_Tariff!I:I,0),"#Main_Tariff!A"&amp;MATCH("*"&amp;RIGHT(A1722,8)&amp;"*",Main_Tariff!A:A,0)),Raeburn_Main_Tariff[[#This Row],[PRODUCER]])</f>
        <v>Domaine Chantal Remy</v>
      </c>
      <c r="C1722" s="1178" t="s">
        <v>20965</v>
      </c>
      <c r="D1722" s="1178" t="s">
        <v>897</v>
      </c>
      <c r="E1722" s="1179">
        <v>2008</v>
      </c>
      <c r="F1722" s="1282" t="s">
        <v>20240</v>
      </c>
      <c r="G1722" s="1368">
        <v>370</v>
      </c>
      <c r="H1722" s="1178" t="s">
        <v>20224</v>
      </c>
      <c r="I1722" s="1178" t="s">
        <v>6133</v>
      </c>
      <c r="J1722" s="1178" t="s">
        <v>662</v>
      </c>
      <c r="K1722" s="1178" t="s">
        <v>267</v>
      </c>
      <c r="L1722" s="1178" t="s">
        <v>211</v>
      </c>
      <c r="M1722" s="1369" t="s">
        <v>23296</v>
      </c>
      <c r="N1722" s="1178"/>
      <c r="O1722" s="1178">
        <v>6</v>
      </c>
      <c r="P1722" s="1178">
        <v>13</v>
      </c>
    </row>
    <row r="1723" spans="1:16">
      <c r="A1723" s="1178" t="s">
        <v>20955</v>
      </c>
      <c r="B1723" s="1371" t="str">
        <f>HYPERLINK(IFERROR("#Main_Tariff!A"&amp;MATCH(Raeburn_Main_Tariff[[#This Row],[Product Code]],Main_Tariff!I:I,0),"#Main_Tariff!A"&amp;MATCH("*"&amp;RIGHT(A1723,8)&amp;"*",Main_Tariff!A:A,0)),Raeburn_Main_Tariff[[#This Row],[PRODUCER]])</f>
        <v>Domaine Chantal Remy</v>
      </c>
      <c r="C1723" s="1178" t="s">
        <v>20965</v>
      </c>
      <c r="D1723" s="1178" t="s">
        <v>897</v>
      </c>
      <c r="E1723" s="1179">
        <v>2007</v>
      </c>
      <c r="F1723" s="1282" t="s">
        <v>20240</v>
      </c>
      <c r="G1723" s="1368">
        <v>370</v>
      </c>
      <c r="H1723" s="1178" t="s">
        <v>20224</v>
      </c>
      <c r="I1723" s="1178" t="s">
        <v>6134</v>
      </c>
      <c r="J1723" s="1178" t="s">
        <v>662</v>
      </c>
      <c r="K1723" s="1178" t="s">
        <v>267</v>
      </c>
      <c r="L1723" s="1178" t="s">
        <v>211</v>
      </c>
      <c r="M1723" s="1369" t="s">
        <v>23296</v>
      </c>
      <c r="N1723" s="1178"/>
      <c r="O1723" s="1178">
        <v>6</v>
      </c>
      <c r="P1723" s="1178">
        <v>12.5</v>
      </c>
    </row>
    <row r="1724" spans="1:16">
      <c r="A1724" s="1178" t="s">
        <v>239</v>
      </c>
      <c r="B1724" s="1371" t="str">
        <f>HYPERLINK(IFERROR("#Main_Tariff!A"&amp;MATCH(Raeburn_Main_Tariff[[#This Row],[Product Code]],Main_Tariff!I:I,0),"#Main_Tariff!A"&amp;MATCH("*"&amp;RIGHT(A1724,8)&amp;"*",Main_Tariff!A:A,0)),Raeburn_Main_Tariff[[#This Row],[PRODUCER]])</f>
        <v>Cecile Tremblay</v>
      </c>
      <c r="C1724" s="1178" t="s">
        <v>20966</v>
      </c>
      <c r="D1724" s="1178" t="s">
        <v>897</v>
      </c>
      <c r="E1724" s="1179">
        <v>2021</v>
      </c>
      <c r="F1724" s="1282" t="s">
        <v>20220</v>
      </c>
      <c r="G1724" s="1368" t="s">
        <v>5258</v>
      </c>
      <c r="H1724" s="1178" t="s">
        <v>20221</v>
      </c>
      <c r="I1724" s="1178" t="s">
        <v>6136</v>
      </c>
      <c r="J1724" s="1178" t="s">
        <v>662</v>
      </c>
      <c r="K1724" s="1178" t="s">
        <v>267</v>
      </c>
      <c r="L1724" s="1178" t="s">
        <v>211</v>
      </c>
      <c r="M1724" s="1369"/>
      <c r="N1724" s="1178"/>
      <c r="O1724" s="1178">
        <v>6</v>
      </c>
      <c r="P1724" s="1178">
        <v>12.5</v>
      </c>
    </row>
    <row r="1725" spans="1:16">
      <c r="A1725" s="1178" t="s">
        <v>239</v>
      </c>
      <c r="B1725" s="1371" t="str">
        <f>HYPERLINK(IFERROR("#Main_Tariff!A"&amp;MATCH(Raeburn_Main_Tariff[[#This Row],[Product Code]],Main_Tariff!I:I,0),"#Main_Tariff!A"&amp;MATCH("*"&amp;RIGHT(A1725,8)&amp;"*",Main_Tariff!A:A,0)),Raeburn_Main_Tariff[[#This Row],[PRODUCER]])</f>
        <v>Cecile Tremblay</v>
      </c>
      <c r="C1725" s="1178" t="s">
        <v>20966</v>
      </c>
      <c r="D1725" s="1178" t="s">
        <v>897</v>
      </c>
      <c r="E1725" s="1179">
        <v>2020</v>
      </c>
      <c r="F1725" s="1282" t="s">
        <v>20220</v>
      </c>
      <c r="G1725" s="1368" t="s">
        <v>5258</v>
      </c>
      <c r="H1725" s="1178" t="s">
        <v>20221</v>
      </c>
      <c r="I1725" s="1178" t="s">
        <v>6138</v>
      </c>
      <c r="J1725" s="1178" t="s">
        <v>662</v>
      </c>
      <c r="K1725" s="1178" t="s">
        <v>267</v>
      </c>
      <c r="L1725" s="1178" t="s">
        <v>211</v>
      </c>
      <c r="M1725" s="1369"/>
      <c r="N1725" s="1178"/>
      <c r="O1725" s="1178">
        <v>6</v>
      </c>
      <c r="P1725" s="1178">
        <v>13.5</v>
      </c>
    </row>
    <row r="1726" spans="1:16">
      <c r="A1726" s="1178" t="s">
        <v>239</v>
      </c>
      <c r="B1726" s="1371" t="str">
        <f>HYPERLINK(IFERROR("#Main_Tariff!A"&amp;MATCH(Raeburn_Main_Tariff[[#This Row],[Product Code]],Main_Tariff!I:I,0),"#Main_Tariff!A"&amp;MATCH("*"&amp;RIGHT(A1726,8)&amp;"*",Main_Tariff!A:A,0)),Raeburn_Main_Tariff[[#This Row],[PRODUCER]])</f>
        <v>Cecile Tremblay</v>
      </c>
      <c r="C1726" s="1178" t="s">
        <v>20967</v>
      </c>
      <c r="D1726" s="1178" t="s">
        <v>897</v>
      </c>
      <c r="E1726" s="1179">
        <v>2021</v>
      </c>
      <c r="F1726" s="1282" t="s">
        <v>20220</v>
      </c>
      <c r="G1726" s="1368" t="s">
        <v>5258</v>
      </c>
      <c r="H1726" s="1178" t="s">
        <v>20221</v>
      </c>
      <c r="I1726" s="1178" t="s">
        <v>6140</v>
      </c>
      <c r="J1726" s="1178" t="s">
        <v>662</v>
      </c>
      <c r="K1726" s="1178" t="s">
        <v>267</v>
      </c>
      <c r="L1726" s="1178" t="s">
        <v>211</v>
      </c>
      <c r="M1726" s="1369"/>
      <c r="N1726" s="1178"/>
      <c r="O1726" s="1178">
        <v>6</v>
      </c>
      <c r="P1726" s="1178">
        <v>13</v>
      </c>
    </row>
    <row r="1727" spans="1:16">
      <c r="A1727" s="1178" t="s">
        <v>239</v>
      </c>
      <c r="B1727" s="1371" t="str">
        <f>HYPERLINK(IFERROR("#Main_Tariff!A"&amp;MATCH(Raeburn_Main_Tariff[[#This Row],[Product Code]],Main_Tariff!I:I,0),"#Main_Tariff!A"&amp;MATCH("*"&amp;RIGHT(A1727,8)&amp;"*",Main_Tariff!A:A,0)),Raeburn_Main_Tariff[[#This Row],[PRODUCER]])</f>
        <v>Cecile Tremblay</v>
      </c>
      <c r="C1727" s="1178" t="s">
        <v>20967</v>
      </c>
      <c r="D1727" s="1178" t="s">
        <v>897</v>
      </c>
      <c r="E1727" s="1179">
        <v>2020</v>
      </c>
      <c r="F1727" s="1282" t="s">
        <v>20220</v>
      </c>
      <c r="G1727" s="1368" t="s">
        <v>5258</v>
      </c>
      <c r="H1727" s="1178" t="s">
        <v>20221</v>
      </c>
      <c r="I1727" s="1178" t="s">
        <v>6142</v>
      </c>
      <c r="J1727" s="1178" t="s">
        <v>662</v>
      </c>
      <c r="K1727" s="1178" t="s">
        <v>267</v>
      </c>
      <c r="L1727" s="1178" t="s">
        <v>211</v>
      </c>
      <c r="M1727" s="1369"/>
      <c r="N1727" s="1178"/>
      <c r="O1727" s="1178">
        <v>6</v>
      </c>
      <c r="P1727" s="1178">
        <v>13.5</v>
      </c>
    </row>
    <row r="1728" spans="1:16">
      <c r="A1728" s="1178" t="s">
        <v>239</v>
      </c>
      <c r="B1728" s="1371" t="str">
        <f>HYPERLINK(IFERROR("#Main_Tariff!A"&amp;MATCH(Raeburn_Main_Tariff[[#This Row],[Product Code]],Main_Tariff!I:I,0),"#Main_Tariff!A"&amp;MATCH("*"&amp;RIGHT(A1728,8)&amp;"*",Main_Tariff!A:A,0)),Raeburn_Main_Tariff[[#This Row],[PRODUCER]])</f>
        <v>Cecile Tremblay</v>
      </c>
      <c r="C1728" s="1178" t="s">
        <v>20967</v>
      </c>
      <c r="D1728" s="1178" t="s">
        <v>897</v>
      </c>
      <c r="E1728" s="1179">
        <v>2013</v>
      </c>
      <c r="F1728" s="1282" t="s">
        <v>20220</v>
      </c>
      <c r="G1728" s="1368" t="s">
        <v>5258</v>
      </c>
      <c r="H1728" s="1178" t="s">
        <v>20224</v>
      </c>
      <c r="I1728" s="1178" t="s">
        <v>6144</v>
      </c>
      <c r="J1728" s="1178" t="s">
        <v>662</v>
      </c>
      <c r="K1728" s="1178" t="s">
        <v>267</v>
      </c>
      <c r="L1728" s="1178" t="s">
        <v>211</v>
      </c>
      <c r="M1728" s="1369"/>
      <c r="N1728" s="1178"/>
      <c r="O1728" s="1178">
        <v>6</v>
      </c>
      <c r="P1728" s="1178">
        <v>13</v>
      </c>
    </row>
    <row r="1729" spans="1:16">
      <c r="A1729" s="1178" t="s">
        <v>239</v>
      </c>
      <c r="B1729" s="1371" t="str">
        <f>HYPERLINK(IFERROR("#Main_Tariff!A"&amp;MATCH(Raeburn_Main_Tariff[[#This Row],[Product Code]],Main_Tariff!I:I,0),"#Main_Tariff!A"&amp;MATCH("*"&amp;RIGHT(A1729,8)&amp;"*",Main_Tariff!A:A,0)),Raeburn_Main_Tariff[[#This Row],[PRODUCER]])</f>
        <v>Cecile Tremblay</v>
      </c>
      <c r="C1729" s="1178" t="s">
        <v>20968</v>
      </c>
      <c r="D1729" s="1178" t="s">
        <v>897</v>
      </c>
      <c r="E1729" s="1179">
        <v>2021</v>
      </c>
      <c r="F1729" s="1282" t="s">
        <v>20220</v>
      </c>
      <c r="G1729" s="1368" t="s">
        <v>5258</v>
      </c>
      <c r="H1729" s="1178" t="s">
        <v>20221</v>
      </c>
      <c r="I1729" s="1178" t="s">
        <v>6146</v>
      </c>
      <c r="J1729" s="1178" t="s">
        <v>662</v>
      </c>
      <c r="K1729" s="1178" t="s">
        <v>267</v>
      </c>
      <c r="L1729" s="1178" t="s">
        <v>211</v>
      </c>
      <c r="M1729" s="1369"/>
      <c r="N1729" s="1178"/>
      <c r="O1729" s="1178">
        <v>3</v>
      </c>
      <c r="P1729" s="1178">
        <v>13</v>
      </c>
    </row>
    <row r="1730" spans="1:16">
      <c r="A1730" s="1178" t="s">
        <v>239</v>
      </c>
      <c r="B1730" s="1371" t="str">
        <f>HYPERLINK(IFERROR("#Main_Tariff!A"&amp;MATCH(Raeburn_Main_Tariff[[#This Row],[Product Code]],Main_Tariff!I:I,0),"#Main_Tariff!A"&amp;MATCH("*"&amp;RIGHT(A1730,8)&amp;"*",Main_Tariff!A:A,0)),Raeburn_Main_Tariff[[#This Row],[PRODUCER]])</f>
        <v>Cecile Tremblay</v>
      </c>
      <c r="C1730" s="1178" t="s">
        <v>20968</v>
      </c>
      <c r="D1730" s="1178" t="s">
        <v>897</v>
      </c>
      <c r="E1730" s="1179">
        <v>2020</v>
      </c>
      <c r="F1730" s="1282" t="s">
        <v>20220</v>
      </c>
      <c r="G1730" s="1368" t="s">
        <v>5258</v>
      </c>
      <c r="H1730" s="1178" t="s">
        <v>20221</v>
      </c>
      <c r="I1730" s="1178" t="s">
        <v>6148</v>
      </c>
      <c r="J1730" s="1178" t="s">
        <v>662</v>
      </c>
      <c r="K1730" s="1178" t="s">
        <v>267</v>
      </c>
      <c r="L1730" s="1178" t="s">
        <v>211</v>
      </c>
      <c r="M1730" s="1369"/>
      <c r="N1730" s="1178"/>
      <c r="O1730" s="1178">
        <v>6</v>
      </c>
      <c r="P1730" s="1178">
        <v>13.5</v>
      </c>
    </row>
    <row r="1731" spans="1:16">
      <c r="A1731" s="1178" t="s">
        <v>239</v>
      </c>
      <c r="B1731" s="1371" t="str">
        <f>HYPERLINK(IFERROR("#Main_Tariff!A"&amp;MATCH(Raeburn_Main_Tariff[[#This Row],[Product Code]],Main_Tariff!I:I,0),"#Main_Tariff!A"&amp;MATCH("*"&amp;RIGHT(A1731,8)&amp;"*",Main_Tariff!A:A,0)),Raeburn_Main_Tariff[[#This Row],[PRODUCER]])</f>
        <v>Cecile Tremblay</v>
      </c>
      <c r="C1731" s="1178" t="s">
        <v>20969</v>
      </c>
      <c r="D1731" s="1178" t="s">
        <v>897</v>
      </c>
      <c r="E1731" s="1179" t="s">
        <v>19075</v>
      </c>
      <c r="F1731" s="1282" t="s">
        <v>20240</v>
      </c>
      <c r="G1731" s="1368" t="s">
        <v>5258</v>
      </c>
      <c r="H1731" s="1178" t="s">
        <v>20224</v>
      </c>
      <c r="I1731" s="1178" t="s">
        <v>6149</v>
      </c>
      <c r="J1731" s="1178" t="s">
        <v>662</v>
      </c>
      <c r="K1731" s="1178" t="s">
        <v>267</v>
      </c>
      <c r="L1731" s="1178" t="s">
        <v>211</v>
      </c>
      <c r="M1731" s="1369"/>
      <c r="N1731" s="1178"/>
      <c r="O1731" s="1178">
        <v>1</v>
      </c>
      <c r="P1731" s="1178">
        <v>13</v>
      </c>
    </row>
    <row r="1732" spans="1:16">
      <c r="A1732" s="1178" t="s">
        <v>239</v>
      </c>
      <c r="B1732" s="1371" t="str">
        <f>HYPERLINK(IFERROR("#Main_Tariff!A"&amp;MATCH(Raeburn_Main_Tariff[[#This Row],[Product Code]],Main_Tariff!I:I,0),"#Main_Tariff!A"&amp;MATCH("*"&amp;RIGHT(A1732,8)&amp;"*",Main_Tariff!A:A,0)),Raeburn_Main_Tariff[[#This Row],[PRODUCER]])</f>
        <v>Cecile Tremblay</v>
      </c>
      <c r="C1732" s="1178" t="s">
        <v>20970</v>
      </c>
      <c r="D1732" s="1178" t="s">
        <v>897</v>
      </c>
      <c r="E1732" s="1179">
        <v>2021</v>
      </c>
      <c r="F1732" s="1282" t="s">
        <v>20220</v>
      </c>
      <c r="G1732" s="1368" t="s">
        <v>5258</v>
      </c>
      <c r="H1732" s="1178" t="s">
        <v>20221</v>
      </c>
      <c r="I1732" s="1178" t="s">
        <v>6151</v>
      </c>
      <c r="J1732" s="1178" t="s">
        <v>662</v>
      </c>
      <c r="K1732" s="1178" t="s">
        <v>267</v>
      </c>
      <c r="L1732" s="1178" t="s">
        <v>211</v>
      </c>
      <c r="M1732" s="1369" t="s">
        <v>23297</v>
      </c>
      <c r="N1732" s="1178"/>
      <c r="O1732" s="1178">
        <v>6</v>
      </c>
      <c r="P1732" s="1178">
        <v>13</v>
      </c>
    </row>
    <row r="1733" spans="1:16">
      <c r="A1733" s="1178" t="s">
        <v>239</v>
      </c>
      <c r="B1733" s="1371" t="str">
        <f>HYPERLINK(IFERROR("#Main_Tariff!A"&amp;MATCH(Raeburn_Main_Tariff[[#This Row],[Product Code]],Main_Tariff!I:I,0),"#Main_Tariff!A"&amp;MATCH("*"&amp;RIGHT(A1733,8)&amp;"*",Main_Tariff!A:A,0)),Raeburn_Main_Tariff[[#This Row],[PRODUCER]])</f>
        <v>Cecile Tremblay</v>
      </c>
      <c r="C1733" s="1178" t="s">
        <v>20971</v>
      </c>
      <c r="D1733" s="1178" t="s">
        <v>897</v>
      </c>
      <c r="E1733" s="1179">
        <v>2021</v>
      </c>
      <c r="F1733" s="1282" t="s">
        <v>20220</v>
      </c>
      <c r="G1733" s="1368" t="s">
        <v>5258</v>
      </c>
      <c r="H1733" s="1178" t="s">
        <v>20221</v>
      </c>
      <c r="I1733" s="1178" t="s">
        <v>6153</v>
      </c>
      <c r="J1733" s="1178" t="s">
        <v>662</v>
      </c>
      <c r="K1733" s="1178" t="s">
        <v>267</v>
      </c>
      <c r="L1733" s="1178" t="s">
        <v>211</v>
      </c>
      <c r="M1733" s="1369"/>
      <c r="N1733" s="1178"/>
      <c r="O1733" s="1178">
        <v>6</v>
      </c>
      <c r="P1733" s="1178">
        <v>13</v>
      </c>
    </row>
    <row r="1734" spans="1:16">
      <c r="A1734" s="1178" t="s">
        <v>239</v>
      </c>
      <c r="B1734" s="1371" t="str">
        <f>HYPERLINK(IFERROR("#Main_Tariff!A"&amp;MATCH(Raeburn_Main_Tariff[[#This Row],[Product Code]],Main_Tariff!I:I,0),"#Main_Tariff!A"&amp;MATCH("*"&amp;RIGHT(A1734,8)&amp;"*",Main_Tariff!A:A,0)),Raeburn_Main_Tariff[[#This Row],[PRODUCER]])</f>
        <v>Cecile Tremblay</v>
      </c>
      <c r="C1734" s="1178" t="s">
        <v>20971</v>
      </c>
      <c r="D1734" s="1178" t="s">
        <v>897</v>
      </c>
      <c r="E1734" s="1179">
        <v>2020</v>
      </c>
      <c r="F1734" s="1282" t="s">
        <v>20220</v>
      </c>
      <c r="G1734" s="1368" t="s">
        <v>5258</v>
      </c>
      <c r="H1734" s="1178" t="s">
        <v>20221</v>
      </c>
      <c r="I1734" s="1178" t="s">
        <v>6155</v>
      </c>
      <c r="J1734" s="1178" t="s">
        <v>662</v>
      </c>
      <c r="K1734" s="1178" t="s">
        <v>267</v>
      </c>
      <c r="L1734" s="1178" t="s">
        <v>211</v>
      </c>
      <c r="M1734" s="1369"/>
      <c r="N1734" s="1178"/>
      <c r="O1734" s="1178">
        <v>6</v>
      </c>
      <c r="P1734" s="1178">
        <v>14</v>
      </c>
    </row>
    <row r="1735" spans="1:16">
      <c r="A1735" s="1178" t="s">
        <v>239</v>
      </c>
      <c r="B1735" s="1371" t="str">
        <f>HYPERLINK(IFERROR("#Main_Tariff!A"&amp;MATCH(Raeburn_Main_Tariff[[#This Row],[Product Code]],Main_Tariff!I:I,0),"#Main_Tariff!A"&amp;MATCH("*"&amp;RIGHT(A1735,8)&amp;"*",Main_Tariff!A:A,0)),Raeburn_Main_Tariff[[#This Row],[PRODUCER]])</f>
        <v>Cecile Tremblay</v>
      </c>
      <c r="C1735" s="1178" t="s">
        <v>20972</v>
      </c>
      <c r="D1735" s="1178" t="s">
        <v>897</v>
      </c>
      <c r="E1735" s="1179">
        <v>2020</v>
      </c>
      <c r="F1735" s="1282" t="s">
        <v>20220</v>
      </c>
      <c r="G1735" s="1368" t="s">
        <v>5258</v>
      </c>
      <c r="H1735" s="1178" t="s">
        <v>20224</v>
      </c>
      <c r="I1735" s="1178" t="s">
        <v>6157</v>
      </c>
      <c r="J1735" s="1178" t="s">
        <v>662</v>
      </c>
      <c r="K1735" s="1178" t="s">
        <v>267</v>
      </c>
      <c r="L1735" s="1178" t="s">
        <v>211</v>
      </c>
      <c r="M1735" s="1369" t="s">
        <v>23297</v>
      </c>
      <c r="N1735" s="1178"/>
      <c r="O1735" s="1178">
        <v>3</v>
      </c>
      <c r="P1735" s="1178">
        <v>13.5</v>
      </c>
    </row>
    <row r="1736" spans="1:16">
      <c r="A1736" s="1178" t="s">
        <v>239</v>
      </c>
      <c r="B1736" s="1371" t="str">
        <f>HYPERLINK(IFERROR("#Main_Tariff!A"&amp;MATCH(Raeburn_Main_Tariff[[#This Row],[Product Code]],Main_Tariff!I:I,0),"#Main_Tariff!A"&amp;MATCH("*"&amp;RIGHT(A1736,8)&amp;"*",Main_Tariff!A:A,0)),Raeburn_Main_Tariff[[#This Row],[PRODUCER]])</f>
        <v>Cecile Tremblay</v>
      </c>
      <c r="C1736" s="1178" t="s">
        <v>20973</v>
      </c>
      <c r="D1736" s="1178" t="s">
        <v>897</v>
      </c>
      <c r="E1736" s="1179">
        <v>2020</v>
      </c>
      <c r="F1736" s="1282" t="s">
        <v>20220</v>
      </c>
      <c r="G1736" s="1368" t="s">
        <v>5258</v>
      </c>
      <c r="H1736" s="1178" t="s">
        <v>20224</v>
      </c>
      <c r="I1736" s="1178" t="s">
        <v>6159</v>
      </c>
      <c r="J1736" s="1178" t="s">
        <v>662</v>
      </c>
      <c r="K1736" s="1178" t="s">
        <v>267</v>
      </c>
      <c r="L1736" s="1178" t="s">
        <v>211</v>
      </c>
      <c r="M1736" s="1369" t="s">
        <v>23297</v>
      </c>
      <c r="N1736" s="1178"/>
      <c r="O1736" s="1178">
        <v>3</v>
      </c>
      <c r="P1736" s="1178">
        <v>13.5</v>
      </c>
    </row>
    <row r="1737" spans="1:16">
      <c r="A1737" s="1178" t="s">
        <v>239</v>
      </c>
      <c r="B1737" s="1371" t="str">
        <f>HYPERLINK(IFERROR("#Main_Tariff!A"&amp;MATCH(Raeburn_Main_Tariff[[#This Row],[Product Code]],Main_Tariff!I:I,0),"#Main_Tariff!A"&amp;MATCH("*"&amp;RIGHT(A1737,8)&amp;"*",Main_Tariff!A:A,0)),Raeburn_Main_Tariff[[#This Row],[PRODUCER]])</f>
        <v>Cecile Tremblay</v>
      </c>
      <c r="C1737" s="1178" t="s">
        <v>20974</v>
      </c>
      <c r="D1737" s="1178" t="s">
        <v>897</v>
      </c>
      <c r="E1737" s="1179">
        <v>2021</v>
      </c>
      <c r="F1737" s="1282" t="s">
        <v>20220</v>
      </c>
      <c r="G1737" s="1368" t="s">
        <v>5258</v>
      </c>
      <c r="H1737" s="1178" t="s">
        <v>20224</v>
      </c>
      <c r="I1737" s="1178" t="s">
        <v>6161</v>
      </c>
      <c r="J1737" s="1178" t="s">
        <v>662</v>
      </c>
      <c r="K1737" s="1178" t="s">
        <v>267</v>
      </c>
      <c r="L1737" s="1178" t="s">
        <v>211</v>
      </c>
      <c r="M1737" s="1369" t="s">
        <v>23296</v>
      </c>
      <c r="N1737" s="1178"/>
      <c r="O1737" s="1178">
        <v>3</v>
      </c>
      <c r="P1737" s="1178">
        <v>13</v>
      </c>
    </row>
    <row r="1738" spans="1:16">
      <c r="A1738" s="1178" t="s">
        <v>239</v>
      </c>
      <c r="B1738" s="1371" t="str">
        <f>HYPERLINK(IFERROR("#Main_Tariff!A"&amp;MATCH(Raeburn_Main_Tariff[[#This Row],[Product Code]],Main_Tariff!I:I,0),"#Main_Tariff!A"&amp;MATCH("*"&amp;RIGHT(A1738,8)&amp;"*",Main_Tariff!A:A,0)),Raeburn_Main_Tariff[[#This Row],[PRODUCER]])</f>
        <v>Cecile Tremblay</v>
      </c>
      <c r="C1738" s="1178" t="s">
        <v>20974</v>
      </c>
      <c r="D1738" s="1178" t="s">
        <v>897</v>
      </c>
      <c r="E1738" s="1179">
        <v>2020</v>
      </c>
      <c r="F1738" s="1282" t="s">
        <v>20220</v>
      </c>
      <c r="G1738" s="1368" t="s">
        <v>5258</v>
      </c>
      <c r="H1738" s="1178" t="s">
        <v>20224</v>
      </c>
      <c r="I1738" s="1178" t="s">
        <v>6163</v>
      </c>
      <c r="J1738" s="1178" t="s">
        <v>662</v>
      </c>
      <c r="K1738" s="1178" t="s">
        <v>267</v>
      </c>
      <c r="L1738" s="1178" t="s">
        <v>211</v>
      </c>
      <c r="M1738" s="1369" t="s">
        <v>23296</v>
      </c>
      <c r="N1738" s="1178"/>
      <c r="O1738" s="1178">
        <v>3</v>
      </c>
      <c r="P1738" s="1178">
        <v>13.5</v>
      </c>
    </row>
    <row r="1739" spans="1:16">
      <c r="A1739" s="1178" t="s">
        <v>239</v>
      </c>
      <c r="B1739" s="1371" t="str">
        <f>HYPERLINK(IFERROR("#Main_Tariff!A"&amp;MATCH(Raeburn_Main_Tariff[[#This Row],[Product Code]],Main_Tariff!I:I,0),"#Main_Tariff!A"&amp;MATCH("*"&amp;RIGHT(A1739,8)&amp;"*",Main_Tariff!A:A,0)),Raeburn_Main_Tariff[[#This Row],[PRODUCER]])</f>
        <v>Cecile Tremblay</v>
      </c>
      <c r="C1739" s="1178" t="s">
        <v>20975</v>
      </c>
      <c r="D1739" s="1178" t="s">
        <v>897</v>
      </c>
      <c r="E1739" s="1179">
        <v>2021</v>
      </c>
      <c r="F1739" s="1282" t="s">
        <v>20220</v>
      </c>
      <c r="G1739" s="1368" t="s">
        <v>5258</v>
      </c>
      <c r="H1739" s="1178" t="s">
        <v>20221</v>
      </c>
      <c r="I1739" s="1178" t="s">
        <v>6165</v>
      </c>
      <c r="J1739" s="1178" t="s">
        <v>662</v>
      </c>
      <c r="K1739" s="1178" t="s">
        <v>267</v>
      </c>
      <c r="L1739" s="1178" t="s">
        <v>211</v>
      </c>
      <c r="M1739" s="1369" t="s">
        <v>23296</v>
      </c>
      <c r="N1739" s="1178"/>
      <c r="O1739" s="1178">
        <v>3</v>
      </c>
      <c r="P1739" s="1178">
        <v>13</v>
      </c>
    </row>
    <row r="1740" spans="1:16">
      <c r="A1740" s="1178" t="s">
        <v>239</v>
      </c>
      <c r="B1740" s="1371" t="str">
        <f>HYPERLINK(IFERROR("#Main_Tariff!A"&amp;MATCH(Raeburn_Main_Tariff[[#This Row],[Product Code]],Main_Tariff!I:I,0),"#Main_Tariff!A"&amp;MATCH("*"&amp;RIGHT(A1740,8)&amp;"*",Main_Tariff!A:A,0)),Raeburn_Main_Tariff[[#This Row],[PRODUCER]])</f>
        <v>Cecile Tremblay</v>
      </c>
      <c r="C1740" s="1178" t="s">
        <v>20975</v>
      </c>
      <c r="D1740" s="1178" t="s">
        <v>897</v>
      </c>
      <c r="E1740" s="1179">
        <v>2020</v>
      </c>
      <c r="F1740" s="1282" t="s">
        <v>20220</v>
      </c>
      <c r="G1740" s="1368" t="s">
        <v>5258</v>
      </c>
      <c r="H1740" s="1178" t="s">
        <v>20224</v>
      </c>
      <c r="I1740" s="1178" t="s">
        <v>6167</v>
      </c>
      <c r="J1740" s="1178" t="s">
        <v>662</v>
      </c>
      <c r="K1740" s="1178" t="s">
        <v>267</v>
      </c>
      <c r="L1740" s="1178" t="s">
        <v>211</v>
      </c>
      <c r="M1740" s="1369" t="s">
        <v>23296</v>
      </c>
      <c r="N1740" s="1178"/>
      <c r="O1740" s="1178">
        <v>3</v>
      </c>
      <c r="P1740" s="1178">
        <v>13.5</v>
      </c>
    </row>
    <row r="1741" spans="1:16">
      <c r="A1741" s="1178" t="s">
        <v>20976</v>
      </c>
      <c r="B1741" s="1371" t="str">
        <f>HYPERLINK(IFERROR("#Main_Tariff!A"&amp;MATCH(Raeburn_Main_Tariff[[#This Row],[Product Code]],Main_Tariff!I:I,0),"#Main_Tariff!A"&amp;MATCH("*"&amp;RIGHT(A1741,8)&amp;"*",Main_Tariff!A:A,0)),Raeburn_Main_Tariff[[#This Row],[PRODUCER]])</f>
        <v>Domaine Natalie Vigot</v>
      </c>
      <c r="C1741" s="1178" t="s">
        <v>6176</v>
      </c>
      <c r="D1741" s="1178" t="s">
        <v>897</v>
      </c>
      <c r="E1741" s="1179"/>
      <c r="F1741" s="1282" t="s">
        <v>20220</v>
      </c>
      <c r="G1741" s="1368"/>
      <c r="H1741" s="1178" t="s">
        <v>3907</v>
      </c>
      <c r="I1741" s="1178" t="s">
        <v>6177</v>
      </c>
      <c r="J1741" s="1178" t="s">
        <v>662</v>
      </c>
      <c r="K1741" s="1178" t="s">
        <v>267</v>
      </c>
      <c r="L1741" s="1178" t="s">
        <v>211</v>
      </c>
      <c r="M1741" s="1369"/>
      <c r="N1741" s="1178"/>
      <c r="O1741" s="1178">
        <v>3</v>
      </c>
      <c r="P1741" s="1178">
        <v>13</v>
      </c>
    </row>
    <row r="1742" spans="1:16">
      <c r="A1742" s="1178" t="s">
        <v>20976</v>
      </c>
      <c r="B1742" s="1371" t="str">
        <f>HYPERLINK(IFERROR("#Main_Tariff!A"&amp;MATCH(Raeburn_Main_Tariff[[#This Row],[Product Code]],Main_Tariff!I:I,0),"#Main_Tariff!A"&amp;MATCH("*"&amp;RIGHT(A1742,8)&amp;"*",Main_Tariff!A:A,0)),Raeburn_Main_Tariff[[#This Row],[PRODUCER]])</f>
        <v>Domaine Natalie Vigot</v>
      </c>
      <c r="C1742" s="1178" t="s">
        <v>6179</v>
      </c>
      <c r="D1742" s="1178" t="s">
        <v>897</v>
      </c>
      <c r="E1742" s="1179"/>
      <c r="F1742" s="1282" t="s">
        <v>20220</v>
      </c>
      <c r="G1742" s="1368"/>
      <c r="H1742" s="1178" t="s">
        <v>3907</v>
      </c>
      <c r="I1742" s="1178" t="s">
        <v>6180</v>
      </c>
      <c r="J1742" s="1178" t="s">
        <v>662</v>
      </c>
      <c r="K1742" s="1178" t="s">
        <v>267</v>
      </c>
      <c r="L1742" s="1178" t="s">
        <v>211</v>
      </c>
      <c r="M1742" s="1369"/>
      <c r="N1742" s="1178"/>
      <c r="O1742" s="1178">
        <v>3</v>
      </c>
      <c r="P1742" s="1178">
        <v>12.5</v>
      </c>
    </row>
    <row r="1743" spans="1:16">
      <c r="A1743" s="1178" t="s">
        <v>20976</v>
      </c>
      <c r="B1743" s="1371" t="str">
        <f>HYPERLINK(IFERROR("#Main_Tariff!A"&amp;MATCH(Raeburn_Main_Tariff[[#This Row],[Product Code]],Main_Tariff!I:I,0),"#Main_Tariff!A"&amp;MATCH("*"&amp;RIGHT(A1743,8)&amp;"*",Main_Tariff!A:A,0)),Raeburn_Main_Tariff[[#This Row],[PRODUCER]])</f>
        <v>Domaine Natalie Vigot</v>
      </c>
      <c r="C1743" s="1178" t="s">
        <v>6182</v>
      </c>
      <c r="D1743" s="1178" t="s">
        <v>897</v>
      </c>
      <c r="E1743" s="1179"/>
      <c r="F1743" s="1282" t="s">
        <v>20220</v>
      </c>
      <c r="G1743" s="1368"/>
      <c r="H1743" s="1178" t="s">
        <v>3907</v>
      </c>
      <c r="I1743" s="1178" t="s">
        <v>6183</v>
      </c>
      <c r="J1743" s="1178" t="s">
        <v>662</v>
      </c>
      <c r="K1743" s="1178" t="s">
        <v>267</v>
      </c>
      <c r="L1743" s="1178" t="s">
        <v>211</v>
      </c>
      <c r="M1743" s="1369" t="s">
        <v>23297</v>
      </c>
      <c r="N1743" s="1178"/>
      <c r="O1743" s="1178">
        <v>3</v>
      </c>
      <c r="P1743" s="1178">
        <v>13</v>
      </c>
    </row>
    <row r="1744" spans="1:16">
      <c r="A1744" s="1178" t="s">
        <v>20977</v>
      </c>
      <c r="B1744" s="1371" t="str">
        <f>HYPERLINK(IFERROR("#Main_Tariff!A"&amp;MATCH(Raeburn_Main_Tariff[[#This Row],[Product Code]],Main_Tariff!I:I,0),"#Main_Tariff!A"&amp;MATCH("*"&amp;RIGHT(A1744,8)&amp;"*",Main_Tariff!A:A,0)),Raeburn_Main_Tariff[[#This Row],[PRODUCER]])</f>
        <v>Domaine de la Vougeraie</v>
      </c>
      <c r="C1744" s="1178" t="s">
        <v>20978</v>
      </c>
      <c r="D1744" s="1178" t="s">
        <v>1129</v>
      </c>
      <c r="E1744" s="1179">
        <v>2022</v>
      </c>
      <c r="F1744" s="1282" t="s">
        <v>20220</v>
      </c>
      <c r="G1744" s="1368">
        <v>26.5</v>
      </c>
      <c r="H1744" s="1178" t="s">
        <v>20221</v>
      </c>
      <c r="I1744" s="1178" t="s">
        <v>6193</v>
      </c>
      <c r="J1744" s="1178" t="s">
        <v>662</v>
      </c>
      <c r="K1744" s="1178" t="s">
        <v>267</v>
      </c>
      <c r="L1744" s="1178" t="s">
        <v>211</v>
      </c>
      <c r="M1744" s="1369"/>
      <c r="N1744" s="1178" t="s">
        <v>20244</v>
      </c>
      <c r="O1744" s="1178">
        <v>6</v>
      </c>
      <c r="P1744" s="1178">
        <v>13</v>
      </c>
    </row>
    <row r="1745" spans="1:16">
      <c r="A1745" s="1178" t="s">
        <v>20977</v>
      </c>
      <c r="B1745" s="1371" t="str">
        <f>HYPERLINK(IFERROR("#Main_Tariff!A"&amp;MATCH(Raeburn_Main_Tariff[[#This Row],[Product Code]],Main_Tariff!I:I,0),"#Main_Tariff!A"&amp;MATCH("*"&amp;RIGHT(A1745,8)&amp;"*",Main_Tariff!A:A,0)),Raeburn_Main_Tariff[[#This Row],[PRODUCER]])</f>
        <v>Domaine de la Vougeraie</v>
      </c>
      <c r="C1745" s="1178" t="s">
        <v>20978</v>
      </c>
      <c r="D1745" s="1178" t="s">
        <v>1129</v>
      </c>
      <c r="E1745" s="1179">
        <v>2020</v>
      </c>
      <c r="F1745" s="1282" t="s">
        <v>20220</v>
      </c>
      <c r="G1745" s="1368">
        <v>27</v>
      </c>
      <c r="H1745" s="1178" t="s">
        <v>20221</v>
      </c>
      <c r="I1745" s="1178" t="s">
        <v>6195</v>
      </c>
      <c r="J1745" s="1178" t="s">
        <v>662</v>
      </c>
      <c r="K1745" s="1178" t="s">
        <v>267</v>
      </c>
      <c r="L1745" s="1178" t="s">
        <v>211</v>
      </c>
      <c r="M1745" s="1369"/>
      <c r="N1745" s="1178" t="s">
        <v>20244</v>
      </c>
      <c r="O1745" s="1178">
        <v>6</v>
      </c>
      <c r="P1745" s="1178">
        <v>13</v>
      </c>
    </row>
    <row r="1746" spans="1:16">
      <c r="A1746" s="1178" t="s">
        <v>20977</v>
      </c>
      <c r="B1746" s="1371" t="str">
        <f>HYPERLINK(IFERROR("#Main_Tariff!A"&amp;MATCH(Raeburn_Main_Tariff[[#This Row],[Product Code]],Main_Tariff!I:I,0),"#Main_Tariff!A"&amp;MATCH("*"&amp;RIGHT(A1746,8)&amp;"*",Main_Tariff!A:A,0)),Raeburn_Main_Tariff[[#This Row],[PRODUCER]])</f>
        <v>Domaine de la Vougeraie</v>
      </c>
      <c r="C1746" s="1178" t="s">
        <v>20978</v>
      </c>
      <c r="D1746" s="1178" t="s">
        <v>1129</v>
      </c>
      <c r="E1746" s="1179">
        <v>2019</v>
      </c>
      <c r="F1746" s="1282" t="s">
        <v>20220</v>
      </c>
      <c r="G1746" s="1368">
        <v>27</v>
      </c>
      <c r="H1746" s="1178" t="s">
        <v>20221</v>
      </c>
      <c r="I1746" s="1178" t="s">
        <v>6197</v>
      </c>
      <c r="J1746" s="1178" t="s">
        <v>662</v>
      </c>
      <c r="K1746" s="1178" t="s">
        <v>267</v>
      </c>
      <c r="L1746" s="1178" t="s">
        <v>211</v>
      </c>
      <c r="M1746" s="1369"/>
      <c r="N1746" s="1178" t="s">
        <v>20244</v>
      </c>
      <c r="O1746" s="1178">
        <v>6</v>
      </c>
      <c r="P1746" s="1178">
        <v>13.5</v>
      </c>
    </row>
    <row r="1747" spans="1:16">
      <c r="A1747" s="1178" t="s">
        <v>20977</v>
      </c>
      <c r="B1747" s="1371" t="str">
        <f>HYPERLINK(IFERROR("#Main_Tariff!A"&amp;MATCH(Raeburn_Main_Tariff[[#This Row],[Product Code]],Main_Tariff!I:I,0),"#Main_Tariff!A"&amp;MATCH("*"&amp;RIGHT(A1747,8)&amp;"*",Main_Tariff!A:A,0)),Raeburn_Main_Tariff[[#This Row],[PRODUCER]])</f>
        <v>Domaine de la Vougeraie</v>
      </c>
      <c r="C1747" s="1178" t="s">
        <v>20978</v>
      </c>
      <c r="D1747" s="1178" t="s">
        <v>1129</v>
      </c>
      <c r="E1747" s="1179">
        <v>2018</v>
      </c>
      <c r="F1747" s="1282" t="s">
        <v>20220</v>
      </c>
      <c r="G1747" s="1368">
        <v>26</v>
      </c>
      <c r="H1747" s="1178" t="s">
        <v>20221</v>
      </c>
      <c r="I1747" s="1178" t="s">
        <v>6198</v>
      </c>
      <c r="J1747" s="1178" t="s">
        <v>662</v>
      </c>
      <c r="K1747" s="1178" t="s">
        <v>267</v>
      </c>
      <c r="L1747" s="1178" t="s">
        <v>211</v>
      </c>
      <c r="M1747" s="1369"/>
      <c r="N1747" s="1178" t="s">
        <v>20244</v>
      </c>
      <c r="O1747" s="1178">
        <v>6</v>
      </c>
      <c r="P1747" s="1178">
        <v>13.5</v>
      </c>
    </row>
    <row r="1748" spans="1:16">
      <c r="A1748" s="1178" t="s">
        <v>20977</v>
      </c>
      <c r="B1748" s="1371" t="str">
        <f>HYPERLINK(IFERROR("#Main_Tariff!A"&amp;MATCH(Raeburn_Main_Tariff[[#This Row],[Product Code]],Main_Tariff!I:I,0),"#Main_Tariff!A"&amp;MATCH("*"&amp;RIGHT(A1748,8)&amp;"*",Main_Tariff!A:A,0)),Raeburn_Main_Tariff[[#This Row],[PRODUCER]])</f>
        <v>Domaine de la Vougeraie</v>
      </c>
      <c r="C1748" s="1178" t="s">
        <v>20978</v>
      </c>
      <c r="D1748" s="1178" t="s">
        <v>1129</v>
      </c>
      <c r="E1748" s="1179">
        <v>2017</v>
      </c>
      <c r="F1748" s="1282" t="s">
        <v>20220</v>
      </c>
      <c r="G1748" s="1368">
        <v>26</v>
      </c>
      <c r="H1748" s="1178" t="s">
        <v>20221</v>
      </c>
      <c r="I1748" s="1178" t="s">
        <v>6200</v>
      </c>
      <c r="J1748" s="1178" t="s">
        <v>662</v>
      </c>
      <c r="K1748" s="1178" t="s">
        <v>267</v>
      </c>
      <c r="L1748" s="1178" t="s">
        <v>211</v>
      </c>
      <c r="M1748" s="1369"/>
      <c r="N1748" s="1178" t="s">
        <v>20244</v>
      </c>
      <c r="O1748" s="1178">
        <v>6</v>
      </c>
      <c r="P1748" s="1178">
        <v>13</v>
      </c>
    </row>
    <row r="1749" spans="1:16">
      <c r="A1749" s="1178" t="s">
        <v>20977</v>
      </c>
      <c r="B1749" s="1371" t="str">
        <f>HYPERLINK(IFERROR("#Main_Tariff!A"&amp;MATCH(Raeburn_Main_Tariff[[#This Row],[Product Code]],Main_Tariff!I:I,0),"#Main_Tariff!A"&amp;MATCH("*"&amp;RIGHT(A1749,8)&amp;"*",Main_Tariff!A:A,0)),Raeburn_Main_Tariff[[#This Row],[PRODUCER]])</f>
        <v>Domaine de la Vougeraie</v>
      </c>
      <c r="C1749" s="1178" t="s">
        <v>20978</v>
      </c>
      <c r="D1749" s="1178" t="s">
        <v>1129</v>
      </c>
      <c r="E1749" s="1179">
        <v>2016</v>
      </c>
      <c r="F1749" s="1282" t="s">
        <v>20220</v>
      </c>
      <c r="G1749" s="1368">
        <v>26</v>
      </c>
      <c r="H1749" s="1178" t="s">
        <v>20221</v>
      </c>
      <c r="I1749" s="1178" t="s">
        <v>6202</v>
      </c>
      <c r="J1749" s="1178" t="s">
        <v>662</v>
      </c>
      <c r="K1749" s="1178" t="s">
        <v>267</v>
      </c>
      <c r="L1749" s="1178" t="s">
        <v>211</v>
      </c>
      <c r="M1749" s="1369"/>
      <c r="N1749" s="1178"/>
      <c r="O1749" s="1178">
        <v>6</v>
      </c>
      <c r="P1749" s="1178">
        <v>12.5</v>
      </c>
    </row>
    <row r="1750" spans="1:16">
      <c r="A1750" s="1178" t="s">
        <v>20977</v>
      </c>
      <c r="B1750" s="1371" t="str">
        <f>HYPERLINK(IFERROR("#Main_Tariff!A"&amp;MATCH(Raeburn_Main_Tariff[[#This Row],[Product Code]],Main_Tariff!I:I,0),"#Main_Tariff!A"&amp;MATCH("*"&amp;RIGHT(A1750,8)&amp;"*",Main_Tariff!A:A,0)),Raeburn_Main_Tariff[[#This Row],[PRODUCER]])</f>
        <v>Domaine de la Vougeraie</v>
      </c>
      <c r="C1750" s="1178" t="s">
        <v>20978</v>
      </c>
      <c r="D1750" s="1178" t="s">
        <v>1129</v>
      </c>
      <c r="E1750" s="1179">
        <v>2015</v>
      </c>
      <c r="F1750" s="1282" t="s">
        <v>20220</v>
      </c>
      <c r="G1750" s="1368">
        <v>26</v>
      </c>
      <c r="H1750" s="1178" t="s">
        <v>20221</v>
      </c>
      <c r="I1750" s="1178" t="s">
        <v>4102</v>
      </c>
      <c r="J1750" s="1178" t="s">
        <v>662</v>
      </c>
      <c r="K1750" s="1178" t="s">
        <v>267</v>
      </c>
      <c r="L1750" s="1178" t="s">
        <v>211</v>
      </c>
      <c r="M1750" s="1369"/>
      <c r="N1750" s="1178"/>
      <c r="O1750" s="1178">
        <v>6</v>
      </c>
      <c r="P1750" s="1178">
        <v>13</v>
      </c>
    </row>
    <row r="1751" spans="1:16">
      <c r="A1751" s="1178" t="s">
        <v>20977</v>
      </c>
      <c r="B1751" s="1371" t="str">
        <f>HYPERLINK(IFERROR("#Main_Tariff!A"&amp;MATCH(Raeburn_Main_Tariff[[#This Row],[Product Code]],Main_Tariff!I:I,0),"#Main_Tariff!A"&amp;MATCH("*"&amp;RIGHT(A1751,8)&amp;"*",Main_Tariff!A:A,0)),Raeburn_Main_Tariff[[#This Row],[PRODUCER]])</f>
        <v>Domaine de la Vougeraie</v>
      </c>
      <c r="C1751" s="1178" t="s">
        <v>20978</v>
      </c>
      <c r="D1751" s="1178" t="s">
        <v>1129</v>
      </c>
      <c r="E1751" s="1179">
        <v>2014</v>
      </c>
      <c r="F1751" s="1282" t="s">
        <v>20220</v>
      </c>
      <c r="G1751" s="1368">
        <v>26</v>
      </c>
      <c r="H1751" s="1178" t="s">
        <v>20277</v>
      </c>
      <c r="I1751" s="1178" t="s">
        <v>6204</v>
      </c>
      <c r="J1751" s="1178" t="s">
        <v>662</v>
      </c>
      <c r="K1751" s="1178" t="s">
        <v>267</v>
      </c>
      <c r="L1751" s="1178" t="s">
        <v>211</v>
      </c>
      <c r="M1751" s="1369"/>
      <c r="N1751" s="1178"/>
      <c r="O1751" s="1178">
        <v>6</v>
      </c>
      <c r="P1751" s="1178">
        <v>13</v>
      </c>
    </row>
    <row r="1752" spans="1:16">
      <c r="A1752" s="1178" t="s">
        <v>20977</v>
      </c>
      <c r="B1752" s="1371" t="str">
        <f>HYPERLINK(IFERROR("#Main_Tariff!A"&amp;MATCH(Raeburn_Main_Tariff[[#This Row],[Product Code]],Main_Tariff!I:I,0),"#Main_Tariff!A"&amp;MATCH("*"&amp;RIGHT(A1752,8)&amp;"*",Main_Tariff!A:A,0)),Raeburn_Main_Tariff[[#This Row],[PRODUCER]])</f>
        <v>Domaine de la Vougeraie</v>
      </c>
      <c r="C1752" s="1178" t="s">
        <v>20979</v>
      </c>
      <c r="D1752" s="1178" t="s">
        <v>1129</v>
      </c>
      <c r="E1752" s="1179">
        <v>2022</v>
      </c>
      <c r="F1752" s="1282" t="s">
        <v>20220</v>
      </c>
      <c r="G1752" s="1368">
        <v>81</v>
      </c>
      <c r="H1752" s="1178" t="s">
        <v>20221</v>
      </c>
      <c r="I1752" s="1178" t="s">
        <v>6207</v>
      </c>
      <c r="J1752" s="1178" t="s">
        <v>662</v>
      </c>
      <c r="K1752" s="1178" t="s">
        <v>267</v>
      </c>
      <c r="L1752" s="1178" t="s">
        <v>211</v>
      </c>
      <c r="M1752" s="1369" t="s">
        <v>23297</v>
      </c>
      <c r="N1752" s="1178"/>
      <c r="O1752" s="1178">
        <v>6</v>
      </c>
      <c r="P1752" s="1178">
        <v>13</v>
      </c>
    </row>
    <row r="1753" spans="1:16">
      <c r="A1753" s="1178" t="s">
        <v>20977</v>
      </c>
      <c r="B1753" s="1371" t="str">
        <f>HYPERLINK(IFERROR("#Main_Tariff!A"&amp;MATCH(Raeburn_Main_Tariff[[#This Row],[Product Code]],Main_Tariff!I:I,0),"#Main_Tariff!A"&amp;MATCH("*"&amp;RIGHT(A1753,8)&amp;"*",Main_Tariff!A:A,0)),Raeburn_Main_Tariff[[#This Row],[PRODUCER]])</f>
        <v>Domaine de la Vougeraie</v>
      </c>
      <c r="C1753" s="1178" t="s">
        <v>20980</v>
      </c>
      <c r="D1753" s="1178" t="s">
        <v>1129</v>
      </c>
      <c r="E1753" s="1179">
        <v>2022</v>
      </c>
      <c r="F1753" s="1282" t="s">
        <v>20220</v>
      </c>
      <c r="G1753" s="1368">
        <v>112</v>
      </c>
      <c r="H1753" s="1178" t="s">
        <v>20221</v>
      </c>
      <c r="I1753" s="1178" t="s">
        <v>6209</v>
      </c>
      <c r="J1753" s="1178" t="s">
        <v>662</v>
      </c>
      <c r="K1753" s="1178" t="s">
        <v>267</v>
      </c>
      <c r="L1753" s="1178" t="s">
        <v>211</v>
      </c>
      <c r="M1753" s="1369" t="s">
        <v>23297</v>
      </c>
      <c r="N1753" s="1178"/>
      <c r="O1753" s="1178">
        <v>6</v>
      </c>
      <c r="P1753" s="1178">
        <v>13</v>
      </c>
    </row>
    <row r="1754" spans="1:16">
      <c r="A1754" s="1178" t="s">
        <v>20977</v>
      </c>
      <c r="B1754" s="1371" t="str">
        <f>HYPERLINK(IFERROR("#Main_Tariff!A"&amp;MATCH(Raeburn_Main_Tariff[[#This Row],[Product Code]],Main_Tariff!I:I,0),"#Main_Tariff!A"&amp;MATCH("*"&amp;RIGHT(A1754,8)&amp;"*",Main_Tariff!A:A,0)),Raeburn_Main_Tariff[[#This Row],[PRODUCER]])</f>
        <v>Domaine de la Vougeraie</v>
      </c>
      <c r="C1754" s="1178" t="s">
        <v>20784</v>
      </c>
      <c r="D1754" s="1178" t="s">
        <v>1129</v>
      </c>
      <c r="E1754" s="1179">
        <v>2022</v>
      </c>
      <c r="F1754" s="1282" t="s">
        <v>20220</v>
      </c>
      <c r="G1754" s="1368" t="s">
        <v>5258</v>
      </c>
      <c r="H1754" s="1178" t="s">
        <v>20224</v>
      </c>
      <c r="I1754" s="1178" t="s">
        <v>6212</v>
      </c>
      <c r="J1754" s="1178" t="s">
        <v>662</v>
      </c>
      <c r="K1754" s="1178" t="s">
        <v>267</v>
      </c>
      <c r="L1754" s="1178" t="s">
        <v>211</v>
      </c>
      <c r="M1754" s="1369" t="s">
        <v>23296</v>
      </c>
      <c r="N1754" s="1178"/>
      <c r="O1754" s="1178">
        <v>3</v>
      </c>
      <c r="P1754" s="1178">
        <v>13</v>
      </c>
    </row>
    <row r="1755" spans="1:16">
      <c r="A1755" s="1178" t="s">
        <v>20977</v>
      </c>
      <c r="B1755" s="1371" t="str">
        <f>HYPERLINK(IFERROR("#Main_Tariff!A"&amp;MATCH(Raeburn_Main_Tariff[[#This Row],[Product Code]],Main_Tariff!I:I,0),"#Main_Tariff!A"&amp;MATCH("*"&amp;RIGHT(A1755,8)&amp;"*",Main_Tariff!A:A,0)),Raeburn_Main_Tariff[[#This Row],[PRODUCER]])</f>
        <v>Domaine de la Vougeraie</v>
      </c>
      <c r="C1755" s="1178" t="s">
        <v>20981</v>
      </c>
      <c r="D1755" s="1178" t="s">
        <v>1129</v>
      </c>
      <c r="E1755" s="1179"/>
      <c r="F1755" s="1282" t="s">
        <v>20220</v>
      </c>
      <c r="G1755" s="1368"/>
      <c r="H1755" s="1178" t="s">
        <v>3907</v>
      </c>
      <c r="I1755" s="1178" t="s">
        <v>6214</v>
      </c>
      <c r="J1755" s="1178" t="s">
        <v>662</v>
      </c>
      <c r="K1755" s="1178" t="s">
        <v>267</v>
      </c>
      <c r="L1755" s="1178" t="s">
        <v>211</v>
      </c>
      <c r="M1755" s="1369" t="s">
        <v>23296</v>
      </c>
      <c r="N1755" s="1178" t="s">
        <v>20244</v>
      </c>
      <c r="O1755" s="1178">
        <v>6</v>
      </c>
      <c r="P1755" s="1178">
        <v>13</v>
      </c>
    </row>
    <row r="1756" spans="1:16">
      <c r="A1756" s="1178" t="s">
        <v>20977</v>
      </c>
      <c r="B1756" s="1371" t="str">
        <f>HYPERLINK(IFERROR("#Main_Tariff!A"&amp;MATCH(Raeburn_Main_Tariff[[#This Row],[Product Code]],Main_Tariff!I:I,0),"#Main_Tariff!A"&amp;MATCH("*"&amp;RIGHT(A1756,8)&amp;"*",Main_Tariff!A:A,0)),Raeburn_Main_Tariff[[#This Row],[PRODUCER]])</f>
        <v>Domaine de la Vougeraie</v>
      </c>
      <c r="C1756" s="1178" t="s">
        <v>20982</v>
      </c>
      <c r="D1756" s="1178" t="s">
        <v>1129</v>
      </c>
      <c r="E1756" s="1179"/>
      <c r="F1756" s="1282" t="s">
        <v>20220</v>
      </c>
      <c r="G1756" s="1368"/>
      <c r="H1756" s="1178" t="s">
        <v>3907</v>
      </c>
      <c r="I1756" s="1178" t="s">
        <v>6216</v>
      </c>
      <c r="J1756" s="1178" t="s">
        <v>662</v>
      </c>
      <c r="K1756" s="1178" t="s">
        <v>267</v>
      </c>
      <c r="L1756" s="1178" t="s">
        <v>211</v>
      </c>
      <c r="M1756" s="1369" t="s">
        <v>23296</v>
      </c>
      <c r="N1756" s="1178"/>
      <c r="O1756" s="1178">
        <v>3</v>
      </c>
      <c r="P1756" s="1178">
        <v>13.5</v>
      </c>
    </row>
    <row r="1757" spans="1:16">
      <c r="A1757" s="1178" t="s">
        <v>20977</v>
      </c>
      <c r="B1757" s="1371" t="str">
        <f>HYPERLINK(IFERROR("#Main_Tariff!A"&amp;MATCH(Raeburn_Main_Tariff[[#This Row],[Product Code]],Main_Tariff!I:I,0),"#Main_Tariff!A"&amp;MATCH("*"&amp;RIGHT(A1757,8)&amp;"*",Main_Tariff!A:A,0)),Raeburn_Main_Tariff[[#This Row],[PRODUCER]])</f>
        <v>Domaine de la Vougeraie</v>
      </c>
      <c r="C1757" s="1178" t="s">
        <v>20983</v>
      </c>
      <c r="D1757" s="1178" t="s">
        <v>897</v>
      </c>
      <c r="E1757" s="1179">
        <v>2022</v>
      </c>
      <c r="F1757" s="1282" t="s">
        <v>20220</v>
      </c>
      <c r="G1757" s="1368">
        <v>26.5</v>
      </c>
      <c r="H1757" s="1178" t="s">
        <v>20221</v>
      </c>
      <c r="I1757" s="1178" t="s">
        <v>6220</v>
      </c>
      <c r="J1757" s="1178" t="s">
        <v>662</v>
      </c>
      <c r="K1757" s="1178" t="s">
        <v>267</v>
      </c>
      <c r="L1757" s="1178" t="s">
        <v>211</v>
      </c>
      <c r="M1757" s="1369"/>
      <c r="N1757" s="1178" t="s">
        <v>20244</v>
      </c>
      <c r="O1757" s="1178">
        <v>6</v>
      </c>
      <c r="P1757" s="1178">
        <v>13</v>
      </c>
    </row>
    <row r="1758" spans="1:16">
      <c r="A1758" s="1178" t="s">
        <v>20977</v>
      </c>
      <c r="B1758" s="1371" t="str">
        <f>HYPERLINK(IFERROR("#Main_Tariff!A"&amp;MATCH(Raeburn_Main_Tariff[[#This Row],[Product Code]],Main_Tariff!I:I,0),"#Main_Tariff!A"&amp;MATCH("*"&amp;RIGHT(A1758,8)&amp;"*",Main_Tariff!A:A,0)),Raeburn_Main_Tariff[[#This Row],[PRODUCER]])</f>
        <v>Domaine de la Vougeraie</v>
      </c>
      <c r="C1758" s="1178" t="s">
        <v>20983</v>
      </c>
      <c r="D1758" s="1178" t="s">
        <v>897</v>
      </c>
      <c r="E1758" s="1179">
        <v>2021</v>
      </c>
      <c r="F1758" s="1282" t="s">
        <v>20220</v>
      </c>
      <c r="G1758" s="1368">
        <v>26.75</v>
      </c>
      <c r="H1758" s="1178" t="s">
        <v>20221</v>
      </c>
      <c r="I1758" s="1178" t="s">
        <v>6222</v>
      </c>
      <c r="J1758" s="1178" t="s">
        <v>662</v>
      </c>
      <c r="K1758" s="1178" t="s">
        <v>267</v>
      </c>
      <c r="L1758" s="1178" t="s">
        <v>211</v>
      </c>
      <c r="M1758" s="1369"/>
      <c r="N1758" s="1178" t="s">
        <v>20244</v>
      </c>
      <c r="O1758" s="1178">
        <v>6</v>
      </c>
      <c r="P1758" s="1178">
        <v>13</v>
      </c>
    </row>
    <row r="1759" spans="1:16">
      <c r="A1759" s="1178" t="s">
        <v>20977</v>
      </c>
      <c r="B1759" s="1371" t="str">
        <f>HYPERLINK(IFERROR("#Main_Tariff!A"&amp;MATCH(Raeburn_Main_Tariff[[#This Row],[Product Code]],Main_Tariff!I:I,0),"#Main_Tariff!A"&amp;MATCH("*"&amp;RIGHT(A1759,8)&amp;"*",Main_Tariff!A:A,0)),Raeburn_Main_Tariff[[#This Row],[PRODUCER]])</f>
        <v>Domaine de la Vougeraie</v>
      </c>
      <c r="C1759" s="1178" t="s">
        <v>20983</v>
      </c>
      <c r="D1759" s="1178" t="s">
        <v>897</v>
      </c>
      <c r="E1759" s="1179">
        <v>2020</v>
      </c>
      <c r="F1759" s="1282" t="s">
        <v>20220</v>
      </c>
      <c r="G1759" s="1368">
        <v>26.75</v>
      </c>
      <c r="H1759" s="1178" t="s">
        <v>20221</v>
      </c>
      <c r="I1759" s="1178" t="s">
        <v>6224</v>
      </c>
      <c r="J1759" s="1178" t="s">
        <v>662</v>
      </c>
      <c r="K1759" s="1178" t="s">
        <v>267</v>
      </c>
      <c r="L1759" s="1178" t="s">
        <v>211</v>
      </c>
      <c r="M1759" s="1369"/>
      <c r="N1759" s="1178" t="s">
        <v>20244</v>
      </c>
      <c r="O1759" s="1178">
        <v>6</v>
      </c>
      <c r="P1759" s="1178">
        <v>12.5</v>
      </c>
    </row>
    <row r="1760" spans="1:16">
      <c r="A1760" s="1178" t="s">
        <v>20977</v>
      </c>
      <c r="B1760" s="1371" t="str">
        <f>HYPERLINK(IFERROR("#Main_Tariff!A"&amp;MATCH(Raeburn_Main_Tariff[[#This Row],[Product Code]],Main_Tariff!I:I,0),"#Main_Tariff!A"&amp;MATCH("*"&amp;RIGHT(A1760,8)&amp;"*",Main_Tariff!A:A,0)),Raeburn_Main_Tariff[[#This Row],[PRODUCER]])</f>
        <v>Domaine de la Vougeraie</v>
      </c>
      <c r="C1760" s="1178" t="s">
        <v>20983</v>
      </c>
      <c r="D1760" s="1178" t="s">
        <v>897</v>
      </c>
      <c r="E1760" s="1179">
        <v>2019</v>
      </c>
      <c r="F1760" s="1282" t="s">
        <v>20220</v>
      </c>
      <c r="G1760" s="1368">
        <v>26.75</v>
      </c>
      <c r="H1760" s="1178" t="s">
        <v>20221</v>
      </c>
      <c r="I1760" s="1178" t="s">
        <v>6226</v>
      </c>
      <c r="J1760" s="1178" t="s">
        <v>662</v>
      </c>
      <c r="K1760" s="1178" t="s">
        <v>267</v>
      </c>
      <c r="L1760" s="1178" t="s">
        <v>211</v>
      </c>
      <c r="M1760" s="1369"/>
      <c r="N1760" s="1178" t="s">
        <v>20244</v>
      </c>
      <c r="O1760" s="1178">
        <v>6</v>
      </c>
      <c r="P1760" s="1178">
        <v>13</v>
      </c>
    </row>
    <row r="1761" spans="1:16">
      <c r="A1761" s="1178" t="s">
        <v>20977</v>
      </c>
      <c r="B1761" s="1371" t="str">
        <f>HYPERLINK(IFERROR("#Main_Tariff!A"&amp;MATCH(Raeburn_Main_Tariff[[#This Row],[Product Code]],Main_Tariff!I:I,0),"#Main_Tariff!A"&amp;MATCH("*"&amp;RIGHT(A1761,8)&amp;"*",Main_Tariff!A:A,0)),Raeburn_Main_Tariff[[#This Row],[PRODUCER]])</f>
        <v>Domaine de la Vougeraie</v>
      </c>
      <c r="C1761" s="1178" t="s">
        <v>20983</v>
      </c>
      <c r="D1761" s="1178" t="s">
        <v>897</v>
      </c>
      <c r="E1761" s="1179">
        <v>2018</v>
      </c>
      <c r="F1761" s="1282" t="s">
        <v>20220</v>
      </c>
      <c r="G1761" s="1368">
        <v>26</v>
      </c>
      <c r="H1761" s="1178" t="s">
        <v>20221</v>
      </c>
      <c r="I1761" s="1178" t="s">
        <v>6228</v>
      </c>
      <c r="J1761" s="1178" t="s">
        <v>662</v>
      </c>
      <c r="K1761" s="1178" t="s">
        <v>267</v>
      </c>
      <c r="L1761" s="1178" t="s">
        <v>211</v>
      </c>
      <c r="M1761" s="1369"/>
      <c r="N1761" s="1178" t="s">
        <v>20244</v>
      </c>
      <c r="O1761" s="1178">
        <v>6</v>
      </c>
      <c r="P1761" s="1178">
        <v>13</v>
      </c>
    </row>
    <row r="1762" spans="1:16">
      <c r="A1762" s="1178" t="s">
        <v>20977</v>
      </c>
      <c r="B1762" s="1371" t="str">
        <f>HYPERLINK(IFERROR("#Main_Tariff!A"&amp;MATCH(Raeburn_Main_Tariff[[#This Row],[Product Code]],Main_Tariff!I:I,0),"#Main_Tariff!A"&amp;MATCH("*"&amp;RIGHT(A1762,8)&amp;"*",Main_Tariff!A:A,0)),Raeburn_Main_Tariff[[#This Row],[PRODUCER]])</f>
        <v>Domaine de la Vougeraie</v>
      </c>
      <c r="C1762" s="1178" t="s">
        <v>20983</v>
      </c>
      <c r="D1762" s="1178" t="s">
        <v>897</v>
      </c>
      <c r="E1762" s="1179">
        <v>2017</v>
      </c>
      <c r="F1762" s="1282" t="s">
        <v>20220</v>
      </c>
      <c r="G1762" s="1368">
        <v>26</v>
      </c>
      <c r="H1762" s="1178" t="s">
        <v>20221</v>
      </c>
      <c r="I1762" s="1178" t="s">
        <v>6230</v>
      </c>
      <c r="J1762" s="1178" t="s">
        <v>662</v>
      </c>
      <c r="K1762" s="1178" t="s">
        <v>267</v>
      </c>
      <c r="L1762" s="1178" t="s">
        <v>211</v>
      </c>
      <c r="M1762" s="1369"/>
      <c r="N1762" s="1178" t="s">
        <v>20244</v>
      </c>
      <c r="O1762" s="1178">
        <v>6</v>
      </c>
      <c r="P1762" s="1178">
        <v>12.5</v>
      </c>
    </row>
    <row r="1763" spans="1:16">
      <c r="A1763" s="1178" t="s">
        <v>20977</v>
      </c>
      <c r="B1763" s="1371" t="str">
        <f>HYPERLINK(IFERROR("#Main_Tariff!A"&amp;MATCH(Raeburn_Main_Tariff[[#This Row],[Product Code]],Main_Tariff!I:I,0),"#Main_Tariff!A"&amp;MATCH("*"&amp;RIGHT(A1763,8)&amp;"*",Main_Tariff!A:A,0)),Raeburn_Main_Tariff[[#This Row],[PRODUCER]])</f>
        <v>Domaine de la Vougeraie</v>
      </c>
      <c r="C1763" s="1178" t="s">
        <v>20983</v>
      </c>
      <c r="D1763" s="1178" t="s">
        <v>897</v>
      </c>
      <c r="E1763" s="1179">
        <v>2016</v>
      </c>
      <c r="F1763" s="1282" t="s">
        <v>20220</v>
      </c>
      <c r="G1763" s="1368">
        <v>26</v>
      </c>
      <c r="H1763" s="1178" t="s">
        <v>20221</v>
      </c>
      <c r="I1763" s="1178" t="s">
        <v>6232</v>
      </c>
      <c r="J1763" s="1178" t="s">
        <v>662</v>
      </c>
      <c r="K1763" s="1178" t="s">
        <v>267</v>
      </c>
      <c r="L1763" s="1178" t="s">
        <v>211</v>
      </c>
      <c r="M1763" s="1369"/>
      <c r="N1763" s="1178"/>
      <c r="O1763" s="1178">
        <v>6</v>
      </c>
      <c r="P1763" s="1178">
        <v>12.5</v>
      </c>
    </row>
    <row r="1764" spans="1:16">
      <c r="A1764" s="1178" t="s">
        <v>20977</v>
      </c>
      <c r="B1764" s="1371" t="str">
        <f>HYPERLINK(IFERROR("#Main_Tariff!A"&amp;MATCH(Raeburn_Main_Tariff[[#This Row],[Product Code]],Main_Tariff!I:I,0),"#Main_Tariff!A"&amp;MATCH("*"&amp;RIGHT(A1764,8)&amp;"*",Main_Tariff!A:A,0)),Raeburn_Main_Tariff[[#This Row],[PRODUCER]])</f>
        <v>Domaine de la Vougeraie</v>
      </c>
      <c r="C1764" s="1178" t="s">
        <v>20983</v>
      </c>
      <c r="D1764" s="1178" t="s">
        <v>897</v>
      </c>
      <c r="E1764" s="1179">
        <v>2015</v>
      </c>
      <c r="F1764" s="1282" t="s">
        <v>20220</v>
      </c>
      <c r="G1764" s="1368">
        <v>28.25</v>
      </c>
      <c r="H1764" s="1178" t="s">
        <v>20465</v>
      </c>
      <c r="I1764" s="1178" t="s">
        <v>6234</v>
      </c>
      <c r="J1764" s="1178" t="s">
        <v>662</v>
      </c>
      <c r="K1764" s="1178" t="s">
        <v>267</v>
      </c>
      <c r="L1764" s="1178" t="s">
        <v>211</v>
      </c>
      <c r="M1764" s="1369"/>
      <c r="N1764" s="1178"/>
      <c r="O1764" s="1178">
        <v>6</v>
      </c>
      <c r="P1764" s="1178">
        <v>13</v>
      </c>
    </row>
    <row r="1765" spans="1:16">
      <c r="A1765" s="1178" t="s">
        <v>20977</v>
      </c>
      <c r="B1765" s="1371" t="str">
        <f>HYPERLINK(IFERROR("#Main_Tariff!A"&amp;MATCH(Raeburn_Main_Tariff[[#This Row],[Product Code]],Main_Tariff!I:I,0),"#Main_Tariff!A"&amp;MATCH("*"&amp;RIGHT(A1765,8)&amp;"*",Main_Tariff!A:A,0)),Raeburn_Main_Tariff[[#This Row],[PRODUCER]])</f>
        <v>Domaine de la Vougeraie</v>
      </c>
      <c r="C1765" s="1178" t="s">
        <v>20984</v>
      </c>
      <c r="D1765" s="1178" t="s">
        <v>897</v>
      </c>
      <c r="E1765" s="1179">
        <v>2022</v>
      </c>
      <c r="F1765" s="1282" t="s">
        <v>20220</v>
      </c>
      <c r="G1765" s="1368">
        <v>60.75</v>
      </c>
      <c r="H1765" s="1178" t="s">
        <v>20221</v>
      </c>
      <c r="I1765" s="1178" t="s">
        <v>6237</v>
      </c>
      <c r="J1765" s="1178" t="s">
        <v>662</v>
      </c>
      <c r="K1765" s="1178" t="s">
        <v>267</v>
      </c>
      <c r="L1765" s="1178" t="s">
        <v>211</v>
      </c>
      <c r="M1765" s="1369"/>
      <c r="N1765" s="1178" t="s">
        <v>20244</v>
      </c>
      <c r="O1765" s="1178">
        <v>6</v>
      </c>
      <c r="P1765" s="1178">
        <v>13</v>
      </c>
    </row>
    <row r="1766" spans="1:16">
      <c r="A1766" s="1178" t="s">
        <v>20977</v>
      </c>
      <c r="B1766" s="1371" t="str">
        <f>HYPERLINK(IFERROR("#Main_Tariff!A"&amp;MATCH(Raeburn_Main_Tariff[[#This Row],[Product Code]],Main_Tariff!I:I,0),"#Main_Tariff!A"&amp;MATCH("*"&amp;RIGHT(A1766,8)&amp;"*",Main_Tariff!A:A,0)),Raeburn_Main_Tariff[[#This Row],[PRODUCER]])</f>
        <v>Domaine de la Vougeraie</v>
      </c>
      <c r="C1766" s="1178" t="s">
        <v>20984</v>
      </c>
      <c r="D1766" s="1178" t="s">
        <v>897</v>
      </c>
      <c r="E1766" s="1179">
        <v>2020</v>
      </c>
      <c r="F1766" s="1282" t="s">
        <v>20220</v>
      </c>
      <c r="G1766" s="1368">
        <v>60.75</v>
      </c>
      <c r="H1766" s="1178" t="s">
        <v>20221</v>
      </c>
      <c r="I1766" s="1178" t="s">
        <v>6239</v>
      </c>
      <c r="J1766" s="1178" t="s">
        <v>662</v>
      </c>
      <c r="K1766" s="1178" t="s">
        <v>267</v>
      </c>
      <c r="L1766" s="1178" t="s">
        <v>211</v>
      </c>
      <c r="M1766" s="1369"/>
      <c r="N1766" s="1178" t="s">
        <v>20244</v>
      </c>
      <c r="O1766" s="1178">
        <v>6</v>
      </c>
      <c r="P1766" s="1178">
        <v>13</v>
      </c>
    </row>
    <row r="1767" spans="1:16">
      <c r="A1767" s="1178" t="s">
        <v>20977</v>
      </c>
      <c r="B1767" s="1371" t="str">
        <f>HYPERLINK(IFERROR("#Main_Tariff!A"&amp;MATCH(Raeburn_Main_Tariff[[#This Row],[Product Code]],Main_Tariff!I:I,0),"#Main_Tariff!A"&amp;MATCH("*"&amp;RIGHT(A1767,8)&amp;"*",Main_Tariff!A:A,0)),Raeburn_Main_Tariff[[#This Row],[PRODUCER]])</f>
        <v>Domaine de la Vougeraie</v>
      </c>
      <c r="C1767" s="1178" t="s">
        <v>20984</v>
      </c>
      <c r="D1767" s="1178" t="s">
        <v>897</v>
      </c>
      <c r="E1767" s="1179">
        <v>2019</v>
      </c>
      <c r="F1767" s="1282" t="s">
        <v>20220</v>
      </c>
      <c r="G1767" s="1368">
        <v>60.75</v>
      </c>
      <c r="H1767" s="1178" t="s">
        <v>20224</v>
      </c>
      <c r="I1767" s="1178" t="s">
        <v>6241</v>
      </c>
      <c r="J1767" s="1178" t="s">
        <v>662</v>
      </c>
      <c r="K1767" s="1178" t="s">
        <v>267</v>
      </c>
      <c r="L1767" s="1178" t="s">
        <v>211</v>
      </c>
      <c r="M1767" s="1369"/>
      <c r="N1767" s="1178" t="s">
        <v>20244</v>
      </c>
      <c r="O1767" s="1178">
        <v>6</v>
      </c>
      <c r="P1767" s="1178">
        <v>12.5</v>
      </c>
    </row>
    <row r="1768" spans="1:16">
      <c r="A1768" s="1178" t="s">
        <v>20977</v>
      </c>
      <c r="B1768" s="1371" t="str">
        <f>HYPERLINK(IFERROR("#Main_Tariff!A"&amp;MATCH(Raeburn_Main_Tariff[[#This Row],[Product Code]],Main_Tariff!I:I,0),"#Main_Tariff!A"&amp;MATCH("*"&amp;RIGHT(A1768,8)&amp;"*",Main_Tariff!A:A,0)),Raeburn_Main_Tariff[[#This Row],[PRODUCER]])</f>
        <v>Domaine de la Vougeraie</v>
      </c>
      <c r="C1768" s="1178" t="s">
        <v>20985</v>
      </c>
      <c r="D1768" s="1178" t="s">
        <v>897</v>
      </c>
      <c r="E1768" s="1179">
        <v>2022</v>
      </c>
      <c r="F1768" s="1282" t="s">
        <v>20220</v>
      </c>
      <c r="G1768" s="1368">
        <v>66</v>
      </c>
      <c r="H1768" s="1178" t="s">
        <v>20221</v>
      </c>
      <c r="I1768" s="1178" t="s">
        <v>6243</v>
      </c>
      <c r="J1768" s="1178" t="s">
        <v>662</v>
      </c>
      <c r="K1768" s="1178" t="s">
        <v>267</v>
      </c>
      <c r="L1768" s="1178" t="s">
        <v>211</v>
      </c>
      <c r="M1768" s="1369"/>
      <c r="N1768" s="1178" t="s">
        <v>20244</v>
      </c>
      <c r="O1768" s="1178">
        <v>6</v>
      </c>
      <c r="P1768" s="1178">
        <v>13.5</v>
      </c>
    </row>
    <row r="1769" spans="1:16">
      <c r="A1769" s="1178" t="s">
        <v>20977</v>
      </c>
      <c r="B1769" s="1371" t="str">
        <f>HYPERLINK(IFERROR("#Main_Tariff!A"&amp;MATCH(Raeburn_Main_Tariff[[#This Row],[Product Code]],Main_Tariff!I:I,0),"#Main_Tariff!A"&amp;MATCH("*"&amp;RIGHT(A1769,8)&amp;"*",Main_Tariff!A:A,0)),Raeburn_Main_Tariff[[#This Row],[PRODUCER]])</f>
        <v>Domaine de la Vougeraie</v>
      </c>
      <c r="C1769" s="1178" t="s">
        <v>20985</v>
      </c>
      <c r="D1769" s="1178" t="s">
        <v>897</v>
      </c>
      <c r="E1769" s="1179">
        <v>2020</v>
      </c>
      <c r="F1769" s="1282" t="s">
        <v>20220</v>
      </c>
      <c r="G1769" s="1368">
        <v>63.5</v>
      </c>
      <c r="H1769" s="1178" t="s">
        <v>20221</v>
      </c>
      <c r="I1769" s="1178" t="s">
        <v>6245</v>
      </c>
      <c r="J1769" s="1178" t="s">
        <v>662</v>
      </c>
      <c r="K1769" s="1178" t="s">
        <v>267</v>
      </c>
      <c r="L1769" s="1178" t="s">
        <v>211</v>
      </c>
      <c r="M1769" s="1369"/>
      <c r="N1769" s="1178" t="s">
        <v>20244</v>
      </c>
      <c r="O1769" s="1178">
        <v>6</v>
      </c>
      <c r="P1769" s="1178">
        <v>13</v>
      </c>
    </row>
    <row r="1770" spans="1:16">
      <c r="A1770" s="1178" t="s">
        <v>20977</v>
      </c>
      <c r="B1770" s="1371" t="str">
        <f>HYPERLINK(IFERROR("#Main_Tariff!A"&amp;MATCH(Raeburn_Main_Tariff[[#This Row],[Product Code]],Main_Tariff!I:I,0),"#Main_Tariff!A"&amp;MATCH("*"&amp;RIGHT(A1770,8)&amp;"*",Main_Tariff!A:A,0)),Raeburn_Main_Tariff[[#This Row],[PRODUCER]])</f>
        <v>Domaine de la Vougeraie</v>
      </c>
      <c r="C1770" s="1178" t="s">
        <v>20985</v>
      </c>
      <c r="D1770" s="1178" t="s">
        <v>897</v>
      </c>
      <c r="E1770" s="1179">
        <v>2018</v>
      </c>
      <c r="F1770" s="1282" t="s">
        <v>20220</v>
      </c>
      <c r="G1770" s="1368">
        <v>48</v>
      </c>
      <c r="H1770" s="1178" t="s">
        <v>20221</v>
      </c>
      <c r="I1770" s="1178" t="s">
        <v>6247</v>
      </c>
      <c r="J1770" s="1178" t="s">
        <v>662</v>
      </c>
      <c r="K1770" s="1178" t="s">
        <v>267</v>
      </c>
      <c r="L1770" s="1178" t="s">
        <v>211</v>
      </c>
      <c r="M1770" s="1369"/>
      <c r="N1770" s="1178" t="s">
        <v>20244</v>
      </c>
      <c r="O1770" s="1178">
        <v>6</v>
      </c>
      <c r="P1770" s="1178">
        <v>14</v>
      </c>
    </row>
    <row r="1771" spans="1:16">
      <c r="A1771" s="1178" t="s">
        <v>20977</v>
      </c>
      <c r="B1771" s="1371" t="str">
        <f>HYPERLINK(IFERROR("#Main_Tariff!A"&amp;MATCH(Raeburn_Main_Tariff[[#This Row],[Product Code]],Main_Tariff!I:I,0),"#Main_Tariff!A"&amp;MATCH("*"&amp;RIGHT(A1771,8)&amp;"*",Main_Tariff!A:A,0)),Raeburn_Main_Tariff[[#This Row],[PRODUCER]])</f>
        <v>Domaine de la Vougeraie</v>
      </c>
      <c r="C1771" s="1178" t="s">
        <v>20985</v>
      </c>
      <c r="D1771" s="1178" t="s">
        <v>897</v>
      </c>
      <c r="E1771" s="1179">
        <v>2017</v>
      </c>
      <c r="F1771" s="1282" t="s">
        <v>20220</v>
      </c>
      <c r="G1771" s="1368">
        <v>48</v>
      </c>
      <c r="H1771" s="1178" t="s">
        <v>20224</v>
      </c>
      <c r="I1771" s="1178" t="s">
        <v>6249</v>
      </c>
      <c r="J1771" s="1178" t="s">
        <v>662</v>
      </c>
      <c r="K1771" s="1178" t="s">
        <v>267</v>
      </c>
      <c r="L1771" s="1178" t="s">
        <v>211</v>
      </c>
      <c r="M1771" s="1369"/>
      <c r="N1771" s="1178" t="s">
        <v>20244</v>
      </c>
      <c r="O1771" s="1178">
        <v>6</v>
      </c>
      <c r="P1771" s="1178">
        <v>13</v>
      </c>
    </row>
    <row r="1772" spans="1:16">
      <c r="A1772" s="1178" t="s">
        <v>20977</v>
      </c>
      <c r="B1772" s="1371" t="str">
        <f>HYPERLINK(IFERROR("#Main_Tariff!A"&amp;MATCH(Raeburn_Main_Tariff[[#This Row],[Product Code]],Main_Tariff!I:I,0),"#Main_Tariff!A"&amp;MATCH("*"&amp;RIGHT(A1772,8)&amp;"*",Main_Tariff!A:A,0)),Raeburn_Main_Tariff[[#This Row],[PRODUCER]])</f>
        <v>Domaine de la Vougeraie</v>
      </c>
      <c r="C1772" s="1178" t="s">
        <v>20985</v>
      </c>
      <c r="D1772" s="1178" t="s">
        <v>897</v>
      </c>
      <c r="E1772" s="1179">
        <v>2016</v>
      </c>
      <c r="F1772" s="1282" t="s">
        <v>20220</v>
      </c>
      <c r="G1772" s="1368">
        <v>48</v>
      </c>
      <c r="H1772" s="1178" t="s">
        <v>20224</v>
      </c>
      <c r="I1772" s="1178" t="s">
        <v>6251</v>
      </c>
      <c r="J1772" s="1178" t="s">
        <v>662</v>
      </c>
      <c r="K1772" s="1178" t="s">
        <v>267</v>
      </c>
      <c r="L1772" s="1178" t="s">
        <v>211</v>
      </c>
      <c r="M1772" s="1369"/>
      <c r="N1772" s="1178"/>
      <c r="O1772" s="1178">
        <v>6</v>
      </c>
      <c r="P1772" s="1178">
        <v>13.5</v>
      </c>
    </row>
    <row r="1773" spans="1:16">
      <c r="A1773" s="1178" t="s">
        <v>20977</v>
      </c>
      <c r="B1773" s="1371" t="str">
        <f>HYPERLINK(IFERROR("#Main_Tariff!A"&amp;MATCH(Raeburn_Main_Tariff[[#This Row],[Product Code]],Main_Tariff!I:I,0),"#Main_Tariff!A"&amp;MATCH("*"&amp;RIGHT(A1773,8)&amp;"*",Main_Tariff!A:A,0)),Raeburn_Main_Tariff[[#This Row],[PRODUCER]])</f>
        <v>Domaine de la Vougeraie</v>
      </c>
      <c r="C1773" s="1178" t="s">
        <v>20985</v>
      </c>
      <c r="D1773" s="1178" t="s">
        <v>897</v>
      </c>
      <c r="E1773" s="1179">
        <v>2015</v>
      </c>
      <c r="F1773" s="1282" t="s">
        <v>20220</v>
      </c>
      <c r="G1773" s="1368">
        <v>48</v>
      </c>
      <c r="H1773" s="1178" t="s">
        <v>20224</v>
      </c>
      <c r="I1773" s="1178" t="s">
        <v>6253</v>
      </c>
      <c r="J1773" s="1178" t="s">
        <v>662</v>
      </c>
      <c r="K1773" s="1178" t="s">
        <v>267</v>
      </c>
      <c r="L1773" s="1178" t="s">
        <v>211</v>
      </c>
      <c r="M1773" s="1369"/>
      <c r="N1773" s="1178"/>
      <c r="O1773" s="1178">
        <v>6</v>
      </c>
      <c r="P1773" s="1178">
        <v>13</v>
      </c>
    </row>
    <row r="1774" spans="1:16">
      <c r="A1774" s="1178" t="s">
        <v>20977</v>
      </c>
      <c r="B1774" s="1371" t="str">
        <f>HYPERLINK(IFERROR("#Main_Tariff!A"&amp;MATCH(Raeburn_Main_Tariff[[#This Row],[Product Code]],Main_Tariff!I:I,0),"#Main_Tariff!A"&amp;MATCH("*"&amp;RIGHT(A1774,8)&amp;"*",Main_Tariff!A:A,0)),Raeburn_Main_Tariff[[#This Row],[PRODUCER]])</f>
        <v>Domaine de la Vougeraie</v>
      </c>
      <c r="C1774" s="1178" t="s">
        <v>20986</v>
      </c>
      <c r="D1774" s="1178" t="s">
        <v>897</v>
      </c>
      <c r="E1774" s="1179">
        <v>2022</v>
      </c>
      <c r="F1774" s="1282" t="s">
        <v>20240</v>
      </c>
      <c r="G1774" s="1368">
        <v>186</v>
      </c>
      <c r="H1774" s="1178" t="s">
        <v>20221</v>
      </c>
      <c r="I1774" s="1178" t="s">
        <v>6256</v>
      </c>
      <c r="J1774" s="1178" t="s">
        <v>662</v>
      </c>
      <c r="K1774" s="1178" t="s">
        <v>267</v>
      </c>
      <c r="L1774" s="1178" t="s">
        <v>211</v>
      </c>
      <c r="M1774" s="1369"/>
      <c r="N1774" s="1178" t="s">
        <v>20244</v>
      </c>
      <c r="O1774" s="1178">
        <v>3</v>
      </c>
      <c r="P1774" s="1178">
        <v>13</v>
      </c>
    </row>
    <row r="1775" spans="1:16">
      <c r="A1775" s="1178" t="s">
        <v>20977</v>
      </c>
      <c r="B1775" s="1371" t="str">
        <f>HYPERLINK(IFERROR("#Main_Tariff!A"&amp;MATCH(Raeburn_Main_Tariff[[#This Row],[Product Code]],Main_Tariff!I:I,0),"#Main_Tariff!A"&amp;MATCH("*"&amp;RIGHT(A1775,8)&amp;"*",Main_Tariff!A:A,0)),Raeburn_Main_Tariff[[#This Row],[PRODUCER]])</f>
        <v>Domaine de la Vougeraie</v>
      </c>
      <c r="C1775" s="1178" t="s">
        <v>20986</v>
      </c>
      <c r="D1775" s="1178" t="s">
        <v>897</v>
      </c>
      <c r="E1775" s="1179">
        <v>2020</v>
      </c>
      <c r="F1775" s="1282" t="s">
        <v>20240</v>
      </c>
      <c r="G1775" s="1368">
        <v>176</v>
      </c>
      <c r="H1775" s="1178" t="s">
        <v>20224</v>
      </c>
      <c r="I1775" s="1178" t="s">
        <v>6258</v>
      </c>
      <c r="J1775" s="1178" t="s">
        <v>662</v>
      </c>
      <c r="K1775" s="1178" t="s">
        <v>267</v>
      </c>
      <c r="L1775" s="1178" t="s">
        <v>211</v>
      </c>
      <c r="M1775" s="1369"/>
      <c r="N1775" s="1178" t="s">
        <v>20244</v>
      </c>
      <c r="O1775" s="1178">
        <v>3</v>
      </c>
      <c r="P1775" s="1178">
        <v>13</v>
      </c>
    </row>
    <row r="1776" spans="1:16">
      <c r="A1776" s="1178" t="s">
        <v>20977</v>
      </c>
      <c r="B1776" s="1371" t="str">
        <f>HYPERLINK(IFERROR("#Main_Tariff!A"&amp;MATCH(Raeburn_Main_Tariff[[#This Row],[Product Code]],Main_Tariff!I:I,0),"#Main_Tariff!A"&amp;MATCH("*"&amp;RIGHT(A1776,8)&amp;"*",Main_Tariff!A:A,0)),Raeburn_Main_Tariff[[#This Row],[PRODUCER]])</f>
        <v>Domaine de la Vougeraie</v>
      </c>
      <c r="C1776" s="1178" t="s">
        <v>20986</v>
      </c>
      <c r="D1776" s="1178" t="s">
        <v>897</v>
      </c>
      <c r="E1776" s="1179">
        <v>2019</v>
      </c>
      <c r="F1776" s="1282" t="s">
        <v>20240</v>
      </c>
      <c r="G1776" s="1368">
        <v>176</v>
      </c>
      <c r="H1776" s="1178" t="s">
        <v>20224</v>
      </c>
      <c r="I1776" s="1178" t="s">
        <v>6260</v>
      </c>
      <c r="J1776" s="1178" t="s">
        <v>662</v>
      </c>
      <c r="K1776" s="1178" t="s">
        <v>267</v>
      </c>
      <c r="L1776" s="1178" t="s">
        <v>211</v>
      </c>
      <c r="M1776" s="1369"/>
      <c r="N1776" s="1178" t="s">
        <v>20244</v>
      </c>
      <c r="O1776" s="1178">
        <v>3</v>
      </c>
      <c r="P1776" s="1178">
        <v>13</v>
      </c>
    </row>
    <row r="1777" spans="1:16">
      <c r="A1777" s="1178" t="s">
        <v>20977</v>
      </c>
      <c r="B1777" s="1371" t="str">
        <f>HYPERLINK(IFERROR("#Main_Tariff!A"&amp;MATCH(Raeburn_Main_Tariff[[#This Row],[Product Code]],Main_Tariff!I:I,0),"#Main_Tariff!A"&amp;MATCH("*"&amp;RIGHT(A1777,8)&amp;"*",Main_Tariff!A:A,0)),Raeburn_Main_Tariff[[#This Row],[PRODUCER]])</f>
        <v>Domaine de la Vougeraie</v>
      </c>
      <c r="C1777" s="1178" t="s">
        <v>20986</v>
      </c>
      <c r="D1777" s="1178" t="s">
        <v>897</v>
      </c>
      <c r="E1777" s="1179">
        <v>2018</v>
      </c>
      <c r="F1777" s="1282" t="s">
        <v>20240</v>
      </c>
      <c r="G1777" s="1368">
        <v>157</v>
      </c>
      <c r="H1777" s="1178" t="s">
        <v>20221</v>
      </c>
      <c r="I1777" s="1178" t="s">
        <v>6262</v>
      </c>
      <c r="J1777" s="1178" t="s">
        <v>662</v>
      </c>
      <c r="K1777" s="1178" t="s">
        <v>267</v>
      </c>
      <c r="L1777" s="1178" t="s">
        <v>211</v>
      </c>
      <c r="M1777" s="1369"/>
      <c r="N1777" s="1178" t="s">
        <v>20244</v>
      </c>
      <c r="O1777" s="1178">
        <v>3</v>
      </c>
      <c r="P1777" s="1178">
        <v>13</v>
      </c>
    </row>
    <row r="1778" spans="1:16">
      <c r="A1778" s="1178" t="s">
        <v>20977</v>
      </c>
      <c r="B1778" s="1371" t="str">
        <f>HYPERLINK(IFERROR("#Main_Tariff!A"&amp;MATCH(Raeburn_Main_Tariff[[#This Row],[Product Code]],Main_Tariff!I:I,0),"#Main_Tariff!A"&amp;MATCH("*"&amp;RIGHT(A1778,8)&amp;"*",Main_Tariff!A:A,0)),Raeburn_Main_Tariff[[#This Row],[PRODUCER]])</f>
        <v>Domaine de la Vougeraie</v>
      </c>
      <c r="C1778" s="1178" t="s">
        <v>20986</v>
      </c>
      <c r="D1778" s="1178" t="s">
        <v>897</v>
      </c>
      <c r="E1778" s="1179">
        <v>2017</v>
      </c>
      <c r="F1778" s="1282" t="s">
        <v>20240</v>
      </c>
      <c r="G1778" s="1368">
        <v>157</v>
      </c>
      <c r="H1778" s="1178" t="s">
        <v>20221</v>
      </c>
      <c r="I1778" s="1178" t="s">
        <v>6264</v>
      </c>
      <c r="J1778" s="1178" t="s">
        <v>662</v>
      </c>
      <c r="K1778" s="1178" t="s">
        <v>267</v>
      </c>
      <c r="L1778" s="1178" t="s">
        <v>211</v>
      </c>
      <c r="M1778" s="1369"/>
      <c r="N1778" s="1178" t="s">
        <v>20244</v>
      </c>
      <c r="O1778" s="1178">
        <v>3</v>
      </c>
      <c r="P1778" s="1178">
        <v>13</v>
      </c>
    </row>
    <row r="1779" spans="1:16">
      <c r="A1779" s="1178" t="s">
        <v>20977</v>
      </c>
      <c r="B1779" s="1371" t="str">
        <f>HYPERLINK(IFERROR("#Main_Tariff!A"&amp;MATCH(Raeburn_Main_Tariff[[#This Row],[Product Code]],Main_Tariff!I:I,0),"#Main_Tariff!A"&amp;MATCH("*"&amp;RIGHT(A1779,8)&amp;"*",Main_Tariff!A:A,0)),Raeburn_Main_Tariff[[#This Row],[PRODUCER]])</f>
        <v>Domaine de la Vougeraie</v>
      </c>
      <c r="C1779" s="1178" t="s">
        <v>20798</v>
      </c>
      <c r="D1779" s="1178" t="s">
        <v>897</v>
      </c>
      <c r="E1779" s="1179">
        <v>2019</v>
      </c>
      <c r="F1779" s="1282" t="s">
        <v>20220</v>
      </c>
      <c r="G1779" s="1368">
        <v>189.5</v>
      </c>
      <c r="H1779" s="1178" t="s">
        <v>20224</v>
      </c>
      <c r="I1779" s="1178" t="s">
        <v>6267</v>
      </c>
      <c r="J1779" s="1178" t="s">
        <v>662</v>
      </c>
      <c r="K1779" s="1178" t="s">
        <v>267</v>
      </c>
      <c r="L1779" s="1178" t="s">
        <v>211</v>
      </c>
      <c r="M1779" s="1369" t="s">
        <v>23296</v>
      </c>
      <c r="N1779" s="1178" t="s">
        <v>20244</v>
      </c>
      <c r="O1779" s="1178">
        <v>6</v>
      </c>
      <c r="P1779" s="1178">
        <v>13.5</v>
      </c>
    </row>
    <row r="1780" spans="1:16">
      <c r="A1780" s="1178" t="s">
        <v>20977</v>
      </c>
      <c r="B1780" s="1371" t="str">
        <f>HYPERLINK(IFERROR("#Main_Tariff!A"&amp;MATCH(Raeburn_Main_Tariff[[#This Row],[Product Code]],Main_Tariff!I:I,0),"#Main_Tariff!A"&amp;MATCH("*"&amp;RIGHT(A1780,8)&amp;"*",Main_Tariff!A:A,0)),Raeburn_Main_Tariff[[#This Row],[PRODUCER]])</f>
        <v>Domaine de la Vougeraie</v>
      </c>
      <c r="C1780" s="1178" t="s">
        <v>20798</v>
      </c>
      <c r="D1780" s="1178" t="s">
        <v>897</v>
      </c>
      <c r="E1780" s="1179">
        <v>2018</v>
      </c>
      <c r="F1780" s="1282" t="s">
        <v>20220</v>
      </c>
      <c r="G1780" s="1368">
        <v>140</v>
      </c>
      <c r="H1780" s="1178" t="s">
        <v>20221</v>
      </c>
      <c r="I1780" s="1178" t="s">
        <v>6268</v>
      </c>
      <c r="J1780" s="1178" t="s">
        <v>662</v>
      </c>
      <c r="K1780" s="1178" t="s">
        <v>267</v>
      </c>
      <c r="L1780" s="1178" t="s">
        <v>211</v>
      </c>
      <c r="M1780" s="1369" t="s">
        <v>23296</v>
      </c>
      <c r="N1780" s="1178" t="s">
        <v>20244</v>
      </c>
      <c r="O1780" s="1178">
        <v>6</v>
      </c>
      <c r="P1780" s="1178">
        <v>13.5</v>
      </c>
    </row>
    <row r="1781" spans="1:16">
      <c r="A1781" s="1178" t="s">
        <v>20977</v>
      </c>
      <c r="B1781" s="1371" t="str">
        <f>HYPERLINK(IFERROR("#Main_Tariff!A"&amp;MATCH(Raeburn_Main_Tariff[[#This Row],[Product Code]],Main_Tariff!I:I,0),"#Main_Tariff!A"&amp;MATCH("*"&amp;RIGHT(A1781,8)&amp;"*",Main_Tariff!A:A,0)),Raeburn_Main_Tariff[[#This Row],[PRODUCER]])</f>
        <v>Domaine de la Vougeraie</v>
      </c>
      <c r="C1781" s="1178" t="s">
        <v>20798</v>
      </c>
      <c r="D1781" s="1178" t="s">
        <v>897</v>
      </c>
      <c r="E1781" s="1179">
        <v>2017</v>
      </c>
      <c r="F1781" s="1282" t="s">
        <v>20220</v>
      </c>
      <c r="G1781" s="1368">
        <v>140</v>
      </c>
      <c r="H1781" s="1178" t="s">
        <v>20224</v>
      </c>
      <c r="I1781" s="1178" t="s">
        <v>6269</v>
      </c>
      <c r="J1781" s="1178" t="s">
        <v>662</v>
      </c>
      <c r="K1781" s="1178" t="s">
        <v>267</v>
      </c>
      <c r="L1781" s="1178" t="s">
        <v>211</v>
      </c>
      <c r="M1781" s="1369" t="s">
        <v>23296</v>
      </c>
      <c r="N1781" s="1178" t="s">
        <v>20244</v>
      </c>
      <c r="O1781" s="1178">
        <v>6</v>
      </c>
      <c r="P1781" s="1178">
        <v>13</v>
      </c>
    </row>
    <row r="1782" spans="1:16">
      <c r="A1782" s="1178" t="s">
        <v>20977</v>
      </c>
      <c r="B1782" s="1371" t="str">
        <f>HYPERLINK(IFERROR("#Main_Tariff!A"&amp;MATCH(Raeburn_Main_Tariff[[#This Row],[Product Code]],Main_Tariff!I:I,0),"#Main_Tariff!A"&amp;MATCH("*"&amp;RIGHT(A1782,8)&amp;"*",Main_Tariff!A:A,0)),Raeburn_Main_Tariff[[#This Row],[PRODUCER]])</f>
        <v>Domaine de la Vougeraie</v>
      </c>
      <c r="C1782" s="1178" t="s">
        <v>20798</v>
      </c>
      <c r="D1782" s="1178" t="s">
        <v>897</v>
      </c>
      <c r="E1782" s="1179">
        <v>2016</v>
      </c>
      <c r="F1782" s="1282" t="s">
        <v>20220</v>
      </c>
      <c r="G1782" s="1368">
        <v>140</v>
      </c>
      <c r="H1782" s="1178" t="s">
        <v>20224</v>
      </c>
      <c r="I1782" s="1178" t="s">
        <v>6270</v>
      </c>
      <c r="J1782" s="1178" t="s">
        <v>662</v>
      </c>
      <c r="K1782" s="1178" t="s">
        <v>267</v>
      </c>
      <c r="L1782" s="1178" t="s">
        <v>211</v>
      </c>
      <c r="M1782" s="1369" t="s">
        <v>23296</v>
      </c>
      <c r="N1782" s="1178"/>
      <c r="O1782" s="1178">
        <v>6</v>
      </c>
      <c r="P1782" s="1178">
        <v>13.5</v>
      </c>
    </row>
    <row r="1783" spans="1:16">
      <c r="A1783" s="1178" t="s">
        <v>20977</v>
      </c>
      <c r="B1783" s="1371" t="str">
        <f>HYPERLINK(IFERROR("#Main_Tariff!A"&amp;MATCH(Raeburn_Main_Tariff[[#This Row],[Product Code]],Main_Tariff!I:I,0),"#Main_Tariff!A"&amp;MATCH("*"&amp;RIGHT(A1783,8)&amp;"*",Main_Tariff!A:A,0)),Raeburn_Main_Tariff[[#This Row],[PRODUCER]])</f>
        <v>Domaine de la Vougeraie</v>
      </c>
      <c r="C1783" s="1178" t="s">
        <v>20987</v>
      </c>
      <c r="D1783" s="1178" t="s">
        <v>897</v>
      </c>
      <c r="E1783" s="1179">
        <v>2022</v>
      </c>
      <c r="F1783" s="1282" t="s">
        <v>20220</v>
      </c>
      <c r="G1783" s="1368" t="s">
        <v>5258</v>
      </c>
      <c r="H1783" s="1178" t="s">
        <v>20224</v>
      </c>
      <c r="I1783" s="1178" t="s">
        <v>6271</v>
      </c>
      <c r="J1783" s="1178" t="s">
        <v>662</v>
      </c>
      <c r="K1783" s="1178" t="s">
        <v>267</v>
      </c>
      <c r="L1783" s="1178" t="s">
        <v>211</v>
      </c>
      <c r="M1783" s="1369" t="s">
        <v>23296</v>
      </c>
      <c r="N1783" s="1178" t="s">
        <v>20244</v>
      </c>
      <c r="O1783" s="1178">
        <v>3</v>
      </c>
      <c r="P1783" s="1178">
        <v>13</v>
      </c>
    </row>
    <row r="1784" spans="1:16">
      <c r="A1784" s="1178" t="s">
        <v>20977</v>
      </c>
      <c r="B1784" s="1371" t="str">
        <f>HYPERLINK(IFERROR("#Main_Tariff!A"&amp;MATCH(Raeburn_Main_Tariff[[#This Row],[Product Code]],Main_Tariff!I:I,0),"#Main_Tariff!A"&amp;MATCH("*"&amp;RIGHT(A1784,8)&amp;"*",Main_Tariff!A:A,0)),Raeburn_Main_Tariff[[#This Row],[PRODUCER]])</f>
        <v>Domaine de la Vougeraie</v>
      </c>
      <c r="C1784" s="1178" t="s">
        <v>20987</v>
      </c>
      <c r="D1784" s="1178" t="s">
        <v>897</v>
      </c>
      <c r="E1784" s="1179">
        <v>2021</v>
      </c>
      <c r="F1784" s="1282" t="s">
        <v>20220</v>
      </c>
      <c r="G1784" s="1368" t="s">
        <v>5258</v>
      </c>
      <c r="H1784" s="1178" t="s">
        <v>20224</v>
      </c>
      <c r="I1784" s="1178" t="s">
        <v>6272</v>
      </c>
      <c r="J1784" s="1178" t="s">
        <v>662</v>
      </c>
      <c r="K1784" s="1178" t="s">
        <v>267</v>
      </c>
      <c r="L1784" s="1178" t="s">
        <v>211</v>
      </c>
      <c r="M1784" s="1369" t="s">
        <v>23296</v>
      </c>
      <c r="N1784" s="1178" t="s">
        <v>20244</v>
      </c>
      <c r="O1784" s="1178">
        <v>3</v>
      </c>
      <c r="P1784" s="1178">
        <v>13</v>
      </c>
    </row>
    <row r="1785" spans="1:16">
      <c r="A1785" s="1178" t="s">
        <v>20977</v>
      </c>
      <c r="B1785" s="1371" t="str">
        <f>HYPERLINK(IFERROR("#Main_Tariff!A"&amp;MATCH(Raeburn_Main_Tariff[[#This Row],[Product Code]],Main_Tariff!I:I,0),"#Main_Tariff!A"&amp;MATCH("*"&amp;RIGHT(A1785,8)&amp;"*",Main_Tariff!A:A,0)),Raeburn_Main_Tariff[[#This Row],[PRODUCER]])</f>
        <v>Domaine de la Vougeraie</v>
      </c>
      <c r="C1785" s="1178" t="s">
        <v>20987</v>
      </c>
      <c r="D1785" s="1178" t="s">
        <v>897</v>
      </c>
      <c r="E1785" s="1179">
        <v>2020</v>
      </c>
      <c r="F1785" s="1282" t="s">
        <v>20220</v>
      </c>
      <c r="G1785" s="1368" t="s">
        <v>5258</v>
      </c>
      <c r="H1785" s="1178" t="s">
        <v>20224</v>
      </c>
      <c r="I1785" s="1178" t="s">
        <v>6273</v>
      </c>
      <c r="J1785" s="1178" t="s">
        <v>662</v>
      </c>
      <c r="K1785" s="1178" t="s">
        <v>267</v>
      </c>
      <c r="L1785" s="1178" t="s">
        <v>211</v>
      </c>
      <c r="M1785" s="1369" t="s">
        <v>23296</v>
      </c>
      <c r="N1785" s="1178" t="s">
        <v>20244</v>
      </c>
      <c r="O1785" s="1178">
        <v>6</v>
      </c>
      <c r="P1785" s="1178">
        <v>13</v>
      </c>
    </row>
    <row r="1786" spans="1:16">
      <c r="A1786" s="1178" t="s">
        <v>20977</v>
      </c>
      <c r="B1786" s="1371" t="str">
        <f>HYPERLINK(IFERROR("#Main_Tariff!A"&amp;MATCH(Raeburn_Main_Tariff[[#This Row],[Product Code]],Main_Tariff!I:I,0),"#Main_Tariff!A"&amp;MATCH("*"&amp;RIGHT(A1786,8)&amp;"*",Main_Tariff!A:A,0)),Raeburn_Main_Tariff[[#This Row],[PRODUCER]])</f>
        <v>Domaine de la Vougeraie</v>
      </c>
      <c r="C1786" s="1178" t="s">
        <v>20987</v>
      </c>
      <c r="D1786" s="1178" t="s">
        <v>897</v>
      </c>
      <c r="E1786" s="1179">
        <v>2019</v>
      </c>
      <c r="F1786" s="1282" t="s">
        <v>20220</v>
      </c>
      <c r="G1786" s="1368" t="s">
        <v>5258</v>
      </c>
      <c r="H1786" s="1178" t="s">
        <v>20224</v>
      </c>
      <c r="I1786" s="1178" t="s">
        <v>6274</v>
      </c>
      <c r="J1786" s="1178" t="s">
        <v>662</v>
      </c>
      <c r="K1786" s="1178" t="s">
        <v>267</v>
      </c>
      <c r="L1786" s="1178" t="s">
        <v>211</v>
      </c>
      <c r="M1786" s="1369" t="s">
        <v>23296</v>
      </c>
      <c r="N1786" s="1178" t="s">
        <v>20244</v>
      </c>
      <c r="O1786" s="1178">
        <v>6</v>
      </c>
      <c r="P1786" s="1178">
        <v>13</v>
      </c>
    </row>
    <row r="1787" spans="1:16">
      <c r="A1787" s="1178" t="s">
        <v>20977</v>
      </c>
      <c r="B1787" s="1371" t="str">
        <f>HYPERLINK(IFERROR("#Main_Tariff!A"&amp;MATCH(Raeburn_Main_Tariff[[#This Row],[Product Code]],Main_Tariff!I:I,0),"#Main_Tariff!A"&amp;MATCH("*"&amp;RIGHT(A1787,8)&amp;"*",Main_Tariff!A:A,0)),Raeburn_Main_Tariff[[#This Row],[PRODUCER]])</f>
        <v>Domaine de la Vougeraie</v>
      </c>
      <c r="C1787" s="1178" t="s">
        <v>20987</v>
      </c>
      <c r="D1787" s="1178" t="s">
        <v>897</v>
      </c>
      <c r="E1787" s="1179">
        <v>2018</v>
      </c>
      <c r="F1787" s="1282" t="s">
        <v>20220</v>
      </c>
      <c r="G1787" s="1368" t="s">
        <v>5258</v>
      </c>
      <c r="H1787" s="1178" t="s">
        <v>20224</v>
      </c>
      <c r="I1787" s="1178" t="s">
        <v>6275</v>
      </c>
      <c r="J1787" s="1178" t="s">
        <v>662</v>
      </c>
      <c r="K1787" s="1178" t="s">
        <v>267</v>
      </c>
      <c r="L1787" s="1178" t="s">
        <v>211</v>
      </c>
      <c r="M1787" s="1369" t="s">
        <v>23296</v>
      </c>
      <c r="N1787" s="1178" t="s">
        <v>20244</v>
      </c>
      <c r="O1787" s="1178">
        <v>6</v>
      </c>
      <c r="P1787" s="1178">
        <v>13</v>
      </c>
    </row>
    <row r="1788" spans="1:16">
      <c r="A1788" s="1178" t="s">
        <v>20977</v>
      </c>
      <c r="B1788" s="1371" t="str">
        <f>HYPERLINK(IFERROR("#Main_Tariff!A"&amp;MATCH(Raeburn_Main_Tariff[[#This Row],[Product Code]],Main_Tariff!I:I,0),"#Main_Tariff!A"&amp;MATCH("*"&amp;RIGHT(A1788,8)&amp;"*",Main_Tariff!A:A,0)),Raeburn_Main_Tariff[[#This Row],[PRODUCER]])</f>
        <v>Domaine de la Vougeraie</v>
      </c>
      <c r="C1788" s="1178" t="s">
        <v>20698</v>
      </c>
      <c r="D1788" s="1178" t="s">
        <v>897</v>
      </c>
      <c r="E1788" s="1179">
        <v>2022</v>
      </c>
      <c r="F1788" s="1282" t="s">
        <v>20220</v>
      </c>
      <c r="G1788" s="1368" t="s">
        <v>5258</v>
      </c>
      <c r="H1788" s="1178" t="s">
        <v>20224</v>
      </c>
      <c r="I1788" s="1178" t="s">
        <v>6276</v>
      </c>
      <c r="J1788" s="1178" t="s">
        <v>662</v>
      </c>
      <c r="K1788" s="1178" t="s">
        <v>267</v>
      </c>
      <c r="L1788" s="1178" t="s">
        <v>211</v>
      </c>
      <c r="M1788" s="1369" t="s">
        <v>23296</v>
      </c>
      <c r="N1788" s="1178"/>
      <c r="O1788" s="1178">
        <v>3</v>
      </c>
      <c r="P1788" s="1178">
        <v>13</v>
      </c>
    </row>
    <row r="1789" spans="1:16">
      <c r="A1789" s="1178" t="s">
        <v>20977</v>
      </c>
      <c r="B1789" s="1371" t="str">
        <f>HYPERLINK(IFERROR("#Main_Tariff!A"&amp;MATCH(Raeburn_Main_Tariff[[#This Row],[Product Code]],Main_Tariff!I:I,0),"#Main_Tariff!A"&amp;MATCH("*"&amp;RIGHT(A1789,8)&amp;"*",Main_Tariff!A:A,0)),Raeburn_Main_Tariff[[#This Row],[PRODUCER]])</f>
        <v>Domaine de la Vougeraie</v>
      </c>
      <c r="C1789" s="1178" t="s">
        <v>20800</v>
      </c>
      <c r="D1789" s="1178" t="s">
        <v>897</v>
      </c>
      <c r="E1789" s="1179">
        <v>2022</v>
      </c>
      <c r="F1789" s="1282" t="s">
        <v>20220</v>
      </c>
      <c r="G1789" s="1368" t="s">
        <v>5258</v>
      </c>
      <c r="H1789" s="1178" t="s">
        <v>20224</v>
      </c>
      <c r="I1789" s="1178" t="s">
        <v>6277</v>
      </c>
      <c r="J1789" s="1178" t="s">
        <v>662</v>
      </c>
      <c r="K1789" s="1178" t="s">
        <v>267</v>
      </c>
      <c r="L1789" s="1178" t="s">
        <v>211</v>
      </c>
      <c r="M1789" s="1369" t="s">
        <v>23296</v>
      </c>
      <c r="N1789" s="1178" t="s">
        <v>20244</v>
      </c>
      <c r="O1789" s="1178">
        <v>3</v>
      </c>
      <c r="P1789" s="1178">
        <v>13</v>
      </c>
    </row>
    <row r="1790" spans="1:16">
      <c r="A1790" s="1178" t="s">
        <v>20977</v>
      </c>
      <c r="B1790" s="1371" t="str">
        <f>HYPERLINK(IFERROR("#Main_Tariff!A"&amp;MATCH(Raeburn_Main_Tariff[[#This Row],[Product Code]],Main_Tariff!I:I,0),"#Main_Tariff!A"&amp;MATCH("*"&amp;RIGHT(A1790,8)&amp;"*",Main_Tariff!A:A,0)),Raeburn_Main_Tariff[[#This Row],[PRODUCER]])</f>
        <v>Domaine de la Vougeraie</v>
      </c>
      <c r="C1790" s="1178" t="s">
        <v>20800</v>
      </c>
      <c r="D1790" s="1178" t="s">
        <v>897</v>
      </c>
      <c r="E1790" s="1179">
        <v>2021</v>
      </c>
      <c r="F1790" s="1282" t="s">
        <v>20220</v>
      </c>
      <c r="G1790" s="1368" t="s">
        <v>5258</v>
      </c>
      <c r="H1790" s="1178" t="s">
        <v>20224</v>
      </c>
      <c r="I1790" s="1178" t="s">
        <v>6278</v>
      </c>
      <c r="J1790" s="1178" t="s">
        <v>662</v>
      </c>
      <c r="K1790" s="1178" t="s">
        <v>267</v>
      </c>
      <c r="L1790" s="1178" t="s">
        <v>211</v>
      </c>
      <c r="M1790" s="1369" t="s">
        <v>23296</v>
      </c>
      <c r="N1790" s="1178" t="s">
        <v>20244</v>
      </c>
      <c r="O1790" s="1178">
        <v>3</v>
      </c>
      <c r="P1790" s="1178">
        <v>13</v>
      </c>
    </row>
    <row r="1791" spans="1:16">
      <c r="A1791" s="1178" t="s">
        <v>244</v>
      </c>
      <c r="B1791" s="1371" t="str">
        <f>HYPERLINK(IFERROR("#Main_Tariff!A"&amp;MATCH(Raeburn_Main_Tariff[[#This Row],[Product Code]],Main_Tariff!I:I,0),"#Main_Tariff!A"&amp;MATCH("*"&amp;RIGHT(A1791,8)&amp;"*",Main_Tariff!A:A,0)),Raeburn_Main_Tariff[[#This Row],[PRODUCER]])</f>
        <v>AMI</v>
      </c>
      <c r="C1791" s="1178" t="s">
        <v>20988</v>
      </c>
      <c r="D1791" s="1178" t="s">
        <v>1129</v>
      </c>
      <c r="E1791" s="1179">
        <v>2021</v>
      </c>
      <c r="F1791" s="1282" t="s">
        <v>20220</v>
      </c>
      <c r="G1791" s="1368">
        <v>24</v>
      </c>
      <c r="H1791" s="1178" t="s">
        <v>20221</v>
      </c>
      <c r="I1791" s="1178" t="s">
        <v>6305</v>
      </c>
      <c r="J1791" s="1178" t="s">
        <v>662</v>
      </c>
      <c r="K1791" s="1178" t="s">
        <v>267</v>
      </c>
      <c r="L1791" s="1178" t="s">
        <v>242</v>
      </c>
      <c r="M1791" s="1369"/>
      <c r="N1791" s="1178"/>
      <c r="O1791" s="1178">
        <v>12</v>
      </c>
      <c r="P1791" s="1178">
        <v>12</v>
      </c>
    </row>
    <row r="1792" spans="1:16">
      <c r="A1792" s="1178" t="s">
        <v>244</v>
      </c>
      <c r="B1792" s="1371" t="str">
        <f>HYPERLINK(IFERROR("#Main_Tariff!A"&amp;MATCH(Raeburn_Main_Tariff[[#This Row],[Product Code]],Main_Tariff!I:I,0),"#Main_Tariff!A"&amp;MATCH("*"&amp;RIGHT(A1792,8)&amp;"*",Main_Tariff!A:A,0)),Raeburn_Main_Tariff[[#This Row],[PRODUCER]])</f>
        <v>AMI</v>
      </c>
      <c r="C1792" s="1178" t="s">
        <v>20989</v>
      </c>
      <c r="D1792" s="1178" t="s">
        <v>1129</v>
      </c>
      <c r="E1792" s="1179">
        <v>2020</v>
      </c>
      <c r="F1792" s="1282" t="s">
        <v>20220</v>
      </c>
      <c r="G1792" s="1368">
        <v>26</v>
      </c>
      <c r="H1792" s="1178" t="s">
        <v>20221</v>
      </c>
      <c r="I1792" s="1178" t="s">
        <v>6307</v>
      </c>
      <c r="J1792" s="1178" t="s">
        <v>662</v>
      </c>
      <c r="K1792" s="1178" t="s">
        <v>267</v>
      </c>
      <c r="L1792" s="1178" t="s">
        <v>242</v>
      </c>
      <c r="M1792" s="1369"/>
      <c r="N1792" s="1178"/>
      <c r="O1792" s="1178">
        <v>6</v>
      </c>
      <c r="P1792" s="1178">
        <v>12.5</v>
      </c>
    </row>
    <row r="1793" spans="1:16">
      <c r="A1793" s="1178" t="s">
        <v>244</v>
      </c>
      <c r="B1793" s="1371" t="str">
        <f>HYPERLINK(IFERROR("#Main_Tariff!A"&amp;MATCH(Raeburn_Main_Tariff[[#This Row],[Product Code]],Main_Tariff!I:I,0),"#Main_Tariff!A"&amp;MATCH("*"&amp;RIGHT(A1793,8)&amp;"*",Main_Tariff!A:A,0)),Raeburn_Main_Tariff[[#This Row],[PRODUCER]])</f>
        <v>AMI</v>
      </c>
      <c r="C1793" s="1178" t="s">
        <v>20990</v>
      </c>
      <c r="D1793" s="1178" t="s">
        <v>1129</v>
      </c>
      <c r="E1793" s="1179">
        <v>2018</v>
      </c>
      <c r="F1793" s="1282" t="s">
        <v>20220</v>
      </c>
      <c r="G1793" s="1368">
        <v>26</v>
      </c>
      <c r="H1793" s="1178" t="s">
        <v>20221</v>
      </c>
      <c r="I1793" s="1178" t="s">
        <v>6309</v>
      </c>
      <c r="J1793" s="1178" t="s">
        <v>662</v>
      </c>
      <c r="K1793" s="1178" t="s">
        <v>267</v>
      </c>
      <c r="L1793" s="1178" t="s">
        <v>242</v>
      </c>
      <c r="M1793" s="1369"/>
      <c r="N1793" s="1178"/>
      <c r="O1793" s="1178">
        <v>12</v>
      </c>
      <c r="P1793" s="1178">
        <v>12.5</v>
      </c>
    </row>
    <row r="1794" spans="1:16">
      <c r="A1794" s="1178" t="s">
        <v>244</v>
      </c>
      <c r="B1794" s="1371" t="str">
        <f>HYPERLINK(IFERROR("#Main_Tariff!A"&amp;MATCH(Raeburn_Main_Tariff[[#This Row],[Product Code]],Main_Tariff!I:I,0),"#Main_Tariff!A"&amp;MATCH("*"&amp;RIGHT(A1794,8)&amp;"*",Main_Tariff!A:A,0)),Raeburn_Main_Tariff[[#This Row],[PRODUCER]])</f>
        <v>AMI</v>
      </c>
      <c r="C1794" s="1178" t="s">
        <v>20991</v>
      </c>
      <c r="D1794" s="1178" t="s">
        <v>1129</v>
      </c>
      <c r="E1794" s="1179">
        <v>2022</v>
      </c>
      <c r="F1794" s="1282" t="s">
        <v>20220</v>
      </c>
      <c r="G1794" s="1368">
        <v>34.75</v>
      </c>
      <c r="H1794" s="1178" t="s">
        <v>20221</v>
      </c>
      <c r="I1794" s="1178" t="s">
        <v>6311</v>
      </c>
      <c r="J1794" s="1178" t="s">
        <v>662</v>
      </c>
      <c r="K1794" s="1178" t="s">
        <v>267</v>
      </c>
      <c r="L1794" s="1178" t="s">
        <v>242</v>
      </c>
      <c r="M1794" s="1369"/>
      <c r="N1794" s="1178"/>
      <c r="O1794" s="1178">
        <v>12</v>
      </c>
      <c r="P1794" s="1178">
        <v>12.5</v>
      </c>
    </row>
    <row r="1795" spans="1:16">
      <c r="A1795" s="1178" t="s">
        <v>244</v>
      </c>
      <c r="B1795" s="1371" t="str">
        <f>HYPERLINK(IFERROR("#Main_Tariff!A"&amp;MATCH(Raeburn_Main_Tariff[[#This Row],[Product Code]],Main_Tariff!I:I,0),"#Main_Tariff!A"&amp;MATCH("*"&amp;RIGHT(A1795,8)&amp;"*",Main_Tariff!A:A,0)),Raeburn_Main_Tariff[[#This Row],[PRODUCER]])</f>
        <v>AMI</v>
      </c>
      <c r="C1795" s="1178" t="s">
        <v>20992</v>
      </c>
      <c r="D1795" s="1178" t="s">
        <v>1129</v>
      </c>
      <c r="E1795" s="1179">
        <v>2022</v>
      </c>
      <c r="F1795" s="1282" t="s">
        <v>20220</v>
      </c>
      <c r="G1795" s="1368">
        <v>32.5</v>
      </c>
      <c r="H1795" s="1178" t="s">
        <v>20221</v>
      </c>
      <c r="I1795" s="1178" t="s">
        <v>6313</v>
      </c>
      <c r="J1795" s="1178" t="s">
        <v>662</v>
      </c>
      <c r="K1795" s="1178" t="s">
        <v>267</v>
      </c>
      <c r="L1795" s="1178" t="s">
        <v>242</v>
      </c>
      <c r="M1795" s="1369"/>
      <c r="N1795" s="1178"/>
      <c r="O1795" s="1178">
        <v>12</v>
      </c>
      <c r="P1795" s="1178">
        <v>12.5</v>
      </c>
    </row>
    <row r="1796" spans="1:16">
      <c r="A1796" s="1178" t="s">
        <v>244</v>
      </c>
      <c r="B1796" s="1371" t="str">
        <f>HYPERLINK(IFERROR("#Main_Tariff!A"&amp;MATCH(Raeburn_Main_Tariff[[#This Row],[Product Code]],Main_Tariff!I:I,0),"#Main_Tariff!A"&amp;MATCH("*"&amp;RIGHT(A1796,8)&amp;"*",Main_Tariff!A:A,0)),Raeburn_Main_Tariff[[#This Row],[PRODUCER]])</f>
        <v>AMI</v>
      </c>
      <c r="C1796" s="1178" t="s">
        <v>20993</v>
      </c>
      <c r="D1796" s="1178" t="s">
        <v>1129</v>
      </c>
      <c r="E1796" s="1179">
        <v>2020</v>
      </c>
      <c r="F1796" s="1282" t="s">
        <v>20220</v>
      </c>
      <c r="G1796" s="1368">
        <v>36.5</v>
      </c>
      <c r="H1796" s="1178" t="s">
        <v>20221</v>
      </c>
      <c r="I1796" s="1178" t="s">
        <v>6316</v>
      </c>
      <c r="J1796" s="1178" t="s">
        <v>662</v>
      </c>
      <c r="K1796" s="1178" t="s">
        <v>267</v>
      </c>
      <c r="L1796" s="1178" t="s">
        <v>242</v>
      </c>
      <c r="M1796" s="1369" t="s">
        <v>23297</v>
      </c>
      <c r="N1796" s="1178"/>
      <c r="O1796" s="1178">
        <v>6</v>
      </c>
      <c r="P1796" s="1178">
        <v>12.5</v>
      </c>
    </row>
    <row r="1797" spans="1:16">
      <c r="A1797" s="1178" t="s">
        <v>244</v>
      </c>
      <c r="B1797" s="1371" t="str">
        <f>HYPERLINK(IFERROR("#Main_Tariff!A"&amp;MATCH(Raeburn_Main_Tariff[[#This Row],[Product Code]],Main_Tariff!I:I,0),"#Main_Tariff!A"&amp;MATCH("*"&amp;RIGHT(A1797,8)&amp;"*",Main_Tariff!A:A,0)),Raeburn_Main_Tariff[[#This Row],[PRODUCER]])</f>
        <v>AMI</v>
      </c>
      <c r="C1797" s="1178" t="s">
        <v>20993</v>
      </c>
      <c r="D1797" s="1178" t="s">
        <v>1129</v>
      </c>
      <c r="E1797" s="1179">
        <v>2019</v>
      </c>
      <c r="F1797" s="1282" t="s">
        <v>20220</v>
      </c>
      <c r="G1797" s="1368">
        <v>36.5</v>
      </c>
      <c r="H1797" s="1178" t="s">
        <v>20221</v>
      </c>
      <c r="I1797" s="1178" t="s">
        <v>6318</v>
      </c>
      <c r="J1797" s="1178" t="s">
        <v>662</v>
      </c>
      <c r="K1797" s="1178" t="s">
        <v>267</v>
      </c>
      <c r="L1797" s="1178" t="s">
        <v>242</v>
      </c>
      <c r="M1797" s="1369" t="s">
        <v>23297</v>
      </c>
      <c r="N1797" s="1178"/>
      <c r="O1797" s="1178">
        <v>6</v>
      </c>
      <c r="P1797" s="1178">
        <v>13</v>
      </c>
    </row>
    <row r="1798" spans="1:16">
      <c r="A1798" s="1178" t="s">
        <v>244</v>
      </c>
      <c r="B1798" s="1371" t="str">
        <f>HYPERLINK(IFERROR("#Main_Tariff!A"&amp;MATCH(Raeburn_Main_Tariff[[#This Row],[Product Code]],Main_Tariff!I:I,0),"#Main_Tariff!A"&amp;MATCH("*"&amp;RIGHT(A1798,8)&amp;"*",Main_Tariff!A:A,0)),Raeburn_Main_Tariff[[#This Row],[PRODUCER]])</f>
        <v>AMI</v>
      </c>
      <c r="C1798" s="1178" t="s">
        <v>20993</v>
      </c>
      <c r="D1798" s="1178" t="s">
        <v>1129</v>
      </c>
      <c r="E1798" s="1179">
        <v>2018</v>
      </c>
      <c r="F1798" s="1282" t="s">
        <v>20220</v>
      </c>
      <c r="G1798" s="1368">
        <v>36.5</v>
      </c>
      <c r="H1798" s="1178" t="s">
        <v>20221</v>
      </c>
      <c r="I1798" s="1178" t="s">
        <v>6320</v>
      </c>
      <c r="J1798" s="1178" t="s">
        <v>662</v>
      </c>
      <c r="K1798" s="1178" t="s">
        <v>267</v>
      </c>
      <c r="L1798" s="1178" t="s">
        <v>242</v>
      </c>
      <c r="M1798" s="1369" t="s">
        <v>23297</v>
      </c>
      <c r="N1798" s="1178"/>
      <c r="O1798" s="1178">
        <v>12</v>
      </c>
      <c r="P1798" s="1178">
        <v>12.5</v>
      </c>
    </row>
    <row r="1799" spans="1:16">
      <c r="A1799" s="1178" t="s">
        <v>244</v>
      </c>
      <c r="B1799" s="1371" t="str">
        <f>HYPERLINK(IFERROR("#Main_Tariff!A"&amp;MATCH(Raeburn_Main_Tariff[[#This Row],[Product Code]],Main_Tariff!I:I,0),"#Main_Tariff!A"&amp;MATCH("*"&amp;RIGHT(A1799,8)&amp;"*",Main_Tariff!A:A,0)),Raeburn_Main_Tariff[[#This Row],[PRODUCER]])</f>
        <v>AMI</v>
      </c>
      <c r="C1799" s="1178" t="s">
        <v>20994</v>
      </c>
      <c r="D1799" s="1178" t="s">
        <v>897</v>
      </c>
      <c r="E1799" s="1179">
        <v>2020</v>
      </c>
      <c r="F1799" s="1282" t="s">
        <v>20220</v>
      </c>
      <c r="G1799" s="1368">
        <v>18.5</v>
      </c>
      <c r="H1799" s="1178" t="s">
        <v>20221</v>
      </c>
      <c r="I1799" s="1178" t="s">
        <v>6324</v>
      </c>
      <c r="J1799" s="1178" t="s">
        <v>662</v>
      </c>
      <c r="K1799" s="1178" t="s">
        <v>267</v>
      </c>
      <c r="L1799" s="1178" t="s">
        <v>242</v>
      </c>
      <c r="M1799" s="1369"/>
      <c r="N1799" s="1178"/>
      <c r="O1799" s="1178">
        <v>6</v>
      </c>
      <c r="P1799" s="1178">
        <v>12</v>
      </c>
    </row>
    <row r="1800" spans="1:16">
      <c r="A1800" s="1178" t="s">
        <v>244</v>
      </c>
      <c r="B1800" s="1371" t="str">
        <f>HYPERLINK(IFERROR("#Main_Tariff!A"&amp;MATCH(Raeburn_Main_Tariff[[#This Row],[Product Code]],Main_Tariff!I:I,0),"#Main_Tariff!A"&amp;MATCH("*"&amp;RIGHT(A1800,8)&amp;"*",Main_Tariff!A:A,0)),Raeburn_Main_Tariff[[#This Row],[PRODUCER]])</f>
        <v>AMI</v>
      </c>
      <c r="C1800" s="1178" t="s">
        <v>20994</v>
      </c>
      <c r="D1800" s="1178" t="s">
        <v>897</v>
      </c>
      <c r="E1800" s="1179">
        <v>2018</v>
      </c>
      <c r="F1800" s="1282" t="s">
        <v>20220</v>
      </c>
      <c r="G1800" s="1368">
        <v>18</v>
      </c>
      <c r="H1800" s="1178" t="s">
        <v>20277</v>
      </c>
      <c r="I1800" s="1178" t="s">
        <v>6326</v>
      </c>
      <c r="J1800" s="1178" t="s">
        <v>662</v>
      </c>
      <c r="K1800" s="1178" t="s">
        <v>267</v>
      </c>
      <c r="L1800" s="1178" t="s">
        <v>242</v>
      </c>
      <c r="M1800" s="1369"/>
      <c r="N1800" s="1178"/>
      <c r="O1800" s="1178">
        <v>12</v>
      </c>
      <c r="P1800" s="1178">
        <v>12</v>
      </c>
    </row>
    <row r="1801" spans="1:16">
      <c r="A1801" s="1178" t="s">
        <v>244</v>
      </c>
      <c r="B1801" s="1371" t="str">
        <f>HYPERLINK(IFERROR("#Main_Tariff!A"&amp;MATCH(Raeburn_Main_Tariff[[#This Row],[Product Code]],Main_Tariff!I:I,0),"#Main_Tariff!A"&amp;MATCH("*"&amp;RIGHT(A1801,8)&amp;"*",Main_Tariff!A:A,0)),Raeburn_Main_Tariff[[#This Row],[PRODUCER]])</f>
        <v>AMI</v>
      </c>
      <c r="C1801" s="1178" t="s">
        <v>20995</v>
      </c>
      <c r="D1801" s="1178" t="s">
        <v>897</v>
      </c>
      <c r="E1801" s="1179">
        <v>2017</v>
      </c>
      <c r="F1801" s="1282" t="s">
        <v>20220</v>
      </c>
      <c r="G1801" s="1368">
        <v>18</v>
      </c>
      <c r="H1801" s="1178" t="s">
        <v>20221</v>
      </c>
      <c r="I1801" s="1178" t="s">
        <v>6327</v>
      </c>
      <c r="J1801" s="1178" t="s">
        <v>662</v>
      </c>
      <c r="K1801" s="1178" t="s">
        <v>267</v>
      </c>
      <c r="L1801" s="1178" t="s">
        <v>242</v>
      </c>
      <c r="M1801" s="1369"/>
      <c r="N1801" s="1178"/>
      <c r="O1801" s="1178">
        <v>12</v>
      </c>
      <c r="P1801" s="1178">
        <v>12.5</v>
      </c>
    </row>
    <row r="1802" spans="1:16">
      <c r="A1802" s="1178" t="s">
        <v>244</v>
      </c>
      <c r="B1802" s="1371" t="str">
        <f>HYPERLINK(IFERROR("#Main_Tariff!A"&amp;MATCH(Raeburn_Main_Tariff[[#This Row],[Product Code]],Main_Tariff!I:I,0),"#Main_Tariff!A"&amp;MATCH("*"&amp;RIGHT(A1802,8)&amp;"*",Main_Tariff!A:A,0)),Raeburn_Main_Tariff[[#This Row],[PRODUCER]])</f>
        <v>AMI</v>
      </c>
      <c r="C1802" s="1178" t="s">
        <v>20996</v>
      </c>
      <c r="D1802" s="1178" t="s">
        <v>897</v>
      </c>
      <c r="E1802" s="1179">
        <v>2022</v>
      </c>
      <c r="F1802" s="1282" t="s">
        <v>20220</v>
      </c>
      <c r="G1802" s="1368">
        <v>23.75</v>
      </c>
      <c r="H1802" s="1178" t="s">
        <v>20221</v>
      </c>
      <c r="I1802" s="1178" t="s">
        <v>6330</v>
      </c>
      <c r="J1802" s="1178" t="s">
        <v>662</v>
      </c>
      <c r="K1802" s="1178" t="s">
        <v>267</v>
      </c>
      <c r="L1802" s="1178" t="s">
        <v>242</v>
      </c>
      <c r="M1802" s="1369"/>
      <c r="N1802" s="1178"/>
      <c r="O1802" s="1178">
        <v>6</v>
      </c>
      <c r="P1802" s="1178">
        <v>12.5</v>
      </c>
    </row>
    <row r="1803" spans="1:16">
      <c r="A1803" s="1178" t="s">
        <v>244</v>
      </c>
      <c r="B1803" s="1371" t="str">
        <f>HYPERLINK(IFERROR("#Main_Tariff!A"&amp;MATCH(Raeburn_Main_Tariff[[#This Row],[Product Code]],Main_Tariff!I:I,0),"#Main_Tariff!A"&amp;MATCH("*"&amp;RIGHT(A1803,8)&amp;"*",Main_Tariff!A:A,0)),Raeburn_Main_Tariff[[#This Row],[PRODUCER]])</f>
        <v>AMI</v>
      </c>
      <c r="C1803" s="1178" t="s">
        <v>20997</v>
      </c>
      <c r="D1803" s="1178" t="s">
        <v>897</v>
      </c>
      <c r="E1803" s="1179">
        <v>2021</v>
      </c>
      <c r="F1803" s="1282" t="s">
        <v>20220</v>
      </c>
      <c r="G1803" s="1368">
        <v>23.75</v>
      </c>
      <c r="H1803" s="1178" t="s">
        <v>20221</v>
      </c>
      <c r="I1803" s="1178" t="s">
        <v>6332</v>
      </c>
      <c r="J1803" s="1178" t="s">
        <v>662</v>
      </c>
      <c r="K1803" s="1178" t="s">
        <v>267</v>
      </c>
      <c r="L1803" s="1178" t="s">
        <v>242</v>
      </c>
      <c r="M1803" s="1369"/>
      <c r="N1803" s="1178"/>
      <c r="O1803" s="1178">
        <v>12</v>
      </c>
      <c r="P1803" s="1178">
        <v>12</v>
      </c>
    </row>
    <row r="1804" spans="1:16">
      <c r="A1804" s="1178" t="s">
        <v>244</v>
      </c>
      <c r="B1804" s="1371" t="str">
        <f>HYPERLINK(IFERROR("#Main_Tariff!A"&amp;MATCH(Raeburn_Main_Tariff[[#This Row],[Product Code]],Main_Tariff!I:I,0),"#Main_Tariff!A"&amp;MATCH("*"&amp;RIGHT(A1804,8)&amp;"*",Main_Tariff!A:A,0)),Raeburn_Main_Tariff[[#This Row],[PRODUCER]])</f>
        <v>AMI</v>
      </c>
      <c r="C1804" s="1178" t="s">
        <v>20997</v>
      </c>
      <c r="D1804" s="1178" t="s">
        <v>897</v>
      </c>
      <c r="E1804" s="1179">
        <v>2020</v>
      </c>
      <c r="F1804" s="1282" t="s">
        <v>20220</v>
      </c>
      <c r="G1804" s="1368">
        <v>23</v>
      </c>
      <c r="H1804" s="1178" t="s">
        <v>20221</v>
      </c>
      <c r="I1804" s="1178" t="s">
        <v>6334</v>
      </c>
      <c r="J1804" s="1178" t="s">
        <v>662</v>
      </c>
      <c r="K1804" s="1178" t="s">
        <v>267</v>
      </c>
      <c r="L1804" s="1178" t="s">
        <v>242</v>
      </c>
      <c r="M1804" s="1369"/>
      <c r="N1804" s="1178"/>
      <c r="O1804" s="1178">
        <v>6</v>
      </c>
      <c r="P1804" s="1178">
        <v>12.5</v>
      </c>
    </row>
    <row r="1805" spans="1:16">
      <c r="A1805" s="1178" t="s">
        <v>244</v>
      </c>
      <c r="B1805" s="1371" t="str">
        <f>HYPERLINK(IFERROR("#Main_Tariff!A"&amp;MATCH(Raeburn_Main_Tariff[[#This Row],[Product Code]],Main_Tariff!I:I,0),"#Main_Tariff!A"&amp;MATCH("*"&amp;RIGHT(A1805,8)&amp;"*",Main_Tariff!A:A,0)),Raeburn_Main_Tariff[[#This Row],[PRODUCER]])</f>
        <v>AMI</v>
      </c>
      <c r="C1805" s="1178" t="s">
        <v>20997</v>
      </c>
      <c r="D1805" s="1178" t="s">
        <v>897</v>
      </c>
      <c r="E1805" s="1179">
        <v>2019</v>
      </c>
      <c r="F1805" s="1282" t="s">
        <v>20220</v>
      </c>
      <c r="G1805" s="1368">
        <v>23</v>
      </c>
      <c r="H1805" s="1178" t="s">
        <v>20221</v>
      </c>
      <c r="I1805" s="1178" t="s">
        <v>6336</v>
      </c>
      <c r="J1805" s="1178" t="s">
        <v>662</v>
      </c>
      <c r="K1805" s="1178" t="s">
        <v>267</v>
      </c>
      <c r="L1805" s="1178" t="s">
        <v>242</v>
      </c>
      <c r="M1805" s="1369"/>
      <c r="N1805" s="1178"/>
      <c r="O1805" s="1178">
        <v>6</v>
      </c>
      <c r="P1805" s="1178">
        <v>12.5</v>
      </c>
    </row>
    <row r="1806" spans="1:16">
      <c r="A1806" s="1178" t="s">
        <v>244</v>
      </c>
      <c r="B1806" s="1371" t="str">
        <f>HYPERLINK(IFERROR("#Main_Tariff!A"&amp;MATCH(Raeburn_Main_Tariff[[#This Row],[Product Code]],Main_Tariff!I:I,0),"#Main_Tariff!A"&amp;MATCH("*"&amp;RIGHT(A1806,8)&amp;"*",Main_Tariff!A:A,0)),Raeburn_Main_Tariff[[#This Row],[PRODUCER]])</f>
        <v>AMI</v>
      </c>
      <c r="C1806" s="1178" t="s">
        <v>20997</v>
      </c>
      <c r="D1806" s="1178" t="s">
        <v>897</v>
      </c>
      <c r="E1806" s="1179">
        <v>2018</v>
      </c>
      <c r="F1806" s="1282" t="s">
        <v>20220</v>
      </c>
      <c r="G1806" s="1368">
        <v>22.5</v>
      </c>
      <c r="H1806" s="1178" t="s">
        <v>20221</v>
      </c>
      <c r="I1806" s="1178" t="s">
        <v>6338</v>
      </c>
      <c r="J1806" s="1178" t="s">
        <v>662</v>
      </c>
      <c r="K1806" s="1178" t="s">
        <v>267</v>
      </c>
      <c r="L1806" s="1178" t="s">
        <v>242</v>
      </c>
      <c r="M1806" s="1369"/>
      <c r="N1806" s="1178"/>
      <c r="O1806" s="1178">
        <v>12</v>
      </c>
      <c r="P1806" s="1178">
        <v>12.5</v>
      </c>
    </row>
    <row r="1807" spans="1:16">
      <c r="A1807" s="1178" t="s">
        <v>244</v>
      </c>
      <c r="B1807" s="1371" t="str">
        <f>HYPERLINK(IFERROR("#Main_Tariff!A"&amp;MATCH(Raeburn_Main_Tariff[[#This Row],[Product Code]],Main_Tariff!I:I,0),"#Main_Tariff!A"&amp;MATCH("*"&amp;RIGHT(A1807,8)&amp;"*",Main_Tariff!A:A,0)),Raeburn_Main_Tariff[[#This Row],[PRODUCER]])</f>
        <v>AMI</v>
      </c>
      <c r="C1807" s="1178" t="s">
        <v>20937</v>
      </c>
      <c r="D1807" s="1178" t="s">
        <v>897</v>
      </c>
      <c r="E1807" s="1179">
        <v>2017</v>
      </c>
      <c r="F1807" s="1282" t="s">
        <v>20220</v>
      </c>
      <c r="G1807" s="1368">
        <v>21.5</v>
      </c>
      <c r="H1807" s="1178" t="s">
        <v>20221</v>
      </c>
      <c r="I1807" s="1178" t="s">
        <v>6340</v>
      </c>
      <c r="J1807" s="1178" t="s">
        <v>662</v>
      </c>
      <c r="K1807" s="1178" t="s">
        <v>267</v>
      </c>
      <c r="L1807" s="1178" t="s">
        <v>242</v>
      </c>
      <c r="M1807" s="1369"/>
      <c r="N1807" s="1178"/>
      <c r="O1807" s="1178">
        <v>12</v>
      </c>
      <c r="P1807" s="1178">
        <v>11.5</v>
      </c>
    </row>
    <row r="1808" spans="1:16">
      <c r="A1808" s="1178" t="s">
        <v>244</v>
      </c>
      <c r="B1808" s="1371" t="str">
        <f>HYPERLINK(IFERROR("#Main_Tariff!A"&amp;MATCH(Raeburn_Main_Tariff[[#This Row],[Product Code]],Main_Tariff!I:I,0),"#Main_Tariff!A"&amp;MATCH("*"&amp;RIGHT(A1808,8)&amp;"*",Main_Tariff!A:A,0)),Raeburn_Main_Tariff[[#This Row],[PRODUCER]])</f>
        <v>AMI</v>
      </c>
      <c r="C1808" s="1178" t="s">
        <v>20937</v>
      </c>
      <c r="D1808" s="1178" t="s">
        <v>897</v>
      </c>
      <c r="E1808" s="1179">
        <v>2016</v>
      </c>
      <c r="F1808" s="1282" t="s">
        <v>20220</v>
      </c>
      <c r="G1808" s="1368">
        <v>20.5</v>
      </c>
      <c r="H1808" s="1178" t="s">
        <v>20277</v>
      </c>
      <c r="I1808" s="1178" t="s">
        <v>6342</v>
      </c>
      <c r="J1808" s="1178" t="s">
        <v>662</v>
      </c>
      <c r="K1808" s="1178" t="s">
        <v>267</v>
      </c>
      <c r="L1808" s="1178" t="s">
        <v>242</v>
      </c>
      <c r="M1808" s="1369"/>
      <c r="N1808" s="1178"/>
      <c r="O1808" s="1178">
        <v>12</v>
      </c>
      <c r="P1808" s="1178">
        <v>12.5</v>
      </c>
    </row>
    <row r="1809" spans="1:16">
      <c r="A1809" s="1178" t="s">
        <v>244</v>
      </c>
      <c r="B1809" s="1371" t="str">
        <f>HYPERLINK(IFERROR("#Main_Tariff!A"&amp;MATCH(Raeburn_Main_Tariff[[#This Row],[Product Code]],Main_Tariff!I:I,0),"#Main_Tariff!A"&amp;MATCH("*"&amp;RIGHT(A1809,8)&amp;"*",Main_Tariff!A:A,0)),Raeburn_Main_Tariff[[#This Row],[PRODUCER]])</f>
        <v>AMI</v>
      </c>
      <c r="C1809" s="1178" t="s">
        <v>20998</v>
      </c>
      <c r="D1809" s="1178" t="s">
        <v>897</v>
      </c>
      <c r="E1809" s="1179">
        <v>2022</v>
      </c>
      <c r="F1809" s="1282" t="s">
        <v>20220</v>
      </c>
      <c r="G1809" s="1368">
        <v>32.5</v>
      </c>
      <c r="H1809" s="1178" t="s">
        <v>20221</v>
      </c>
      <c r="I1809" s="1178" t="s">
        <v>6344</v>
      </c>
      <c r="J1809" s="1178" t="s">
        <v>662</v>
      </c>
      <c r="K1809" s="1178" t="s">
        <v>267</v>
      </c>
      <c r="L1809" s="1178" t="s">
        <v>242</v>
      </c>
      <c r="M1809" s="1369"/>
      <c r="N1809" s="1178"/>
      <c r="O1809" s="1178">
        <v>6</v>
      </c>
      <c r="P1809" s="1178">
        <v>12.5</v>
      </c>
    </row>
    <row r="1810" spans="1:16">
      <c r="A1810" s="1178" t="s">
        <v>244</v>
      </c>
      <c r="B1810" s="1371" t="str">
        <f>HYPERLINK(IFERROR("#Main_Tariff!A"&amp;MATCH(Raeburn_Main_Tariff[[#This Row],[Product Code]],Main_Tariff!I:I,0),"#Main_Tariff!A"&amp;MATCH("*"&amp;RIGHT(A1810,8)&amp;"*",Main_Tariff!A:A,0)),Raeburn_Main_Tariff[[#This Row],[PRODUCER]])</f>
        <v>AMI</v>
      </c>
      <c r="C1810" s="1178" t="s">
        <v>20998</v>
      </c>
      <c r="D1810" s="1178" t="s">
        <v>897</v>
      </c>
      <c r="E1810" s="1179">
        <v>2021</v>
      </c>
      <c r="F1810" s="1282" t="s">
        <v>20220</v>
      </c>
      <c r="G1810" s="1368">
        <v>29.5</v>
      </c>
      <c r="H1810" s="1178" t="s">
        <v>20221</v>
      </c>
      <c r="I1810" s="1178" t="s">
        <v>6346</v>
      </c>
      <c r="J1810" s="1178" t="s">
        <v>662</v>
      </c>
      <c r="K1810" s="1178" t="s">
        <v>267</v>
      </c>
      <c r="L1810" s="1178" t="s">
        <v>242</v>
      </c>
      <c r="M1810" s="1369"/>
      <c r="N1810" s="1178"/>
      <c r="O1810" s="1178">
        <v>12</v>
      </c>
      <c r="P1810" s="1178">
        <v>12</v>
      </c>
    </row>
    <row r="1811" spans="1:16">
      <c r="A1811" s="1178" t="s">
        <v>244</v>
      </c>
      <c r="B1811" s="1371" t="str">
        <f>HYPERLINK(IFERROR("#Main_Tariff!A"&amp;MATCH(Raeburn_Main_Tariff[[#This Row],[Product Code]],Main_Tariff!I:I,0),"#Main_Tariff!A"&amp;MATCH("*"&amp;RIGHT(A1811,8)&amp;"*",Main_Tariff!A:A,0)),Raeburn_Main_Tariff[[#This Row],[PRODUCER]])</f>
        <v>AMI</v>
      </c>
      <c r="C1811" s="1178" t="s">
        <v>20998</v>
      </c>
      <c r="D1811" s="1178" t="s">
        <v>897</v>
      </c>
      <c r="E1811" s="1179">
        <v>2020</v>
      </c>
      <c r="F1811" s="1282" t="s">
        <v>20220</v>
      </c>
      <c r="G1811" s="1368">
        <v>27</v>
      </c>
      <c r="H1811" s="1178" t="s">
        <v>20221</v>
      </c>
      <c r="I1811" s="1178" t="s">
        <v>6348</v>
      </c>
      <c r="J1811" s="1178" t="s">
        <v>662</v>
      </c>
      <c r="K1811" s="1178" t="s">
        <v>267</v>
      </c>
      <c r="L1811" s="1178" t="s">
        <v>242</v>
      </c>
      <c r="M1811" s="1369"/>
      <c r="N1811" s="1178"/>
      <c r="O1811" s="1178">
        <v>6</v>
      </c>
      <c r="P1811" s="1178">
        <v>13</v>
      </c>
    </row>
    <row r="1812" spans="1:16">
      <c r="A1812" s="1178" t="s">
        <v>244</v>
      </c>
      <c r="B1812" s="1371" t="str">
        <f>HYPERLINK(IFERROR("#Main_Tariff!A"&amp;MATCH(Raeburn_Main_Tariff[[#This Row],[Product Code]],Main_Tariff!I:I,0),"#Main_Tariff!A"&amp;MATCH("*"&amp;RIGHT(A1812,8)&amp;"*",Main_Tariff!A:A,0)),Raeburn_Main_Tariff[[#This Row],[PRODUCER]])</f>
        <v>AMI</v>
      </c>
      <c r="C1812" s="1178" t="s">
        <v>20998</v>
      </c>
      <c r="D1812" s="1178" t="s">
        <v>897</v>
      </c>
      <c r="E1812" s="1179">
        <v>2017</v>
      </c>
      <c r="F1812" s="1282" t="s">
        <v>20220</v>
      </c>
      <c r="G1812" s="1368">
        <v>25</v>
      </c>
      <c r="H1812" s="1178" t="s">
        <v>20221</v>
      </c>
      <c r="I1812" s="1178" t="s">
        <v>6350</v>
      </c>
      <c r="J1812" s="1178" t="s">
        <v>662</v>
      </c>
      <c r="K1812" s="1178" t="s">
        <v>267</v>
      </c>
      <c r="L1812" s="1178" t="s">
        <v>242</v>
      </c>
      <c r="M1812" s="1369"/>
      <c r="N1812" s="1178"/>
      <c r="O1812" s="1178">
        <v>12</v>
      </c>
      <c r="P1812" s="1178">
        <v>12</v>
      </c>
    </row>
    <row r="1813" spans="1:16">
      <c r="A1813" s="1178" t="s">
        <v>244</v>
      </c>
      <c r="B1813" s="1371" t="str">
        <f>HYPERLINK(IFERROR("#Main_Tariff!A"&amp;MATCH(Raeburn_Main_Tariff[[#This Row],[Product Code]],Main_Tariff!I:I,0),"#Main_Tariff!A"&amp;MATCH("*"&amp;RIGHT(A1813,8)&amp;"*",Main_Tariff!A:A,0)),Raeburn_Main_Tariff[[#This Row],[PRODUCER]])</f>
        <v>AMI</v>
      </c>
      <c r="C1813" s="1178" t="s">
        <v>20999</v>
      </c>
      <c r="D1813" s="1178" t="s">
        <v>897</v>
      </c>
      <c r="E1813" s="1179">
        <v>2022</v>
      </c>
      <c r="F1813" s="1282" t="s">
        <v>20220</v>
      </c>
      <c r="G1813" s="1368">
        <v>34.75</v>
      </c>
      <c r="H1813" s="1178" t="s">
        <v>20221</v>
      </c>
      <c r="I1813" s="1178" t="s">
        <v>6354</v>
      </c>
      <c r="J1813" s="1178" t="s">
        <v>662</v>
      </c>
      <c r="K1813" s="1178" t="s">
        <v>267</v>
      </c>
      <c r="L1813" s="1178" t="s">
        <v>242</v>
      </c>
      <c r="M1813" s="1369"/>
      <c r="N1813" s="1178"/>
      <c r="O1813" s="1178">
        <v>6</v>
      </c>
      <c r="P1813" s="1178">
        <v>12</v>
      </c>
    </row>
    <row r="1814" spans="1:16">
      <c r="A1814" s="1178" t="s">
        <v>244</v>
      </c>
      <c r="B1814" s="1371" t="str">
        <f>HYPERLINK(IFERROR("#Main_Tariff!A"&amp;MATCH(Raeburn_Main_Tariff[[#This Row],[Product Code]],Main_Tariff!I:I,0),"#Main_Tariff!A"&amp;MATCH("*"&amp;RIGHT(A1814,8)&amp;"*",Main_Tariff!A:A,0)),Raeburn_Main_Tariff[[#This Row],[PRODUCER]])</f>
        <v>AMI</v>
      </c>
      <c r="C1814" s="1178" t="s">
        <v>21000</v>
      </c>
      <c r="D1814" s="1178" t="s">
        <v>897</v>
      </c>
      <c r="E1814" s="1179">
        <v>2021</v>
      </c>
      <c r="F1814" s="1282" t="s">
        <v>20220</v>
      </c>
      <c r="G1814" s="1368">
        <v>27.75</v>
      </c>
      <c r="H1814" s="1178" t="s">
        <v>20221</v>
      </c>
      <c r="I1814" s="1178" t="s">
        <v>6355</v>
      </c>
      <c r="J1814" s="1178" t="s">
        <v>662</v>
      </c>
      <c r="K1814" s="1178" t="s">
        <v>267</v>
      </c>
      <c r="L1814" s="1178" t="s">
        <v>242</v>
      </c>
      <c r="M1814" s="1369"/>
      <c r="N1814" s="1178"/>
      <c r="O1814" s="1178">
        <v>12</v>
      </c>
      <c r="P1814" s="1178">
        <v>12.5</v>
      </c>
    </row>
    <row r="1815" spans="1:16">
      <c r="A1815" s="1178" t="s">
        <v>244</v>
      </c>
      <c r="B1815" s="1371" t="str">
        <f>HYPERLINK(IFERROR("#Main_Tariff!A"&amp;MATCH(Raeburn_Main_Tariff[[#This Row],[Product Code]],Main_Tariff!I:I,0),"#Main_Tariff!A"&amp;MATCH("*"&amp;RIGHT(A1815,8)&amp;"*",Main_Tariff!A:A,0)),Raeburn_Main_Tariff[[#This Row],[PRODUCER]])</f>
        <v>AMI</v>
      </c>
      <c r="C1815" s="1178" t="s">
        <v>21001</v>
      </c>
      <c r="D1815" s="1178" t="s">
        <v>897</v>
      </c>
      <c r="E1815" s="1179">
        <v>2020</v>
      </c>
      <c r="F1815" s="1282" t="s">
        <v>20220</v>
      </c>
      <c r="G1815" s="1368">
        <v>24.5</v>
      </c>
      <c r="H1815" s="1178" t="s">
        <v>20221</v>
      </c>
      <c r="I1815" s="1178" t="s">
        <v>6356</v>
      </c>
      <c r="J1815" s="1178" t="s">
        <v>662</v>
      </c>
      <c r="K1815" s="1178" t="s">
        <v>267</v>
      </c>
      <c r="L1815" s="1178" t="s">
        <v>242</v>
      </c>
      <c r="M1815" s="1369"/>
      <c r="N1815" s="1178"/>
      <c r="O1815" s="1178">
        <v>6</v>
      </c>
      <c r="P1815" s="1178">
        <v>13</v>
      </c>
    </row>
    <row r="1816" spans="1:16">
      <c r="A1816" s="1178" t="s">
        <v>244</v>
      </c>
      <c r="B1816" s="1371" t="str">
        <f>HYPERLINK(IFERROR("#Main_Tariff!A"&amp;MATCH(Raeburn_Main_Tariff[[#This Row],[Product Code]],Main_Tariff!I:I,0),"#Main_Tariff!A"&amp;MATCH("*"&amp;RIGHT(A1816,8)&amp;"*",Main_Tariff!A:A,0)),Raeburn_Main_Tariff[[#This Row],[PRODUCER]])</f>
        <v>AMI</v>
      </c>
      <c r="C1816" s="1178" t="s">
        <v>18808</v>
      </c>
      <c r="D1816" s="1178" t="s">
        <v>897</v>
      </c>
      <c r="E1816" s="1179">
        <v>2017</v>
      </c>
      <c r="F1816" s="1282" t="s">
        <v>20220</v>
      </c>
      <c r="G1816" s="1368">
        <v>36.5</v>
      </c>
      <c r="H1816" s="1178" t="s">
        <v>20221</v>
      </c>
      <c r="I1816" s="1178" t="s">
        <v>6357</v>
      </c>
      <c r="J1816" s="1178" t="s">
        <v>662</v>
      </c>
      <c r="K1816" s="1178" t="s">
        <v>267</v>
      </c>
      <c r="L1816" s="1178" t="s">
        <v>242</v>
      </c>
      <c r="M1816" s="1369"/>
      <c r="N1816" s="1178"/>
      <c r="O1816" s="1178">
        <v>12</v>
      </c>
      <c r="P1816" s="1178">
        <v>12</v>
      </c>
    </row>
    <row r="1817" spans="1:16">
      <c r="A1817" s="1178" t="s">
        <v>244</v>
      </c>
      <c r="B1817" s="1371" t="str">
        <f>HYPERLINK(IFERROR("#Main_Tariff!A"&amp;MATCH(Raeburn_Main_Tariff[[#This Row],[Product Code]],Main_Tariff!I:I,0),"#Main_Tariff!A"&amp;MATCH("*"&amp;RIGHT(A1817,8)&amp;"*",Main_Tariff!A:A,0)),Raeburn_Main_Tariff[[#This Row],[PRODUCER]])</f>
        <v>AMI</v>
      </c>
      <c r="C1817" s="1178" t="s">
        <v>18810</v>
      </c>
      <c r="D1817" s="1178" t="s">
        <v>897</v>
      </c>
      <c r="E1817" s="1179">
        <v>2019</v>
      </c>
      <c r="F1817" s="1282" t="s">
        <v>20220</v>
      </c>
      <c r="G1817" s="1368">
        <v>39</v>
      </c>
      <c r="H1817" s="1178" t="s">
        <v>20224</v>
      </c>
      <c r="I1817" s="1178" t="s">
        <v>6358</v>
      </c>
      <c r="J1817" s="1178" t="s">
        <v>662</v>
      </c>
      <c r="K1817" s="1178" t="s">
        <v>267</v>
      </c>
      <c r="L1817" s="1178" t="s">
        <v>242</v>
      </c>
      <c r="M1817" s="1369"/>
      <c r="N1817" s="1178"/>
      <c r="O1817" s="1178">
        <v>6</v>
      </c>
      <c r="P1817" s="1178">
        <v>12.5</v>
      </c>
    </row>
    <row r="1818" spans="1:16">
      <c r="A1818" s="1178" t="s">
        <v>244</v>
      </c>
      <c r="B1818" s="1371" t="str">
        <f>HYPERLINK(IFERROR("#Main_Tariff!A"&amp;MATCH(Raeburn_Main_Tariff[[#This Row],[Product Code]],Main_Tariff!I:I,0),"#Main_Tariff!A"&amp;MATCH("*"&amp;RIGHT(A1818,8)&amp;"*",Main_Tariff!A:A,0)),Raeburn_Main_Tariff[[#This Row],[PRODUCER]])</f>
        <v>AMI</v>
      </c>
      <c r="C1818" s="1178" t="s">
        <v>18810</v>
      </c>
      <c r="D1818" s="1178" t="s">
        <v>897</v>
      </c>
      <c r="E1818" s="1179">
        <v>2018</v>
      </c>
      <c r="F1818" s="1282" t="s">
        <v>20220</v>
      </c>
      <c r="G1818" s="1368">
        <v>39</v>
      </c>
      <c r="H1818" s="1178" t="s">
        <v>20221</v>
      </c>
      <c r="I1818" s="1178" t="s">
        <v>6359</v>
      </c>
      <c r="J1818" s="1178" t="s">
        <v>662</v>
      </c>
      <c r="K1818" s="1178" t="s">
        <v>267</v>
      </c>
      <c r="L1818" s="1178" t="s">
        <v>242</v>
      </c>
      <c r="M1818" s="1369"/>
      <c r="N1818" s="1178"/>
      <c r="O1818" s="1178">
        <v>12</v>
      </c>
      <c r="P1818" s="1178">
        <v>12.5</v>
      </c>
    </row>
    <row r="1819" spans="1:16">
      <c r="A1819" s="1178" t="s">
        <v>244</v>
      </c>
      <c r="B1819" s="1371" t="str">
        <f>HYPERLINK(IFERROR("#Main_Tariff!A"&amp;MATCH(Raeburn_Main_Tariff[[#This Row],[Product Code]],Main_Tariff!I:I,0),"#Main_Tariff!A"&amp;MATCH("*"&amp;RIGHT(A1819,8)&amp;"*",Main_Tariff!A:A,0)),Raeburn_Main_Tariff[[#This Row],[PRODUCER]])</f>
        <v>AMI</v>
      </c>
      <c r="C1819" s="1178" t="s">
        <v>18810</v>
      </c>
      <c r="D1819" s="1178" t="s">
        <v>897</v>
      </c>
      <c r="E1819" s="1179">
        <v>2015</v>
      </c>
      <c r="F1819" s="1282" t="s">
        <v>20220</v>
      </c>
      <c r="G1819" s="1368">
        <v>37.5</v>
      </c>
      <c r="H1819" s="1178" t="s">
        <v>20221</v>
      </c>
      <c r="I1819" s="1178" t="s">
        <v>6360</v>
      </c>
      <c r="J1819" s="1178" t="s">
        <v>662</v>
      </c>
      <c r="K1819" s="1178" t="s">
        <v>267</v>
      </c>
      <c r="L1819" s="1178" t="s">
        <v>242</v>
      </c>
      <c r="M1819" s="1369"/>
      <c r="N1819" s="1178"/>
      <c r="O1819" s="1178">
        <v>12</v>
      </c>
      <c r="P1819" s="1178">
        <v>12.5</v>
      </c>
    </row>
    <row r="1820" spans="1:16">
      <c r="A1820" s="1178" t="s">
        <v>244</v>
      </c>
      <c r="B1820" s="1371" t="str">
        <f>HYPERLINK(IFERROR("#Main_Tariff!A"&amp;MATCH(Raeburn_Main_Tariff[[#This Row],[Product Code]],Main_Tariff!I:I,0),"#Main_Tariff!A"&amp;MATCH("*"&amp;RIGHT(A1820,8)&amp;"*",Main_Tariff!A:A,0)),Raeburn_Main_Tariff[[#This Row],[PRODUCER]])</f>
        <v>AMI</v>
      </c>
      <c r="C1820" s="1178" t="s">
        <v>21002</v>
      </c>
      <c r="D1820" s="1178" t="s">
        <v>897</v>
      </c>
      <c r="E1820" s="1179">
        <v>2022</v>
      </c>
      <c r="F1820" s="1282" t="s">
        <v>20220</v>
      </c>
      <c r="G1820" s="1368">
        <v>46.5</v>
      </c>
      <c r="H1820" s="1178" t="s">
        <v>20221</v>
      </c>
      <c r="I1820" s="1178" t="s">
        <v>6361</v>
      </c>
      <c r="J1820" s="1178" t="s">
        <v>662</v>
      </c>
      <c r="K1820" s="1178" t="s">
        <v>267</v>
      </c>
      <c r="L1820" s="1178" t="s">
        <v>242</v>
      </c>
      <c r="M1820" s="1369"/>
      <c r="N1820" s="1178"/>
      <c r="O1820" s="1178">
        <v>6</v>
      </c>
      <c r="P1820" s="1178">
        <v>12.5</v>
      </c>
    </row>
    <row r="1821" spans="1:16">
      <c r="A1821" s="1178" t="s">
        <v>244</v>
      </c>
      <c r="B1821" s="1371" t="str">
        <f>HYPERLINK(IFERROR("#Main_Tariff!A"&amp;MATCH(Raeburn_Main_Tariff[[#This Row],[Product Code]],Main_Tariff!I:I,0),"#Main_Tariff!A"&amp;MATCH("*"&amp;RIGHT(A1821,8)&amp;"*",Main_Tariff!A:A,0)),Raeburn_Main_Tariff[[#This Row],[PRODUCER]])</f>
        <v>AMI</v>
      </c>
      <c r="C1821" s="1178" t="s">
        <v>21003</v>
      </c>
      <c r="D1821" s="1178" t="s">
        <v>897</v>
      </c>
      <c r="E1821" s="1179">
        <v>2022</v>
      </c>
      <c r="F1821" s="1282" t="s">
        <v>20220</v>
      </c>
      <c r="G1821" s="1368">
        <v>36</v>
      </c>
      <c r="H1821" s="1178" t="s">
        <v>20221</v>
      </c>
      <c r="I1821" s="1178" t="s">
        <v>6363</v>
      </c>
      <c r="J1821" s="1178" t="s">
        <v>662</v>
      </c>
      <c r="K1821" s="1178" t="s">
        <v>267</v>
      </c>
      <c r="L1821" s="1178" t="s">
        <v>242</v>
      </c>
      <c r="M1821" s="1369" t="s">
        <v>23297</v>
      </c>
      <c r="N1821" s="1178"/>
      <c r="O1821" s="1178">
        <v>6</v>
      </c>
      <c r="P1821" s="1178">
        <v>13</v>
      </c>
    </row>
    <row r="1822" spans="1:16">
      <c r="A1822" s="1178" t="s">
        <v>244</v>
      </c>
      <c r="B1822" s="1371" t="str">
        <f>HYPERLINK(IFERROR("#Main_Tariff!A"&amp;MATCH(Raeburn_Main_Tariff[[#This Row],[Product Code]],Main_Tariff!I:I,0),"#Main_Tariff!A"&amp;MATCH("*"&amp;RIGHT(A1822,8)&amp;"*",Main_Tariff!A:A,0)),Raeburn_Main_Tariff[[#This Row],[PRODUCER]])</f>
        <v>AMI</v>
      </c>
      <c r="C1822" s="1178" t="s">
        <v>21003</v>
      </c>
      <c r="D1822" s="1178" t="s">
        <v>897</v>
      </c>
      <c r="E1822" s="1179">
        <v>2021</v>
      </c>
      <c r="F1822" s="1282" t="s">
        <v>20220</v>
      </c>
      <c r="G1822" s="1368">
        <v>35.75</v>
      </c>
      <c r="H1822" s="1178" t="s">
        <v>20221</v>
      </c>
      <c r="I1822" s="1178" t="s">
        <v>6364</v>
      </c>
      <c r="J1822" s="1178" t="s">
        <v>662</v>
      </c>
      <c r="K1822" s="1178" t="s">
        <v>267</v>
      </c>
      <c r="L1822" s="1178" t="s">
        <v>242</v>
      </c>
      <c r="M1822" s="1369" t="s">
        <v>23297</v>
      </c>
      <c r="N1822" s="1178"/>
      <c r="O1822" s="1178">
        <v>12</v>
      </c>
      <c r="P1822" s="1178">
        <v>12.5</v>
      </c>
    </row>
    <row r="1823" spans="1:16">
      <c r="A1823" s="1178" t="s">
        <v>244</v>
      </c>
      <c r="B1823" s="1371" t="str">
        <f>HYPERLINK(IFERROR("#Main_Tariff!A"&amp;MATCH(Raeburn_Main_Tariff[[#This Row],[Product Code]],Main_Tariff!I:I,0),"#Main_Tariff!A"&amp;MATCH("*"&amp;RIGHT(A1823,8)&amp;"*",Main_Tariff!A:A,0)),Raeburn_Main_Tariff[[#This Row],[PRODUCER]])</f>
        <v>AMI</v>
      </c>
      <c r="C1823" s="1178" t="s">
        <v>21003</v>
      </c>
      <c r="D1823" s="1178" t="s">
        <v>897</v>
      </c>
      <c r="E1823" s="1179">
        <v>2020</v>
      </c>
      <c r="F1823" s="1282" t="s">
        <v>20220</v>
      </c>
      <c r="G1823" s="1368">
        <v>34</v>
      </c>
      <c r="H1823" s="1178" t="s">
        <v>20221</v>
      </c>
      <c r="I1823" s="1178" t="s">
        <v>6365</v>
      </c>
      <c r="J1823" s="1178" t="s">
        <v>662</v>
      </c>
      <c r="K1823" s="1178" t="s">
        <v>267</v>
      </c>
      <c r="L1823" s="1178" t="s">
        <v>242</v>
      </c>
      <c r="M1823" s="1369" t="s">
        <v>23297</v>
      </c>
      <c r="N1823" s="1178"/>
      <c r="O1823" s="1178">
        <v>6</v>
      </c>
      <c r="P1823" s="1178">
        <v>13.5</v>
      </c>
    </row>
    <row r="1824" spans="1:16">
      <c r="A1824" s="1178" t="s">
        <v>244</v>
      </c>
      <c r="B1824" s="1371" t="str">
        <f>HYPERLINK(IFERROR("#Main_Tariff!A"&amp;MATCH(Raeburn_Main_Tariff[[#This Row],[Product Code]],Main_Tariff!I:I,0),"#Main_Tariff!A"&amp;MATCH("*"&amp;RIGHT(A1824,8)&amp;"*",Main_Tariff!A:A,0)),Raeburn_Main_Tariff[[#This Row],[PRODUCER]])</f>
        <v>AMI</v>
      </c>
      <c r="C1824" s="1178" t="s">
        <v>21003</v>
      </c>
      <c r="D1824" s="1178" t="s">
        <v>897</v>
      </c>
      <c r="E1824" s="1179">
        <v>2019</v>
      </c>
      <c r="F1824" s="1282" t="s">
        <v>20220</v>
      </c>
      <c r="G1824" s="1368">
        <v>34</v>
      </c>
      <c r="H1824" s="1178" t="s">
        <v>20221</v>
      </c>
      <c r="I1824" s="1178" t="s">
        <v>6366</v>
      </c>
      <c r="J1824" s="1178" t="s">
        <v>662</v>
      </c>
      <c r="K1824" s="1178" t="s">
        <v>267</v>
      </c>
      <c r="L1824" s="1178" t="s">
        <v>242</v>
      </c>
      <c r="M1824" s="1369" t="s">
        <v>23297</v>
      </c>
      <c r="N1824" s="1178"/>
      <c r="O1824" s="1178">
        <v>6</v>
      </c>
      <c r="P1824" s="1178">
        <v>12.5</v>
      </c>
    </row>
    <row r="1825" spans="1:16">
      <c r="A1825" s="1178" t="s">
        <v>244</v>
      </c>
      <c r="B1825" s="1371" t="str">
        <f>HYPERLINK(IFERROR("#Main_Tariff!A"&amp;MATCH(Raeburn_Main_Tariff[[#This Row],[Product Code]],Main_Tariff!I:I,0),"#Main_Tariff!A"&amp;MATCH("*"&amp;RIGHT(A1825,8)&amp;"*",Main_Tariff!A:A,0)),Raeburn_Main_Tariff[[#This Row],[PRODUCER]])</f>
        <v>AMI</v>
      </c>
      <c r="C1825" s="1178" t="s">
        <v>21003</v>
      </c>
      <c r="D1825" s="1178" t="s">
        <v>897</v>
      </c>
      <c r="E1825" s="1179">
        <v>2018</v>
      </c>
      <c r="F1825" s="1282" t="s">
        <v>20220</v>
      </c>
      <c r="G1825" s="1368">
        <v>32</v>
      </c>
      <c r="H1825" s="1178" t="s">
        <v>20221</v>
      </c>
      <c r="I1825" s="1178" t="s">
        <v>6367</v>
      </c>
      <c r="J1825" s="1178" t="s">
        <v>662</v>
      </c>
      <c r="K1825" s="1178" t="s">
        <v>267</v>
      </c>
      <c r="L1825" s="1178" t="s">
        <v>242</v>
      </c>
      <c r="M1825" s="1369" t="s">
        <v>23297</v>
      </c>
      <c r="N1825" s="1178"/>
      <c r="O1825" s="1178">
        <v>12</v>
      </c>
      <c r="P1825" s="1178">
        <v>12.5</v>
      </c>
    </row>
    <row r="1826" spans="1:16">
      <c r="A1826" s="1178" t="s">
        <v>244</v>
      </c>
      <c r="B1826" s="1371" t="str">
        <f>HYPERLINK(IFERROR("#Main_Tariff!A"&amp;MATCH(Raeburn_Main_Tariff[[#This Row],[Product Code]],Main_Tariff!I:I,0),"#Main_Tariff!A"&amp;MATCH("*"&amp;RIGHT(A1826,8)&amp;"*",Main_Tariff!A:A,0)),Raeburn_Main_Tariff[[#This Row],[PRODUCER]])</f>
        <v>AMI</v>
      </c>
      <c r="C1826" s="1178" t="s">
        <v>21003</v>
      </c>
      <c r="D1826" s="1178" t="s">
        <v>897</v>
      </c>
      <c r="E1826" s="1179">
        <v>2017</v>
      </c>
      <c r="F1826" s="1282" t="s">
        <v>20220</v>
      </c>
      <c r="G1826" s="1368">
        <v>32</v>
      </c>
      <c r="H1826" s="1178" t="s">
        <v>20277</v>
      </c>
      <c r="I1826" s="1178" t="s">
        <v>6368</v>
      </c>
      <c r="J1826" s="1178" t="s">
        <v>662</v>
      </c>
      <c r="K1826" s="1178" t="s">
        <v>267</v>
      </c>
      <c r="L1826" s="1178" t="s">
        <v>242</v>
      </c>
      <c r="M1826" s="1369" t="s">
        <v>23297</v>
      </c>
      <c r="N1826" s="1178"/>
      <c r="O1826" s="1178">
        <v>12</v>
      </c>
      <c r="P1826" s="1178">
        <v>12</v>
      </c>
    </row>
    <row r="1827" spans="1:16">
      <c r="A1827" s="1178" t="s">
        <v>244</v>
      </c>
      <c r="B1827" s="1371" t="str">
        <f>HYPERLINK(IFERROR("#Main_Tariff!A"&amp;MATCH(Raeburn_Main_Tariff[[#This Row],[Product Code]],Main_Tariff!I:I,0),"#Main_Tariff!A"&amp;MATCH("*"&amp;RIGHT(A1827,8)&amp;"*",Main_Tariff!A:A,0)),Raeburn_Main_Tariff[[#This Row],[PRODUCER]])</f>
        <v>AMI</v>
      </c>
      <c r="C1827" s="1178" t="s">
        <v>21004</v>
      </c>
      <c r="D1827" s="1178" t="s">
        <v>897</v>
      </c>
      <c r="E1827" s="1179">
        <v>2021</v>
      </c>
      <c r="F1827" s="1282" t="s">
        <v>20220</v>
      </c>
      <c r="G1827" s="1368">
        <v>41</v>
      </c>
      <c r="H1827" s="1178" t="s">
        <v>20221</v>
      </c>
      <c r="I1827" s="1178" t="s">
        <v>6369</v>
      </c>
      <c r="J1827" s="1178" t="s">
        <v>662</v>
      </c>
      <c r="K1827" s="1178" t="s">
        <v>267</v>
      </c>
      <c r="L1827" s="1178" t="s">
        <v>242</v>
      </c>
      <c r="M1827" s="1369" t="s">
        <v>23297</v>
      </c>
      <c r="N1827" s="1178"/>
      <c r="O1827" s="1178">
        <v>12</v>
      </c>
      <c r="P1827" s="1178">
        <v>12.5</v>
      </c>
    </row>
    <row r="1828" spans="1:16">
      <c r="A1828" s="1178" t="s">
        <v>244</v>
      </c>
      <c r="B1828" s="1371" t="str">
        <f>HYPERLINK(IFERROR("#Main_Tariff!A"&amp;MATCH(Raeburn_Main_Tariff[[#This Row],[Product Code]],Main_Tariff!I:I,0),"#Main_Tariff!A"&amp;MATCH("*"&amp;RIGHT(A1828,8)&amp;"*",Main_Tariff!A:A,0)),Raeburn_Main_Tariff[[#This Row],[PRODUCER]])</f>
        <v>AMI</v>
      </c>
      <c r="C1828" s="1178" t="s">
        <v>21004</v>
      </c>
      <c r="D1828" s="1178" t="s">
        <v>897</v>
      </c>
      <c r="E1828" s="1179">
        <v>2019</v>
      </c>
      <c r="F1828" s="1282" t="s">
        <v>20220</v>
      </c>
      <c r="G1828" s="1368">
        <v>39</v>
      </c>
      <c r="H1828" s="1178" t="s">
        <v>20221</v>
      </c>
      <c r="I1828" s="1178" t="s">
        <v>6370</v>
      </c>
      <c r="J1828" s="1178" t="s">
        <v>662</v>
      </c>
      <c r="K1828" s="1178" t="s">
        <v>267</v>
      </c>
      <c r="L1828" s="1178" t="s">
        <v>242</v>
      </c>
      <c r="M1828" s="1369" t="s">
        <v>23297</v>
      </c>
      <c r="N1828" s="1178"/>
      <c r="O1828" s="1178">
        <v>6</v>
      </c>
      <c r="P1828" s="1178">
        <v>13</v>
      </c>
    </row>
    <row r="1829" spans="1:16">
      <c r="A1829" s="1178" t="s">
        <v>244</v>
      </c>
      <c r="B1829" s="1371" t="str">
        <f>HYPERLINK(IFERROR("#Main_Tariff!A"&amp;MATCH(Raeburn_Main_Tariff[[#This Row],[Product Code]],Main_Tariff!I:I,0),"#Main_Tariff!A"&amp;MATCH("*"&amp;RIGHT(A1829,8)&amp;"*",Main_Tariff!A:A,0)),Raeburn_Main_Tariff[[#This Row],[PRODUCER]])</f>
        <v>AMI</v>
      </c>
      <c r="C1829" s="1178" t="s">
        <v>21004</v>
      </c>
      <c r="D1829" s="1178" t="s">
        <v>897</v>
      </c>
      <c r="E1829" s="1179">
        <v>2017</v>
      </c>
      <c r="F1829" s="1282" t="s">
        <v>20220</v>
      </c>
      <c r="G1829" s="1368">
        <v>37</v>
      </c>
      <c r="H1829" s="1178" t="s">
        <v>20221</v>
      </c>
      <c r="I1829" s="1178" t="s">
        <v>6371</v>
      </c>
      <c r="J1829" s="1178" t="s">
        <v>662</v>
      </c>
      <c r="K1829" s="1178" t="s">
        <v>267</v>
      </c>
      <c r="L1829" s="1178" t="s">
        <v>242</v>
      </c>
      <c r="M1829" s="1369" t="s">
        <v>23297</v>
      </c>
      <c r="N1829" s="1178"/>
      <c r="O1829" s="1178">
        <v>12</v>
      </c>
      <c r="P1829" s="1178">
        <v>12.5</v>
      </c>
    </row>
    <row r="1830" spans="1:16">
      <c r="A1830" s="1178" t="s">
        <v>244</v>
      </c>
      <c r="B1830" s="1371" t="str">
        <f>HYPERLINK(IFERROR("#Main_Tariff!A"&amp;MATCH(Raeburn_Main_Tariff[[#This Row],[Product Code]],Main_Tariff!I:I,0),"#Main_Tariff!A"&amp;MATCH("*"&amp;RIGHT(A1830,8)&amp;"*",Main_Tariff!A:A,0)),Raeburn_Main_Tariff[[#This Row],[PRODUCER]])</f>
        <v>AMI</v>
      </c>
      <c r="C1830" s="1178" t="s">
        <v>21005</v>
      </c>
      <c r="D1830" s="1178" t="s">
        <v>897</v>
      </c>
      <c r="E1830" s="1179">
        <v>2020</v>
      </c>
      <c r="F1830" s="1282" t="s">
        <v>20220</v>
      </c>
      <c r="G1830" s="1368">
        <v>50</v>
      </c>
      <c r="H1830" s="1178" t="s">
        <v>20221</v>
      </c>
      <c r="I1830" s="1178" t="s">
        <v>6372</v>
      </c>
      <c r="J1830" s="1178" t="s">
        <v>662</v>
      </c>
      <c r="K1830" s="1178" t="s">
        <v>267</v>
      </c>
      <c r="L1830" s="1178" t="s">
        <v>242</v>
      </c>
      <c r="M1830" s="1369" t="s">
        <v>23297</v>
      </c>
      <c r="N1830" s="1178"/>
      <c r="O1830" s="1178">
        <v>6</v>
      </c>
      <c r="P1830" s="1178">
        <v>13</v>
      </c>
    </row>
    <row r="1831" spans="1:16">
      <c r="A1831" s="1178" t="s">
        <v>244</v>
      </c>
      <c r="B1831" s="1371" t="str">
        <f>HYPERLINK(IFERROR("#Main_Tariff!A"&amp;MATCH(Raeburn_Main_Tariff[[#This Row],[Product Code]],Main_Tariff!I:I,0),"#Main_Tariff!A"&amp;MATCH("*"&amp;RIGHT(A1831,8)&amp;"*",Main_Tariff!A:A,0)),Raeburn_Main_Tariff[[#This Row],[PRODUCER]])</f>
        <v>AMI</v>
      </c>
      <c r="C1831" s="1178" t="s">
        <v>21005</v>
      </c>
      <c r="D1831" s="1178" t="s">
        <v>897</v>
      </c>
      <c r="E1831" s="1179">
        <v>2019</v>
      </c>
      <c r="F1831" s="1282" t="s">
        <v>20220</v>
      </c>
      <c r="G1831" s="1368">
        <v>50</v>
      </c>
      <c r="H1831" s="1178" t="s">
        <v>20221</v>
      </c>
      <c r="I1831" s="1178" t="s">
        <v>6373</v>
      </c>
      <c r="J1831" s="1178" t="s">
        <v>662</v>
      </c>
      <c r="K1831" s="1178" t="s">
        <v>267</v>
      </c>
      <c r="L1831" s="1178" t="s">
        <v>242</v>
      </c>
      <c r="M1831" s="1369" t="s">
        <v>23297</v>
      </c>
      <c r="N1831" s="1178"/>
      <c r="O1831" s="1178">
        <v>6</v>
      </c>
      <c r="P1831" s="1178">
        <v>13</v>
      </c>
    </row>
    <row r="1832" spans="1:16">
      <c r="A1832" s="1178" t="s">
        <v>244</v>
      </c>
      <c r="B1832" s="1371" t="str">
        <f>HYPERLINK(IFERROR("#Main_Tariff!A"&amp;MATCH(Raeburn_Main_Tariff[[#This Row],[Product Code]],Main_Tariff!I:I,0),"#Main_Tariff!A"&amp;MATCH("*"&amp;RIGHT(A1832,8)&amp;"*",Main_Tariff!A:A,0)),Raeburn_Main_Tariff[[#This Row],[PRODUCER]])</f>
        <v>AMI</v>
      </c>
      <c r="C1832" s="1178" t="s">
        <v>21005</v>
      </c>
      <c r="D1832" s="1178" t="s">
        <v>897</v>
      </c>
      <c r="E1832" s="1179">
        <v>2017</v>
      </c>
      <c r="F1832" s="1282" t="s">
        <v>20220</v>
      </c>
      <c r="G1832" s="1368">
        <v>48</v>
      </c>
      <c r="H1832" s="1178" t="s">
        <v>20221</v>
      </c>
      <c r="I1832" s="1178" t="s">
        <v>6374</v>
      </c>
      <c r="J1832" s="1178" t="s">
        <v>662</v>
      </c>
      <c r="K1832" s="1178" t="s">
        <v>267</v>
      </c>
      <c r="L1832" s="1178" t="s">
        <v>242</v>
      </c>
      <c r="M1832" s="1369" t="s">
        <v>23297</v>
      </c>
      <c r="N1832" s="1178"/>
      <c r="O1832" s="1178">
        <v>12</v>
      </c>
      <c r="P1832" s="1178">
        <v>13</v>
      </c>
    </row>
    <row r="1833" spans="1:16">
      <c r="A1833" s="1178" t="s">
        <v>245</v>
      </c>
      <c r="B1833" s="1371" t="str">
        <f>HYPERLINK(IFERROR("#Main_Tariff!A"&amp;MATCH(Raeburn_Main_Tariff[[#This Row],[Product Code]],Main_Tariff!I:I,0),"#Main_Tariff!A"&amp;MATCH("*"&amp;RIGHT(A1833,8)&amp;"*",Main_Tariff!A:A,0)),Raeburn_Main_Tariff[[#This Row],[PRODUCER]])</f>
        <v>Jean-Claude Bachelet</v>
      </c>
      <c r="C1833" s="1178" t="s">
        <v>21006</v>
      </c>
      <c r="D1833" s="1178" t="s">
        <v>897</v>
      </c>
      <c r="E1833" s="1179">
        <v>2014</v>
      </c>
      <c r="F1833" s="1282" t="s">
        <v>20280</v>
      </c>
      <c r="G1833" s="1368">
        <v>14.5</v>
      </c>
      <c r="H1833" s="1178" t="s">
        <v>20221</v>
      </c>
      <c r="I1833" s="1178" t="s">
        <v>6393</v>
      </c>
      <c r="J1833" s="1178" t="s">
        <v>662</v>
      </c>
      <c r="K1833" s="1178" t="s">
        <v>267</v>
      </c>
      <c r="L1833" s="1178" t="s">
        <v>242</v>
      </c>
      <c r="M1833" s="1369" t="s">
        <v>23297</v>
      </c>
      <c r="N1833" s="1178"/>
      <c r="O1833" s="1178">
        <v>12</v>
      </c>
      <c r="P1833" s="1178">
        <v>13</v>
      </c>
    </row>
    <row r="1834" spans="1:16">
      <c r="A1834" s="1178" t="s">
        <v>245</v>
      </c>
      <c r="B1834" s="1371" t="str">
        <f>HYPERLINK(IFERROR("#Main_Tariff!A"&amp;MATCH(Raeburn_Main_Tariff[[#This Row],[Product Code]],Main_Tariff!I:I,0),"#Main_Tariff!A"&amp;MATCH("*"&amp;RIGHT(A1834,8)&amp;"*",Main_Tariff!A:A,0)),Raeburn_Main_Tariff[[#This Row],[PRODUCER]])</f>
        <v>Jean-Claude Bachelet</v>
      </c>
      <c r="C1834" s="1178" t="s">
        <v>21007</v>
      </c>
      <c r="D1834" s="1178" t="s">
        <v>897</v>
      </c>
      <c r="E1834" s="1179">
        <v>2022</v>
      </c>
      <c r="F1834" s="1282" t="s">
        <v>20220</v>
      </c>
      <c r="G1834" s="1368">
        <v>38.5</v>
      </c>
      <c r="H1834" s="1178" t="s">
        <v>20221</v>
      </c>
      <c r="I1834" s="1178" t="s">
        <v>6396</v>
      </c>
      <c r="J1834" s="1178" t="s">
        <v>662</v>
      </c>
      <c r="K1834" s="1178" t="s">
        <v>267</v>
      </c>
      <c r="L1834" s="1178" t="s">
        <v>242</v>
      </c>
      <c r="M1834" s="1369" t="s">
        <v>23297</v>
      </c>
      <c r="N1834" s="1178"/>
      <c r="O1834" s="1178">
        <v>6</v>
      </c>
      <c r="P1834" s="1178">
        <v>13</v>
      </c>
    </row>
    <row r="1835" spans="1:16">
      <c r="A1835" s="1178" t="s">
        <v>245</v>
      </c>
      <c r="B1835" s="1371" t="str">
        <f>HYPERLINK(IFERROR("#Main_Tariff!A"&amp;MATCH(Raeburn_Main_Tariff[[#This Row],[Product Code]],Main_Tariff!I:I,0),"#Main_Tariff!A"&amp;MATCH("*"&amp;RIGHT(A1835,8)&amp;"*",Main_Tariff!A:A,0)),Raeburn_Main_Tariff[[#This Row],[PRODUCER]])</f>
        <v>Jean-Claude Bachelet</v>
      </c>
      <c r="C1835" s="1178" t="s">
        <v>21007</v>
      </c>
      <c r="D1835" s="1178" t="s">
        <v>897</v>
      </c>
      <c r="E1835" s="1179">
        <v>2021</v>
      </c>
      <c r="F1835" s="1282" t="s">
        <v>20220</v>
      </c>
      <c r="G1835" s="1368">
        <v>38</v>
      </c>
      <c r="H1835" s="1178" t="s">
        <v>20221</v>
      </c>
      <c r="I1835" s="1178" t="s">
        <v>6398</v>
      </c>
      <c r="J1835" s="1178" t="s">
        <v>662</v>
      </c>
      <c r="K1835" s="1178" t="s">
        <v>267</v>
      </c>
      <c r="L1835" s="1178" t="s">
        <v>242</v>
      </c>
      <c r="M1835" s="1369" t="s">
        <v>23297</v>
      </c>
      <c r="N1835" s="1178"/>
      <c r="O1835" s="1178">
        <v>6</v>
      </c>
      <c r="P1835" s="1178">
        <v>13</v>
      </c>
    </row>
    <row r="1836" spans="1:16">
      <c r="A1836" s="1178" t="s">
        <v>245</v>
      </c>
      <c r="B1836" s="1371" t="str">
        <f>HYPERLINK(IFERROR("#Main_Tariff!A"&amp;MATCH(Raeburn_Main_Tariff[[#This Row],[Product Code]],Main_Tariff!I:I,0),"#Main_Tariff!A"&amp;MATCH("*"&amp;RIGHT(A1836,8)&amp;"*",Main_Tariff!A:A,0)),Raeburn_Main_Tariff[[#This Row],[PRODUCER]])</f>
        <v>Jean-Claude Bachelet</v>
      </c>
      <c r="C1836" s="1178" t="s">
        <v>21007</v>
      </c>
      <c r="D1836" s="1178" t="s">
        <v>897</v>
      </c>
      <c r="E1836" s="1179">
        <v>2020</v>
      </c>
      <c r="F1836" s="1282" t="s">
        <v>20220</v>
      </c>
      <c r="G1836" s="1368">
        <v>33.5</v>
      </c>
      <c r="H1836" s="1178" t="s">
        <v>20221</v>
      </c>
      <c r="I1836" s="1178" t="s">
        <v>6399</v>
      </c>
      <c r="J1836" s="1178" t="s">
        <v>662</v>
      </c>
      <c r="K1836" s="1178" t="s">
        <v>267</v>
      </c>
      <c r="L1836" s="1178" t="s">
        <v>242</v>
      </c>
      <c r="M1836" s="1369" t="s">
        <v>23297</v>
      </c>
      <c r="N1836" s="1178"/>
      <c r="O1836" s="1178">
        <v>6</v>
      </c>
      <c r="P1836" s="1178">
        <v>13.5</v>
      </c>
    </row>
    <row r="1837" spans="1:16">
      <c r="A1837" s="1178" t="s">
        <v>245</v>
      </c>
      <c r="B1837" s="1371" t="str">
        <f>HYPERLINK(IFERROR("#Main_Tariff!A"&amp;MATCH(Raeburn_Main_Tariff[[#This Row],[Product Code]],Main_Tariff!I:I,0),"#Main_Tariff!A"&amp;MATCH("*"&amp;RIGHT(A1837,8)&amp;"*",Main_Tariff!A:A,0)),Raeburn_Main_Tariff[[#This Row],[PRODUCER]])</f>
        <v>Jean-Claude Bachelet</v>
      </c>
      <c r="C1837" s="1178" t="s">
        <v>21007</v>
      </c>
      <c r="D1837" s="1178" t="s">
        <v>897</v>
      </c>
      <c r="E1837" s="1179">
        <v>2019</v>
      </c>
      <c r="F1837" s="1282" t="s">
        <v>20220</v>
      </c>
      <c r="G1837" s="1368">
        <v>29.95</v>
      </c>
      <c r="H1837" s="1178" t="s">
        <v>20221</v>
      </c>
      <c r="I1837" s="1178" t="s">
        <v>6401</v>
      </c>
      <c r="J1837" s="1178" t="s">
        <v>662</v>
      </c>
      <c r="K1837" s="1178" t="s">
        <v>267</v>
      </c>
      <c r="L1837" s="1178" t="s">
        <v>242</v>
      </c>
      <c r="M1837" s="1369" t="s">
        <v>23297</v>
      </c>
      <c r="N1837" s="1178"/>
      <c r="O1837" s="1178">
        <v>6</v>
      </c>
      <c r="P1837" s="1178">
        <v>13</v>
      </c>
    </row>
    <row r="1838" spans="1:16">
      <c r="A1838" s="1178" t="s">
        <v>245</v>
      </c>
      <c r="B1838" s="1371" t="str">
        <f>HYPERLINK(IFERROR("#Main_Tariff!A"&amp;MATCH(Raeburn_Main_Tariff[[#This Row],[Product Code]],Main_Tariff!I:I,0),"#Main_Tariff!A"&amp;MATCH("*"&amp;RIGHT(A1838,8)&amp;"*",Main_Tariff!A:A,0)),Raeburn_Main_Tariff[[#This Row],[PRODUCER]])</f>
        <v>Jean-Claude Bachelet</v>
      </c>
      <c r="C1838" s="1178" t="s">
        <v>21007</v>
      </c>
      <c r="D1838" s="1178" t="s">
        <v>897</v>
      </c>
      <c r="E1838" s="1179">
        <v>2018</v>
      </c>
      <c r="F1838" s="1282" t="s">
        <v>20220</v>
      </c>
      <c r="G1838" s="1368">
        <v>27.5</v>
      </c>
      <c r="H1838" s="1178" t="s">
        <v>20221</v>
      </c>
      <c r="I1838" s="1178" t="s">
        <v>6403</v>
      </c>
      <c r="J1838" s="1178" t="s">
        <v>662</v>
      </c>
      <c r="K1838" s="1178" t="s">
        <v>267</v>
      </c>
      <c r="L1838" s="1178" t="s">
        <v>242</v>
      </c>
      <c r="M1838" s="1369" t="s">
        <v>23297</v>
      </c>
      <c r="N1838" s="1178"/>
      <c r="O1838" s="1178">
        <v>6</v>
      </c>
      <c r="P1838" s="1178">
        <v>13</v>
      </c>
    </row>
    <row r="1839" spans="1:16">
      <c r="A1839" s="1178" t="s">
        <v>245</v>
      </c>
      <c r="B1839" s="1371" t="str">
        <f>HYPERLINK(IFERROR("#Main_Tariff!A"&amp;MATCH(Raeburn_Main_Tariff[[#This Row],[Product Code]],Main_Tariff!I:I,0),"#Main_Tariff!A"&amp;MATCH("*"&amp;RIGHT(A1839,8)&amp;"*",Main_Tariff!A:A,0)),Raeburn_Main_Tariff[[#This Row],[PRODUCER]])</f>
        <v>Jean-Claude Bachelet</v>
      </c>
      <c r="C1839" s="1178" t="s">
        <v>21007</v>
      </c>
      <c r="D1839" s="1178" t="s">
        <v>897</v>
      </c>
      <c r="E1839" s="1179">
        <v>2017</v>
      </c>
      <c r="F1839" s="1282" t="s">
        <v>20220</v>
      </c>
      <c r="G1839" s="1368">
        <v>27.5</v>
      </c>
      <c r="H1839" s="1178" t="s">
        <v>20221</v>
      </c>
      <c r="I1839" s="1178" t="s">
        <v>6405</v>
      </c>
      <c r="J1839" s="1178" t="s">
        <v>662</v>
      </c>
      <c r="K1839" s="1178" t="s">
        <v>267</v>
      </c>
      <c r="L1839" s="1178" t="s">
        <v>242</v>
      </c>
      <c r="M1839" s="1369" t="s">
        <v>23297</v>
      </c>
      <c r="N1839" s="1178"/>
      <c r="O1839" s="1178">
        <v>6</v>
      </c>
      <c r="P1839" s="1178">
        <v>13</v>
      </c>
    </row>
    <row r="1840" spans="1:16">
      <c r="A1840" s="1178" t="s">
        <v>245</v>
      </c>
      <c r="B1840" s="1371" t="str">
        <f>HYPERLINK(IFERROR("#Main_Tariff!A"&amp;MATCH(Raeburn_Main_Tariff[[#This Row],[Product Code]],Main_Tariff!I:I,0),"#Main_Tariff!A"&amp;MATCH("*"&amp;RIGHT(A1840,8)&amp;"*",Main_Tariff!A:A,0)),Raeburn_Main_Tariff[[#This Row],[PRODUCER]])</f>
        <v>Jean-Claude Bachelet</v>
      </c>
      <c r="C1840" s="1178" t="s">
        <v>21007</v>
      </c>
      <c r="D1840" s="1178" t="s">
        <v>897</v>
      </c>
      <c r="E1840" s="1179">
        <v>2016</v>
      </c>
      <c r="F1840" s="1282" t="s">
        <v>20220</v>
      </c>
      <c r="G1840" s="1368">
        <v>27.5</v>
      </c>
      <c r="H1840" s="1178" t="s">
        <v>20221</v>
      </c>
      <c r="I1840" s="1178" t="s">
        <v>6407</v>
      </c>
      <c r="J1840" s="1178" t="s">
        <v>662</v>
      </c>
      <c r="K1840" s="1178" t="s">
        <v>267</v>
      </c>
      <c r="L1840" s="1178" t="s">
        <v>242</v>
      </c>
      <c r="M1840" s="1369" t="s">
        <v>23297</v>
      </c>
      <c r="N1840" s="1178"/>
      <c r="O1840" s="1178">
        <v>6</v>
      </c>
      <c r="P1840" s="1178">
        <v>13</v>
      </c>
    </row>
    <row r="1841" spans="1:16">
      <c r="A1841" s="1178" t="s">
        <v>245</v>
      </c>
      <c r="B1841" s="1371" t="str">
        <f>HYPERLINK(IFERROR("#Main_Tariff!A"&amp;MATCH(Raeburn_Main_Tariff[[#This Row],[Product Code]],Main_Tariff!I:I,0),"#Main_Tariff!A"&amp;MATCH("*"&amp;RIGHT(A1841,8)&amp;"*",Main_Tariff!A:A,0)),Raeburn_Main_Tariff[[#This Row],[PRODUCER]])</f>
        <v>Jean-Claude Bachelet</v>
      </c>
      <c r="C1841" s="1178" t="s">
        <v>21008</v>
      </c>
      <c r="D1841" s="1178" t="s">
        <v>897</v>
      </c>
      <c r="E1841" s="1179">
        <v>2022</v>
      </c>
      <c r="F1841" s="1282" t="s">
        <v>20220</v>
      </c>
      <c r="G1841" s="1368">
        <v>42</v>
      </c>
      <c r="H1841" s="1178" t="s">
        <v>20221</v>
      </c>
      <c r="I1841" s="1178" t="s">
        <v>6408</v>
      </c>
      <c r="J1841" s="1178" t="s">
        <v>662</v>
      </c>
      <c r="K1841" s="1178" t="s">
        <v>267</v>
      </c>
      <c r="L1841" s="1178" t="s">
        <v>242</v>
      </c>
      <c r="M1841" s="1369"/>
      <c r="N1841" s="1178"/>
      <c r="O1841" s="1178">
        <v>6</v>
      </c>
      <c r="P1841" s="1178">
        <v>13</v>
      </c>
    </row>
    <row r="1842" spans="1:16">
      <c r="A1842" s="1178" t="s">
        <v>245</v>
      </c>
      <c r="B1842" s="1371" t="str">
        <f>HYPERLINK(IFERROR("#Main_Tariff!A"&amp;MATCH(Raeburn_Main_Tariff[[#This Row],[Product Code]],Main_Tariff!I:I,0),"#Main_Tariff!A"&amp;MATCH("*"&amp;RIGHT(A1842,8)&amp;"*",Main_Tariff!A:A,0)),Raeburn_Main_Tariff[[#This Row],[PRODUCER]])</f>
        <v>Jean-Claude Bachelet</v>
      </c>
      <c r="C1842" s="1178" t="s">
        <v>21008</v>
      </c>
      <c r="D1842" s="1178" t="s">
        <v>897</v>
      </c>
      <c r="E1842" s="1179">
        <v>2021</v>
      </c>
      <c r="F1842" s="1282" t="s">
        <v>20220</v>
      </c>
      <c r="G1842" s="1368">
        <v>41.5</v>
      </c>
      <c r="H1842" s="1178" t="s">
        <v>20221</v>
      </c>
      <c r="I1842" s="1178" t="s">
        <v>6410</v>
      </c>
      <c r="J1842" s="1178" t="s">
        <v>662</v>
      </c>
      <c r="K1842" s="1178" t="s">
        <v>267</v>
      </c>
      <c r="L1842" s="1178" t="s">
        <v>242</v>
      </c>
      <c r="M1842" s="1369"/>
      <c r="N1842" s="1178"/>
      <c r="O1842" s="1178">
        <v>6</v>
      </c>
      <c r="P1842" s="1178">
        <v>13</v>
      </c>
    </row>
    <row r="1843" spans="1:16">
      <c r="A1843" s="1178" t="s">
        <v>245</v>
      </c>
      <c r="B1843" s="1371" t="str">
        <f>HYPERLINK(IFERROR("#Main_Tariff!A"&amp;MATCH(Raeburn_Main_Tariff[[#This Row],[Product Code]],Main_Tariff!I:I,0),"#Main_Tariff!A"&amp;MATCH("*"&amp;RIGHT(A1843,8)&amp;"*",Main_Tariff!A:A,0)),Raeburn_Main_Tariff[[#This Row],[PRODUCER]])</f>
        <v>Jean-Claude Bachelet</v>
      </c>
      <c r="C1843" s="1178" t="s">
        <v>21008</v>
      </c>
      <c r="D1843" s="1178" t="s">
        <v>897</v>
      </c>
      <c r="E1843" s="1179">
        <v>2020</v>
      </c>
      <c r="F1843" s="1282" t="s">
        <v>20220</v>
      </c>
      <c r="G1843" s="1368">
        <v>36.5</v>
      </c>
      <c r="H1843" s="1178" t="s">
        <v>20221</v>
      </c>
      <c r="I1843" s="1178" t="s">
        <v>6412</v>
      </c>
      <c r="J1843" s="1178" t="s">
        <v>662</v>
      </c>
      <c r="K1843" s="1178" t="s">
        <v>267</v>
      </c>
      <c r="L1843" s="1178" t="s">
        <v>242</v>
      </c>
      <c r="M1843" s="1369"/>
      <c r="N1843" s="1178"/>
      <c r="O1843" s="1178">
        <v>6</v>
      </c>
      <c r="P1843" s="1178">
        <v>13</v>
      </c>
    </row>
    <row r="1844" spans="1:16">
      <c r="A1844" s="1178" t="s">
        <v>245</v>
      </c>
      <c r="B1844" s="1371" t="str">
        <f>HYPERLINK(IFERROR("#Main_Tariff!A"&amp;MATCH(Raeburn_Main_Tariff[[#This Row],[Product Code]],Main_Tariff!I:I,0),"#Main_Tariff!A"&amp;MATCH("*"&amp;RIGHT(A1844,8)&amp;"*",Main_Tariff!A:A,0)),Raeburn_Main_Tariff[[#This Row],[PRODUCER]])</f>
        <v>Jean-Claude Bachelet</v>
      </c>
      <c r="C1844" s="1178" t="s">
        <v>21008</v>
      </c>
      <c r="D1844" s="1178" t="s">
        <v>897</v>
      </c>
      <c r="E1844" s="1179">
        <v>2019</v>
      </c>
      <c r="F1844" s="1282" t="s">
        <v>20220</v>
      </c>
      <c r="G1844" s="1368">
        <v>36.5</v>
      </c>
      <c r="H1844" s="1178" t="s">
        <v>20221</v>
      </c>
      <c r="I1844" s="1178" t="s">
        <v>6414</v>
      </c>
      <c r="J1844" s="1178" t="s">
        <v>662</v>
      </c>
      <c r="K1844" s="1178" t="s">
        <v>267</v>
      </c>
      <c r="L1844" s="1178" t="s">
        <v>242</v>
      </c>
      <c r="M1844" s="1369"/>
      <c r="N1844" s="1178"/>
      <c r="O1844" s="1178">
        <v>6</v>
      </c>
      <c r="P1844" s="1178">
        <v>13</v>
      </c>
    </row>
    <row r="1845" spans="1:16">
      <c r="A1845" s="1178" t="s">
        <v>245</v>
      </c>
      <c r="B1845" s="1371" t="str">
        <f>HYPERLINK(IFERROR("#Main_Tariff!A"&amp;MATCH(Raeburn_Main_Tariff[[#This Row],[Product Code]],Main_Tariff!I:I,0),"#Main_Tariff!A"&amp;MATCH("*"&amp;RIGHT(A1845,8)&amp;"*",Main_Tariff!A:A,0)),Raeburn_Main_Tariff[[#This Row],[PRODUCER]])</f>
        <v>Jean-Claude Bachelet</v>
      </c>
      <c r="C1845" s="1178" t="s">
        <v>21008</v>
      </c>
      <c r="D1845" s="1178" t="s">
        <v>897</v>
      </c>
      <c r="E1845" s="1179">
        <v>2018</v>
      </c>
      <c r="F1845" s="1282" t="s">
        <v>20220</v>
      </c>
      <c r="G1845" s="1368">
        <v>33.5</v>
      </c>
      <c r="H1845" s="1178" t="s">
        <v>20221</v>
      </c>
      <c r="I1845" s="1178" t="s">
        <v>6416</v>
      </c>
      <c r="J1845" s="1178" t="s">
        <v>662</v>
      </c>
      <c r="K1845" s="1178" t="s">
        <v>267</v>
      </c>
      <c r="L1845" s="1178" t="s">
        <v>242</v>
      </c>
      <c r="M1845" s="1369"/>
      <c r="N1845" s="1178"/>
      <c r="O1845" s="1178">
        <v>6</v>
      </c>
      <c r="P1845" s="1178">
        <v>13</v>
      </c>
    </row>
    <row r="1846" spans="1:16">
      <c r="A1846" s="1178" t="s">
        <v>245</v>
      </c>
      <c r="B1846" s="1371" t="str">
        <f>HYPERLINK(IFERROR("#Main_Tariff!A"&amp;MATCH(Raeburn_Main_Tariff[[#This Row],[Product Code]],Main_Tariff!I:I,0),"#Main_Tariff!A"&amp;MATCH("*"&amp;RIGHT(A1846,8)&amp;"*",Main_Tariff!A:A,0)),Raeburn_Main_Tariff[[#This Row],[PRODUCER]])</f>
        <v>Jean-Claude Bachelet</v>
      </c>
      <c r="C1846" s="1178" t="s">
        <v>21009</v>
      </c>
      <c r="D1846" s="1178" t="s">
        <v>897</v>
      </c>
      <c r="E1846" s="1179">
        <v>2017</v>
      </c>
      <c r="F1846" s="1282" t="s">
        <v>20220</v>
      </c>
      <c r="G1846" s="1368">
        <v>33.5</v>
      </c>
      <c r="H1846" s="1178" t="s">
        <v>20221</v>
      </c>
      <c r="I1846" s="1178" t="s">
        <v>6418</v>
      </c>
      <c r="J1846" s="1178" t="s">
        <v>662</v>
      </c>
      <c r="K1846" s="1178" t="s">
        <v>267</v>
      </c>
      <c r="L1846" s="1178" t="s">
        <v>242</v>
      </c>
      <c r="M1846" s="1369"/>
      <c r="N1846" s="1178"/>
      <c r="O1846" s="1178">
        <v>6</v>
      </c>
      <c r="P1846" s="1178">
        <v>13</v>
      </c>
    </row>
    <row r="1847" spans="1:16">
      <c r="A1847" s="1178" t="s">
        <v>245</v>
      </c>
      <c r="B1847" s="1371" t="str">
        <f>HYPERLINK(IFERROR("#Main_Tariff!A"&amp;MATCH(Raeburn_Main_Tariff[[#This Row],[Product Code]],Main_Tariff!I:I,0),"#Main_Tariff!A"&amp;MATCH("*"&amp;RIGHT(A1847,8)&amp;"*",Main_Tariff!A:A,0)),Raeburn_Main_Tariff[[#This Row],[PRODUCER]])</f>
        <v>Jean-Claude Bachelet</v>
      </c>
      <c r="C1847" s="1178" t="s">
        <v>21009</v>
      </c>
      <c r="D1847" s="1178" t="s">
        <v>897</v>
      </c>
      <c r="E1847" s="1179">
        <v>2016</v>
      </c>
      <c r="F1847" s="1282" t="s">
        <v>20220</v>
      </c>
      <c r="G1847" s="1368">
        <v>33.5</v>
      </c>
      <c r="H1847" s="1178" t="s">
        <v>20221</v>
      </c>
      <c r="I1847" s="1178" t="s">
        <v>6420</v>
      </c>
      <c r="J1847" s="1178" t="s">
        <v>662</v>
      </c>
      <c r="K1847" s="1178" t="s">
        <v>267</v>
      </c>
      <c r="L1847" s="1178" t="s">
        <v>242</v>
      </c>
      <c r="M1847" s="1369"/>
      <c r="N1847" s="1178"/>
      <c r="O1847" s="1178">
        <v>6</v>
      </c>
      <c r="P1847" s="1178">
        <v>13</v>
      </c>
    </row>
    <row r="1848" spans="1:16">
      <c r="A1848" s="1178" t="s">
        <v>245</v>
      </c>
      <c r="B1848" s="1371" t="str">
        <f>HYPERLINK(IFERROR("#Main_Tariff!A"&amp;MATCH(Raeburn_Main_Tariff[[#This Row],[Product Code]],Main_Tariff!I:I,0),"#Main_Tariff!A"&amp;MATCH("*"&amp;RIGHT(A1848,8)&amp;"*",Main_Tariff!A:A,0)),Raeburn_Main_Tariff[[#This Row],[PRODUCER]])</f>
        <v>Jean-Claude Bachelet</v>
      </c>
      <c r="C1848" s="1178" t="s">
        <v>21009</v>
      </c>
      <c r="D1848" s="1178" t="s">
        <v>897</v>
      </c>
      <c r="E1848" s="1179">
        <v>2015</v>
      </c>
      <c r="F1848" s="1282" t="s">
        <v>20220</v>
      </c>
      <c r="G1848" s="1368">
        <v>33.5</v>
      </c>
      <c r="H1848" s="1178" t="s">
        <v>20221</v>
      </c>
      <c r="I1848" s="1178" t="s">
        <v>6422</v>
      </c>
      <c r="J1848" s="1178" t="s">
        <v>662</v>
      </c>
      <c r="K1848" s="1178" t="s">
        <v>267</v>
      </c>
      <c r="L1848" s="1178" t="s">
        <v>242</v>
      </c>
      <c r="M1848" s="1369"/>
      <c r="N1848" s="1178"/>
      <c r="O1848" s="1178">
        <v>6</v>
      </c>
      <c r="P1848" s="1178">
        <v>13</v>
      </c>
    </row>
    <row r="1849" spans="1:16">
      <c r="A1849" s="1178" t="s">
        <v>245</v>
      </c>
      <c r="B1849" s="1371" t="str">
        <f>HYPERLINK(IFERROR("#Main_Tariff!A"&amp;MATCH(Raeburn_Main_Tariff[[#This Row],[Product Code]],Main_Tariff!I:I,0),"#Main_Tariff!A"&amp;MATCH("*"&amp;RIGHT(A1849,8)&amp;"*",Main_Tariff!A:A,0)),Raeburn_Main_Tariff[[#This Row],[PRODUCER]])</f>
        <v>Jean-Claude Bachelet</v>
      </c>
      <c r="C1849" s="1178" t="s">
        <v>21009</v>
      </c>
      <c r="D1849" s="1178" t="s">
        <v>897</v>
      </c>
      <c r="E1849" s="1179">
        <v>2014</v>
      </c>
      <c r="F1849" s="1282" t="s">
        <v>20220</v>
      </c>
      <c r="G1849" s="1368">
        <v>32</v>
      </c>
      <c r="H1849" s="1178" t="s">
        <v>20221</v>
      </c>
      <c r="I1849" s="1178" t="s">
        <v>6424</v>
      </c>
      <c r="J1849" s="1178" t="s">
        <v>662</v>
      </c>
      <c r="K1849" s="1178" t="s">
        <v>267</v>
      </c>
      <c r="L1849" s="1178" t="s">
        <v>242</v>
      </c>
      <c r="M1849" s="1369"/>
      <c r="N1849" s="1178"/>
      <c r="O1849" s="1178">
        <v>6</v>
      </c>
      <c r="P1849" s="1178">
        <v>13</v>
      </c>
    </row>
    <row r="1850" spans="1:16">
      <c r="A1850" s="1178" t="s">
        <v>245</v>
      </c>
      <c r="B1850" s="1371" t="str">
        <f>HYPERLINK(IFERROR("#Main_Tariff!A"&amp;MATCH(Raeburn_Main_Tariff[[#This Row],[Product Code]],Main_Tariff!I:I,0),"#Main_Tariff!A"&amp;MATCH("*"&amp;RIGHT(A1850,8)&amp;"*",Main_Tariff!A:A,0)),Raeburn_Main_Tariff[[#This Row],[PRODUCER]])</f>
        <v>Jean-Claude Bachelet</v>
      </c>
      <c r="C1850" s="1178" t="s">
        <v>21010</v>
      </c>
      <c r="D1850" s="1178" t="s">
        <v>897</v>
      </c>
      <c r="E1850" s="1179">
        <v>2020</v>
      </c>
      <c r="F1850" s="1282" t="s">
        <v>20288</v>
      </c>
      <c r="G1850" s="1368">
        <v>157</v>
      </c>
      <c r="H1850" s="1178" t="s">
        <v>20224</v>
      </c>
      <c r="I1850" s="1178" t="s">
        <v>6428</v>
      </c>
      <c r="J1850" s="1178" t="s">
        <v>662</v>
      </c>
      <c r="K1850" s="1178" t="s">
        <v>267</v>
      </c>
      <c r="L1850" s="1178" t="s">
        <v>242</v>
      </c>
      <c r="M1850" s="1369" t="s">
        <v>23297</v>
      </c>
      <c r="N1850" s="1178"/>
      <c r="O1850" s="1178">
        <v>1</v>
      </c>
      <c r="P1850" s="1178">
        <v>13</v>
      </c>
    </row>
    <row r="1851" spans="1:16">
      <c r="A1851" s="1178" t="s">
        <v>245</v>
      </c>
      <c r="B1851" s="1371" t="str">
        <f>HYPERLINK(IFERROR("#Main_Tariff!A"&amp;MATCH(Raeburn_Main_Tariff[[#This Row],[Product Code]],Main_Tariff!I:I,0),"#Main_Tariff!A"&amp;MATCH("*"&amp;RIGHT(A1851,8)&amp;"*",Main_Tariff!A:A,0)),Raeburn_Main_Tariff[[#This Row],[PRODUCER]])</f>
        <v>Jean-Claude Bachelet</v>
      </c>
      <c r="C1851" s="1178" t="s">
        <v>21011</v>
      </c>
      <c r="D1851" s="1178" t="s">
        <v>897</v>
      </c>
      <c r="E1851" s="1179">
        <v>2014</v>
      </c>
      <c r="F1851" s="1282" t="s">
        <v>20240</v>
      </c>
      <c r="G1851" s="1368">
        <v>56</v>
      </c>
      <c r="H1851" s="1178" t="s">
        <v>20224</v>
      </c>
      <c r="I1851" s="1178" t="s">
        <v>6430</v>
      </c>
      <c r="J1851" s="1178" t="s">
        <v>662</v>
      </c>
      <c r="K1851" s="1178" t="s">
        <v>267</v>
      </c>
      <c r="L1851" s="1178" t="s">
        <v>242</v>
      </c>
      <c r="M1851" s="1369" t="s">
        <v>23297</v>
      </c>
      <c r="N1851" s="1178"/>
      <c r="O1851" s="1178">
        <v>6</v>
      </c>
      <c r="P1851" s="1178">
        <v>13</v>
      </c>
    </row>
    <row r="1852" spans="1:16">
      <c r="A1852" s="1178" t="s">
        <v>245</v>
      </c>
      <c r="B1852" s="1371" t="str">
        <f>HYPERLINK(IFERROR("#Main_Tariff!A"&amp;MATCH(Raeburn_Main_Tariff[[#This Row],[Product Code]],Main_Tariff!I:I,0),"#Main_Tariff!A"&amp;MATCH("*"&amp;RIGHT(A1852,8)&amp;"*",Main_Tariff!A:A,0)),Raeburn_Main_Tariff[[#This Row],[PRODUCER]])</f>
        <v>Jean-Claude Bachelet</v>
      </c>
      <c r="C1852" s="1178" t="s">
        <v>21012</v>
      </c>
      <c r="D1852" s="1178" t="s">
        <v>897</v>
      </c>
      <c r="E1852" s="1179">
        <v>2015</v>
      </c>
      <c r="F1852" s="1282" t="s">
        <v>20240</v>
      </c>
      <c r="G1852" s="1368">
        <v>69</v>
      </c>
      <c r="H1852" s="1178" t="s">
        <v>20221</v>
      </c>
      <c r="I1852" s="1178" t="s">
        <v>6431</v>
      </c>
      <c r="J1852" s="1178" t="s">
        <v>662</v>
      </c>
      <c r="K1852" s="1178" t="s">
        <v>267</v>
      </c>
      <c r="L1852" s="1178" t="s">
        <v>242</v>
      </c>
      <c r="M1852" s="1369"/>
      <c r="N1852" s="1178"/>
      <c r="O1852" s="1178">
        <v>6</v>
      </c>
      <c r="P1852" s="1178">
        <v>13</v>
      </c>
    </row>
    <row r="1853" spans="1:16">
      <c r="A1853" s="1178" t="s">
        <v>245</v>
      </c>
      <c r="B1853" s="1371" t="str">
        <f>HYPERLINK(IFERROR("#Main_Tariff!A"&amp;MATCH(Raeburn_Main_Tariff[[#This Row],[Product Code]],Main_Tariff!I:I,0),"#Main_Tariff!A"&amp;MATCH("*"&amp;RIGHT(A1853,8)&amp;"*",Main_Tariff!A:A,0)),Raeburn_Main_Tariff[[#This Row],[PRODUCER]])</f>
        <v>Jean-Claude Bachelet</v>
      </c>
      <c r="C1853" s="1178" t="s">
        <v>21012</v>
      </c>
      <c r="D1853" s="1178" t="s">
        <v>897</v>
      </c>
      <c r="E1853" s="1179">
        <v>2014</v>
      </c>
      <c r="F1853" s="1282" t="s">
        <v>20240</v>
      </c>
      <c r="G1853" s="1368">
        <v>66</v>
      </c>
      <c r="H1853" s="1178" t="s">
        <v>20221</v>
      </c>
      <c r="I1853" s="1178" t="s">
        <v>6432</v>
      </c>
      <c r="J1853" s="1178" t="s">
        <v>662</v>
      </c>
      <c r="K1853" s="1178" t="s">
        <v>267</v>
      </c>
      <c r="L1853" s="1178" t="s">
        <v>242</v>
      </c>
      <c r="M1853" s="1369"/>
      <c r="N1853" s="1178"/>
      <c r="O1853" s="1178">
        <v>6</v>
      </c>
      <c r="P1853" s="1178">
        <v>13</v>
      </c>
    </row>
    <row r="1854" spans="1:16">
      <c r="A1854" s="1178" t="s">
        <v>245</v>
      </c>
      <c r="B1854" s="1371" t="str">
        <f>HYPERLINK(IFERROR("#Main_Tariff!A"&amp;MATCH(Raeburn_Main_Tariff[[#This Row],[Product Code]],Main_Tariff!I:I,0),"#Main_Tariff!A"&amp;MATCH("*"&amp;RIGHT(A1854,8)&amp;"*",Main_Tariff!A:A,0)),Raeburn_Main_Tariff[[#This Row],[PRODUCER]])</f>
        <v>Jean-Claude Bachelet</v>
      </c>
      <c r="C1854" s="1178" t="s">
        <v>21012</v>
      </c>
      <c r="D1854" s="1178" t="s">
        <v>897</v>
      </c>
      <c r="E1854" s="1179">
        <v>2013</v>
      </c>
      <c r="F1854" s="1282" t="s">
        <v>20240</v>
      </c>
      <c r="G1854" s="1368">
        <v>66</v>
      </c>
      <c r="H1854" s="1178" t="s">
        <v>20221</v>
      </c>
      <c r="I1854" s="1178" t="s">
        <v>6433</v>
      </c>
      <c r="J1854" s="1178" t="s">
        <v>662</v>
      </c>
      <c r="K1854" s="1178" t="s">
        <v>267</v>
      </c>
      <c r="L1854" s="1178" t="s">
        <v>242</v>
      </c>
      <c r="M1854" s="1369"/>
      <c r="N1854" s="1178"/>
      <c r="O1854" s="1178">
        <v>6</v>
      </c>
      <c r="P1854" s="1178">
        <v>13</v>
      </c>
    </row>
    <row r="1855" spans="1:16">
      <c r="A1855" s="1178" t="s">
        <v>245</v>
      </c>
      <c r="B1855" s="1371" t="str">
        <f>HYPERLINK(IFERROR("#Main_Tariff!A"&amp;MATCH(Raeburn_Main_Tariff[[#This Row],[Product Code]],Main_Tariff!I:I,0),"#Main_Tariff!A"&amp;MATCH("*"&amp;RIGHT(A1855,8)&amp;"*",Main_Tariff!A:A,0)),Raeburn_Main_Tariff[[#This Row],[PRODUCER]])</f>
        <v>Jean-Claude Bachelet</v>
      </c>
      <c r="C1855" s="1178" t="s">
        <v>21013</v>
      </c>
      <c r="D1855" s="1178" t="s">
        <v>1129</v>
      </c>
      <c r="E1855" s="1179">
        <v>2022</v>
      </c>
      <c r="F1855" s="1282" t="s">
        <v>20220</v>
      </c>
      <c r="G1855" s="1368">
        <v>59.5</v>
      </c>
      <c r="H1855" s="1178" t="s">
        <v>20221</v>
      </c>
      <c r="I1855" s="1178" t="s">
        <v>6434</v>
      </c>
      <c r="J1855" s="1178" t="s">
        <v>662</v>
      </c>
      <c r="K1855" s="1178" t="s">
        <v>267</v>
      </c>
      <c r="L1855" s="1178" t="s">
        <v>242</v>
      </c>
      <c r="M1855" s="1369"/>
      <c r="N1855" s="1178"/>
      <c r="O1855" s="1178">
        <v>6</v>
      </c>
      <c r="P1855" s="1178">
        <v>13</v>
      </c>
    </row>
    <row r="1856" spans="1:16">
      <c r="A1856" s="1178" t="s">
        <v>245</v>
      </c>
      <c r="B1856" s="1371" t="str">
        <f>HYPERLINK(IFERROR("#Main_Tariff!A"&amp;MATCH(Raeburn_Main_Tariff[[#This Row],[Product Code]],Main_Tariff!I:I,0),"#Main_Tariff!A"&amp;MATCH("*"&amp;RIGHT(A1856,8)&amp;"*",Main_Tariff!A:A,0)),Raeburn_Main_Tariff[[#This Row],[PRODUCER]])</f>
        <v>Jean-Claude Bachelet</v>
      </c>
      <c r="C1856" s="1178" t="s">
        <v>21014</v>
      </c>
      <c r="D1856" s="1178" t="s">
        <v>1129</v>
      </c>
      <c r="E1856" s="1179">
        <v>2022</v>
      </c>
      <c r="F1856" s="1282" t="s">
        <v>20220</v>
      </c>
      <c r="G1856" s="1368">
        <v>49</v>
      </c>
      <c r="H1856" s="1178" t="s">
        <v>20221</v>
      </c>
      <c r="I1856" s="1178" t="s">
        <v>6436</v>
      </c>
      <c r="J1856" s="1178" t="s">
        <v>662</v>
      </c>
      <c r="K1856" s="1178" t="s">
        <v>267</v>
      </c>
      <c r="L1856" s="1178" t="s">
        <v>242</v>
      </c>
      <c r="M1856" s="1369" t="s">
        <v>23297</v>
      </c>
      <c r="N1856" s="1178"/>
      <c r="O1856" s="1178">
        <v>6</v>
      </c>
      <c r="P1856" s="1178">
        <v>13.5</v>
      </c>
    </row>
    <row r="1857" spans="1:16">
      <c r="A1857" s="1178" t="s">
        <v>245</v>
      </c>
      <c r="B1857" s="1371" t="str">
        <f>HYPERLINK(IFERROR("#Main_Tariff!A"&amp;MATCH(Raeburn_Main_Tariff[[#This Row],[Product Code]],Main_Tariff!I:I,0),"#Main_Tariff!A"&amp;MATCH("*"&amp;RIGHT(A1857,8)&amp;"*",Main_Tariff!A:A,0)),Raeburn_Main_Tariff[[#This Row],[PRODUCER]])</f>
        <v>Jean-Claude Bachelet</v>
      </c>
      <c r="C1857" s="1178" t="s">
        <v>21014</v>
      </c>
      <c r="D1857" s="1178" t="s">
        <v>1129</v>
      </c>
      <c r="E1857" s="1179">
        <v>2020</v>
      </c>
      <c r="F1857" s="1282" t="s">
        <v>20220</v>
      </c>
      <c r="G1857" s="1368">
        <v>46.5</v>
      </c>
      <c r="H1857" s="1178" t="s">
        <v>20221</v>
      </c>
      <c r="I1857" s="1178" t="s">
        <v>6437</v>
      </c>
      <c r="J1857" s="1178" t="s">
        <v>662</v>
      </c>
      <c r="K1857" s="1178" t="s">
        <v>267</v>
      </c>
      <c r="L1857" s="1178" t="s">
        <v>242</v>
      </c>
      <c r="M1857" s="1369" t="s">
        <v>23297</v>
      </c>
      <c r="N1857" s="1178"/>
      <c r="O1857" s="1178">
        <v>6</v>
      </c>
      <c r="P1857" s="1178">
        <v>13.5</v>
      </c>
    </row>
    <row r="1858" spans="1:16">
      <c r="A1858" s="1178" t="s">
        <v>245</v>
      </c>
      <c r="B1858" s="1371" t="str">
        <f>HYPERLINK(IFERROR("#Main_Tariff!A"&amp;MATCH(Raeburn_Main_Tariff[[#This Row],[Product Code]],Main_Tariff!I:I,0),"#Main_Tariff!A"&amp;MATCH("*"&amp;RIGHT(A1858,8)&amp;"*",Main_Tariff!A:A,0)),Raeburn_Main_Tariff[[#This Row],[PRODUCER]])</f>
        <v>Jean-Claude Bachelet</v>
      </c>
      <c r="C1858" s="1178" t="s">
        <v>21015</v>
      </c>
      <c r="D1858" s="1178" t="s">
        <v>1129</v>
      </c>
      <c r="E1858" s="1179">
        <v>2022</v>
      </c>
      <c r="F1858" s="1282" t="s">
        <v>20220</v>
      </c>
      <c r="G1858" s="1368">
        <v>49</v>
      </c>
      <c r="H1858" s="1178" t="s">
        <v>20221</v>
      </c>
      <c r="I1858" s="1178" t="s">
        <v>6438</v>
      </c>
      <c r="J1858" s="1178" t="s">
        <v>662</v>
      </c>
      <c r="K1858" s="1178" t="s">
        <v>267</v>
      </c>
      <c r="L1858" s="1178" t="s">
        <v>242</v>
      </c>
      <c r="M1858" s="1369" t="s">
        <v>23297</v>
      </c>
      <c r="N1858" s="1178"/>
      <c r="O1858" s="1178">
        <v>6</v>
      </c>
      <c r="P1858" s="1178">
        <v>13</v>
      </c>
    </row>
    <row r="1859" spans="1:16">
      <c r="A1859" s="1178" t="s">
        <v>246</v>
      </c>
      <c r="B1859" s="1371" t="str">
        <f>HYPERLINK(IFERROR("#Main_Tariff!A"&amp;MATCH(Raeburn_Main_Tariff[[#This Row],[Product Code]],Main_Tariff!I:I,0),"#Main_Tariff!A"&amp;MATCH("*"&amp;RIGHT(A1859,8)&amp;"*",Main_Tariff!A:A,0)),Raeburn_Main_Tariff[[#This Row],[PRODUCER]])</f>
        <v>Henri Boillot</v>
      </c>
      <c r="C1859" s="1178" t="s">
        <v>6176</v>
      </c>
      <c r="D1859" s="1178" t="s">
        <v>897</v>
      </c>
      <c r="E1859" s="1179">
        <v>2015</v>
      </c>
      <c r="F1859" s="1282" t="s">
        <v>20220</v>
      </c>
      <c r="G1859" s="1368">
        <v>25.5</v>
      </c>
      <c r="H1859" s="1178" t="s">
        <v>20224</v>
      </c>
      <c r="I1859" s="1178" t="s">
        <v>6441</v>
      </c>
      <c r="J1859" s="1178" t="s">
        <v>662</v>
      </c>
      <c r="K1859" s="1178" t="s">
        <v>267</v>
      </c>
      <c r="L1859" s="1178" t="s">
        <v>242</v>
      </c>
      <c r="M1859" s="1369"/>
      <c r="N1859" s="1178"/>
      <c r="O1859" s="1178">
        <v>6</v>
      </c>
      <c r="P1859" s="1178">
        <v>13</v>
      </c>
    </row>
    <row r="1860" spans="1:16">
      <c r="A1860" s="1178" t="s">
        <v>246</v>
      </c>
      <c r="B1860" s="1371" t="str">
        <f>HYPERLINK(IFERROR("#Main_Tariff!A"&amp;MATCH(Raeburn_Main_Tariff[[#This Row],[Product Code]],Main_Tariff!I:I,0),"#Main_Tariff!A"&amp;MATCH("*"&amp;RIGHT(A1860,8)&amp;"*",Main_Tariff!A:A,0)),Raeburn_Main_Tariff[[#This Row],[PRODUCER]])</f>
        <v>Henri Boillot</v>
      </c>
      <c r="C1860" s="1178" t="s">
        <v>6176</v>
      </c>
      <c r="D1860" s="1178" t="s">
        <v>897</v>
      </c>
      <c r="E1860" s="1179">
        <v>2014</v>
      </c>
      <c r="F1860" s="1282" t="s">
        <v>20220</v>
      </c>
      <c r="G1860" s="1368">
        <v>23.5</v>
      </c>
      <c r="H1860" s="1178" t="s">
        <v>20224</v>
      </c>
      <c r="I1860" s="1178" t="s">
        <v>6443</v>
      </c>
      <c r="J1860" s="1178" t="s">
        <v>662</v>
      </c>
      <c r="K1860" s="1178" t="s">
        <v>267</v>
      </c>
      <c r="L1860" s="1178" t="s">
        <v>242</v>
      </c>
      <c r="M1860" s="1369"/>
      <c r="N1860" s="1178"/>
      <c r="O1860" s="1178">
        <v>6</v>
      </c>
      <c r="P1860" s="1178">
        <v>13</v>
      </c>
    </row>
    <row r="1861" spans="1:16">
      <c r="A1861" s="1178" t="s">
        <v>246</v>
      </c>
      <c r="B1861" s="1371" t="str">
        <f>HYPERLINK(IFERROR("#Main_Tariff!A"&amp;MATCH(Raeburn_Main_Tariff[[#This Row],[Product Code]],Main_Tariff!I:I,0),"#Main_Tariff!A"&amp;MATCH("*"&amp;RIGHT(A1861,8)&amp;"*",Main_Tariff!A:A,0)),Raeburn_Main_Tariff[[#This Row],[PRODUCER]])</f>
        <v>Henri Boillot</v>
      </c>
      <c r="C1861" s="1178" t="s">
        <v>21016</v>
      </c>
      <c r="D1861" s="1178" t="s">
        <v>897</v>
      </c>
      <c r="E1861" s="1179">
        <v>2012</v>
      </c>
      <c r="F1861" s="1282" t="s">
        <v>20220</v>
      </c>
      <c r="G1861" s="1368">
        <v>43</v>
      </c>
      <c r="H1861" s="1178" t="s">
        <v>20224</v>
      </c>
      <c r="I1861" s="1178" t="s">
        <v>6447</v>
      </c>
      <c r="J1861" s="1178" t="s">
        <v>662</v>
      </c>
      <c r="K1861" s="1178" t="s">
        <v>267</v>
      </c>
      <c r="L1861" s="1178" t="s">
        <v>242</v>
      </c>
      <c r="M1861" s="1369" t="s">
        <v>23297</v>
      </c>
      <c r="N1861" s="1178"/>
      <c r="O1861" s="1178">
        <v>6</v>
      </c>
      <c r="P1861" s="1178">
        <v>15</v>
      </c>
    </row>
    <row r="1862" spans="1:16">
      <c r="A1862" s="1178" t="s">
        <v>246</v>
      </c>
      <c r="B1862" s="1371" t="str">
        <f>HYPERLINK(IFERROR("#Main_Tariff!A"&amp;MATCH(Raeburn_Main_Tariff[[#This Row],[Product Code]],Main_Tariff!I:I,0),"#Main_Tariff!A"&amp;MATCH("*"&amp;RIGHT(A1862,8)&amp;"*",Main_Tariff!A:A,0)),Raeburn_Main_Tariff[[#This Row],[PRODUCER]])</f>
        <v>Henri Boillot</v>
      </c>
      <c r="C1862" s="1178" t="s">
        <v>21016</v>
      </c>
      <c r="D1862" s="1178" t="s">
        <v>897</v>
      </c>
      <c r="E1862" s="1179">
        <v>2011</v>
      </c>
      <c r="F1862" s="1282" t="s">
        <v>20220</v>
      </c>
      <c r="G1862" s="1368">
        <v>39</v>
      </c>
      <c r="H1862" s="1178" t="s">
        <v>20224</v>
      </c>
      <c r="I1862" s="1178" t="s">
        <v>6449</v>
      </c>
      <c r="J1862" s="1178" t="s">
        <v>662</v>
      </c>
      <c r="K1862" s="1178" t="s">
        <v>267</v>
      </c>
      <c r="L1862" s="1178" t="s">
        <v>242</v>
      </c>
      <c r="M1862" s="1369" t="s">
        <v>23297</v>
      </c>
      <c r="N1862" s="1178"/>
      <c r="O1862" s="1178">
        <v>6</v>
      </c>
      <c r="P1862" s="1178">
        <v>13</v>
      </c>
    </row>
    <row r="1863" spans="1:16">
      <c r="A1863" s="1178" t="s">
        <v>246</v>
      </c>
      <c r="B1863" s="1371" t="str">
        <f>HYPERLINK(IFERROR("#Main_Tariff!A"&amp;MATCH(Raeburn_Main_Tariff[[#This Row],[Product Code]],Main_Tariff!I:I,0),"#Main_Tariff!A"&amp;MATCH("*"&amp;RIGHT(A1863,8)&amp;"*",Main_Tariff!A:A,0)),Raeburn_Main_Tariff[[#This Row],[PRODUCER]])</f>
        <v>Henri Boillot</v>
      </c>
      <c r="C1863" s="1178" t="s">
        <v>18810</v>
      </c>
      <c r="D1863" s="1178" t="s">
        <v>897</v>
      </c>
      <c r="E1863" s="1179">
        <v>2009</v>
      </c>
      <c r="F1863" s="1282" t="s">
        <v>20220</v>
      </c>
      <c r="G1863" s="1368">
        <v>39.5</v>
      </c>
      <c r="H1863" s="1178" t="s">
        <v>20224</v>
      </c>
      <c r="I1863" s="1178" t="s">
        <v>6451</v>
      </c>
      <c r="J1863" s="1178" t="s">
        <v>662</v>
      </c>
      <c r="K1863" s="1178" t="s">
        <v>267</v>
      </c>
      <c r="L1863" s="1178" t="s">
        <v>242</v>
      </c>
      <c r="M1863" s="1369"/>
      <c r="N1863" s="1178"/>
      <c r="O1863" s="1178">
        <v>6</v>
      </c>
      <c r="P1863" s="1178">
        <v>12.5</v>
      </c>
    </row>
    <row r="1864" spans="1:16">
      <c r="A1864" s="1178" t="s">
        <v>246</v>
      </c>
      <c r="B1864" s="1371" t="str">
        <f>HYPERLINK(IFERROR("#Main_Tariff!A"&amp;MATCH(Raeburn_Main_Tariff[[#This Row],[Product Code]],Main_Tariff!I:I,0),"#Main_Tariff!A"&amp;MATCH("*"&amp;RIGHT(A1864,8)&amp;"*",Main_Tariff!A:A,0)),Raeburn_Main_Tariff[[#This Row],[PRODUCER]])</f>
        <v>Henri Boillot</v>
      </c>
      <c r="C1864" s="1178" t="s">
        <v>21017</v>
      </c>
      <c r="D1864" s="1178" t="s">
        <v>897</v>
      </c>
      <c r="E1864" s="1179">
        <v>2022</v>
      </c>
      <c r="F1864" s="1282" t="s">
        <v>20220</v>
      </c>
      <c r="G1864" s="1368">
        <v>66</v>
      </c>
      <c r="H1864" s="1178" t="s">
        <v>20221</v>
      </c>
      <c r="I1864" s="1178" t="s">
        <v>6453</v>
      </c>
      <c r="J1864" s="1178" t="s">
        <v>662</v>
      </c>
      <c r="K1864" s="1178" t="s">
        <v>267</v>
      </c>
      <c r="L1864" s="1178" t="s">
        <v>242</v>
      </c>
      <c r="M1864" s="1369" t="s">
        <v>23297</v>
      </c>
      <c r="N1864" s="1178"/>
      <c r="O1864" s="1178">
        <v>6</v>
      </c>
      <c r="P1864" s="1178">
        <v>13.5</v>
      </c>
    </row>
    <row r="1865" spans="1:16">
      <c r="A1865" s="1178" t="s">
        <v>246</v>
      </c>
      <c r="B1865" s="1371" t="str">
        <f>HYPERLINK(IFERROR("#Main_Tariff!A"&amp;MATCH(Raeburn_Main_Tariff[[#This Row],[Product Code]],Main_Tariff!I:I,0),"#Main_Tariff!A"&amp;MATCH("*"&amp;RIGHT(A1865,8)&amp;"*",Main_Tariff!A:A,0)),Raeburn_Main_Tariff[[#This Row],[PRODUCER]])</f>
        <v>Henri Boillot</v>
      </c>
      <c r="C1865" s="1178" t="s">
        <v>21017</v>
      </c>
      <c r="D1865" s="1178" t="s">
        <v>897</v>
      </c>
      <c r="E1865" s="1179">
        <v>2019</v>
      </c>
      <c r="F1865" s="1282" t="s">
        <v>20220</v>
      </c>
      <c r="G1865" s="1368">
        <v>65</v>
      </c>
      <c r="H1865" s="1178" t="s">
        <v>20224</v>
      </c>
      <c r="I1865" s="1178" t="s">
        <v>6455</v>
      </c>
      <c r="J1865" s="1178" t="s">
        <v>662</v>
      </c>
      <c r="K1865" s="1178" t="s">
        <v>267</v>
      </c>
      <c r="L1865" s="1178" t="s">
        <v>242</v>
      </c>
      <c r="M1865" s="1369" t="s">
        <v>23297</v>
      </c>
      <c r="N1865" s="1178"/>
      <c r="O1865" s="1178">
        <v>6</v>
      </c>
      <c r="P1865" s="1178">
        <v>14.5</v>
      </c>
    </row>
    <row r="1866" spans="1:16">
      <c r="A1866" s="1178" t="s">
        <v>246</v>
      </c>
      <c r="B1866" s="1371" t="str">
        <f>HYPERLINK(IFERROR("#Main_Tariff!A"&amp;MATCH(Raeburn_Main_Tariff[[#This Row],[Product Code]],Main_Tariff!I:I,0),"#Main_Tariff!A"&amp;MATCH("*"&amp;RIGHT(A1866,8)&amp;"*",Main_Tariff!A:A,0)),Raeburn_Main_Tariff[[#This Row],[PRODUCER]])</f>
        <v>Henri Boillot</v>
      </c>
      <c r="C1866" s="1178" t="s">
        <v>21018</v>
      </c>
      <c r="D1866" s="1178" t="s">
        <v>897</v>
      </c>
      <c r="E1866" s="1179">
        <v>2018</v>
      </c>
      <c r="F1866" s="1282" t="s">
        <v>20220</v>
      </c>
      <c r="G1866" s="1368">
        <v>75</v>
      </c>
      <c r="H1866" s="1178" t="s">
        <v>20224</v>
      </c>
      <c r="I1866" s="1178" t="s">
        <v>6456</v>
      </c>
      <c r="J1866" s="1178" t="s">
        <v>662</v>
      </c>
      <c r="K1866" s="1178" t="s">
        <v>267</v>
      </c>
      <c r="L1866" s="1178" t="s">
        <v>242</v>
      </c>
      <c r="M1866" s="1369" t="s">
        <v>23297</v>
      </c>
      <c r="N1866" s="1178"/>
      <c r="O1866" s="1178">
        <v>6</v>
      </c>
      <c r="P1866" s="1178">
        <v>13</v>
      </c>
    </row>
    <row r="1867" spans="1:16">
      <c r="A1867" s="1178" t="s">
        <v>246</v>
      </c>
      <c r="B1867" s="1371" t="str">
        <f>HYPERLINK(IFERROR("#Main_Tariff!A"&amp;MATCH(Raeburn_Main_Tariff[[#This Row],[Product Code]],Main_Tariff!I:I,0),"#Main_Tariff!A"&amp;MATCH("*"&amp;RIGHT(A1867,8)&amp;"*",Main_Tariff!A:A,0)),Raeburn_Main_Tariff[[#This Row],[PRODUCER]])</f>
        <v>Henri Boillot</v>
      </c>
      <c r="C1867" s="1178" t="s">
        <v>21019</v>
      </c>
      <c r="D1867" s="1178" t="s">
        <v>897</v>
      </c>
      <c r="E1867" s="1179">
        <v>2022</v>
      </c>
      <c r="F1867" s="1282" t="s">
        <v>20220</v>
      </c>
      <c r="G1867" s="1368">
        <v>66</v>
      </c>
      <c r="H1867" s="1178" t="s">
        <v>20224</v>
      </c>
      <c r="I1867" s="1178" t="s">
        <v>6460</v>
      </c>
      <c r="J1867" s="1178" t="s">
        <v>662</v>
      </c>
      <c r="K1867" s="1178" t="s">
        <v>267</v>
      </c>
      <c r="L1867" s="1178" t="s">
        <v>242</v>
      </c>
      <c r="M1867" s="1369" t="s">
        <v>23297</v>
      </c>
      <c r="N1867" s="1178"/>
      <c r="O1867" s="1178">
        <v>6</v>
      </c>
      <c r="P1867" s="1178">
        <v>13.5</v>
      </c>
    </row>
    <row r="1868" spans="1:16">
      <c r="A1868" s="1178" t="s">
        <v>246</v>
      </c>
      <c r="B1868" s="1371" t="str">
        <f>HYPERLINK(IFERROR("#Main_Tariff!A"&amp;MATCH(Raeburn_Main_Tariff[[#This Row],[Product Code]],Main_Tariff!I:I,0),"#Main_Tariff!A"&amp;MATCH("*"&amp;RIGHT(A1868,8)&amp;"*",Main_Tariff!A:A,0)),Raeburn_Main_Tariff[[#This Row],[PRODUCER]])</f>
        <v>Henri Boillot</v>
      </c>
      <c r="C1868" s="1178" t="s">
        <v>21019</v>
      </c>
      <c r="D1868" s="1178" t="s">
        <v>897</v>
      </c>
      <c r="E1868" s="1179">
        <v>2018</v>
      </c>
      <c r="F1868" s="1282" t="s">
        <v>20220</v>
      </c>
      <c r="G1868" s="1368">
        <v>66</v>
      </c>
      <c r="H1868" s="1178" t="s">
        <v>20221</v>
      </c>
      <c r="I1868" s="1178" t="s">
        <v>6462</v>
      </c>
      <c r="J1868" s="1178" t="s">
        <v>662</v>
      </c>
      <c r="K1868" s="1178" t="s">
        <v>267</v>
      </c>
      <c r="L1868" s="1178" t="s">
        <v>242</v>
      </c>
      <c r="M1868" s="1369" t="s">
        <v>23297</v>
      </c>
      <c r="N1868" s="1178"/>
      <c r="O1868" s="1178">
        <v>6</v>
      </c>
      <c r="P1868" s="1178">
        <v>14</v>
      </c>
    </row>
    <row r="1869" spans="1:16">
      <c r="A1869" s="1178" t="s">
        <v>246</v>
      </c>
      <c r="B1869" s="1371" t="str">
        <f>HYPERLINK(IFERROR("#Main_Tariff!A"&amp;MATCH(Raeburn_Main_Tariff[[#This Row],[Product Code]],Main_Tariff!I:I,0),"#Main_Tariff!A"&amp;MATCH("*"&amp;RIGHT(A1869,8)&amp;"*",Main_Tariff!A:A,0)),Raeburn_Main_Tariff[[#This Row],[PRODUCER]])</f>
        <v>Henri Boillot</v>
      </c>
      <c r="C1869" s="1178" t="s">
        <v>21019</v>
      </c>
      <c r="D1869" s="1178" t="s">
        <v>897</v>
      </c>
      <c r="E1869" s="1179">
        <v>2017</v>
      </c>
      <c r="F1869" s="1282" t="s">
        <v>20220</v>
      </c>
      <c r="G1869" s="1368">
        <v>66</v>
      </c>
      <c r="H1869" s="1178" t="s">
        <v>20221</v>
      </c>
      <c r="I1869" s="1178" t="s">
        <v>6464</v>
      </c>
      <c r="J1869" s="1178" t="s">
        <v>662</v>
      </c>
      <c r="K1869" s="1178" t="s">
        <v>267</v>
      </c>
      <c r="L1869" s="1178" t="s">
        <v>242</v>
      </c>
      <c r="M1869" s="1369" t="s">
        <v>23297</v>
      </c>
      <c r="N1869" s="1178"/>
      <c r="O1869" s="1178">
        <v>6</v>
      </c>
      <c r="P1869" s="1178">
        <v>13</v>
      </c>
    </row>
    <row r="1870" spans="1:16">
      <c r="A1870" s="1178" t="s">
        <v>246</v>
      </c>
      <c r="B1870" s="1371" t="str">
        <f>HYPERLINK(IFERROR("#Main_Tariff!A"&amp;MATCH(Raeburn_Main_Tariff[[#This Row],[Product Code]],Main_Tariff!I:I,0),"#Main_Tariff!A"&amp;MATCH("*"&amp;RIGHT(A1870,8)&amp;"*",Main_Tariff!A:A,0)),Raeburn_Main_Tariff[[#This Row],[PRODUCER]])</f>
        <v>Henri Boillot</v>
      </c>
      <c r="C1870" s="1178" t="s">
        <v>21019</v>
      </c>
      <c r="D1870" s="1178" t="s">
        <v>897</v>
      </c>
      <c r="E1870" s="1179">
        <v>2015</v>
      </c>
      <c r="F1870" s="1282" t="s">
        <v>20220</v>
      </c>
      <c r="G1870" s="1368">
        <v>66</v>
      </c>
      <c r="H1870" s="1178" t="s">
        <v>20224</v>
      </c>
      <c r="I1870" s="1178" t="s">
        <v>6465</v>
      </c>
      <c r="J1870" s="1178" t="s">
        <v>662</v>
      </c>
      <c r="K1870" s="1178" t="s">
        <v>267</v>
      </c>
      <c r="L1870" s="1178" t="s">
        <v>242</v>
      </c>
      <c r="M1870" s="1369" t="s">
        <v>23297</v>
      </c>
      <c r="N1870" s="1178"/>
      <c r="O1870" s="1178">
        <v>6</v>
      </c>
      <c r="P1870" s="1178">
        <v>13</v>
      </c>
    </row>
    <row r="1871" spans="1:16">
      <c r="A1871" s="1178" t="s">
        <v>246</v>
      </c>
      <c r="B1871" s="1371" t="str">
        <f>HYPERLINK(IFERROR("#Main_Tariff!A"&amp;MATCH(Raeburn_Main_Tariff[[#This Row],[Product Code]],Main_Tariff!I:I,0),"#Main_Tariff!A"&amp;MATCH("*"&amp;RIGHT(A1871,8)&amp;"*",Main_Tariff!A:A,0)),Raeburn_Main_Tariff[[#This Row],[PRODUCER]])</f>
        <v>Henri Boillot</v>
      </c>
      <c r="C1871" s="1178" t="s">
        <v>21019</v>
      </c>
      <c r="D1871" s="1178" t="s">
        <v>897</v>
      </c>
      <c r="E1871" s="1179">
        <v>2014</v>
      </c>
      <c r="F1871" s="1282" t="s">
        <v>20220</v>
      </c>
      <c r="G1871" s="1368">
        <v>58</v>
      </c>
      <c r="H1871" s="1178" t="s">
        <v>20224</v>
      </c>
      <c r="I1871" s="1178" t="s">
        <v>6467</v>
      </c>
      <c r="J1871" s="1178" t="s">
        <v>662</v>
      </c>
      <c r="K1871" s="1178" t="s">
        <v>267</v>
      </c>
      <c r="L1871" s="1178" t="s">
        <v>242</v>
      </c>
      <c r="M1871" s="1369" t="s">
        <v>23297</v>
      </c>
      <c r="N1871" s="1178"/>
      <c r="O1871" s="1178">
        <v>6</v>
      </c>
      <c r="P1871" s="1178">
        <v>13</v>
      </c>
    </row>
    <row r="1872" spans="1:16">
      <c r="A1872" s="1178" t="s">
        <v>246</v>
      </c>
      <c r="B1872" s="1371" t="str">
        <f>HYPERLINK(IFERROR("#Main_Tariff!A"&amp;MATCH(Raeburn_Main_Tariff[[#This Row],[Product Code]],Main_Tariff!I:I,0),"#Main_Tariff!A"&amp;MATCH("*"&amp;RIGHT(A1872,8)&amp;"*",Main_Tariff!A:A,0)),Raeburn_Main_Tariff[[#This Row],[PRODUCER]])</f>
        <v>Henri Boillot</v>
      </c>
      <c r="C1872" s="1178" t="s">
        <v>21019</v>
      </c>
      <c r="D1872" s="1178" t="s">
        <v>897</v>
      </c>
      <c r="E1872" s="1179">
        <v>2007</v>
      </c>
      <c r="F1872" s="1282" t="s">
        <v>20220</v>
      </c>
      <c r="G1872" s="1368">
        <v>54</v>
      </c>
      <c r="H1872" s="1178" t="s">
        <v>20277</v>
      </c>
      <c r="I1872" s="1178" t="s">
        <v>6469</v>
      </c>
      <c r="J1872" s="1178" t="s">
        <v>662</v>
      </c>
      <c r="K1872" s="1178" t="s">
        <v>267</v>
      </c>
      <c r="L1872" s="1178" t="s">
        <v>242</v>
      </c>
      <c r="M1872" s="1369" t="s">
        <v>23297</v>
      </c>
      <c r="N1872" s="1178"/>
      <c r="O1872" s="1178">
        <v>6</v>
      </c>
      <c r="P1872" s="1178">
        <v>13</v>
      </c>
    </row>
    <row r="1873" spans="1:16">
      <c r="A1873" s="1178" t="s">
        <v>246</v>
      </c>
      <c r="B1873" s="1371" t="str">
        <f>HYPERLINK(IFERROR("#Main_Tariff!A"&amp;MATCH(Raeburn_Main_Tariff[[#This Row],[Product Code]],Main_Tariff!I:I,0),"#Main_Tariff!A"&amp;MATCH("*"&amp;RIGHT(A1873,8)&amp;"*",Main_Tariff!A:A,0)),Raeburn_Main_Tariff[[#This Row],[PRODUCER]])</f>
        <v>Henri Boillot</v>
      </c>
      <c r="C1873" s="1178" t="s">
        <v>21020</v>
      </c>
      <c r="D1873" s="1178" t="s">
        <v>897</v>
      </c>
      <c r="E1873" s="1179">
        <v>2022</v>
      </c>
      <c r="F1873" s="1282" t="s">
        <v>20220</v>
      </c>
      <c r="G1873" s="1368">
        <v>66</v>
      </c>
      <c r="H1873" s="1178" t="s">
        <v>20221</v>
      </c>
      <c r="I1873" s="1178" t="s">
        <v>6471</v>
      </c>
      <c r="J1873" s="1178" t="s">
        <v>662</v>
      </c>
      <c r="K1873" s="1178" t="s">
        <v>267</v>
      </c>
      <c r="L1873" s="1178" t="s">
        <v>242</v>
      </c>
      <c r="M1873" s="1369" t="s">
        <v>23297</v>
      </c>
      <c r="N1873" s="1178"/>
      <c r="O1873" s="1178">
        <v>6</v>
      </c>
      <c r="P1873" s="1178">
        <v>13.5</v>
      </c>
    </row>
    <row r="1874" spans="1:16">
      <c r="A1874" s="1178" t="s">
        <v>246</v>
      </c>
      <c r="B1874" s="1371" t="str">
        <f>HYPERLINK(IFERROR("#Main_Tariff!A"&amp;MATCH(Raeburn_Main_Tariff[[#This Row],[Product Code]],Main_Tariff!I:I,0),"#Main_Tariff!A"&amp;MATCH("*"&amp;RIGHT(A1874,8)&amp;"*",Main_Tariff!A:A,0)),Raeburn_Main_Tariff[[#This Row],[PRODUCER]])</f>
        <v>Henri Boillot</v>
      </c>
      <c r="C1874" s="1178" t="s">
        <v>21020</v>
      </c>
      <c r="D1874" s="1178" t="s">
        <v>897</v>
      </c>
      <c r="E1874" s="1179">
        <v>2018</v>
      </c>
      <c r="F1874" s="1282" t="s">
        <v>20220</v>
      </c>
      <c r="G1874" s="1368">
        <v>66</v>
      </c>
      <c r="H1874" s="1178" t="s">
        <v>20221</v>
      </c>
      <c r="I1874" s="1178" t="s">
        <v>6473</v>
      </c>
      <c r="J1874" s="1178" t="s">
        <v>662</v>
      </c>
      <c r="K1874" s="1178" t="s">
        <v>267</v>
      </c>
      <c r="L1874" s="1178" t="s">
        <v>242</v>
      </c>
      <c r="M1874" s="1369" t="s">
        <v>23297</v>
      </c>
      <c r="N1874" s="1178"/>
      <c r="O1874" s="1178">
        <v>6</v>
      </c>
      <c r="P1874" s="1178">
        <v>14</v>
      </c>
    </row>
    <row r="1875" spans="1:16">
      <c r="A1875" s="1178" t="s">
        <v>246</v>
      </c>
      <c r="B1875" s="1371" t="str">
        <f>HYPERLINK(IFERROR("#Main_Tariff!A"&amp;MATCH(Raeburn_Main_Tariff[[#This Row],[Product Code]],Main_Tariff!I:I,0),"#Main_Tariff!A"&amp;MATCH("*"&amp;RIGHT(A1875,8)&amp;"*",Main_Tariff!A:A,0)),Raeburn_Main_Tariff[[#This Row],[PRODUCER]])</f>
        <v>Henri Boillot</v>
      </c>
      <c r="C1875" s="1178" t="s">
        <v>21020</v>
      </c>
      <c r="D1875" s="1178" t="s">
        <v>897</v>
      </c>
      <c r="E1875" s="1179">
        <v>2017</v>
      </c>
      <c r="F1875" s="1282" t="s">
        <v>20220</v>
      </c>
      <c r="G1875" s="1368">
        <v>66</v>
      </c>
      <c r="H1875" s="1178" t="s">
        <v>20224</v>
      </c>
      <c r="I1875" s="1178" t="s">
        <v>6475</v>
      </c>
      <c r="J1875" s="1178" t="s">
        <v>662</v>
      </c>
      <c r="K1875" s="1178" t="s">
        <v>267</v>
      </c>
      <c r="L1875" s="1178" t="s">
        <v>242</v>
      </c>
      <c r="M1875" s="1369" t="s">
        <v>23297</v>
      </c>
      <c r="N1875" s="1178"/>
      <c r="O1875" s="1178">
        <v>6</v>
      </c>
      <c r="P1875" s="1178">
        <v>13</v>
      </c>
    </row>
    <row r="1876" spans="1:16">
      <c r="A1876" s="1178" t="s">
        <v>246</v>
      </c>
      <c r="B1876" s="1371" t="str">
        <f>HYPERLINK(IFERROR("#Main_Tariff!A"&amp;MATCH(Raeburn_Main_Tariff[[#This Row],[Product Code]],Main_Tariff!I:I,0),"#Main_Tariff!A"&amp;MATCH("*"&amp;RIGHT(A1876,8)&amp;"*",Main_Tariff!A:A,0)),Raeburn_Main_Tariff[[#This Row],[PRODUCER]])</f>
        <v>Henri Boillot</v>
      </c>
      <c r="C1876" s="1178" t="s">
        <v>21020</v>
      </c>
      <c r="D1876" s="1178" t="s">
        <v>897</v>
      </c>
      <c r="E1876" s="1179">
        <v>2016</v>
      </c>
      <c r="F1876" s="1282" t="s">
        <v>20220</v>
      </c>
      <c r="G1876" s="1368">
        <v>66</v>
      </c>
      <c r="H1876" s="1178" t="s">
        <v>20221</v>
      </c>
      <c r="I1876" s="1178" t="s">
        <v>6477</v>
      </c>
      <c r="J1876" s="1178" t="s">
        <v>662</v>
      </c>
      <c r="K1876" s="1178" t="s">
        <v>267</v>
      </c>
      <c r="L1876" s="1178" t="s">
        <v>242</v>
      </c>
      <c r="M1876" s="1369" t="s">
        <v>23297</v>
      </c>
      <c r="N1876" s="1178"/>
      <c r="O1876" s="1178">
        <v>6</v>
      </c>
      <c r="P1876" s="1178">
        <v>13</v>
      </c>
    </row>
    <row r="1877" spans="1:16">
      <c r="A1877" s="1178" t="s">
        <v>246</v>
      </c>
      <c r="B1877" s="1371" t="str">
        <f>HYPERLINK(IFERROR("#Main_Tariff!A"&amp;MATCH(Raeburn_Main_Tariff[[#This Row],[Product Code]],Main_Tariff!I:I,0),"#Main_Tariff!A"&amp;MATCH("*"&amp;RIGHT(A1877,8)&amp;"*",Main_Tariff!A:A,0)),Raeburn_Main_Tariff[[#This Row],[PRODUCER]])</f>
        <v>Henri Boillot</v>
      </c>
      <c r="C1877" s="1178" t="s">
        <v>21020</v>
      </c>
      <c r="D1877" s="1178" t="s">
        <v>897</v>
      </c>
      <c r="E1877" s="1179">
        <v>2013</v>
      </c>
      <c r="F1877" s="1282" t="s">
        <v>20220</v>
      </c>
      <c r="G1877" s="1368">
        <v>56</v>
      </c>
      <c r="H1877" s="1178" t="s">
        <v>20221</v>
      </c>
      <c r="I1877" s="1178" t="s">
        <v>6479</v>
      </c>
      <c r="J1877" s="1178" t="s">
        <v>662</v>
      </c>
      <c r="K1877" s="1178" t="s">
        <v>267</v>
      </c>
      <c r="L1877" s="1178" t="s">
        <v>242</v>
      </c>
      <c r="M1877" s="1369" t="s">
        <v>23297</v>
      </c>
      <c r="N1877" s="1178"/>
      <c r="O1877" s="1178">
        <v>6</v>
      </c>
      <c r="P1877" s="1178">
        <v>15</v>
      </c>
    </row>
    <row r="1878" spans="1:16">
      <c r="A1878" s="1178" t="s">
        <v>246</v>
      </c>
      <c r="B1878" s="1371" t="str">
        <f>HYPERLINK(IFERROR("#Main_Tariff!A"&amp;MATCH(Raeburn_Main_Tariff[[#This Row],[Product Code]],Main_Tariff!I:I,0),"#Main_Tariff!A"&amp;MATCH("*"&amp;RIGHT(A1878,8)&amp;"*",Main_Tariff!A:A,0)),Raeburn_Main_Tariff[[#This Row],[PRODUCER]])</f>
        <v>Henri Boillot</v>
      </c>
      <c r="C1878" s="1178" t="s">
        <v>21020</v>
      </c>
      <c r="D1878" s="1178" t="s">
        <v>897</v>
      </c>
      <c r="E1878" s="1179">
        <v>2012</v>
      </c>
      <c r="F1878" s="1282" t="s">
        <v>20220</v>
      </c>
      <c r="G1878" s="1368">
        <v>62</v>
      </c>
      <c r="H1878" s="1178" t="s">
        <v>20221</v>
      </c>
      <c r="I1878" s="1178" t="s">
        <v>6481</v>
      </c>
      <c r="J1878" s="1178" t="s">
        <v>662</v>
      </c>
      <c r="K1878" s="1178" t="s">
        <v>267</v>
      </c>
      <c r="L1878" s="1178" t="s">
        <v>242</v>
      </c>
      <c r="M1878" s="1369" t="s">
        <v>23297</v>
      </c>
      <c r="N1878" s="1178"/>
      <c r="O1878" s="1178">
        <v>6</v>
      </c>
      <c r="P1878" s="1178">
        <v>15</v>
      </c>
    </row>
    <row r="1879" spans="1:16">
      <c r="A1879" s="1178" t="s">
        <v>246</v>
      </c>
      <c r="B1879" s="1371" t="str">
        <f>HYPERLINK(IFERROR("#Main_Tariff!A"&amp;MATCH(Raeburn_Main_Tariff[[#This Row],[Product Code]],Main_Tariff!I:I,0),"#Main_Tariff!A"&amp;MATCH("*"&amp;RIGHT(A1879,8)&amp;"*",Main_Tariff!A:A,0)),Raeburn_Main_Tariff[[#This Row],[PRODUCER]])</f>
        <v>Henri Boillot</v>
      </c>
      <c r="C1879" s="1178" t="s">
        <v>21020</v>
      </c>
      <c r="D1879" s="1178" t="s">
        <v>897</v>
      </c>
      <c r="E1879" s="1179">
        <v>2011</v>
      </c>
      <c r="F1879" s="1282" t="s">
        <v>20220</v>
      </c>
      <c r="G1879" s="1368">
        <v>54</v>
      </c>
      <c r="H1879" s="1178" t="s">
        <v>20224</v>
      </c>
      <c r="I1879" s="1178" t="s">
        <v>6483</v>
      </c>
      <c r="J1879" s="1178" t="s">
        <v>662</v>
      </c>
      <c r="K1879" s="1178" t="s">
        <v>267</v>
      </c>
      <c r="L1879" s="1178" t="s">
        <v>242</v>
      </c>
      <c r="M1879" s="1369" t="s">
        <v>23297</v>
      </c>
      <c r="N1879" s="1178"/>
      <c r="O1879" s="1178">
        <v>6</v>
      </c>
      <c r="P1879" s="1178">
        <v>13</v>
      </c>
    </row>
    <row r="1880" spans="1:16">
      <c r="A1880" s="1178" t="s">
        <v>246</v>
      </c>
      <c r="B1880" s="1371" t="str">
        <f>HYPERLINK(IFERROR("#Main_Tariff!A"&amp;MATCH(Raeburn_Main_Tariff[[#This Row],[Product Code]],Main_Tariff!I:I,0),"#Main_Tariff!A"&amp;MATCH("*"&amp;RIGHT(A1880,8)&amp;"*",Main_Tariff!A:A,0)),Raeburn_Main_Tariff[[#This Row],[PRODUCER]])</f>
        <v>Henri Boillot</v>
      </c>
      <c r="C1880" s="1178" t="s">
        <v>21020</v>
      </c>
      <c r="D1880" s="1178" t="s">
        <v>897</v>
      </c>
      <c r="E1880" s="1179">
        <v>2008</v>
      </c>
      <c r="F1880" s="1282" t="s">
        <v>20220</v>
      </c>
      <c r="G1880" s="1368">
        <v>56</v>
      </c>
      <c r="H1880" s="1178" t="s">
        <v>20224</v>
      </c>
      <c r="I1880" s="1178" t="s">
        <v>6485</v>
      </c>
      <c r="J1880" s="1178" t="s">
        <v>662</v>
      </c>
      <c r="K1880" s="1178" t="s">
        <v>267</v>
      </c>
      <c r="L1880" s="1178" t="s">
        <v>242</v>
      </c>
      <c r="M1880" s="1369" t="s">
        <v>23297</v>
      </c>
      <c r="N1880" s="1178"/>
      <c r="O1880" s="1178">
        <v>6</v>
      </c>
      <c r="P1880" s="1178">
        <v>12.5</v>
      </c>
    </row>
    <row r="1881" spans="1:16">
      <c r="A1881" s="1178" t="s">
        <v>246</v>
      </c>
      <c r="B1881" s="1371" t="str">
        <f>HYPERLINK(IFERROR("#Main_Tariff!A"&amp;MATCH(Raeburn_Main_Tariff[[#This Row],[Product Code]],Main_Tariff!I:I,0),"#Main_Tariff!A"&amp;MATCH("*"&amp;RIGHT(A1881,8)&amp;"*",Main_Tariff!A:A,0)),Raeburn_Main_Tariff[[#This Row],[PRODUCER]])</f>
        <v>Henri Boillot</v>
      </c>
      <c r="C1881" s="1178" t="s">
        <v>21020</v>
      </c>
      <c r="D1881" s="1178" t="s">
        <v>897</v>
      </c>
      <c r="E1881" s="1179">
        <v>2007</v>
      </c>
      <c r="F1881" s="1282" t="s">
        <v>20220</v>
      </c>
      <c r="G1881" s="1368">
        <v>54</v>
      </c>
      <c r="H1881" s="1178" t="s">
        <v>20277</v>
      </c>
      <c r="I1881" s="1178" t="s">
        <v>6487</v>
      </c>
      <c r="J1881" s="1178" t="s">
        <v>662</v>
      </c>
      <c r="K1881" s="1178" t="s">
        <v>267</v>
      </c>
      <c r="L1881" s="1178" t="s">
        <v>242</v>
      </c>
      <c r="M1881" s="1369" t="s">
        <v>23297</v>
      </c>
      <c r="N1881" s="1178"/>
      <c r="O1881" s="1178">
        <v>6</v>
      </c>
      <c r="P1881" s="1178">
        <v>13</v>
      </c>
    </row>
    <row r="1882" spans="1:16">
      <c r="A1882" s="1178" t="s">
        <v>246</v>
      </c>
      <c r="B1882" s="1371" t="str">
        <f>HYPERLINK(IFERROR("#Main_Tariff!A"&amp;MATCH(Raeburn_Main_Tariff[[#This Row],[Product Code]],Main_Tariff!I:I,0),"#Main_Tariff!A"&amp;MATCH("*"&amp;RIGHT(A1882,8)&amp;"*",Main_Tariff!A:A,0)),Raeburn_Main_Tariff[[#This Row],[PRODUCER]])</f>
        <v>Henri Boillot</v>
      </c>
      <c r="C1882" s="1178" t="s">
        <v>21021</v>
      </c>
      <c r="D1882" s="1178" t="s">
        <v>897</v>
      </c>
      <c r="E1882" s="1179">
        <v>2022</v>
      </c>
      <c r="F1882" s="1282" t="s">
        <v>20220</v>
      </c>
      <c r="G1882" s="1368">
        <v>77</v>
      </c>
      <c r="H1882" s="1178" t="s">
        <v>20221</v>
      </c>
      <c r="I1882" s="1178" t="s">
        <v>6488</v>
      </c>
      <c r="J1882" s="1178" t="s">
        <v>662</v>
      </c>
      <c r="K1882" s="1178" t="s">
        <v>267</v>
      </c>
      <c r="L1882" s="1178" t="s">
        <v>242</v>
      </c>
      <c r="M1882" s="1369" t="s">
        <v>23297</v>
      </c>
      <c r="N1882" s="1178"/>
      <c r="O1882" s="1178">
        <v>6</v>
      </c>
      <c r="P1882" s="1178">
        <v>13.5</v>
      </c>
    </row>
    <row r="1883" spans="1:16">
      <c r="A1883" s="1178" t="s">
        <v>246</v>
      </c>
      <c r="B1883" s="1371" t="str">
        <f>HYPERLINK(IFERROR("#Main_Tariff!A"&amp;MATCH(Raeburn_Main_Tariff[[#This Row],[Product Code]],Main_Tariff!I:I,0),"#Main_Tariff!A"&amp;MATCH("*"&amp;RIGHT(A1883,8)&amp;"*",Main_Tariff!A:A,0)),Raeburn_Main_Tariff[[#This Row],[PRODUCER]])</f>
        <v>Henri Boillot</v>
      </c>
      <c r="C1883" s="1178" t="s">
        <v>21021</v>
      </c>
      <c r="D1883" s="1178" t="s">
        <v>897</v>
      </c>
      <c r="E1883" s="1179">
        <v>2018</v>
      </c>
      <c r="F1883" s="1282" t="s">
        <v>20220</v>
      </c>
      <c r="G1883" s="1368">
        <v>77</v>
      </c>
      <c r="H1883" s="1178" t="s">
        <v>20277</v>
      </c>
      <c r="I1883" s="1178" t="s">
        <v>6490</v>
      </c>
      <c r="J1883" s="1178" t="s">
        <v>662</v>
      </c>
      <c r="K1883" s="1178" t="s">
        <v>267</v>
      </c>
      <c r="L1883" s="1178" t="s">
        <v>242</v>
      </c>
      <c r="M1883" s="1369" t="s">
        <v>23297</v>
      </c>
      <c r="N1883" s="1178"/>
      <c r="O1883" s="1178">
        <v>6</v>
      </c>
      <c r="P1883" s="1178">
        <v>14</v>
      </c>
    </row>
    <row r="1884" spans="1:16">
      <c r="A1884" s="1178" t="s">
        <v>246</v>
      </c>
      <c r="B1884" s="1371" t="str">
        <f>HYPERLINK(IFERROR("#Main_Tariff!A"&amp;MATCH(Raeburn_Main_Tariff[[#This Row],[Product Code]],Main_Tariff!I:I,0),"#Main_Tariff!A"&amp;MATCH("*"&amp;RIGHT(A1884,8)&amp;"*",Main_Tariff!A:A,0)),Raeburn_Main_Tariff[[#This Row],[PRODUCER]])</f>
        <v>Henri Boillot</v>
      </c>
      <c r="C1884" s="1178" t="s">
        <v>21021</v>
      </c>
      <c r="D1884" s="1178" t="s">
        <v>897</v>
      </c>
      <c r="E1884" s="1179">
        <v>2014</v>
      </c>
      <c r="F1884" s="1282" t="s">
        <v>20220</v>
      </c>
      <c r="G1884" s="1368">
        <v>64</v>
      </c>
      <c r="H1884" s="1178" t="s">
        <v>20224</v>
      </c>
      <c r="I1884" s="1178" t="s">
        <v>6491</v>
      </c>
      <c r="J1884" s="1178" t="s">
        <v>662</v>
      </c>
      <c r="K1884" s="1178" t="s">
        <v>267</v>
      </c>
      <c r="L1884" s="1178" t="s">
        <v>242</v>
      </c>
      <c r="M1884" s="1369" t="s">
        <v>23297</v>
      </c>
      <c r="N1884" s="1178"/>
      <c r="O1884" s="1178">
        <v>6</v>
      </c>
      <c r="P1884" s="1178">
        <v>13</v>
      </c>
    </row>
    <row r="1885" spans="1:16">
      <c r="A1885" s="1178" t="s">
        <v>246</v>
      </c>
      <c r="B1885" s="1371" t="str">
        <f>HYPERLINK(IFERROR("#Main_Tariff!A"&amp;MATCH(Raeburn_Main_Tariff[[#This Row],[Product Code]],Main_Tariff!I:I,0),"#Main_Tariff!A"&amp;MATCH("*"&amp;RIGHT(A1885,8)&amp;"*",Main_Tariff!A:A,0)),Raeburn_Main_Tariff[[#This Row],[PRODUCER]])</f>
        <v>Henri Boillot</v>
      </c>
      <c r="C1885" s="1178" t="s">
        <v>20798</v>
      </c>
      <c r="D1885" s="1178" t="s">
        <v>897</v>
      </c>
      <c r="E1885" s="1179">
        <v>2022</v>
      </c>
      <c r="F1885" s="1282" t="s">
        <v>20220</v>
      </c>
      <c r="G1885" s="1368" t="s">
        <v>5258</v>
      </c>
      <c r="H1885" s="1178" t="s">
        <v>20224</v>
      </c>
      <c r="I1885" s="1178" t="s">
        <v>6495</v>
      </c>
      <c r="J1885" s="1178" t="s">
        <v>662</v>
      </c>
      <c r="K1885" s="1178" t="s">
        <v>267</v>
      </c>
      <c r="L1885" s="1178" t="s">
        <v>242</v>
      </c>
      <c r="M1885" s="1369" t="s">
        <v>23296</v>
      </c>
      <c r="N1885" s="1178"/>
      <c r="O1885" s="1178">
        <v>3</v>
      </c>
      <c r="P1885" s="1178">
        <v>14</v>
      </c>
    </row>
    <row r="1886" spans="1:16">
      <c r="A1886" s="1178" t="s">
        <v>246</v>
      </c>
      <c r="B1886" s="1371" t="str">
        <f>HYPERLINK(IFERROR("#Main_Tariff!A"&amp;MATCH(Raeburn_Main_Tariff[[#This Row],[Product Code]],Main_Tariff!I:I,0),"#Main_Tariff!A"&amp;MATCH("*"&amp;RIGHT(A1886,8)&amp;"*",Main_Tariff!A:A,0)),Raeburn_Main_Tariff[[#This Row],[PRODUCER]])</f>
        <v>Henri Boillot</v>
      </c>
      <c r="C1886" s="1178" t="s">
        <v>20798</v>
      </c>
      <c r="D1886" s="1178" t="s">
        <v>897</v>
      </c>
      <c r="E1886" s="1179">
        <v>2013</v>
      </c>
      <c r="F1886" s="1282" t="s">
        <v>20220</v>
      </c>
      <c r="G1886" s="1368" t="s">
        <v>5258</v>
      </c>
      <c r="H1886" s="1178" t="s">
        <v>20224</v>
      </c>
      <c r="I1886" s="1178" t="s">
        <v>6497</v>
      </c>
      <c r="J1886" s="1178" t="s">
        <v>662</v>
      </c>
      <c r="K1886" s="1178" t="s">
        <v>267</v>
      </c>
      <c r="L1886" s="1178" t="s">
        <v>242</v>
      </c>
      <c r="M1886" s="1369" t="s">
        <v>23296</v>
      </c>
      <c r="N1886" s="1178"/>
      <c r="O1886" s="1178">
        <v>6</v>
      </c>
      <c r="P1886" s="1178">
        <v>15</v>
      </c>
    </row>
    <row r="1887" spans="1:16">
      <c r="A1887" s="1178" t="s">
        <v>246</v>
      </c>
      <c r="B1887" s="1371" t="str">
        <f>HYPERLINK(IFERROR("#Main_Tariff!A"&amp;MATCH(Raeburn_Main_Tariff[[#This Row],[Product Code]],Main_Tariff!I:I,0),"#Main_Tariff!A"&amp;MATCH("*"&amp;RIGHT(A1887,8)&amp;"*",Main_Tariff!A:A,0)),Raeburn_Main_Tariff[[#This Row],[PRODUCER]])</f>
        <v>Henri Boillot</v>
      </c>
      <c r="C1887" s="1178" t="s">
        <v>20670</v>
      </c>
      <c r="D1887" s="1178" t="s">
        <v>897</v>
      </c>
      <c r="E1887" s="1179">
        <v>2022</v>
      </c>
      <c r="F1887" s="1282" t="s">
        <v>20220</v>
      </c>
      <c r="G1887" s="1368" t="s">
        <v>5258</v>
      </c>
      <c r="H1887" s="1178" t="s">
        <v>20224</v>
      </c>
      <c r="I1887" s="1178" t="s">
        <v>6499</v>
      </c>
      <c r="J1887" s="1178" t="s">
        <v>662</v>
      </c>
      <c r="K1887" s="1178" t="s">
        <v>267</v>
      </c>
      <c r="L1887" s="1178" t="s">
        <v>242</v>
      </c>
      <c r="M1887" s="1369" t="s">
        <v>23296</v>
      </c>
      <c r="N1887" s="1178"/>
      <c r="O1887" s="1178">
        <v>3</v>
      </c>
      <c r="P1887" s="1178">
        <v>13</v>
      </c>
    </row>
    <row r="1888" spans="1:16">
      <c r="A1888" s="1178" t="s">
        <v>246</v>
      </c>
      <c r="B1888" s="1371" t="str">
        <f>HYPERLINK(IFERROR("#Main_Tariff!A"&amp;MATCH(Raeburn_Main_Tariff[[#This Row],[Product Code]],Main_Tariff!I:I,0),"#Main_Tariff!A"&amp;MATCH("*"&amp;RIGHT(A1888,8)&amp;"*",Main_Tariff!A:A,0)),Raeburn_Main_Tariff[[#This Row],[PRODUCER]])</f>
        <v>Henri Boillot</v>
      </c>
      <c r="C1888" s="1178" t="s">
        <v>20670</v>
      </c>
      <c r="D1888" s="1178" t="s">
        <v>897</v>
      </c>
      <c r="E1888" s="1179">
        <v>2019</v>
      </c>
      <c r="F1888" s="1282" t="s">
        <v>20220</v>
      </c>
      <c r="G1888" s="1368" t="s">
        <v>5258</v>
      </c>
      <c r="H1888" s="1178" t="s">
        <v>20224</v>
      </c>
      <c r="I1888" s="1178" t="s">
        <v>6501</v>
      </c>
      <c r="J1888" s="1178" t="s">
        <v>662</v>
      </c>
      <c r="K1888" s="1178" t="s">
        <v>267</v>
      </c>
      <c r="L1888" s="1178" t="s">
        <v>242</v>
      </c>
      <c r="M1888" s="1369" t="s">
        <v>23296</v>
      </c>
      <c r="N1888" s="1178"/>
      <c r="O1888" s="1178">
        <v>3</v>
      </c>
      <c r="P1888" s="1178">
        <v>14.5</v>
      </c>
    </row>
    <row r="1889" spans="1:16">
      <c r="A1889" s="1178" t="s">
        <v>246</v>
      </c>
      <c r="B1889" s="1371" t="str">
        <f>HYPERLINK(IFERROR("#Main_Tariff!A"&amp;MATCH(Raeburn_Main_Tariff[[#This Row],[Product Code]],Main_Tariff!I:I,0),"#Main_Tariff!A"&amp;MATCH("*"&amp;RIGHT(A1889,8)&amp;"*",Main_Tariff!A:A,0)),Raeburn_Main_Tariff[[#This Row],[PRODUCER]])</f>
        <v>Henri Boillot</v>
      </c>
      <c r="C1889" s="1178" t="s">
        <v>20670</v>
      </c>
      <c r="D1889" s="1178" t="s">
        <v>897</v>
      </c>
      <c r="E1889" s="1179">
        <v>2017</v>
      </c>
      <c r="F1889" s="1282" t="s">
        <v>20220</v>
      </c>
      <c r="G1889" s="1368" t="s">
        <v>5258</v>
      </c>
      <c r="H1889" s="1178" t="s">
        <v>20224</v>
      </c>
      <c r="I1889" s="1178" t="s">
        <v>6502</v>
      </c>
      <c r="J1889" s="1178" t="s">
        <v>662</v>
      </c>
      <c r="K1889" s="1178" t="s">
        <v>267</v>
      </c>
      <c r="L1889" s="1178" t="s">
        <v>242</v>
      </c>
      <c r="M1889" s="1369" t="s">
        <v>23296</v>
      </c>
      <c r="N1889" s="1178"/>
      <c r="O1889" s="1178">
        <v>3</v>
      </c>
      <c r="P1889" s="1178">
        <v>13</v>
      </c>
    </row>
    <row r="1890" spans="1:16">
      <c r="A1890" s="1178" t="s">
        <v>246</v>
      </c>
      <c r="B1890" s="1371" t="str">
        <f>HYPERLINK(IFERROR("#Main_Tariff!A"&amp;MATCH(Raeburn_Main_Tariff[[#This Row],[Product Code]],Main_Tariff!I:I,0),"#Main_Tariff!A"&amp;MATCH("*"&amp;RIGHT(A1890,8)&amp;"*",Main_Tariff!A:A,0)),Raeburn_Main_Tariff[[#This Row],[PRODUCER]])</f>
        <v>Henri Boillot</v>
      </c>
      <c r="C1890" s="1178" t="s">
        <v>20698</v>
      </c>
      <c r="D1890" s="1178" t="s">
        <v>897</v>
      </c>
      <c r="E1890" s="1179">
        <v>2022</v>
      </c>
      <c r="F1890" s="1282" t="s">
        <v>20220</v>
      </c>
      <c r="G1890" s="1368" t="s">
        <v>5258</v>
      </c>
      <c r="H1890" s="1178" t="s">
        <v>20224</v>
      </c>
      <c r="I1890" s="1178" t="s">
        <v>6503</v>
      </c>
      <c r="J1890" s="1178" t="s">
        <v>662</v>
      </c>
      <c r="K1890" s="1178" t="s">
        <v>267</v>
      </c>
      <c r="L1890" s="1178" t="s">
        <v>242</v>
      </c>
      <c r="M1890" s="1369" t="s">
        <v>23296</v>
      </c>
      <c r="N1890" s="1178"/>
      <c r="O1890" s="1178">
        <v>3</v>
      </c>
      <c r="P1890" s="1178">
        <v>14</v>
      </c>
    </row>
    <row r="1891" spans="1:16">
      <c r="A1891" s="1178" t="s">
        <v>246</v>
      </c>
      <c r="B1891" s="1371" t="str">
        <f>HYPERLINK(IFERROR("#Main_Tariff!A"&amp;MATCH(Raeburn_Main_Tariff[[#This Row],[Product Code]],Main_Tariff!I:I,0),"#Main_Tariff!A"&amp;MATCH("*"&amp;RIGHT(A1891,8)&amp;"*",Main_Tariff!A:A,0)),Raeburn_Main_Tariff[[#This Row],[PRODUCER]])</f>
        <v>Henri Boillot</v>
      </c>
      <c r="C1891" s="1178" t="s">
        <v>20796</v>
      </c>
      <c r="D1891" s="1178" t="s">
        <v>897</v>
      </c>
      <c r="E1891" s="1179">
        <v>2022</v>
      </c>
      <c r="F1891" s="1282" t="s">
        <v>20220</v>
      </c>
      <c r="G1891" s="1368" t="s">
        <v>5258</v>
      </c>
      <c r="H1891" s="1178" t="s">
        <v>20224</v>
      </c>
      <c r="I1891" s="1178" t="s">
        <v>6504</v>
      </c>
      <c r="J1891" s="1178" t="s">
        <v>662</v>
      </c>
      <c r="K1891" s="1178" t="s">
        <v>267</v>
      </c>
      <c r="L1891" s="1178" t="s">
        <v>242</v>
      </c>
      <c r="M1891" s="1369" t="s">
        <v>23296</v>
      </c>
      <c r="N1891" s="1178"/>
      <c r="O1891" s="1178">
        <v>3</v>
      </c>
      <c r="P1891" s="1178">
        <v>14</v>
      </c>
    </row>
    <row r="1892" spans="1:16">
      <c r="A1892" s="1178" t="s">
        <v>246</v>
      </c>
      <c r="B1892" s="1371" t="str">
        <f>HYPERLINK(IFERROR("#Main_Tariff!A"&amp;MATCH(Raeburn_Main_Tariff[[#This Row],[Product Code]],Main_Tariff!I:I,0),"#Main_Tariff!A"&amp;MATCH("*"&amp;RIGHT(A1892,8)&amp;"*",Main_Tariff!A:A,0)),Raeburn_Main_Tariff[[#This Row],[PRODUCER]])</f>
        <v>Henri Boillot</v>
      </c>
      <c r="C1892" s="1178" t="s">
        <v>20964</v>
      </c>
      <c r="D1892" s="1178" t="s">
        <v>897</v>
      </c>
      <c r="E1892" s="1179">
        <v>2022</v>
      </c>
      <c r="F1892" s="1282" t="s">
        <v>20220</v>
      </c>
      <c r="G1892" s="1368" t="s">
        <v>5258</v>
      </c>
      <c r="H1892" s="1178" t="s">
        <v>20224</v>
      </c>
      <c r="I1892" s="1178" t="s">
        <v>6505</v>
      </c>
      <c r="J1892" s="1178" t="s">
        <v>662</v>
      </c>
      <c r="K1892" s="1178" t="s">
        <v>267</v>
      </c>
      <c r="L1892" s="1178" t="s">
        <v>242</v>
      </c>
      <c r="M1892" s="1369" t="s">
        <v>23296</v>
      </c>
      <c r="N1892" s="1178"/>
      <c r="O1892" s="1178">
        <v>3</v>
      </c>
      <c r="P1892" s="1178">
        <v>14</v>
      </c>
    </row>
    <row r="1893" spans="1:16">
      <c r="A1893" s="1178" t="s">
        <v>246</v>
      </c>
      <c r="B1893" s="1371" t="str">
        <f>HYPERLINK(IFERROR("#Main_Tariff!A"&amp;MATCH(Raeburn_Main_Tariff[[#This Row],[Product Code]],Main_Tariff!I:I,0),"#Main_Tariff!A"&amp;MATCH("*"&amp;RIGHT(A1893,8)&amp;"*",Main_Tariff!A:A,0)),Raeburn_Main_Tariff[[#This Row],[PRODUCER]])</f>
        <v>Henri Boillot</v>
      </c>
      <c r="C1893" s="1178" t="s">
        <v>21022</v>
      </c>
      <c r="D1893" s="1178" t="s">
        <v>897</v>
      </c>
      <c r="E1893" s="1179">
        <v>2019</v>
      </c>
      <c r="F1893" s="1282" t="s">
        <v>20240</v>
      </c>
      <c r="G1893" s="1368">
        <v>145</v>
      </c>
      <c r="H1893" s="1178" t="s">
        <v>20224</v>
      </c>
      <c r="I1893" s="1178" t="s">
        <v>6507</v>
      </c>
      <c r="J1893" s="1178" t="s">
        <v>662</v>
      </c>
      <c r="K1893" s="1178" t="s">
        <v>267</v>
      </c>
      <c r="L1893" s="1178" t="s">
        <v>242</v>
      </c>
      <c r="M1893" s="1369" t="s">
        <v>23297</v>
      </c>
      <c r="N1893" s="1178"/>
      <c r="O1893" s="1178">
        <v>3</v>
      </c>
      <c r="P1893" s="1178">
        <v>14.5</v>
      </c>
    </row>
    <row r="1894" spans="1:16">
      <c r="A1894" s="1178" t="s">
        <v>246</v>
      </c>
      <c r="B1894" s="1371" t="str">
        <f>HYPERLINK(IFERROR("#Main_Tariff!A"&amp;MATCH(Raeburn_Main_Tariff[[#This Row],[Product Code]],Main_Tariff!I:I,0),"#Main_Tariff!A"&amp;MATCH("*"&amp;RIGHT(A1894,8)&amp;"*",Main_Tariff!A:A,0)),Raeburn_Main_Tariff[[#This Row],[PRODUCER]])</f>
        <v>Henri Boillot</v>
      </c>
      <c r="C1894" s="1178" t="s">
        <v>21023</v>
      </c>
      <c r="D1894" s="1178" t="s">
        <v>897</v>
      </c>
      <c r="E1894" s="1179">
        <v>2019</v>
      </c>
      <c r="F1894" s="1282" t="s">
        <v>20240</v>
      </c>
      <c r="G1894" s="1368">
        <v>145</v>
      </c>
      <c r="H1894" s="1178" t="s">
        <v>20224</v>
      </c>
      <c r="I1894" s="1178" t="s">
        <v>6508</v>
      </c>
      <c r="J1894" s="1178" t="s">
        <v>662</v>
      </c>
      <c r="K1894" s="1178" t="s">
        <v>267</v>
      </c>
      <c r="L1894" s="1178" t="s">
        <v>242</v>
      </c>
      <c r="M1894" s="1369" t="s">
        <v>23297</v>
      </c>
      <c r="N1894" s="1178"/>
      <c r="O1894" s="1178">
        <v>3</v>
      </c>
      <c r="P1894" s="1178">
        <v>14.5</v>
      </c>
    </row>
    <row r="1895" spans="1:16">
      <c r="A1895" s="1178" t="s">
        <v>246</v>
      </c>
      <c r="B1895" s="1371" t="str">
        <f>HYPERLINK(IFERROR("#Main_Tariff!A"&amp;MATCH(Raeburn_Main_Tariff[[#This Row],[Product Code]],Main_Tariff!I:I,0),"#Main_Tariff!A"&amp;MATCH("*"&amp;RIGHT(A1895,8)&amp;"*",Main_Tariff!A:A,0)),Raeburn_Main_Tariff[[#This Row],[PRODUCER]])</f>
        <v>Henri Boillot</v>
      </c>
      <c r="C1895" s="1178" t="s">
        <v>20910</v>
      </c>
      <c r="D1895" s="1178" t="s">
        <v>897</v>
      </c>
      <c r="E1895" s="1179">
        <v>2018</v>
      </c>
      <c r="F1895" s="1282" t="s">
        <v>20240</v>
      </c>
      <c r="G1895" s="1368" t="s">
        <v>5258</v>
      </c>
      <c r="H1895" s="1178" t="s">
        <v>20224</v>
      </c>
      <c r="I1895" s="1178" t="s">
        <v>6509</v>
      </c>
      <c r="J1895" s="1178" t="s">
        <v>662</v>
      </c>
      <c r="K1895" s="1178" t="s">
        <v>267</v>
      </c>
      <c r="L1895" s="1178" t="s">
        <v>242</v>
      </c>
      <c r="M1895" s="1369" t="s">
        <v>23296</v>
      </c>
      <c r="N1895" s="1178"/>
      <c r="O1895" s="1178">
        <v>3</v>
      </c>
      <c r="P1895" s="1178">
        <v>13</v>
      </c>
    </row>
    <row r="1896" spans="1:16">
      <c r="A1896" s="1178" t="s">
        <v>246</v>
      </c>
      <c r="B1896" s="1371" t="str">
        <f>HYPERLINK(IFERROR("#Main_Tariff!A"&amp;MATCH(Raeburn_Main_Tariff[[#This Row],[Product Code]],Main_Tariff!I:I,0),"#Main_Tariff!A"&amp;MATCH("*"&amp;RIGHT(A1896,8)&amp;"*",Main_Tariff!A:A,0)),Raeburn_Main_Tariff[[#This Row],[PRODUCER]])</f>
        <v>Henri Boillot</v>
      </c>
      <c r="C1896" s="1178" t="s">
        <v>21024</v>
      </c>
      <c r="D1896" s="1178" t="s">
        <v>897</v>
      </c>
      <c r="E1896" s="1179">
        <v>2019</v>
      </c>
      <c r="F1896" s="1282" t="s">
        <v>20240</v>
      </c>
      <c r="G1896" s="1368" t="s">
        <v>5258</v>
      </c>
      <c r="H1896" s="1178" t="s">
        <v>20224</v>
      </c>
      <c r="I1896" s="1178" t="s">
        <v>6510</v>
      </c>
      <c r="J1896" s="1178" t="s">
        <v>662</v>
      </c>
      <c r="K1896" s="1178" t="s">
        <v>267</v>
      </c>
      <c r="L1896" s="1178" t="s">
        <v>242</v>
      </c>
      <c r="M1896" s="1369" t="s">
        <v>23296</v>
      </c>
      <c r="N1896" s="1178"/>
      <c r="O1896" s="1178">
        <v>3</v>
      </c>
      <c r="P1896" s="1178">
        <v>14.5</v>
      </c>
    </row>
    <row r="1897" spans="1:16">
      <c r="A1897" s="1178" t="s">
        <v>246</v>
      </c>
      <c r="B1897" s="1371" t="str">
        <f>HYPERLINK(IFERROR("#Main_Tariff!A"&amp;MATCH(Raeburn_Main_Tariff[[#This Row],[Product Code]],Main_Tariff!I:I,0),"#Main_Tariff!A"&amp;MATCH("*"&amp;RIGHT(A1897,8)&amp;"*",Main_Tariff!A:A,0)),Raeburn_Main_Tariff[[#This Row],[PRODUCER]])</f>
        <v>Henri Boillot</v>
      </c>
      <c r="C1897" s="1178" t="s">
        <v>21024</v>
      </c>
      <c r="D1897" s="1178" t="s">
        <v>897</v>
      </c>
      <c r="E1897" s="1179">
        <v>2018</v>
      </c>
      <c r="F1897" s="1282" t="s">
        <v>20240</v>
      </c>
      <c r="G1897" s="1368" t="s">
        <v>5258</v>
      </c>
      <c r="H1897" s="1178" t="s">
        <v>20224</v>
      </c>
      <c r="I1897" s="1178" t="s">
        <v>6511</v>
      </c>
      <c r="J1897" s="1178" t="s">
        <v>662</v>
      </c>
      <c r="K1897" s="1178" t="s">
        <v>267</v>
      </c>
      <c r="L1897" s="1178" t="s">
        <v>242</v>
      </c>
      <c r="M1897" s="1369" t="s">
        <v>23296</v>
      </c>
      <c r="N1897" s="1178"/>
      <c r="O1897" s="1178">
        <v>3</v>
      </c>
      <c r="P1897" s="1178">
        <v>13</v>
      </c>
    </row>
    <row r="1898" spans="1:16">
      <c r="A1898" s="1178" t="s">
        <v>246</v>
      </c>
      <c r="B1898" s="1371" t="str">
        <f>HYPERLINK(IFERROR("#Main_Tariff!A"&amp;MATCH(Raeburn_Main_Tariff[[#This Row],[Product Code]],Main_Tariff!I:I,0),"#Main_Tariff!A"&amp;MATCH("*"&amp;RIGHT(A1898,8)&amp;"*",Main_Tariff!A:A,0)),Raeburn_Main_Tariff[[#This Row],[PRODUCER]])</f>
        <v>Henri Boillot</v>
      </c>
      <c r="C1898" s="1178" t="s">
        <v>21025</v>
      </c>
      <c r="D1898" s="1178" t="s">
        <v>1129</v>
      </c>
      <c r="E1898" s="1179">
        <v>2022</v>
      </c>
      <c r="F1898" s="1282" t="s">
        <v>20220</v>
      </c>
      <c r="G1898" s="1368">
        <v>27</v>
      </c>
      <c r="H1898" s="1178" t="s">
        <v>20221</v>
      </c>
      <c r="I1898" s="1178" t="s">
        <v>6513</v>
      </c>
      <c r="J1898" s="1178" t="s">
        <v>662</v>
      </c>
      <c r="K1898" s="1178" t="s">
        <v>267</v>
      </c>
      <c r="L1898" s="1178" t="s">
        <v>242</v>
      </c>
      <c r="M1898" s="1369"/>
      <c r="N1898" s="1178"/>
      <c r="O1898" s="1178">
        <v>6</v>
      </c>
      <c r="P1898" s="1178">
        <v>13.5</v>
      </c>
    </row>
    <row r="1899" spans="1:16">
      <c r="A1899" s="1178" t="s">
        <v>246</v>
      </c>
      <c r="B1899" s="1371" t="str">
        <f>HYPERLINK(IFERROR("#Main_Tariff!A"&amp;MATCH(Raeburn_Main_Tariff[[#This Row],[Product Code]],Main_Tariff!I:I,0),"#Main_Tariff!A"&amp;MATCH("*"&amp;RIGHT(A1899,8)&amp;"*",Main_Tariff!A:A,0)),Raeburn_Main_Tariff[[#This Row],[PRODUCER]])</f>
        <v>Henri Boillot</v>
      </c>
      <c r="C1899" s="1178" t="s">
        <v>21026</v>
      </c>
      <c r="D1899" s="1178" t="s">
        <v>1129</v>
      </c>
      <c r="E1899" s="1179">
        <v>2022</v>
      </c>
      <c r="F1899" s="1282" t="s">
        <v>20220</v>
      </c>
      <c r="G1899" s="1368">
        <v>60</v>
      </c>
      <c r="H1899" s="1178" t="s">
        <v>20224</v>
      </c>
      <c r="I1899" s="1178" t="s">
        <v>6515</v>
      </c>
      <c r="J1899" s="1178" t="s">
        <v>662</v>
      </c>
      <c r="K1899" s="1178" t="s">
        <v>267</v>
      </c>
      <c r="L1899" s="1178" t="s">
        <v>242</v>
      </c>
      <c r="M1899" s="1369"/>
      <c r="N1899" s="1178"/>
      <c r="O1899" s="1178">
        <v>6</v>
      </c>
      <c r="P1899" s="1178">
        <v>14</v>
      </c>
    </row>
    <row r="1900" spans="1:16">
      <c r="A1900" s="1178" t="s">
        <v>246</v>
      </c>
      <c r="B1900" s="1371" t="str">
        <f>HYPERLINK(IFERROR("#Main_Tariff!A"&amp;MATCH(Raeburn_Main_Tariff[[#This Row],[Product Code]],Main_Tariff!I:I,0),"#Main_Tariff!A"&amp;MATCH("*"&amp;RIGHT(A1900,8)&amp;"*",Main_Tariff!A:A,0)),Raeburn_Main_Tariff[[#This Row],[PRODUCER]])</f>
        <v>Henri Boillot</v>
      </c>
      <c r="C1900" s="1178" t="s">
        <v>21027</v>
      </c>
      <c r="D1900" s="1178" t="s">
        <v>1129</v>
      </c>
      <c r="E1900" s="1179">
        <v>2022</v>
      </c>
      <c r="F1900" s="1282" t="s">
        <v>20220</v>
      </c>
      <c r="G1900" s="1368"/>
      <c r="H1900" s="1178" t="s">
        <v>3907</v>
      </c>
      <c r="I1900" s="1178" t="s">
        <v>6516</v>
      </c>
      <c r="J1900" s="1178" t="s">
        <v>662</v>
      </c>
      <c r="K1900" s="1178" t="s">
        <v>267</v>
      </c>
      <c r="L1900" s="1178" t="s">
        <v>242</v>
      </c>
      <c r="M1900" s="1369" t="s">
        <v>23297</v>
      </c>
      <c r="N1900" s="1178"/>
      <c r="O1900" s="1178">
        <v>6</v>
      </c>
      <c r="P1900" s="1178">
        <v>14</v>
      </c>
    </row>
    <row r="1901" spans="1:16">
      <c r="A1901" s="1178" t="s">
        <v>246</v>
      </c>
      <c r="B1901" s="1371" t="str">
        <f>HYPERLINK(IFERROR("#Main_Tariff!A"&amp;MATCH(Raeburn_Main_Tariff[[#This Row],[Product Code]],Main_Tariff!I:I,0),"#Main_Tariff!A"&amp;MATCH("*"&amp;RIGHT(A1901,8)&amp;"*",Main_Tariff!A:A,0)),Raeburn_Main_Tariff[[#This Row],[PRODUCER]])</f>
        <v>Henri Boillot</v>
      </c>
      <c r="C1901" s="1178" t="s">
        <v>21028</v>
      </c>
      <c r="D1901" s="1178" t="s">
        <v>1129</v>
      </c>
      <c r="E1901" s="1179"/>
      <c r="F1901" s="1282" t="s">
        <v>20220</v>
      </c>
      <c r="G1901" s="1368"/>
      <c r="H1901" s="1178" t="s">
        <v>3907</v>
      </c>
      <c r="I1901" s="1178" t="s">
        <v>6517</v>
      </c>
      <c r="J1901" s="1178" t="s">
        <v>662</v>
      </c>
      <c r="K1901" s="1178" t="s">
        <v>267</v>
      </c>
      <c r="L1901" s="1178" t="s">
        <v>242</v>
      </c>
      <c r="M1901" s="1369" t="s">
        <v>23297</v>
      </c>
      <c r="N1901" s="1178"/>
      <c r="O1901" s="1178">
        <v>6</v>
      </c>
      <c r="P1901" s="1178">
        <v>14</v>
      </c>
    </row>
    <row r="1902" spans="1:16">
      <c r="A1902" s="1178" t="s">
        <v>246</v>
      </c>
      <c r="B1902" s="1371" t="str">
        <f>HYPERLINK(IFERROR("#Main_Tariff!A"&amp;MATCH(Raeburn_Main_Tariff[[#This Row],[Product Code]],Main_Tariff!I:I,0),"#Main_Tariff!A"&amp;MATCH("*"&amp;RIGHT(A1902,8)&amp;"*",Main_Tariff!A:A,0)),Raeburn_Main_Tariff[[#This Row],[PRODUCER]])</f>
        <v>Henri Boillot</v>
      </c>
      <c r="C1902" s="1178" t="s">
        <v>21029</v>
      </c>
      <c r="D1902" s="1178" t="s">
        <v>1129</v>
      </c>
      <c r="E1902" s="1179"/>
      <c r="F1902" s="1282" t="s">
        <v>20220</v>
      </c>
      <c r="G1902" s="1368"/>
      <c r="H1902" s="1178" t="s">
        <v>3907</v>
      </c>
      <c r="I1902" s="1178" t="s">
        <v>6518</v>
      </c>
      <c r="J1902" s="1178" t="s">
        <v>662</v>
      </c>
      <c r="K1902" s="1178" t="s">
        <v>267</v>
      </c>
      <c r="L1902" s="1178" t="s">
        <v>242</v>
      </c>
      <c r="M1902" s="1369" t="s">
        <v>23297</v>
      </c>
      <c r="N1902" s="1178"/>
      <c r="O1902" s="1178">
        <v>6</v>
      </c>
      <c r="P1902" s="1178">
        <v>14.5</v>
      </c>
    </row>
    <row r="1903" spans="1:16">
      <c r="A1903" s="1178" t="s">
        <v>246</v>
      </c>
      <c r="B1903" s="1371" t="str">
        <f>HYPERLINK(IFERROR("#Main_Tariff!A"&amp;MATCH(Raeburn_Main_Tariff[[#This Row],[Product Code]],Main_Tariff!I:I,0),"#Main_Tariff!A"&amp;MATCH("*"&amp;RIGHT(A1903,8)&amp;"*",Main_Tariff!A:A,0)),Raeburn_Main_Tariff[[#This Row],[PRODUCER]])</f>
        <v>Henri Boillot</v>
      </c>
      <c r="C1903" s="1178" t="s">
        <v>21030</v>
      </c>
      <c r="D1903" s="1178" t="s">
        <v>1129</v>
      </c>
      <c r="E1903" s="1179">
        <v>2022</v>
      </c>
      <c r="F1903" s="1282" t="s">
        <v>20220</v>
      </c>
      <c r="G1903" s="1368"/>
      <c r="H1903" s="1178" t="s">
        <v>3907</v>
      </c>
      <c r="I1903" s="1178" t="s">
        <v>6519</v>
      </c>
      <c r="J1903" s="1178" t="s">
        <v>662</v>
      </c>
      <c r="K1903" s="1178" t="s">
        <v>267</v>
      </c>
      <c r="L1903" s="1178" t="s">
        <v>242</v>
      </c>
      <c r="M1903" s="1369" t="s">
        <v>23297</v>
      </c>
      <c r="N1903" s="1178"/>
      <c r="O1903" s="1178">
        <v>6</v>
      </c>
      <c r="P1903" s="1178">
        <v>14</v>
      </c>
    </row>
    <row r="1904" spans="1:16">
      <c r="A1904" s="1178" t="s">
        <v>246</v>
      </c>
      <c r="B1904" s="1371" t="str">
        <f>HYPERLINK(IFERROR("#Main_Tariff!A"&amp;MATCH(Raeburn_Main_Tariff[[#This Row],[Product Code]],Main_Tariff!I:I,0),"#Main_Tariff!A"&amp;MATCH("*"&amp;RIGHT(A1904,8)&amp;"*",Main_Tariff!A:A,0)),Raeburn_Main_Tariff[[#This Row],[PRODUCER]])</f>
        <v>Henri Boillot</v>
      </c>
      <c r="C1904" s="1178" t="s">
        <v>21031</v>
      </c>
      <c r="D1904" s="1178" t="s">
        <v>1129</v>
      </c>
      <c r="E1904" s="1179">
        <v>2022</v>
      </c>
      <c r="F1904" s="1282" t="s">
        <v>20220</v>
      </c>
      <c r="G1904" s="1368" t="s">
        <v>5258</v>
      </c>
      <c r="H1904" s="1178" t="s">
        <v>20224</v>
      </c>
      <c r="I1904" s="1178" t="s">
        <v>6520</v>
      </c>
      <c r="J1904" s="1178" t="s">
        <v>662</v>
      </c>
      <c r="K1904" s="1178" t="s">
        <v>267</v>
      </c>
      <c r="L1904" s="1178" t="s">
        <v>242</v>
      </c>
      <c r="M1904" s="1369"/>
      <c r="N1904" s="1178"/>
      <c r="O1904" s="1178">
        <v>6</v>
      </c>
      <c r="P1904" s="1178">
        <v>14</v>
      </c>
    </row>
    <row r="1905" spans="1:16">
      <c r="A1905" s="1178" t="s">
        <v>246</v>
      </c>
      <c r="B1905" s="1371" t="str">
        <f>HYPERLINK(IFERROR("#Main_Tariff!A"&amp;MATCH(Raeburn_Main_Tariff[[#This Row],[Product Code]],Main_Tariff!I:I,0),"#Main_Tariff!A"&amp;MATCH("*"&amp;RIGHT(A1905,8)&amp;"*",Main_Tariff!A:A,0)),Raeburn_Main_Tariff[[#This Row],[PRODUCER]])</f>
        <v>Henri Boillot</v>
      </c>
      <c r="C1905" s="1178" t="s">
        <v>21032</v>
      </c>
      <c r="D1905" s="1178" t="s">
        <v>1129</v>
      </c>
      <c r="E1905" s="1179"/>
      <c r="F1905" s="1282" t="s">
        <v>20240</v>
      </c>
      <c r="G1905" s="1368"/>
      <c r="H1905" s="1178" t="s">
        <v>3907</v>
      </c>
      <c r="I1905" s="1178" t="s">
        <v>6521</v>
      </c>
      <c r="J1905" s="1178" t="s">
        <v>662</v>
      </c>
      <c r="K1905" s="1178" t="s">
        <v>267</v>
      </c>
      <c r="L1905" s="1178" t="s">
        <v>242</v>
      </c>
      <c r="M1905" s="1369"/>
      <c r="N1905" s="1178"/>
      <c r="O1905" s="1178">
        <v>3</v>
      </c>
      <c r="P1905" s="1178">
        <v>14.5</v>
      </c>
    </row>
    <row r="1906" spans="1:16">
      <c r="A1906" s="1178" t="s">
        <v>246</v>
      </c>
      <c r="B1906" s="1371" t="str">
        <f>HYPERLINK(IFERROR("#Main_Tariff!A"&amp;MATCH(Raeburn_Main_Tariff[[#This Row],[Product Code]],Main_Tariff!I:I,0),"#Main_Tariff!A"&amp;MATCH("*"&amp;RIGHT(A1906,8)&amp;"*",Main_Tariff!A:A,0)),Raeburn_Main_Tariff[[#This Row],[PRODUCER]])</f>
        <v>Henri Boillot</v>
      </c>
      <c r="C1906" s="1178" t="s">
        <v>21033</v>
      </c>
      <c r="D1906" s="1178" t="s">
        <v>1129</v>
      </c>
      <c r="E1906" s="1179">
        <v>2022</v>
      </c>
      <c r="F1906" s="1282" t="s">
        <v>20220</v>
      </c>
      <c r="G1906" s="1368" t="s">
        <v>20342</v>
      </c>
      <c r="H1906" s="1178" t="s">
        <v>20343</v>
      </c>
      <c r="I1906" s="1178" t="s">
        <v>6522</v>
      </c>
      <c r="J1906" s="1178" t="s">
        <v>662</v>
      </c>
      <c r="K1906" s="1178" t="s">
        <v>267</v>
      </c>
      <c r="L1906" s="1178" t="s">
        <v>242</v>
      </c>
      <c r="M1906" s="1369"/>
      <c r="N1906" s="1178"/>
      <c r="O1906" s="1178">
        <v>6</v>
      </c>
      <c r="P1906" s="1178">
        <v>14</v>
      </c>
    </row>
    <row r="1907" spans="1:16">
      <c r="A1907" s="1178" t="s">
        <v>246</v>
      </c>
      <c r="B1907" s="1371" t="str">
        <f>HYPERLINK(IFERROR("#Main_Tariff!A"&amp;MATCH(Raeburn_Main_Tariff[[#This Row],[Product Code]],Main_Tariff!I:I,0),"#Main_Tariff!A"&amp;MATCH("*"&amp;RIGHT(A1907,8)&amp;"*",Main_Tariff!A:A,0)),Raeburn_Main_Tariff[[#This Row],[PRODUCER]])</f>
        <v>Henri Boillot</v>
      </c>
      <c r="C1907" s="1178" t="s">
        <v>21034</v>
      </c>
      <c r="D1907" s="1178" t="s">
        <v>1129</v>
      </c>
      <c r="E1907" s="1179">
        <v>2022</v>
      </c>
      <c r="F1907" s="1282" t="s">
        <v>20220</v>
      </c>
      <c r="G1907" s="1368" t="s">
        <v>20342</v>
      </c>
      <c r="H1907" s="1178" t="s">
        <v>20343</v>
      </c>
      <c r="I1907" s="1178" t="s">
        <v>6523</v>
      </c>
      <c r="J1907" s="1178" t="s">
        <v>662</v>
      </c>
      <c r="K1907" s="1178" t="s">
        <v>267</v>
      </c>
      <c r="L1907" s="1178" t="s">
        <v>242</v>
      </c>
      <c r="M1907" s="1369" t="s">
        <v>23297</v>
      </c>
      <c r="N1907" s="1178"/>
      <c r="O1907" s="1178">
        <v>6</v>
      </c>
      <c r="P1907" s="1178">
        <v>14</v>
      </c>
    </row>
    <row r="1908" spans="1:16">
      <c r="A1908" s="1178" t="s">
        <v>246</v>
      </c>
      <c r="B1908" s="1371" t="str">
        <f>HYPERLINK(IFERROR("#Main_Tariff!A"&amp;MATCH(Raeburn_Main_Tariff[[#This Row],[Product Code]],Main_Tariff!I:I,0),"#Main_Tariff!A"&amp;MATCH("*"&amp;RIGHT(A1908,8)&amp;"*",Main_Tariff!A:A,0)),Raeburn_Main_Tariff[[#This Row],[PRODUCER]])</f>
        <v>Henri Boillot</v>
      </c>
      <c r="C1908" s="1178" t="s">
        <v>21035</v>
      </c>
      <c r="D1908" s="1178" t="s">
        <v>1129</v>
      </c>
      <c r="E1908" s="1179">
        <v>2022</v>
      </c>
      <c r="F1908" s="1282" t="s">
        <v>20220</v>
      </c>
      <c r="G1908" s="1368" t="s">
        <v>20342</v>
      </c>
      <c r="H1908" s="1178" t="s">
        <v>20343</v>
      </c>
      <c r="I1908" s="1178" t="s">
        <v>6524</v>
      </c>
      <c r="J1908" s="1178" t="s">
        <v>662</v>
      </c>
      <c r="K1908" s="1178" t="s">
        <v>267</v>
      </c>
      <c r="L1908" s="1178" t="s">
        <v>242</v>
      </c>
      <c r="M1908" s="1369" t="s">
        <v>23297</v>
      </c>
      <c r="N1908" s="1178"/>
      <c r="O1908" s="1178">
        <v>6</v>
      </c>
      <c r="P1908" s="1178">
        <v>14</v>
      </c>
    </row>
    <row r="1909" spans="1:16">
      <c r="A1909" s="1178" t="s">
        <v>246</v>
      </c>
      <c r="B1909" s="1371" t="str">
        <f>HYPERLINK(IFERROR("#Main_Tariff!A"&amp;MATCH(Raeburn_Main_Tariff[[#This Row],[Product Code]],Main_Tariff!I:I,0),"#Main_Tariff!A"&amp;MATCH("*"&amp;RIGHT(A1909,8)&amp;"*",Main_Tariff!A:A,0)),Raeburn_Main_Tariff[[#This Row],[PRODUCER]])</f>
        <v>Henri Boillot</v>
      </c>
      <c r="C1909" s="1178" t="s">
        <v>21036</v>
      </c>
      <c r="D1909" s="1178" t="s">
        <v>1129</v>
      </c>
      <c r="E1909" s="1179">
        <v>2022</v>
      </c>
      <c r="F1909" s="1282" t="s">
        <v>20220</v>
      </c>
      <c r="G1909" s="1368" t="s">
        <v>20342</v>
      </c>
      <c r="H1909" s="1178" t="s">
        <v>20343</v>
      </c>
      <c r="I1909" s="1178" t="s">
        <v>6525</v>
      </c>
      <c r="J1909" s="1178" t="s">
        <v>662</v>
      </c>
      <c r="K1909" s="1178" t="s">
        <v>267</v>
      </c>
      <c r="L1909" s="1178" t="s">
        <v>242</v>
      </c>
      <c r="M1909" s="1369" t="s">
        <v>23297</v>
      </c>
      <c r="N1909" s="1178"/>
      <c r="O1909" s="1178">
        <v>6</v>
      </c>
      <c r="P1909" s="1178">
        <v>14</v>
      </c>
    </row>
    <row r="1910" spans="1:16">
      <c r="A1910" s="1178" t="s">
        <v>246</v>
      </c>
      <c r="B1910" s="1371" t="str">
        <f>HYPERLINK(IFERROR("#Main_Tariff!A"&amp;MATCH(Raeburn_Main_Tariff[[#This Row],[Product Code]],Main_Tariff!I:I,0),"#Main_Tariff!A"&amp;MATCH("*"&amp;RIGHT(A1910,8)&amp;"*",Main_Tariff!A:A,0)),Raeburn_Main_Tariff[[#This Row],[PRODUCER]])</f>
        <v>Henri Boillot</v>
      </c>
      <c r="C1910" s="1178" t="s">
        <v>21037</v>
      </c>
      <c r="D1910" s="1178" t="s">
        <v>1129</v>
      </c>
      <c r="E1910" s="1179">
        <v>2022</v>
      </c>
      <c r="F1910" s="1282" t="s">
        <v>20220</v>
      </c>
      <c r="G1910" s="1368" t="s">
        <v>20342</v>
      </c>
      <c r="H1910" s="1178" t="s">
        <v>20343</v>
      </c>
      <c r="I1910" s="1178" t="s">
        <v>6526</v>
      </c>
      <c r="J1910" s="1178" t="s">
        <v>662</v>
      </c>
      <c r="K1910" s="1178" t="s">
        <v>267</v>
      </c>
      <c r="L1910" s="1178" t="s">
        <v>242</v>
      </c>
      <c r="M1910" s="1369" t="s">
        <v>23297</v>
      </c>
      <c r="N1910" s="1178"/>
      <c r="O1910" s="1178">
        <v>6</v>
      </c>
      <c r="P1910" s="1178">
        <v>14</v>
      </c>
    </row>
    <row r="1911" spans="1:16">
      <c r="A1911" s="1178" t="s">
        <v>246</v>
      </c>
      <c r="B1911" s="1371" t="str">
        <f>HYPERLINK(IFERROR("#Main_Tariff!A"&amp;MATCH(Raeburn_Main_Tariff[[#This Row],[Product Code]],Main_Tariff!I:I,0),"#Main_Tariff!A"&amp;MATCH("*"&amp;RIGHT(A1911,8)&amp;"*",Main_Tariff!A:A,0)),Raeburn_Main_Tariff[[#This Row],[PRODUCER]])</f>
        <v>Henri Boillot</v>
      </c>
      <c r="C1911" s="1178" t="s">
        <v>20783</v>
      </c>
      <c r="D1911" s="1178" t="s">
        <v>1129</v>
      </c>
      <c r="E1911" s="1179">
        <v>2022</v>
      </c>
      <c r="F1911" s="1282" t="s">
        <v>20220</v>
      </c>
      <c r="G1911" s="1368" t="s">
        <v>5258</v>
      </c>
      <c r="H1911" s="1178" t="s">
        <v>20224</v>
      </c>
      <c r="I1911" s="1178" t="s">
        <v>6528</v>
      </c>
      <c r="J1911" s="1178" t="s">
        <v>662</v>
      </c>
      <c r="K1911" s="1178" t="s">
        <v>267</v>
      </c>
      <c r="L1911" s="1178" t="s">
        <v>242</v>
      </c>
      <c r="M1911" s="1369" t="s">
        <v>23296</v>
      </c>
      <c r="N1911" s="1178"/>
      <c r="O1911" s="1178">
        <v>3</v>
      </c>
      <c r="P1911" s="1178">
        <v>14</v>
      </c>
    </row>
    <row r="1912" spans="1:16">
      <c r="A1912" s="1178" t="s">
        <v>246</v>
      </c>
      <c r="B1912" s="1371" t="str">
        <f>HYPERLINK(IFERROR("#Main_Tariff!A"&amp;MATCH(Raeburn_Main_Tariff[[#This Row],[Product Code]],Main_Tariff!I:I,0),"#Main_Tariff!A"&amp;MATCH("*"&amp;RIGHT(A1912,8)&amp;"*",Main_Tariff!A:A,0)),Raeburn_Main_Tariff[[#This Row],[PRODUCER]])</f>
        <v>Henri Boillot</v>
      </c>
      <c r="C1912" s="1178" t="s">
        <v>21038</v>
      </c>
      <c r="D1912" s="1178" t="s">
        <v>1129</v>
      </c>
      <c r="E1912" s="1179">
        <v>2022</v>
      </c>
      <c r="F1912" s="1282" t="s">
        <v>20220</v>
      </c>
      <c r="G1912" s="1368" t="s">
        <v>5258</v>
      </c>
      <c r="H1912" s="1178" t="s">
        <v>20224</v>
      </c>
      <c r="I1912" s="1178" t="s">
        <v>6529</v>
      </c>
      <c r="J1912" s="1178" t="s">
        <v>662</v>
      </c>
      <c r="K1912" s="1178" t="s">
        <v>267</v>
      </c>
      <c r="L1912" s="1178" t="s">
        <v>242</v>
      </c>
      <c r="M1912" s="1369" t="s">
        <v>23296</v>
      </c>
      <c r="N1912" s="1178"/>
      <c r="O1912" s="1178">
        <v>3</v>
      </c>
      <c r="P1912" s="1178">
        <v>14</v>
      </c>
    </row>
    <row r="1913" spans="1:16">
      <c r="A1913" s="1178" t="s">
        <v>246</v>
      </c>
      <c r="B1913" s="1371" t="str">
        <f>HYPERLINK(IFERROR("#Main_Tariff!A"&amp;MATCH(Raeburn_Main_Tariff[[#This Row],[Product Code]],Main_Tariff!I:I,0),"#Main_Tariff!A"&amp;MATCH("*"&amp;RIGHT(A1913,8)&amp;"*",Main_Tariff!A:A,0)),Raeburn_Main_Tariff[[#This Row],[PRODUCER]])</f>
        <v>Henri Boillot</v>
      </c>
      <c r="C1913" s="1178" t="s">
        <v>21039</v>
      </c>
      <c r="D1913" s="1178" t="s">
        <v>1129</v>
      </c>
      <c r="E1913" s="1179">
        <v>2022</v>
      </c>
      <c r="F1913" s="1282" t="s">
        <v>20220</v>
      </c>
      <c r="G1913" s="1368" t="s">
        <v>5258</v>
      </c>
      <c r="H1913" s="1178" t="s">
        <v>3907</v>
      </c>
      <c r="I1913" s="1178" t="s">
        <v>6530</v>
      </c>
      <c r="J1913" s="1178" t="s">
        <v>662</v>
      </c>
      <c r="K1913" s="1178" t="s">
        <v>267</v>
      </c>
      <c r="L1913" s="1178" t="s">
        <v>242</v>
      </c>
      <c r="M1913" s="1369" t="s">
        <v>23296</v>
      </c>
      <c r="N1913" s="1178"/>
      <c r="O1913" s="1178">
        <v>3</v>
      </c>
      <c r="P1913" s="1178">
        <v>14</v>
      </c>
    </row>
    <row r="1914" spans="1:16">
      <c r="A1914" s="1178" t="s">
        <v>21040</v>
      </c>
      <c r="B1914" s="1371" t="str">
        <f>HYPERLINK(IFERROR("#Main_Tariff!A"&amp;MATCH(Raeburn_Main_Tariff[[#This Row],[Product Code]],Main_Tariff!I:I,0),"#Main_Tariff!A"&amp;MATCH("*"&amp;RIGHT(A1914,8)&amp;"*",Main_Tariff!A:A,0)),Raeburn_Main_Tariff[[#This Row],[PRODUCER]])</f>
        <v>Domaine Camus-Bruchon</v>
      </c>
      <c r="C1914" s="1178" t="s">
        <v>21041</v>
      </c>
      <c r="D1914" s="1178" t="s">
        <v>897</v>
      </c>
      <c r="E1914" s="1179">
        <v>2014</v>
      </c>
      <c r="F1914" s="1282" t="s">
        <v>20220</v>
      </c>
      <c r="G1914" s="1368">
        <v>30</v>
      </c>
      <c r="H1914" s="1178" t="s">
        <v>20221</v>
      </c>
      <c r="I1914" s="1178" t="s">
        <v>6541</v>
      </c>
      <c r="J1914" s="1178" t="s">
        <v>662</v>
      </c>
      <c r="K1914" s="1178" t="s">
        <v>267</v>
      </c>
      <c r="L1914" s="1178" t="s">
        <v>242</v>
      </c>
      <c r="M1914" s="1369"/>
      <c r="N1914" s="1178"/>
      <c r="O1914" s="1178">
        <v>6</v>
      </c>
      <c r="P1914" s="1178">
        <v>13</v>
      </c>
    </row>
    <row r="1915" spans="1:16">
      <c r="A1915" s="1178" t="s">
        <v>21040</v>
      </c>
      <c r="B1915" s="1371" t="str">
        <f>HYPERLINK(IFERROR("#Main_Tariff!A"&amp;MATCH(Raeburn_Main_Tariff[[#This Row],[Product Code]],Main_Tariff!I:I,0),"#Main_Tariff!A"&amp;MATCH("*"&amp;RIGHT(A1915,8)&amp;"*",Main_Tariff!A:A,0)),Raeburn_Main_Tariff[[#This Row],[PRODUCER]])</f>
        <v>Domaine Camus-Bruchon</v>
      </c>
      <c r="C1915" s="1178" t="s">
        <v>21041</v>
      </c>
      <c r="D1915" s="1178" t="s">
        <v>897</v>
      </c>
      <c r="E1915" s="1179">
        <v>2012</v>
      </c>
      <c r="F1915" s="1282" t="s">
        <v>20220</v>
      </c>
      <c r="G1915" s="1368">
        <v>29.5</v>
      </c>
      <c r="H1915" s="1178" t="s">
        <v>20224</v>
      </c>
      <c r="I1915" s="1178" t="s">
        <v>6543</v>
      </c>
      <c r="J1915" s="1178" t="s">
        <v>662</v>
      </c>
      <c r="K1915" s="1178" t="s">
        <v>267</v>
      </c>
      <c r="L1915" s="1178" t="s">
        <v>242</v>
      </c>
      <c r="M1915" s="1369"/>
      <c r="N1915" s="1178"/>
      <c r="O1915" s="1178">
        <v>12</v>
      </c>
      <c r="P1915" s="1178">
        <v>13</v>
      </c>
    </row>
    <row r="1916" spans="1:16">
      <c r="A1916" s="1178" t="s">
        <v>21040</v>
      </c>
      <c r="B1916" s="1371" t="str">
        <f>HYPERLINK(IFERROR("#Main_Tariff!A"&amp;MATCH(Raeburn_Main_Tariff[[#This Row],[Product Code]],Main_Tariff!I:I,0),"#Main_Tariff!A"&amp;MATCH("*"&amp;RIGHT(A1916,8)&amp;"*",Main_Tariff!A:A,0)),Raeburn_Main_Tariff[[#This Row],[PRODUCER]])</f>
        <v>Domaine Camus-Bruchon</v>
      </c>
      <c r="C1916" s="1178" t="s">
        <v>21041</v>
      </c>
      <c r="D1916" s="1178" t="s">
        <v>897</v>
      </c>
      <c r="E1916" s="1179">
        <v>2011</v>
      </c>
      <c r="F1916" s="1282" t="s">
        <v>20220</v>
      </c>
      <c r="G1916" s="1368">
        <v>29.5</v>
      </c>
      <c r="H1916" s="1178" t="s">
        <v>20221</v>
      </c>
      <c r="I1916" s="1178" t="s">
        <v>6545</v>
      </c>
      <c r="J1916" s="1178" t="s">
        <v>662</v>
      </c>
      <c r="K1916" s="1178" t="s">
        <v>267</v>
      </c>
      <c r="L1916" s="1178" t="s">
        <v>242</v>
      </c>
      <c r="M1916" s="1369"/>
      <c r="N1916" s="1178"/>
      <c r="O1916" s="1178">
        <v>12</v>
      </c>
      <c r="P1916" s="1178">
        <v>15</v>
      </c>
    </row>
    <row r="1917" spans="1:16">
      <c r="A1917" s="1178" t="s">
        <v>21040</v>
      </c>
      <c r="B1917" s="1371" t="str">
        <f>HYPERLINK(IFERROR("#Main_Tariff!A"&amp;MATCH(Raeburn_Main_Tariff[[#This Row],[Product Code]],Main_Tariff!I:I,0),"#Main_Tariff!A"&amp;MATCH("*"&amp;RIGHT(A1917,8)&amp;"*",Main_Tariff!A:A,0)),Raeburn_Main_Tariff[[#This Row],[PRODUCER]])</f>
        <v>Domaine Camus-Bruchon</v>
      </c>
      <c r="C1917" s="1178" t="s">
        <v>21041</v>
      </c>
      <c r="D1917" s="1178" t="s">
        <v>897</v>
      </c>
      <c r="E1917" s="1179">
        <v>2010</v>
      </c>
      <c r="F1917" s="1282" t="s">
        <v>20220</v>
      </c>
      <c r="G1917" s="1368">
        <v>27</v>
      </c>
      <c r="H1917" s="1178" t="s">
        <v>20221</v>
      </c>
      <c r="I1917" s="1178" t="s">
        <v>6547</v>
      </c>
      <c r="J1917" s="1178" t="s">
        <v>662</v>
      </c>
      <c r="K1917" s="1178" t="s">
        <v>267</v>
      </c>
      <c r="L1917" s="1178" t="s">
        <v>242</v>
      </c>
      <c r="M1917" s="1369"/>
      <c r="N1917" s="1178"/>
      <c r="O1917" s="1178">
        <v>12</v>
      </c>
      <c r="P1917" s="1178">
        <v>13</v>
      </c>
    </row>
    <row r="1918" spans="1:16">
      <c r="A1918" s="1178" t="s">
        <v>21040</v>
      </c>
      <c r="B1918" s="1371" t="str">
        <f>HYPERLINK(IFERROR("#Main_Tariff!A"&amp;MATCH(Raeburn_Main_Tariff[[#This Row],[Product Code]],Main_Tariff!I:I,0),"#Main_Tariff!A"&amp;MATCH("*"&amp;RIGHT(A1918,8)&amp;"*",Main_Tariff!A:A,0)),Raeburn_Main_Tariff[[#This Row],[PRODUCER]])</f>
        <v>Domaine Camus-Bruchon</v>
      </c>
      <c r="C1918" s="1178" t="s">
        <v>21042</v>
      </c>
      <c r="D1918" s="1178" t="s">
        <v>897</v>
      </c>
      <c r="E1918" s="1179">
        <v>2014</v>
      </c>
      <c r="F1918" s="1282" t="s">
        <v>20220</v>
      </c>
      <c r="G1918" s="1368">
        <v>30.5</v>
      </c>
      <c r="H1918" s="1178" t="s">
        <v>20221</v>
      </c>
      <c r="I1918" s="1178" t="s">
        <v>6550</v>
      </c>
      <c r="J1918" s="1178" t="s">
        <v>662</v>
      </c>
      <c r="K1918" s="1178" t="s">
        <v>267</v>
      </c>
      <c r="L1918" s="1178" t="s">
        <v>242</v>
      </c>
      <c r="M1918" s="1369" t="s">
        <v>23297</v>
      </c>
      <c r="N1918" s="1178"/>
      <c r="O1918" s="1178">
        <v>6</v>
      </c>
      <c r="P1918" s="1178">
        <v>13.5</v>
      </c>
    </row>
    <row r="1919" spans="1:16">
      <c r="A1919" s="1178" t="s">
        <v>21040</v>
      </c>
      <c r="B1919" s="1371" t="str">
        <f>HYPERLINK(IFERROR("#Main_Tariff!A"&amp;MATCH(Raeburn_Main_Tariff[[#This Row],[Product Code]],Main_Tariff!I:I,0),"#Main_Tariff!A"&amp;MATCH("*"&amp;RIGHT(A1919,8)&amp;"*",Main_Tariff!A:A,0)),Raeburn_Main_Tariff[[#This Row],[PRODUCER]])</f>
        <v>Domaine Camus-Bruchon</v>
      </c>
      <c r="C1919" s="1178" t="s">
        <v>21042</v>
      </c>
      <c r="D1919" s="1178" t="s">
        <v>897</v>
      </c>
      <c r="E1919" s="1179">
        <v>2013</v>
      </c>
      <c r="F1919" s="1282" t="s">
        <v>20220</v>
      </c>
      <c r="G1919" s="1368">
        <v>31.25</v>
      </c>
      <c r="H1919" s="1178" t="s">
        <v>20221</v>
      </c>
      <c r="I1919" s="1178" t="s">
        <v>6552</v>
      </c>
      <c r="J1919" s="1178" t="s">
        <v>662</v>
      </c>
      <c r="K1919" s="1178" t="s">
        <v>267</v>
      </c>
      <c r="L1919" s="1178" t="s">
        <v>242</v>
      </c>
      <c r="M1919" s="1369" t="s">
        <v>23297</v>
      </c>
      <c r="N1919" s="1178"/>
      <c r="O1919" s="1178">
        <v>6</v>
      </c>
      <c r="P1919" s="1178">
        <v>13.5</v>
      </c>
    </row>
    <row r="1920" spans="1:16">
      <c r="A1920" s="1178" t="s">
        <v>21040</v>
      </c>
      <c r="B1920" s="1371" t="str">
        <f>HYPERLINK(IFERROR("#Main_Tariff!A"&amp;MATCH(Raeburn_Main_Tariff[[#This Row],[Product Code]],Main_Tariff!I:I,0),"#Main_Tariff!A"&amp;MATCH("*"&amp;RIGHT(A1920,8)&amp;"*",Main_Tariff!A:A,0)),Raeburn_Main_Tariff[[#This Row],[PRODUCER]])</f>
        <v>Domaine Camus-Bruchon</v>
      </c>
      <c r="C1920" s="1178" t="s">
        <v>21043</v>
      </c>
      <c r="D1920" s="1178" t="s">
        <v>897</v>
      </c>
      <c r="E1920" s="1179">
        <v>2022</v>
      </c>
      <c r="F1920" s="1282" t="s">
        <v>20220</v>
      </c>
      <c r="G1920" s="1368">
        <v>32.75</v>
      </c>
      <c r="H1920" s="1178" t="s">
        <v>20221</v>
      </c>
      <c r="I1920" s="1178" t="s">
        <v>6554</v>
      </c>
      <c r="J1920" s="1178" t="s">
        <v>662</v>
      </c>
      <c r="K1920" s="1178" t="s">
        <v>267</v>
      </c>
      <c r="L1920" s="1178" t="s">
        <v>242</v>
      </c>
      <c r="M1920" s="1369" t="s">
        <v>23297</v>
      </c>
      <c r="N1920" s="1178"/>
      <c r="O1920" s="1178">
        <v>6</v>
      </c>
      <c r="P1920" s="1178">
        <v>13</v>
      </c>
    </row>
    <row r="1921" spans="1:16">
      <c r="A1921" s="1178" t="s">
        <v>21040</v>
      </c>
      <c r="B1921" s="1371" t="str">
        <f>HYPERLINK(IFERROR("#Main_Tariff!A"&amp;MATCH(Raeburn_Main_Tariff[[#This Row],[Product Code]],Main_Tariff!I:I,0),"#Main_Tariff!A"&amp;MATCH("*"&amp;RIGHT(A1921,8)&amp;"*",Main_Tariff!A:A,0)),Raeburn_Main_Tariff[[#This Row],[PRODUCER]])</f>
        <v>Domaine Camus-Bruchon</v>
      </c>
      <c r="C1921" s="1178" t="s">
        <v>21043</v>
      </c>
      <c r="D1921" s="1178" t="s">
        <v>897</v>
      </c>
      <c r="E1921" s="1179">
        <v>2021</v>
      </c>
      <c r="F1921" s="1282" t="s">
        <v>20220</v>
      </c>
      <c r="G1921" s="1368">
        <v>32.75</v>
      </c>
      <c r="H1921" s="1178" t="s">
        <v>20221</v>
      </c>
      <c r="I1921" s="1178" t="s">
        <v>6556</v>
      </c>
      <c r="J1921" s="1178" t="s">
        <v>662</v>
      </c>
      <c r="K1921" s="1178" t="s">
        <v>267</v>
      </c>
      <c r="L1921" s="1178" t="s">
        <v>242</v>
      </c>
      <c r="M1921" s="1369" t="s">
        <v>23297</v>
      </c>
      <c r="N1921" s="1178"/>
      <c r="O1921" s="1178">
        <v>6</v>
      </c>
      <c r="P1921" s="1178">
        <v>13</v>
      </c>
    </row>
    <row r="1922" spans="1:16">
      <c r="A1922" s="1178" t="s">
        <v>21040</v>
      </c>
      <c r="B1922" s="1371" t="str">
        <f>HYPERLINK(IFERROR("#Main_Tariff!A"&amp;MATCH(Raeburn_Main_Tariff[[#This Row],[Product Code]],Main_Tariff!I:I,0),"#Main_Tariff!A"&amp;MATCH("*"&amp;RIGHT(A1922,8)&amp;"*",Main_Tariff!A:A,0)),Raeburn_Main_Tariff[[#This Row],[PRODUCER]])</f>
        <v>Domaine Camus-Bruchon</v>
      </c>
      <c r="C1922" s="1178" t="s">
        <v>21043</v>
      </c>
      <c r="D1922" s="1178" t="s">
        <v>897</v>
      </c>
      <c r="E1922" s="1179">
        <v>2020</v>
      </c>
      <c r="F1922" s="1282" t="s">
        <v>20220</v>
      </c>
      <c r="G1922" s="1368">
        <v>31</v>
      </c>
      <c r="H1922" s="1178" t="s">
        <v>20221</v>
      </c>
      <c r="I1922" s="1178" t="s">
        <v>6558</v>
      </c>
      <c r="J1922" s="1178" t="s">
        <v>662</v>
      </c>
      <c r="K1922" s="1178" t="s">
        <v>267</v>
      </c>
      <c r="L1922" s="1178" t="s">
        <v>242</v>
      </c>
      <c r="M1922" s="1369" t="s">
        <v>23297</v>
      </c>
      <c r="N1922" s="1178"/>
      <c r="O1922" s="1178">
        <v>6</v>
      </c>
      <c r="P1922" s="1178">
        <v>13</v>
      </c>
    </row>
    <row r="1923" spans="1:16">
      <c r="A1923" s="1178" t="s">
        <v>21040</v>
      </c>
      <c r="B1923" s="1371" t="str">
        <f>HYPERLINK(IFERROR("#Main_Tariff!A"&amp;MATCH(Raeburn_Main_Tariff[[#This Row],[Product Code]],Main_Tariff!I:I,0),"#Main_Tariff!A"&amp;MATCH("*"&amp;RIGHT(A1923,8)&amp;"*",Main_Tariff!A:A,0)),Raeburn_Main_Tariff[[#This Row],[PRODUCER]])</f>
        <v>Domaine Camus-Bruchon</v>
      </c>
      <c r="C1923" s="1178" t="s">
        <v>21043</v>
      </c>
      <c r="D1923" s="1178" t="s">
        <v>897</v>
      </c>
      <c r="E1923" s="1179">
        <v>2019</v>
      </c>
      <c r="F1923" s="1282" t="s">
        <v>20220</v>
      </c>
      <c r="G1923" s="1368">
        <v>31</v>
      </c>
      <c r="H1923" s="1178" t="s">
        <v>20221</v>
      </c>
      <c r="I1923" s="1178" t="s">
        <v>6560</v>
      </c>
      <c r="J1923" s="1178" t="s">
        <v>662</v>
      </c>
      <c r="K1923" s="1178" t="s">
        <v>267</v>
      </c>
      <c r="L1923" s="1178" t="s">
        <v>242</v>
      </c>
      <c r="M1923" s="1369" t="s">
        <v>23297</v>
      </c>
      <c r="N1923" s="1178"/>
      <c r="O1923" s="1178">
        <v>6</v>
      </c>
      <c r="P1923" s="1178">
        <v>13.5</v>
      </c>
    </row>
    <row r="1924" spans="1:16">
      <c r="A1924" s="1178" t="s">
        <v>21040</v>
      </c>
      <c r="B1924" s="1371" t="str">
        <f>HYPERLINK(IFERROR("#Main_Tariff!A"&amp;MATCH(Raeburn_Main_Tariff[[#This Row],[Product Code]],Main_Tariff!I:I,0),"#Main_Tariff!A"&amp;MATCH("*"&amp;RIGHT(A1924,8)&amp;"*",Main_Tariff!A:A,0)),Raeburn_Main_Tariff[[#This Row],[PRODUCER]])</f>
        <v>Domaine Camus-Bruchon</v>
      </c>
      <c r="C1924" s="1178" t="s">
        <v>21043</v>
      </c>
      <c r="D1924" s="1178" t="s">
        <v>897</v>
      </c>
      <c r="E1924" s="1179">
        <v>2018</v>
      </c>
      <c r="F1924" s="1282" t="s">
        <v>20220</v>
      </c>
      <c r="G1924" s="1368">
        <v>31</v>
      </c>
      <c r="H1924" s="1178" t="s">
        <v>20221</v>
      </c>
      <c r="I1924" s="1178" t="s">
        <v>6562</v>
      </c>
      <c r="J1924" s="1178" t="s">
        <v>662</v>
      </c>
      <c r="K1924" s="1178" t="s">
        <v>267</v>
      </c>
      <c r="L1924" s="1178" t="s">
        <v>242</v>
      </c>
      <c r="M1924" s="1369" t="s">
        <v>23297</v>
      </c>
      <c r="N1924" s="1178"/>
      <c r="O1924" s="1178">
        <v>6</v>
      </c>
      <c r="P1924" s="1178">
        <v>13</v>
      </c>
    </row>
    <row r="1925" spans="1:16">
      <c r="A1925" s="1178" t="s">
        <v>21040</v>
      </c>
      <c r="B1925" s="1371" t="str">
        <f>HYPERLINK(IFERROR("#Main_Tariff!A"&amp;MATCH(Raeburn_Main_Tariff[[#This Row],[Product Code]],Main_Tariff!I:I,0),"#Main_Tariff!A"&amp;MATCH("*"&amp;RIGHT(A1925,8)&amp;"*",Main_Tariff!A:A,0)),Raeburn_Main_Tariff[[#This Row],[PRODUCER]])</f>
        <v>Domaine Camus-Bruchon</v>
      </c>
      <c r="C1925" s="1178" t="s">
        <v>21043</v>
      </c>
      <c r="D1925" s="1178" t="s">
        <v>897</v>
      </c>
      <c r="E1925" s="1179">
        <v>2016</v>
      </c>
      <c r="F1925" s="1282" t="s">
        <v>20220</v>
      </c>
      <c r="G1925" s="1368">
        <v>31</v>
      </c>
      <c r="H1925" s="1178" t="s">
        <v>20465</v>
      </c>
      <c r="I1925" s="1178" t="s">
        <v>6564</v>
      </c>
      <c r="J1925" s="1178" t="s">
        <v>662</v>
      </c>
      <c r="K1925" s="1178" t="s">
        <v>267</v>
      </c>
      <c r="L1925" s="1178" t="s">
        <v>242</v>
      </c>
      <c r="M1925" s="1369" t="s">
        <v>23297</v>
      </c>
      <c r="N1925" s="1178"/>
      <c r="O1925" s="1178">
        <v>6</v>
      </c>
      <c r="P1925" s="1178">
        <v>13.5</v>
      </c>
    </row>
    <row r="1926" spans="1:16">
      <c r="A1926" s="1178" t="s">
        <v>21040</v>
      </c>
      <c r="B1926" s="1371" t="str">
        <f>HYPERLINK(IFERROR("#Main_Tariff!A"&amp;MATCH(Raeburn_Main_Tariff[[#This Row],[Product Code]],Main_Tariff!I:I,0),"#Main_Tariff!A"&amp;MATCH("*"&amp;RIGHT(A1926,8)&amp;"*",Main_Tariff!A:A,0)),Raeburn_Main_Tariff[[#This Row],[PRODUCER]])</f>
        <v>Domaine Camus-Bruchon</v>
      </c>
      <c r="C1926" s="1178" t="s">
        <v>21043</v>
      </c>
      <c r="D1926" s="1178" t="s">
        <v>897</v>
      </c>
      <c r="E1926" s="1179">
        <v>2006</v>
      </c>
      <c r="F1926" s="1282" t="s">
        <v>20220</v>
      </c>
      <c r="G1926" s="1368">
        <v>39.5</v>
      </c>
      <c r="H1926" s="1178" t="s">
        <v>20465</v>
      </c>
      <c r="I1926" s="1178" t="s">
        <v>23273</v>
      </c>
      <c r="J1926" s="1178" t="s">
        <v>662</v>
      </c>
      <c r="K1926" s="1178" t="s">
        <v>267</v>
      </c>
      <c r="L1926" s="1178" t="s">
        <v>242</v>
      </c>
      <c r="M1926" s="1369" t="s">
        <v>23297</v>
      </c>
      <c r="N1926" s="1178"/>
      <c r="O1926" s="1178"/>
      <c r="P1926" s="1178"/>
    </row>
    <row r="1927" spans="1:16">
      <c r="A1927" s="1178" t="s">
        <v>21040</v>
      </c>
      <c r="B1927" s="1371" t="str">
        <f>HYPERLINK(IFERROR("#Main_Tariff!A"&amp;MATCH(Raeburn_Main_Tariff[[#This Row],[Product Code]],Main_Tariff!I:I,0),"#Main_Tariff!A"&amp;MATCH("*"&amp;RIGHT(A1927,8)&amp;"*",Main_Tariff!A:A,0)),Raeburn_Main_Tariff[[#This Row],[PRODUCER]])</f>
        <v>Domaine Camus-Bruchon</v>
      </c>
      <c r="C1927" s="1178" t="s">
        <v>21044</v>
      </c>
      <c r="D1927" s="1178" t="s">
        <v>897</v>
      </c>
      <c r="E1927" s="1179">
        <v>2022</v>
      </c>
      <c r="F1927" s="1282" t="s">
        <v>20220</v>
      </c>
      <c r="G1927" s="1368">
        <v>33.5</v>
      </c>
      <c r="H1927" s="1178" t="s">
        <v>20221</v>
      </c>
      <c r="I1927" s="1178" t="s">
        <v>6566</v>
      </c>
      <c r="J1927" s="1178" t="s">
        <v>662</v>
      </c>
      <c r="K1927" s="1178" t="s">
        <v>267</v>
      </c>
      <c r="L1927" s="1178" t="s">
        <v>242</v>
      </c>
      <c r="M1927" s="1369" t="s">
        <v>23297</v>
      </c>
      <c r="N1927" s="1178"/>
      <c r="O1927" s="1178">
        <v>6</v>
      </c>
      <c r="P1927" s="1178">
        <v>13</v>
      </c>
    </row>
    <row r="1928" spans="1:16">
      <c r="A1928" s="1178" t="s">
        <v>21040</v>
      </c>
      <c r="B1928" s="1371" t="str">
        <f>HYPERLINK(IFERROR("#Main_Tariff!A"&amp;MATCH(Raeburn_Main_Tariff[[#This Row],[Product Code]],Main_Tariff!I:I,0),"#Main_Tariff!A"&amp;MATCH("*"&amp;RIGHT(A1928,8)&amp;"*",Main_Tariff!A:A,0)),Raeburn_Main_Tariff[[#This Row],[PRODUCER]])</f>
        <v>Domaine Camus-Bruchon</v>
      </c>
      <c r="C1928" s="1178" t="s">
        <v>21044</v>
      </c>
      <c r="D1928" s="1178" t="s">
        <v>897</v>
      </c>
      <c r="E1928" s="1179">
        <v>2021</v>
      </c>
      <c r="F1928" s="1282" t="s">
        <v>20220</v>
      </c>
      <c r="G1928" s="1368">
        <v>33.5</v>
      </c>
      <c r="H1928" s="1178" t="s">
        <v>20221</v>
      </c>
      <c r="I1928" s="1178" t="s">
        <v>6568</v>
      </c>
      <c r="J1928" s="1178" t="s">
        <v>662</v>
      </c>
      <c r="K1928" s="1178" t="s">
        <v>267</v>
      </c>
      <c r="L1928" s="1178" t="s">
        <v>242</v>
      </c>
      <c r="M1928" s="1369" t="s">
        <v>23297</v>
      </c>
      <c r="N1928" s="1178"/>
      <c r="O1928" s="1178">
        <v>6</v>
      </c>
      <c r="P1928" s="1178">
        <v>13</v>
      </c>
    </row>
    <row r="1929" spans="1:16">
      <c r="A1929" s="1178" t="s">
        <v>21040</v>
      </c>
      <c r="B1929" s="1371" t="str">
        <f>HYPERLINK(IFERROR("#Main_Tariff!A"&amp;MATCH(Raeburn_Main_Tariff[[#This Row],[Product Code]],Main_Tariff!I:I,0),"#Main_Tariff!A"&amp;MATCH("*"&amp;RIGHT(A1929,8)&amp;"*",Main_Tariff!A:A,0)),Raeburn_Main_Tariff[[#This Row],[PRODUCER]])</f>
        <v>Domaine Camus-Bruchon</v>
      </c>
      <c r="C1929" s="1178" t="s">
        <v>21044</v>
      </c>
      <c r="D1929" s="1178" t="s">
        <v>897</v>
      </c>
      <c r="E1929" s="1179">
        <v>2020</v>
      </c>
      <c r="F1929" s="1282" t="s">
        <v>20220</v>
      </c>
      <c r="G1929" s="1368">
        <v>32</v>
      </c>
      <c r="H1929" s="1178" t="s">
        <v>20221</v>
      </c>
      <c r="I1929" s="1178" t="s">
        <v>6570</v>
      </c>
      <c r="J1929" s="1178" t="s">
        <v>662</v>
      </c>
      <c r="K1929" s="1178" t="s">
        <v>267</v>
      </c>
      <c r="L1929" s="1178" t="s">
        <v>242</v>
      </c>
      <c r="M1929" s="1369" t="s">
        <v>23297</v>
      </c>
      <c r="N1929" s="1178"/>
      <c r="O1929" s="1178">
        <v>6</v>
      </c>
      <c r="P1929" s="1178">
        <v>13.5</v>
      </c>
    </row>
    <row r="1930" spans="1:16">
      <c r="A1930" s="1178" t="s">
        <v>21040</v>
      </c>
      <c r="B1930" s="1371" t="str">
        <f>HYPERLINK(IFERROR("#Main_Tariff!A"&amp;MATCH(Raeburn_Main_Tariff[[#This Row],[Product Code]],Main_Tariff!I:I,0),"#Main_Tariff!A"&amp;MATCH("*"&amp;RIGHT(A1930,8)&amp;"*",Main_Tariff!A:A,0)),Raeburn_Main_Tariff[[#This Row],[PRODUCER]])</f>
        <v>Domaine Camus-Bruchon</v>
      </c>
      <c r="C1930" s="1178" t="s">
        <v>21044</v>
      </c>
      <c r="D1930" s="1178" t="s">
        <v>897</v>
      </c>
      <c r="E1930" s="1179">
        <v>2019</v>
      </c>
      <c r="F1930" s="1282" t="s">
        <v>20220</v>
      </c>
      <c r="G1930" s="1368">
        <v>32</v>
      </c>
      <c r="H1930" s="1178" t="s">
        <v>20221</v>
      </c>
      <c r="I1930" s="1178" t="s">
        <v>6572</v>
      </c>
      <c r="J1930" s="1178" t="s">
        <v>662</v>
      </c>
      <c r="K1930" s="1178" t="s">
        <v>267</v>
      </c>
      <c r="L1930" s="1178" t="s">
        <v>242</v>
      </c>
      <c r="M1930" s="1369" t="s">
        <v>23297</v>
      </c>
      <c r="N1930" s="1178"/>
      <c r="O1930" s="1178">
        <v>6</v>
      </c>
      <c r="P1930" s="1178">
        <v>13.5</v>
      </c>
    </row>
    <row r="1931" spans="1:16">
      <c r="A1931" s="1178" t="s">
        <v>21040</v>
      </c>
      <c r="B1931" s="1371" t="str">
        <f>HYPERLINK(IFERROR("#Main_Tariff!A"&amp;MATCH(Raeburn_Main_Tariff[[#This Row],[Product Code]],Main_Tariff!I:I,0),"#Main_Tariff!A"&amp;MATCH("*"&amp;RIGHT(A1931,8)&amp;"*",Main_Tariff!A:A,0)),Raeburn_Main_Tariff[[#This Row],[PRODUCER]])</f>
        <v>Domaine Camus-Bruchon</v>
      </c>
      <c r="C1931" s="1178" t="s">
        <v>21044</v>
      </c>
      <c r="D1931" s="1178" t="s">
        <v>897</v>
      </c>
      <c r="E1931" s="1179">
        <v>2018</v>
      </c>
      <c r="F1931" s="1282" t="s">
        <v>20220</v>
      </c>
      <c r="G1931" s="1368">
        <v>31</v>
      </c>
      <c r="H1931" s="1178" t="s">
        <v>20221</v>
      </c>
      <c r="I1931" s="1178" t="s">
        <v>6574</v>
      </c>
      <c r="J1931" s="1178" t="s">
        <v>662</v>
      </c>
      <c r="K1931" s="1178" t="s">
        <v>267</v>
      </c>
      <c r="L1931" s="1178" t="s">
        <v>242</v>
      </c>
      <c r="M1931" s="1369" t="s">
        <v>23297</v>
      </c>
      <c r="N1931" s="1178"/>
      <c r="O1931" s="1178">
        <v>6</v>
      </c>
      <c r="P1931" s="1178">
        <v>13</v>
      </c>
    </row>
    <row r="1932" spans="1:16">
      <c r="A1932" s="1178" t="s">
        <v>21040</v>
      </c>
      <c r="B1932" s="1371" t="str">
        <f>HYPERLINK(IFERROR("#Main_Tariff!A"&amp;MATCH(Raeburn_Main_Tariff[[#This Row],[Product Code]],Main_Tariff!I:I,0),"#Main_Tariff!A"&amp;MATCH("*"&amp;RIGHT(A1932,8)&amp;"*",Main_Tariff!A:A,0)),Raeburn_Main_Tariff[[#This Row],[PRODUCER]])</f>
        <v>Domaine Camus-Bruchon</v>
      </c>
      <c r="C1932" s="1178" t="s">
        <v>21044</v>
      </c>
      <c r="D1932" s="1178" t="s">
        <v>897</v>
      </c>
      <c r="E1932" s="1179">
        <v>2017</v>
      </c>
      <c r="F1932" s="1282" t="s">
        <v>20220</v>
      </c>
      <c r="G1932" s="1368">
        <v>31</v>
      </c>
      <c r="H1932" s="1178" t="s">
        <v>20221</v>
      </c>
      <c r="I1932" s="1178" t="s">
        <v>6576</v>
      </c>
      <c r="J1932" s="1178" t="s">
        <v>662</v>
      </c>
      <c r="K1932" s="1178" t="s">
        <v>267</v>
      </c>
      <c r="L1932" s="1178" t="s">
        <v>242</v>
      </c>
      <c r="M1932" s="1369" t="s">
        <v>23297</v>
      </c>
      <c r="N1932" s="1178"/>
      <c r="O1932" s="1178">
        <v>6</v>
      </c>
      <c r="P1932" s="1178">
        <v>13</v>
      </c>
    </row>
    <row r="1933" spans="1:16">
      <c r="A1933" s="1178" t="s">
        <v>21040</v>
      </c>
      <c r="B1933" s="1371" t="str">
        <f>HYPERLINK(IFERROR("#Main_Tariff!A"&amp;MATCH(Raeburn_Main_Tariff[[#This Row],[Product Code]],Main_Tariff!I:I,0),"#Main_Tariff!A"&amp;MATCH("*"&amp;RIGHT(A1933,8)&amp;"*",Main_Tariff!A:A,0)),Raeburn_Main_Tariff[[#This Row],[PRODUCER]])</f>
        <v>Domaine Camus-Bruchon</v>
      </c>
      <c r="C1933" s="1178" t="s">
        <v>21044</v>
      </c>
      <c r="D1933" s="1178" t="s">
        <v>897</v>
      </c>
      <c r="E1933" s="1179">
        <v>2016</v>
      </c>
      <c r="F1933" s="1282" t="s">
        <v>20220</v>
      </c>
      <c r="G1933" s="1368">
        <v>31</v>
      </c>
      <c r="H1933" s="1178" t="s">
        <v>20221</v>
      </c>
      <c r="I1933" s="1178" t="s">
        <v>6578</v>
      </c>
      <c r="J1933" s="1178" t="s">
        <v>662</v>
      </c>
      <c r="K1933" s="1178" t="s">
        <v>267</v>
      </c>
      <c r="L1933" s="1178" t="s">
        <v>242</v>
      </c>
      <c r="M1933" s="1369" t="s">
        <v>23297</v>
      </c>
      <c r="N1933" s="1178"/>
      <c r="O1933" s="1178">
        <v>6</v>
      </c>
      <c r="P1933" s="1178">
        <v>13.5</v>
      </c>
    </row>
    <row r="1934" spans="1:16">
      <c r="A1934" s="1178" t="s">
        <v>21040</v>
      </c>
      <c r="B1934" s="1371" t="str">
        <f>HYPERLINK(IFERROR("#Main_Tariff!A"&amp;MATCH(Raeburn_Main_Tariff[[#This Row],[Product Code]],Main_Tariff!I:I,0),"#Main_Tariff!A"&amp;MATCH("*"&amp;RIGHT(A1934,8)&amp;"*",Main_Tariff!A:A,0)),Raeburn_Main_Tariff[[#This Row],[PRODUCER]])</f>
        <v>Domaine Camus-Bruchon</v>
      </c>
      <c r="C1934" s="1178" t="s">
        <v>21044</v>
      </c>
      <c r="D1934" s="1178" t="s">
        <v>897</v>
      </c>
      <c r="E1934" s="1179">
        <v>2015</v>
      </c>
      <c r="F1934" s="1282" t="s">
        <v>20220</v>
      </c>
      <c r="G1934" s="1368">
        <v>31</v>
      </c>
      <c r="H1934" s="1178" t="s">
        <v>20221</v>
      </c>
      <c r="I1934" s="1178" t="s">
        <v>6580</v>
      </c>
      <c r="J1934" s="1178" t="s">
        <v>662</v>
      </c>
      <c r="K1934" s="1178" t="s">
        <v>267</v>
      </c>
      <c r="L1934" s="1178" t="s">
        <v>242</v>
      </c>
      <c r="M1934" s="1369" t="s">
        <v>23297</v>
      </c>
      <c r="N1934" s="1178"/>
      <c r="O1934" s="1178">
        <v>6</v>
      </c>
      <c r="P1934" s="1178">
        <v>13.5</v>
      </c>
    </row>
    <row r="1935" spans="1:16">
      <c r="A1935" s="1178" t="s">
        <v>21040</v>
      </c>
      <c r="B1935" s="1371" t="str">
        <f>HYPERLINK(IFERROR("#Main_Tariff!A"&amp;MATCH(Raeburn_Main_Tariff[[#This Row],[Product Code]],Main_Tariff!I:I,0),"#Main_Tariff!A"&amp;MATCH("*"&amp;RIGHT(A1935,8)&amp;"*",Main_Tariff!A:A,0)),Raeburn_Main_Tariff[[#This Row],[PRODUCER]])</f>
        <v>Domaine Camus-Bruchon</v>
      </c>
      <c r="C1935" s="1178" t="s">
        <v>21016</v>
      </c>
      <c r="D1935" s="1178" t="s">
        <v>897</v>
      </c>
      <c r="E1935" s="1179">
        <v>2022</v>
      </c>
      <c r="F1935" s="1282" t="s">
        <v>20220</v>
      </c>
      <c r="G1935" s="1368">
        <v>39.5</v>
      </c>
      <c r="H1935" s="1178" t="s">
        <v>20221</v>
      </c>
      <c r="I1935" s="1178" t="s">
        <v>6582</v>
      </c>
      <c r="J1935" s="1178" t="s">
        <v>662</v>
      </c>
      <c r="K1935" s="1178" t="s">
        <v>267</v>
      </c>
      <c r="L1935" s="1178" t="s">
        <v>242</v>
      </c>
      <c r="M1935" s="1369" t="s">
        <v>23297</v>
      </c>
      <c r="N1935" s="1178"/>
      <c r="O1935" s="1178">
        <v>6</v>
      </c>
      <c r="P1935" s="1178">
        <v>13</v>
      </c>
    </row>
    <row r="1936" spans="1:16">
      <c r="A1936" s="1178" t="s">
        <v>21040</v>
      </c>
      <c r="B1936" s="1371" t="str">
        <f>HYPERLINK(IFERROR("#Main_Tariff!A"&amp;MATCH(Raeburn_Main_Tariff[[#This Row],[Product Code]],Main_Tariff!I:I,0),"#Main_Tariff!A"&amp;MATCH("*"&amp;RIGHT(A1936,8)&amp;"*",Main_Tariff!A:A,0)),Raeburn_Main_Tariff[[#This Row],[PRODUCER]])</f>
        <v>Domaine Camus-Bruchon</v>
      </c>
      <c r="C1936" s="1178" t="s">
        <v>21016</v>
      </c>
      <c r="D1936" s="1178" t="s">
        <v>897</v>
      </c>
      <c r="E1936" s="1179">
        <v>2021</v>
      </c>
      <c r="F1936" s="1282" t="s">
        <v>20220</v>
      </c>
      <c r="G1936" s="1368">
        <v>39.5</v>
      </c>
      <c r="H1936" s="1178" t="s">
        <v>20221</v>
      </c>
      <c r="I1936" s="1178" t="s">
        <v>6584</v>
      </c>
      <c r="J1936" s="1178" t="s">
        <v>662</v>
      </c>
      <c r="K1936" s="1178" t="s">
        <v>267</v>
      </c>
      <c r="L1936" s="1178" t="s">
        <v>242</v>
      </c>
      <c r="M1936" s="1369" t="s">
        <v>23297</v>
      </c>
      <c r="N1936" s="1178"/>
      <c r="O1936" s="1178">
        <v>6</v>
      </c>
      <c r="P1936" s="1178">
        <v>13</v>
      </c>
    </row>
    <row r="1937" spans="1:16">
      <c r="A1937" s="1178" t="s">
        <v>21040</v>
      </c>
      <c r="B1937" s="1371" t="str">
        <f>HYPERLINK(IFERROR("#Main_Tariff!A"&amp;MATCH(Raeburn_Main_Tariff[[#This Row],[Product Code]],Main_Tariff!I:I,0),"#Main_Tariff!A"&amp;MATCH("*"&amp;RIGHT(A1937,8)&amp;"*",Main_Tariff!A:A,0)),Raeburn_Main_Tariff[[#This Row],[PRODUCER]])</f>
        <v>Domaine Camus-Bruchon</v>
      </c>
      <c r="C1937" s="1178" t="s">
        <v>21016</v>
      </c>
      <c r="D1937" s="1178" t="s">
        <v>897</v>
      </c>
      <c r="E1937" s="1179">
        <v>2020</v>
      </c>
      <c r="F1937" s="1282" t="s">
        <v>20220</v>
      </c>
      <c r="G1937" s="1368">
        <v>36.5</v>
      </c>
      <c r="H1937" s="1178" t="s">
        <v>20221</v>
      </c>
      <c r="I1937" s="1178" t="s">
        <v>6586</v>
      </c>
      <c r="J1937" s="1178" t="s">
        <v>662</v>
      </c>
      <c r="K1937" s="1178" t="s">
        <v>267</v>
      </c>
      <c r="L1937" s="1178" t="s">
        <v>242</v>
      </c>
      <c r="M1937" s="1369" t="s">
        <v>23297</v>
      </c>
      <c r="N1937" s="1178"/>
      <c r="O1937" s="1178">
        <v>6</v>
      </c>
      <c r="P1937" s="1178">
        <v>13</v>
      </c>
    </row>
    <row r="1938" spans="1:16">
      <c r="A1938" s="1178" t="s">
        <v>21040</v>
      </c>
      <c r="B1938" s="1371" t="str">
        <f>HYPERLINK(IFERROR("#Main_Tariff!A"&amp;MATCH(Raeburn_Main_Tariff[[#This Row],[Product Code]],Main_Tariff!I:I,0),"#Main_Tariff!A"&amp;MATCH("*"&amp;RIGHT(A1938,8)&amp;"*",Main_Tariff!A:A,0)),Raeburn_Main_Tariff[[#This Row],[PRODUCER]])</f>
        <v>Domaine Camus-Bruchon</v>
      </c>
      <c r="C1938" s="1178" t="s">
        <v>21016</v>
      </c>
      <c r="D1938" s="1178" t="s">
        <v>897</v>
      </c>
      <c r="E1938" s="1179">
        <v>2019</v>
      </c>
      <c r="F1938" s="1282" t="s">
        <v>20220</v>
      </c>
      <c r="G1938" s="1368">
        <v>36.5</v>
      </c>
      <c r="H1938" s="1178" t="s">
        <v>20221</v>
      </c>
      <c r="I1938" s="1178" t="s">
        <v>6588</v>
      </c>
      <c r="J1938" s="1178" t="s">
        <v>662</v>
      </c>
      <c r="K1938" s="1178" t="s">
        <v>267</v>
      </c>
      <c r="L1938" s="1178" t="s">
        <v>242</v>
      </c>
      <c r="M1938" s="1369" t="s">
        <v>23297</v>
      </c>
      <c r="N1938" s="1178"/>
      <c r="O1938" s="1178">
        <v>6</v>
      </c>
      <c r="P1938" s="1178">
        <v>13.5</v>
      </c>
    </row>
    <row r="1939" spans="1:16">
      <c r="A1939" s="1178" t="s">
        <v>21040</v>
      </c>
      <c r="B1939" s="1371" t="str">
        <f>HYPERLINK(IFERROR("#Main_Tariff!A"&amp;MATCH(Raeburn_Main_Tariff[[#This Row],[Product Code]],Main_Tariff!I:I,0),"#Main_Tariff!A"&amp;MATCH("*"&amp;RIGHT(A1939,8)&amp;"*",Main_Tariff!A:A,0)),Raeburn_Main_Tariff[[#This Row],[PRODUCER]])</f>
        <v>Domaine Camus-Bruchon</v>
      </c>
      <c r="C1939" s="1178" t="s">
        <v>21016</v>
      </c>
      <c r="D1939" s="1178" t="s">
        <v>897</v>
      </c>
      <c r="E1939" s="1179">
        <v>2018</v>
      </c>
      <c r="F1939" s="1282" t="s">
        <v>20220</v>
      </c>
      <c r="G1939" s="1368">
        <v>34.5</v>
      </c>
      <c r="H1939" s="1178" t="s">
        <v>20221</v>
      </c>
      <c r="I1939" s="1178" t="s">
        <v>6589</v>
      </c>
      <c r="J1939" s="1178" t="s">
        <v>662</v>
      </c>
      <c r="K1939" s="1178" t="s">
        <v>267</v>
      </c>
      <c r="L1939" s="1178" t="s">
        <v>242</v>
      </c>
      <c r="M1939" s="1369" t="s">
        <v>23297</v>
      </c>
      <c r="N1939" s="1178"/>
      <c r="O1939" s="1178">
        <v>6</v>
      </c>
      <c r="P1939" s="1178">
        <v>13</v>
      </c>
    </row>
    <row r="1940" spans="1:16">
      <c r="A1940" s="1178" t="s">
        <v>21040</v>
      </c>
      <c r="B1940" s="1371" t="str">
        <f>HYPERLINK(IFERROR("#Main_Tariff!A"&amp;MATCH(Raeburn_Main_Tariff[[#This Row],[Product Code]],Main_Tariff!I:I,0),"#Main_Tariff!A"&amp;MATCH("*"&amp;RIGHT(A1940,8)&amp;"*",Main_Tariff!A:A,0)),Raeburn_Main_Tariff[[#This Row],[PRODUCER]])</f>
        <v>Domaine Camus-Bruchon</v>
      </c>
      <c r="C1940" s="1178" t="s">
        <v>21016</v>
      </c>
      <c r="D1940" s="1178" t="s">
        <v>897</v>
      </c>
      <c r="E1940" s="1179">
        <v>2017</v>
      </c>
      <c r="F1940" s="1282" t="s">
        <v>20220</v>
      </c>
      <c r="G1940" s="1368">
        <v>34.5</v>
      </c>
      <c r="H1940" s="1178" t="s">
        <v>20221</v>
      </c>
      <c r="I1940" s="1178" t="s">
        <v>6590</v>
      </c>
      <c r="J1940" s="1178" t="s">
        <v>662</v>
      </c>
      <c r="K1940" s="1178" t="s">
        <v>267</v>
      </c>
      <c r="L1940" s="1178" t="s">
        <v>242</v>
      </c>
      <c r="M1940" s="1369" t="s">
        <v>23297</v>
      </c>
      <c r="N1940" s="1178"/>
      <c r="O1940" s="1178">
        <v>6</v>
      </c>
      <c r="P1940" s="1178">
        <v>13</v>
      </c>
    </row>
    <row r="1941" spans="1:16">
      <c r="A1941" s="1178" t="s">
        <v>21040</v>
      </c>
      <c r="B1941" s="1371" t="str">
        <f>HYPERLINK(IFERROR("#Main_Tariff!A"&amp;MATCH(Raeburn_Main_Tariff[[#This Row],[Product Code]],Main_Tariff!I:I,0),"#Main_Tariff!A"&amp;MATCH("*"&amp;RIGHT(A1941,8)&amp;"*",Main_Tariff!A:A,0)),Raeburn_Main_Tariff[[#This Row],[PRODUCER]])</f>
        <v>Domaine Camus-Bruchon</v>
      </c>
      <c r="C1941" s="1178" t="s">
        <v>21016</v>
      </c>
      <c r="D1941" s="1178" t="s">
        <v>897</v>
      </c>
      <c r="E1941" s="1179">
        <v>2016</v>
      </c>
      <c r="F1941" s="1282" t="s">
        <v>20220</v>
      </c>
      <c r="G1941" s="1368">
        <v>35</v>
      </c>
      <c r="H1941" s="1178" t="s">
        <v>20221</v>
      </c>
      <c r="I1941" s="1178" t="s">
        <v>6591</v>
      </c>
      <c r="J1941" s="1178" t="s">
        <v>662</v>
      </c>
      <c r="K1941" s="1178" t="s">
        <v>267</v>
      </c>
      <c r="L1941" s="1178" t="s">
        <v>242</v>
      </c>
      <c r="M1941" s="1369" t="s">
        <v>23297</v>
      </c>
      <c r="N1941" s="1178"/>
      <c r="O1941" s="1178">
        <v>6</v>
      </c>
      <c r="P1941" s="1178">
        <v>13</v>
      </c>
    </row>
    <row r="1942" spans="1:16">
      <c r="A1942" s="1178" t="s">
        <v>21040</v>
      </c>
      <c r="B1942" s="1371" t="str">
        <f>HYPERLINK(IFERROR("#Main_Tariff!A"&amp;MATCH(Raeburn_Main_Tariff[[#This Row],[Product Code]],Main_Tariff!I:I,0),"#Main_Tariff!A"&amp;MATCH("*"&amp;RIGHT(A1942,8)&amp;"*",Main_Tariff!A:A,0)),Raeburn_Main_Tariff[[#This Row],[PRODUCER]])</f>
        <v>Domaine Camus-Bruchon</v>
      </c>
      <c r="C1942" s="1178" t="s">
        <v>21016</v>
      </c>
      <c r="D1942" s="1178" t="s">
        <v>897</v>
      </c>
      <c r="E1942" s="1179">
        <v>2015</v>
      </c>
      <c r="F1942" s="1282" t="s">
        <v>20220</v>
      </c>
      <c r="G1942" s="1368">
        <v>34</v>
      </c>
      <c r="H1942" s="1178" t="s">
        <v>20224</v>
      </c>
      <c r="I1942" s="1178" t="s">
        <v>6592</v>
      </c>
      <c r="J1942" s="1178" t="s">
        <v>662</v>
      </c>
      <c r="K1942" s="1178" t="s">
        <v>267</v>
      </c>
      <c r="L1942" s="1178" t="s">
        <v>242</v>
      </c>
      <c r="M1942" s="1369" t="s">
        <v>23297</v>
      </c>
      <c r="N1942" s="1178"/>
      <c r="O1942" s="1178">
        <v>6</v>
      </c>
      <c r="P1942" s="1178">
        <v>13.5</v>
      </c>
    </row>
    <row r="1943" spans="1:16">
      <c r="A1943" s="1178" t="s">
        <v>21040</v>
      </c>
      <c r="B1943" s="1371" t="str">
        <f>HYPERLINK(IFERROR("#Main_Tariff!A"&amp;MATCH(Raeburn_Main_Tariff[[#This Row],[Product Code]],Main_Tariff!I:I,0),"#Main_Tariff!A"&amp;MATCH("*"&amp;RIGHT(A1943,8)&amp;"*",Main_Tariff!A:A,0)),Raeburn_Main_Tariff[[#This Row],[PRODUCER]])</f>
        <v>Domaine Camus-Bruchon</v>
      </c>
      <c r="C1943" s="1178" t="s">
        <v>21016</v>
      </c>
      <c r="D1943" s="1178" t="s">
        <v>897</v>
      </c>
      <c r="E1943" s="1179">
        <v>2014</v>
      </c>
      <c r="F1943" s="1282" t="s">
        <v>20220</v>
      </c>
      <c r="G1943" s="1368">
        <v>34</v>
      </c>
      <c r="H1943" s="1178" t="s">
        <v>20221</v>
      </c>
      <c r="I1943" s="1178" t="s">
        <v>6593</v>
      </c>
      <c r="J1943" s="1178" t="s">
        <v>662</v>
      </c>
      <c r="K1943" s="1178" t="s">
        <v>267</v>
      </c>
      <c r="L1943" s="1178" t="s">
        <v>242</v>
      </c>
      <c r="M1943" s="1369" t="s">
        <v>23297</v>
      </c>
      <c r="N1943" s="1178"/>
      <c r="O1943" s="1178">
        <v>6</v>
      </c>
      <c r="P1943" s="1178">
        <v>13.5</v>
      </c>
    </row>
    <row r="1944" spans="1:16">
      <c r="A1944" s="1178" t="s">
        <v>21040</v>
      </c>
      <c r="B1944" s="1371" t="str">
        <f>HYPERLINK(IFERROR("#Main_Tariff!A"&amp;MATCH(Raeburn_Main_Tariff[[#This Row],[Product Code]],Main_Tariff!I:I,0),"#Main_Tariff!A"&amp;MATCH("*"&amp;RIGHT(A1944,8)&amp;"*",Main_Tariff!A:A,0)),Raeburn_Main_Tariff[[#This Row],[PRODUCER]])</f>
        <v>Domaine Camus-Bruchon</v>
      </c>
      <c r="C1944" s="1178" t="s">
        <v>21016</v>
      </c>
      <c r="D1944" s="1178" t="s">
        <v>897</v>
      </c>
      <c r="E1944" s="1179">
        <v>2013</v>
      </c>
      <c r="F1944" s="1282" t="s">
        <v>20220</v>
      </c>
      <c r="G1944" s="1368">
        <v>38.25</v>
      </c>
      <c r="H1944" s="1178" t="s">
        <v>20465</v>
      </c>
      <c r="I1944" s="1178" t="s">
        <v>6594</v>
      </c>
      <c r="J1944" s="1178" t="s">
        <v>662</v>
      </c>
      <c r="K1944" s="1178" t="s">
        <v>267</v>
      </c>
      <c r="L1944" s="1178" t="s">
        <v>242</v>
      </c>
      <c r="M1944" s="1369" t="s">
        <v>23297</v>
      </c>
      <c r="N1944" s="1178"/>
      <c r="O1944" s="1178">
        <v>6</v>
      </c>
      <c r="P1944" s="1178">
        <v>13.5</v>
      </c>
    </row>
    <row r="1945" spans="1:16">
      <c r="A1945" s="1178" t="s">
        <v>21045</v>
      </c>
      <c r="B1945" s="1371" t="str">
        <f>HYPERLINK(IFERROR("#Main_Tariff!A"&amp;MATCH(Raeburn_Main_Tariff[[#This Row],[Product Code]],Main_Tariff!I:I,0),"#Main_Tariff!A"&amp;MATCH("*"&amp;RIGHT(A1945,8)&amp;"*",Main_Tariff!A:A,0)),Raeburn_Main_Tariff[[#This Row],[PRODUCER]])</f>
        <v>Chandon De Briailles</v>
      </c>
      <c r="C1945" s="1178" t="s">
        <v>21046</v>
      </c>
      <c r="D1945" s="1178" t="s">
        <v>1129</v>
      </c>
      <c r="E1945" s="1179">
        <v>2020</v>
      </c>
      <c r="F1945" s="1282" t="s">
        <v>20220</v>
      </c>
      <c r="G1945" s="1368">
        <v>71</v>
      </c>
      <c r="H1945" s="1178" t="s">
        <v>20224</v>
      </c>
      <c r="I1945" s="1178" t="s">
        <v>6597</v>
      </c>
      <c r="J1945" s="1178" t="s">
        <v>662</v>
      </c>
      <c r="K1945" s="1178" t="s">
        <v>267</v>
      </c>
      <c r="L1945" s="1178" t="s">
        <v>242</v>
      </c>
      <c r="M1945" s="1369" t="s">
        <v>23297</v>
      </c>
      <c r="N1945" s="1178" t="s">
        <v>20244</v>
      </c>
      <c r="O1945" s="1178">
        <v>6</v>
      </c>
      <c r="P1945" s="1178">
        <v>11.5</v>
      </c>
    </row>
    <row r="1946" spans="1:16">
      <c r="A1946" s="1178" t="s">
        <v>21045</v>
      </c>
      <c r="B1946" s="1371" t="str">
        <f>HYPERLINK(IFERROR("#Main_Tariff!A"&amp;MATCH(Raeburn_Main_Tariff[[#This Row],[Product Code]],Main_Tariff!I:I,0),"#Main_Tariff!A"&amp;MATCH("*"&amp;RIGHT(A1946,8)&amp;"*",Main_Tariff!A:A,0)),Raeburn_Main_Tariff[[#This Row],[PRODUCER]])</f>
        <v>Chandon De Briailles</v>
      </c>
      <c r="C1946" s="1178" t="s">
        <v>21047</v>
      </c>
      <c r="D1946" s="1178" t="s">
        <v>897</v>
      </c>
      <c r="E1946" s="1179">
        <v>2022</v>
      </c>
      <c r="F1946" s="1282" t="s">
        <v>20220</v>
      </c>
      <c r="G1946" s="1368">
        <v>60</v>
      </c>
      <c r="H1946" s="1178" t="s">
        <v>20221</v>
      </c>
      <c r="I1946" s="1178" t="s">
        <v>6600</v>
      </c>
      <c r="J1946" s="1178" t="s">
        <v>662</v>
      </c>
      <c r="K1946" s="1178" t="s">
        <v>267</v>
      </c>
      <c r="L1946" s="1178" t="s">
        <v>242</v>
      </c>
      <c r="M1946" s="1369" t="s">
        <v>23297</v>
      </c>
      <c r="N1946" s="1178" t="s">
        <v>20244</v>
      </c>
      <c r="O1946" s="1178">
        <v>6</v>
      </c>
      <c r="P1946" s="1178">
        <v>13.5</v>
      </c>
    </row>
    <row r="1947" spans="1:16">
      <c r="A1947" s="1178" t="s">
        <v>21045</v>
      </c>
      <c r="B1947" s="1371" t="str">
        <f>HYPERLINK(IFERROR("#Main_Tariff!A"&amp;MATCH(Raeburn_Main_Tariff[[#This Row],[Product Code]],Main_Tariff!I:I,0),"#Main_Tariff!A"&amp;MATCH("*"&amp;RIGHT(A1947,8)&amp;"*",Main_Tariff!A:A,0)),Raeburn_Main_Tariff[[#This Row],[PRODUCER]])</f>
        <v>Chandon De Briailles</v>
      </c>
      <c r="C1947" s="1178" t="s">
        <v>21047</v>
      </c>
      <c r="D1947" s="1178" t="s">
        <v>897</v>
      </c>
      <c r="E1947" s="1179">
        <v>2021</v>
      </c>
      <c r="F1947" s="1282" t="s">
        <v>20220</v>
      </c>
      <c r="G1947" s="1368">
        <v>56</v>
      </c>
      <c r="H1947" s="1178" t="s">
        <v>20224</v>
      </c>
      <c r="I1947" s="1178" t="s">
        <v>6602</v>
      </c>
      <c r="J1947" s="1178" t="s">
        <v>662</v>
      </c>
      <c r="K1947" s="1178" t="s">
        <v>267</v>
      </c>
      <c r="L1947" s="1178" t="s">
        <v>242</v>
      </c>
      <c r="M1947" s="1369" t="s">
        <v>23297</v>
      </c>
      <c r="N1947" s="1178" t="s">
        <v>20244</v>
      </c>
      <c r="O1947" s="1178">
        <v>6</v>
      </c>
      <c r="P1947" s="1178">
        <v>12.5</v>
      </c>
    </row>
    <row r="1948" spans="1:16">
      <c r="A1948" s="1178" t="s">
        <v>21045</v>
      </c>
      <c r="B1948" s="1371" t="str">
        <f>HYPERLINK(IFERROR("#Main_Tariff!A"&amp;MATCH(Raeburn_Main_Tariff[[#This Row],[Product Code]],Main_Tariff!I:I,0),"#Main_Tariff!A"&amp;MATCH("*"&amp;RIGHT(A1948,8)&amp;"*",Main_Tariff!A:A,0)),Raeburn_Main_Tariff[[#This Row],[PRODUCER]])</f>
        <v>Chandon De Briailles</v>
      </c>
      <c r="C1948" s="1178" t="s">
        <v>21047</v>
      </c>
      <c r="D1948" s="1178" t="s">
        <v>897</v>
      </c>
      <c r="E1948" s="1179">
        <v>2020</v>
      </c>
      <c r="F1948" s="1282" t="s">
        <v>20220</v>
      </c>
      <c r="G1948" s="1368">
        <v>56</v>
      </c>
      <c r="H1948" s="1178" t="s">
        <v>20221</v>
      </c>
      <c r="I1948" s="1178" t="s">
        <v>6603</v>
      </c>
      <c r="J1948" s="1178" t="s">
        <v>662</v>
      </c>
      <c r="K1948" s="1178" t="s">
        <v>267</v>
      </c>
      <c r="L1948" s="1178" t="s">
        <v>242</v>
      </c>
      <c r="M1948" s="1369" t="s">
        <v>23297</v>
      </c>
      <c r="N1948" s="1178" t="s">
        <v>20244</v>
      </c>
      <c r="O1948" s="1178">
        <v>6</v>
      </c>
      <c r="P1948" s="1178">
        <v>13</v>
      </c>
    </row>
    <row r="1949" spans="1:16">
      <c r="A1949" s="1178" t="s">
        <v>21045</v>
      </c>
      <c r="B1949" s="1371" t="str">
        <f>HYPERLINK(IFERROR("#Main_Tariff!A"&amp;MATCH(Raeburn_Main_Tariff[[#This Row],[Product Code]],Main_Tariff!I:I,0),"#Main_Tariff!A"&amp;MATCH("*"&amp;RIGHT(A1949,8)&amp;"*",Main_Tariff!A:A,0)),Raeburn_Main_Tariff[[#This Row],[PRODUCER]])</f>
        <v>Chandon De Briailles</v>
      </c>
      <c r="C1949" s="1178" t="s">
        <v>21048</v>
      </c>
      <c r="D1949" s="1178" t="s">
        <v>897</v>
      </c>
      <c r="E1949" s="1179">
        <v>2018</v>
      </c>
      <c r="F1949" s="1282" t="s">
        <v>20220</v>
      </c>
      <c r="G1949" s="1368">
        <v>56</v>
      </c>
      <c r="H1949" s="1178" t="s">
        <v>20224</v>
      </c>
      <c r="I1949" s="1178" t="s">
        <v>6605</v>
      </c>
      <c r="J1949" s="1178" t="s">
        <v>662</v>
      </c>
      <c r="K1949" s="1178" t="s">
        <v>267</v>
      </c>
      <c r="L1949" s="1178" t="s">
        <v>242</v>
      </c>
      <c r="M1949" s="1369" t="s">
        <v>23297</v>
      </c>
      <c r="N1949" s="1178" t="s">
        <v>20244</v>
      </c>
      <c r="O1949" s="1178">
        <v>6</v>
      </c>
      <c r="P1949" s="1178">
        <v>12.5</v>
      </c>
    </row>
    <row r="1950" spans="1:16">
      <c r="A1950" s="1178" t="s">
        <v>21045</v>
      </c>
      <c r="B1950" s="1371" t="str">
        <f>HYPERLINK(IFERROR("#Main_Tariff!A"&amp;MATCH(Raeburn_Main_Tariff[[#This Row],[Product Code]],Main_Tariff!I:I,0),"#Main_Tariff!A"&amp;MATCH("*"&amp;RIGHT(A1950,8)&amp;"*",Main_Tariff!A:A,0)),Raeburn_Main_Tariff[[#This Row],[PRODUCER]])</f>
        <v>Chandon De Briailles</v>
      </c>
      <c r="C1950" s="1178" t="s">
        <v>21049</v>
      </c>
      <c r="D1950" s="1178" t="s">
        <v>897</v>
      </c>
      <c r="E1950" s="1179">
        <v>2020</v>
      </c>
      <c r="F1950" s="1282" t="s">
        <v>20220</v>
      </c>
      <c r="G1950" s="1368">
        <v>56</v>
      </c>
      <c r="H1950" s="1178" t="s">
        <v>20221</v>
      </c>
      <c r="I1950" s="1178" t="s">
        <v>6607</v>
      </c>
      <c r="J1950" s="1178" t="s">
        <v>662</v>
      </c>
      <c r="K1950" s="1178" t="s">
        <v>267</v>
      </c>
      <c r="L1950" s="1178" t="s">
        <v>242</v>
      </c>
      <c r="M1950" s="1369" t="s">
        <v>23297</v>
      </c>
      <c r="N1950" s="1178" t="s">
        <v>20244</v>
      </c>
      <c r="O1950" s="1178">
        <v>6</v>
      </c>
      <c r="P1950" s="1178">
        <v>13.5</v>
      </c>
    </row>
    <row r="1951" spans="1:16">
      <c r="A1951" s="1178" t="s">
        <v>21045</v>
      </c>
      <c r="B1951" s="1371" t="str">
        <f>HYPERLINK(IFERROR("#Main_Tariff!A"&amp;MATCH(Raeburn_Main_Tariff[[#This Row],[Product Code]],Main_Tariff!I:I,0),"#Main_Tariff!A"&amp;MATCH("*"&amp;RIGHT(A1951,8)&amp;"*",Main_Tariff!A:A,0)),Raeburn_Main_Tariff[[#This Row],[PRODUCER]])</f>
        <v>Chandon De Briailles</v>
      </c>
      <c r="C1951" s="1178" t="s">
        <v>21049</v>
      </c>
      <c r="D1951" s="1178" t="s">
        <v>897</v>
      </c>
      <c r="E1951" s="1179">
        <v>2018</v>
      </c>
      <c r="F1951" s="1282" t="s">
        <v>20220</v>
      </c>
      <c r="G1951" s="1368">
        <v>56</v>
      </c>
      <c r="H1951" s="1178" t="s">
        <v>20221</v>
      </c>
      <c r="I1951" s="1178" t="s">
        <v>6608</v>
      </c>
      <c r="J1951" s="1178" t="s">
        <v>662</v>
      </c>
      <c r="K1951" s="1178" t="s">
        <v>267</v>
      </c>
      <c r="L1951" s="1178" t="s">
        <v>242</v>
      </c>
      <c r="M1951" s="1369" t="s">
        <v>23297</v>
      </c>
      <c r="N1951" s="1178" t="s">
        <v>20244</v>
      </c>
      <c r="O1951" s="1178">
        <v>6</v>
      </c>
      <c r="P1951" s="1178">
        <v>13.5</v>
      </c>
    </row>
    <row r="1952" spans="1:16">
      <c r="A1952" s="1178" t="s">
        <v>21045</v>
      </c>
      <c r="B1952" s="1371" t="str">
        <f>HYPERLINK(IFERROR("#Main_Tariff!A"&amp;MATCH(Raeburn_Main_Tariff[[#This Row],[Product Code]],Main_Tariff!I:I,0),"#Main_Tariff!A"&amp;MATCH("*"&amp;RIGHT(A1952,8)&amp;"*",Main_Tariff!A:A,0)),Raeburn_Main_Tariff[[#This Row],[PRODUCER]])</f>
        <v>Chandon De Briailles</v>
      </c>
      <c r="C1952" s="1178" t="s">
        <v>21050</v>
      </c>
      <c r="D1952" s="1178" t="s">
        <v>897</v>
      </c>
      <c r="E1952" s="1179">
        <v>2019</v>
      </c>
      <c r="F1952" s="1282" t="s">
        <v>20220</v>
      </c>
      <c r="G1952" s="1368">
        <v>50</v>
      </c>
      <c r="H1952" s="1178" t="s">
        <v>20224</v>
      </c>
      <c r="I1952" s="1178" t="s">
        <v>6610</v>
      </c>
      <c r="J1952" s="1178" t="s">
        <v>662</v>
      </c>
      <c r="K1952" s="1178" t="s">
        <v>267</v>
      </c>
      <c r="L1952" s="1178" t="s">
        <v>242</v>
      </c>
      <c r="M1952" s="1369" t="s">
        <v>23297</v>
      </c>
      <c r="N1952" s="1178" t="s">
        <v>20244</v>
      </c>
      <c r="O1952" s="1178">
        <v>6</v>
      </c>
      <c r="P1952" s="1178">
        <v>13.5</v>
      </c>
    </row>
    <row r="1953" spans="1:16">
      <c r="A1953" s="1178" t="s">
        <v>21045</v>
      </c>
      <c r="B1953" s="1371" t="str">
        <f>HYPERLINK(IFERROR("#Main_Tariff!A"&amp;MATCH(Raeburn_Main_Tariff[[#This Row],[Product Code]],Main_Tariff!I:I,0),"#Main_Tariff!A"&amp;MATCH("*"&amp;RIGHT(A1953,8)&amp;"*",Main_Tariff!A:A,0)),Raeburn_Main_Tariff[[#This Row],[PRODUCER]])</f>
        <v>Chandon De Briailles</v>
      </c>
      <c r="C1953" s="1178" t="s">
        <v>21046</v>
      </c>
      <c r="D1953" s="1178" t="s">
        <v>897</v>
      </c>
      <c r="E1953" s="1179">
        <v>2022</v>
      </c>
      <c r="F1953" s="1282" t="s">
        <v>20220</v>
      </c>
      <c r="G1953" s="1368">
        <v>72</v>
      </c>
      <c r="H1953" s="1178" t="s">
        <v>20224</v>
      </c>
      <c r="I1953" s="1178" t="s">
        <v>6612</v>
      </c>
      <c r="J1953" s="1178" t="s">
        <v>662</v>
      </c>
      <c r="K1953" s="1178" t="s">
        <v>267</v>
      </c>
      <c r="L1953" s="1178" t="s">
        <v>242</v>
      </c>
      <c r="M1953" s="1369" t="s">
        <v>23297</v>
      </c>
      <c r="N1953" s="1178" t="s">
        <v>20244</v>
      </c>
      <c r="O1953" s="1178">
        <v>6</v>
      </c>
      <c r="P1953" s="1178">
        <v>14</v>
      </c>
    </row>
    <row r="1954" spans="1:16">
      <c r="A1954" s="1178" t="s">
        <v>21045</v>
      </c>
      <c r="B1954" s="1371" t="str">
        <f>HYPERLINK(IFERROR("#Main_Tariff!A"&amp;MATCH(Raeburn_Main_Tariff[[#This Row],[Product Code]],Main_Tariff!I:I,0),"#Main_Tariff!A"&amp;MATCH("*"&amp;RIGHT(A1954,8)&amp;"*",Main_Tariff!A:A,0)),Raeburn_Main_Tariff[[#This Row],[PRODUCER]])</f>
        <v>Chandon De Briailles</v>
      </c>
      <c r="C1954" s="1178" t="s">
        <v>21046</v>
      </c>
      <c r="D1954" s="1178" t="s">
        <v>897</v>
      </c>
      <c r="E1954" s="1179">
        <v>2021</v>
      </c>
      <c r="F1954" s="1282" t="s">
        <v>20220</v>
      </c>
      <c r="G1954" s="1368">
        <v>68</v>
      </c>
      <c r="H1954" s="1178" t="s">
        <v>20224</v>
      </c>
      <c r="I1954" s="1178" t="s">
        <v>6614</v>
      </c>
      <c r="J1954" s="1178" t="s">
        <v>662</v>
      </c>
      <c r="K1954" s="1178" t="s">
        <v>267</v>
      </c>
      <c r="L1954" s="1178" t="s">
        <v>242</v>
      </c>
      <c r="M1954" s="1369" t="s">
        <v>23297</v>
      </c>
      <c r="N1954" s="1178" t="s">
        <v>20244</v>
      </c>
      <c r="O1954" s="1178">
        <v>6</v>
      </c>
      <c r="P1954" s="1178">
        <v>12.5</v>
      </c>
    </row>
    <row r="1955" spans="1:16">
      <c r="A1955" s="1178" t="s">
        <v>21045</v>
      </c>
      <c r="B1955" s="1371" t="str">
        <f>HYPERLINK(IFERROR("#Main_Tariff!A"&amp;MATCH(Raeburn_Main_Tariff[[#This Row],[Product Code]],Main_Tariff!I:I,0),"#Main_Tariff!A"&amp;MATCH("*"&amp;RIGHT(A1955,8)&amp;"*",Main_Tariff!A:A,0)),Raeburn_Main_Tariff[[#This Row],[PRODUCER]])</f>
        <v>Chandon De Briailles</v>
      </c>
      <c r="C1955" s="1178" t="s">
        <v>21051</v>
      </c>
      <c r="D1955" s="1178" t="s">
        <v>897</v>
      </c>
      <c r="E1955" s="1179">
        <v>2019</v>
      </c>
      <c r="F1955" s="1282" t="s">
        <v>20220</v>
      </c>
      <c r="G1955" s="1368">
        <v>68</v>
      </c>
      <c r="H1955" s="1178" t="s">
        <v>20224</v>
      </c>
      <c r="I1955" s="1178" t="s">
        <v>6616</v>
      </c>
      <c r="J1955" s="1178" t="s">
        <v>662</v>
      </c>
      <c r="K1955" s="1178" t="s">
        <v>267</v>
      </c>
      <c r="L1955" s="1178" t="s">
        <v>242</v>
      </c>
      <c r="M1955" s="1369" t="s">
        <v>23297</v>
      </c>
      <c r="N1955" s="1178" t="s">
        <v>20244</v>
      </c>
      <c r="O1955" s="1178">
        <v>6</v>
      </c>
      <c r="P1955" s="1178">
        <v>13.5</v>
      </c>
    </row>
    <row r="1956" spans="1:16">
      <c r="A1956" s="1178" t="s">
        <v>21045</v>
      </c>
      <c r="B1956" s="1371" t="str">
        <f>HYPERLINK(IFERROR("#Main_Tariff!A"&amp;MATCH(Raeburn_Main_Tariff[[#This Row],[Product Code]],Main_Tariff!I:I,0),"#Main_Tariff!A"&amp;MATCH("*"&amp;RIGHT(A1956,8)&amp;"*",Main_Tariff!A:A,0)),Raeburn_Main_Tariff[[#This Row],[PRODUCER]])</f>
        <v>Chandon De Briailles</v>
      </c>
      <c r="C1956" s="1178" t="s">
        <v>21051</v>
      </c>
      <c r="D1956" s="1178" t="s">
        <v>897</v>
      </c>
      <c r="E1956" s="1179">
        <v>2018</v>
      </c>
      <c r="F1956" s="1282" t="s">
        <v>20220</v>
      </c>
      <c r="G1956" s="1368">
        <v>68</v>
      </c>
      <c r="H1956" s="1178" t="s">
        <v>20221</v>
      </c>
      <c r="I1956" s="1178" t="s">
        <v>6618</v>
      </c>
      <c r="J1956" s="1178" t="s">
        <v>662</v>
      </c>
      <c r="K1956" s="1178" t="s">
        <v>267</v>
      </c>
      <c r="L1956" s="1178" t="s">
        <v>242</v>
      </c>
      <c r="M1956" s="1369" t="s">
        <v>23297</v>
      </c>
      <c r="N1956" s="1178" t="s">
        <v>20244</v>
      </c>
      <c r="O1956" s="1178">
        <v>6</v>
      </c>
      <c r="P1956" s="1178">
        <v>13.5</v>
      </c>
    </row>
    <row r="1957" spans="1:16">
      <c r="A1957" s="1178" t="s">
        <v>21045</v>
      </c>
      <c r="B1957" s="1371" t="str">
        <f>HYPERLINK(IFERROR("#Main_Tariff!A"&amp;MATCH(Raeburn_Main_Tariff[[#This Row],[Product Code]],Main_Tariff!I:I,0),"#Main_Tariff!A"&amp;MATCH("*"&amp;RIGHT(A1957,8)&amp;"*",Main_Tariff!A:A,0)),Raeburn_Main_Tariff[[#This Row],[PRODUCER]])</f>
        <v>Chandon De Briailles</v>
      </c>
      <c r="C1957" s="1178" t="s">
        <v>21052</v>
      </c>
      <c r="D1957" s="1178" t="s">
        <v>897</v>
      </c>
      <c r="E1957" s="1179">
        <v>2022</v>
      </c>
      <c r="F1957" s="1282" t="s">
        <v>20220</v>
      </c>
      <c r="G1957" s="1368">
        <v>176</v>
      </c>
      <c r="H1957" s="1178" t="s">
        <v>20221</v>
      </c>
      <c r="I1957" s="1178" t="s">
        <v>6621</v>
      </c>
      <c r="J1957" s="1178" t="s">
        <v>662</v>
      </c>
      <c r="K1957" s="1178" t="s">
        <v>267</v>
      </c>
      <c r="L1957" s="1178" t="s">
        <v>242</v>
      </c>
      <c r="M1957" s="1369" t="s">
        <v>23296</v>
      </c>
      <c r="N1957" s="1178" t="s">
        <v>20244</v>
      </c>
      <c r="O1957" s="1178">
        <v>6</v>
      </c>
      <c r="P1957" s="1178">
        <v>13.5</v>
      </c>
    </row>
    <row r="1958" spans="1:16">
      <c r="A1958" s="1178" t="s">
        <v>21045</v>
      </c>
      <c r="B1958" s="1371" t="str">
        <f>HYPERLINK(IFERROR("#Main_Tariff!A"&amp;MATCH(Raeburn_Main_Tariff[[#This Row],[Product Code]],Main_Tariff!I:I,0),"#Main_Tariff!A"&amp;MATCH("*"&amp;RIGHT(A1958,8)&amp;"*",Main_Tariff!A:A,0)),Raeburn_Main_Tariff[[#This Row],[PRODUCER]])</f>
        <v>Chandon De Briailles</v>
      </c>
      <c r="C1958" s="1178" t="s">
        <v>21052</v>
      </c>
      <c r="D1958" s="1178" t="s">
        <v>897</v>
      </c>
      <c r="E1958" s="1179">
        <v>2021</v>
      </c>
      <c r="F1958" s="1282" t="s">
        <v>20220</v>
      </c>
      <c r="G1958" s="1368">
        <v>171.5</v>
      </c>
      <c r="H1958" s="1178" t="s">
        <v>20224</v>
      </c>
      <c r="I1958" s="1178" t="s">
        <v>6623</v>
      </c>
      <c r="J1958" s="1178" t="s">
        <v>662</v>
      </c>
      <c r="K1958" s="1178" t="s">
        <v>267</v>
      </c>
      <c r="L1958" s="1178" t="s">
        <v>242</v>
      </c>
      <c r="M1958" s="1369" t="s">
        <v>23296</v>
      </c>
      <c r="N1958" s="1178" t="s">
        <v>20244</v>
      </c>
      <c r="O1958" s="1178">
        <v>6</v>
      </c>
      <c r="P1958" s="1178">
        <v>13</v>
      </c>
    </row>
    <row r="1959" spans="1:16">
      <c r="A1959" s="1178" t="s">
        <v>21045</v>
      </c>
      <c r="B1959" s="1371" t="str">
        <f>HYPERLINK(IFERROR("#Main_Tariff!A"&amp;MATCH(Raeburn_Main_Tariff[[#This Row],[Product Code]],Main_Tariff!I:I,0),"#Main_Tariff!A"&amp;MATCH("*"&amp;RIGHT(A1959,8)&amp;"*",Main_Tariff!A:A,0)),Raeburn_Main_Tariff[[#This Row],[PRODUCER]])</f>
        <v>Chandon De Briailles</v>
      </c>
      <c r="C1959" s="1178" t="s">
        <v>21052</v>
      </c>
      <c r="D1959" s="1178" t="s">
        <v>897</v>
      </c>
      <c r="E1959" s="1179">
        <v>2018</v>
      </c>
      <c r="F1959" s="1282" t="s">
        <v>20220</v>
      </c>
      <c r="G1959" s="1368">
        <v>171.5</v>
      </c>
      <c r="H1959" s="1178" t="s">
        <v>20224</v>
      </c>
      <c r="I1959" s="1178" t="s">
        <v>6624</v>
      </c>
      <c r="J1959" s="1178" t="s">
        <v>662</v>
      </c>
      <c r="K1959" s="1178" t="s">
        <v>267</v>
      </c>
      <c r="L1959" s="1178" t="s">
        <v>242</v>
      </c>
      <c r="M1959" s="1369" t="s">
        <v>23296</v>
      </c>
      <c r="N1959" s="1178" t="s">
        <v>20244</v>
      </c>
      <c r="O1959" s="1178">
        <v>6</v>
      </c>
      <c r="P1959" s="1178">
        <v>13</v>
      </c>
    </row>
    <row r="1960" spans="1:16">
      <c r="A1960" s="1178" t="s">
        <v>249</v>
      </c>
      <c r="B1960" s="1371" t="str">
        <f>HYPERLINK(IFERROR("#Main_Tariff!A"&amp;MATCH(Raeburn_Main_Tariff[[#This Row],[Product Code]],Main_Tariff!I:I,0),"#Main_Tariff!A"&amp;MATCH("*"&amp;RIGHT(A1960,8)&amp;"*",Main_Tariff!A:A,0)),Raeburn_Main_Tariff[[#This Row],[PRODUCER]])</f>
        <v>Maison Francois de Nicolay</v>
      </c>
      <c r="C1960" s="1178" t="s">
        <v>21053</v>
      </c>
      <c r="D1960" s="1178" t="s">
        <v>1129</v>
      </c>
      <c r="E1960" s="1179">
        <v>2022</v>
      </c>
      <c r="F1960" s="1282" t="s">
        <v>20220</v>
      </c>
      <c r="G1960" s="1368">
        <v>24.5</v>
      </c>
      <c r="H1960" s="1178" t="s">
        <v>20221</v>
      </c>
      <c r="I1960" s="1178" t="s">
        <v>6645</v>
      </c>
      <c r="J1960" s="1178" t="s">
        <v>662</v>
      </c>
      <c r="K1960" s="1178" t="s">
        <v>267</v>
      </c>
      <c r="L1960" s="1178" t="s">
        <v>242</v>
      </c>
      <c r="M1960" s="1369"/>
      <c r="N1960" s="1178" t="s">
        <v>20244</v>
      </c>
      <c r="O1960" s="1178">
        <v>6</v>
      </c>
      <c r="P1960" s="1178">
        <v>13</v>
      </c>
    </row>
    <row r="1961" spans="1:16">
      <c r="A1961" s="1178" t="s">
        <v>249</v>
      </c>
      <c r="B1961" s="1371" t="str">
        <f>HYPERLINK(IFERROR("#Main_Tariff!A"&amp;MATCH(Raeburn_Main_Tariff[[#This Row],[Product Code]],Main_Tariff!I:I,0),"#Main_Tariff!A"&amp;MATCH("*"&amp;RIGHT(A1961,8)&amp;"*",Main_Tariff!A:A,0)),Raeburn_Main_Tariff[[#This Row],[PRODUCER]])</f>
        <v>Maison Francois de Nicolay</v>
      </c>
      <c r="C1961" s="1178" t="s">
        <v>21053</v>
      </c>
      <c r="D1961" s="1178" t="s">
        <v>1129</v>
      </c>
      <c r="E1961" s="1179">
        <v>2020</v>
      </c>
      <c r="F1961" s="1282" t="s">
        <v>20220</v>
      </c>
      <c r="G1961" s="1368">
        <v>23.25</v>
      </c>
      <c r="H1961" s="1178" t="s">
        <v>20221</v>
      </c>
      <c r="I1961" s="1178" t="s">
        <v>6647</v>
      </c>
      <c r="J1961" s="1178" t="s">
        <v>662</v>
      </c>
      <c r="K1961" s="1178" t="s">
        <v>267</v>
      </c>
      <c r="L1961" s="1178" t="s">
        <v>242</v>
      </c>
      <c r="M1961" s="1369"/>
      <c r="N1961" s="1178" t="s">
        <v>20244</v>
      </c>
      <c r="O1961" s="1178">
        <v>6</v>
      </c>
      <c r="P1961" s="1178">
        <v>12.5</v>
      </c>
    </row>
    <row r="1962" spans="1:16">
      <c r="A1962" s="1178" t="s">
        <v>249</v>
      </c>
      <c r="B1962" s="1371" t="str">
        <f>HYPERLINK(IFERROR("#Main_Tariff!A"&amp;MATCH(Raeburn_Main_Tariff[[#This Row],[Product Code]],Main_Tariff!I:I,0),"#Main_Tariff!A"&amp;MATCH("*"&amp;RIGHT(A1962,8)&amp;"*",Main_Tariff!A:A,0)),Raeburn_Main_Tariff[[#This Row],[PRODUCER]])</f>
        <v>Maison Francois de Nicolay</v>
      </c>
      <c r="C1962" s="1178" t="s">
        <v>21054</v>
      </c>
      <c r="D1962" s="1178" t="s">
        <v>1129</v>
      </c>
      <c r="E1962" s="1179">
        <v>2020</v>
      </c>
      <c r="F1962" s="1282" t="s">
        <v>20220</v>
      </c>
      <c r="G1962" s="1368">
        <v>24.5</v>
      </c>
      <c r="H1962" s="1178" t="s">
        <v>20221</v>
      </c>
      <c r="I1962" s="1178" t="s">
        <v>6649</v>
      </c>
      <c r="J1962" s="1178" t="s">
        <v>662</v>
      </c>
      <c r="K1962" s="1178" t="s">
        <v>267</v>
      </c>
      <c r="L1962" s="1178" t="s">
        <v>242</v>
      </c>
      <c r="M1962" s="1369"/>
      <c r="N1962" s="1178" t="s">
        <v>20244</v>
      </c>
      <c r="O1962" s="1178">
        <v>6</v>
      </c>
      <c r="P1962" s="1178">
        <v>12.5</v>
      </c>
    </row>
    <row r="1963" spans="1:16">
      <c r="A1963" s="1178" t="s">
        <v>249</v>
      </c>
      <c r="B1963" s="1371" t="str">
        <f>HYPERLINK(IFERROR("#Main_Tariff!A"&amp;MATCH(Raeburn_Main_Tariff[[#This Row],[Product Code]],Main_Tariff!I:I,0),"#Main_Tariff!A"&amp;MATCH("*"&amp;RIGHT(A1963,8)&amp;"*",Main_Tariff!A:A,0)),Raeburn_Main_Tariff[[#This Row],[PRODUCER]])</f>
        <v>Maison Francois de Nicolay</v>
      </c>
      <c r="C1963" s="1178" t="s">
        <v>21055</v>
      </c>
      <c r="D1963" s="1178" t="s">
        <v>1129</v>
      </c>
      <c r="E1963" s="1179">
        <v>2022</v>
      </c>
      <c r="F1963" s="1282" t="s">
        <v>20220</v>
      </c>
      <c r="G1963" s="1368">
        <v>39.5</v>
      </c>
      <c r="H1963" s="1178" t="s">
        <v>20221</v>
      </c>
      <c r="I1963" s="1178" t="s">
        <v>6651</v>
      </c>
      <c r="J1963" s="1178" t="s">
        <v>662</v>
      </c>
      <c r="K1963" s="1178" t="s">
        <v>267</v>
      </c>
      <c r="L1963" s="1178" t="s">
        <v>242</v>
      </c>
      <c r="M1963" s="1369"/>
      <c r="N1963" s="1178" t="s">
        <v>20244</v>
      </c>
      <c r="O1963" s="1178">
        <v>6</v>
      </c>
      <c r="P1963" s="1178">
        <v>12.5</v>
      </c>
    </row>
    <row r="1964" spans="1:16">
      <c r="A1964" s="1178" t="s">
        <v>249</v>
      </c>
      <c r="B1964" s="1371" t="str">
        <f>HYPERLINK(IFERROR("#Main_Tariff!A"&amp;MATCH(Raeburn_Main_Tariff[[#This Row],[Product Code]],Main_Tariff!I:I,0),"#Main_Tariff!A"&amp;MATCH("*"&amp;RIGHT(A1964,8)&amp;"*",Main_Tariff!A:A,0)),Raeburn_Main_Tariff[[#This Row],[PRODUCER]])</f>
        <v>Maison Francois de Nicolay</v>
      </c>
      <c r="C1964" s="1178" t="s">
        <v>21056</v>
      </c>
      <c r="D1964" s="1178" t="s">
        <v>1129</v>
      </c>
      <c r="E1964" s="1179">
        <v>2020</v>
      </c>
      <c r="F1964" s="1282" t="s">
        <v>20220</v>
      </c>
      <c r="G1964" s="1368">
        <v>29.25</v>
      </c>
      <c r="H1964" s="1178" t="s">
        <v>20224</v>
      </c>
      <c r="I1964" s="1178" t="s">
        <v>6652</v>
      </c>
      <c r="J1964" s="1178" t="s">
        <v>662</v>
      </c>
      <c r="K1964" s="1178" t="s">
        <v>267</v>
      </c>
      <c r="L1964" s="1178" t="s">
        <v>242</v>
      </c>
      <c r="M1964" s="1369"/>
      <c r="N1964" s="1178" t="s">
        <v>20244</v>
      </c>
      <c r="O1964" s="1178">
        <v>6</v>
      </c>
      <c r="P1964" s="1178">
        <v>12</v>
      </c>
    </row>
    <row r="1965" spans="1:16">
      <c r="A1965" s="1178" t="s">
        <v>249</v>
      </c>
      <c r="B1965" s="1371" t="str">
        <f>HYPERLINK(IFERROR("#Main_Tariff!A"&amp;MATCH(Raeburn_Main_Tariff[[#This Row],[Product Code]],Main_Tariff!I:I,0),"#Main_Tariff!A"&amp;MATCH("*"&amp;RIGHT(A1965,8)&amp;"*",Main_Tariff!A:A,0)),Raeburn_Main_Tariff[[#This Row],[PRODUCER]])</f>
        <v>Maison Francois de Nicolay</v>
      </c>
      <c r="C1965" s="1178" t="s">
        <v>21057</v>
      </c>
      <c r="D1965" s="1178" t="s">
        <v>1129</v>
      </c>
      <c r="E1965" s="1179">
        <v>2019</v>
      </c>
      <c r="F1965" s="1282" t="s">
        <v>20220</v>
      </c>
      <c r="G1965" s="1368">
        <v>34</v>
      </c>
      <c r="H1965" s="1178" t="s">
        <v>20221</v>
      </c>
      <c r="I1965" s="1178" t="s">
        <v>6654</v>
      </c>
      <c r="J1965" s="1178" t="s">
        <v>662</v>
      </c>
      <c r="K1965" s="1178" t="s">
        <v>267</v>
      </c>
      <c r="L1965" s="1178" t="s">
        <v>242</v>
      </c>
      <c r="M1965" s="1369"/>
      <c r="N1965" s="1178" t="s">
        <v>20244</v>
      </c>
      <c r="O1965" s="1178">
        <v>6</v>
      </c>
      <c r="P1965" s="1178">
        <v>14</v>
      </c>
    </row>
    <row r="1966" spans="1:16">
      <c r="A1966" s="1178" t="s">
        <v>249</v>
      </c>
      <c r="B1966" s="1371" t="str">
        <f>HYPERLINK(IFERROR("#Main_Tariff!A"&amp;MATCH(Raeburn_Main_Tariff[[#This Row],[Product Code]],Main_Tariff!I:I,0),"#Main_Tariff!A"&amp;MATCH("*"&amp;RIGHT(A1966,8)&amp;"*",Main_Tariff!A:A,0)),Raeburn_Main_Tariff[[#This Row],[PRODUCER]])</f>
        <v>Maison Francois de Nicolay</v>
      </c>
      <c r="C1966" s="1178" t="s">
        <v>21058</v>
      </c>
      <c r="D1966" s="1178" t="s">
        <v>897</v>
      </c>
      <c r="E1966" s="1179">
        <v>2022</v>
      </c>
      <c r="F1966" s="1282" t="s">
        <v>20220</v>
      </c>
      <c r="G1966" s="1368">
        <v>31.5</v>
      </c>
      <c r="H1966" s="1178" t="s">
        <v>20221</v>
      </c>
      <c r="I1966" s="1178" t="s">
        <v>6657</v>
      </c>
      <c r="J1966" s="1178" t="s">
        <v>662</v>
      </c>
      <c r="K1966" s="1178" t="s">
        <v>267</v>
      </c>
      <c r="L1966" s="1178" t="s">
        <v>242</v>
      </c>
      <c r="M1966" s="1369"/>
      <c r="N1966" s="1178"/>
      <c r="O1966" s="1178">
        <v>6</v>
      </c>
      <c r="P1966" s="1178">
        <v>12.5</v>
      </c>
    </row>
    <row r="1967" spans="1:16">
      <c r="A1967" s="1178" t="s">
        <v>249</v>
      </c>
      <c r="B1967" s="1371" t="str">
        <f>HYPERLINK(IFERROR("#Main_Tariff!A"&amp;MATCH(Raeburn_Main_Tariff[[#This Row],[Product Code]],Main_Tariff!I:I,0),"#Main_Tariff!A"&amp;MATCH("*"&amp;RIGHT(A1967,8)&amp;"*",Main_Tariff!A:A,0)),Raeburn_Main_Tariff[[#This Row],[PRODUCER]])</f>
        <v>Maison Francois de Nicolay</v>
      </c>
      <c r="C1967" s="1178" t="s">
        <v>21058</v>
      </c>
      <c r="D1967" s="1178" t="s">
        <v>897</v>
      </c>
      <c r="E1967" s="1179">
        <v>2019</v>
      </c>
      <c r="F1967" s="1282" t="s">
        <v>20220</v>
      </c>
      <c r="G1967" s="1368">
        <v>24.5</v>
      </c>
      <c r="H1967" s="1178" t="s">
        <v>20221</v>
      </c>
      <c r="I1967" s="1178" t="s">
        <v>6658</v>
      </c>
      <c r="J1967" s="1178" t="s">
        <v>662</v>
      </c>
      <c r="K1967" s="1178" t="s">
        <v>267</v>
      </c>
      <c r="L1967" s="1178" t="s">
        <v>242</v>
      </c>
      <c r="M1967" s="1369"/>
      <c r="N1967" s="1178"/>
      <c r="O1967" s="1178">
        <v>6</v>
      </c>
      <c r="P1967" s="1178">
        <v>13</v>
      </c>
    </row>
    <row r="1968" spans="1:16">
      <c r="A1968" s="1178" t="s">
        <v>21059</v>
      </c>
      <c r="B1968" s="1371" t="str">
        <f>HYPERLINK(IFERROR("#Main_Tariff!A"&amp;MATCH(Raeburn_Main_Tariff[[#This Row],[Product Code]],Main_Tariff!I:I,0),"#Main_Tariff!A"&amp;MATCH("*"&amp;RIGHT(A1968,8)&amp;"*",Main_Tariff!A:A,0)),Raeburn_Main_Tariff[[#This Row],[PRODUCER]])</f>
        <v>Domaine Yvon Clerget</v>
      </c>
      <c r="C1968" s="1178" t="s">
        <v>21060</v>
      </c>
      <c r="D1968" s="1178" t="s">
        <v>1129</v>
      </c>
      <c r="E1968" s="1179">
        <v>2020</v>
      </c>
      <c r="F1968" s="1282" t="s">
        <v>20220</v>
      </c>
      <c r="G1968" s="1368" t="s">
        <v>5258</v>
      </c>
      <c r="H1968" s="1178" t="s">
        <v>20224</v>
      </c>
      <c r="I1968" s="1178" t="s">
        <v>6663</v>
      </c>
      <c r="J1968" s="1178" t="s">
        <v>662</v>
      </c>
      <c r="K1968" s="1178" t="s">
        <v>267</v>
      </c>
      <c r="L1968" s="1178" t="s">
        <v>242</v>
      </c>
      <c r="M1968" s="1369"/>
      <c r="N1968" s="1178"/>
      <c r="O1968" s="1178">
        <v>3</v>
      </c>
      <c r="P1968" s="1178">
        <v>13.5</v>
      </c>
    </row>
    <row r="1969" spans="1:16">
      <c r="A1969" s="1178" t="s">
        <v>21059</v>
      </c>
      <c r="B1969" s="1371" t="str">
        <f>HYPERLINK(IFERROR("#Main_Tariff!A"&amp;MATCH(Raeburn_Main_Tariff[[#This Row],[Product Code]],Main_Tariff!I:I,0),"#Main_Tariff!A"&amp;MATCH("*"&amp;RIGHT(A1969,8)&amp;"*",Main_Tariff!A:A,0)),Raeburn_Main_Tariff[[#This Row],[PRODUCER]])</f>
        <v>Domaine Yvon Clerget</v>
      </c>
      <c r="C1969" s="1178" t="s">
        <v>6176</v>
      </c>
      <c r="D1969" s="1178" t="s">
        <v>897</v>
      </c>
      <c r="E1969" s="1179">
        <v>2022</v>
      </c>
      <c r="F1969" s="1282" t="s">
        <v>20220</v>
      </c>
      <c r="G1969" s="1368">
        <v>29</v>
      </c>
      <c r="H1969" s="1178" t="s">
        <v>20224</v>
      </c>
      <c r="I1969" s="1178" t="s">
        <v>6666</v>
      </c>
      <c r="J1969" s="1178" t="s">
        <v>662</v>
      </c>
      <c r="K1969" s="1178" t="s">
        <v>267</v>
      </c>
      <c r="L1969" s="1178" t="s">
        <v>242</v>
      </c>
      <c r="M1969" s="1369"/>
      <c r="N1969" s="1178"/>
      <c r="O1969" s="1178">
        <v>6</v>
      </c>
      <c r="P1969" s="1178">
        <v>13.5</v>
      </c>
    </row>
    <row r="1970" spans="1:16">
      <c r="A1970" s="1178" t="s">
        <v>21059</v>
      </c>
      <c r="B1970" s="1371" t="str">
        <f>HYPERLINK(IFERROR("#Main_Tariff!A"&amp;MATCH(Raeburn_Main_Tariff[[#This Row],[Product Code]],Main_Tariff!I:I,0),"#Main_Tariff!A"&amp;MATCH("*"&amp;RIGHT(A1970,8)&amp;"*",Main_Tariff!A:A,0)),Raeburn_Main_Tariff[[#This Row],[PRODUCER]])</f>
        <v>Domaine Yvon Clerget</v>
      </c>
      <c r="C1970" s="1178" t="s">
        <v>6176</v>
      </c>
      <c r="D1970" s="1178" t="s">
        <v>897</v>
      </c>
      <c r="E1970" s="1179">
        <v>2021</v>
      </c>
      <c r="F1970" s="1282" t="s">
        <v>20220</v>
      </c>
      <c r="G1970" s="1368">
        <v>29</v>
      </c>
      <c r="H1970" s="1178" t="s">
        <v>20224</v>
      </c>
      <c r="I1970" s="1178" t="s">
        <v>6668</v>
      </c>
      <c r="J1970" s="1178" t="s">
        <v>662</v>
      </c>
      <c r="K1970" s="1178" t="s">
        <v>267</v>
      </c>
      <c r="L1970" s="1178" t="s">
        <v>242</v>
      </c>
      <c r="M1970" s="1369"/>
      <c r="N1970" s="1178"/>
      <c r="O1970" s="1178">
        <v>6</v>
      </c>
      <c r="P1970" s="1178">
        <v>13</v>
      </c>
    </row>
    <row r="1971" spans="1:16">
      <c r="A1971" s="1178" t="s">
        <v>21059</v>
      </c>
      <c r="B1971" s="1371" t="str">
        <f>HYPERLINK(IFERROR("#Main_Tariff!A"&amp;MATCH(Raeburn_Main_Tariff[[#This Row],[Product Code]],Main_Tariff!I:I,0),"#Main_Tariff!A"&amp;MATCH("*"&amp;RIGHT(A1971,8)&amp;"*",Main_Tariff!A:A,0)),Raeburn_Main_Tariff[[#This Row],[PRODUCER]])</f>
        <v>Domaine Yvon Clerget</v>
      </c>
      <c r="C1971" s="1178" t="s">
        <v>18808</v>
      </c>
      <c r="D1971" s="1178" t="s">
        <v>897</v>
      </c>
      <c r="E1971" s="1179">
        <v>2021</v>
      </c>
      <c r="F1971" s="1282" t="s">
        <v>20220</v>
      </c>
      <c r="G1971" s="1368">
        <v>51</v>
      </c>
      <c r="H1971" s="1178" t="s">
        <v>20224</v>
      </c>
      <c r="I1971" s="1178" t="s">
        <v>6670</v>
      </c>
      <c r="J1971" s="1178" t="s">
        <v>662</v>
      </c>
      <c r="K1971" s="1178" t="s">
        <v>267</v>
      </c>
      <c r="L1971" s="1178" t="s">
        <v>242</v>
      </c>
      <c r="M1971" s="1369"/>
      <c r="N1971" s="1178"/>
      <c r="O1971" s="1178">
        <v>3</v>
      </c>
      <c r="P1971" s="1178">
        <v>13</v>
      </c>
    </row>
    <row r="1972" spans="1:16">
      <c r="A1972" s="1178" t="s">
        <v>21059</v>
      </c>
      <c r="B1972" s="1371" t="str">
        <f>HYPERLINK(IFERROR("#Main_Tariff!A"&amp;MATCH(Raeburn_Main_Tariff[[#This Row],[Product Code]],Main_Tariff!I:I,0),"#Main_Tariff!A"&amp;MATCH("*"&amp;RIGHT(A1972,8)&amp;"*",Main_Tariff!A:A,0)),Raeburn_Main_Tariff[[#This Row],[PRODUCER]])</f>
        <v>Domaine Yvon Clerget</v>
      </c>
      <c r="C1972" s="1178" t="s">
        <v>18808</v>
      </c>
      <c r="D1972" s="1178" t="s">
        <v>897</v>
      </c>
      <c r="E1972" s="1179">
        <v>2018</v>
      </c>
      <c r="F1972" s="1282" t="s">
        <v>20220</v>
      </c>
      <c r="G1972" s="1368">
        <v>51</v>
      </c>
      <c r="H1972" s="1178" t="s">
        <v>20224</v>
      </c>
      <c r="I1972" s="1178" t="s">
        <v>6671</v>
      </c>
      <c r="J1972" s="1178" t="s">
        <v>662</v>
      </c>
      <c r="K1972" s="1178" t="s">
        <v>267</v>
      </c>
      <c r="L1972" s="1178" t="s">
        <v>242</v>
      </c>
      <c r="M1972" s="1369"/>
      <c r="N1972" s="1178"/>
      <c r="O1972" s="1178">
        <v>6</v>
      </c>
      <c r="P1972" s="1178">
        <v>13.5</v>
      </c>
    </row>
    <row r="1973" spans="1:16">
      <c r="A1973" s="1178" t="s">
        <v>21059</v>
      </c>
      <c r="B1973" s="1371" t="str">
        <f>HYPERLINK(IFERROR("#Main_Tariff!A"&amp;MATCH(Raeburn_Main_Tariff[[#This Row],[Product Code]],Main_Tariff!I:I,0),"#Main_Tariff!A"&amp;MATCH("*"&amp;RIGHT(A1973,8)&amp;"*",Main_Tariff!A:A,0)),Raeburn_Main_Tariff[[#This Row],[PRODUCER]])</f>
        <v>Domaine Yvon Clerget</v>
      </c>
      <c r="C1973" s="1178" t="s">
        <v>18808</v>
      </c>
      <c r="D1973" s="1178" t="s">
        <v>897</v>
      </c>
      <c r="E1973" s="1179">
        <v>2017</v>
      </c>
      <c r="F1973" s="1282" t="s">
        <v>20220</v>
      </c>
      <c r="G1973" s="1368">
        <v>51</v>
      </c>
      <c r="H1973" s="1178" t="s">
        <v>20224</v>
      </c>
      <c r="I1973" s="1178" t="s">
        <v>6673</v>
      </c>
      <c r="J1973" s="1178" t="s">
        <v>662</v>
      </c>
      <c r="K1973" s="1178" t="s">
        <v>267</v>
      </c>
      <c r="L1973" s="1178" t="s">
        <v>242</v>
      </c>
      <c r="M1973" s="1369"/>
      <c r="N1973" s="1178"/>
      <c r="O1973" s="1178">
        <v>6</v>
      </c>
      <c r="P1973" s="1178">
        <v>13.5</v>
      </c>
    </row>
    <row r="1974" spans="1:16">
      <c r="A1974" s="1178" t="s">
        <v>21059</v>
      </c>
      <c r="B1974" s="1371" t="str">
        <f>HYPERLINK(IFERROR("#Main_Tariff!A"&amp;MATCH(Raeburn_Main_Tariff[[#This Row],[Product Code]],Main_Tariff!I:I,0),"#Main_Tariff!A"&amp;MATCH("*"&amp;RIGHT(A1974,8)&amp;"*",Main_Tariff!A:A,0)),Raeburn_Main_Tariff[[#This Row],[PRODUCER]])</f>
        <v>Domaine Yvon Clerget</v>
      </c>
      <c r="C1974" s="1178" t="s">
        <v>18808</v>
      </c>
      <c r="D1974" s="1178" t="s">
        <v>897</v>
      </c>
      <c r="E1974" s="1179">
        <v>2016</v>
      </c>
      <c r="F1974" s="1282" t="s">
        <v>20220</v>
      </c>
      <c r="G1974" s="1368">
        <v>51</v>
      </c>
      <c r="H1974" s="1178" t="s">
        <v>20224</v>
      </c>
      <c r="I1974" s="1178" t="s">
        <v>6675</v>
      </c>
      <c r="J1974" s="1178" t="s">
        <v>662</v>
      </c>
      <c r="K1974" s="1178" t="s">
        <v>267</v>
      </c>
      <c r="L1974" s="1178" t="s">
        <v>242</v>
      </c>
      <c r="M1974" s="1369"/>
      <c r="N1974" s="1178"/>
      <c r="O1974" s="1178">
        <v>6</v>
      </c>
      <c r="P1974" s="1178">
        <v>13</v>
      </c>
    </row>
    <row r="1975" spans="1:16">
      <c r="A1975" s="1178" t="s">
        <v>21059</v>
      </c>
      <c r="B1975" s="1371" t="str">
        <f>HYPERLINK(IFERROR("#Main_Tariff!A"&amp;MATCH(Raeburn_Main_Tariff[[#This Row],[Product Code]],Main_Tariff!I:I,0),"#Main_Tariff!A"&amp;MATCH("*"&amp;RIGHT(A1975,8)&amp;"*",Main_Tariff!A:A,0)),Raeburn_Main_Tariff[[#This Row],[PRODUCER]])</f>
        <v>Domaine Yvon Clerget</v>
      </c>
      <c r="C1975" s="1178" t="s">
        <v>21061</v>
      </c>
      <c r="D1975" s="1178" t="s">
        <v>897</v>
      </c>
      <c r="E1975" s="1179">
        <v>2022</v>
      </c>
      <c r="F1975" s="1282" t="s">
        <v>20220</v>
      </c>
      <c r="G1975" s="1368">
        <v>74</v>
      </c>
      <c r="H1975" s="1178" t="s">
        <v>20221</v>
      </c>
      <c r="I1975" s="1178" t="s">
        <v>6678</v>
      </c>
      <c r="J1975" s="1178" t="s">
        <v>662</v>
      </c>
      <c r="K1975" s="1178" t="s">
        <v>267</v>
      </c>
      <c r="L1975" s="1178" t="s">
        <v>242</v>
      </c>
      <c r="M1975" s="1369" t="s">
        <v>23297</v>
      </c>
      <c r="N1975" s="1178"/>
      <c r="O1975" s="1178">
        <v>6</v>
      </c>
      <c r="P1975" s="1178">
        <v>13.5</v>
      </c>
    </row>
    <row r="1976" spans="1:16">
      <c r="A1976" s="1178" t="s">
        <v>21059</v>
      </c>
      <c r="B1976" s="1371" t="str">
        <f>HYPERLINK(IFERROR("#Main_Tariff!A"&amp;MATCH(Raeburn_Main_Tariff[[#This Row],[Product Code]],Main_Tariff!I:I,0),"#Main_Tariff!A"&amp;MATCH("*"&amp;RIGHT(A1976,8)&amp;"*",Main_Tariff!A:A,0)),Raeburn_Main_Tariff[[#This Row],[PRODUCER]])</f>
        <v>Domaine Yvon Clerget</v>
      </c>
      <c r="C1976" s="1178" t="s">
        <v>21061</v>
      </c>
      <c r="D1976" s="1178" t="s">
        <v>897</v>
      </c>
      <c r="E1976" s="1179">
        <v>2021</v>
      </c>
      <c r="F1976" s="1282" t="s">
        <v>20220</v>
      </c>
      <c r="G1976" s="1368">
        <v>77.5</v>
      </c>
      <c r="H1976" s="1178" t="s">
        <v>20224</v>
      </c>
      <c r="I1976" s="1178" t="s">
        <v>6680</v>
      </c>
      <c r="J1976" s="1178" t="s">
        <v>662</v>
      </c>
      <c r="K1976" s="1178" t="s">
        <v>267</v>
      </c>
      <c r="L1976" s="1178" t="s">
        <v>242</v>
      </c>
      <c r="M1976" s="1369" t="s">
        <v>23297</v>
      </c>
      <c r="N1976" s="1178"/>
      <c r="O1976" s="1178">
        <v>3</v>
      </c>
      <c r="P1976" s="1178">
        <v>13</v>
      </c>
    </row>
    <row r="1977" spans="1:16">
      <c r="A1977" s="1178" t="s">
        <v>21059</v>
      </c>
      <c r="B1977" s="1371" t="str">
        <f>HYPERLINK(IFERROR("#Main_Tariff!A"&amp;MATCH(Raeburn_Main_Tariff[[#This Row],[Product Code]],Main_Tariff!I:I,0),"#Main_Tariff!A"&amp;MATCH("*"&amp;RIGHT(A1977,8)&amp;"*",Main_Tariff!A:A,0)),Raeburn_Main_Tariff[[#This Row],[PRODUCER]])</f>
        <v>Domaine Yvon Clerget</v>
      </c>
      <c r="C1977" s="1178" t="s">
        <v>21061</v>
      </c>
      <c r="D1977" s="1178" t="s">
        <v>897</v>
      </c>
      <c r="E1977" s="1179">
        <v>2020</v>
      </c>
      <c r="F1977" s="1282" t="s">
        <v>20220</v>
      </c>
      <c r="G1977" s="1368">
        <v>61</v>
      </c>
      <c r="H1977" s="1178" t="s">
        <v>20224</v>
      </c>
      <c r="I1977" s="1178" t="s">
        <v>6682</v>
      </c>
      <c r="J1977" s="1178" t="s">
        <v>662</v>
      </c>
      <c r="K1977" s="1178" t="s">
        <v>267</v>
      </c>
      <c r="L1977" s="1178" t="s">
        <v>242</v>
      </c>
      <c r="M1977" s="1369" t="s">
        <v>23297</v>
      </c>
      <c r="N1977" s="1178"/>
      <c r="O1977" s="1178">
        <v>6</v>
      </c>
      <c r="P1977" s="1178">
        <v>13.5</v>
      </c>
    </row>
    <row r="1978" spans="1:16">
      <c r="A1978" s="1178" t="s">
        <v>21059</v>
      </c>
      <c r="B1978" s="1371" t="str">
        <f>HYPERLINK(IFERROR("#Main_Tariff!A"&amp;MATCH(Raeburn_Main_Tariff[[#This Row],[Product Code]],Main_Tariff!I:I,0),"#Main_Tariff!A"&amp;MATCH("*"&amp;RIGHT(A1978,8)&amp;"*",Main_Tariff!A:A,0)),Raeburn_Main_Tariff[[#This Row],[PRODUCER]])</f>
        <v>Domaine Yvon Clerget</v>
      </c>
      <c r="C1978" s="1178" t="s">
        <v>21061</v>
      </c>
      <c r="D1978" s="1178" t="s">
        <v>897</v>
      </c>
      <c r="E1978" s="1179">
        <v>2018</v>
      </c>
      <c r="F1978" s="1282" t="s">
        <v>20220</v>
      </c>
      <c r="G1978" s="1368">
        <v>56</v>
      </c>
      <c r="H1978" s="1178" t="s">
        <v>20221</v>
      </c>
      <c r="I1978" s="1178" t="s">
        <v>6684</v>
      </c>
      <c r="J1978" s="1178" t="s">
        <v>662</v>
      </c>
      <c r="K1978" s="1178" t="s">
        <v>267</v>
      </c>
      <c r="L1978" s="1178" t="s">
        <v>242</v>
      </c>
      <c r="M1978" s="1369" t="s">
        <v>23297</v>
      </c>
      <c r="N1978" s="1178"/>
      <c r="O1978" s="1178">
        <v>6</v>
      </c>
      <c r="P1978" s="1178">
        <v>13.5</v>
      </c>
    </row>
    <row r="1979" spans="1:16">
      <c r="A1979" s="1178" t="s">
        <v>21059</v>
      </c>
      <c r="B1979" s="1371" t="str">
        <f>HYPERLINK(IFERROR("#Main_Tariff!A"&amp;MATCH(Raeburn_Main_Tariff[[#This Row],[Product Code]],Main_Tariff!I:I,0),"#Main_Tariff!A"&amp;MATCH("*"&amp;RIGHT(A1979,8)&amp;"*",Main_Tariff!A:A,0)),Raeburn_Main_Tariff[[#This Row],[PRODUCER]])</f>
        <v>Domaine Yvon Clerget</v>
      </c>
      <c r="C1979" s="1178" t="s">
        <v>21061</v>
      </c>
      <c r="D1979" s="1178" t="s">
        <v>897</v>
      </c>
      <c r="E1979" s="1179">
        <v>2017</v>
      </c>
      <c r="F1979" s="1282" t="s">
        <v>20220</v>
      </c>
      <c r="G1979" s="1368">
        <v>56</v>
      </c>
      <c r="H1979" s="1178" t="s">
        <v>20221</v>
      </c>
      <c r="I1979" s="1178" t="s">
        <v>6686</v>
      </c>
      <c r="J1979" s="1178" t="s">
        <v>662</v>
      </c>
      <c r="K1979" s="1178" t="s">
        <v>267</v>
      </c>
      <c r="L1979" s="1178" t="s">
        <v>242</v>
      </c>
      <c r="M1979" s="1369" t="s">
        <v>23297</v>
      </c>
      <c r="N1979" s="1178"/>
      <c r="O1979" s="1178">
        <v>6</v>
      </c>
      <c r="P1979" s="1178">
        <v>13.5</v>
      </c>
    </row>
    <row r="1980" spans="1:16">
      <c r="A1980" s="1178" t="s">
        <v>21059</v>
      </c>
      <c r="B1980" s="1371" t="str">
        <f>HYPERLINK(IFERROR("#Main_Tariff!A"&amp;MATCH(Raeburn_Main_Tariff[[#This Row],[Product Code]],Main_Tariff!I:I,0),"#Main_Tariff!A"&amp;MATCH("*"&amp;RIGHT(A1980,8)&amp;"*",Main_Tariff!A:A,0)),Raeburn_Main_Tariff[[#This Row],[PRODUCER]])</f>
        <v>Domaine Yvon Clerget</v>
      </c>
      <c r="C1980" s="1178" t="s">
        <v>21062</v>
      </c>
      <c r="D1980" s="1178" t="s">
        <v>897</v>
      </c>
      <c r="E1980" s="1179">
        <v>2022</v>
      </c>
      <c r="F1980" s="1282" t="s">
        <v>20220</v>
      </c>
      <c r="G1980" s="1368">
        <v>74</v>
      </c>
      <c r="H1980" s="1178" t="s">
        <v>20221</v>
      </c>
      <c r="I1980" s="1178" t="s">
        <v>6688</v>
      </c>
      <c r="J1980" s="1178" t="s">
        <v>662</v>
      </c>
      <c r="K1980" s="1178" t="s">
        <v>267</v>
      </c>
      <c r="L1980" s="1178" t="s">
        <v>242</v>
      </c>
      <c r="M1980" s="1369" t="s">
        <v>23297</v>
      </c>
      <c r="N1980" s="1178"/>
      <c r="O1980" s="1178">
        <v>6</v>
      </c>
      <c r="P1980" s="1178">
        <v>13.5</v>
      </c>
    </row>
    <row r="1981" spans="1:16">
      <c r="A1981" s="1178" t="s">
        <v>21059</v>
      </c>
      <c r="B1981" s="1371" t="str">
        <f>HYPERLINK(IFERROR("#Main_Tariff!A"&amp;MATCH(Raeburn_Main_Tariff[[#This Row],[Product Code]],Main_Tariff!I:I,0),"#Main_Tariff!A"&amp;MATCH("*"&amp;RIGHT(A1981,8)&amp;"*",Main_Tariff!A:A,0)),Raeburn_Main_Tariff[[#This Row],[PRODUCER]])</f>
        <v>Domaine Yvon Clerget</v>
      </c>
      <c r="C1981" s="1178" t="s">
        <v>21062</v>
      </c>
      <c r="D1981" s="1178" t="s">
        <v>897</v>
      </c>
      <c r="E1981" s="1179">
        <v>2020</v>
      </c>
      <c r="F1981" s="1282" t="s">
        <v>20220</v>
      </c>
      <c r="G1981" s="1368">
        <v>61</v>
      </c>
      <c r="H1981" s="1178" t="s">
        <v>20224</v>
      </c>
      <c r="I1981" s="1178" t="s">
        <v>6690</v>
      </c>
      <c r="J1981" s="1178" t="s">
        <v>662</v>
      </c>
      <c r="K1981" s="1178" t="s">
        <v>267</v>
      </c>
      <c r="L1981" s="1178" t="s">
        <v>242</v>
      </c>
      <c r="M1981" s="1369" t="s">
        <v>23297</v>
      </c>
      <c r="N1981" s="1178"/>
      <c r="O1981" s="1178">
        <v>6</v>
      </c>
      <c r="P1981" s="1178">
        <v>14</v>
      </c>
    </row>
    <row r="1982" spans="1:16">
      <c r="A1982" s="1178" t="s">
        <v>21059</v>
      </c>
      <c r="B1982" s="1371" t="str">
        <f>HYPERLINK(IFERROR("#Main_Tariff!A"&amp;MATCH(Raeburn_Main_Tariff[[#This Row],[Product Code]],Main_Tariff!I:I,0),"#Main_Tariff!A"&amp;MATCH("*"&amp;RIGHT(A1982,8)&amp;"*",Main_Tariff!A:A,0)),Raeburn_Main_Tariff[[#This Row],[PRODUCER]])</f>
        <v>Domaine Yvon Clerget</v>
      </c>
      <c r="C1982" s="1178" t="s">
        <v>21062</v>
      </c>
      <c r="D1982" s="1178" t="s">
        <v>897</v>
      </c>
      <c r="E1982" s="1179">
        <v>2019</v>
      </c>
      <c r="F1982" s="1282" t="s">
        <v>20220</v>
      </c>
      <c r="G1982" s="1368">
        <v>61</v>
      </c>
      <c r="H1982" s="1178" t="s">
        <v>20224</v>
      </c>
      <c r="I1982" s="1178" t="s">
        <v>6691</v>
      </c>
      <c r="J1982" s="1178" t="s">
        <v>662</v>
      </c>
      <c r="K1982" s="1178" t="s">
        <v>267</v>
      </c>
      <c r="L1982" s="1178" t="s">
        <v>242</v>
      </c>
      <c r="M1982" s="1369" t="s">
        <v>23297</v>
      </c>
      <c r="N1982" s="1178"/>
      <c r="O1982" s="1178">
        <v>6</v>
      </c>
      <c r="P1982" s="1178">
        <v>13</v>
      </c>
    </row>
    <row r="1983" spans="1:16">
      <c r="A1983" s="1178" t="s">
        <v>21059</v>
      </c>
      <c r="B1983" s="1371" t="str">
        <f>HYPERLINK(IFERROR("#Main_Tariff!A"&amp;MATCH(Raeburn_Main_Tariff[[#This Row],[Product Code]],Main_Tariff!I:I,0),"#Main_Tariff!A"&amp;MATCH("*"&amp;RIGHT(A1983,8)&amp;"*",Main_Tariff!A:A,0)),Raeburn_Main_Tariff[[#This Row],[PRODUCER]])</f>
        <v>Domaine Yvon Clerget</v>
      </c>
      <c r="C1983" s="1178" t="s">
        <v>21062</v>
      </c>
      <c r="D1983" s="1178" t="s">
        <v>897</v>
      </c>
      <c r="E1983" s="1179">
        <v>2018</v>
      </c>
      <c r="F1983" s="1282" t="s">
        <v>20220</v>
      </c>
      <c r="G1983" s="1368">
        <v>61</v>
      </c>
      <c r="H1983" s="1178" t="s">
        <v>20224</v>
      </c>
      <c r="I1983" s="1178" t="s">
        <v>6693</v>
      </c>
      <c r="J1983" s="1178" t="s">
        <v>662</v>
      </c>
      <c r="K1983" s="1178" t="s">
        <v>267</v>
      </c>
      <c r="L1983" s="1178" t="s">
        <v>242</v>
      </c>
      <c r="M1983" s="1369" t="s">
        <v>23297</v>
      </c>
      <c r="N1983" s="1178"/>
      <c r="O1983" s="1178">
        <v>6</v>
      </c>
      <c r="P1983" s="1178">
        <v>13.5</v>
      </c>
    </row>
    <row r="1984" spans="1:16">
      <c r="A1984" s="1178" t="s">
        <v>21059</v>
      </c>
      <c r="B1984" s="1371" t="str">
        <f>HYPERLINK(IFERROR("#Main_Tariff!A"&amp;MATCH(Raeburn_Main_Tariff[[#This Row],[Product Code]],Main_Tariff!I:I,0),"#Main_Tariff!A"&amp;MATCH("*"&amp;RIGHT(A1984,8)&amp;"*",Main_Tariff!A:A,0)),Raeburn_Main_Tariff[[#This Row],[PRODUCER]])</f>
        <v>Domaine Yvon Clerget</v>
      </c>
      <c r="C1984" s="1178" t="s">
        <v>21063</v>
      </c>
      <c r="D1984" s="1178" t="s">
        <v>897</v>
      </c>
      <c r="E1984" s="1179">
        <v>2022</v>
      </c>
      <c r="F1984" s="1282" t="s">
        <v>20220</v>
      </c>
      <c r="G1984" s="1368">
        <v>81</v>
      </c>
      <c r="H1984" s="1178" t="s">
        <v>20221</v>
      </c>
      <c r="I1984" s="1178" t="s">
        <v>6695</v>
      </c>
      <c r="J1984" s="1178" t="s">
        <v>662</v>
      </c>
      <c r="K1984" s="1178" t="s">
        <v>267</v>
      </c>
      <c r="L1984" s="1178" t="s">
        <v>242</v>
      </c>
      <c r="M1984" s="1369" t="s">
        <v>23297</v>
      </c>
      <c r="N1984" s="1178"/>
      <c r="O1984" s="1178">
        <v>6</v>
      </c>
      <c r="P1984" s="1178">
        <v>13.5</v>
      </c>
    </row>
    <row r="1985" spans="1:16">
      <c r="A1985" s="1178" t="s">
        <v>21059</v>
      </c>
      <c r="B1985" s="1371" t="str">
        <f>HYPERLINK(IFERROR("#Main_Tariff!A"&amp;MATCH(Raeburn_Main_Tariff[[#This Row],[Product Code]],Main_Tariff!I:I,0),"#Main_Tariff!A"&amp;MATCH("*"&amp;RIGHT(A1985,8)&amp;"*",Main_Tariff!A:A,0)),Raeburn_Main_Tariff[[#This Row],[PRODUCER]])</f>
        <v>Domaine Yvon Clerget</v>
      </c>
      <c r="C1985" s="1178" t="s">
        <v>21063</v>
      </c>
      <c r="D1985" s="1178" t="s">
        <v>897</v>
      </c>
      <c r="E1985" s="1179">
        <v>2020</v>
      </c>
      <c r="F1985" s="1282" t="s">
        <v>20220</v>
      </c>
      <c r="G1985" s="1368">
        <v>63</v>
      </c>
      <c r="H1985" s="1178" t="s">
        <v>20224</v>
      </c>
      <c r="I1985" s="1178" t="s">
        <v>6697</v>
      </c>
      <c r="J1985" s="1178" t="s">
        <v>662</v>
      </c>
      <c r="K1985" s="1178" t="s">
        <v>267</v>
      </c>
      <c r="L1985" s="1178" t="s">
        <v>242</v>
      </c>
      <c r="M1985" s="1369" t="s">
        <v>23297</v>
      </c>
      <c r="N1985" s="1178"/>
      <c r="O1985" s="1178">
        <v>6</v>
      </c>
      <c r="P1985" s="1178">
        <v>13</v>
      </c>
    </row>
    <row r="1986" spans="1:16">
      <c r="A1986" s="1178" t="s">
        <v>21059</v>
      </c>
      <c r="B1986" s="1371" t="str">
        <f>HYPERLINK(IFERROR("#Main_Tariff!A"&amp;MATCH(Raeburn_Main_Tariff[[#This Row],[Product Code]],Main_Tariff!I:I,0),"#Main_Tariff!A"&amp;MATCH("*"&amp;RIGHT(A1986,8)&amp;"*",Main_Tariff!A:A,0)),Raeburn_Main_Tariff[[#This Row],[PRODUCER]])</f>
        <v>Domaine Yvon Clerget</v>
      </c>
      <c r="C1986" s="1178" t="s">
        <v>21063</v>
      </c>
      <c r="D1986" s="1178" t="s">
        <v>897</v>
      </c>
      <c r="E1986" s="1179">
        <v>2019</v>
      </c>
      <c r="F1986" s="1282" t="s">
        <v>20220</v>
      </c>
      <c r="G1986" s="1368">
        <v>63</v>
      </c>
      <c r="H1986" s="1178" t="s">
        <v>20224</v>
      </c>
      <c r="I1986" s="1178" t="s">
        <v>6699</v>
      </c>
      <c r="J1986" s="1178" t="s">
        <v>662</v>
      </c>
      <c r="K1986" s="1178" t="s">
        <v>267</v>
      </c>
      <c r="L1986" s="1178" t="s">
        <v>242</v>
      </c>
      <c r="M1986" s="1369" t="s">
        <v>23297</v>
      </c>
      <c r="N1986" s="1178"/>
      <c r="O1986" s="1178">
        <v>6</v>
      </c>
      <c r="P1986" s="1178">
        <v>13</v>
      </c>
    </row>
    <row r="1987" spans="1:16">
      <c r="A1987" s="1178" t="s">
        <v>21059</v>
      </c>
      <c r="B1987" s="1371" t="str">
        <f>HYPERLINK(IFERROR("#Main_Tariff!A"&amp;MATCH(Raeburn_Main_Tariff[[#This Row],[Product Code]],Main_Tariff!I:I,0),"#Main_Tariff!A"&amp;MATCH("*"&amp;RIGHT(A1987,8)&amp;"*",Main_Tariff!A:A,0)),Raeburn_Main_Tariff[[#This Row],[PRODUCER]])</f>
        <v>Domaine Yvon Clerget</v>
      </c>
      <c r="C1987" s="1178" t="s">
        <v>21063</v>
      </c>
      <c r="D1987" s="1178" t="s">
        <v>897</v>
      </c>
      <c r="E1987" s="1179">
        <v>2018</v>
      </c>
      <c r="F1987" s="1282" t="s">
        <v>20220</v>
      </c>
      <c r="G1987" s="1368">
        <v>61</v>
      </c>
      <c r="H1987" s="1178" t="s">
        <v>20224</v>
      </c>
      <c r="I1987" s="1178" t="s">
        <v>6701</v>
      </c>
      <c r="J1987" s="1178" t="s">
        <v>662</v>
      </c>
      <c r="K1987" s="1178" t="s">
        <v>267</v>
      </c>
      <c r="L1987" s="1178" t="s">
        <v>242</v>
      </c>
      <c r="M1987" s="1369" t="s">
        <v>23297</v>
      </c>
      <c r="N1987" s="1178"/>
      <c r="O1987" s="1178">
        <v>6</v>
      </c>
      <c r="P1987" s="1178">
        <v>13.5</v>
      </c>
    </row>
    <row r="1988" spans="1:16">
      <c r="A1988" s="1178" t="s">
        <v>21059</v>
      </c>
      <c r="B1988" s="1371" t="str">
        <f>HYPERLINK(IFERROR("#Main_Tariff!A"&amp;MATCH(Raeburn_Main_Tariff[[#This Row],[Product Code]],Main_Tariff!I:I,0),"#Main_Tariff!A"&amp;MATCH("*"&amp;RIGHT(A1988,8)&amp;"*",Main_Tariff!A:A,0)),Raeburn_Main_Tariff[[#This Row],[PRODUCER]])</f>
        <v>Domaine Yvon Clerget</v>
      </c>
      <c r="C1988" s="1178" t="s">
        <v>21063</v>
      </c>
      <c r="D1988" s="1178" t="s">
        <v>897</v>
      </c>
      <c r="E1988" s="1179">
        <v>2017</v>
      </c>
      <c r="F1988" s="1282" t="s">
        <v>20220</v>
      </c>
      <c r="G1988" s="1368">
        <v>61</v>
      </c>
      <c r="H1988" s="1178" t="s">
        <v>20277</v>
      </c>
      <c r="I1988" s="1178" t="s">
        <v>6703</v>
      </c>
      <c r="J1988" s="1178" t="s">
        <v>662</v>
      </c>
      <c r="K1988" s="1178" t="s">
        <v>267</v>
      </c>
      <c r="L1988" s="1178" t="s">
        <v>242</v>
      </c>
      <c r="M1988" s="1369" t="s">
        <v>23297</v>
      </c>
      <c r="N1988" s="1178"/>
      <c r="O1988" s="1178">
        <v>6</v>
      </c>
      <c r="P1988" s="1178">
        <v>13.5</v>
      </c>
    </row>
    <row r="1989" spans="1:16">
      <c r="A1989" s="1178" t="s">
        <v>21059</v>
      </c>
      <c r="B1989" s="1371" t="str">
        <f>HYPERLINK(IFERROR("#Main_Tariff!A"&amp;MATCH(Raeburn_Main_Tariff[[#This Row],[Product Code]],Main_Tariff!I:I,0),"#Main_Tariff!A"&amp;MATCH("*"&amp;RIGHT(A1989,8)&amp;"*",Main_Tariff!A:A,0)),Raeburn_Main_Tariff[[#This Row],[PRODUCER]])</f>
        <v>Domaine Yvon Clerget</v>
      </c>
      <c r="C1989" s="1178" t="s">
        <v>21064</v>
      </c>
      <c r="D1989" s="1178" t="s">
        <v>897</v>
      </c>
      <c r="E1989" s="1179">
        <v>2022</v>
      </c>
      <c r="F1989" s="1282" t="s">
        <v>20220</v>
      </c>
      <c r="G1989" s="1368">
        <v>101</v>
      </c>
      <c r="H1989" s="1178" t="s">
        <v>20221</v>
      </c>
      <c r="I1989" s="1178" t="s">
        <v>6705</v>
      </c>
      <c r="J1989" s="1178" t="s">
        <v>662</v>
      </c>
      <c r="K1989" s="1178" t="s">
        <v>267</v>
      </c>
      <c r="L1989" s="1178" t="s">
        <v>242</v>
      </c>
      <c r="M1989" s="1369" t="s">
        <v>23297</v>
      </c>
      <c r="N1989" s="1178"/>
      <c r="O1989" s="1178">
        <v>6</v>
      </c>
      <c r="P1989" s="1178">
        <v>13.5</v>
      </c>
    </row>
    <row r="1990" spans="1:16">
      <c r="A1990" s="1178" t="s">
        <v>21059</v>
      </c>
      <c r="B1990" s="1371" t="str">
        <f>HYPERLINK(IFERROR("#Main_Tariff!A"&amp;MATCH(Raeburn_Main_Tariff[[#This Row],[Product Code]],Main_Tariff!I:I,0),"#Main_Tariff!A"&amp;MATCH("*"&amp;RIGHT(A1990,8)&amp;"*",Main_Tariff!A:A,0)),Raeburn_Main_Tariff[[#This Row],[PRODUCER]])</f>
        <v>Domaine Yvon Clerget</v>
      </c>
      <c r="C1990" s="1178" t="s">
        <v>21064</v>
      </c>
      <c r="D1990" s="1178" t="s">
        <v>897</v>
      </c>
      <c r="E1990" s="1179">
        <v>2020</v>
      </c>
      <c r="F1990" s="1282" t="s">
        <v>20220</v>
      </c>
      <c r="G1990" s="1368">
        <v>96.5</v>
      </c>
      <c r="H1990" s="1178" t="s">
        <v>20224</v>
      </c>
      <c r="I1990" s="1178" t="s">
        <v>6707</v>
      </c>
      <c r="J1990" s="1178" t="s">
        <v>662</v>
      </c>
      <c r="K1990" s="1178" t="s">
        <v>267</v>
      </c>
      <c r="L1990" s="1178" t="s">
        <v>242</v>
      </c>
      <c r="M1990" s="1369" t="s">
        <v>23297</v>
      </c>
      <c r="N1990" s="1178"/>
      <c r="O1990" s="1178">
        <v>6</v>
      </c>
      <c r="P1990" s="1178">
        <v>13.5</v>
      </c>
    </row>
    <row r="1991" spans="1:16">
      <c r="A1991" s="1178" t="s">
        <v>21059</v>
      </c>
      <c r="B1991" s="1371" t="str">
        <f>HYPERLINK(IFERROR("#Main_Tariff!A"&amp;MATCH(Raeburn_Main_Tariff[[#This Row],[Product Code]],Main_Tariff!I:I,0),"#Main_Tariff!A"&amp;MATCH("*"&amp;RIGHT(A1991,8)&amp;"*",Main_Tariff!A:A,0)),Raeburn_Main_Tariff[[#This Row],[PRODUCER]])</f>
        <v>Domaine Yvon Clerget</v>
      </c>
      <c r="C1991" s="1178" t="s">
        <v>21064</v>
      </c>
      <c r="D1991" s="1178" t="s">
        <v>897</v>
      </c>
      <c r="E1991" s="1179">
        <v>2018</v>
      </c>
      <c r="F1991" s="1282" t="s">
        <v>20220</v>
      </c>
      <c r="G1991" s="1368">
        <v>86.5</v>
      </c>
      <c r="H1991" s="1178" t="s">
        <v>20224</v>
      </c>
      <c r="I1991" s="1178" t="s">
        <v>6709</v>
      </c>
      <c r="J1991" s="1178" t="s">
        <v>662</v>
      </c>
      <c r="K1991" s="1178" t="s">
        <v>267</v>
      </c>
      <c r="L1991" s="1178" t="s">
        <v>242</v>
      </c>
      <c r="M1991" s="1369" t="s">
        <v>23297</v>
      </c>
      <c r="N1991" s="1178"/>
      <c r="O1991" s="1178">
        <v>6</v>
      </c>
      <c r="P1991" s="1178">
        <v>13.5</v>
      </c>
    </row>
    <row r="1992" spans="1:16">
      <c r="A1992" s="1178" t="s">
        <v>21059</v>
      </c>
      <c r="B1992" s="1371" t="str">
        <f>HYPERLINK(IFERROR("#Main_Tariff!A"&amp;MATCH(Raeburn_Main_Tariff[[#This Row],[Product Code]],Main_Tariff!I:I,0),"#Main_Tariff!A"&amp;MATCH("*"&amp;RIGHT(A1992,8)&amp;"*",Main_Tariff!A:A,0)),Raeburn_Main_Tariff[[#This Row],[PRODUCER]])</f>
        <v>Domaine Yvon Clerget</v>
      </c>
      <c r="C1992" s="1178" t="s">
        <v>21065</v>
      </c>
      <c r="D1992" s="1178" t="s">
        <v>897</v>
      </c>
      <c r="E1992" s="1179"/>
      <c r="F1992" s="1282" t="s">
        <v>20240</v>
      </c>
      <c r="G1992" s="1368"/>
      <c r="H1992" s="1178" t="s">
        <v>3907</v>
      </c>
      <c r="I1992" s="1178" t="s">
        <v>6713</v>
      </c>
      <c r="J1992" s="1178" t="s">
        <v>662</v>
      </c>
      <c r="K1992" s="1178" t="s">
        <v>267</v>
      </c>
      <c r="L1992" s="1178" t="s">
        <v>242</v>
      </c>
      <c r="M1992" s="1369" t="s">
        <v>23297</v>
      </c>
      <c r="N1992" s="1178"/>
      <c r="O1992" s="1178">
        <v>3</v>
      </c>
      <c r="P1992" s="1178">
        <v>14</v>
      </c>
    </row>
    <row r="1993" spans="1:16">
      <c r="A1993" s="1178" t="s">
        <v>21059</v>
      </c>
      <c r="B1993" s="1371" t="str">
        <f>HYPERLINK(IFERROR("#Main_Tariff!A"&amp;MATCH(Raeburn_Main_Tariff[[#This Row],[Product Code]],Main_Tariff!I:I,0),"#Main_Tariff!A"&amp;MATCH("*"&amp;RIGHT(A1993,8)&amp;"*",Main_Tariff!A:A,0)),Raeburn_Main_Tariff[[#This Row],[PRODUCER]])</f>
        <v>Domaine Yvon Clerget</v>
      </c>
      <c r="C1993" s="1178" t="s">
        <v>20737</v>
      </c>
      <c r="D1993" s="1178" t="s">
        <v>897</v>
      </c>
      <c r="E1993" s="1179">
        <v>2020</v>
      </c>
      <c r="F1993" s="1282" t="s">
        <v>20220</v>
      </c>
      <c r="G1993" s="1368">
        <v>116.5</v>
      </c>
      <c r="H1993" s="1178" t="s">
        <v>20224</v>
      </c>
      <c r="I1993" s="1178" t="s">
        <v>6711</v>
      </c>
      <c r="J1993" s="1178" t="s">
        <v>662</v>
      </c>
      <c r="K1993" s="1178" t="s">
        <v>267</v>
      </c>
      <c r="L1993" s="1178" t="s">
        <v>242</v>
      </c>
      <c r="M1993" s="1369" t="s">
        <v>23297</v>
      </c>
      <c r="N1993" s="1178"/>
      <c r="O1993" s="1178">
        <v>3</v>
      </c>
      <c r="P1993" s="1178">
        <v>14</v>
      </c>
    </row>
    <row r="1994" spans="1:16">
      <c r="A1994" s="1178" t="s">
        <v>21059</v>
      </c>
      <c r="B1994" s="1371" t="str">
        <f>HYPERLINK(IFERROR("#Main_Tariff!A"&amp;MATCH(Raeburn_Main_Tariff[[#This Row],[Product Code]],Main_Tariff!I:I,0),"#Main_Tariff!A"&amp;MATCH("*"&amp;RIGHT(A1994,8)&amp;"*",Main_Tariff!A:A,0)),Raeburn_Main_Tariff[[#This Row],[PRODUCER]])</f>
        <v>Domaine Yvon Clerget</v>
      </c>
      <c r="C1994" s="1178" t="s">
        <v>21066</v>
      </c>
      <c r="D1994" s="1178" t="s">
        <v>897</v>
      </c>
      <c r="E1994" s="1179">
        <v>2022</v>
      </c>
      <c r="F1994" s="1282" t="s">
        <v>20220</v>
      </c>
      <c r="G1994" s="1368">
        <v>121</v>
      </c>
      <c r="H1994" s="1178" t="s">
        <v>20221</v>
      </c>
      <c r="I1994" s="1178" t="s">
        <v>6715</v>
      </c>
      <c r="J1994" s="1178" t="s">
        <v>662</v>
      </c>
      <c r="K1994" s="1178" t="s">
        <v>267</v>
      </c>
      <c r="L1994" s="1178" t="s">
        <v>242</v>
      </c>
      <c r="M1994" s="1369" t="s">
        <v>23297</v>
      </c>
      <c r="N1994" s="1178"/>
      <c r="O1994" s="1178">
        <v>6</v>
      </c>
      <c r="P1994" s="1178">
        <v>13.5</v>
      </c>
    </row>
    <row r="1995" spans="1:16">
      <c r="A1995" s="1178" t="s">
        <v>21059</v>
      </c>
      <c r="B1995" s="1371" t="str">
        <f>HYPERLINK(IFERROR("#Main_Tariff!A"&amp;MATCH(Raeburn_Main_Tariff[[#This Row],[Product Code]],Main_Tariff!I:I,0),"#Main_Tariff!A"&amp;MATCH("*"&amp;RIGHT(A1995,8)&amp;"*",Main_Tariff!A:A,0)),Raeburn_Main_Tariff[[#This Row],[PRODUCER]])</f>
        <v>Domaine Yvon Clerget</v>
      </c>
      <c r="C1995" s="1178" t="s">
        <v>21066</v>
      </c>
      <c r="D1995" s="1178" t="s">
        <v>897</v>
      </c>
      <c r="E1995" s="1179">
        <v>2021</v>
      </c>
      <c r="F1995" s="1282" t="s">
        <v>20220</v>
      </c>
      <c r="G1995" s="1368">
        <v>126.25</v>
      </c>
      <c r="H1995" s="1178" t="s">
        <v>20224</v>
      </c>
      <c r="I1995" s="1178" t="s">
        <v>6716</v>
      </c>
      <c r="J1995" s="1178" t="s">
        <v>662</v>
      </c>
      <c r="K1995" s="1178" t="s">
        <v>267</v>
      </c>
      <c r="L1995" s="1178" t="s">
        <v>242</v>
      </c>
      <c r="M1995" s="1369" t="s">
        <v>23297</v>
      </c>
      <c r="N1995" s="1178"/>
      <c r="O1995" s="1178">
        <v>3</v>
      </c>
      <c r="P1995" s="1178">
        <v>13</v>
      </c>
    </row>
    <row r="1996" spans="1:16">
      <c r="A1996" s="1178" t="s">
        <v>21059</v>
      </c>
      <c r="B1996" s="1371" t="str">
        <f>HYPERLINK(IFERROR("#Main_Tariff!A"&amp;MATCH(Raeburn_Main_Tariff[[#This Row],[Product Code]],Main_Tariff!I:I,0),"#Main_Tariff!A"&amp;MATCH("*"&amp;RIGHT(A1996,8)&amp;"*",Main_Tariff!A:A,0)),Raeburn_Main_Tariff[[#This Row],[PRODUCER]])</f>
        <v>Domaine Yvon Clerget</v>
      </c>
      <c r="C1996" s="1178" t="s">
        <v>21066</v>
      </c>
      <c r="D1996" s="1178" t="s">
        <v>897</v>
      </c>
      <c r="E1996" s="1179">
        <v>2018</v>
      </c>
      <c r="F1996" s="1282" t="s">
        <v>20220</v>
      </c>
      <c r="G1996" s="1368">
        <v>91.5</v>
      </c>
      <c r="H1996" s="1178" t="s">
        <v>20224</v>
      </c>
      <c r="I1996" s="1178" t="s">
        <v>6718</v>
      </c>
      <c r="J1996" s="1178" t="s">
        <v>662</v>
      </c>
      <c r="K1996" s="1178" t="s">
        <v>267</v>
      </c>
      <c r="L1996" s="1178" t="s">
        <v>242</v>
      </c>
      <c r="M1996" s="1369" t="s">
        <v>23297</v>
      </c>
      <c r="N1996" s="1178"/>
      <c r="O1996" s="1178">
        <v>6</v>
      </c>
      <c r="P1996" s="1178">
        <v>13</v>
      </c>
    </row>
    <row r="1997" spans="1:16">
      <c r="A1997" s="1178" t="s">
        <v>21059</v>
      </c>
      <c r="B1997" s="1371" t="str">
        <f>HYPERLINK(IFERROR("#Main_Tariff!A"&amp;MATCH(Raeburn_Main_Tariff[[#This Row],[Product Code]],Main_Tariff!I:I,0),"#Main_Tariff!A"&amp;MATCH("*"&amp;RIGHT(A1997,8)&amp;"*",Main_Tariff!A:A,0)),Raeburn_Main_Tariff[[#This Row],[PRODUCER]])</f>
        <v>Domaine Yvon Clerget</v>
      </c>
      <c r="C1997" s="1178" t="s">
        <v>20798</v>
      </c>
      <c r="D1997" s="1178" t="s">
        <v>897</v>
      </c>
      <c r="E1997" s="1179">
        <v>2020</v>
      </c>
      <c r="F1997" s="1282" t="s">
        <v>20220</v>
      </c>
      <c r="G1997" s="1368">
        <v>182.5</v>
      </c>
      <c r="H1997" s="1178" t="s">
        <v>20224</v>
      </c>
      <c r="I1997" s="1178" t="s">
        <v>6719</v>
      </c>
      <c r="J1997" s="1178" t="s">
        <v>662</v>
      </c>
      <c r="K1997" s="1178" t="s">
        <v>267</v>
      </c>
      <c r="L1997" s="1178" t="s">
        <v>242</v>
      </c>
      <c r="M1997" s="1369" t="s">
        <v>23296</v>
      </c>
      <c r="N1997" s="1178"/>
      <c r="O1997" s="1178">
        <v>6</v>
      </c>
      <c r="P1997" s="1178">
        <v>13.5</v>
      </c>
    </row>
    <row r="1998" spans="1:16">
      <c r="A1998" s="1178" t="s">
        <v>21067</v>
      </c>
      <c r="B1998" s="1371" t="str">
        <f>HYPERLINK(IFERROR("#Main_Tariff!A"&amp;MATCH(Raeburn_Main_Tariff[[#This Row],[Product Code]],Main_Tariff!I:I,0),"#Main_Tariff!A"&amp;MATCH("*"&amp;RIGHT(A1998,8)&amp;"*",Main_Tariff!A:A,0)),Raeburn_Main_Tariff[[#This Row],[PRODUCER]])</f>
        <v>Domaine Marc Colin</v>
      </c>
      <c r="C1998" s="1178" t="s">
        <v>21068</v>
      </c>
      <c r="D1998" s="1178" t="s">
        <v>897</v>
      </c>
      <c r="E1998" s="1179">
        <v>2014</v>
      </c>
      <c r="F1998" s="1282" t="s">
        <v>20220</v>
      </c>
      <c r="G1998" s="1368">
        <v>24</v>
      </c>
      <c r="H1998" s="1178" t="s">
        <v>20221</v>
      </c>
      <c r="I1998" s="1178" t="s">
        <v>6723</v>
      </c>
      <c r="J1998" s="1178" t="s">
        <v>662</v>
      </c>
      <c r="K1998" s="1178" t="s">
        <v>267</v>
      </c>
      <c r="L1998" s="1178" t="s">
        <v>242</v>
      </c>
      <c r="M1998" s="1369" t="s">
        <v>23297</v>
      </c>
      <c r="N1998" s="1178"/>
      <c r="O1998" s="1178">
        <v>6</v>
      </c>
      <c r="P1998" s="1178">
        <v>13</v>
      </c>
    </row>
    <row r="1999" spans="1:16">
      <c r="A1999" s="1178" t="s">
        <v>21067</v>
      </c>
      <c r="B1999" s="1371" t="str">
        <f>HYPERLINK(IFERROR("#Main_Tariff!A"&amp;MATCH(Raeburn_Main_Tariff[[#This Row],[Product Code]],Main_Tariff!I:I,0),"#Main_Tariff!A"&amp;MATCH("*"&amp;RIGHT(A1999,8)&amp;"*",Main_Tariff!A:A,0)),Raeburn_Main_Tariff[[#This Row],[PRODUCER]])</f>
        <v>Domaine Marc Colin</v>
      </c>
      <c r="C1999" s="1178" t="s">
        <v>21009</v>
      </c>
      <c r="D1999" s="1178" t="s">
        <v>897</v>
      </c>
      <c r="E1999" s="1179">
        <v>2022</v>
      </c>
      <c r="F1999" s="1282" t="s">
        <v>20220</v>
      </c>
      <c r="G1999" s="1368">
        <v>29</v>
      </c>
      <c r="H1999" s="1178" t="s">
        <v>20221</v>
      </c>
      <c r="I1999" s="1178" t="s">
        <v>6725</v>
      </c>
      <c r="J1999" s="1178" t="s">
        <v>662</v>
      </c>
      <c r="K1999" s="1178" t="s">
        <v>267</v>
      </c>
      <c r="L1999" s="1178" t="s">
        <v>242</v>
      </c>
      <c r="M1999" s="1369"/>
      <c r="N1999" s="1178"/>
      <c r="O1999" s="1178">
        <v>6</v>
      </c>
      <c r="P1999" s="1178">
        <v>13</v>
      </c>
    </row>
    <row r="2000" spans="1:16">
      <c r="A2000" s="1178" t="s">
        <v>21067</v>
      </c>
      <c r="B2000" s="1371" t="str">
        <f>HYPERLINK(IFERROR("#Main_Tariff!A"&amp;MATCH(Raeburn_Main_Tariff[[#This Row],[Product Code]],Main_Tariff!I:I,0),"#Main_Tariff!A"&amp;MATCH("*"&amp;RIGHT(A2000,8)&amp;"*",Main_Tariff!A:A,0)),Raeburn_Main_Tariff[[#This Row],[PRODUCER]])</f>
        <v>Domaine Marc Colin</v>
      </c>
      <c r="C2000" s="1178" t="s">
        <v>21009</v>
      </c>
      <c r="D2000" s="1178" t="s">
        <v>897</v>
      </c>
      <c r="E2000" s="1179">
        <v>2021</v>
      </c>
      <c r="F2000" s="1282" t="s">
        <v>20220</v>
      </c>
      <c r="G2000" s="1368">
        <v>29</v>
      </c>
      <c r="H2000" s="1178" t="s">
        <v>20224</v>
      </c>
      <c r="I2000" s="1178" t="s">
        <v>6727</v>
      </c>
      <c r="J2000" s="1178" t="s">
        <v>662</v>
      </c>
      <c r="K2000" s="1178" t="s">
        <v>267</v>
      </c>
      <c r="L2000" s="1178" t="s">
        <v>242</v>
      </c>
      <c r="M2000" s="1369"/>
      <c r="N2000" s="1178"/>
      <c r="O2000" s="1178">
        <v>6</v>
      </c>
      <c r="P2000" s="1178">
        <v>13</v>
      </c>
    </row>
    <row r="2001" spans="1:16">
      <c r="A2001" s="1178" t="s">
        <v>21067</v>
      </c>
      <c r="B2001" s="1371" t="str">
        <f>HYPERLINK(IFERROR("#Main_Tariff!A"&amp;MATCH(Raeburn_Main_Tariff[[#This Row],[Product Code]],Main_Tariff!I:I,0),"#Main_Tariff!A"&amp;MATCH("*"&amp;RIGHT(A2001,8)&amp;"*",Main_Tariff!A:A,0)),Raeburn_Main_Tariff[[#This Row],[PRODUCER]])</f>
        <v>Domaine Marc Colin</v>
      </c>
      <c r="C2001" s="1178" t="s">
        <v>21009</v>
      </c>
      <c r="D2001" s="1178" t="s">
        <v>897</v>
      </c>
      <c r="E2001" s="1179">
        <v>2018</v>
      </c>
      <c r="F2001" s="1282" t="s">
        <v>20220</v>
      </c>
      <c r="G2001" s="1368">
        <v>26</v>
      </c>
      <c r="H2001" s="1178" t="s">
        <v>20221</v>
      </c>
      <c r="I2001" s="1178" t="s">
        <v>6728</v>
      </c>
      <c r="J2001" s="1178" t="s">
        <v>662</v>
      </c>
      <c r="K2001" s="1178" t="s">
        <v>267</v>
      </c>
      <c r="L2001" s="1178" t="s">
        <v>242</v>
      </c>
      <c r="M2001" s="1369"/>
      <c r="N2001" s="1178"/>
      <c r="O2001" s="1178">
        <v>6</v>
      </c>
      <c r="P2001" s="1178">
        <v>13</v>
      </c>
    </row>
    <row r="2002" spans="1:16">
      <c r="A2002" s="1178" t="s">
        <v>21067</v>
      </c>
      <c r="B2002" s="1371" t="str">
        <f>HYPERLINK(IFERROR("#Main_Tariff!A"&amp;MATCH(Raeburn_Main_Tariff[[#This Row],[Product Code]],Main_Tariff!I:I,0),"#Main_Tariff!A"&amp;MATCH("*"&amp;RIGHT(A2002,8)&amp;"*",Main_Tariff!A:A,0)),Raeburn_Main_Tariff[[#This Row],[PRODUCER]])</f>
        <v>Domaine Marc Colin</v>
      </c>
      <c r="C2002" s="1178" t="s">
        <v>21009</v>
      </c>
      <c r="D2002" s="1178" t="s">
        <v>897</v>
      </c>
      <c r="E2002" s="1179">
        <v>2017</v>
      </c>
      <c r="F2002" s="1282" t="s">
        <v>20220</v>
      </c>
      <c r="G2002" s="1368">
        <v>25</v>
      </c>
      <c r="H2002" s="1178" t="s">
        <v>20221</v>
      </c>
      <c r="I2002" s="1178" t="s">
        <v>6730</v>
      </c>
      <c r="J2002" s="1178" t="s">
        <v>662</v>
      </c>
      <c r="K2002" s="1178" t="s">
        <v>267</v>
      </c>
      <c r="L2002" s="1178" t="s">
        <v>242</v>
      </c>
      <c r="M2002" s="1369"/>
      <c r="N2002" s="1178"/>
      <c r="O2002" s="1178">
        <v>6</v>
      </c>
      <c r="P2002" s="1178">
        <v>13</v>
      </c>
    </row>
    <row r="2003" spans="1:16">
      <c r="A2003" s="1178" t="s">
        <v>21067</v>
      </c>
      <c r="B2003" s="1371" t="str">
        <f>HYPERLINK(IFERROR("#Main_Tariff!A"&amp;MATCH(Raeburn_Main_Tariff[[#This Row],[Product Code]],Main_Tariff!I:I,0),"#Main_Tariff!A"&amp;MATCH("*"&amp;RIGHT(A2003,8)&amp;"*",Main_Tariff!A:A,0)),Raeburn_Main_Tariff[[#This Row],[PRODUCER]])</f>
        <v>Domaine Marc Colin</v>
      </c>
      <c r="C2003" s="1178" t="s">
        <v>21009</v>
      </c>
      <c r="D2003" s="1178" t="s">
        <v>897</v>
      </c>
      <c r="E2003" s="1179">
        <v>2016</v>
      </c>
      <c r="F2003" s="1282" t="s">
        <v>20220</v>
      </c>
      <c r="G2003" s="1368">
        <v>25</v>
      </c>
      <c r="H2003" s="1178" t="s">
        <v>20221</v>
      </c>
      <c r="I2003" s="1178" t="s">
        <v>6732</v>
      </c>
      <c r="J2003" s="1178" t="s">
        <v>662</v>
      </c>
      <c r="K2003" s="1178" t="s">
        <v>267</v>
      </c>
      <c r="L2003" s="1178" t="s">
        <v>242</v>
      </c>
      <c r="M2003" s="1369"/>
      <c r="N2003" s="1178"/>
      <c r="O2003" s="1178">
        <v>6</v>
      </c>
      <c r="P2003" s="1178">
        <v>13</v>
      </c>
    </row>
    <row r="2004" spans="1:16">
      <c r="A2004" s="1178" t="s">
        <v>21067</v>
      </c>
      <c r="B2004" s="1371" t="str">
        <f>HYPERLINK(IFERROR("#Main_Tariff!A"&amp;MATCH(Raeburn_Main_Tariff[[#This Row],[Product Code]],Main_Tariff!I:I,0),"#Main_Tariff!A"&amp;MATCH("*"&amp;RIGHT(A2004,8)&amp;"*",Main_Tariff!A:A,0)),Raeburn_Main_Tariff[[#This Row],[PRODUCER]])</f>
        <v>Domaine Marc Colin</v>
      </c>
      <c r="C2004" s="1178" t="s">
        <v>21009</v>
      </c>
      <c r="D2004" s="1178" t="s">
        <v>897</v>
      </c>
      <c r="E2004" s="1179">
        <v>2014</v>
      </c>
      <c r="F2004" s="1282" t="s">
        <v>20220</v>
      </c>
      <c r="G2004" s="1368">
        <v>25</v>
      </c>
      <c r="H2004" s="1178" t="s">
        <v>20221</v>
      </c>
      <c r="I2004" s="1178" t="s">
        <v>6735</v>
      </c>
      <c r="J2004" s="1178" t="s">
        <v>662</v>
      </c>
      <c r="K2004" s="1178" t="s">
        <v>267</v>
      </c>
      <c r="L2004" s="1178" t="s">
        <v>242</v>
      </c>
      <c r="M2004" s="1369"/>
      <c r="N2004" s="1178"/>
      <c r="O2004" s="1178">
        <v>6</v>
      </c>
      <c r="P2004" s="1178">
        <v>13</v>
      </c>
    </row>
    <row r="2005" spans="1:16">
      <c r="A2005" s="1178" t="s">
        <v>21067</v>
      </c>
      <c r="B2005" s="1371" t="str">
        <f>HYPERLINK(IFERROR("#Main_Tariff!A"&amp;MATCH(Raeburn_Main_Tariff[[#This Row],[Product Code]],Main_Tariff!I:I,0),"#Main_Tariff!A"&amp;MATCH("*"&amp;RIGHT(A2005,8)&amp;"*",Main_Tariff!A:A,0)),Raeburn_Main_Tariff[[#This Row],[PRODUCER]])</f>
        <v>Domaine Marc Colin</v>
      </c>
      <c r="C2005" s="1178" t="s">
        <v>21069</v>
      </c>
      <c r="D2005" s="1178" t="s">
        <v>897</v>
      </c>
      <c r="E2005" s="1179">
        <v>2022</v>
      </c>
      <c r="F2005" s="1282" t="s">
        <v>20220</v>
      </c>
      <c r="G2005" s="1368">
        <v>29</v>
      </c>
      <c r="H2005" s="1178" t="s">
        <v>20221</v>
      </c>
      <c r="I2005" s="1178" t="s">
        <v>6737</v>
      </c>
      <c r="J2005" s="1178" t="s">
        <v>662</v>
      </c>
      <c r="K2005" s="1178" t="s">
        <v>267</v>
      </c>
      <c r="L2005" s="1178" t="s">
        <v>242</v>
      </c>
      <c r="M2005" s="1369"/>
      <c r="N2005" s="1178"/>
      <c r="O2005" s="1178">
        <v>6</v>
      </c>
      <c r="P2005" s="1178">
        <v>13</v>
      </c>
    </row>
    <row r="2006" spans="1:16">
      <c r="A2006" s="1178" t="s">
        <v>21067</v>
      </c>
      <c r="B2006" s="1371" t="str">
        <f>HYPERLINK(IFERROR("#Main_Tariff!A"&amp;MATCH(Raeburn_Main_Tariff[[#This Row],[Product Code]],Main_Tariff!I:I,0),"#Main_Tariff!A"&amp;MATCH("*"&amp;RIGHT(A2006,8)&amp;"*",Main_Tariff!A:A,0)),Raeburn_Main_Tariff[[#This Row],[PRODUCER]])</f>
        <v>Domaine Marc Colin</v>
      </c>
      <c r="C2006" s="1178" t="s">
        <v>21069</v>
      </c>
      <c r="D2006" s="1178" t="s">
        <v>897</v>
      </c>
      <c r="E2006" s="1179">
        <v>2021</v>
      </c>
      <c r="F2006" s="1282" t="s">
        <v>20220</v>
      </c>
      <c r="G2006" s="1368">
        <v>29</v>
      </c>
      <c r="H2006" s="1178" t="s">
        <v>20221</v>
      </c>
      <c r="I2006" s="1178" t="s">
        <v>6739</v>
      </c>
      <c r="J2006" s="1178" t="s">
        <v>662</v>
      </c>
      <c r="K2006" s="1178" t="s">
        <v>267</v>
      </c>
      <c r="L2006" s="1178" t="s">
        <v>242</v>
      </c>
      <c r="M2006" s="1369"/>
      <c r="N2006" s="1178"/>
      <c r="O2006" s="1178">
        <v>6</v>
      </c>
      <c r="P2006" s="1178">
        <v>13</v>
      </c>
    </row>
    <row r="2007" spans="1:16">
      <c r="A2007" s="1178" t="s">
        <v>21067</v>
      </c>
      <c r="B2007" s="1371" t="str">
        <f>HYPERLINK(IFERROR("#Main_Tariff!A"&amp;MATCH(Raeburn_Main_Tariff[[#This Row],[Product Code]],Main_Tariff!I:I,0),"#Main_Tariff!A"&amp;MATCH("*"&amp;RIGHT(A2007,8)&amp;"*",Main_Tariff!A:A,0)),Raeburn_Main_Tariff[[#This Row],[PRODUCER]])</f>
        <v>Domaine Marc Colin</v>
      </c>
      <c r="C2007" s="1178" t="s">
        <v>21069</v>
      </c>
      <c r="D2007" s="1178" t="s">
        <v>897</v>
      </c>
      <c r="E2007" s="1179">
        <v>2020</v>
      </c>
      <c r="F2007" s="1282" t="s">
        <v>20220</v>
      </c>
      <c r="G2007" s="1368">
        <v>29</v>
      </c>
      <c r="H2007" s="1178" t="s">
        <v>20221</v>
      </c>
      <c r="I2007" s="1178" t="s">
        <v>6740</v>
      </c>
      <c r="J2007" s="1178" t="s">
        <v>662</v>
      </c>
      <c r="K2007" s="1178" t="s">
        <v>267</v>
      </c>
      <c r="L2007" s="1178" t="s">
        <v>242</v>
      </c>
      <c r="M2007" s="1369"/>
      <c r="N2007" s="1178"/>
      <c r="O2007" s="1178">
        <v>6</v>
      </c>
      <c r="P2007" s="1178">
        <v>13.5</v>
      </c>
    </row>
    <row r="2008" spans="1:16">
      <c r="A2008" s="1178" t="s">
        <v>21067</v>
      </c>
      <c r="B2008" s="1371" t="str">
        <f>HYPERLINK(IFERROR("#Main_Tariff!A"&amp;MATCH(Raeburn_Main_Tariff[[#This Row],[Product Code]],Main_Tariff!I:I,0),"#Main_Tariff!A"&amp;MATCH("*"&amp;RIGHT(A2008,8)&amp;"*",Main_Tariff!A:A,0)),Raeburn_Main_Tariff[[#This Row],[PRODUCER]])</f>
        <v>Domaine Marc Colin</v>
      </c>
      <c r="C2008" s="1178" t="s">
        <v>21069</v>
      </c>
      <c r="D2008" s="1178" t="s">
        <v>897</v>
      </c>
      <c r="E2008" s="1179">
        <v>2018</v>
      </c>
      <c r="F2008" s="1282" t="s">
        <v>20220</v>
      </c>
      <c r="G2008" s="1368">
        <v>26.5</v>
      </c>
      <c r="H2008" s="1178" t="s">
        <v>20221</v>
      </c>
      <c r="I2008" s="1178" t="s">
        <v>6741</v>
      </c>
      <c r="J2008" s="1178" t="s">
        <v>662</v>
      </c>
      <c r="K2008" s="1178" t="s">
        <v>267</v>
      </c>
      <c r="L2008" s="1178" t="s">
        <v>242</v>
      </c>
      <c r="M2008" s="1369"/>
      <c r="N2008" s="1178"/>
      <c r="O2008" s="1178">
        <v>6</v>
      </c>
      <c r="P2008" s="1178">
        <v>13</v>
      </c>
    </row>
    <row r="2009" spans="1:16">
      <c r="A2009" s="1178" t="s">
        <v>21067</v>
      </c>
      <c r="B2009" s="1371" t="str">
        <f>HYPERLINK(IFERROR("#Main_Tariff!A"&amp;MATCH(Raeburn_Main_Tariff[[#This Row],[Product Code]],Main_Tariff!I:I,0),"#Main_Tariff!A"&amp;MATCH("*"&amp;RIGHT(A2009,8)&amp;"*",Main_Tariff!A:A,0)),Raeburn_Main_Tariff[[#This Row],[PRODUCER]])</f>
        <v>Domaine Marc Colin</v>
      </c>
      <c r="C2009" s="1178" t="s">
        <v>21070</v>
      </c>
      <c r="D2009" s="1178" t="s">
        <v>897</v>
      </c>
      <c r="E2009" s="1179">
        <v>2017</v>
      </c>
      <c r="F2009" s="1282" t="s">
        <v>20220</v>
      </c>
      <c r="G2009" s="1368">
        <v>26.5</v>
      </c>
      <c r="H2009" s="1178" t="s">
        <v>20221</v>
      </c>
      <c r="I2009" s="1178" t="s">
        <v>6742</v>
      </c>
      <c r="J2009" s="1178" t="s">
        <v>662</v>
      </c>
      <c r="K2009" s="1178" t="s">
        <v>267</v>
      </c>
      <c r="L2009" s="1178" t="s">
        <v>242</v>
      </c>
      <c r="M2009" s="1369"/>
      <c r="N2009" s="1178"/>
      <c r="O2009" s="1178">
        <v>6</v>
      </c>
      <c r="P2009" s="1178">
        <v>13</v>
      </c>
    </row>
    <row r="2010" spans="1:16">
      <c r="A2010" s="1178" t="s">
        <v>21067</v>
      </c>
      <c r="B2010" s="1371" t="str">
        <f>HYPERLINK(IFERROR("#Main_Tariff!A"&amp;MATCH(Raeburn_Main_Tariff[[#This Row],[Product Code]],Main_Tariff!I:I,0),"#Main_Tariff!A"&amp;MATCH("*"&amp;RIGHT(A2010,8)&amp;"*",Main_Tariff!A:A,0)),Raeburn_Main_Tariff[[#This Row],[PRODUCER]])</f>
        <v>Domaine Marc Colin</v>
      </c>
      <c r="C2010" s="1178" t="s">
        <v>21070</v>
      </c>
      <c r="D2010" s="1178" t="s">
        <v>897</v>
      </c>
      <c r="E2010" s="1179">
        <v>2016</v>
      </c>
      <c r="F2010" s="1282" t="s">
        <v>20220</v>
      </c>
      <c r="G2010" s="1368">
        <v>26.5</v>
      </c>
      <c r="H2010" s="1178" t="s">
        <v>20221</v>
      </c>
      <c r="I2010" s="1178" t="s">
        <v>6743</v>
      </c>
      <c r="J2010" s="1178" t="s">
        <v>662</v>
      </c>
      <c r="K2010" s="1178" t="s">
        <v>267</v>
      </c>
      <c r="L2010" s="1178" t="s">
        <v>242</v>
      </c>
      <c r="M2010" s="1369"/>
      <c r="N2010" s="1178"/>
      <c r="O2010" s="1178">
        <v>6</v>
      </c>
      <c r="P2010" s="1178">
        <v>13</v>
      </c>
    </row>
    <row r="2011" spans="1:16">
      <c r="A2011" s="1178" t="s">
        <v>21067</v>
      </c>
      <c r="B2011" s="1371" t="str">
        <f>HYPERLINK(IFERROR("#Main_Tariff!A"&amp;MATCH(Raeburn_Main_Tariff[[#This Row],[Product Code]],Main_Tariff!I:I,0),"#Main_Tariff!A"&amp;MATCH("*"&amp;RIGHT(A2011,8)&amp;"*",Main_Tariff!A:A,0)),Raeburn_Main_Tariff[[#This Row],[PRODUCER]])</f>
        <v>Domaine Marc Colin</v>
      </c>
      <c r="C2011" s="1178" t="s">
        <v>21069</v>
      </c>
      <c r="D2011" s="1178" t="s">
        <v>897</v>
      </c>
      <c r="E2011" s="1179">
        <v>2015</v>
      </c>
      <c r="F2011" s="1282" t="s">
        <v>20220</v>
      </c>
      <c r="G2011" s="1368">
        <v>26.5</v>
      </c>
      <c r="H2011" s="1178" t="s">
        <v>20221</v>
      </c>
      <c r="I2011" s="1178" t="s">
        <v>6744</v>
      </c>
      <c r="J2011" s="1178" t="s">
        <v>662</v>
      </c>
      <c r="K2011" s="1178" t="s">
        <v>267</v>
      </c>
      <c r="L2011" s="1178" t="s">
        <v>242</v>
      </c>
      <c r="M2011" s="1369"/>
      <c r="N2011" s="1178"/>
      <c r="O2011" s="1178">
        <v>6</v>
      </c>
      <c r="P2011" s="1178">
        <v>13</v>
      </c>
    </row>
    <row r="2012" spans="1:16">
      <c r="A2012" s="1178" t="s">
        <v>21067</v>
      </c>
      <c r="B2012" s="1371" t="str">
        <f>HYPERLINK(IFERROR("#Main_Tariff!A"&amp;MATCH(Raeburn_Main_Tariff[[#This Row],[Product Code]],Main_Tariff!I:I,0),"#Main_Tariff!A"&amp;MATCH("*"&amp;RIGHT(A2012,8)&amp;"*",Main_Tariff!A:A,0)),Raeburn_Main_Tariff[[#This Row],[PRODUCER]])</f>
        <v>Domaine Marc Colin</v>
      </c>
      <c r="C2012" s="1178" t="s">
        <v>21069</v>
      </c>
      <c r="D2012" s="1178" t="s">
        <v>897</v>
      </c>
      <c r="E2012" s="1179">
        <v>2014</v>
      </c>
      <c r="F2012" s="1282" t="s">
        <v>20220</v>
      </c>
      <c r="G2012" s="1368">
        <v>26.5</v>
      </c>
      <c r="H2012" s="1178" t="s">
        <v>20224</v>
      </c>
      <c r="I2012" s="1178" t="s">
        <v>6745</v>
      </c>
      <c r="J2012" s="1178" t="s">
        <v>662</v>
      </c>
      <c r="K2012" s="1178" t="s">
        <v>267</v>
      </c>
      <c r="L2012" s="1178" t="s">
        <v>242</v>
      </c>
      <c r="M2012" s="1369"/>
      <c r="N2012" s="1178"/>
      <c r="O2012" s="1178">
        <v>6</v>
      </c>
      <c r="P2012" s="1178">
        <v>13</v>
      </c>
    </row>
    <row r="2013" spans="1:16">
      <c r="A2013" s="1178" t="s">
        <v>21067</v>
      </c>
      <c r="B2013" s="1371" t="str">
        <f>HYPERLINK(IFERROR("#Main_Tariff!A"&amp;MATCH(Raeburn_Main_Tariff[[#This Row],[Product Code]],Main_Tariff!I:I,0),"#Main_Tariff!A"&amp;MATCH("*"&amp;RIGHT(A2013,8)&amp;"*",Main_Tariff!A:A,0)),Raeburn_Main_Tariff[[#This Row],[PRODUCER]])</f>
        <v>Domaine Marc Colin</v>
      </c>
      <c r="C2013" s="1178" t="s">
        <v>21071</v>
      </c>
      <c r="D2013" s="1178" t="s">
        <v>897</v>
      </c>
      <c r="E2013" s="1179">
        <v>2022</v>
      </c>
      <c r="F2013" s="1282" t="s">
        <v>20240</v>
      </c>
      <c r="G2013" s="1368">
        <v>62</v>
      </c>
      <c r="H2013" s="1178" t="s">
        <v>20221</v>
      </c>
      <c r="I2013" s="1178" t="s">
        <v>6746</v>
      </c>
      <c r="J2013" s="1178" t="s">
        <v>662</v>
      </c>
      <c r="K2013" s="1178" t="s">
        <v>267</v>
      </c>
      <c r="L2013" s="1178" t="s">
        <v>242</v>
      </c>
      <c r="M2013" s="1369"/>
      <c r="N2013" s="1178"/>
      <c r="O2013" s="1178">
        <v>3</v>
      </c>
      <c r="P2013" s="1178">
        <v>13</v>
      </c>
    </row>
    <row r="2014" spans="1:16">
      <c r="A2014" s="1178" t="s">
        <v>21067</v>
      </c>
      <c r="B2014" s="1371" t="str">
        <f>HYPERLINK(IFERROR("#Main_Tariff!A"&amp;MATCH(Raeburn_Main_Tariff[[#This Row],[Product Code]],Main_Tariff!I:I,0),"#Main_Tariff!A"&amp;MATCH("*"&amp;RIGHT(A2014,8)&amp;"*",Main_Tariff!A:A,0)),Raeburn_Main_Tariff[[#This Row],[PRODUCER]])</f>
        <v>Domaine Marc Colin</v>
      </c>
      <c r="C2014" s="1178" t="s">
        <v>21071</v>
      </c>
      <c r="D2014" s="1178" t="s">
        <v>897</v>
      </c>
      <c r="E2014" s="1179">
        <v>2020</v>
      </c>
      <c r="F2014" s="1282" t="s">
        <v>20240</v>
      </c>
      <c r="G2014" s="1368">
        <v>61</v>
      </c>
      <c r="H2014" s="1178" t="s">
        <v>20224</v>
      </c>
      <c r="I2014" s="1178" t="s">
        <v>6747</v>
      </c>
      <c r="J2014" s="1178" t="s">
        <v>662</v>
      </c>
      <c r="K2014" s="1178" t="s">
        <v>267</v>
      </c>
      <c r="L2014" s="1178" t="s">
        <v>242</v>
      </c>
      <c r="M2014" s="1369"/>
      <c r="N2014" s="1178"/>
      <c r="O2014" s="1178">
        <v>3</v>
      </c>
      <c r="P2014" s="1178">
        <v>13</v>
      </c>
    </row>
    <row r="2015" spans="1:16">
      <c r="A2015" s="1178" t="s">
        <v>21067</v>
      </c>
      <c r="B2015" s="1371" t="str">
        <f>HYPERLINK(IFERROR("#Main_Tariff!A"&amp;MATCH(Raeburn_Main_Tariff[[#This Row],[Product Code]],Main_Tariff!I:I,0),"#Main_Tariff!A"&amp;MATCH("*"&amp;RIGHT(A2015,8)&amp;"*",Main_Tariff!A:A,0)),Raeburn_Main_Tariff[[#This Row],[PRODUCER]])</f>
        <v>Domaine Marc Colin</v>
      </c>
      <c r="C2015" s="1178" t="s">
        <v>21072</v>
      </c>
      <c r="D2015" s="1178" t="s">
        <v>897</v>
      </c>
      <c r="E2015" s="1179">
        <v>2020</v>
      </c>
      <c r="F2015" s="1282" t="s">
        <v>20288</v>
      </c>
      <c r="G2015" s="1368">
        <v>135</v>
      </c>
      <c r="H2015" s="1178" t="s">
        <v>20224</v>
      </c>
      <c r="I2015" s="1178" t="s">
        <v>6748</v>
      </c>
      <c r="J2015" s="1178" t="s">
        <v>662</v>
      </c>
      <c r="K2015" s="1178" t="s">
        <v>267</v>
      </c>
      <c r="L2015" s="1178" t="s">
        <v>242</v>
      </c>
      <c r="M2015" s="1369"/>
      <c r="N2015" s="1178"/>
      <c r="O2015" s="1178">
        <v>1</v>
      </c>
      <c r="P2015" s="1178">
        <v>13.5</v>
      </c>
    </row>
    <row r="2016" spans="1:16">
      <c r="A2016" s="1178" t="s">
        <v>21067</v>
      </c>
      <c r="B2016" s="1371" t="str">
        <f>HYPERLINK(IFERROR("#Main_Tariff!A"&amp;MATCH(Raeburn_Main_Tariff[[#This Row],[Product Code]],Main_Tariff!I:I,0),"#Main_Tariff!A"&amp;MATCH("*"&amp;RIGHT(A2016,8)&amp;"*",Main_Tariff!A:A,0)),Raeburn_Main_Tariff[[#This Row],[PRODUCER]])</f>
        <v>Domaine Marc Colin</v>
      </c>
      <c r="C2016" s="1178" t="s">
        <v>21073</v>
      </c>
      <c r="D2016" s="1178" t="s">
        <v>1129</v>
      </c>
      <c r="E2016" s="1179"/>
      <c r="F2016" s="1282" t="s">
        <v>20220</v>
      </c>
      <c r="G2016" s="1368"/>
      <c r="H2016" s="1178" t="s">
        <v>3907</v>
      </c>
      <c r="I2016" s="1178" t="s">
        <v>6749</v>
      </c>
      <c r="J2016" s="1178" t="s">
        <v>662</v>
      </c>
      <c r="K2016" s="1178" t="s">
        <v>267</v>
      </c>
      <c r="L2016" s="1178" t="s">
        <v>242</v>
      </c>
      <c r="M2016" s="1369"/>
      <c r="N2016" s="1178"/>
      <c r="O2016" s="1178">
        <v>6</v>
      </c>
      <c r="P2016" s="1178">
        <v>13</v>
      </c>
    </row>
    <row r="2017" spans="1:16">
      <c r="A2017" s="1178" t="s">
        <v>21067</v>
      </c>
      <c r="B2017" s="1371" t="str">
        <f>HYPERLINK(IFERROR("#Main_Tariff!A"&amp;MATCH(Raeburn_Main_Tariff[[#This Row],[Product Code]],Main_Tariff!I:I,0),"#Main_Tariff!A"&amp;MATCH("*"&amp;RIGHT(A2017,8)&amp;"*",Main_Tariff!A:A,0)),Raeburn_Main_Tariff[[#This Row],[PRODUCER]])</f>
        <v>Domaine Marc Colin</v>
      </c>
      <c r="C2017" s="1178" t="s">
        <v>21074</v>
      </c>
      <c r="D2017" s="1178" t="s">
        <v>1129</v>
      </c>
      <c r="E2017" s="1179">
        <v>2022</v>
      </c>
      <c r="F2017" s="1282" t="s">
        <v>20220</v>
      </c>
      <c r="G2017" s="1368" t="s">
        <v>5258</v>
      </c>
      <c r="H2017" s="1178" t="s">
        <v>20224</v>
      </c>
      <c r="I2017" s="1178" t="s">
        <v>6750</v>
      </c>
      <c r="J2017" s="1178" t="s">
        <v>662</v>
      </c>
      <c r="K2017" s="1178" t="s">
        <v>267</v>
      </c>
      <c r="L2017" s="1178" t="s">
        <v>242</v>
      </c>
      <c r="M2017" s="1369" t="s">
        <v>23297</v>
      </c>
      <c r="N2017" s="1178"/>
      <c r="O2017" s="1178">
        <v>6</v>
      </c>
      <c r="P2017" s="1178">
        <v>13.5</v>
      </c>
    </row>
    <row r="2018" spans="1:16">
      <c r="A2018" s="1178" t="s">
        <v>21067</v>
      </c>
      <c r="B2018" s="1371" t="str">
        <f>HYPERLINK(IFERROR("#Main_Tariff!A"&amp;MATCH(Raeburn_Main_Tariff[[#This Row],[Product Code]],Main_Tariff!I:I,0),"#Main_Tariff!A"&amp;MATCH("*"&amp;RIGHT(A2018,8)&amp;"*",Main_Tariff!A:A,0)),Raeburn_Main_Tariff[[#This Row],[PRODUCER]])</f>
        <v>Domaine Marc Colin</v>
      </c>
      <c r="C2018" s="1178" t="s">
        <v>21074</v>
      </c>
      <c r="D2018" s="1178" t="s">
        <v>1129</v>
      </c>
      <c r="E2018" s="1179">
        <v>2020</v>
      </c>
      <c r="F2018" s="1282" t="s">
        <v>20220</v>
      </c>
      <c r="G2018" s="1368" t="s">
        <v>5258</v>
      </c>
      <c r="H2018" s="1178" t="s">
        <v>20224</v>
      </c>
      <c r="I2018" s="1178" t="s">
        <v>6751</v>
      </c>
      <c r="J2018" s="1178" t="s">
        <v>662</v>
      </c>
      <c r="K2018" s="1178" t="s">
        <v>267</v>
      </c>
      <c r="L2018" s="1178" t="s">
        <v>242</v>
      </c>
      <c r="M2018" s="1369" t="s">
        <v>23297</v>
      </c>
      <c r="N2018" s="1178"/>
      <c r="O2018" s="1178">
        <v>6</v>
      </c>
      <c r="P2018" s="1178">
        <v>13.5</v>
      </c>
    </row>
    <row r="2019" spans="1:16">
      <c r="A2019" s="1178" t="s">
        <v>21067</v>
      </c>
      <c r="B2019" s="1371" t="str">
        <f>HYPERLINK(IFERROR("#Main_Tariff!A"&amp;MATCH(Raeburn_Main_Tariff[[#This Row],[Product Code]],Main_Tariff!I:I,0),"#Main_Tariff!A"&amp;MATCH("*"&amp;RIGHT(A2019,8)&amp;"*",Main_Tariff!A:A,0)),Raeburn_Main_Tariff[[#This Row],[PRODUCER]])</f>
        <v>Domaine Marc Colin</v>
      </c>
      <c r="C2019" s="1178" t="s">
        <v>21075</v>
      </c>
      <c r="D2019" s="1178" t="s">
        <v>1129</v>
      </c>
      <c r="E2019" s="1179">
        <v>2022</v>
      </c>
      <c r="F2019" s="1282" t="s">
        <v>20220</v>
      </c>
      <c r="G2019" s="1368" t="s">
        <v>5258</v>
      </c>
      <c r="H2019" s="1178" t="s">
        <v>20221</v>
      </c>
      <c r="I2019" s="1178" t="s">
        <v>6753</v>
      </c>
      <c r="J2019" s="1178" t="s">
        <v>662</v>
      </c>
      <c r="K2019" s="1178" t="s">
        <v>267</v>
      </c>
      <c r="L2019" s="1178" t="s">
        <v>242</v>
      </c>
      <c r="M2019" s="1369"/>
      <c r="N2019" s="1178"/>
      <c r="O2019" s="1178">
        <v>6</v>
      </c>
      <c r="P2019" s="1178">
        <v>13</v>
      </c>
    </row>
    <row r="2020" spans="1:16">
      <c r="A2020" s="1178" t="s">
        <v>21067</v>
      </c>
      <c r="B2020" s="1371" t="str">
        <f>HYPERLINK(IFERROR("#Main_Tariff!A"&amp;MATCH(Raeburn_Main_Tariff[[#This Row],[Product Code]],Main_Tariff!I:I,0),"#Main_Tariff!A"&amp;MATCH("*"&amp;RIGHT(A2020,8)&amp;"*",Main_Tariff!A:A,0)),Raeburn_Main_Tariff[[#This Row],[PRODUCER]])</f>
        <v>Domaine Marc Colin</v>
      </c>
      <c r="C2020" s="1178" t="s">
        <v>6754</v>
      </c>
      <c r="D2020" s="1178" t="s">
        <v>1129</v>
      </c>
      <c r="E2020" s="1179">
        <v>2022</v>
      </c>
      <c r="F2020" s="1282" t="s">
        <v>20220</v>
      </c>
      <c r="G2020" s="1368" t="s">
        <v>5258</v>
      </c>
      <c r="H2020" s="1178" t="s">
        <v>20224</v>
      </c>
      <c r="I2020" s="1178" t="s">
        <v>6756</v>
      </c>
      <c r="J2020" s="1178" t="s">
        <v>662</v>
      </c>
      <c r="K2020" s="1178" t="s">
        <v>267</v>
      </c>
      <c r="L2020" s="1178" t="s">
        <v>242</v>
      </c>
      <c r="M2020" s="1369"/>
      <c r="N2020" s="1178"/>
      <c r="O2020" s="1178">
        <v>6</v>
      </c>
      <c r="P2020" s="1178">
        <v>13</v>
      </c>
    </row>
    <row r="2021" spans="1:16">
      <c r="A2021" s="1178" t="s">
        <v>21067</v>
      </c>
      <c r="B2021" s="1371" t="str">
        <f>HYPERLINK(IFERROR("#Main_Tariff!A"&amp;MATCH(Raeburn_Main_Tariff[[#This Row],[Product Code]],Main_Tariff!I:I,0),"#Main_Tariff!A"&amp;MATCH("*"&amp;RIGHT(A2021,8)&amp;"*",Main_Tariff!A:A,0)),Raeburn_Main_Tariff[[#This Row],[PRODUCER]])</f>
        <v>Domaine Marc Colin</v>
      </c>
      <c r="C2021" s="1178" t="s">
        <v>21076</v>
      </c>
      <c r="D2021" s="1178" t="s">
        <v>1129</v>
      </c>
      <c r="E2021" s="1179"/>
      <c r="F2021" s="1282" t="s">
        <v>20220</v>
      </c>
      <c r="G2021" s="1368"/>
      <c r="H2021" s="1178" t="s">
        <v>3907</v>
      </c>
      <c r="I2021" s="1178" t="s">
        <v>6755</v>
      </c>
      <c r="J2021" s="1178" t="s">
        <v>662</v>
      </c>
      <c r="K2021" s="1178" t="s">
        <v>267</v>
      </c>
      <c r="L2021" s="1178" t="s">
        <v>242</v>
      </c>
      <c r="M2021" s="1369" t="s">
        <v>23297</v>
      </c>
      <c r="N2021" s="1178"/>
      <c r="O2021" s="1178">
        <v>6</v>
      </c>
      <c r="P2021" s="1178">
        <v>13.5</v>
      </c>
    </row>
    <row r="2022" spans="1:16">
      <c r="A2022" s="1178" t="s">
        <v>21067</v>
      </c>
      <c r="B2022" s="1371" t="str">
        <f>HYPERLINK(IFERROR("#Main_Tariff!A"&amp;MATCH(Raeburn_Main_Tariff[[#This Row],[Product Code]],Main_Tariff!I:I,0),"#Main_Tariff!A"&amp;MATCH("*"&amp;RIGHT(A2022,8)&amp;"*",Main_Tariff!A:A,0)),Raeburn_Main_Tariff[[#This Row],[PRODUCER]])</f>
        <v>Domaine Marc Colin</v>
      </c>
      <c r="C2022" s="1178" t="s">
        <v>20784</v>
      </c>
      <c r="D2022" s="1178" t="s">
        <v>1129</v>
      </c>
      <c r="E2022" s="1179">
        <v>2022</v>
      </c>
      <c r="F2022" s="1282" t="s">
        <v>20220</v>
      </c>
      <c r="G2022" s="1368" t="s">
        <v>5258</v>
      </c>
      <c r="H2022" s="1178" t="s">
        <v>20224</v>
      </c>
      <c r="I2022" s="1178" t="s">
        <v>6757</v>
      </c>
      <c r="J2022" s="1178" t="s">
        <v>662</v>
      </c>
      <c r="K2022" s="1178" t="s">
        <v>267</v>
      </c>
      <c r="L2022" s="1178" t="s">
        <v>242</v>
      </c>
      <c r="M2022" s="1369" t="s">
        <v>23296</v>
      </c>
      <c r="N2022" s="1178"/>
      <c r="O2022" s="1178">
        <v>1</v>
      </c>
      <c r="P2022" s="1178">
        <v>13.5</v>
      </c>
    </row>
    <row r="2023" spans="1:16">
      <c r="A2023" s="1178" t="s">
        <v>21077</v>
      </c>
      <c r="B2023" s="1371" t="str">
        <f>HYPERLINK(IFERROR("#Main_Tariff!A"&amp;MATCH(Raeburn_Main_Tariff[[#This Row],[Product Code]],Main_Tariff!I:I,0),"#Main_Tariff!A"&amp;MATCH("*"&amp;RIGHT(A2023,8)&amp;"*",Main_Tariff!A:A,0)),Raeburn_Main_Tariff[[#This Row],[PRODUCER]])</f>
        <v>Domaine Follin-Arbelet</v>
      </c>
      <c r="C2023" s="1178" t="s">
        <v>21078</v>
      </c>
      <c r="D2023" s="1178" t="s">
        <v>1129</v>
      </c>
      <c r="E2023" s="1179">
        <v>2022</v>
      </c>
      <c r="F2023" s="1282" t="s">
        <v>20220</v>
      </c>
      <c r="G2023" s="1368">
        <v>44.75</v>
      </c>
      <c r="H2023" s="1178" t="s">
        <v>20221</v>
      </c>
      <c r="I2023" s="1178" t="s">
        <v>6766</v>
      </c>
      <c r="J2023" s="1178" t="s">
        <v>662</v>
      </c>
      <c r="K2023" s="1178" t="s">
        <v>267</v>
      </c>
      <c r="L2023" s="1178" t="s">
        <v>242</v>
      </c>
      <c r="M2023" s="1369" t="s">
        <v>23297</v>
      </c>
      <c r="N2023" s="1178"/>
      <c r="O2023" s="1178">
        <v>6</v>
      </c>
      <c r="P2023" s="1178">
        <v>13</v>
      </c>
    </row>
    <row r="2024" spans="1:16">
      <c r="A2024" s="1178" t="s">
        <v>21077</v>
      </c>
      <c r="B2024" s="1371" t="str">
        <f>HYPERLINK(IFERROR("#Main_Tariff!A"&amp;MATCH(Raeburn_Main_Tariff[[#This Row],[Product Code]],Main_Tariff!I:I,0),"#Main_Tariff!A"&amp;MATCH("*"&amp;RIGHT(A2024,8)&amp;"*",Main_Tariff!A:A,0)),Raeburn_Main_Tariff[[#This Row],[PRODUCER]])</f>
        <v>Domaine Follin-Arbelet</v>
      </c>
      <c r="C2024" s="1178" t="s">
        <v>21078</v>
      </c>
      <c r="D2024" s="1178" t="s">
        <v>1129</v>
      </c>
      <c r="E2024" s="1179">
        <v>2021</v>
      </c>
      <c r="F2024" s="1282" t="s">
        <v>20220</v>
      </c>
      <c r="G2024" s="1368">
        <v>44</v>
      </c>
      <c r="H2024" s="1178" t="s">
        <v>20221</v>
      </c>
      <c r="I2024" s="1178" t="s">
        <v>6768</v>
      </c>
      <c r="J2024" s="1178" t="s">
        <v>662</v>
      </c>
      <c r="K2024" s="1178" t="s">
        <v>267</v>
      </c>
      <c r="L2024" s="1178" t="s">
        <v>242</v>
      </c>
      <c r="M2024" s="1369" t="s">
        <v>23297</v>
      </c>
      <c r="N2024" s="1178"/>
      <c r="O2024" s="1178">
        <v>6</v>
      </c>
      <c r="P2024" s="1178">
        <v>13.5</v>
      </c>
    </row>
    <row r="2025" spans="1:16">
      <c r="A2025" s="1178" t="s">
        <v>21077</v>
      </c>
      <c r="B2025" s="1371" t="str">
        <f>HYPERLINK(IFERROR("#Main_Tariff!A"&amp;MATCH(Raeburn_Main_Tariff[[#This Row],[Product Code]],Main_Tariff!I:I,0),"#Main_Tariff!A"&amp;MATCH("*"&amp;RIGHT(A2025,8)&amp;"*",Main_Tariff!A:A,0)),Raeburn_Main_Tariff[[#This Row],[PRODUCER]])</f>
        <v>Domaine Follin-Arbelet</v>
      </c>
      <c r="C2025" s="1178" t="s">
        <v>21078</v>
      </c>
      <c r="D2025" s="1178" t="s">
        <v>1129</v>
      </c>
      <c r="E2025" s="1179">
        <v>2020</v>
      </c>
      <c r="F2025" s="1282" t="s">
        <v>20220</v>
      </c>
      <c r="G2025" s="1368">
        <v>44</v>
      </c>
      <c r="H2025" s="1178" t="s">
        <v>20221</v>
      </c>
      <c r="I2025" s="1178" t="s">
        <v>6770</v>
      </c>
      <c r="J2025" s="1178" t="s">
        <v>662</v>
      </c>
      <c r="K2025" s="1178" t="s">
        <v>267</v>
      </c>
      <c r="L2025" s="1178" t="s">
        <v>242</v>
      </c>
      <c r="M2025" s="1369" t="s">
        <v>23297</v>
      </c>
      <c r="N2025" s="1178"/>
      <c r="O2025" s="1178">
        <v>6</v>
      </c>
      <c r="P2025" s="1178">
        <v>13</v>
      </c>
    </row>
    <row r="2026" spans="1:16">
      <c r="A2026" s="1178" t="s">
        <v>21077</v>
      </c>
      <c r="B2026" s="1371" t="str">
        <f>HYPERLINK(IFERROR("#Main_Tariff!A"&amp;MATCH(Raeburn_Main_Tariff[[#This Row],[Product Code]],Main_Tariff!I:I,0),"#Main_Tariff!A"&amp;MATCH("*"&amp;RIGHT(A2026,8)&amp;"*",Main_Tariff!A:A,0)),Raeburn_Main_Tariff[[#This Row],[PRODUCER]])</f>
        <v>Domaine Follin-Arbelet</v>
      </c>
      <c r="C2026" s="1178" t="s">
        <v>21078</v>
      </c>
      <c r="D2026" s="1178" t="s">
        <v>1129</v>
      </c>
      <c r="E2026" s="1179">
        <v>2019</v>
      </c>
      <c r="F2026" s="1282" t="s">
        <v>20220</v>
      </c>
      <c r="G2026" s="1368">
        <v>43</v>
      </c>
      <c r="H2026" s="1178" t="s">
        <v>20221</v>
      </c>
      <c r="I2026" s="1178" t="s">
        <v>6772</v>
      </c>
      <c r="J2026" s="1178" t="s">
        <v>662</v>
      </c>
      <c r="K2026" s="1178" t="s">
        <v>267</v>
      </c>
      <c r="L2026" s="1178" t="s">
        <v>242</v>
      </c>
      <c r="M2026" s="1369" t="s">
        <v>23297</v>
      </c>
      <c r="N2026" s="1178"/>
      <c r="O2026" s="1178">
        <v>6</v>
      </c>
      <c r="P2026" s="1178">
        <v>12.5</v>
      </c>
    </row>
    <row r="2027" spans="1:16">
      <c r="A2027" s="1178" t="s">
        <v>21077</v>
      </c>
      <c r="B2027" s="1371" t="str">
        <f>HYPERLINK(IFERROR("#Main_Tariff!A"&amp;MATCH(Raeburn_Main_Tariff[[#This Row],[Product Code]],Main_Tariff!I:I,0),"#Main_Tariff!A"&amp;MATCH("*"&amp;RIGHT(A2027,8)&amp;"*",Main_Tariff!A:A,0)),Raeburn_Main_Tariff[[#This Row],[PRODUCER]])</f>
        <v>Domaine Follin-Arbelet</v>
      </c>
      <c r="C2027" s="1178" t="s">
        <v>21078</v>
      </c>
      <c r="D2027" s="1178" t="s">
        <v>1129</v>
      </c>
      <c r="E2027" s="1179">
        <v>2018</v>
      </c>
      <c r="F2027" s="1282" t="s">
        <v>20220</v>
      </c>
      <c r="G2027" s="1368">
        <v>41</v>
      </c>
      <c r="H2027" s="1178" t="s">
        <v>20221</v>
      </c>
      <c r="I2027" s="1178" t="s">
        <v>6774</v>
      </c>
      <c r="J2027" s="1178" t="s">
        <v>662</v>
      </c>
      <c r="K2027" s="1178" t="s">
        <v>267</v>
      </c>
      <c r="L2027" s="1178" t="s">
        <v>242</v>
      </c>
      <c r="M2027" s="1369" t="s">
        <v>23297</v>
      </c>
      <c r="N2027" s="1178"/>
      <c r="O2027" s="1178">
        <v>6</v>
      </c>
      <c r="P2027" s="1178">
        <v>13</v>
      </c>
    </row>
    <row r="2028" spans="1:16">
      <c r="A2028" s="1178" t="s">
        <v>21077</v>
      </c>
      <c r="B2028" s="1371" t="str">
        <f>HYPERLINK(IFERROR("#Main_Tariff!A"&amp;MATCH(Raeburn_Main_Tariff[[#This Row],[Product Code]],Main_Tariff!I:I,0),"#Main_Tariff!A"&amp;MATCH("*"&amp;RIGHT(A2028,8)&amp;"*",Main_Tariff!A:A,0)),Raeburn_Main_Tariff[[#This Row],[PRODUCER]])</f>
        <v>Domaine Follin-Arbelet</v>
      </c>
      <c r="C2028" s="1178" t="s">
        <v>21079</v>
      </c>
      <c r="D2028" s="1178" t="s">
        <v>1129</v>
      </c>
      <c r="E2028" s="1179">
        <v>2022</v>
      </c>
      <c r="F2028" s="1282" t="s">
        <v>20220</v>
      </c>
      <c r="G2028" s="1368">
        <v>130</v>
      </c>
      <c r="H2028" s="1178" t="s">
        <v>20221</v>
      </c>
      <c r="I2028" s="1178" t="s">
        <v>6777</v>
      </c>
      <c r="J2028" s="1178" t="s">
        <v>662</v>
      </c>
      <c r="K2028" s="1178" t="s">
        <v>267</v>
      </c>
      <c r="L2028" s="1178" t="s">
        <v>242</v>
      </c>
      <c r="M2028" s="1369" t="s">
        <v>23296</v>
      </c>
      <c r="N2028" s="1178"/>
      <c r="O2028" s="1178">
        <v>6</v>
      </c>
      <c r="P2028" s="1178">
        <v>13</v>
      </c>
    </row>
    <row r="2029" spans="1:16">
      <c r="A2029" s="1178" t="s">
        <v>21077</v>
      </c>
      <c r="B2029" s="1371" t="str">
        <f>HYPERLINK(IFERROR("#Main_Tariff!A"&amp;MATCH(Raeburn_Main_Tariff[[#This Row],[Product Code]],Main_Tariff!I:I,0),"#Main_Tariff!A"&amp;MATCH("*"&amp;RIGHT(A2029,8)&amp;"*",Main_Tariff!A:A,0)),Raeburn_Main_Tariff[[#This Row],[PRODUCER]])</f>
        <v>Domaine Follin-Arbelet</v>
      </c>
      <c r="C2029" s="1178" t="s">
        <v>21079</v>
      </c>
      <c r="D2029" s="1178" t="s">
        <v>1129</v>
      </c>
      <c r="E2029" s="1179">
        <v>2021</v>
      </c>
      <c r="F2029" s="1282" t="s">
        <v>20220</v>
      </c>
      <c r="G2029" s="1368">
        <v>121.5</v>
      </c>
      <c r="H2029" s="1178" t="s">
        <v>20221</v>
      </c>
      <c r="I2029" s="1178" t="s">
        <v>6779</v>
      </c>
      <c r="J2029" s="1178" t="s">
        <v>662</v>
      </c>
      <c r="K2029" s="1178" t="s">
        <v>267</v>
      </c>
      <c r="L2029" s="1178" t="s">
        <v>242</v>
      </c>
      <c r="M2029" s="1369" t="s">
        <v>23296</v>
      </c>
      <c r="N2029" s="1178"/>
      <c r="O2029" s="1178">
        <v>6</v>
      </c>
      <c r="P2029" s="1178">
        <v>13.5</v>
      </c>
    </row>
    <row r="2030" spans="1:16">
      <c r="A2030" s="1178" t="s">
        <v>21077</v>
      </c>
      <c r="B2030" s="1371" t="str">
        <f>HYPERLINK(IFERROR("#Main_Tariff!A"&amp;MATCH(Raeburn_Main_Tariff[[#This Row],[Product Code]],Main_Tariff!I:I,0),"#Main_Tariff!A"&amp;MATCH("*"&amp;RIGHT(A2030,8)&amp;"*",Main_Tariff!A:A,0)),Raeburn_Main_Tariff[[#This Row],[PRODUCER]])</f>
        <v>Domaine Follin-Arbelet</v>
      </c>
      <c r="C2030" s="1178" t="s">
        <v>21079</v>
      </c>
      <c r="D2030" s="1178" t="s">
        <v>1129</v>
      </c>
      <c r="E2030" s="1179">
        <v>2020</v>
      </c>
      <c r="F2030" s="1282" t="s">
        <v>20220</v>
      </c>
      <c r="G2030" s="1368">
        <v>121.5</v>
      </c>
      <c r="H2030" s="1178" t="s">
        <v>20221</v>
      </c>
      <c r="I2030" s="1178" t="s">
        <v>6781</v>
      </c>
      <c r="J2030" s="1178" t="s">
        <v>662</v>
      </c>
      <c r="K2030" s="1178" t="s">
        <v>267</v>
      </c>
      <c r="L2030" s="1178" t="s">
        <v>242</v>
      </c>
      <c r="M2030" s="1369" t="s">
        <v>23296</v>
      </c>
      <c r="N2030" s="1178"/>
      <c r="O2030" s="1178">
        <v>6</v>
      </c>
      <c r="P2030" s="1178">
        <v>13</v>
      </c>
    </row>
    <row r="2031" spans="1:16">
      <c r="A2031" s="1178" t="s">
        <v>21077</v>
      </c>
      <c r="B2031" s="1371" t="str">
        <f>HYPERLINK(IFERROR("#Main_Tariff!A"&amp;MATCH(Raeburn_Main_Tariff[[#This Row],[Product Code]],Main_Tariff!I:I,0),"#Main_Tariff!A"&amp;MATCH("*"&amp;RIGHT(A2031,8)&amp;"*",Main_Tariff!A:A,0)),Raeburn_Main_Tariff[[#This Row],[PRODUCER]])</f>
        <v>Domaine Follin-Arbelet</v>
      </c>
      <c r="C2031" s="1178" t="s">
        <v>21079</v>
      </c>
      <c r="D2031" s="1178" t="s">
        <v>1129</v>
      </c>
      <c r="E2031" s="1179">
        <v>2019</v>
      </c>
      <c r="F2031" s="1282" t="s">
        <v>20220</v>
      </c>
      <c r="G2031" s="1368">
        <v>119.5</v>
      </c>
      <c r="H2031" s="1178" t="s">
        <v>20221</v>
      </c>
      <c r="I2031" s="1178" t="s">
        <v>6783</v>
      </c>
      <c r="J2031" s="1178" t="s">
        <v>662</v>
      </c>
      <c r="K2031" s="1178" t="s">
        <v>267</v>
      </c>
      <c r="L2031" s="1178" t="s">
        <v>242</v>
      </c>
      <c r="M2031" s="1369" t="s">
        <v>23296</v>
      </c>
      <c r="N2031" s="1178"/>
      <c r="O2031" s="1178">
        <v>6</v>
      </c>
      <c r="P2031" s="1178">
        <v>12.5</v>
      </c>
    </row>
    <row r="2032" spans="1:16">
      <c r="A2032" s="1178" t="s">
        <v>21077</v>
      </c>
      <c r="B2032" s="1371" t="str">
        <f>HYPERLINK(IFERROR("#Main_Tariff!A"&amp;MATCH(Raeburn_Main_Tariff[[#This Row],[Product Code]],Main_Tariff!I:I,0),"#Main_Tariff!A"&amp;MATCH("*"&amp;RIGHT(A2032,8)&amp;"*",Main_Tariff!A:A,0)),Raeburn_Main_Tariff[[#This Row],[PRODUCER]])</f>
        <v>Domaine Follin-Arbelet</v>
      </c>
      <c r="C2032" s="1178" t="s">
        <v>21080</v>
      </c>
      <c r="D2032" s="1178" t="s">
        <v>897</v>
      </c>
      <c r="E2032" s="1179">
        <v>2022</v>
      </c>
      <c r="F2032" s="1282" t="s">
        <v>20220</v>
      </c>
      <c r="G2032" s="1368">
        <v>39.25</v>
      </c>
      <c r="H2032" s="1178" t="s">
        <v>20221</v>
      </c>
      <c r="I2032" s="1178" t="s">
        <v>6786</v>
      </c>
      <c r="J2032" s="1178" t="s">
        <v>662</v>
      </c>
      <c r="K2032" s="1178" t="s">
        <v>267</v>
      </c>
      <c r="L2032" s="1178" t="s">
        <v>242</v>
      </c>
      <c r="M2032" s="1369"/>
      <c r="N2032" s="1178"/>
      <c r="O2032" s="1178">
        <v>6</v>
      </c>
      <c r="P2032" s="1178">
        <v>13.5</v>
      </c>
    </row>
    <row r="2033" spans="1:16">
      <c r="A2033" s="1178" t="s">
        <v>21077</v>
      </c>
      <c r="B2033" s="1371" t="str">
        <f>HYPERLINK(IFERROR("#Main_Tariff!A"&amp;MATCH(Raeburn_Main_Tariff[[#This Row],[Product Code]],Main_Tariff!I:I,0),"#Main_Tariff!A"&amp;MATCH("*"&amp;RIGHT(A2033,8)&amp;"*",Main_Tariff!A:A,0)),Raeburn_Main_Tariff[[#This Row],[PRODUCER]])</f>
        <v>Domaine Follin-Arbelet</v>
      </c>
      <c r="C2033" s="1178" t="s">
        <v>21080</v>
      </c>
      <c r="D2033" s="1178" t="s">
        <v>897</v>
      </c>
      <c r="E2033" s="1179">
        <v>2021</v>
      </c>
      <c r="F2033" s="1282" t="s">
        <v>20220</v>
      </c>
      <c r="G2033" s="1368">
        <v>38.75</v>
      </c>
      <c r="H2033" s="1178" t="s">
        <v>20221</v>
      </c>
      <c r="I2033" s="1178" t="s">
        <v>6787</v>
      </c>
      <c r="J2033" s="1178" t="s">
        <v>662</v>
      </c>
      <c r="K2033" s="1178" t="s">
        <v>267</v>
      </c>
      <c r="L2033" s="1178" t="s">
        <v>242</v>
      </c>
      <c r="M2033" s="1369"/>
      <c r="N2033" s="1178"/>
      <c r="O2033" s="1178">
        <v>6</v>
      </c>
      <c r="P2033" s="1178">
        <v>13</v>
      </c>
    </row>
    <row r="2034" spans="1:16">
      <c r="A2034" s="1178" t="s">
        <v>21077</v>
      </c>
      <c r="B2034" s="1371" t="str">
        <f>HYPERLINK(IFERROR("#Main_Tariff!A"&amp;MATCH(Raeburn_Main_Tariff[[#This Row],[Product Code]],Main_Tariff!I:I,0),"#Main_Tariff!A"&amp;MATCH("*"&amp;RIGHT(A2034,8)&amp;"*",Main_Tariff!A:A,0)),Raeburn_Main_Tariff[[#This Row],[PRODUCER]])</f>
        <v>Domaine Follin-Arbelet</v>
      </c>
      <c r="C2034" s="1178" t="s">
        <v>21080</v>
      </c>
      <c r="D2034" s="1178" t="s">
        <v>897</v>
      </c>
      <c r="E2034" s="1179">
        <v>2020</v>
      </c>
      <c r="F2034" s="1282" t="s">
        <v>20220</v>
      </c>
      <c r="G2034" s="1368">
        <v>38.75</v>
      </c>
      <c r="H2034" s="1178" t="s">
        <v>20221</v>
      </c>
      <c r="I2034" s="1178" t="s">
        <v>6789</v>
      </c>
      <c r="J2034" s="1178" t="s">
        <v>662</v>
      </c>
      <c r="K2034" s="1178" t="s">
        <v>267</v>
      </c>
      <c r="L2034" s="1178" t="s">
        <v>242</v>
      </c>
      <c r="M2034" s="1369"/>
      <c r="N2034" s="1178"/>
      <c r="O2034" s="1178">
        <v>6</v>
      </c>
      <c r="P2034" s="1178">
        <v>14</v>
      </c>
    </row>
    <row r="2035" spans="1:16">
      <c r="A2035" s="1178" t="s">
        <v>21077</v>
      </c>
      <c r="B2035" s="1371" t="str">
        <f>HYPERLINK(IFERROR("#Main_Tariff!A"&amp;MATCH(Raeburn_Main_Tariff[[#This Row],[Product Code]],Main_Tariff!I:I,0),"#Main_Tariff!A"&amp;MATCH("*"&amp;RIGHT(A2035,8)&amp;"*",Main_Tariff!A:A,0)),Raeburn_Main_Tariff[[#This Row],[PRODUCER]])</f>
        <v>Domaine Follin-Arbelet</v>
      </c>
      <c r="C2035" s="1178" t="s">
        <v>21080</v>
      </c>
      <c r="D2035" s="1178" t="s">
        <v>897</v>
      </c>
      <c r="E2035" s="1179">
        <v>2019</v>
      </c>
      <c r="F2035" s="1282" t="s">
        <v>20220</v>
      </c>
      <c r="G2035" s="1368">
        <v>37.75</v>
      </c>
      <c r="H2035" s="1178" t="s">
        <v>20221</v>
      </c>
      <c r="I2035" s="1178" t="s">
        <v>6791</v>
      </c>
      <c r="J2035" s="1178" t="s">
        <v>662</v>
      </c>
      <c r="K2035" s="1178" t="s">
        <v>267</v>
      </c>
      <c r="L2035" s="1178" t="s">
        <v>242</v>
      </c>
      <c r="M2035" s="1369"/>
      <c r="N2035" s="1178"/>
      <c r="O2035" s="1178">
        <v>6</v>
      </c>
      <c r="P2035" s="1178">
        <v>13.5</v>
      </c>
    </row>
    <row r="2036" spans="1:16">
      <c r="A2036" s="1178" t="s">
        <v>21077</v>
      </c>
      <c r="B2036" s="1371" t="str">
        <f>HYPERLINK(IFERROR("#Main_Tariff!A"&amp;MATCH(Raeburn_Main_Tariff[[#This Row],[Product Code]],Main_Tariff!I:I,0),"#Main_Tariff!A"&amp;MATCH("*"&amp;RIGHT(A2036,8)&amp;"*",Main_Tariff!A:A,0)),Raeburn_Main_Tariff[[#This Row],[PRODUCER]])</f>
        <v>Domaine Follin-Arbelet</v>
      </c>
      <c r="C2036" s="1178" t="s">
        <v>21080</v>
      </c>
      <c r="D2036" s="1178" t="s">
        <v>897</v>
      </c>
      <c r="E2036" s="1179">
        <v>2018</v>
      </c>
      <c r="F2036" s="1282" t="s">
        <v>20220</v>
      </c>
      <c r="G2036" s="1368">
        <v>33.5</v>
      </c>
      <c r="H2036" s="1178" t="s">
        <v>20221</v>
      </c>
      <c r="I2036" s="1178" t="s">
        <v>6793</v>
      </c>
      <c r="J2036" s="1178" t="s">
        <v>662</v>
      </c>
      <c r="K2036" s="1178" t="s">
        <v>267</v>
      </c>
      <c r="L2036" s="1178" t="s">
        <v>242</v>
      </c>
      <c r="M2036" s="1369"/>
      <c r="N2036" s="1178"/>
      <c r="O2036" s="1178">
        <v>6</v>
      </c>
      <c r="P2036" s="1178">
        <v>13</v>
      </c>
    </row>
    <row r="2037" spans="1:16">
      <c r="A2037" s="1178" t="s">
        <v>21077</v>
      </c>
      <c r="B2037" s="1371" t="str">
        <f>HYPERLINK(IFERROR("#Main_Tariff!A"&amp;MATCH(Raeburn_Main_Tariff[[#This Row],[Product Code]],Main_Tariff!I:I,0),"#Main_Tariff!A"&amp;MATCH("*"&amp;RIGHT(A2037,8)&amp;"*",Main_Tariff!A:A,0)),Raeburn_Main_Tariff[[#This Row],[PRODUCER]])</f>
        <v>Domaine Follin-Arbelet</v>
      </c>
      <c r="C2037" s="1178" t="s">
        <v>21080</v>
      </c>
      <c r="D2037" s="1178" t="s">
        <v>897</v>
      </c>
      <c r="E2037" s="1179">
        <v>2017</v>
      </c>
      <c r="F2037" s="1282" t="s">
        <v>20220</v>
      </c>
      <c r="G2037" s="1368">
        <v>33.5</v>
      </c>
      <c r="H2037" s="1178" t="s">
        <v>20221</v>
      </c>
      <c r="I2037" s="1178" t="s">
        <v>6795</v>
      </c>
      <c r="J2037" s="1178" t="s">
        <v>662</v>
      </c>
      <c r="K2037" s="1178" t="s">
        <v>267</v>
      </c>
      <c r="L2037" s="1178" t="s">
        <v>242</v>
      </c>
      <c r="M2037" s="1369"/>
      <c r="N2037" s="1178"/>
      <c r="O2037" s="1178">
        <v>6</v>
      </c>
      <c r="P2037" s="1178">
        <v>13</v>
      </c>
    </row>
    <row r="2038" spans="1:16">
      <c r="A2038" s="1178" t="s">
        <v>21077</v>
      </c>
      <c r="B2038" s="1371" t="str">
        <f>HYPERLINK(IFERROR("#Main_Tariff!A"&amp;MATCH(Raeburn_Main_Tariff[[#This Row],[Product Code]],Main_Tariff!I:I,0),"#Main_Tariff!A"&amp;MATCH("*"&amp;RIGHT(A2038,8)&amp;"*",Main_Tariff!A:A,0)),Raeburn_Main_Tariff[[#This Row],[PRODUCER]])</f>
        <v>Domaine Follin-Arbelet</v>
      </c>
      <c r="C2038" s="1178" t="s">
        <v>21080</v>
      </c>
      <c r="D2038" s="1178" t="s">
        <v>897</v>
      </c>
      <c r="E2038" s="1179">
        <v>2016</v>
      </c>
      <c r="F2038" s="1282" t="s">
        <v>20220</v>
      </c>
      <c r="G2038" s="1368">
        <v>35</v>
      </c>
      <c r="H2038" s="1178" t="s">
        <v>20221</v>
      </c>
      <c r="I2038" s="1178" t="s">
        <v>6797</v>
      </c>
      <c r="J2038" s="1178" t="s">
        <v>662</v>
      </c>
      <c r="K2038" s="1178" t="s">
        <v>267</v>
      </c>
      <c r="L2038" s="1178" t="s">
        <v>242</v>
      </c>
      <c r="M2038" s="1369"/>
      <c r="N2038" s="1178"/>
      <c r="O2038" s="1178">
        <v>6</v>
      </c>
      <c r="P2038" s="1178">
        <v>13</v>
      </c>
    </row>
    <row r="2039" spans="1:16">
      <c r="A2039" s="1178" t="s">
        <v>21077</v>
      </c>
      <c r="B2039" s="1371" t="str">
        <f>HYPERLINK(IFERROR("#Main_Tariff!A"&amp;MATCH(Raeburn_Main_Tariff[[#This Row],[Product Code]],Main_Tariff!I:I,0),"#Main_Tariff!A"&amp;MATCH("*"&amp;RIGHT(A2039,8)&amp;"*",Main_Tariff!A:A,0)),Raeburn_Main_Tariff[[#This Row],[PRODUCER]])</f>
        <v>Domaine Follin-Arbelet</v>
      </c>
      <c r="C2039" s="1178" t="s">
        <v>21080</v>
      </c>
      <c r="D2039" s="1178" t="s">
        <v>897</v>
      </c>
      <c r="E2039" s="1179">
        <v>2015</v>
      </c>
      <c r="F2039" s="1282" t="s">
        <v>20220</v>
      </c>
      <c r="G2039" s="1368">
        <v>33.5</v>
      </c>
      <c r="H2039" s="1178" t="s">
        <v>20221</v>
      </c>
      <c r="I2039" s="1178" t="s">
        <v>6799</v>
      </c>
      <c r="J2039" s="1178" t="s">
        <v>662</v>
      </c>
      <c r="K2039" s="1178" t="s">
        <v>267</v>
      </c>
      <c r="L2039" s="1178" t="s">
        <v>242</v>
      </c>
      <c r="M2039" s="1369"/>
      <c r="N2039" s="1178"/>
      <c r="O2039" s="1178">
        <v>6</v>
      </c>
      <c r="P2039" s="1178">
        <v>13</v>
      </c>
    </row>
    <row r="2040" spans="1:16">
      <c r="A2040" s="1178" t="s">
        <v>21077</v>
      </c>
      <c r="B2040" s="1371" t="str">
        <f>HYPERLINK(IFERROR("#Main_Tariff!A"&amp;MATCH(Raeburn_Main_Tariff[[#This Row],[Product Code]],Main_Tariff!I:I,0),"#Main_Tariff!A"&amp;MATCH("*"&amp;RIGHT(A2040,8)&amp;"*",Main_Tariff!A:A,0)),Raeburn_Main_Tariff[[#This Row],[PRODUCER]])</f>
        <v>Domaine Follin-Arbelet</v>
      </c>
      <c r="C2040" s="1178" t="s">
        <v>21080</v>
      </c>
      <c r="D2040" s="1178" t="s">
        <v>897</v>
      </c>
      <c r="E2040" s="1179">
        <v>2014</v>
      </c>
      <c r="F2040" s="1282" t="s">
        <v>20220</v>
      </c>
      <c r="G2040" s="1368">
        <v>32.5</v>
      </c>
      <c r="H2040" s="1178" t="s">
        <v>20221</v>
      </c>
      <c r="I2040" s="1178" t="s">
        <v>6801</v>
      </c>
      <c r="J2040" s="1178" t="s">
        <v>662</v>
      </c>
      <c r="K2040" s="1178" t="s">
        <v>267</v>
      </c>
      <c r="L2040" s="1178" t="s">
        <v>242</v>
      </c>
      <c r="M2040" s="1369"/>
      <c r="N2040" s="1178"/>
      <c r="O2040" s="1178">
        <v>6</v>
      </c>
      <c r="P2040" s="1178">
        <v>13</v>
      </c>
    </row>
    <row r="2041" spans="1:16">
      <c r="A2041" s="1178" t="s">
        <v>21077</v>
      </c>
      <c r="B2041" s="1371" t="str">
        <f>HYPERLINK(IFERROR("#Main_Tariff!A"&amp;MATCH(Raeburn_Main_Tariff[[#This Row],[Product Code]],Main_Tariff!I:I,0),"#Main_Tariff!A"&amp;MATCH("*"&amp;RIGHT(A2041,8)&amp;"*",Main_Tariff!A:A,0)),Raeburn_Main_Tariff[[#This Row],[PRODUCER]])</f>
        <v>Domaine Follin-Arbelet</v>
      </c>
      <c r="C2041" s="1178" t="s">
        <v>21080</v>
      </c>
      <c r="D2041" s="1178" t="s">
        <v>897</v>
      </c>
      <c r="E2041" s="1179">
        <v>2013</v>
      </c>
      <c r="F2041" s="1282" t="s">
        <v>20220</v>
      </c>
      <c r="G2041" s="1368">
        <v>33.5</v>
      </c>
      <c r="H2041" s="1178" t="s">
        <v>20221</v>
      </c>
      <c r="I2041" s="1178" t="s">
        <v>6803</v>
      </c>
      <c r="J2041" s="1178" t="s">
        <v>662</v>
      </c>
      <c r="K2041" s="1178" t="s">
        <v>267</v>
      </c>
      <c r="L2041" s="1178" t="s">
        <v>242</v>
      </c>
      <c r="M2041" s="1369"/>
      <c r="N2041" s="1178"/>
      <c r="O2041" s="1178">
        <v>6</v>
      </c>
      <c r="P2041" s="1178">
        <v>13</v>
      </c>
    </row>
    <row r="2042" spans="1:16">
      <c r="A2042" s="1178" t="s">
        <v>21077</v>
      </c>
      <c r="B2042" s="1371" t="str">
        <f>HYPERLINK(IFERROR("#Main_Tariff!A"&amp;MATCH(Raeburn_Main_Tariff[[#This Row],[Product Code]],Main_Tariff!I:I,0),"#Main_Tariff!A"&amp;MATCH("*"&amp;RIGHT(A2042,8)&amp;"*",Main_Tariff!A:A,0)),Raeburn_Main_Tariff[[#This Row],[PRODUCER]])</f>
        <v>Domaine Follin-Arbelet</v>
      </c>
      <c r="C2042" s="1178" t="s">
        <v>21080</v>
      </c>
      <c r="D2042" s="1178" t="s">
        <v>897</v>
      </c>
      <c r="E2042" s="1179">
        <v>2012</v>
      </c>
      <c r="F2042" s="1282" t="s">
        <v>20220</v>
      </c>
      <c r="G2042" s="1368">
        <v>33.5</v>
      </c>
      <c r="H2042" s="1178" t="s">
        <v>20221</v>
      </c>
      <c r="I2042" s="1178" t="s">
        <v>6805</v>
      </c>
      <c r="J2042" s="1178" t="s">
        <v>662</v>
      </c>
      <c r="K2042" s="1178" t="s">
        <v>267</v>
      </c>
      <c r="L2042" s="1178" t="s">
        <v>242</v>
      </c>
      <c r="M2042" s="1369"/>
      <c r="N2042" s="1178"/>
      <c r="O2042" s="1178">
        <v>6</v>
      </c>
      <c r="P2042" s="1178">
        <v>13</v>
      </c>
    </row>
    <row r="2043" spans="1:16">
      <c r="A2043" s="1178" t="s">
        <v>21077</v>
      </c>
      <c r="B2043" s="1371" t="str">
        <f>HYPERLINK(IFERROR("#Main_Tariff!A"&amp;MATCH(Raeburn_Main_Tariff[[#This Row],[Product Code]],Main_Tariff!I:I,0),"#Main_Tariff!A"&amp;MATCH("*"&amp;RIGHT(A2043,8)&amp;"*",Main_Tariff!A:A,0)),Raeburn_Main_Tariff[[#This Row],[PRODUCER]])</f>
        <v>Domaine Follin-Arbelet</v>
      </c>
      <c r="C2043" s="1178" t="s">
        <v>21080</v>
      </c>
      <c r="D2043" s="1178" t="s">
        <v>897</v>
      </c>
      <c r="E2043" s="1179">
        <v>2011</v>
      </c>
      <c r="F2043" s="1282" t="s">
        <v>20220</v>
      </c>
      <c r="G2043" s="1368">
        <v>32</v>
      </c>
      <c r="H2043" s="1178" t="s">
        <v>20221</v>
      </c>
      <c r="I2043" s="1178" t="s">
        <v>6807</v>
      </c>
      <c r="J2043" s="1178" t="s">
        <v>662</v>
      </c>
      <c r="K2043" s="1178" t="s">
        <v>267</v>
      </c>
      <c r="L2043" s="1178" t="s">
        <v>242</v>
      </c>
      <c r="M2043" s="1369"/>
      <c r="N2043" s="1178"/>
      <c r="O2043" s="1178">
        <v>6</v>
      </c>
      <c r="P2043" s="1178">
        <v>13.5</v>
      </c>
    </row>
    <row r="2044" spans="1:16">
      <c r="A2044" s="1178" t="s">
        <v>21077</v>
      </c>
      <c r="B2044" s="1371" t="str">
        <f>HYPERLINK(IFERROR("#Main_Tariff!A"&amp;MATCH(Raeburn_Main_Tariff[[#This Row],[Product Code]],Main_Tariff!I:I,0),"#Main_Tariff!A"&amp;MATCH("*"&amp;RIGHT(A2044,8)&amp;"*",Main_Tariff!A:A,0)),Raeburn_Main_Tariff[[#This Row],[PRODUCER]])</f>
        <v>Domaine Follin-Arbelet</v>
      </c>
      <c r="C2044" s="1178" t="s">
        <v>21081</v>
      </c>
      <c r="D2044" s="1178" t="s">
        <v>897</v>
      </c>
      <c r="E2044" s="1179">
        <v>2022</v>
      </c>
      <c r="F2044" s="1282" t="s">
        <v>20220</v>
      </c>
      <c r="G2044" s="1368">
        <v>36.75</v>
      </c>
      <c r="H2044" s="1178" t="s">
        <v>20221</v>
      </c>
      <c r="I2044" s="1178" t="s">
        <v>6811</v>
      </c>
      <c r="J2044" s="1178" t="s">
        <v>662</v>
      </c>
      <c r="K2044" s="1178" t="s">
        <v>267</v>
      </c>
      <c r="L2044" s="1178" t="s">
        <v>242</v>
      </c>
      <c r="M2044" s="1369" t="s">
        <v>23297</v>
      </c>
      <c r="N2044" s="1178"/>
      <c r="O2044" s="1178">
        <v>6</v>
      </c>
      <c r="P2044" s="1178">
        <v>13.5</v>
      </c>
    </row>
    <row r="2045" spans="1:16">
      <c r="A2045" s="1178" t="s">
        <v>21077</v>
      </c>
      <c r="B2045" s="1371" t="str">
        <f>HYPERLINK(IFERROR("#Main_Tariff!A"&amp;MATCH(Raeburn_Main_Tariff[[#This Row],[Product Code]],Main_Tariff!I:I,0),"#Main_Tariff!A"&amp;MATCH("*"&amp;RIGHT(A2045,8)&amp;"*",Main_Tariff!A:A,0)),Raeburn_Main_Tariff[[#This Row],[PRODUCER]])</f>
        <v>Domaine Follin-Arbelet</v>
      </c>
      <c r="C2045" s="1178" t="s">
        <v>21081</v>
      </c>
      <c r="D2045" s="1178" t="s">
        <v>897</v>
      </c>
      <c r="E2045" s="1179">
        <v>2021</v>
      </c>
      <c r="F2045" s="1282" t="s">
        <v>20220</v>
      </c>
      <c r="G2045" s="1368">
        <v>34.75</v>
      </c>
      <c r="H2045" s="1178" t="s">
        <v>20221</v>
      </c>
      <c r="I2045" s="1178" t="s">
        <v>6812</v>
      </c>
      <c r="J2045" s="1178" t="s">
        <v>662</v>
      </c>
      <c r="K2045" s="1178" t="s">
        <v>267</v>
      </c>
      <c r="L2045" s="1178" t="s">
        <v>242</v>
      </c>
      <c r="M2045" s="1369" t="s">
        <v>23297</v>
      </c>
      <c r="N2045" s="1178"/>
      <c r="O2045" s="1178">
        <v>6</v>
      </c>
      <c r="P2045" s="1178">
        <v>13</v>
      </c>
    </row>
    <row r="2046" spans="1:16">
      <c r="A2046" s="1178" t="s">
        <v>21077</v>
      </c>
      <c r="B2046" s="1371" t="str">
        <f>HYPERLINK(IFERROR("#Main_Tariff!A"&amp;MATCH(Raeburn_Main_Tariff[[#This Row],[Product Code]],Main_Tariff!I:I,0),"#Main_Tariff!A"&amp;MATCH("*"&amp;RIGHT(A2046,8)&amp;"*",Main_Tariff!A:A,0)),Raeburn_Main_Tariff[[#This Row],[PRODUCER]])</f>
        <v>Domaine Follin-Arbelet</v>
      </c>
      <c r="C2046" s="1178" t="s">
        <v>21081</v>
      </c>
      <c r="D2046" s="1178" t="s">
        <v>897</v>
      </c>
      <c r="E2046" s="1179">
        <v>2020</v>
      </c>
      <c r="F2046" s="1282" t="s">
        <v>20220</v>
      </c>
      <c r="G2046" s="1368">
        <v>34.75</v>
      </c>
      <c r="H2046" s="1178" t="s">
        <v>20221</v>
      </c>
      <c r="I2046" s="1178" t="s">
        <v>6813</v>
      </c>
      <c r="J2046" s="1178" t="s">
        <v>662</v>
      </c>
      <c r="K2046" s="1178" t="s">
        <v>267</v>
      </c>
      <c r="L2046" s="1178" t="s">
        <v>242</v>
      </c>
      <c r="M2046" s="1369" t="s">
        <v>23297</v>
      </c>
      <c r="N2046" s="1178"/>
      <c r="O2046" s="1178">
        <v>6</v>
      </c>
      <c r="P2046" s="1178">
        <v>14</v>
      </c>
    </row>
    <row r="2047" spans="1:16">
      <c r="A2047" s="1178" t="s">
        <v>21077</v>
      </c>
      <c r="B2047" s="1371" t="str">
        <f>HYPERLINK(IFERROR("#Main_Tariff!A"&amp;MATCH(Raeburn_Main_Tariff[[#This Row],[Product Code]],Main_Tariff!I:I,0),"#Main_Tariff!A"&amp;MATCH("*"&amp;RIGHT(A2047,8)&amp;"*",Main_Tariff!A:A,0)),Raeburn_Main_Tariff[[#This Row],[PRODUCER]])</f>
        <v>Domaine Follin-Arbelet</v>
      </c>
      <c r="C2047" s="1178" t="s">
        <v>21081</v>
      </c>
      <c r="D2047" s="1178" t="s">
        <v>897</v>
      </c>
      <c r="E2047" s="1179">
        <v>2019</v>
      </c>
      <c r="F2047" s="1282" t="s">
        <v>20220</v>
      </c>
      <c r="G2047" s="1368">
        <v>34.75</v>
      </c>
      <c r="H2047" s="1178" t="s">
        <v>20221</v>
      </c>
      <c r="I2047" s="1178" t="s">
        <v>6814</v>
      </c>
      <c r="J2047" s="1178" t="s">
        <v>662</v>
      </c>
      <c r="K2047" s="1178" t="s">
        <v>267</v>
      </c>
      <c r="L2047" s="1178" t="s">
        <v>242</v>
      </c>
      <c r="M2047" s="1369" t="s">
        <v>23297</v>
      </c>
      <c r="N2047" s="1178"/>
      <c r="O2047" s="1178">
        <v>6</v>
      </c>
      <c r="P2047" s="1178">
        <v>13.5</v>
      </c>
    </row>
    <row r="2048" spans="1:16">
      <c r="A2048" s="1178" t="s">
        <v>21077</v>
      </c>
      <c r="B2048" s="1371" t="str">
        <f>HYPERLINK(IFERROR("#Main_Tariff!A"&amp;MATCH(Raeburn_Main_Tariff[[#This Row],[Product Code]],Main_Tariff!I:I,0),"#Main_Tariff!A"&amp;MATCH("*"&amp;RIGHT(A2048,8)&amp;"*",Main_Tariff!A:A,0)),Raeburn_Main_Tariff[[#This Row],[PRODUCER]])</f>
        <v>Domaine Follin-Arbelet</v>
      </c>
      <c r="C2048" s="1178" t="s">
        <v>21081</v>
      </c>
      <c r="D2048" s="1178" t="s">
        <v>897</v>
      </c>
      <c r="E2048" s="1179">
        <v>2018</v>
      </c>
      <c r="F2048" s="1282" t="s">
        <v>20220</v>
      </c>
      <c r="G2048" s="1368">
        <v>34.5</v>
      </c>
      <c r="H2048" s="1178" t="s">
        <v>20221</v>
      </c>
      <c r="I2048" s="1178" t="s">
        <v>6815</v>
      </c>
      <c r="J2048" s="1178" t="s">
        <v>662</v>
      </c>
      <c r="K2048" s="1178" t="s">
        <v>267</v>
      </c>
      <c r="L2048" s="1178" t="s">
        <v>242</v>
      </c>
      <c r="M2048" s="1369" t="s">
        <v>23297</v>
      </c>
      <c r="N2048" s="1178"/>
      <c r="O2048" s="1178">
        <v>6</v>
      </c>
      <c r="P2048" s="1178">
        <v>13</v>
      </c>
    </row>
    <row r="2049" spans="1:16">
      <c r="A2049" s="1178" t="s">
        <v>21077</v>
      </c>
      <c r="B2049" s="1371" t="str">
        <f>HYPERLINK(IFERROR("#Main_Tariff!A"&amp;MATCH(Raeburn_Main_Tariff[[#This Row],[Product Code]],Main_Tariff!I:I,0),"#Main_Tariff!A"&amp;MATCH("*"&amp;RIGHT(A2049,8)&amp;"*",Main_Tariff!A:A,0)),Raeburn_Main_Tariff[[#This Row],[PRODUCER]])</f>
        <v>Domaine Follin-Arbelet</v>
      </c>
      <c r="C2049" s="1178" t="s">
        <v>21081</v>
      </c>
      <c r="D2049" s="1178" t="s">
        <v>897</v>
      </c>
      <c r="E2049" s="1179">
        <v>2017</v>
      </c>
      <c r="F2049" s="1282" t="s">
        <v>20220</v>
      </c>
      <c r="G2049" s="1368">
        <v>34.5</v>
      </c>
      <c r="H2049" s="1178" t="s">
        <v>20221</v>
      </c>
      <c r="I2049" s="1178" t="s">
        <v>6816</v>
      </c>
      <c r="J2049" s="1178" t="s">
        <v>662</v>
      </c>
      <c r="K2049" s="1178" t="s">
        <v>267</v>
      </c>
      <c r="L2049" s="1178" t="s">
        <v>242</v>
      </c>
      <c r="M2049" s="1369" t="s">
        <v>23297</v>
      </c>
      <c r="N2049" s="1178"/>
      <c r="O2049" s="1178">
        <v>6</v>
      </c>
      <c r="P2049" s="1178">
        <v>13</v>
      </c>
    </row>
    <row r="2050" spans="1:16">
      <c r="A2050" s="1178" t="s">
        <v>21077</v>
      </c>
      <c r="B2050" s="1371" t="str">
        <f>HYPERLINK(IFERROR("#Main_Tariff!A"&amp;MATCH(Raeburn_Main_Tariff[[#This Row],[Product Code]],Main_Tariff!I:I,0),"#Main_Tariff!A"&amp;MATCH("*"&amp;RIGHT(A2050,8)&amp;"*",Main_Tariff!A:A,0)),Raeburn_Main_Tariff[[#This Row],[PRODUCER]])</f>
        <v>Domaine Follin-Arbelet</v>
      </c>
      <c r="C2050" s="1178" t="s">
        <v>21081</v>
      </c>
      <c r="D2050" s="1178" t="s">
        <v>897</v>
      </c>
      <c r="E2050" s="1179">
        <v>2015</v>
      </c>
      <c r="F2050" s="1282" t="s">
        <v>20220</v>
      </c>
      <c r="G2050" s="1368">
        <v>34.5</v>
      </c>
      <c r="H2050" s="1178" t="s">
        <v>20224</v>
      </c>
      <c r="I2050" s="1178" t="s">
        <v>6817</v>
      </c>
      <c r="J2050" s="1178" t="s">
        <v>662</v>
      </c>
      <c r="K2050" s="1178" t="s">
        <v>267</v>
      </c>
      <c r="L2050" s="1178" t="s">
        <v>242</v>
      </c>
      <c r="M2050" s="1369" t="s">
        <v>23297</v>
      </c>
      <c r="N2050" s="1178"/>
      <c r="O2050" s="1178">
        <v>6</v>
      </c>
      <c r="P2050" s="1178">
        <v>13</v>
      </c>
    </row>
    <row r="2051" spans="1:16">
      <c r="A2051" s="1178" t="s">
        <v>21077</v>
      </c>
      <c r="B2051" s="1371" t="str">
        <f>HYPERLINK(IFERROR("#Main_Tariff!A"&amp;MATCH(Raeburn_Main_Tariff[[#This Row],[Product Code]],Main_Tariff!I:I,0),"#Main_Tariff!A"&amp;MATCH("*"&amp;RIGHT(A2051,8)&amp;"*",Main_Tariff!A:A,0)),Raeburn_Main_Tariff[[#This Row],[PRODUCER]])</f>
        <v>Domaine Follin-Arbelet</v>
      </c>
      <c r="C2051" s="1178" t="s">
        <v>21082</v>
      </c>
      <c r="D2051" s="1178" t="s">
        <v>897</v>
      </c>
      <c r="E2051" s="1179">
        <v>2013</v>
      </c>
      <c r="F2051" s="1282" t="s">
        <v>20220</v>
      </c>
      <c r="G2051" s="1368">
        <v>40.5</v>
      </c>
      <c r="H2051" s="1178" t="s">
        <v>20221</v>
      </c>
      <c r="I2051" s="1178" t="s">
        <v>6818</v>
      </c>
      <c r="J2051" s="1178" t="s">
        <v>662</v>
      </c>
      <c r="K2051" s="1178" t="s">
        <v>267</v>
      </c>
      <c r="L2051" s="1178" t="s">
        <v>242</v>
      </c>
      <c r="M2051" s="1369" t="s">
        <v>23297</v>
      </c>
      <c r="N2051" s="1178"/>
      <c r="O2051" s="1178">
        <v>6</v>
      </c>
      <c r="P2051" s="1178">
        <v>13.5</v>
      </c>
    </row>
    <row r="2052" spans="1:16">
      <c r="A2052" s="1178" t="s">
        <v>21077</v>
      </c>
      <c r="B2052" s="1371" t="str">
        <f>HYPERLINK(IFERROR("#Main_Tariff!A"&amp;MATCH(Raeburn_Main_Tariff[[#This Row],[Product Code]],Main_Tariff!I:I,0),"#Main_Tariff!A"&amp;MATCH("*"&amp;RIGHT(A2052,8)&amp;"*",Main_Tariff!A:A,0)),Raeburn_Main_Tariff[[#This Row],[PRODUCER]])</f>
        <v>Domaine Follin-Arbelet</v>
      </c>
      <c r="C2052" s="1178" t="s">
        <v>21082</v>
      </c>
      <c r="D2052" s="1178" t="s">
        <v>897</v>
      </c>
      <c r="E2052" s="1179">
        <v>2012</v>
      </c>
      <c r="F2052" s="1282" t="s">
        <v>20220</v>
      </c>
      <c r="G2052" s="1368">
        <v>40.5</v>
      </c>
      <c r="H2052" s="1178" t="s">
        <v>20221</v>
      </c>
      <c r="I2052" s="1178" t="s">
        <v>6819</v>
      </c>
      <c r="J2052" s="1178" t="s">
        <v>662</v>
      </c>
      <c r="K2052" s="1178" t="s">
        <v>267</v>
      </c>
      <c r="L2052" s="1178" t="s">
        <v>242</v>
      </c>
      <c r="M2052" s="1369" t="s">
        <v>23297</v>
      </c>
      <c r="N2052" s="1178"/>
      <c r="O2052" s="1178">
        <v>6</v>
      </c>
      <c r="P2052" s="1178">
        <v>13.5</v>
      </c>
    </row>
    <row r="2053" spans="1:16">
      <c r="A2053" s="1178" t="s">
        <v>21077</v>
      </c>
      <c r="B2053" s="1371" t="str">
        <f>HYPERLINK(IFERROR("#Main_Tariff!A"&amp;MATCH(Raeburn_Main_Tariff[[#This Row],[Product Code]],Main_Tariff!I:I,0),"#Main_Tariff!A"&amp;MATCH("*"&amp;RIGHT(A2053,8)&amp;"*",Main_Tariff!A:A,0)),Raeburn_Main_Tariff[[#This Row],[PRODUCER]])</f>
        <v>Domaine Follin-Arbelet</v>
      </c>
      <c r="C2053" s="1178" t="s">
        <v>21082</v>
      </c>
      <c r="D2053" s="1178" t="s">
        <v>897</v>
      </c>
      <c r="E2053" s="1179">
        <v>2011</v>
      </c>
      <c r="F2053" s="1282" t="s">
        <v>20220</v>
      </c>
      <c r="G2053" s="1368">
        <v>39.5</v>
      </c>
      <c r="H2053" s="1178" t="s">
        <v>20221</v>
      </c>
      <c r="I2053" s="1178" t="s">
        <v>6820</v>
      </c>
      <c r="J2053" s="1178" t="s">
        <v>662</v>
      </c>
      <c r="K2053" s="1178" t="s">
        <v>267</v>
      </c>
      <c r="L2053" s="1178" t="s">
        <v>242</v>
      </c>
      <c r="M2053" s="1369" t="s">
        <v>23297</v>
      </c>
      <c r="N2053" s="1178"/>
      <c r="O2053" s="1178">
        <v>6</v>
      </c>
      <c r="P2053" s="1178">
        <v>13.5</v>
      </c>
    </row>
    <row r="2054" spans="1:16">
      <c r="A2054" s="1178" t="s">
        <v>21077</v>
      </c>
      <c r="B2054" s="1371" t="str">
        <f>HYPERLINK(IFERROR("#Main_Tariff!A"&amp;MATCH(Raeburn_Main_Tariff[[#This Row],[Product Code]],Main_Tariff!I:I,0),"#Main_Tariff!A"&amp;MATCH("*"&amp;RIGHT(A2054,8)&amp;"*",Main_Tariff!A:A,0)),Raeburn_Main_Tariff[[#This Row],[PRODUCER]])</f>
        <v>Domaine Follin-Arbelet</v>
      </c>
      <c r="C2054" s="1178" t="s">
        <v>21082</v>
      </c>
      <c r="D2054" s="1178" t="s">
        <v>897</v>
      </c>
      <c r="E2054" s="1179">
        <v>2003</v>
      </c>
      <c r="F2054" s="1282" t="s">
        <v>20220</v>
      </c>
      <c r="G2054" s="1368">
        <v>44.5</v>
      </c>
      <c r="H2054" s="1178" t="s">
        <v>20221</v>
      </c>
      <c r="I2054" s="1178" t="s">
        <v>6821</v>
      </c>
      <c r="J2054" s="1178" t="s">
        <v>662</v>
      </c>
      <c r="K2054" s="1178" t="s">
        <v>267</v>
      </c>
      <c r="L2054" s="1178" t="s">
        <v>242</v>
      </c>
      <c r="M2054" s="1369" t="s">
        <v>23297</v>
      </c>
      <c r="N2054" s="1178"/>
      <c r="O2054" s="1178">
        <v>12</v>
      </c>
      <c r="P2054" s="1178">
        <v>13.5</v>
      </c>
    </row>
    <row r="2055" spans="1:16">
      <c r="A2055" s="1178" t="s">
        <v>21077</v>
      </c>
      <c r="B2055" s="1371" t="str">
        <f>HYPERLINK(IFERROR("#Main_Tariff!A"&amp;MATCH(Raeburn_Main_Tariff[[#This Row],[Product Code]],Main_Tariff!I:I,0),"#Main_Tariff!A"&amp;MATCH("*"&amp;RIGHT(A2055,8)&amp;"*",Main_Tariff!A:A,0)),Raeburn_Main_Tariff[[#This Row],[PRODUCER]])</f>
        <v>Domaine Follin-Arbelet</v>
      </c>
      <c r="C2055" s="1178" t="s">
        <v>21083</v>
      </c>
      <c r="D2055" s="1178" t="s">
        <v>897</v>
      </c>
      <c r="E2055" s="1179">
        <v>2006</v>
      </c>
      <c r="F2055" s="1282" t="s">
        <v>20220</v>
      </c>
      <c r="G2055" s="1368">
        <v>44.5</v>
      </c>
      <c r="H2055" s="1178" t="s">
        <v>20221</v>
      </c>
      <c r="I2055" s="1178" t="s">
        <v>6822</v>
      </c>
      <c r="J2055" s="1178" t="s">
        <v>662</v>
      </c>
      <c r="K2055" s="1178" t="s">
        <v>267</v>
      </c>
      <c r="L2055" s="1178" t="s">
        <v>242</v>
      </c>
      <c r="M2055" s="1369" t="s">
        <v>23297</v>
      </c>
      <c r="N2055" s="1178"/>
      <c r="O2055" s="1178">
        <v>12</v>
      </c>
      <c r="P2055" s="1178">
        <v>13.5</v>
      </c>
    </row>
    <row r="2056" spans="1:16">
      <c r="A2056" s="1178" t="s">
        <v>21077</v>
      </c>
      <c r="B2056" s="1371" t="str">
        <f>HYPERLINK(IFERROR("#Main_Tariff!A"&amp;MATCH(Raeburn_Main_Tariff[[#This Row],[Product Code]],Main_Tariff!I:I,0),"#Main_Tariff!A"&amp;MATCH("*"&amp;RIGHT(A2056,8)&amp;"*",Main_Tariff!A:A,0)),Raeburn_Main_Tariff[[#This Row],[PRODUCER]])</f>
        <v>Domaine Follin-Arbelet</v>
      </c>
      <c r="C2056" s="1178" t="s">
        <v>21083</v>
      </c>
      <c r="D2056" s="1178" t="s">
        <v>897</v>
      </c>
      <c r="E2056" s="1179">
        <v>2004</v>
      </c>
      <c r="F2056" s="1282" t="s">
        <v>20220</v>
      </c>
      <c r="G2056" s="1368">
        <v>36.5</v>
      </c>
      <c r="H2056" s="1178" t="s">
        <v>20221</v>
      </c>
      <c r="I2056" s="1178" t="s">
        <v>6823</v>
      </c>
      <c r="J2056" s="1178" t="s">
        <v>662</v>
      </c>
      <c r="K2056" s="1178" t="s">
        <v>267</v>
      </c>
      <c r="L2056" s="1178" t="s">
        <v>242</v>
      </c>
      <c r="M2056" s="1369" t="s">
        <v>23297</v>
      </c>
      <c r="N2056" s="1178"/>
      <c r="O2056" s="1178">
        <v>12</v>
      </c>
      <c r="P2056" s="1178">
        <v>13.5</v>
      </c>
    </row>
    <row r="2057" spans="1:16">
      <c r="A2057" s="1178" t="s">
        <v>21077</v>
      </c>
      <c r="B2057" s="1371" t="str">
        <f>HYPERLINK(IFERROR("#Main_Tariff!A"&amp;MATCH(Raeburn_Main_Tariff[[#This Row],[Product Code]],Main_Tariff!I:I,0),"#Main_Tariff!A"&amp;MATCH("*"&amp;RIGHT(A2057,8)&amp;"*",Main_Tariff!A:A,0)),Raeburn_Main_Tariff[[#This Row],[PRODUCER]])</f>
        <v>Domaine Follin-Arbelet</v>
      </c>
      <c r="C2057" s="1178" t="s">
        <v>21084</v>
      </c>
      <c r="D2057" s="1178" t="s">
        <v>897</v>
      </c>
      <c r="E2057" s="1179">
        <v>2022</v>
      </c>
      <c r="F2057" s="1282" t="s">
        <v>20220</v>
      </c>
      <c r="G2057" s="1368">
        <v>95</v>
      </c>
      <c r="H2057" s="1178" t="s">
        <v>20221</v>
      </c>
      <c r="I2057" s="1178" t="s">
        <v>6825</v>
      </c>
      <c r="J2057" s="1178" t="s">
        <v>662</v>
      </c>
      <c r="K2057" s="1178" t="s">
        <v>267</v>
      </c>
      <c r="L2057" s="1178" t="s">
        <v>242</v>
      </c>
      <c r="M2057" s="1369" t="s">
        <v>23296</v>
      </c>
      <c r="N2057" s="1178"/>
      <c r="O2057" s="1178">
        <v>6</v>
      </c>
      <c r="P2057" s="1178">
        <v>13.5</v>
      </c>
    </row>
    <row r="2058" spans="1:16">
      <c r="A2058" s="1178" t="s">
        <v>21077</v>
      </c>
      <c r="B2058" s="1371" t="str">
        <f>HYPERLINK(IFERROR("#Main_Tariff!A"&amp;MATCH(Raeburn_Main_Tariff[[#This Row],[Product Code]],Main_Tariff!I:I,0),"#Main_Tariff!A"&amp;MATCH("*"&amp;RIGHT(A2058,8)&amp;"*",Main_Tariff!A:A,0)),Raeburn_Main_Tariff[[#This Row],[PRODUCER]])</f>
        <v>Domaine Follin-Arbelet</v>
      </c>
      <c r="C2058" s="1178" t="s">
        <v>21084</v>
      </c>
      <c r="D2058" s="1178" t="s">
        <v>897</v>
      </c>
      <c r="E2058" s="1179">
        <v>2021</v>
      </c>
      <c r="F2058" s="1282" t="s">
        <v>20220</v>
      </c>
      <c r="G2058" s="1368">
        <v>88.75</v>
      </c>
      <c r="H2058" s="1178" t="s">
        <v>20221</v>
      </c>
      <c r="I2058" s="1178" t="s">
        <v>6826</v>
      </c>
      <c r="J2058" s="1178" t="s">
        <v>662</v>
      </c>
      <c r="K2058" s="1178" t="s">
        <v>267</v>
      </c>
      <c r="L2058" s="1178" t="s">
        <v>242</v>
      </c>
      <c r="M2058" s="1369" t="s">
        <v>23296</v>
      </c>
      <c r="N2058" s="1178"/>
      <c r="O2058" s="1178">
        <v>6</v>
      </c>
      <c r="P2058" s="1178">
        <v>13.5</v>
      </c>
    </row>
    <row r="2059" spans="1:16">
      <c r="A2059" s="1178" t="s">
        <v>21077</v>
      </c>
      <c r="B2059" s="1371" t="str">
        <f>HYPERLINK(IFERROR("#Main_Tariff!A"&amp;MATCH(Raeburn_Main_Tariff[[#This Row],[Product Code]],Main_Tariff!I:I,0),"#Main_Tariff!A"&amp;MATCH("*"&amp;RIGHT(A2059,8)&amp;"*",Main_Tariff!A:A,0)),Raeburn_Main_Tariff[[#This Row],[PRODUCER]])</f>
        <v>Domaine Follin-Arbelet</v>
      </c>
      <c r="C2059" s="1178" t="s">
        <v>21084</v>
      </c>
      <c r="D2059" s="1178" t="s">
        <v>897</v>
      </c>
      <c r="E2059" s="1179">
        <v>2020</v>
      </c>
      <c r="F2059" s="1282" t="s">
        <v>20220</v>
      </c>
      <c r="G2059" s="1368">
        <v>88.75</v>
      </c>
      <c r="H2059" s="1178" t="s">
        <v>20221</v>
      </c>
      <c r="I2059" s="1178" t="s">
        <v>6827</v>
      </c>
      <c r="J2059" s="1178" t="s">
        <v>662</v>
      </c>
      <c r="K2059" s="1178" t="s">
        <v>267</v>
      </c>
      <c r="L2059" s="1178" t="s">
        <v>242</v>
      </c>
      <c r="M2059" s="1369" t="s">
        <v>23296</v>
      </c>
      <c r="N2059" s="1178"/>
      <c r="O2059" s="1178">
        <v>6</v>
      </c>
      <c r="P2059" s="1178">
        <v>14</v>
      </c>
    </row>
    <row r="2060" spans="1:16">
      <c r="A2060" s="1178" t="s">
        <v>21077</v>
      </c>
      <c r="B2060" s="1371" t="str">
        <f>HYPERLINK(IFERROR("#Main_Tariff!A"&amp;MATCH(Raeburn_Main_Tariff[[#This Row],[Product Code]],Main_Tariff!I:I,0),"#Main_Tariff!A"&amp;MATCH("*"&amp;RIGHT(A2060,8)&amp;"*",Main_Tariff!A:A,0)),Raeburn_Main_Tariff[[#This Row],[PRODUCER]])</f>
        <v>Domaine Follin-Arbelet</v>
      </c>
      <c r="C2060" s="1178" t="s">
        <v>21084</v>
      </c>
      <c r="D2060" s="1178" t="s">
        <v>897</v>
      </c>
      <c r="E2060" s="1179">
        <v>2019</v>
      </c>
      <c r="F2060" s="1282" t="s">
        <v>20220</v>
      </c>
      <c r="G2060" s="1368">
        <v>88.5</v>
      </c>
      <c r="H2060" s="1178" t="s">
        <v>20221</v>
      </c>
      <c r="I2060" s="1178" t="s">
        <v>6828</v>
      </c>
      <c r="J2060" s="1178" t="s">
        <v>662</v>
      </c>
      <c r="K2060" s="1178" t="s">
        <v>267</v>
      </c>
      <c r="L2060" s="1178" t="s">
        <v>242</v>
      </c>
      <c r="M2060" s="1369" t="s">
        <v>23296</v>
      </c>
      <c r="N2060" s="1178"/>
      <c r="O2060" s="1178">
        <v>6</v>
      </c>
      <c r="P2060" s="1178">
        <v>13.5</v>
      </c>
    </row>
    <row r="2061" spans="1:16">
      <c r="A2061" s="1178" t="s">
        <v>21077</v>
      </c>
      <c r="B2061" s="1371" t="str">
        <f>HYPERLINK(IFERROR("#Main_Tariff!A"&amp;MATCH(Raeburn_Main_Tariff[[#This Row],[Product Code]],Main_Tariff!I:I,0),"#Main_Tariff!A"&amp;MATCH("*"&amp;RIGHT(A2061,8)&amp;"*",Main_Tariff!A:A,0)),Raeburn_Main_Tariff[[#This Row],[PRODUCER]])</f>
        <v>Domaine Follin-Arbelet</v>
      </c>
      <c r="C2061" s="1178" t="s">
        <v>21084</v>
      </c>
      <c r="D2061" s="1178" t="s">
        <v>897</v>
      </c>
      <c r="E2061" s="1179">
        <v>2018</v>
      </c>
      <c r="F2061" s="1282" t="s">
        <v>20220</v>
      </c>
      <c r="G2061" s="1368">
        <v>78.5</v>
      </c>
      <c r="H2061" s="1178" t="s">
        <v>20221</v>
      </c>
      <c r="I2061" s="1178" t="s">
        <v>6829</v>
      </c>
      <c r="J2061" s="1178" t="s">
        <v>662</v>
      </c>
      <c r="K2061" s="1178" t="s">
        <v>267</v>
      </c>
      <c r="L2061" s="1178" t="s">
        <v>242</v>
      </c>
      <c r="M2061" s="1369" t="s">
        <v>23296</v>
      </c>
      <c r="N2061" s="1178"/>
      <c r="O2061" s="1178">
        <v>6</v>
      </c>
      <c r="P2061" s="1178">
        <v>13.5</v>
      </c>
    </row>
    <row r="2062" spans="1:16">
      <c r="A2062" s="1178" t="s">
        <v>21077</v>
      </c>
      <c r="B2062" s="1371" t="str">
        <f>HYPERLINK(IFERROR("#Main_Tariff!A"&amp;MATCH(Raeburn_Main_Tariff[[#This Row],[Product Code]],Main_Tariff!I:I,0),"#Main_Tariff!A"&amp;MATCH("*"&amp;RIGHT(A2062,8)&amp;"*",Main_Tariff!A:A,0)),Raeburn_Main_Tariff[[#This Row],[PRODUCER]])</f>
        <v>Domaine Follin-Arbelet</v>
      </c>
      <c r="C2062" s="1178" t="s">
        <v>21084</v>
      </c>
      <c r="D2062" s="1178" t="s">
        <v>897</v>
      </c>
      <c r="E2062" s="1179">
        <v>2017</v>
      </c>
      <c r="F2062" s="1282" t="s">
        <v>20220</v>
      </c>
      <c r="G2062" s="1368">
        <v>76.5</v>
      </c>
      <c r="H2062" s="1178" t="s">
        <v>20221</v>
      </c>
      <c r="I2062" s="1178" t="s">
        <v>6830</v>
      </c>
      <c r="J2062" s="1178" t="s">
        <v>662</v>
      </c>
      <c r="K2062" s="1178" t="s">
        <v>267</v>
      </c>
      <c r="L2062" s="1178" t="s">
        <v>242</v>
      </c>
      <c r="M2062" s="1369" t="s">
        <v>23296</v>
      </c>
      <c r="N2062" s="1178"/>
      <c r="O2062" s="1178">
        <v>6</v>
      </c>
      <c r="P2062" s="1178">
        <v>13.5</v>
      </c>
    </row>
    <row r="2063" spans="1:16">
      <c r="A2063" s="1178" t="s">
        <v>21077</v>
      </c>
      <c r="B2063" s="1371" t="str">
        <f>HYPERLINK(IFERROR("#Main_Tariff!A"&amp;MATCH(Raeburn_Main_Tariff[[#This Row],[Product Code]],Main_Tariff!I:I,0),"#Main_Tariff!A"&amp;MATCH("*"&amp;RIGHT(A2063,8)&amp;"*",Main_Tariff!A:A,0)),Raeburn_Main_Tariff[[#This Row],[PRODUCER]])</f>
        <v>Domaine Follin-Arbelet</v>
      </c>
      <c r="C2063" s="1178" t="s">
        <v>21084</v>
      </c>
      <c r="D2063" s="1178" t="s">
        <v>897</v>
      </c>
      <c r="E2063" s="1179">
        <v>2016</v>
      </c>
      <c r="F2063" s="1282" t="s">
        <v>20220</v>
      </c>
      <c r="G2063" s="1368">
        <v>76.5</v>
      </c>
      <c r="H2063" s="1178" t="s">
        <v>20221</v>
      </c>
      <c r="I2063" s="1178" t="s">
        <v>6831</v>
      </c>
      <c r="J2063" s="1178" t="s">
        <v>662</v>
      </c>
      <c r="K2063" s="1178" t="s">
        <v>267</v>
      </c>
      <c r="L2063" s="1178" t="s">
        <v>242</v>
      </c>
      <c r="M2063" s="1369" t="s">
        <v>23296</v>
      </c>
      <c r="N2063" s="1178"/>
      <c r="O2063" s="1178">
        <v>6</v>
      </c>
      <c r="P2063" s="1178">
        <v>13.5</v>
      </c>
    </row>
    <row r="2064" spans="1:16">
      <c r="A2064" s="1178" t="s">
        <v>21077</v>
      </c>
      <c r="B2064" s="1371" t="str">
        <f>HYPERLINK(IFERROR("#Main_Tariff!A"&amp;MATCH(Raeburn_Main_Tariff[[#This Row],[Product Code]],Main_Tariff!I:I,0),"#Main_Tariff!A"&amp;MATCH("*"&amp;RIGHT(A2064,8)&amp;"*",Main_Tariff!A:A,0)),Raeburn_Main_Tariff[[#This Row],[PRODUCER]])</f>
        <v>Domaine Follin-Arbelet</v>
      </c>
      <c r="C2064" s="1178" t="s">
        <v>21084</v>
      </c>
      <c r="D2064" s="1178" t="s">
        <v>897</v>
      </c>
      <c r="E2064" s="1179">
        <v>2015</v>
      </c>
      <c r="F2064" s="1282" t="s">
        <v>20220</v>
      </c>
      <c r="G2064" s="1368">
        <v>79.5</v>
      </c>
      <c r="H2064" s="1178" t="s">
        <v>20221</v>
      </c>
      <c r="I2064" s="1178" t="s">
        <v>6832</v>
      </c>
      <c r="J2064" s="1178" t="s">
        <v>662</v>
      </c>
      <c r="K2064" s="1178" t="s">
        <v>267</v>
      </c>
      <c r="L2064" s="1178" t="s">
        <v>242</v>
      </c>
      <c r="M2064" s="1369" t="s">
        <v>23296</v>
      </c>
      <c r="N2064" s="1178"/>
      <c r="O2064" s="1178">
        <v>6</v>
      </c>
      <c r="P2064" s="1178">
        <v>13.5</v>
      </c>
    </row>
    <row r="2065" spans="1:16">
      <c r="A2065" s="1178" t="s">
        <v>21077</v>
      </c>
      <c r="B2065" s="1371" t="str">
        <f>HYPERLINK(IFERROR("#Main_Tariff!A"&amp;MATCH(Raeburn_Main_Tariff[[#This Row],[Product Code]],Main_Tariff!I:I,0),"#Main_Tariff!A"&amp;MATCH("*"&amp;RIGHT(A2065,8)&amp;"*",Main_Tariff!A:A,0)),Raeburn_Main_Tariff[[#This Row],[PRODUCER]])</f>
        <v>Domaine Follin-Arbelet</v>
      </c>
      <c r="C2065" s="1178" t="s">
        <v>21084</v>
      </c>
      <c r="D2065" s="1178" t="s">
        <v>897</v>
      </c>
      <c r="E2065" s="1179">
        <v>2014</v>
      </c>
      <c r="F2065" s="1282" t="s">
        <v>20220</v>
      </c>
      <c r="G2065" s="1368">
        <v>76.5</v>
      </c>
      <c r="H2065" s="1178" t="s">
        <v>20221</v>
      </c>
      <c r="I2065" s="1178" t="s">
        <v>6833</v>
      </c>
      <c r="J2065" s="1178" t="s">
        <v>662</v>
      </c>
      <c r="K2065" s="1178" t="s">
        <v>267</v>
      </c>
      <c r="L2065" s="1178" t="s">
        <v>242</v>
      </c>
      <c r="M2065" s="1369" t="s">
        <v>23296</v>
      </c>
      <c r="N2065" s="1178"/>
      <c r="O2065" s="1178">
        <v>6</v>
      </c>
      <c r="P2065" s="1178">
        <v>13.5</v>
      </c>
    </row>
    <row r="2066" spans="1:16">
      <c r="A2066" s="1178" t="s">
        <v>21077</v>
      </c>
      <c r="B2066" s="1371" t="str">
        <f>HYPERLINK(IFERROR("#Main_Tariff!A"&amp;MATCH(Raeburn_Main_Tariff[[#This Row],[Product Code]],Main_Tariff!I:I,0),"#Main_Tariff!A"&amp;MATCH("*"&amp;RIGHT(A2066,8)&amp;"*",Main_Tariff!A:A,0)),Raeburn_Main_Tariff[[#This Row],[PRODUCER]])</f>
        <v>Domaine Follin-Arbelet</v>
      </c>
      <c r="C2066" s="1178" t="s">
        <v>21084</v>
      </c>
      <c r="D2066" s="1178" t="s">
        <v>897</v>
      </c>
      <c r="E2066" s="1179">
        <v>2013</v>
      </c>
      <c r="F2066" s="1282" t="s">
        <v>20220</v>
      </c>
      <c r="G2066" s="1368">
        <v>76.5</v>
      </c>
      <c r="H2066" s="1178" t="s">
        <v>20221</v>
      </c>
      <c r="I2066" s="1178" t="s">
        <v>6834</v>
      </c>
      <c r="J2066" s="1178" t="s">
        <v>662</v>
      </c>
      <c r="K2066" s="1178" t="s">
        <v>267</v>
      </c>
      <c r="L2066" s="1178" t="s">
        <v>242</v>
      </c>
      <c r="M2066" s="1369" t="s">
        <v>23296</v>
      </c>
      <c r="N2066" s="1178"/>
      <c r="O2066" s="1178">
        <v>6</v>
      </c>
      <c r="P2066" s="1178">
        <v>13.5</v>
      </c>
    </row>
    <row r="2067" spans="1:16">
      <c r="A2067" s="1178" t="s">
        <v>21077</v>
      </c>
      <c r="B2067" s="1371" t="str">
        <f>HYPERLINK(IFERROR("#Main_Tariff!A"&amp;MATCH(Raeburn_Main_Tariff[[#This Row],[Product Code]],Main_Tariff!I:I,0),"#Main_Tariff!A"&amp;MATCH("*"&amp;RIGHT(A2067,8)&amp;"*",Main_Tariff!A:A,0)),Raeburn_Main_Tariff[[#This Row],[PRODUCER]])</f>
        <v>Domaine Follin-Arbelet</v>
      </c>
      <c r="C2067" s="1178" t="s">
        <v>21084</v>
      </c>
      <c r="D2067" s="1178" t="s">
        <v>897</v>
      </c>
      <c r="E2067" s="1179">
        <v>2011</v>
      </c>
      <c r="F2067" s="1282" t="s">
        <v>20220</v>
      </c>
      <c r="G2067" s="1368">
        <v>69.5</v>
      </c>
      <c r="H2067" s="1178" t="s">
        <v>20221</v>
      </c>
      <c r="I2067" s="1178" t="s">
        <v>6835</v>
      </c>
      <c r="J2067" s="1178" t="s">
        <v>662</v>
      </c>
      <c r="K2067" s="1178" t="s">
        <v>267</v>
      </c>
      <c r="L2067" s="1178" t="s">
        <v>242</v>
      </c>
      <c r="M2067" s="1369" t="s">
        <v>23296</v>
      </c>
      <c r="N2067" s="1178"/>
      <c r="O2067" s="1178">
        <v>6</v>
      </c>
      <c r="P2067" s="1178">
        <v>13.5</v>
      </c>
    </row>
    <row r="2068" spans="1:16">
      <c r="A2068" s="1178" t="s">
        <v>21077</v>
      </c>
      <c r="B2068" s="1371" t="str">
        <f>HYPERLINK(IFERROR("#Main_Tariff!A"&amp;MATCH(Raeburn_Main_Tariff[[#This Row],[Product Code]],Main_Tariff!I:I,0),"#Main_Tariff!A"&amp;MATCH("*"&amp;RIGHT(A2068,8)&amp;"*",Main_Tariff!A:A,0)),Raeburn_Main_Tariff[[#This Row],[PRODUCER]])</f>
        <v>Domaine Follin-Arbelet</v>
      </c>
      <c r="C2068" s="1178" t="s">
        <v>21084</v>
      </c>
      <c r="D2068" s="1178" t="s">
        <v>897</v>
      </c>
      <c r="E2068" s="1179">
        <v>2009</v>
      </c>
      <c r="F2068" s="1282" t="s">
        <v>20220</v>
      </c>
      <c r="G2068" s="1368">
        <v>76.5</v>
      </c>
      <c r="H2068" s="1178" t="s">
        <v>20224</v>
      </c>
      <c r="I2068" s="1178" t="s">
        <v>6836</v>
      </c>
      <c r="J2068" s="1178" t="s">
        <v>662</v>
      </c>
      <c r="K2068" s="1178" t="s">
        <v>267</v>
      </c>
      <c r="L2068" s="1178" t="s">
        <v>242</v>
      </c>
      <c r="M2068" s="1369" t="s">
        <v>23296</v>
      </c>
      <c r="N2068" s="1178"/>
      <c r="O2068" s="1178">
        <v>6</v>
      </c>
      <c r="P2068" s="1178">
        <v>13.5</v>
      </c>
    </row>
    <row r="2069" spans="1:16">
      <c r="A2069" s="1178" t="s">
        <v>21077</v>
      </c>
      <c r="B2069" s="1371" t="str">
        <f>HYPERLINK(IFERROR("#Main_Tariff!A"&amp;MATCH(Raeburn_Main_Tariff[[#This Row],[Product Code]],Main_Tariff!I:I,0),"#Main_Tariff!A"&amp;MATCH("*"&amp;RIGHT(A2069,8)&amp;"*",Main_Tariff!A:A,0)),Raeburn_Main_Tariff[[#This Row],[PRODUCER]])</f>
        <v>Domaine Follin-Arbelet</v>
      </c>
      <c r="C2069" s="1178" t="s">
        <v>21084</v>
      </c>
      <c r="D2069" s="1178" t="s">
        <v>897</v>
      </c>
      <c r="E2069" s="1179">
        <v>2008</v>
      </c>
      <c r="F2069" s="1282" t="s">
        <v>20220</v>
      </c>
      <c r="G2069" s="1368">
        <v>76.5</v>
      </c>
      <c r="H2069" s="1178" t="s">
        <v>20221</v>
      </c>
      <c r="I2069" s="1178" t="s">
        <v>6837</v>
      </c>
      <c r="J2069" s="1178" t="s">
        <v>662</v>
      </c>
      <c r="K2069" s="1178" t="s">
        <v>267</v>
      </c>
      <c r="L2069" s="1178" t="s">
        <v>242</v>
      </c>
      <c r="M2069" s="1369" t="s">
        <v>23296</v>
      </c>
      <c r="N2069" s="1178"/>
      <c r="O2069" s="1178">
        <v>6</v>
      </c>
      <c r="P2069" s="1178">
        <v>12.5</v>
      </c>
    </row>
    <row r="2070" spans="1:16">
      <c r="A2070" s="1178" t="s">
        <v>21077</v>
      </c>
      <c r="B2070" s="1371" t="str">
        <f>HYPERLINK(IFERROR("#Main_Tariff!A"&amp;MATCH(Raeburn_Main_Tariff[[#This Row],[Product Code]],Main_Tariff!I:I,0),"#Main_Tariff!A"&amp;MATCH("*"&amp;RIGHT(A2070,8)&amp;"*",Main_Tariff!A:A,0)),Raeburn_Main_Tariff[[#This Row],[PRODUCER]])</f>
        <v>Domaine Follin-Arbelet</v>
      </c>
      <c r="C2070" s="1178" t="s">
        <v>21084</v>
      </c>
      <c r="D2070" s="1178" t="s">
        <v>897</v>
      </c>
      <c r="E2070" s="1179">
        <v>2004</v>
      </c>
      <c r="F2070" s="1282" t="s">
        <v>20220</v>
      </c>
      <c r="G2070" s="1368">
        <v>59.5</v>
      </c>
      <c r="H2070" s="1178" t="s">
        <v>20221</v>
      </c>
      <c r="I2070" s="1178" t="s">
        <v>6838</v>
      </c>
      <c r="J2070" s="1178" t="s">
        <v>662</v>
      </c>
      <c r="K2070" s="1178" t="s">
        <v>267</v>
      </c>
      <c r="L2070" s="1178" t="s">
        <v>242</v>
      </c>
      <c r="M2070" s="1369" t="s">
        <v>23296</v>
      </c>
      <c r="N2070" s="1178"/>
      <c r="O2070" s="1178">
        <v>12</v>
      </c>
      <c r="P2070" s="1178">
        <v>13.5</v>
      </c>
    </row>
    <row r="2071" spans="1:16">
      <c r="A2071" s="1178" t="s">
        <v>21077</v>
      </c>
      <c r="B2071" s="1371" t="str">
        <f>HYPERLINK(IFERROR("#Main_Tariff!A"&amp;MATCH(Raeburn_Main_Tariff[[#This Row],[Product Code]],Main_Tariff!I:I,0),"#Main_Tariff!A"&amp;MATCH("*"&amp;RIGHT(A2071,8)&amp;"*",Main_Tariff!A:A,0)),Raeburn_Main_Tariff[[#This Row],[PRODUCER]])</f>
        <v>Domaine Follin-Arbelet</v>
      </c>
      <c r="C2071" s="1178" t="s">
        <v>21085</v>
      </c>
      <c r="D2071" s="1178" t="s">
        <v>897</v>
      </c>
      <c r="E2071" s="1179">
        <v>2020</v>
      </c>
      <c r="F2071" s="1282" t="s">
        <v>20220</v>
      </c>
      <c r="G2071" s="1368">
        <v>88.75</v>
      </c>
      <c r="H2071" s="1178" t="s">
        <v>20221</v>
      </c>
      <c r="I2071" s="1178" t="s">
        <v>6839</v>
      </c>
      <c r="J2071" s="1178" t="s">
        <v>662</v>
      </c>
      <c r="K2071" s="1178" t="s">
        <v>267</v>
      </c>
      <c r="L2071" s="1178" t="s">
        <v>242</v>
      </c>
      <c r="M2071" s="1369" t="s">
        <v>23296</v>
      </c>
      <c r="N2071" s="1178"/>
      <c r="O2071" s="1178">
        <v>6</v>
      </c>
      <c r="P2071" s="1178">
        <v>14.5</v>
      </c>
    </row>
    <row r="2072" spans="1:16">
      <c r="A2072" s="1178" t="s">
        <v>21077</v>
      </c>
      <c r="B2072" s="1371" t="str">
        <f>HYPERLINK(IFERROR("#Main_Tariff!A"&amp;MATCH(Raeburn_Main_Tariff[[#This Row],[Product Code]],Main_Tariff!I:I,0),"#Main_Tariff!A"&amp;MATCH("*"&amp;RIGHT(A2072,8)&amp;"*",Main_Tariff!A:A,0)),Raeburn_Main_Tariff[[#This Row],[PRODUCER]])</f>
        <v>Domaine Follin-Arbelet</v>
      </c>
      <c r="C2072" s="1178" t="s">
        <v>21085</v>
      </c>
      <c r="D2072" s="1178" t="s">
        <v>897</v>
      </c>
      <c r="E2072" s="1179">
        <v>2018</v>
      </c>
      <c r="F2072" s="1282" t="s">
        <v>20220</v>
      </c>
      <c r="G2072" s="1368">
        <v>78.5</v>
      </c>
      <c r="H2072" s="1178" t="s">
        <v>20224</v>
      </c>
      <c r="I2072" s="1178" t="s">
        <v>6840</v>
      </c>
      <c r="J2072" s="1178" t="s">
        <v>662</v>
      </c>
      <c r="K2072" s="1178" t="s">
        <v>267</v>
      </c>
      <c r="L2072" s="1178" t="s">
        <v>242</v>
      </c>
      <c r="M2072" s="1369" t="s">
        <v>23296</v>
      </c>
      <c r="N2072" s="1178"/>
      <c r="O2072" s="1178">
        <v>6</v>
      </c>
      <c r="P2072" s="1178">
        <v>13.5</v>
      </c>
    </row>
    <row r="2073" spans="1:16">
      <c r="A2073" s="1178" t="s">
        <v>21077</v>
      </c>
      <c r="B2073" s="1371" t="str">
        <f>HYPERLINK(IFERROR("#Main_Tariff!A"&amp;MATCH(Raeburn_Main_Tariff[[#This Row],[Product Code]],Main_Tariff!I:I,0),"#Main_Tariff!A"&amp;MATCH("*"&amp;RIGHT(A2073,8)&amp;"*",Main_Tariff!A:A,0)),Raeburn_Main_Tariff[[#This Row],[PRODUCER]])</f>
        <v>Domaine Follin-Arbelet</v>
      </c>
      <c r="C2073" s="1178" t="s">
        <v>21085</v>
      </c>
      <c r="D2073" s="1178" t="s">
        <v>897</v>
      </c>
      <c r="E2073" s="1179">
        <v>2017</v>
      </c>
      <c r="F2073" s="1282" t="s">
        <v>20220</v>
      </c>
      <c r="G2073" s="1368">
        <v>76.5</v>
      </c>
      <c r="H2073" s="1178" t="s">
        <v>20224</v>
      </c>
      <c r="I2073" s="1178" t="s">
        <v>6841</v>
      </c>
      <c r="J2073" s="1178" t="s">
        <v>662</v>
      </c>
      <c r="K2073" s="1178" t="s">
        <v>267</v>
      </c>
      <c r="L2073" s="1178" t="s">
        <v>242</v>
      </c>
      <c r="M2073" s="1369" t="s">
        <v>23296</v>
      </c>
      <c r="N2073" s="1178"/>
      <c r="O2073" s="1178">
        <v>6</v>
      </c>
      <c r="P2073" s="1178">
        <v>13.5</v>
      </c>
    </row>
    <row r="2074" spans="1:16">
      <c r="A2074" s="1178" t="s">
        <v>21077</v>
      </c>
      <c r="B2074" s="1371" t="str">
        <f>HYPERLINK(IFERROR("#Main_Tariff!A"&amp;MATCH(Raeburn_Main_Tariff[[#This Row],[Product Code]],Main_Tariff!I:I,0),"#Main_Tariff!A"&amp;MATCH("*"&amp;RIGHT(A2074,8)&amp;"*",Main_Tariff!A:A,0)),Raeburn_Main_Tariff[[#This Row],[PRODUCER]])</f>
        <v>Domaine Follin-Arbelet</v>
      </c>
      <c r="C2074" s="1178" t="s">
        <v>21085</v>
      </c>
      <c r="D2074" s="1178" t="s">
        <v>897</v>
      </c>
      <c r="E2074" s="1179">
        <v>2016</v>
      </c>
      <c r="F2074" s="1282" t="s">
        <v>20220</v>
      </c>
      <c r="G2074" s="1368">
        <v>76.5</v>
      </c>
      <c r="H2074" s="1178" t="s">
        <v>20224</v>
      </c>
      <c r="I2074" s="1178" t="s">
        <v>6842</v>
      </c>
      <c r="J2074" s="1178" t="s">
        <v>662</v>
      </c>
      <c r="K2074" s="1178" t="s">
        <v>267</v>
      </c>
      <c r="L2074" s="1178" t="s">
        <v>242</v>
      </c>
      <c r="M2074" s="1369" t="s">
        <v>23296</v>
      </c>
      <c r="N2074" s="1178"/>
      <c r="O2074" s="1178">
        <v>6</v>
      </c>
      <c r="P2074" s="1178">
        <v>13.5</v>
      </c>
    </row>
    <row r="2075" spans="1:16">
      <c r="A2075" s="1178" t="s">
        <v>21077</v>
      </c>
      <c r="B2075" s="1371" t="str">
        <f>HYPERLINK(IFERROR("#Main_Tariff!A"&amp;MATCH(Raeburn_Main_Tariff[[#This Row],[Product Code]],Main_Tariff!I:I,0),"#Main_Tariff!A"&amp;MATCH("*"&amp;RIGHT(A2075,8)&amp;"*",Main_Tariff!A:A,0)),Raeburn_Main_Tariff[[#This Row],[PRODUCER]])</f>
        <v>Domaine Follin-Arbelet</v>
      </c>
      <c r="C2075" s="1178" t="s">
        <v>21085</v>
      </c>
      <c r="D2075" s="1178" t="s">
        <v>897</v>
      </c>
      <c r="E2075" s="1179">
        <v>2014</v>
      </c>
      <c r="F2075" s="1282" t="s">
        <v>20220</v>
      </c>
      <c r="G2075" s="1368">
        <v>59.5</v>
      </c>
      <c r="H2075" s="1178" t="s">
        <v>20221</v>
      </c>
      <c r="I2075" s="1178" t="s">
        <v>6843</v>
      </c>
      <c r="J2075" s="1178" t="s">
        <v>662</v>
      </c>
      <c r="K2075" s="1178" t="s">
        <v>267</v>
      </c>
      <c r="L2075" s="1178" t="s">
        <v>242</v>
      </c>
      <c r="M2075" s="1369" t="s">
        <v>23296</v>
      </c>
      <c r="N2075" s="1178"/>
      <c r="O2075" s="1178">
        <v>6</v>
      </c>
      <c r="P2075" s="1178">
        <v>13.5</v>
      </c>
    </row>
    <row r="2076" spans="1:16">
      <c r="A2076" s="1178" t="s">
        <v>21077</v>
      </c>
      <c r="B2076" s="1371" t="str">
        <f>HYPERLINK(IFERROR("#Main_Tariff!A"&amp;MATCH(Raeburn_Main_Tariff[[#This Row],[Product Code]],Main_Tariff!I:I,0),"#Main_Tariff!A"&amp;MATCH("*"&amp;RIGHT(A2076,8)&amp;"*",Main_Tariff!A:A,0)),Raeburn_Main_Tariff[[#This Row],[PRODUCER]])</f>
        <v>Domaine Follin-Arbelet</v>
      </c>
      <c r="C2076" s="1178" t="s">
        <v>21085</v>
      </c>
      <c r="D2076" s="1178" t="s">
        <v>897</v>
      </c>
      <c r="E2076" s="1179">
        <v>2013</v>
      </c>
      <c r="F2076" s="1282" t="s">
        <v>20220</v>
      </c>
      <c r="G2076" s="1368">
        <v>59.5</v>
      </c>
      <c r="H2076" s="1178" t="s">
        <v>20221</v>
      </c>
      <c r="I2076" s="1178" t="s">
        <v>6844</v>
      </c>
      <c r="J2076" s="1178" t="s">
        <v>662</v>
      </c>
      <c r="K2076" s="1178" t="s">
        <v>267</v>
      </c>
      <c r="L2076" s="1178" t="s">
        <v>242</v>
      </c>
      <c r="M2076" s="1369" t="s">
        <v>23296</v>
      </c>
      <c r="N2076" s="1178"/>
      <c r="O2076" s="1178">
        <v>6</v>
      </c>
      <c r="P2076" s="1178">
        <v>13.5</v>
      </c>
    </row>
    <row r="2077" spans="1:16">
      <c r="A2077" s="1178" t="s">
        <v>21077</v>
      </c>
      <c r="B2077" s="1371" t="str">
        <f>HYPERLINK(IFERROR("#Main_Tariff!A"&amp;MATCH(Raeburn_Main_Tariff[[#This Row],[Product Code]],Main_Tariff!I:I,0),"#Main_Tariff!A"&amp;MATCH("*"&amp;RIGHT(A2077,8)&amp;"*",Main_Tariff!A:A,0)),Raeburn_Main_Tariff[[#This Row],[PRODUCER]])</f>
        <v>Domaine Follin-Arbelet</v>
      </c>
      <c r="C2077" s="1178" t="s">
        <v>21085</v>
      </c>
      <c r="D2077" s="1178" t="s">
        <v>897</v>
      </c>
      <c r="E2077" s="1179">
        <v>2008</v>
      </c>
      <c r="F2077" s="1282" t="s">
        <v>20220</v>
      </c>
      <c r="G2077" s="1368">
        <v>69.5</v>
      </c>
      <c r="H2077" s="1178" t="s">
        <v>20221</v>
      </c>
      <c r="I2077" s="1178" t="s">
        <v>6845</v>
      </c>
      <c r="J2077" s="1178" t="s">
        <v>662</v>
      </c>
      <c r="K2077" s="1178" t="s">
        <v>267</v>
      </c>
      <c r="L2077" s="1178" t="s">
        <v>242</v>
      </c>
      <c r="M2077" s="1369" t="s">
        <v>23296</v>
      </c>
      <c r="N2077" s="1178"/>
      <c r="O2077" s="1178">
        <v>6</v>
      </c>
      <c r="P2077" s="1178">
        <v>12.5</v>
      </c>
    </row>
    <row r="2078" spans="1:16">
      <c r="A2078" s="1178" t="s">
        <v>21077</v>
      </c>
      <c r="B2078" s="1371" t="str">
        <f>HYPERLINK(IFERROR("#Main_Tariff!A"&amp;MATCH(Raeburn_Main_Tariff[[#This Row],[Product Code]],Main_Tariff!I:I,0),"#Main_Tariff!A"&amp;MATCH("*"&amp;RIGHT(A2078,8)&amp;"*",Main_Tariff!A:A,0)),Raeburn_Main_Tariff[[#This Row],[PRODUCER]])</f>
        <v>Domaine Follin-Arbelet</v>
      </c>
      <c r="C2078" s="1178" t="s">
        <v>21085</v>
      </c>
      <c r="D2078" s="1178" t="s">
        <v>897</v>
      </c>
      <c r="E2078" s="1179">
        <v>2007</v>
      </c>
      <c r="F2078" s="1282" t="s">
        <v>20220</v>
      </c>
      <c r="G2078" s="1368">
        <v>66.5</v>
      </c>
      <c r="H2078" s="1178" t="s">
        <v>20221</v>
      </c>
      <c r="I2078" s="1178" t="s">
        <v>6846</v>
      </c>
      <c r="J2078" s="1178" t="s">
        <v>662</v>
      </c>
      <c r="K2078" s="1178" t="s">
        <v>267</v>
      </c>
      <c r="L2078" s="1178" t="s">
        <v>242</v>
      </c>
      <c r="M2078" s="1369" t="s">
        <v>23296</v>
      </c>
      <c r="N2078" s="1178"/>
      <c r="O2078" s="1178">
        <v>6</v>
      </c>
      <c r="P2078" s="1178">
        <v>13.5</v>
      </c>
    </row>
    <row r="2079" spans="1:16">
      <c r="A2079" s="1178" t="s">
        <v>21077</v>
      </c>
      <c r="B2079" s="1371" t="str">
        <f>HYPERLINK(IFERROR("#Main_Tariff!A"&amp;MATCH(Raeburn_Main_Tariff[[#This Row],[Product Code]],Main_Tariff!I:I,0),"#Main_Tariff!A"&amp;MATCH("*"&amp;RIGHT(A2079,8)&amp;"*",Main_Tariff!A:A,0)),Raeburn_Main_Tariff[[#This Row],[PRODUCER]])</f>
        <v>Domaine Follin-Arbelet</v>
      </c>
      <c r="C2079" s="1178" t="s">
        <v>21086</v>
      </c>
      <c r="D2079" s="1178" t="s">
        <v>897</v>
      </c>
      <c r="E2079" s="1179">
        <v>2022</v>
      </c>
      <c r="F2079" s="1282" t="s">
        <v>20220</v>
      </c>
      <c r="G2079" s="1368" t="s">
        <v>5258</v>
      </c>
      <c r="H2079" s="1178" t="s">
        <v>20224</v>
      </c>
      <c r="I2079" s="1178" t="s">
        <v>6848</v>
      </c>
      <c r="J2079" s="1178" t="s">
        <v>662</v>
      </c>
      <c r="K2079" s="1178" t="s">
        <v>267</v>
      </c>
      <c r="L2079" s="1178" t="s">
        <v>242</v>
      </c>
      <c r="M2079" s="1369" t="s">
        <v>23296</v>
      </c>
      <c r="N2079" s="1178"/>
      <c r="O2079" s="1178">
        <v>3</v>
      </c>
      <c r="P2079" s="1178">
        <v>13.5</v>
      </c>
    </row>
    <row r="2080" spans="1:16">
      <c r="A2080" s="1178" t="s">
        <v>21077</v>
      </c>
      <c r="B2080" s="1371" t="str">
        <f>HYPERLINK(IFERROR("#Main_Tariff!A"&amp;MATCH(Raeburn_Main_Tariff[[#This Row],[Product Code]],Main_Tariff!I:I,0),"#Main_Tariff!A"&amp;MATCH("*"&amp;RIGHT(A2080,8)&amp;"*",Main_Tariff!A:A,0)),Raeburn_Main_Tariff[[#This Row],[PRODUCER]])</f>
        <v>Domaine Follin-Arbelet</v>
      </c>
      <c r="C2080" s="1178" t="s">
        <v>21086</v>
      </c>
      <c r="D2080" s="1178" t="s">
        <v>897</v>
      </c>
      <c r="E2080" s="1179">
        <v>2021</v>
      </c>
      <c r="F2080" s="1282" t="s">
        <v>20220</v>
      </c>
      <c r="G2080" s="1368" t="s">
        <v>5258</v>
      </c>
      <c r="H2080" s="1178" t="s">
        <v>20224</v>
      </c>
      <c r="I2080" s="1178" t="s">
        <v>6849</v>
      </c>
      <c r="J2080" s="1178" t="s">
        <v>662</v>
      </c>
      <c r="K2080" s="1178" t="s">
        <v>267</v>
      </c>
      <c r="L2080" s="1178" t="s">
        <v>242</v>
      </c>
      <c r="M2080" s="1369" t="s">
        <v>23296</v>
      </c>
      <c r="N2080" s="1178"/>
      <c r="O2080" s="1178">
        <v>3</v>
      </c>
      <c r="P2080" s="1178">
        <v>13.5</v>
      </c>
    </row>
    <row r="2081" spans="1:16">
      <c r="A2081" s="1178" t="s">
        <v>21077</v>
      </c>
      <c r="B2081" s="1371" t="str">
        <f>HYPERLINK(IFERROR("#Main_Tariff!A"&amp;MATCH(Raeburn_Main_Tariff[[#This Row],[Product Code]],Main_Tariff!I:I,0),"#Main_Tariff!A"&amp;MATCH("*"&amp;RIGHT(A2081,8)&amp;"*",Main_Tariff!A:A,0)),Raeburn_Main_Tariff[[#This Row],[PRODUCER]])</f>
        <v>Domaine Follin-Arbelet</v>
      </c>
      <c r="C2081" s="1178" t="s">
        <v>21086</v>
      </c>
      <c r="D2081" s="1178" t="s">
        <v>897</v>
      </c>
      <c r="E2081" s="1179">
        <v>2020</v>
      </c>
      <c r="F2081" s="1282" t="s">
        <v>20220</v>
      </c>
      <c r="G2081" s="1368" t="s">
        <v>5258</v>
      </c>
      <c r="H2081" s="1178" t="s">
        <v>20224</v>
      </c>
      <c r="I2081" s="1178" t="s">
        <v>6850</v>
      </c>
      <c r="J2081" s="1178" t="s">
        <v>662</v>
      </c>
      <c r="K2081" s="1178" t="s">
        <v>267</v>
      </c>
      <c r="L2081" s="1178" t="s">
        <v>242</v>
      </c>
      <c r="M2081" s="1369" t="s">
        <v>23296</v>
      </c>
      <c r="N2081" s="1178"/>
      <c r="O2081" s="1178">
        <v>3</v>
      </c>
      <c r="P2081" s="1178">
        <v>14.5</v>
      </c>
    </row>
    <row r="2082" spans="1:16">
      <c r="A2082" s="1178" t="s">
        <v>21077</v>
      </c>
      <c r="B2082" s="1371" t="str">
        <f>HYPERLINK(IFERROR("#Main_Tariff!A"&amp;MATCH(Raeburn_Main_Tariff[[#This Row],[Product Code]],Main_Tariff!I:I,0),"#Main_Tariff!A"&amp;MATCH("*"&amp;RIGHT(A2082,8)&amp;"*",Main_Tariff!A:A,0)),Raeburn_Main_Tariff[[#This Row],[PRODUCER]])</f>
        <v>Domaine Follin-Arbelet</v>
      </c>
      <c r="C2082" s="1178" t="s">
        <v>21086</v>
      </c>
      <c r="D2082" s="1178" t="s">
        <v>897</v>
      </c>
      <c r="E2082" s="1179">
        <v>2014</v>
      </c>
      <c r="F2082" s="1282" t="s">
        <v>20220</v>
      </c>
      <c r="G2082" s="1368" t="s">
        <v>5258</v>
      </c>
      <c r="H2082" s="1178" t="s">
        <v>20224</v>
      </c>
      <c r="I2082" s="1178" t="s">
        <v>6851</v>
      </c>
      <c r="J2082" s="1178" t="s">
        <v>662</v>
      </c>
      <c r="K2082" s="1178" t="s">
        <v>267</v>
      </c>
      <c r="L2082" s="1178" t="s">
        <v>242</v>
      </c>
      <c r="M2082" s="1369" t="s">
        <v>23296</v>
      </c>
      <c r="N2082" s="1178"/>
      <c r="O2082" s="1178">
        <v>6</v>
      </c>
      <c r="P2082" s="1178">
        <v>13.5</v>
      </c>
    </row>
    <row r="2083" spans="1:16">
      <c r="A2083" s="1178" t="s">
        <v>21077</v>
      </c>
      <c r="B2083" s="1371" t="str">
        <f>HYPERLINK(IFERROR("#Main_Tariff!A"&amp;MATCH(Raeburn_Main_Tariff[[#This Row],[Product Code]],Main_Tariff!I:I,0),"#Main_Tariff!A"&amp;MATCH("*"&amp;RIGHT(A2083,8)&amp;"*",Main_Tariff!A:A,0)),Raeburn_Main_Tariff[[#This Row],[PRODUCER]])</f>
        <v>Domaine Follin-Arbelet</v>
      </c>
      <c r="C2083" s="1178" t="s">
        <v>21087</v>
      </c>
      <c r="D2083" s="1178" t="s">
        <v>897</v>
      </c>
      <c r="E2083" s="1179">
        <v>2019</v>
      </c>
      <c r="F2083" s="1282" t="s">
        <v>20240</v>
      </c>
      <c r="G2083" s="1368">
        <v>70</v>
      </c>
      <c r="H2083" s="1178" t="s">
        <v>20221</v>
      </c>
      <c r="I2083" s="1178" t="s">
        <v>6853</v>
      </c>
      <c r="J2083" s="1178" t="s">
        <v>662</v>
      </c>
      <c r="K2083" s="1178" t="s">
        <v>267</v>
      </c>
      <c r="L2083" s="1178" t="s">
        <v>242</v>
      </c>
      <c r="M2083" s="1369" t="s">
        <v>23297</v>
      </c>
      <c r="N2083" s="1178"/>
      <c r="O2083" s="1178">
        <v>6</v>
      </c>
      <c r="P2083" s="1178">
        <v>14</v>
      </c>
    </row>
    <row r="2084" spans="1:16">
      <c r="A2084" s="1178" t="s">
        <v>21077</v>
      </c>
      <c r="B2084" s="1371" t="str">
        <f>HYPERLINK(IFERROR("#Main_Tariff!A"&amp;MATCH(Raeburn_Main_Tariff[[#This Row],[Product Code]],Main_Tariff!I:I,0),"#Main_Tariff!A"&amp;MATCH("*"&amp;RIGHT(A2084,8)&amp;"*",Main_Tariff!A:A,0)),Raeburn_Main_Tariff[[#This Row],[PRODUCER]])</f>
        <v>Domaine Follin-Arbelet</v>
      </c>
      <c r="C2084" s="1178" t="s">
        <v>21087</v>
      </c>
      <c r="D2084" s="1178" t="s">
        <v>897</v>
      </c>
      <c r="E2084" s="1179">
        <v>2015</v>
      </c>
      <c r="F2084" s="1282" t="s">
        <v>20240</v>
      </c>
      <c r="G2084" s="1368">
        <v>77</v>
      </c>
      <c r="H2084" s="1178" t="s">
        <v>20221</v>
      </c>
      <c r="I2084" s="1178" t="s">
        <v>6854</v>
      </c>
      <c r="J2084" s="1178" t="s">
        <v>662</v>
      </c>
      <c r="K2084" s="1178" t="s">
        <v>267</v>
      </c>
      <c r="L2084" s="1178" t="s">
        <v>242</v>
      </c>
      <c r="M2084" s="1369" t="s">
        <v>23297</v>
      </c>
      <c r="N2084" s="1178"/>
      <c r="O2084" s="1178">
        <v>6</v>
      </c>
      <c r="P2084" s="1178">
        <v>13</v>
      </c>
    </row>
    <row r="2085" spans="1:16">
      <c r="A2085" s="1178" t="s">
        <v>21077</v>
      </c>
      <c r="B2085" s="1371" t="str">
        <f>HYPERLINK(IFERROR("#Main_Tariff!A"&amp;MATCH(Raeburn_Main_Tariff[[#This Row],[Product Code]],Main_Tariff!I:I,0),"#Main_Tariff!A"&amp;MATCH("*"&amp;RIGHT(A2085,8)&amp;"*",Main_Tariff!A:A,0)),Raeburn_Main_Tariff[[#This Row],[PRODUCER]])</f>
        <v>Domaine Follin-Arbelet</v>
      </c>
      <c r="C2085" s="1178" t="s">
        <v>21088</v>
      </c>
      <c r="D2085" s="1178" t="s">
        <v>897</v>
      </c>
      <c r="E2085" s="1179">
        <v>2014</v>
      </c>
      <c r="F2085" s="1282" t="s">
        <v>20240</v>
      </c>
      <c r="G2085" s="1368">
        <v>68</v>
      </c>
      <c r="H2085" s="1178" t="s">
        <v>20224</v>
      </c>
      <c r="I2085" s="1178" t="s">
        <v>6855</v>
      </c>
      <c r="J2085" s="1178" t="s">
        <v>662</v>
      </c>
      <c r="K2085" s="1178" t="s">
        <v>267</v>
      </c>
      <c r="L2085" s="1178" t="s">
        <v>242</v>
      </c>
      <c r="M2085" s="1369"/>
      <c r="N2085" s="1178"/>
      <c r="O2085" s="1178">
        <v>6</v>
      </c>
      <c r="P2085" s="1178">
        <v>13</v>
      </c>
    </row>
    <row r="2086" spans="1:16">
      <c r="A2086" s="1178" t="s">
        <v>21077</v>
      </c>
      <c r="B2086" s="1371" t="str">
        <f>HYPERLINK(IFERROR("#Main_Tariff!A"&amp;MATCH(Raeburn_Main_Tariff[[#This Row],[Product Code]],Main_Tariff!I:I,0),"#Main_Tariff!A"&amp;MATCH("*"&amp;RIGHT(A2086,8)&amp;"*",Main_Tariff!A:A,0)),Raeburn_Main_Tariff[[#This Row],[PRODUCER]])</f>
        <v>Domaine Follin-Arbelet</v>
      </c>
      <c r="C2086" s="1178" t="s">
        <v>21088</v>
      </c>
      <c r="D2086" s="1178" t="s">
        <v>897</v>
      </c>
      <c r="E2086" s="1179">
        <v>2013</v>
      </c>
      <c r="F2086" s="1282" t="s">
        <v>20240</v>
      </c>
      <c r="G2086" s="1368">
        <v>68</v>
      </c>
      <c r="H2086" s="1178" t="s">
        <v>20224</v>
      </c>
      <c r="I2086" s="1178" t="s">
        <v>6856</v>
      </c>
      <c r="J2086" s="1178" t="s">
        <v>662</v>
      </c>
      <c r="K2086" s="1178" t="s">
        <v>267</v>
      </c>
      <c r="L2086" s="1178" t="s">
        <v>242</v>
      </c>
      <c r="M2086" s="1369"/>
      <c r="N2086" s="1178"/>
      <c r="O2086" s="1178">
        <v>6</v>
      </c>
      <c r="P2086" s="1178">
        <v>13</v>
      </c>
    </row>
    <row r="2087" spans="1:16">
      <c r="A2087" s="1178" t="s">
        <v>21077</v>
      </c>
      <c r="B2087" s="1371" t="str">
        <f>HYPERLINK(IFERROR("#Main_Tariff!A"&amp;MATCH(Raeburn_Main_Tariff[[#This Row],[Product Code]],Main_Tariff!I:I,0),"#Main_Tariff!A"&amp;MATCH("*"&amp;RIGHT(A2087,8)&amp;"*",Main_Tariff!A:A,0)),Raeburn_Main_Tariff[[#This Row],[PRODUCER]])</f>
        <v>Domaine Follin-Arbelet</v>
      </c>
      <c r="C2087" s="1178" t="s">
        <v>21089</v>
      </c>
      <c r="D2087" s="1178" t="s">
        <v>897</v>
      </c>
      <c r="E2087" s="1179">
        <v>2013</v>
      </c>
      <c r="F2087" s="1282" t="s">
        <v>20240</v>
      </c>
      <c r="G2087" s="1368">
        <v>157</v>
      </c>
      <c r="H2087" s="1178" t="s">
        <v>20224</v>
      </c>
      <c r="I2087" s="1178" t="s">
        <v>6857</v>
      </c>
      <c r="J2087" s="1178" t="s">
        <v>662</v>
      </c>
      <c r="K2087" s="1178" t="s">
        <v>267</v>
      </c>
      <c r="L2087" s="1178" t="s">
        <v>242</v>
      </c>
      <c r="M2087" s="1369" t="s">
        <v>23296</v>
      </c>
      <c r="N2087" s="1178"/>
      <c r="O2087" s="1178">
        <v>6</v>
      </c>
      <c r="P2087" s="1178">
        <v>13.5</v>
      </c>
    </row>
    <row r="2088" spans="1:16">
      <c r="A2088" s="1178" t="s">
        <v>21077</v>
      </c>
      <c r="B2088" s="1371" t="str">
        <f>HYPERLINK(IFERROR("#Main_Tariff!A"&amp;MATCH(Raeburn_Main_Tariff[[#This Row],[Product Code]],Main_Tariff!I:I,0),"#Main_Tariff!A"&amp;MATCH("*"&amp;RIGHT(A2088,8)&amp;"*",Main_Tariff!A:A,0)),Raeburn_Main_Tariff[[#This Row],[PRODUCER]])</f>
        <v>Domaine Follin-Arbelet</v>
      </c>
      <c r="C2088" s="1178" t="s">
        <v>21089</v>
      </c>
      <c r="D2088" s="1178" t="s">
        <v>897</v>
      </c>
      <c r="E2088" s="1179">
        <v>2012</v>
      </c>
      <c r="F2088" s="1282" t="s">
        <v>20240</v>
      </c>
      <c r="G2088" s="1368">
        <v>157</v>
      </c>
      <c r="H2088" s="1178" t="s">
        <v>20224</v>
      </c>
      <c r="I2088" s="1178" t="s">
        <v>6858</v>
      </c>
      <c r="J2088" s="1178" t="s">
        <v>662</v>
      </c>
      <c r="K2088" s="1178" t="s">
        <v>267</v>
      </c>
      <c r="L2088" s="1178" t="s">
        <v>242</v>
      </c>
      <c r="M2088" s="1369" t="s">
        <v>23296</v>
      </c>
      <c r="N2088" s="1178"/>
      <c r="O2088" s="1178">
        <v>6</v>
      </c>
      <c r="P2088" s="1178">
        <v>13.5</v>
      </c>
    </row>
    <row r="2089" spans="1:16">
      <c r="A2089" s="1178" t="s">
        <v>21077</v>
      </c>
      <c r="B2089" s="1371" t="str">
        <f>HYPERLINK(IFERROR("#Main_Tariff!A"&amp;MATCH(Raeburn_Main_Tariff[[#This Row],[Product Code]],Main_Tariff!I:I,0),"#Main_Tariff!A"&amp;MATCH("*"&amp;RIGHT(A2089,8)&amp;"*",Main_Tariff!A:A,0)),Raeburn_Main_Tariff[[#This Row],[PRODUCER]])</f>
        <v>Domaine Follin-Arbelet</v>
      </c>
      <c r="C2089" s="1178" t="s">
        <v>21089</v>
      </c>
      <c r="D2089" s="1178" t="s">
        <v>897</v>
      </c>
      <c r="E2089" s="1179">
        <v>2011</v>
      </c>
      <c r="F2089" s="1282" t="s">
        <v>20240</v>
      </c>
      <c r="G2089" s="1368">
        <v>150</v>
      </c>
      <c r="H2089" s="1178" t="s">
        <v>20224</v>
      </c>
      <c r="I2089" s="1178" t="s">
        <v>6859</v>
      </c>
      <c r="J2089" s="1178" t="s">
        <v>662</v>
      </c>
      <c r="K2089" s="1178" t="s">
        <v>267</v>
      </c>
      <c r="L2089" s="1178" t="s">
        <v>242</v>
      </c>
      <c r="M2089" s="1369" t="s">
        <v>23296</v>
      </c>
      <c r="N2089" s="1178"/>
      <c r="O2089" s="1178">
        <v>6</v>
      </c>
      <c r="P2089" s="1178">
        <v>13.5</v>
      </c>
    </row>
    <row r="2090" spans="1:16">
      <c r="A2090" s="1178" t="s">
        <v>21077</v>
      </c>
      <c r="B2090" s="1371" t="str">
        <f>HYPERLINK(IFERROR("#Main_Tariff!A"&amp;MATCH(Raeburn_Main_Tariff[[#This Row],[Product Code]],Main_Tariff!I:I,0),"#Main_Tariff!A"&amp;MATCH("*"&amp;RIGHT(A2090,8)&amp;"*",Main_Tariff!A:A,0)),Raeburn_Main_Tariff[[#This Row],[PRODUCER]])</f>
        <v>Domaine Follin-Arbelet</v>
      </c>
      <c r="C2090" s="1178" t="s">
        <v>21089</v>
      </c>
      <c r="D2090" s="1178" t="s">
        <v>897</v>
      </c>
      <c r="E2090" s="1179">
        <v>2007</v>
      </c>
      <c r="F2090" s="1282" t="s">
        <v>20240</v>
      </c>
      <c r="G2090" s="1368">
        <v>134</v>
      </c>
      <c r="H2090" s="1178" t="s">
        <v>20224</v>
      </c>
      <c r="I2090" s="1178" t="s">
        <v>6860</v>
      </c>
      <c r="J2090" s="1178" t="s">
        <v>662</v>
      </c>
      <c r="K2090" s="1178" t="s">
        <v>267</v>
      </c>
      <c r="L2090" s="1178" t="s">
        <v>242</v>
      </c>
      <c r="M2090" s="1369" t="s">
        <v>23296</v>
      </c>
      <c r="N2090" s="1178"/>
      <c r="O2090" s="1178">
        <v>3</v>
      </c>
      <c r="P2090" s="1178">
        <v>13.5</v>
      </c>
    </row>
    <row r="2091" spans="1:16">
      <c r="A2091" s="1178" t="s">
        <v>21077</v>
      </c>
      <c r="B2091" s="1371" t="str">
        <f>HYPERLINK(IFERROR("#Main_Tariff!A"&amp;MATCH(Raeburn_Main_Tariff[[#This Row],[Product Code]],Main_Tariff!I:I,0),"#Main_Tariff!A"&amp;MATCH("*"&amp;RIGHT(A2091,8)&amp;"*",Main_Tariff!A:A,0)),Raeburn_Main_Tariff[[#This Row],[PRODUCER]])</f>
        <v>Domaine Follin-Arbelet</v>
      </c>
      <c r="C2091" s="1178" t="s">
        <v>21090</v>
      </c>
      <c r="D2091" s="1178" t="s">
        <v>897</v>
      </c>
      <c r="E2091" s="1179">
        <v>2008</v>
      </c>
      <c r="F2091" s="1282" t="s">
        <v>20240</v>
      </c>
      <c r="G2091" s="1368">
        <v>142</v>
      </c>
      <c r="H2091" s="1178" t="s">
        <v>20224</v>
      </c>
      <c r="I2091" s="1178" t="s">
        <v>6861</v>
      </c>
      <c r="J2091" s="1178" t="s">
        <v>662</v>
      </c>
      <c r="K2091" s="1178" t="s">
        <v>267</v>
      </c>
      <c r="L2091" s="1178" t="s">
        <v>242</v>
      </c>
      <c r="M2091" s="1369" t="s">
        <v>23296</v>
      </c>
      <c r="N2091" s="1178"/>
      <c r="O2091" s="1178">
        <v>6</v>
      </c>
      <c r="P2091" s="1178">
        <v>13</v>
      </c>
    </row>
    <row r="2092" spans="1:16">
      <c r="A2092" s="1178" t="s">
        <v>21077</v>
      </c>
      <c r="B2092" s="1371" t="str">
        <f>HYPERLINK(IFERROR("#Main_Tariff!A"&amp;MATCH(Raeburn_Main_Tariff[[#This Row],[Product Code]],Main_Tariff!I:I,0),"#Main_Tariff!A"&amp;MATCH("*"&amp;RIGHT(A2092,8)&amp;"*",Main_Tariff!A:A,0)),Raeburn_Main_Tariff[[#This Row],[PRODUCER]])</f>
        <v>Domaine Follin-Arbelet</v>
      </c>
      <c r="C2092" s="1178" t="s">
        <v>21091</v>
      </c>
      <c r="D2092" s="1178" t="s">
        <v>897</v>
      </c>
      <c r="E2092" s="1179">
        <v>2022</v>
      </c>
      <c r="F2092" s="1282" t="s">
        <v>20288</v>
      </c>
      <c r="G2092" s="1368">
        <v>415</v>
      </c>
      <c r="H2092" s="1178" t="s">
        <v>20224</v>
      </c>
      <c r="I2092" s="1178" t="s">
        <v>6863</v>
      </c>
      <c r="J2092" s="1178" t="s">
        <v>662</v>
      </c>
      <c r="K2092" s="1178" t="s">
        <v>267</v>
      </c>
      <c r="L2092" s="1178" t="s">
        <v>242</v>
      </c>
      <c r="M2092" s="1369" t="s">
        <v>23296</v>
      </c>
      <c r="N2092" s="1178"/>
      <c r="O2092" s="1178">
        <v>1</v>
      </c>
      <c r="P2092" s="1178">
        <v>13.5</v>
      </c>
    </row>
    <row r="2093" spans="1:16">
      <c r="A2093" s="1178" t="s">
        <v>21077</v>
      </c>
      <c r="B2093" s="1371" t="str">
        <f>HYPERLINK(IFERROR("#Main_Tariff!A"&amp;MATCH(Raeburn_Main_Tariff[[#This Row],[Product Code]],Main_Tariff!I:I,0),"#Main_Tariff!A"&amp;MATCH("*"&amp;RIGHT(A2093,8)&amp;"*",Main_Tariff!A:A,0)),Raeburn_Main_Tariff[[#This Row],[PRODUCER]])</f>
        <v>Domaine Follin-Arbelet</v>
      </c>
      <c r="C2093" s="1178" t="s">
        <v>21091</v>
      </c>
      <c r="D2093" s="1178" t="s">
        <v>897</v>
      </c>
      <c r="E2093" s="1179">
        <v>2017</v>
      </c>
      <c r="F2093" s="1282" t="s">
        <v>20288</v>
      </c>
      <c r="G2093" s="1368">
        <v>335</v>
      </c>
      <c r="H2093" s="1178" t="s">
        <v>20224</v>
      </c>
      <c r="I2093" s="1178" t="s">
        <v>6864</v>
      </c>
      <c r="J2093" s="1178" t="s">
        <v>662</v>
      </c>
      <c r="K2093" s="1178" t="s">
        <v>267</v>
      </c>
      <c r="L2093" s="1178" t="s">
        <v>242</v>
      </c>
      <c r="M2093" s="1369" t="s">
        <v>23296</v>
      </c>
      <c r="N2093" s="1178"/>
      <c r="O2093" s="1178">
        <v>1</v>
      </c>
      <c r="P2093" s="1178">
        <v>13.5</v>
      </c>
    </row>
    <row r="2094" spans="1:16">
      <c r="A2094" s="1178" t="s">
        <v>21077</v>
      </c>
      <c r="B2094" s="1371" t="str">
        <f>HYPERLINK(IFERROR("#Main_Tariff!A"&amp;MATCH(Raeburn_Main_Tariff[[#This Row],[Product Code]],Main_Tariff!I:I,0),"#Main_Tariff!A"&amp;MATCH("*"&amp;RIGHT(A2094,8)&amp;"*",Main_Tariff!A:A,0)),Raeburn_Main_Tariff[[#This Row],[PRODUCER]])</f>
        <v>Domaine Follin-Arbelet</v>
      </c>
      <c r="C2094" s="1178" t="s">
        <v>21091</v>
      </c>
      <c r="D2094" s="1178" t="s">
        <v>897</v>
      </c>
      <c r="E2094" s="1179">
        <v>2013</v>
      </c>
      <c r="F2094" s="1282" t="s">
        <v>20288</v>
      </c>
      <c r="G2094" s="1368">
        <v>315</v>
      </c>
      <c r="H2094" s="1178" t="s">
        <v>20224</v>
      </c>
      <c r="I2094" s="1178" t="s">
        <v>6865</v>
      </c>
      <c r="J2094" s="1178" t="s">
        <v>662</v>
      </c>
      <c r="K2094" s="1178" t="s">
        <v>267</v>
      </c>
      <c r="L2094" s="1178" t="s">
        <v>242</v>
      </c>
      <c r="M2094" s="1369" t="s">
        <v>23296</v>
      </c>
      <c r="N2094" s="1178"/>
      <c r="O2094" s="1178">
        <v>1</v>
      </c>
      <c r="P2094" s="1178">
        <v>13.5</v>
      </c>
    </row>
    <row r="2095" spans="1:16">
      <c r="A2095" s="1178" t="s">
        <v>21077</v>
      </c>
      <c r="B2095" s="1371" t="str">
        <f>HYPERLINK(IFERROR("#Main_Tariff!A"&amp;MATCH(Raeburn_Main_Tariff[[#This Row],[Product Code]],Main_Tariff!I:I,0),"#Main_Tariff!A"&amp;MATCH("*"&amp;RIGHT(A2095,8)&amp;"*",Main_Tariff!A:A,0)),Raeburn_Main_Tariff[[#This Row],[PRODUCER]])</f>
        <v>Domaine Follin-Arbelet</v>
      </c>
      <c r="C2095" s="1178" t="s">
        <v>21092</v>
      </c>
      <c r="D2095" s="1178" t="s">
        <v>897</v>
      </c>
      <c r="E2095" s="1179">
        <v>2018</v>
      </c>
      <c r="F2095" s="1282" t="s">
        <v>20288</v>
      </c>
      <c r="G2095" s="1368">
        <v>357</v>
      </c>
      <c r="H2095" s="1178" t="s">
        <v>20224</v>
      </c>
      <c r="I2095" s="1178" t="s">
        <v>6866</v>
      </c>
      <c r="J2095" s="1178" t="s">
        <v>662</v>
      </c>
      <c r="K2095" s="1178" t="s">
        <v>267</v>
      </c>
      <c r="L2095" s="1178" t="s">
        <v>242</v>
      </c>
      <c r="M2095" s="1369" t="s">
        <v>23296</v>
      </c>
      <c r="N2095" s="1178"/>
      <c r="O2095" s="1178">
        <v>1</v>
      </c>
      <c r="P2095" s="1178">
        <v>13.5</v>
      </c>
    </row>
    <row r="2096" spans="1:16">
      <c r="A2096" s="1178" t="s">
        <v>21077</v>
      </c>
      <c r="B2096" s="1371" t="str">
        <f>HYPERLINK(IFERROR("#Main_Tariff!A"&amp;MATCH(Raeburn_Main_Tariff[[#This Row],[Product Code]],Main_Tariff!I:I,0),"#Main_Tariff!A"&amp;MATCH("*"&amp;RIGHT(A2096,8)&amp;"*",Main_Tariff!A:A,0)),Raeburn_Main_Tariff[[#This Row],[PRODUCER]])</f>
        <v>Domaine Follin-Arbelet</v>
      </c>
      <c r="C2096" s="1178" t="s">
        <v>21092</v>
      </c>
      <c r="D2096" s="1178" t="s">
        <v>897</v>
      </c>
      <c r="E2096" s="1179">
        <v>2017</v>
      </c>
      <c r="F2096" s="1282" t="s">
        <v>20288</v>
      </c>
      <c r="G2096" s="1368">
        <v>335</v>
      </c>
      <c r="H2096" s="1178" t="s">
        <v>20224</v>
      </c>
      <c r="I2096" s="1178" t="s">
        <v>6867</v>
      </c>
      <c r="J2096" s="1178" t="s">
        <v>662</v>
      </c>
      <c r="K2096" s="1178" t="s">
        <v>267</v>
      </c>
      <c r="L2096" s="1178" t="s">
        <v>242</v>
      </c>
      <c r="M2096" s="1369" t="s">
        <v>23296</v>
      </c>
      <c r="N2096" s="1178"/>
      <c r="O2096" s="1178">
        <v>1</v>
      </c>
      <c r="P2096" s="1178">
        <v>13.5</v>
      </c>
    </row>
    <row r="2097" spans="1:16">
      <c r="A2097" s="1178" t="s">
        <v>253</v>
      </c>
      <c r="B2097" s="1371" t="str">
        <f>HYPERLINK(IFERROR("#Main_Tariff!A"&amp;MATCH(Raeburn_Main_Tariff[[#This Row],[Product Code]],Main_Tariff!I:I,0),"#Main_Tariff!A"&amp;MATCH("*"&amp;RIGHT(A2097,8)&amp;"*",Main_Tariff!A:A,0)),Raeburn_Main_Tariff[[#This Row],[PRODUCER]])</f>
        <v>Francois Gaunoux</v>
      </c>
      <c r="C2097" s="1178" t="s">
        <v>21093</v>
      </c>
      <c r="D2097" s="1178" t="s">
        <v>1129</v>
      </c>
      <c r="E2097" s="1179">
        <v>2020</v>
      </c>
      <c r="F2097" s="1282" t="s">
        <v>20220</v>
      </c>
      <c r="G2097" s="1368">
        <v>49</v>
      </c>
      <c r="H2097" s="1178" t="s">
        <v>20224</v>
      </c>
      <c r="I2097" s="1178" t="s">
        <v>6875</v>
      </c>
      <c r="J2097" s="1178" t="s">
        <v>662</v>
      </c>
      <c r="K2097" s="1178" t="s">
        <v>267</v>
      </c>
      <c r="L2097" s="1178" t="s">
        <v>242</v>
      </c>
      <c r="M2097" s="1369"/>
      <c r="N2097" s="1178"/>
      <c r="O2097" s="1178">
        <v>12</v>
      </c>
      <c r="P2097" s="1178">
        <v>13</v>
      </c>
    </row>
    <row r="2098" spans="1:16">
      <c r="A2098" s="1178" t="s">
        <v>253</v>
      </c>
      <c r="B2098" s="1371" t="str">
        <f>HYPERLINK(IFERROR("#Main_Tariff!A"&amp;MATCH(Raeburn_Main_Tariff[[#This Row],[Product Code]],Main_Tariff!I:I,0),"#Main_Tariff!A"&amp;MATCH("*"&amp;RIGHT(A2098,8)&amp;"*",Main_Tariff!A:A,0)),Raeburn_Main_Tariff[[#This Row],[PRODUCER]])</f>
        <v>Francois Gaunoux</v>
      </c>
      <c r="C2098" s="1178" t="s">
        <v>21094</v>
      </c>
      <c r="D2098" s="1178" t="s">
        <v>1129</v>
      </c>
      <c r="E2098" s="1179">
        <v>2020</v>
      </c>
      <c r="F2098" s="1282" t="s">
        <v>20220</v>
      </c>
      <c r="G2098" s="1368">
        <v>96</v>
      </c>
      <c r="H2098" s="1178" t="s">
        <v>20221</v>
      </c>
      <c r="I2098" s="1178" t="s">
        <v>6877</v>
      </c>
      <c r="J2098" s="1178" t="s">
        <v>662</v>
      </c>
      <c r="K2098" s="1178" t="s">
        <v>267</v>
      </c>
      <c r="L2098" s="1178" t="s">
        <v>242</v>
      </c>
      <c r="M2098" s="1369" t="s">
        <v>23297</v>
      </c>
      <c r="N2098" s="1178"/>
      <c r="O2098" s="1178">
        <v>12</v>
      </c>
      <c r="P2098" s="1178">
        <v>14</v>
      </c>
    </row>
    <row r="2099" spans="1:16">
      <c r="A2099" s="1178" t="s">
        <v>253</v>
      </c>
      <c r="B2099" s="1371" t="str">
        <f>HYPERLINK(IFERROR("#Main_Tariff!A"&amp;MATCH(Raeburn_Main_Tariff[[#This Row],[Product Code]],Main_Tariff!I:I,0),"#Main_Tariff!A"&amp;MATCH("*"&amp;RIGHT(A2099,8)&amp;"*",Main_Tariff!A:A,0)),Raeburn_Main_Tariff[[#This Row],[PRODUCER]])</f>
        <v>Francois Gaunoux</v>
      </c>
      <c r="C2099" s="1178" t="s">
        <v>21095</v>
      </c>
      <c r="D2099" s="1178" t="s">
        <v>897</v>
      </c>
      <c r="E2099" s="1179">
        <v>2019</v>
      </c>
      <c r="F2099" s="1282" t="s">
        <v>20220</v>
      </c>
      <c r="G2099" s="1368">
        <v>46</v>
      </c>
      <c r="H2099" s="1178" t="s">
        <v>20221</v>
      </c>
      <c r="I2099" s="1178" t="s">
        <v>6880</v>
      </c>
      <c r="J2099" s="1178" t="s">
        <v>662</v>
      </c>
      <c r="K2099" s="1178" t="s">
        <v>267</v>
      </c>
      <c r="L2099" s="1178" t="s">
        <v>242</v>
      </c>
      <c r="M2099" s="1369" t="s">
        <v>23297</v>
      </c>
      <c r="N2099" s="1178"/>
      <c r="O2099" s="1178">
        <v>12</v>
      </c>
      <c r="P2099" s="1178">
        <v>13.5</v>
      </c>
    </row>
    <row r="2100" spans="1:16">
      <c r="A2100" s="1178" t="s">
        <v>253</v>
      </c>
      <c r="B2100" s="1371" t="str">
        <f>HYPERLINK(IFERROR("#Main_Tariff!A"&amp;MATCH(Raeburn_Main_Tariff[[#This Row],[Product Code]],Main_Tariff!I:I,0),"#Main_Tariff!A"&amp;MATCH("*"&amp;RIGHT(A2100,8)&amp;"*",Main_Tariff!A:A,0)),Raeburn_Main_Tariff[[#This Row],[PRODUCER]])</f>
        <v>Francois Gaunoux</v>
      </c>
      <c r="C2100" s="1178" t="s">
        <v>21096</v>
      </c>
      <c r="D2100" s="1178" t="s">
        <v>897</v>
      </c>
      <c r="E2100" s="1179">
        <v>2019</v>
      </c>
      <c r="F2100" s="1282" t="s">
        <v>20220</v>
      </c>
      <c r="G2100" s="1368">
        <v>60</v>
      </c>
      <c r="H2100" s="1178" t="s">
        <v>20221</v>
      </c>
      <c r="I2100" s="1178" t="s">
        <v>6882</v>
      </c>
      <c r="J2100" s="1178" t="s">
        <v>662</v>
      </c>
      <c r="K2100" s="1178" t="s">
        <v>267</v>
      </c>
      <c r="L2100" s="1178" t="s">
        <v>242</v>
      </c>
      <c r="M2100" s="1369" t="s">
        <v>23297</v>
      </c>
      <c r="N2100" s="1178"/>
      <c r="O2100" s="1178">
        <v>12</v>
      </c>
      <c r="P2100" s="1178">
        <v>13.5</v>
      </c>
    </row>
    <row r="2101" spans="1:16">
      <c r="A2101" s="1178" t="s">
        <v>253</v>
      </c>
      <c r="B2101" s="1371" t="str">
        <f>HYPERLINK(IFERROR("#Main_Tariff!A"&amp;MATCH(Raeburn_Main_Tariff[[#This Row],[Product Code]],Main_Tariff!I:I,0),"#Main_Tariff!A"&amp;MATCH("*"&amp;RIGHT(A2101,8)&amp;"*",Main_Tariff!A:A,0)),Raeburn_Main_Tariff[[#This Row],[PRODUCER]])</f>
        <v>Francois Gaunoux</v>
      </c>
      <c r="C2101" s="1178" t="s">
        <v>21096</v>
      </c>
      <c r="D2101" s="1178" t="s">
        <v>897</v>
      </c>
      <c r="E2101" s="1179">
        <v>2018</v>
      </c>
      <c r="F2101" s="1282" t="s">
        <v>20220</v>
      </c>
      <c r="G2101" s="1368">
        <v>60</v>
      </c>
      <c r="H2101" s="1178" t="s">
        <v>20221</v>
      </c>
      <c r="I2101" s="1178" t="s">
        <v>6884</v>
      </c>
      <c r="J2101" s="1178" t="s">
        <v>662</v>
      </c>
      <c r="K2101" s="1178" t="s">
        <v>267</v>
      </c>
      <c r="L2101" s="1178" t="s">
        <v>242</v>
      </c>
      <c r="M2101" s="1369" t="s">
        <v>23297</v>
      </c>
      <c r="N2101" s="1178"/>
      <c r="O2101" s="1178">
        <v>12</v>
      </c>
      <c r="P2101" s="1178">
        <v>13.5</v>
      </c>
    </row>
    <row r="2102" spans="1:16">
      <c r="A2102" s="1178" t="s">
        <v>253</v>
      </c>
      <c r="B2102" s="1371" t="str">
        <f>HYPERLINK(IFERROR("#Main_Tariff!A"&amp;MATCH(Raeburn_Main_Tariff[[#This Row],[Product Code]],Main_Tariff!I:I,0),"#Main_Tariff!A"&amp;MATCH("*"&amp;RIGHT(A2102,8)&amp;"*",Main_Tariff!A:A,0)),Raeburn_Main_Tariff[[#This Row],[PRODUCER]])</f>
        <v>Francois Gaunoux</v>
      </c>
      <c r="C2102" s="1178" t="s">
        <v>21097</v>
      </c>
      <c r="D2102" s="1178" t="s">
        <v>897</v>
      </c>
      <c r="E2102" s="1179">
        <v>2019</v>
      </c>
      <c r="F2102" s="1282" t="s">
        <v>20220</v>
      </c>
      <c r="G2102" s="1368">
        <v>60</v>
      </c>
      <c r="H2102" s="1178" t="s">
        <v>20221</v>
      </c>
      <c r="I2102" s="1178" t="s">
        <v>6885</v>
      </c>
      <c r="J2102" s="1178" t="s">
        <v>662</v>
      </c>
      <c r="K2102" s="1178" t="s">
        <v>267</v>
      </c>
      <c r="L2102" s="1178" t="s">
        <v>242</v>
      </c>
      <c r="M2102" s="1369" t="s">
        <v>23297</v>
      </c>
      <c r="N2102" s="1178"/>
      <c r="O2102" s="1178">
        <v>12</v>
      </c>
      <c r="P2102" s="1178">
        <v>13.5</v>
      </c>
    </row>
    <row r="2103" spans="1:16">
      <c r="A2103" s="1178" t="s">
        <v>253</v>
      </c>
      <c r="B2103" s="1371" t="str">
        <f>HYPERLINK(IFERROR("#Main_Tariff!A"&amp;MATCH(Raeburn_Main_Tariff[[#This Row],[Product Code]],Main_Tariff!I:I,0),"#Main_Tariff!A"&amp;MATCH("*"&amp;RIGHT(A2103,8)&amp;"*",Main_Tariff!A:A,0)),Raeburn_Main_Tariff[[#This Row],[PRODUCER]])</f>
        <v>Francois Gaunoux</v>
      </c>
      <c r="C2103" s="1178" t="s">
        <v>21097</v>
      </c>
      <c r="D2103" s="1178" t="s">
        <v>897</v>
      </c>
      <c r="E2103" s="1179">
        <v>2010</v>
      </c>
      <c r="F2103" s="1282" t="s">
        <v>20220</v>
      </c>
      <c r="G2103" s="1368">
        <v>90</v>
      </c>
      <c r="H2103" s="1178" t="s">
        <v>20221</v>
      </c>
      <c r="I2103" s="1178" t="s">
        <v>6886</v>
      </c>
      <c r="J2103" s="1178" t="s">
        <v>662</v>
      </c>
      <c r="K2103" s="1178" t="s">
        <v>267</v>
      </c>
      <c r="L2103" s="1178" t="s">
        <v>242</v>
      </c>
      <c r="M2103" s="1369" t="s">
        <v>23297</v>
      </c>
      <c r="N2103" s="1178"/>
      <c r="O2103" s="1178">
        <v>12</v>
      </c>
      <c r="P2103" s="1178">
        <v>13.5</v>
      </c>
    </row>
    <row r="2104" spans="1:16">
      <c r="A2104" s="1178" t="s">
        <v>253</v>
      </c>
      <c r="B2104" s="1371" t="str">
        <f>HYPERLINK(IFERROR("#Main_Tariff!A"&amp;MATCH(Raeburn_Main_Tariff[[#This Row],[Product Code]],Main_Tariff!I:I,0),"#Main_Tariff!A"&amp;MATCH("*"&amp;RIGHT(A2104,8)&amp;"*",Main_Tariff!A:A,0)),Raeburn_Main_Tariff[[#This Row],[PRODUCER]])</f>
        <v>Francois Gaunoux</v>
      </c>
      <c r="C2104" s="1178" t="s">
        <v>21097</v>
      </c>
      <c r="D2104" s="1178" t="s">
        <v>897</v>
      </c>
      <c r="E2104" s="1179">
        <v>2008</v>
      </c>
      <c r="F2104" s="1282" t="s">
        <v>20220</v>
      </c>
      <c r="G2104" s="1368">
        <v>69.5</v>
      </c>
      <c r="H2104" s="1178" t="s">
        <v>20221</v>
      </c>
      <c r="I2104" s="1178" t="s">
        <v>6888</v>
      </c>
      <c r="J2104" s="1178" t="s">
        <v>662</v>
      </c>
      <c r="K2104" s="1178" t="s">
        <v>267</v>
      </c>
      <c r="L2104" s="1178" t="s">
        <v>242</v>
      </c>
      <c r="M2104" s="1369" t="s">
        <v>23297</v>
      </c>
      <c r="N2104" s="1178"/>
      <c r="O2104" s="1178">
        <v>12</v>
      </c>
      <c r="P2104" s="1178">
        <v>13.5</v>
      </c>
    </row>
    <row r="2105" spans="1:16">
      <c r="A2105" s="1178" t="s">
        <v>253</v>
      </c>
      <c r="B2105" s="1371" t="str">
        <f>HYPERLINK(IFERROR("#Main_Tariff!A"&amp;MATCH(Raeburn_Main_Tariff[[#This Row],[Product Code]],Main_Tariff!I:I,0),"#Main_Tariff!A"&amp;MATCH("*"&amp;RIGHT(A2105,8)&amp;"*",Main_Tariff!A:A,0)),Raeburn_Main_Tariff[[#This Row],[PRODUCER]])</f>
        <v>Francois Gaunoux</v>
      </c>
      <c r="C2105" s="1178" t="s">
        <v>21097</v>
      </c>
      <c r="D2105" s="1178" t="s">
        <v>897</v>
      </c>
      <c r="E2105" s="1179">
        <v>1999</v>
      </c>
      <c r="F2105" s="1282" t="s">
        <v>20220</v>
      </c>
      <c r="G2105" s="1368">
        <v>116</v>
      </c>
      <c r="H2105" s="1178" t="s">
        <v>20221</v>
      </c>
      <c r="I2105" s="1178" t="s">
        <v>6890</v>
      </c>
      <c r="J2105" s="1178" t="s">
        <v>662</v>
      </c>
      <c r="K2105" s="1178" t="s">
        <v>267</v>
      </c>
      <c r="L2105" s="1178" t="s">
        <v>242</v>
      </c>
      <c r="M2105" s="1369" t="s">
        <v>23297</v>
      </c>
      <c r="N2105" s="1178"/>
      <c r="O2105" s="1178">
        <v>12</v>
      </c>
      <c r="P2105" s="1178">
        <v>13.5</v>
      </c>
    </row>
    <row r="2106" spans="1:16">
      <c r="A2106" s="1178" t="s">
        <v>253</v>
      </c>
      <c r="B2106" s="1371" t="str">
        <f>HYPERLINK(IFERROR("#Main_Tariff!A"&amp;MATCH(Raeburn_Main_Tariff[[#This Row],[Product Code]],Main_Tariff!I:I,0),"#Main_Tariff!A"&amp;MATCH("*"&amp;RIGHT(A2106,8)&amp;"*",Main_Tariff!A:A,0)),Raeburn_Main_Tariff[[#This Row],[PRODUCER]])</f>
        <v>Francois Gaunoux</v>
      </c>
      <c r="C2106" s="1178" t="s">
        <v>21098</v>
      </c>
      <c r="D2106" s="1178" t="s">
        <v>897</v>
      </c>
      <c r="E2106" s="1179">
        <v>2020</v>
      </c>
      <c r="F2106" s="1282" t="s">
        <v>20220</v>
      </c>
      <c r="G2106" s="1368">
        <v>69.5</v>
      </c>
      <c r="H2106" s="1178" t="s">
        <v>20221</v>
      </c>
      <c r="I2106" s="1178" t="s">
        <v>6892</v>
      </c>
      <c r="J2106" s="1178" t="s">
        <v>662</v>
      </c>
      <c r="K2106" s="1178" t="s">
        <v>267</v>
      </c>
      <c r="L2106" s="1178" t="s">
        <v>242</v>
      </c>
      <c r="M2106" s="1369" t="s">
        <v>23297</v>
      </c>
      <c r="N2106" s="1178"/>
      <c r="O2106" s="1178">
        <v>12</v>
      </c>
      <c r="P2106" s="1178">
        <v>15</v>
      </c>
    </row>
    <row r="2107" spans="1:16">
      <c r="A2107" s="1178" t="s">
        <v>253</v>
      </c>
      <c r="B2107" s="1371" t="str">
        <f>HYPERLINK(IFERROR("#Main_Tariff!A"&amp;MATCH(Raeburn_Main_Tariff[[#This Row],[Product Code]],Main_Tariff!I:I,0),"#Main_Tariff!A"&amp;MATCH("*"&amp;RIGHT(A2107,8)&amp;"*",Main_Tariff!A:A,0)),Raeburn_Main_Tariff[[#This Row],[PRODUCER]])</f>
        <v>Francois Gaunoux</v>
      </c>
      <c r="C2107" s="1178" t="s">
        <v>21098</v>
      </c>
      <c r="D2107" s="1178" t="s">
        <v>897</v>
      </c>
      <c r="E2107" s="1179">
        <v>2019</v>
      </c>
      <c r="F2107" s="1282" t="s">
        <v>20220</v>
      </c>
      <c r="G2107" s="1368">
        <v>67.5</v>
      </c>
      <c r="H2107" s="1178" t="s">
        <v>20221</v>
      </c>
      <c r="I2107" s="1178" t="s">
        <v>6894</v>
      </c>
      <c r="J2107" s="1178" t="s">
        <v>662</v>
      </c>
      <c r="K2107" s="1178" t="s">
        <v>267</v>
      </c>
      <c r="L2107" s="1178" t="s">
        <v>242</v>
      </c>
      <c r="M2107" s="1369" t="s">
        <v>23297</v>
      </c>
      <c r="N2107" s="1178"/>
      <c r="O2107" s="1178">
        <v>12</v>
      </c>
      <c r="P2107" s="1178">
        <v>13.5</v>
      </c>
    </row>
    <row r="2108" spans="1:16">
      <c r="A2108" s="1178" t="s">
        <v>253</v>
      </c>
      <c r="B2108" s="1371" t="str">
        <f>HYPERLINK(IFERROR("#Main_Tariff!A"&amp;MATCH(Raeburn_Main_Tariff[[#This Row],[Product Code]],Main_Tariff!I:I,0),"#Main_Tariff!A"&amp;MATCH("*"&amp;RIGHT(A2108,8)&amp;"*",Main_Tariff!A:A,0)),Raeburn_Main_Tariff[[#This Row],[PRODUCER]])</f>
        <v>Francois Gaunoux</v>
      </c>
      <c r="C2108" s="1178" t="s">
        <v>21098</v>
      </c>
      <c r="D2108" s="1178" t="s">
        <v>897</v>
      </c>
      <c r="E2108" s="1179">
        <v>2008</v>
      </c>
      <c r="F2108" s="1282" t="s">
        <v>20220</v>
      </c>
      <c r="G2108" s="1368">
        <v>69.5</v>
      </c>
      <c r="H2108" s="1178" t="s">
        <v>20221</v>
      </c>
      <c r="I2108" s="1178" t="s">
        <v>6896</v>
      </c>
      <c r="J2108" s="1178" t="s">
        <v>662</v>
      </c>
      <c r="K2108" s="1178" t="s">
        <v>267</v>
      </c>
      <c r="L2108" s="1178" t="s">
        <v>242</v>
      </c>
      <c r="M2108" s="1369" t="s">
        <v>23297</v>
      </c>
      <c r="N2108" s="1178"/>
      <c r="O2108" s="1178">
        <v>12</v>
      </c>
      <c r="P2108" s="1178">
        <v>13.5</v>
      </c>
    </row>
    <row r="2109" spans="1:16">
      <c r="A2109" s="1178" t="s">
        <v>253</v>
      </c>
      <c r="B2109" s="1371" t="str">
        <f>HYPERLINK(IFERROR("#Main_Tariff!A"&amp;MATCH(Raeburn_Main_Tariff[[#This Row],[Product Code]],Main_Tariff!I:I,0),"#Main_Tariff!A"&amp;MATCH("*"&amp;RIGHT(A2109,8)&amp;"*",Main_Tariff!A:A,0)),Raeburn_Main_Tariff[[#This Row],[PRODUCER]])</f>
        <v>Francois Gaunoux</v>
      </c>
      <c r="C2109" s="1178" t="s">
        <v>21099</v>
      </c>
      <c r="D2109" s="1178" t="s">
        <v>897</v>
      </c>
      <c r="E2109" s="1179">
        <v>2020</v>
      </c>
      <c r="F2109" s="1282" t="s">
        <v>20220</v>
      </c>
      <c r="G2109" s="1368">
        <v>99</v>
      </c>
      <c r="H2109" s="1178" t="s">
        <v>20221</v>
      </c>
      <c r="I2109" s="1178" t="s">
        <v>6898</v>
      </c>
      <c r="J2109" s="1178" t="s">
        <v>662</v>
      </c>
      <c r="K2109" s="1178" t="s">
        <v>267</v>
      </c>
      <c r="L2109" s="1178" t="s">
        <v>242</v>
      </c>
      <c r="M2109" s="1369" t="s">
        <v>23297</v>
      </c>
      <c r="N2109" s="1178"/>
      <c r="O2109" s="1178">
        <v>12</v>
      </c>
      <c r="P2109" s="1178">
        <v>15</v>
      </c>
    </row>
    <row r="2110" spans="1:16">
      <c r="A2110" s="1178" t="s">
        <v>253</v>
      </c>
      <c r="B2110" s="1371" t="str">
        <f>HYPERLINK(IFERROR("#Main_Tariff!A"&amp;MATCH(Raeburn_Main_Tariff[[#This Row],[Product Code]],Main_Tariff!I:I,0),"#Main_Tariff!A"&amp;MATCH("*"&amp;RIGHT(A2110,8)&amp;"*",Main_Tariff!A:A,0)),Raeburn_Main_Tariff[[#This Row],[PRODUCER]])</f>
        <v>Francois Gaunoux</v>
      </c>
      <c r="C2110" s="1178" t="s">
        <v>21099</v>
      </c>
      <c r="D2110" s="1178" t="s">
        <v>897</v>
      </c>
      <c r="E2110" s="1179">
        <v>2019</v>
      </c>
      <c r="F2110" s="1282" t="s">
        <v>20220</v>
      </c>
      <c r="G2110" s="1368">
        <v>99</v>
      </c>
      <c r="H2110" s="1178" t="s">
        <v>20221</v>
      </c>
      <c r="I2110" s="1178" t="s">
        <v>6900</v>
      </c>
      <c r="J2110" s="1178" t="s">
        <v>662</v>
      </c>
      <c r="K2110" s="1178" t="s">
        <v>267</v>
      </c>
      <c r="L2110" s="1178" t="s">
        <v>242</v>
      </c>
      <c r="M2110" s="1369" t="s">
        <v>23297</v>
      </c>
      <c r="N2110" s="1178"/>
      <c r="O2110" s="1178">
        <v>12</v>
      </c>
      <c r="P2110" s="1178">
        <v>13.5</v>
      </c>
    </row>
    <row r="2111" spans="1:16">
      <c r="A2111" s="1178" t="s">
        <v>253</v>
      </c>
      <c r="B2111" s="1371" t="str">
        <f>HYPERLINK(IFERROR("#Main_Tariff!A"&amp;MATCH(Raeburn_Main_Tariff[[#This Row],[Product Code]],Main_Tariff!I:I,0),"#Main_Tariff!A"&amp;MATCH("*"&amp;RIGHT(A2111,8)&amp;"*",Main_Tariff!A:A,0)),Raeburn_Main_Tariff[[#This Row],[PRODUCER]])</f>
        <v>Francois Gaunoux</v>
      </c>
      <c r="C2111" s="1178" t="s">
        <v>21100</v>
      </c>
      <c r="D2111" s="1178" t="s">
        <v>6904</v>
      </c>
      <c r="E2111" s="1179">
        <v>2008</v>
      </c>
      <c r="F2111" s="1282" t="s">
        <v>20220</v>
      </c>
      <c r="G2111" s="1368">
        <v>65.25</v>
      </c>
      <c r="H2111" s="1178" t="s">
        <v>20224</v>
      </c>
      <c r="I2111" s="1178" t="s">
        <v>6905</v>
      </c>
      <c r="J2111" s="1178" t="s">
        <v>662</v>
      </c>
      <c r="K2111" s="1178" t="s">
        <v>267</v>
      </c>
      <c r="L2111" s="1178" t="s">
        <v>242</v>
      </c>
      <c r="M2111" s="1369"/>
      <c r="N2111" s="1178"/>
      <c r="O2111" s="1178">
        <v>12</v>
      </c>
      <c r="P2111" s="1178">
        <v>40</v>
      </c>
    </row>
    <row r="2112" spans="1:16">
      <c r="A2112" s="1178" t="s">
        <v>254</v>
      </c>
      <c r="B2112" s="1371" t="str">
        <f>HYPERLINK(IFERROR("#Main_Tariff!A"&amp;MATCH(Raeburn_Main_Tariff[[#This Row],[Product Code]],Main_Tariff!I:I,0),"#Main_Tariff!A"&amp;MATCH("*"&amp;RIGHT(A2112,8)&amp;"*",Main_Tariff!A:A,0)),Raeburn_Main_Tariff[[#This Row],[PRODUCER]])</f>
        <v>Michel Gaunoux</v>
      </c>
      <c r="C2112" s="1178" t="s">
        <v>20937</v>
      </c>
      <c r="D2112" s="1178" t="s">
        <v>897</v>
      </c>
      <c r="E2112" s="1179">
        <v>2021</v>
      </c>
      <c r="F2112" s="1282" t="s">
        <v>20220</v>
      </c>
      <c r="G2112" s="1368">
        <v>32.5</v>
      </c>
      <c r="H2112" s="1178" t="s">
        <v>20221</v>
      </c>
      <c r="I2112" s="1178" t="s">
        <v>6946</v>
      </c>
      <c r="J2112" s="1178" t="s">
        <v>662</v>
      </c>
      <c r="K2112" s="1178" t="s">
        <v>267</v>
      </c>
      <c r="L2112" s="1178" t="s">
        <v>242</v>
      </c>
      <c r="M2112" s="1369"/>
      <c r="N2112" s="1178"/>
      <c r="O2112" s="1178">
        <v>6</v>
      </c>
      <c r="P2112" s="1178">
        <v>12.5</v>
      </c>
    </row>
    <row r="2113" spans="1:16">
      <c r="A2113" s="1178" t="s">
        <v>254</v>
      </c>
      <c r="B2113" s="1371" t="str">
        <f>HYPERLINK(IFERROR("#Main_Tariff!A"&amp;MATCH(Raeburn_Main_Tariff[[#This Row],[Product Code]],Main_Tariff!I:I,0),"#Main_Tariff!A"&amp;MATCH("*"&amp;RIGHT(A2113,8)&amp;"*",Main_Tariff!A:A,0)),Raeburn_Main_Tariff[[#This Row],[PRODUCER]])</f>
        <v>Michel Gaunoux</v>
      </c>
      <c r="C2113" s="1178" t="s">
        <v>20937</v>
      </c>
      <c r="D2113" s="1178" t="s">
        <v>897</v>
      </c>
      <c r="E2113" s="1179">
        <v>2020</v>
      </c>
      <c r="F2113" s="1282" t="s">
        <v>20220</v>
      </c>
      <c r="G2113" s="1368">
        <v>31.5</v>
      </c>
      <c r="H2113" s="1178" t="s">
        <v>20221</v>
      </c>
      <c r="I2113" s="1178" t="s">
        <v>6948</v>
      </c>
      <c r="J2113" s="1178" t="s">
        <v>662</v>
      </c>
      <c r="K2113" s="1178" t="s">
        <v>267</v>
      </c>
      <c r="L2113" s="1178" t="s">
        <v>242</v>
      </c>
      <c r="M2113" s="1369"/>
      <c r="N2113" s="1178"/>
      <c r="O2113" s="1178">
        <v>6</v>
      </c>
      <c r="P2113" s="1178">
        <v>14.5</v>
      </c>
    </row>
    <row r="2114" spans="1:16">
      <c r="A2114" s="1178" t="s">
        <v>254</v>
      </c>
      <c r="B2114" s="1371" t="str">
        <f>HYPERLINK(IFERROR("#Main_Tariff!A"&amp;MATCH(Raeburn_Main_Tariff[[#This Row],[Product Code]],Main_Tariff!I:I,0),"#Main_Tariff!A"&amp;MATCH("*"&amp;RIGHT(A2114,8)&amp;"*",Main_Tariff!A:A,0)),Raeburn_Main_Tariff[[#This Row],[PRODUCER]])</f>
        <v>Michel Gaunoux</v>
      </c>
      <c r="C2114" s="1178" t="s">
        <v>20937</v>
      </c>
      <c r="D2114" s="1178" t="s">
        <v>897</v>
      </c>
      <c r="E2114" s="1179">
        <v>2019</v>
      </c>
      <c r="F2114" s="1282" t="s">
        <v>20220</v>
      </c>
      <c r="G2114" s="1368">
        <v>30.5</v>
      </c>
      <c r="H2114" s="1178" t="s">
        <v>20221</v>
      </c>
      <c r="I2114" s="1178" t="s">
        <v>6950</v>
      </c>
      <c r="J2114" s="1178" t="s">
        <v>662</v>
      </c>
      <c r="K2114" s="1178" t="s">
        <v>267</v>
      </c>
      <c r="L2114" s="1178" t="s">
        <v>242</v>
      </c>
      <c r="M2114" s="1369"/>
      <c r="N2114" s="1178"/>
      <c r="O2114" s="1178">
        <v>6</v>
      </c>
      <c r="P2114" s="1178">
        <v>14.3</v>
      </c>
    </row>
    <row r="2115" spans="1:16">
      <c r="A2115" s="1178" t="s">
        <v>254</v>
      </c>
      <c r="B2115" s="1371" t="str">
        <f>HYPERLINK(IFERROR("#Main_Tariff!A"&amp;MATCH(Raeburn_Main_Tariff[[#This Row],[Product Code]],Main_Tariff!I:I,0),"#Main_Tariff!A"&amp;MATCH("*"&amp;RIGHT(A2115,8)&amp;"*",Main_Tariff!A:A,0)),Raeburn_Main_Tariff[[#This Row],[PRODUCER]])</f>
        <v>Michel Gaunoux</v>
      </c>
      <c r="C2115" s="1178" t="s">
        <v>20937</v>
      </c>
      <c r="D2115" s="1178" t="s">
        <v>897</v>
      </c>
      <c r="E2115" s="1179">
        <v>2018</v>
      </c>
      <c r="F2115" s="1282" t="s">
        <v>20220</v>
      </c>
      <c r="G2115" s="1368">
        <v>29</v>
      </c>
      <c r="H2115" s="1178" t="s">
        <v>20221</v>
      </c>
      <c r="I2115" s="1178" t="s">
        <v>6952</v>
      </c>
      <c r="J2115" s="1178" t="s">
        <v>662</v>
      </c>
      <c r="K2115" s="1178" t="s">
        <v>267</v>
      </c>
      <c r="L2115" s="1178" t="s">
        <v>242</v>
      </c>
      <c r="M2115" s="1369"/>
      <c r="N2115" s="1178"/>
      <c r="O2115" s="1178">
        <v>6</v>
      </c>
      <c r="P2115" s="1178">
        <v>12</v>
      </c>
    </row>
    <row r="2116" spans="1:16">
      <c r="A2116" s="1178" t="s">
        <v>254</v>
      </c>
      <c r="B2116" s="1371" t="str">
        <f>HYPERLINK(IFERROR("#Main_Tariff!A"&amp;MATCH(Raeburn_Main_Tariff[[#This Row],[Product Code]],Main_Tariff!I:I,0),"#Main_Tariff!A"&amp;MATCH("*"&amp;RIGHT(A2116,8)&amp;"*",Main_Tariff!A:A,0)),Raeburn_Main_Tariff[[#This Row],[PRODUCER]])</f>
        <v>Michel Gaunoux</v>
      </c>
      <c r="C2116" s="1178" t="s">
        <v>20937</v>
      </c>
      <c r="D2116" s="1178" t="s">
        <v>897</v>
      </c>
      <c r="E2116" s="1179">
        <v>2017</v>
      </c>
      <c r="F2116" s="1282" t="s">
        <v>20220</v>
      </c>
      <c r="G2116" s="1368">
        <v>29</v>
      </c>
      <c r="H2116" s="1178" t="s">
        <v>20221</v>
      </c>
      <c r="I2116" s="1178" t="s">
        <v>6954</v>
      </c>
      <c r="J2116" s="1178" t="s">
        <v>662</v>
      </c>
      <c r="K2116" s="1178" t="s">
        <v>267</v>
      </c>
      <c r="L2116" s="1178" t="s">
        <v>242</v>
      </c>
      <c r="M2116" s="1369"/>
      <c r="N2116" s="1178"/>
      <c r="O2116" s="1178">
        <v>6</v>
      </c>
      <c r="P2116" s="1178">
        <v>12</v>
      </c>
    </row>
    <row r="2117" spans="1:16">
      <c r="A2117" s="1178" t="s">
        <v>254</v>
      </c>
      <c r="B2117" s="1371" t="str">
        <f>HYPERLINK(IFERROR("#Main_Tariff!A"&amp;MATCH(Raeburn_Main_Tariff[[#This Row],[Product Code]],Main_Tariff!I:I,0),"#Main_Tariff!A"&amp;MATCH("*"&amp;RIGHT(A2117,8)&amp;"*",Main_Tariff!A:A,0)),Raeburn_Main_Tariff[[#This Row],[PRODUCER]])</f>
        <v>Michel Gaunoux</v>
      </c>
      <c r="C2117" s="1178" t="s">
        <v>21101</v>
      </c>
      <c r="D2117" s="1178" t="s">
        <v>897</v>
      </c>
      <c r="E2117" s="1179">
        <v>2020</v>
      </c>
      <c r="F2117" s="1282" t="s">
        <v>20220</v>
      </c>
      <c r="G2117" s="1368">
        <v>38</v>
      </c>
      <c r="H2117" s="1178" t="s">
        <v>20221</v>
      </c>
      <c r="I2117" s="1178" t="s">
        <v>6957</v>
      </c>
      <c r="J2117" s="1178" t="s">
        <v>662</v>
      </c>
      <c r="K2117" s="1178" t="s">
        <v>267</v>
      </c>
      <c r="L2117" s="1178" t="s">
        <v>242</v>
      </c>
      <c r="M2117" s="1369"/>
      <c r="N2117" s="1178"/>
      <c r="O2117" s="1178">
        <v>6</v>
      </c>
      <c r="P2117" s="1178">
        <v>14</v>
      </c>
    </row>
    <row r="2118" spans="1:16">
      <c r="A2118" s="1178" t="s">
        <v>254</v>
      </c>
      <c r="B2118" s="1371" t="str">
        <f>HYPERLINK(IFERROR("#Main_Tariff!A"&amp;MATCH(Raeburn_Main_Tariff[[#This Row],[Product Code]],Main_Tariff!I:I,0),"#Main_Tariff!A"&amp;MATCH("*"&amp;RIGHT(A2118,8)&amp;"*",Main_Tariff!A:A,0)),Raeburn_Main_Tariff[[#This Row],[PRODUCER]])</f>
        <v>Michel Gaunoux</v>
      </c>
      <c r="C2118" s="1178" t="s">
        <v>21101</v>
      </c>
      <c r="D2118" s="1178" t="s">
        <v>897</v>
      </c>
      <c r="E2118" s="1179">
        <v>2019</v>
      </c>
      <c r="F2118" s="1282" t="s">
        <v>20220</v>
      </c>
      <c r="G2118" s="1368">
        <v>38</v>
      </c>
      <c r="H2118" s="1178" t="s">
        <v>20221</v>
      </c>
      <c r="I2118" s="1178" t="s">
        <v>6959</v>
      </c>
      <c r="J2118" s="1178" t="s">
        <v>662</v>
      </c>
      <c r="K2118" s="1178" t="s">
        <v>267</v>
      </c>
      <c r="L2118" s="1178" t="s">
        <v>242</v>
      </c>
      <c r="M2118" s="1369"/>
      <c r="N2118" s="1178"/>
      <c r="O2118" s="1178">
        <v>6</v>
      </c>
      <c r="P2118" s="1178">
        <v>14.2</v>
      </c>
    </row>
    <row r="2119" spans="1:16">
      <c r="A2119" s="1178" t="s">
        <v>254</v>
      </c>
      <c r="B2119" s="1371" t="str">
        <f>HYPERLINK(IFERROR("#Main_Tariff!A"&amp;MATCH(Raeburn_Main_Tariff[[#This Row],[Product Code]],Main_Tariff!I:I,0),"#Main_Tariff!A"&amp;MATCH("*"&amp;RIGHT(A2119,8)&amp;"*",Main_Tariff!A:A,0)),Raeburn_Main_Tariff[[#This Row],[PRODUCER]])</f>
        <v>Michel Gaunoux</v>
      </c>
      <c r="C2119" s="1178" t="s">
        <v>21101</v>
      </c>
      <c r="D2119" s="1178" t="s">
        <v>897</v>
      </c>
      <c r="E2119" s="1179">
        <v>2018</v>
      </c>
      <c r="F2119" s="1282" t="s">
        <v>20220</v>
      </c>
      <c r="G2119" s="1368">
        <v>36</v>
      </c>
      <c r="H2119" s="1178" t="s">
        <v>20221</v>
      </c>
      <c r="I2119" s="1178" t="s">
        <v>6961</v>
      </c>
      <c r="J2119" s="1178" t="s">
        <v>662</v>
      </c>
      <c r="K2119" s="1178" t="s">
        <v>267</v>
      </c>
      <c r="L2119" s="1178" t="s">
        <v>242</v>
      </c>
      <c r="M2119" s="1369"/>
      <c r="N2119" s="1178"/>
      <c r="O2119" s="1178">
        <v>6</v>
      </c>
      <c r="P2119" s="1178">
        <v>12.5</v>
      </c>
    </row>
    <row r="2120" spans="1:16">
      <c r="A2120" s="1178" t="s">
        <v>254</v>
      </c>
      <c r="B2120" s="1371" t="str">
        <f>HYPERLINK(IFERROR("#Main_Tariff!A"&amp;MATCH(Raeburn_Main_Tariff[[#This Row],[Product Code]],Main_Tariff!I:I,0),"#Main_Tariff!A"&amp;MATCH("*"&amp;RIGHT(A2120,8)&amp;"*",Main_Tariff!A:A,0)),Raeburn_Main_Tariff[[#This Row],[PRODUCER]])</f>
        <v>Michel Gaunoux</v>
      </c>
      <c r="C2120" s="1178" t="s">
        <v>21101</v>
      </c>
      <c r="D2120" s="1178" t="s">
        <v>897</v>
      </c>
      <c r="E2120" s="1179">
        <v>2017</v>
      </c>
      <c r="F2120" s="1282" t="s">
        <v>20220</v>
      </c>
      <c r="G2120" s="1368">
        <v>36</v>
      </c>
      <c r="H2120" s="1178" t="s">
        <v>20221</v>
      </c>
      <c r="I2120" s="1178" t="s">
        <v>6963</v>
      </c>
      <c r="J2120" s="1178" t="s">
        <v>662</v>
      </c>
      <c r="K2120" s="1178" t="s">
        <v>267</v>
      </c>
      <c r="L2120" s="1178" t="s">
        <v>242</v>
      </c>
      <c r="M2120" s="1369"/>
      <c r="N2120" s="1178"/>
      <c r="O2120" s="1178">
        <v>6</v>
      </c>
      <c r="P2120" s="1178">
        <v>12.5</v>
      </c>
    </row>
    <row r="2121" spans="1:16">
      <c r="A2121" s="1178" t="s">
        <v>254</v>
      </c>
      <c r="B2121" s="1371" t="str">
        <f>HYPERLINK(IFERROR("#Main_Tariff!A"&amp;MATCH(Raeburn_Main_Tariff[[#This Row],[Product Code]],Main_Tariff!I:I,0),"#Main_Tariff!A"&amp;MATCH("*"&amp;RIGHT(A2121,8)&amp;"*",Main_Tariff!A:A,0)),Raeburn_Main_Tariff[[#This Row],[PRODUCER]])</f>
        <v>Michel Gaunoux</v>
      </c>
      <c r="C2121" s="1178" t="s">
        <v>21101</v>
      </c>
      <c r="D2121" s="1178" t="s">
        <v>897</v>
      </c>
      <c r="E2121" s="1179">
        <v>2007</v>
      </c>
      <c r="F2121" s="1282" t="s">
        <v>20220</v>
      </c>
      <c r="G2121" s="1368">
        <v>35</v>
      </c>
      <c r="H2121" s="1178" t="s">
        <v>20221</v>
      </c>
      <c r="I2121" s="1178" t="s">
        <v>6965</v>
      </c>
      <c r="J2121" s="1178" t="s">
        <v>662</v>
      </c>
      <c r="K2121" s="1178" t="s">
        <v>267</v>
      </c>
      <c r="L2121" s="1178" t="s">
        <v>242</v>
      </c>
      <c r="M2121" s="1369"/>
      <c r="N2121" s="1178"/>
      <c r="O2121" s="1178">
        <v>6</v>
      </c>
      <c r="P2121" s="1178">
        <v>12.5</v>
      </c>
    </row>
    <row r="2122" spans="1:16">
      <c r="A2122" s="1178" t="s">
        <v>254</v>
      </c>
      <c r="B2122" s="1371" t="str">
        <f>HYPERLINK(IFERROR("#Main_Tariff!A"&amp;MATCH(Raeburn_Main_Tariff[[#This Row],[Product Code]],Main_Tariff!I:I,0),"#Main_Tariff!A"&amp;MATCH("*"&amp;RIGHT(A2122,8)&amp;"*",Main_Tariff!A:A,0)),Raeburn_Main_Tariff[[#This Row],[PRODUCER]])</f>
        <v>Michel Gaunoux</v>
      </c>
      <c r="C2122" s="1178" t="s">
        <v>21101</v>
      </c>
      <c r="D2122" s="1178" t="s">
        <v>897</v>
      </c>
      <c r="E2122" s="1179">
        <v>1995</v>
      </c>
      <c r="F2122" s="1282" t="s">
        <v>20220</v>
      </c>
      <c r="G2122" s="1368">
        <v>59.5</v>
      </c>
      <c r="H2122" s="1178" t="s">
        <v>20221</v>
      </c>
      <c r="I2122" s="1178" t="s">
        <v>6967</v>
      </c>
      <c r="J2122" s="1178" t="s">
        <v>662</v>
      </c>
      <c r="K2122" s="1178" t="s">
        <v>267</v>
      </c>
      <c r="L2122" s="1178" t="s">
        <v>242</v>
      </c>
      <c r="M2122" s="1369"/>
      <c r="N2122" s="1178"/>
      <c r="O2122" s="1178">
        <v>6</v>
      </c>
      <c r="P2122" s="1178">
        <v>12.5</v>
      </c>
    </row>
    <row r="2123" spans="1:16">
      <c r="A2123" s="1178" t="s">
        <v>254</v>
      </c>
      <c r="B2123" s="1371" t="str">
        <f>HYPERLINK(IFERROR("#Main_Tariff!A"&amp;MATCH(Raeburn_Main_Tariff[[#This Row],[Product Code]],Main_Tariff!I:I,0),"#Main_Tariff!A"&amp;MATCH("*"&amp;RIGHT(A2123,8)&amp;"*",Main_Tariff!A:A,0)),Raeburn_Main_Tariff[[#This Row],[PRODUCER]])</f>
        <v>Michel Gaunoux</v>
      </c>
      <c r="C2123" s="1178" t="s">
        <v>21102</v>
      </c>
      <c r="D2123" s="1178" t="s">
        <v>897</v>
      </c>
      <c r="E2123" s="1179">
        <v>2014</v>
      </c>
      <c r="F2123" s="1282" t="s">
        <v>20220</v>
      </c>
      <c r="G2123" s="1368">
        <v>76.5</v>
      </c>
      <c r="H2123" s="1178" t="s">
        <v>20221</v>
      </c>
      <c r="I2123" s="1178" t="s">
        <v>6971</v>
      </c>
      <c r="J2123" s="1178" t="s">
        <v>662</v>
      </c>
      <c r="K2123" s="1178" t="s">
        <v>267</v>
      </c>
      <c r="L2123" s="1178" t="s">
        <v>242</v>
      </c>
      <c r="M2123" s="1369" t="s">
        <v>23297</v>
      </c>
      <c r="N2123" s="1178"/>
      <c r="O2123" s="1178">
        <v>6</v>
      </c>
      <c r="P2123" s="1178">
        <v>13.5</v>
      </c>
    </row>
    <row r="2124" spans="1:16">
      <c r="A2124" s="1178" t="s">
        <v>254</v>
      </c>
      <c r="B2124" s="1371" t="str">
        <f>HYPERLINK(IFERROR("#Main_Tariff!A"&amp;MATCH(Raeburn_Main_Tariff[[#This Row],[Product Code]],Main_Tariff!I:I,0),"#Main_Tariff!A"&amp;MATCH("*"&amp;RIGHT(A2124,8)&amp;"*",Main_Tariff!A:A,0)),Raeburn_Main_Tariff[[#This Row],[PRODUCER]])</f>
        <v>Michel Gaunoux</v>
      </c>
      <c r="C2124" s="1178" t="s">
        <v>21103</v>
      </c>
      <c r="D2124" s="1178" t="s">
        <v>897</v>
      </c>
      <c r="E2124" s="1179">
        <v>2020</v>
      </c>
      <c r="F2124" s="1282" t="s">
        <v>20220</v>
      </c>
      <c r="G2124" s="1368">
        <v>88.5</v>
      </c>
      <c r="H2124" s="1178" t="s">
        <v>20221</v>
      </c>
      <c r="I2124" s="1178" t="s">
        <v>6972</v>
      </c>
      <c r="J2124" s="1178" t="s">
        <v>662</v>
      </c>
      <c r="K2124" s="1178" t="s">
        <v>267</v>
      </c>
      <c r="L2124" s="1178" t="s">
        <v>242</v>
      </c>
      <c r="M2124" s="1369" t="s">
        <v>23297</v>
      </c>
      <c r="N2124" s="1178"/>
      <c r="O2124" s="1178">
        <v>6</v>
      </c>
      <c r="P2124" s="1178">
        <v>14.5</v>
      </c>
    </row>
    <row r="2125" spans="1:16">
      <c r="A2125" s="1178" t="s">
        <v>254</v>
      </c>
      <c r="B2125" s="1371" t="str">
        <f>HYPERLINK(IFERROR("#Main_Tariff!A"&amp;MATCH(Raeburn_Main_Tariff[[#This Row],[Product Code]],Main_Tariff!I:I,0),"#Main_Tariff!A"&amp;MATCH("*"&amp;RIGHT(A2125,8)&amp;"*",Main_Tariff!A:A,0)),Raeburn_Main_Tariff[[#This Row],[PRODUCER]])</f>
        <v>Michel Gaunoux</v>
      </c>
      <c r="C2125" s="1178" t="s">
        <v>21103</v>
      </c>
      <c r="D2125" s="1178" t="s">
        <v>897</v>
      </c>
      <c r="E2125" s="1179">
        <v>2019</v>
      </c>
      <c r="F2125" s="1282" t="s">
        <v>20220</v>
      </c>
      <c r="G2125" s="1368">
        <v>88.5</v>
      </c>
      <c r="H2125" s="1178" t="s">
        <v>20221</v>
      </c>
      <c r="I2125" s="1178" t="s">
        <v>6974</v>
      </c>
      <c r="J2125" s="1178" t="s">
        <v>662</v>
      </c>
      <c r="K2125" s="1178" t="s">
        <v>267</v>
      </c>
      <c r="L2125" s="1178" t="s">
        <v>242</v>
      </c>
      <c r="M2125" s="1369" t="s">
        <v>23297</v>
      </c>
      <c r="N2125" s="1178"/>
      <c r="O2125" s="1178">
        <v>6</v>
      </c>
      <c r="P2125" s="1178">
        <v>15</v>
      </c>
    </row>
    <row r="2126" spans="1:16">
      <c r="A2126" s="1178" t="s">
        <v>254</v>
      </c>
      <c r="B2126" s="1371" t="str">
        <f>HYPERLINK(IFERROR("#Main_Tariff!A"&amp;MATCH(Raeburn_Main_Tariff[[#This Row],[Product Code]],Main_Tariff!I:I,0),"#Main_Tariff!A"&amp;MATCH("*"&amp;RIGHT(A2126,8)&amp;"*",Main_Tariff!A:A,0)),Raeburn_Main_Tariff[[#This Row],[PRODUCER]])</f>
        <v>Michel Gaunoux</v>
      </c>
      <c r="C2126" s="1178" t="s">
        <v>21103</v>
      </c>
      <c r="D2126" s="1178" t="s">
        <v>897</v>
      </c>
      <c r="E2126" s="1179">
        <v>1999</v>
      </c>
      <c r="F2126" s="1282" t="s">
        <v>20220</v>
      </c>
      <c r="G2126" s="1368">
        <v>130</v>
      </c>
      <c r="H2126" s="1178" t="s">
        <v>20224</v>
      </c>
      <c r="I2126" s="1178" t="s">
        <v>6976</v>
      </c>
      <c r="J2126" s="1178" t="s">
        <v>662</v>
      </c>
      <c r="K2126" s="1178" t="s">
        <v>267</v>
      </c>
      <c r="L2126" s="1178" t="s">
        <v>242</v>
      </c>
      <c r="M2126" s="1369" t="s">
        <v>23297</v>
      </c>
      <c r="N2126" s="1178"/>
      <c r="O2126" s="1178">
        <v>6</v>
      </c>
      <c r="P2126" s="1178">
        <v>13.5</v>
      </c>
    </row>
    <row r="2127" spans="1:16">
      <c r="A2127" s="1178" t="s">
        <v>254</v>
      </c>
      <c r="B2127" s="1371" t="str">
        <f>HYPERLINK(IFERROR("#Main_Tariff!A"&amp;MATCH(Raeburn_Main_Tariff[[#This Row],[Product Code]],Main_Tariff!I:I,0),"#Main_Tariff!A"&amp;MATCH("*"&amp;RIGHT(A2127,8)&amp;"*",Main_Tariff!A:A,0)),Raeburn_Main_Tariff[[#This Row],[PRODUCER]])</f>
        <v>Michel Gaunoux</v>
      </c>
      <c r="C2127" s="1178" t="s">
        <v>21103</v>
      </c>
      <c r="D2127" s="1178" t="s">
        <v>897</v>
      </c>
      <c r="E2127" s="1179">
        <v>1997</v>
      </c>
      <c r="F2127" s="1282" t="s">
        <v>20220</v>
      </c>
      <c r="G2127" s="1368">
        <v>120</v>
      </c>
      <c r="H2127" s="1178" t="s">
        <v>20221</v>
      </c>
      <c r="I2127" s="1178" t="s">
        <v>6978</v>
      </c>
      <c r="J2127" s="1178" t="s">
        <v>662</v>
      </c>
      <c r="K2127" s="1178" t="s">
        <v>267</v>
      </c>
      <c r="L2127" s="1178" t="s">
        <v>242</v>
      </c>
      <c r="M2127" s="1369" t="s">
        <v>23297</v>
      </c>
      <c r="N2127" s="1178"/>
      <c r="O2127" s="1178">
        <v>6</v>
      </c>
      <c r="P2127" s="1178">
        <v>13.5</v>
      </c>
    </row>
    <row r="2128" spans="1:16">
      <c r="A2128" s="1178" t="s">
        <v>254</v>
      </c>
      <c r="B2128" s="1371" t="str">
        <f>HYPERLINK(IFERROR("#Main_Tariff!A"&amp;MATCH(Raeburn_Main_Tariff[[#This Row],[Product Code]],Main_Tariff!I:I,0),"#Main_Tariff!A"&amp;MATCH("*"&amp;RIGHT(A2128,8)&amp;"*",Main_Tariff!A:A,0)),Raeburn_Main_Tariff[[#This Row],[PRODUCER]])</f>
        <v>Michel Gaunoux</v>
      </c>
      <c r="C2128" s="1178" t="s">
        <v>21104</v>
      </c>
      <c r="D2128" s="1178" t="s">
        <v>897</v>
      </c>
      <c r="E2128" s="1179">
        <v>2021</v>
      </c>
      <c r="F2128" s="1282" t="s">
        <v>20220</v>
      </c>
      <c r="G2128" s="1368">
        <v>89</v>
      </c>
      <c r="H2128" s="1178" t="s">
        <v>20221</v>
      </c>
      <c r="I2128" s="1178" t="s">
        <v>6980</v>
      </c>
      <c r="J2128" s="1178" t="s">
        <v>662</v>
      </c>
      <c r="K2128" s="1178" t="s">
        <v>267</v>
      </c>
      <c r="L2128" s="1178" t="s">
        <v>242</v>
      </c>
      <c r="M2128" s="1369" t="s">
        <v>23297</v>
      </c>
      <c r="N2128" s="1178"/>
      <c r="O2128" s="1178">
        <v>6</v>
      </c>
      <c r="P2128" s="1178">
        <v>13.5</v>
      </c>
    </row>
    <row r="2129" spans="1:16">
      <c r="A2129" s="1178" t="s">
        <v>254</v>
      </c>
      <c r="B2129" s="1371" t="str">
        <f>HYPERLINK(IFERROR("#Main_Tariff!A"&amp;MATCH(Raeburn_Main_Tariff[[#This Row],[Product Code]],Main_Tariff!I:I,0),"#Main_Tariff!A"&amp;MATCH("*"&amp;RIGHT(A2129,8)&amp;"*",Main_Tariff!A:A,0)),Raeburn_Main_Tariff[[#This Row],[PRODUCER]])</f>
        <v>Michel Gaunoux</v>
      </c>
      <c r="C2129" s="1178" t="s">
        <v>21104</v>
      </c>
      <c r="D2129" s="1178" t="s">
        <v>897</v>
      </c>
      <c r="E2129" s="1179">
        <v>2020</v>
      </c>
      <c r="F2129" s="1282" t="s">
        <v>20220</v>
      </c>
      <c r="G2129" s="1368">
        <v>89</v>
      </c>
      <c r="H2129" s="1178" t="s">
        <v>20221</v>
      </c>
      <c r="I2129" s="1178" t="s">
        <v>6982</v>
      </c>
      <c r="J2129" s="1178" t="s">
        <v>662</v>
      </c>
      <c r="K2129" s="1178" t="s">
        <v>267</v>
      </c>
      <c r="L2129" s="1178" t="s">
        <v>242</v>
      </c>
      <c r="M2129" s="1369" t="s">
        <v>23297</v>
      </c>
      <c r="N2129" s="1178"/>
      <c r="O2129" s="1178">
        <v>6</v>
      </c>
      <c r="P2129" s="1178">
        <v>15.5</v>
      </c>
    </row>
    <row r="2130" spans="1:16">
      <c r="A2130" s="1178" t="s">
        <v>254</v>
      </c>
      <c r="B2130" s="1371" t="str">
        <f>HYPERLINK(IFERROR("#Main_Tariff!A"&amp;MATCH(Raeburn_Main_Tariff[[#This Row],[Product Code]],Main_Tariff!I:I,0),"#Main_Tariff!A"&amp;MATCH("*"&amp;RIGHT(A2130,8)&amp;"*",Main_Tariff!A:A,0)),Raeburn_Main_Tariff[[#This Row],[PRODUCER]])</f>
        <v>Michel Gaunoux</v>
      </c>
      <c r="C2130" s="1178" t="s">
        <v>21104</v>
      </c>
      <c r="D2130" s="1178" t="s">
        <v>897</v>
      </c>
      <c r="E2130" s="1179">
        <v>2011</v>
      </c>
      <c r="F2130" s="1282" t="s">
        <v>20220</v>
      </c>
      <c r="G2130" s="1368">
        <v>85</v>
      </c>
      <c r="H2130" s="1178" t="s">
        <v>20221</v>
      </c>
      <c r="I2130" s="1178" t="s">
        <v>6984</v>
      </c>
      <c r="J2130" s="1178" t="s">
        <v>662</v>
      </c>
      <c r="K2130" s="1178" t="s">
        <v>267</v>
      </c>
      <c r="L2130" s="1178" t="s">
        <v>242</v>
      </c>
      <c r="M2130" s="1369" t="s">
        <v>23297</v>
      </c>
      <c r="N2130" s="1178"/>
      <c r="O2130" s="1178">
        <v>6</v>
      </c>
      <c r="P2130" s="1178">
        <v>13.5</v>
      </c>
    </row>
    <row r="2131" spans="1:16">
      <c r="A2131" s="1178" t="s">
        <v>254</v>
      </c>
      <c r="B2131" s="1371" t="str">
        <f>HYPERLINK(IFERROR("#Main_Tariff!A"&amp;MATCH(Raeburn_Main_Tariff[[#This Row],[Product Code]],Main_Tariff!I:I,0),"#Main_Tariff!A"&amp;MATCH("*"&amp;RIGHT(A2131,8)&amp;"*",Main_Tariff!A:A,0)),Raeburn_Main_Tariff[[#This Row],[PRODUCER]])</f>
        <v>Michel Gaunoux</v>
      </c>
      <c r="C2131" s="1178" t="s">
        <v>21104</v>
      </c>
      <c r="D2131" s="1178" t="s">
        <v>897</v>
      </c>
      <c r="E2131" s="1179">
        <v>2007</v>
      </c>
      <c r="F2131" s="1282" t="s">
        <v>20220</v>
      </c>
      <c r="G2131" s="1368">
        <v>83</v>
      </c>
      <c r="H2131" s="1178" t="s">
        <v>20221</v>
      </c>
      <c r="I2131" s="1178" t="s">
        <v>6985</v>
      </c>
      <c r="J2131" s="1178" t="s">
        <v>662</v>
      </c>
      <c r="K2131" s="1178" t="s">
        <v>267</v>
      </c>
      <c r="L2131" s="1178" t="s">
        <v>242</v>
      </c>
      <c r="M2131" s="1369" t="s">
        <v>23297</v>
      </c>
      <c r="N2131" s="1178"/>
      <c r="O2131" s="1178">
        <v>6</v>
      </c>
      <c r="P2131" s="1178">
        <v>12.5</v>
      </c>
    </row>
    <row r="2132" spans="1:16">
      <c r="A2132" s="1178" t="s">
        <v>254</v>
      </c>
      <c r="B2132" s="1371" t="str">
        <f>HYPERLINK(IFERROR("#Main_Tariff!A"&amp;MATCH(Raeburn_Main_Tariff[[#This Row],[Product Code]],Main_Tariff!I:I,0),"#Main_Tariff!A"&amp;MATCH("*"&amp;RIGHT(A2132,8)&amp;"*",Main_Tariff!A:A,0)),Raeburn_Main_Tariff[[#This Row],[PRODUCER]])</f>
        <v>Michel Gaunoux</v>
      </c>
      <c r="C2132" s="1178" t="s">
        <v>21104</v>
      </c>
      <c r="D2132" s="1178" t="s">
        <v>897</v>
      </c>
      <c r="E2132" s="1179">
        <v>2005</v>
      </c>
      <c r="F2132" s="1282" t="s">
        <v>20220</v>
      </c>
      <c r="G2132" s="1368">
        <v>99.5</v>
      </c>
      <c r="H2132" s="1178" t="s">
        <v>20221</v>
      </c>
      <c r="I2132" s="1178" t="s">
        <v>6987</v>
      </c>
      <c r="J2132" s="1178" t="s">
        <v>662</v>
      </c>
      <c r="K2132" s="1178" t="s">
        <v>267</v>
      </c>
      <c r="L2132" s="1178" t="s">
        <v>242</v>
      </c>
      <c r="M2132" s="1369" t="s">
        <v>23297</v>
      </c>
      <c r="N2132" s="1178"/>
      <c r="O2132" s="1178">
        <v>6</v>
      </c>
      <c r="P2132" s="1178">
        <v>13.5</v>
      </c>
    </row>
    <row r="2133" spans="1:16">
      <c r="A2133" s="1178" t="s">
        <v>254</v>
      </c>
      <c r="B2133" s="1371" t="str">
        <f>HYPERLINK(IFERROR("#Main_Tariff!A"&amp;MATCH(Raeburn_Main_Tariff[[#This Row],[Product Code]],Main_Tariff!I:I,0),"#Main_Tariff!A"&amp;MATCH("*"&amp;RIGHT(A2133,8)&amp;"*",Main_Tariff!A:A,0)),Raeburn_Main_Tariff[[#This Row],[PRODUCER]])</f>
        <v>Michel Gaunoux</v>
      </c>
      <c r="C2133" s="1178" t="s">
        <v>21066</v>
      </c>
      <c r="D2133" s="1178" t="s">
        <v>897</v>
      </c>
      <c r="E2133" s="1179">
        <v>2021</v>
      </c>
      <c r="F2133" s="1282" t="s">
        <v>20220</v>
      </c>
      <c r="G2133" s="1368">
        <v>94</v>
      </c>
      <c r="H2133" s="1178" t="s">
        <v>20221</v>
      </c>
      <c r="I2133" s="1178" t="s">
        <v>6989</v>
      </c>
      <c r="J2133" s="1178" t="s">
        <v>662</v>
      </c>
      <c r="K2133" s="1178" t="s">
        <v>267</v>
      </c>
      <c r="L2133" s="1178" t="s">
        <v>242</v>
      </c>
      <c r="M2133" s="1369" t="s">
        <v>23297</v>
      </c>
      <c r="N2133" s="1178"/>
      <c r="O2133" s="1178">
        <v>6</v>
      </c>
      <c r="P2133" s="1178">
        <v>13.5</v>
      </c>
    </row>
    <row r="2134" spans="1:16">
      <c r="A2134" s="1178" t="s">
        <v>254</v>
      </c>
      <c r="B2134" s="1371" t="str">
        <f>HYPERLINK(IFERROR("#Main_Tariff!A"&amp;MATCH(Raeburn_Main_Tariff[[#This Row],[Product Code]],Main_Tariff!I:I,0),"#Main_Tariff!A"&amp;MATCH("*"&amp;RIGHT(A2134,8)&amp;"*",Main_Tariff!A:A,0)),Raeburn_Main_Tariff[[#This Row],[PRODUCER]])</f>
        <v>Michel Gaunoux</v>
      </c>
      <c r="C2134" s="1178" t="s">
        <v>21066</v>
      </c>
      <c r="D2134" s="1178" t="s">
        <v>897</v>
      </c>
      <c r="E2134" s="1179">
        <v>2020</v>
      </c>
      <c r="F2134" s="1282" t="s">
        <v>20220</v>
      </c>
      <c r="G2134" s="1368">
        <v>94</v>
      </c>
      <c r="H2134" s="1178" t="s">
        <v>20221</v>
      </c>
      <c r="I2134" s="1178" t="s">
        <v>6991</v>
      </c>
      <c r="J2134" s="1178" t="s">
        <v>662</v>
      </c>
      <c r="K2134" s="1178" t="s">
        <v>267</v>
      </c>
      <c r="L2134" s="1178" t="s">
        <v>242</v>
      </c>
      <c r="M2134" s="1369" t="s">
        <v>23297</v>
      </c>
      <c r="N2134" s="1178"/>
      <c r="O2134" s="1178">
        <v>6</v>
      </c>
      <c r="P2134" s="1178">
        <v>14.5</v>
      </c>
    </row>
    <row r="2135" spans="1:16">
      <c r="A2135" s="1178" t="s">
        <v>254</v>
      </c>
      <c r="B2135" s="1371" t="str">
        <f>HYPERLINK(IFERROR("#Main_Tariff!A"&amp;MATCH(Raeburn_Main_Tariff[[#This Row],[Product Code]],Main_Tariff!I:I,0),"#Main_Tariff!A"&amp;MATCH("*"&amp;RIGHT(A2135,8)&amp;"*",Main_Tariff!A:A,0)),Raeburn_Main_Tariff[[#This Row],[PRODUCER]])</f>
        <v>Michel Gaunoux</v>
      </c>
      <c r="C2135" s="1178" t="s">
        <v>21066</v>
      </c>
      <c r="D2135" s="1178" t="s">
        <v>897</v>
      </c>
      <c r="E2135" s="1179">
        <v>2019</v>
      </c>
      <c r="F2135" s="1282" t="s">
        <v>20220</v>
      </c>
      <c r="G2135" s="1368">
        <v>94</v>
      </c>
      <c r="H2135" s="1178" t="s">
        <v>20224</v>
      </c>
      <c r="I2135" s="1178" t="s">
        <v>6992</v>
      </c>
      <c r="J2135" s="1178" t="s">
        <v>662</v>
      </c>
      <c r="K2135" s="1178" t="s">
        <v>267</v>
      </c>
      <c r="L2135" s="1178" t="s">
        <v>242</v>
      </c>
      <c r="M2135" s="1369" t="s">
        <v>23297</v>
      </c>
      <c r="N2135" s="1178"/>
      <c r="O2135" s="1178">
        <v>6</v>
      </c>
      <c r="P2135" s="1178">
        <v>14</v>
      </c>
    </row>
    <row r="2136" spans="1:16">
      <c r="A2136" s="1178" t="s">
        <v>254</v>
      </c>
      <c r="B2136" s="1371" t="str">
        <f>HYPERLINK(IFERROR("#Main_Tariff!A"&amp;MATCH(Raeburn_Main_Tariff[[#This Row],[Product Code]],Main_Tariff!I:I,0),"#Main_Tariff!A"&amp;MATCH("*"&amp;RIGHT(A2136,8)&amp;"*",Main_Tariff!A:A,0)),Raeburn_Main_Tariff[[#This Row],[PRODUCER]])</f>
        <v>Michel Gaunoux</v>
      </c>
      <c r="C2136" s="1178" t="s">
        <v>21066</v>
      </c>
      <c r="D2136" s="1178" t="s">
        <v>897</v>
      </c>
      <c r="E2136" s="1179">
        <v>2013</v>
      </c>
      <c r="F2136" s="1282" t="s">
        <v>20220</v>
      </c>
      <c r="G2136" s="1368">
        <v>85.5</v>
      </c>
      <c r="H2136" s="1178" t="s">
        <v>20221</v>
      </c>
      <c r="I2136" s="1178" t="s">
        <v>6993</v>
      </c>
      <c r="J2136" s="1178" t="s">
        <v>662</v>
      </c>
      <c r="K2136" s="1178" t="s">
        <v>267</v>
      </c>
      <c r="L2136" s="1178" t="s">
        <v>242</v>
      </c>
      <c r="M2136" s="1369" t="s">
        <v>23297</v>
      </c>
      <c r="N2136" s="1178"/>
      <c r="O2136" s="1178">
        <v>6</v>
      </c>
      <c r="P2136" s="1178">
        <v>13.5</v>
      </c>
    </row>
    <row r="2137" spans="1:16">
      <c r="A2137" s="1178" t="s">
        <v>254</v>
      </c>
      <c r="B2137" s="1371" t="str">
        <f>HYPERLINK(IFERROR("#Main_Tariff!A"&amp;MATCH(Raeburn_Main_Tariff[[#This Row],[Product Code]],Main_Tariff!I:I,0),"#Main_Tariff!A"&amp;MATCH("*"&amp;RIGHT(A2137,8)&amp;"*",Main_Tariff!A:A,0)),Raeburn_Main_Tariff[[#This Row],[PRODUCER]])</f>
        <v>Michel Gaunoux</v>
      </c>
      <c r="C2137" s="1178" t="s">
        <v>21066</v>
      </c>
      <c r="D2137" s="1178" t="s">
        <v>897</v>
      </c>
      <c r="E2137" s="1179">
        <v>2007</v>
      </c>
      <c r="F2137" s="1282" t="s">
        <v>20220</v>
      </c>
      <c r="G2137" s="1368">
        <v>89.5</v>
      </c>
      <c r="H2137" s="1178" t="s">
        <v>20221</v>
      </c>
      <c r="I2137" s="1178" t="s">
        <v>6994</v>
      </c>
      <c r="J2137" s="1178" t="s">
        <v>662</v>
      </c>
      <c r="K2137" s="1178" t="s">
        <v>267</v>
      </c>
      <c r="L2137" s="1178" t="s">
        <v>242</v>
      </c>
      <c r="M2137" s="1369" t="s">
        <v>23297</v>
      </c>
      <c r="N2137" s="1178"/>
      <c r="O2137" s="1178">
        <v>6</v>
      </c>
      <c r="P2137" s="1178">
        <v>13.5</v>
      </c>
    </row>
    <row r="2138" spans="1:16">
      <c r="A2138" s="1178" t="s">
        <v>254</v>
      </c>
      <c r="B2138" s="1371" t="str">
        <f>HYPERLINK(IFERROR("#Main_Tariff!A"&amp;MATCH(Raeburn_Main_Tariff[[#This Row],[Product Code]],Main_Tariff!I:I,0),"#Main_Tariff!A"&amp;MATCH("*"&amp;RIGHT(A2138,8)&amp;"*",Main_Tariff!A:A,0)),Raeburn_Main_Tariff[[#This Row],[PRODUCER]])</f>
        <v>Michel Gaunoux</v>
      </c>
      <c r="C2138" s="1178" t="s">
        <v>21066</v>
      </c>
      <c r="D2138" s="1178" t="s">
        <v>897</v>
      </c>
      <c r="E2138" s="1179">
        <v>2005</v>
      </c>
      <c r="F2138" s="1282" t="s">
        <v>20220</v>
      </c>
      <c r="G2138" s="1368">
        <v>99.5</v>
      </c>
      <c r="H2138" s="1178" t="s">
        <v>20221</v>
      </c>
      <c r="I2138" s="1178" t="s">
        <v>6995</v>
      </c>
      <c r="J2138" s="1178" t="s">
        <v>662</v>
      </c>
      <c r="K2138" s="1178" t="s">
        <v>267</v>
      </c>
      <c r="L2138" s="1178" t="s">
        <v>242</v>
      </c>
      <c r="M2138" s="1369" t="s">
        <v>23297</v>
      </c>
      <c r="N2138" s="1178"/>
      <c r="O2138" s="1178">
        <v>6</v>
      </c>
      <c r="P2138" s="1178">
        <v>13.5</v>
      </c>
    </row>
    <row r="2139" spans="1:16">
      <c r="A2139" s="1178" t="s">
        <v>254</v>
      </c>
      <c r="B2139" s="1371" t="str">
        <f>HYPERLINK(IFERROR("#Main_Tariff!A"&amp;MATCH(Raeburn_Main_Tariff[[#This Row],[Product Code]],Main_Tariff!I:I,0),"#Main_Tariff!A"&amp;MATCH("*"&amp;RIGHT(A2139,8)&amp;"*",Main_Tariff!A:A,0)),Raeburn_Main_Tariff[[#This Row],[PRODUCER]])</f>
        <v>Michel Gaunoux</v>
      </c>
      <c r="C2139" s="1178" t="s">
        <v>21105</v>
      </c>
      <c r="D2139" s="1178" t="s">
        <v>897</v>
      </c>
      <c r="E2139" s="1179">
        <v>2021</v>
      </c>
      <c r="F2139" s="1282" t="s">
        <v>20220</v>
      </c>
      <c r="G2139" s="1368">
        <v>94</v>
      </c>
      <c r="H2139" s="1178" t="s">
        <v>20221</v>
      </c>
      <c r="I2139" s="1178" t="s">
        <v>6997</v>
      </c>
      <c r="J2139" s="1178" t="s">
        <v>662</v>
      </c>
      <c r="K2139" s="1178" t="s">
        <v>267</v>
      </c>
      <c r="L2139" s="1178" t="s">
        <v>242</v>
      </c>
      <c r="M2139" s="1369" t="s">
        <v>23296</v>
      </c>
      <c r="N2139" s="1178"/>
      <c r="O2139" s="1178">
        <v>6</v>
      </c>
      <c r="P2139" s="1178">
        <v>13.5</v>
      </c>
    </row>
    <row r="2140" spans="1:16">
      <c r="A2140" s="1178" t="s">
        <v>254</v>
      </c>
      <c r="B2140" s="1371" t="str">
        <f>HYPERLINK(IFERROR("#Main_Tariff!A"&amp;MATCH(Raeburn_Main_Tariff[[#This Row],[Product Code]],Main_Tariff!I:I,0),"#Main_Tariff!A"&amp;MATCH("*"&amp;RIGHT(A2140,8)&amp;"*",Main_Tariff!A:A,0)),Raeburn_Main_Tariff[[#This Row],[PRODUCER]])</f>
        <v>Michel Gaunoux</v>
      </c>
      <c r="C2140" s="1178" t="s">
        <v>21105</v>
      </c>
      <c r="D2140" s="1178" t="s">
        <v>897</v>
      </c>
      <c r="E2140" s="1179">
        <v>2020</v>
      </c>
      <c r="F2140" s="1282" t="s">
        <v>20220</v>
      </c>
      <c r="G2140" s="1368">
        <v>94</v>
      </c>
      <c r="H2140" s="1178" t="s">
        <v>20221</v>
      </c>
      <c r="I2140" s="1178" t="s">
        <v>6998</v>
      </c>
      <c r="J2140" s="1178" t="s">
        <v>662</v>
      </c>
      <c r="K2140" s="1178" t="s">
        <v>267</v>
      </c>
      <c r="L2140" s="1178" t="s">
        <v>242</v>
      </c>
      <c r="M2140" s="1369" t="s">
        <v>23296</v>
      </c>
      <c r="N2140" s="1178"/>
      <c r="O2140" s="1178">
        <v>6</v>
      </c>
      <c r="P2140" s="1178">
        <v>14.5</v>
      </c>
    </row>
    <row r="2141" spans="1:16">
      <c r="A2141" s="1178" t="s">
        <v>254</v>
      </c>
      <c r="B2141" s="1371" t="str">
        <f>HYPERLINK(IFERROR("#Main_Tariff!A"&amp;MATCH(Raeburn_Main_Tariff[[#This Row],[Product Code]],Main_Tariff!I:I,0),"#Main_Tariff!A"&amp;MATCH("*"&amp;RIGHT(A2141,8)&amp;"*",Main_Tariff!A:A,0)),Raeburn_Main_Tariff[[#This Row],[PRODUCER]])</f>
        <v>Michel Gaunoux</v>
      </c>
      <c r="C2141" s="1178" t="s">
        <v>21105</v>
      </c>
      <c r="D2141" s="1178" t="s">
        <v>897</v>
      </c>
      <c r="E2141" s="1179">
        <v>2017</v>
      </c>
      <c r="F2141" s="1282" t="s">
        <v>20220</v>
      </c>
      <c r="G2141" s="1368">
        <v>89.5</v>
      </c>
      <c r="H2141" s="1178" t="s">
        <v>20224</v>
      </c>
      <c r="I2141" s="1178" t="s">
        <v>6999</v>
      </c>
      <c r="J2141" s="1178" t="s">
        <v>662</v>
      </c>
      <c r="K2141" s="1178" t="s">
        <v>267</v>
      </c>
      <c r="L2141" s="1178" t="s">
        <v>242</v>
      </c>
      <c r="M2141" s="1369" t="s">
        <v>23296</v>
      </c>
      <c r="N2141" s="1178"/>
      <c r="O2141" s="1178">
        <v>6</v>
      </c>
      <c r="P2141" s="1178">
        <v>13.5</v>
      </c>
    </row>
    <row r="2142" spans="1:16">
      <c r="A2142" s="1178" t="s">
        <v>254</v>
      </c>
      <c r="B2142" s="1371" t="str">
        <f>HYPERLINK(IFERROR("#Main_Tariff!A"&amp;MATCH(Raeburn_Main_Tariff[[#This Row],[Product Code]],Main_Tariff!I:I,0),"#Main_Tariff!A"&amp;MATCH("*"&amp;RIGHT(A2142,8)&amp;"*",Main_Tariff!A:A,0)),Raeburn_Main_Tariff[[#This Row],[PRODUCER]])</f>
        <v>Michel Gaunoux</v>
      </c>
      <c r="C2142" s="1178" t="s">
        <v>21105</v>
      </c>
      <c r="D2142" s="1178" t="s">
        <v>897</v>
      </c>
      <c r="E2142" s="1179">
        <v>2013</v>
      </c>
      <c r="F2142" s="1282" t="s">
        <v>20220</v>
      </c>
      <c r="G2142" s="1368">
        <v>85.5</v>
      </c>
      <c r="H2142" s="1178" t="s">
        <v>20221</v>
      </c>
      <c r="I2142" s="1178" t="s">
        <v>7000</v>
      </c>
      <c r="J2142" s="1178" t="s">
        <v>662</v>
      </c>
      <c r="K2142" s="1178" t="s">
        <v>267</v>
      </c>
      <c r="L2142" s="1178" t="s">
        <v>242</v>
      </c>
      <c r="M2142" s="1369" t="s">
        <v>23296</v>
      </c>
      <c r="N2142" s="1178"/>
      <c r="O2142" s="1178">
        <v>6</v>
      </c>
      <c r="P2142" s="1178">
        <v>13.5</v>
      </c>
    </row>
    <row r="2143" spans="1:16">
      <c r="A2143" s="1178" t="s">
        <v>254</v>
      </c>
      <c r="B2143" s="1371" t="str">
        <f>HYPERLINK(IFERROR("#Main_Tariff!A"&amp;MATCH(Raeburn_Main_Tariff[[#This Row],[Product Code]],Main_Tariff!I:I,0),"#Main_Tariff!A"&amp;MATCH("*"&amp;RIGHT(A2143,8)&amp;"*",Main_Tariff!A:A,0)),Raeburn_Main_Tariff[[#This Row],[PRODUCER]])</f>
        <v>Michel Gaunoux</v>
      </c>
      <c r="C2143" s="1178" t="s">
        <v>21105</v>
      </c>
      <c r="D2143" s="1178" t="s">
        <v>897</v>
      </c>
      <c r="E2143" s="1179">
        <v>2008</v>
      </c>
      <c r="F2143" s="1282" t="s">
        <v>20220</v>
      </c>
      <c r="G2143" s="1368">
        <v>89.5</v>
      </c>
      <c r="H2143" s="1178" t="s">
        <v>20221</v>
      </c>
      <c r="I2143" s="1178" t="s">
        <v>7001</v>
      </c>
      <c r="J2143" s="1178" t="s">
        <v>662</v>
      </c>
      <c r="K2143" s="1178" t="s">
        <v>267</v>
      </c>
      <c r="L2143" s="1178" t="s">
        <v>242</v>
      </c>
      <c r="M2143" s="1369" t="s">
        <v>23296</v>
      </c>
      <c r="N2143" s="1178"/>
      <c r="O2143" s="1178">
        <v>6</v>
      </c>
      <c r="P2143" s="1178">
        <v>13.5</v>
      </c>
    </row>
    <row r="2144" spans="1:16">
      <c r="A2144" s="1178" t="s">
        <v>254</v>
      </c>
      <c r="B2144" s="1371" t="str">
        <f>HYPERLINK(IFERROR("#Main_Tariff!A"&amp;MATCH(Raeburn_Main_Tariff[[#This Row],[Product Code]],Main_Tariff!I:I,0),"#Main_Tariff!A"&amp;MATCH("*"&amp;RIGHT(A2144,8)&amp;"*",Main_Tariff!A:A,0)),Raeburn_Main_Tariff[[#This Row],[PRODUCER]])</f>
        <v>Michel Gaunoux</v>
      </c>
      <c r="C2144" s="1178" t="s">
        <v>21105</v>
      </c>
      <c r="D2144" s="1178" t="s">
        <v>897</v>
      </c>
      <c r="E2144" s="1179">
        <v>2006</v>
      </c>
      <c r="F2144" s="1282" t="s">
        <v>20220</v>
      </c>
      <c r="G2144" s="1368">
        <v>91.5</v>
      </c>
      <c r="H2144" s="1178" t="s">
        <v>20221</v>
      </c>
      <c r="I2144" s="1178" t="s">
        <v>7002</v>
      </c>
      <c r="J2144" s="1178" t="s">
        <v>662</v>
      </c>
      <c r="K2144" s="1178" t="s">
        <v>267</v>
      </c>
      <c r="L2144" s="1178" t="s">
        <v>242</v>
      </c>
      <c r="M2144" s="1369" t="s">
        <v>23296</v>
      </c>
      <c r="N2144" s="1178"/>
      <c r="O2144" s="1178">
        <v>6</v>
      </c>
      <c r="P2144" s="1178">
        <v>13.5</v>
      </c>
    </row>
    <row r="2145" spans="1:16">
      <c r="A2145" s="1178" t="s">
        <v>254</v>
      </c>
      <c r="B2145" s="1371" t="str">
        <f>HYPERLINK(IFERROR("#Main_Tariff!A"&amp;MATCH(Raeburn_Main_Tariff[[#This Row],[Product Code]],Main_Tariff!I:I,0),"#Main_Tariff!A"&amp;MATCH("*"&amp;RIGHT(A2145,8)&amp;"*",Main_Tariff!A:A,0)),Raeburn_Main_Tariff[[#This Row],[PRODUCER]])</f>
        <v>Michel Gaunoux</v>
      </c>
      <c r="C2145" s="1178" t="s">
        <v>21105</v>
      </c>
      <c r="D2145" s="1178" t="s">
        <v>897</v>
      </c>
      <c r="E2145" s="1179">
        <v>2005</v>
      </c>
      <c r="F2145" s="1282" t="s">
        <v>20220</v>
      </c>
      <c r="G2145" s="1368">
        <v>96.5</v>
      </c>
      <c r="H2145" s="1178" t="s">
        <v>20221</v>
      </c>
      <c r="I2145" s="1178" t="s">
        <v>7003</v>
      </c>
      <c r="J2145" s="1178" t="s">
        <v>662</v>
      </c>
      <c r="K2145" s="1178" t="s">
        <v>267</v>
      </c>
      <c r="L2145" s="1178" t="s">
        <v>242</v>
      </c>
      <c r="M2145" s="1369" t="s">
        <v>23296</v>
      </c>
      <c r="N2145" s="1178"/>
      <c r="O2145" s="1178">
        <v>6</v>
      </c>
      <c r="P2145" s="1178">
        <v>13.5</v>
      </c>
    </row>
    <row r="2146" spans="1:16">
      <c r="A2146" s="1178" t="s">
        <v>254</v>
      </c>
      <c r="B2146" s="1371" t="str">
        <f>HYPERLINK(IFERROR("#Main_Tariff!A"&amp;MATCH(Raeburn_Main_Tariff[[#This Row],[Product Code]],Main_Tariff!I:I,0),"#Main_Tariff!A"&amp;MATCH("*"&amp;RIGHT(A2146,8)&amp;"*",Main_Tariff!A:A,0)),Raeburn_Main_Tariff[[#This Row],[PRODUCER]])</f>
        <v>Michel Gaunoux</v>
      </c>
      <c r="C2146" s="1178" t="s">
        <v>21106</v>
      </c>
      <c r="D2146" s="1178" t="s">
        <v>897</v>
      </c>
      <c r="E2146" s="1179">
        <v>2013</v>
      </c>
      <c r="F2146" s="1282" t="s">
        <v>20240</v>
      </c>
      <c r="G2146" s="1368">
        <v>193</v>
      </c>
      <c r="H2146" s="1178" t="s">
        <v>20224</v>
      </c>
      <c r="I2146" s="1178" t="s">
        <v>7005</v>
      </c>
      <c r="J2146" s="1178" t="s">
        <v>662</v>
      </c>
      <c r="K2146" s="1178" t="s">
        <v>267</v>
      </c>
      <c r="L2146" s="1178" t="s">
        <v>242</v>
      </c>
      <c r="M2146" s="1369" t="s">
        <v>23297</v>
      </c>
      <c r="N2146" s="1178"/>
      <c r="O2146" s="1178">
        <v>3</v>
      </c>
      <c r="P2146" s="1178">
        <v>13.5</v>
      </c>
    </row>
    <row r="2147" spans="1:16">
      <c r="A2147" s="1178" t="s">
        <v>254</v>
      </c>
      <c r="B2147" s="1371" t="str">
        <f>HYPERLINK(IFERROR("#Main_Tariff!A"&amp;MATCH(Raeburn_Main_Tariff[[#This Row],[Product Code]],Main_Tariff!I:I,0),"#Main_Tariff!A"&amp;MATCH("*"&amp;RIGHT(A2147,8)&amp;"*",Main_Tariff!A:A,0)),Raeburn_Main_Tariff[[#This Row],[PRODUCER]])</f>
        <v>Michel Gaunoux</v>
      </c>
      <c r="C2147" s="1178" t="s">
        <v>21106</v>
      </c>
      <c r="D2147" s="1178" t="s">
        <v>897</v>
      </c>
      <c r="E2147" s="1179">
        <v>2011</v>
      </c>
      <c r="F2147" s="1282" t="s">
        <v>20240</v>
      </c>
      <c r="G2147" s="1368">
        <v>213</v>
      </c>
      <c r="H2147" s="1178" t="s">
        <v>20224</v>
      </c>
      <c r="I2147" s="1178" t="s">
        <v>7006</v>
      </c>
      <c r="J2147" s="1178" t="s">
        <v>662</v>
      </c>
      <c r="K2147" s="1178" t="s">
        <v>267</v>
      </c>
      <c r="L2147" s="1178" t="s">
        <v>242</v>
      </c>
      <c r="M2147" s="1369" t="s">
        <v>23297</v>
      </c>
      <c r="N2147" s="1178"/>
      <c r="O2147" s="1178">
        <v>3</v>
      </c>
      <c r="P2147" s="1178">
        <v>13.5</v>
      </c>
    </row>
    <row r="2148" spans="1:16">
      <c r="A2148" s="1178" t="s">
        <v>254</v>
      </c>
      <c r="B2148" s="1371" t="str">
        <f>HYPERLINK(IFERROR("#Main_Tariff!A"&amp;MATCH(Raeburn_Main_Tariff[[#This Row],[Product Code]],Main_Tariff!I:I,0),"#Main_Tariff!A"&amp;MATCH("*"&amp;RIGHT(A2148,8)&amp;"*",Main_Tariff!A:A,0)),Raeburn_Main_Tariff[[#This Row],[PRODUCER]])</f>
        <v>Michel Gaunoux</v>
      </c>
      <c r="C2148" s="1178" t="s">
        <v>21107</v>
      </c>
      <c r="D2148" s="1178" t="s">
        <v>897</v>
      </c>
      <c r="E2148" s="1179">
        <v>2017</v>
      </c>
      <c r="F2148" s="1282" t="s">
        <v>20240</v>
      </c>
      <c r="G2148" s="1368">
        <v>203</v>
      </c>
      <c r="H2148" s="1178" t="s">
        <v>20224</v>
      </c>
      <c r="I2148" s="1178" t="s">
        <v>7007</v>
      </c>
      <c r="J2148" s="1178" t="s">
        <v>662</v>
      </c>
      <c r="K2148" s="1178" t="s">
        <v>267</v>
      </c>
      <c r="L2148" s="1178" t="s">
        <v>242</v>
      </c>
      <c r="M2148" s="1369" t="s">
        <v>23297</v>
      </c>
      <c r="N2148" s="1178"/>
      <c r="O2148" s="1178">
        <v>3</v>
      </c>
      <c r="P2148" s="1178">
        <v>13.5</v>
      </c>
    </row>
    <row r="2149" spans="1:16">
      <c r="A2149" s="1178" t="s">
        <v>254</v>
      </c>
      <c r="B2149" s="1371" t="str">
        <f>HYPERLINK(IFERROR("#Main_Tariff!A"&amp;MATCH(Raeburn_Main_Tariff[[#This Row],[Product Code]],Main_Tariff!I:I,0),"#Main_Tariff!A"&amp;MATCH("*"&amp;RIGHT(A2149,8)&amp;"*",Main_Tariff!A:A,0)),Raeburn_Main_Tariff[[#This Row],[PRODUCER]])</f>
        <v>Michel Gaunoux</v>
      </c>
      <c r="C2149" s="1178" t="s">
        <v>21107</v>
      </c>
      <c r="D2149" s="1178" t="s">
        <v>897</v>
      </c>
      <c r="E2149" s="1179">
        <v>2015</v>
      </c>
      <c r="F2149" s="1282" t="s">
        <v>20240</v>
      </c>
      <c r="G2149" s="1368">
        <v>213</v>
      </c>
      <c r="H2149" s="1178" t="s">
        <v>20224</v>
      </c>
      <c r="I2149" s="1178" t="s">
        <v>7008</v>
      </c>
      <c r="J2149" s="1178" t="s">
        <v>662</v>
      </c>
      <c r="K2149" s="1178" t="s">
        <v>267</v>
      </c>
      <c r="L2149" s="1178" t="s">
        <v>242</v>
      </c>
      <c r="M2149" s="1369" t="s">
        <v>23297</v>
      </c>
      <c r="N2149" s="1178"/>
      <c r="O2149" s="1178">
        <v>3</v>
      </c>
      <c r="P2149" s="1178">
        <v>13.5</v>
      </c>
    </row>
    <row r="2150" spans="1:16">
      <c r="A2150" s="1178" t="s">
        <v>254</v>
      </c>
      <c r="B2150" s="1371" t="str">
        <f>HYPERLINK(IFERROR("#Main_Tariff!A"&amp;MATCH(Raeburn_Main_Tariff[[#This Row],[Product Code]],Main_Tariff!I:I,0),"#Main_Tariff!A"&amp;MATCH("*"&amp;RIGHT(A2150,8)&amp;"*",Main_Tariff!A:A,0)),Raeburn_Main_Tariff[[#This Row],[PRODUCER]])</f>
        <v>Michel Gaunoux</v>
      </c>
      <c r="C2150" s="1178" t="s">
        <v>21107</v>
      </c>
      <c r="D2150" s="1178" t="s">
        <v>897</v>
      </c>
      <c r="E2150" s="1179">
        <v>2013</v>
      </c>
      <c r="F2150" s="1282" t="s">
        <v>20240</v>
      </c>
      <c r="G2150" s="1368">
        <v>193</v>
      </c>
      <c r="H2150" s="1178" t="s">
        <v>20224</v>
      </c>
      <c r="I2150" s="1178" t="s">
        <v>7009</v>
      </c>
      <c r="J2150" s="1178" t="s">
        <v>662</v>
      </c>
      <c r="K2150" s="1178" t="s">
        <v>267</v>
      </c>
      <c r="L2150" s="1178" t="s">
        <v>242</v>
      </c>
      <c r="M2150" s="1369" t="s">
        <v>23297</v>
      </c>
      <c r="N2150" s="1178"/>
      <c r="O2150" s="1178">
        <v>3</v>
      </c>
      <c r="P2150" s="1178">
        <v>14.5</v>
      </c>
    </row>
    <row r="2151" spans="1:16">
      <c r="A2151" s="1178" t="s">
        <v>254</v>
      </c>
      <c r="B2151" s="1371" t="str">
        <f>HYPERLINK(IFERROR("#Main_Tariff!A"&amp;MATCH(Raeburn_Main_Tariff[[#This Row],[Product Code]],Main_Tariff!I:I,0),"#Main_Tariff!A"&amp;MATCH("*"&amp;RIGHT(A2151,8)&amp;"*",Main_Tariff!A:A,0)),Raeburn_Main_Tariff[[#This Row],[PRODUCER]])</f>
        <v>Michel Gaunoux</v>
      </c>
      <c r="C2151" s="1178" t="s">
        <v>21107</v>
      </c>
      <c r="D2151" s="1178" t="s">
        <v>897</v>
      </c>
      <c r="E2151" s="1179">
        <v>2011</v>
      </c>
      <c r="F2151" s="1282" t="s">
        <v>20240</v>
      </c>
      <c r="G2151" s="1368">
        <v>213</v>
      </c>
      <c r="H2151" s="1178" t="s">
        <v>20224</v>
      </c>
      <c r="I2151" s="1178" t="s">
        <v>7010</v>
      </c>
      <c r="J2151" s="1178" t="s">
        <v>662</v>
      </c>
      <c r="K2151" s="1178" t="s">
        <v>267</v>
      </c>
      <c r="L2151" s="1178" t="s">
        <v>242</v>
      </c>
      <c r="M2151" s="1369" t="s">
        <v>23297</v>
      </c>
      <c r="N2151" s="1178"/>
      <c r="O2151" s="1178">
        <v>3</v>
      </c>
      <c r="P2151" s="1178">
        <v>13.5</v>
      </c>
    </row>
    <row r="2152" spans="1:16">
      <c r="A2152" s="1178" t="s">
        <v>254</v>
      </c>
      <c r="B2152" s="1371" t="str">
        <f>HYPERLINK(IFERROR("#Main_Tariff!A"&amp;MATCH(Raeburn_Main_Tariff[[#This Row],[Product Code]],Main_Tariff!I:I,0),"#Main_Tariff!A"&amp;MATCH("*"&amp;RIGHT(A2152,8)&amp;"*",Main_Tariff!A:A,0)),Raeburn_Main_Tariff[[#This Row],[PRODUCER]])</f>
        <v>Michel Gaunoux</v>
      </c>
      <c r="C2152" s="1178" t="s">
        <v>21108</v>
      </c>
      <c r="D2152" s="1178" t="s">
        <v>897</v>
      </c>
      <c r="E2152" s="1179">
        <v>2011</v>
      </c>
      <c r="F2152" s="1282" t="s">
        <v>20240</v>
      </c>
      <c r="G2152" s="1368">
        <v>213</v>
      </c>
      <c r="H2152" s="1178" t="s">
        <v>20224</v>
      </c>
      <c r="I2152" s="1178" t="s">
        <v>7012</v>
      </c>
      <c r="J2152" s="1178" t="s">
        <v>662</v>
      </c>
      <c r="K2152" s="1178" t="s">
        <v>267</v>
      </c>
      <c r="L2152" s="1178" t="s">
        <v>242</v>
      </c>
      <c r="M2152" s="1369" t="s">
        <v>23296</v>
      </c>
      <c r="N2152" s="1178"/>
      <c r="O2152" s="1178">
        <v>3</v>
      </c>
      <c r="P2152" s="1178">
        <v>13.5</v>
      </c>
    </row>
    <row r="2153" spans="1:16">
      <c r="A2153" s="1178" t="s">
        <v>21109</v>
      </c>
      <c r="B2153" s="1371" t="str">
        <f>HYPERLINK(IFERROR("#Main_Tariff!A"&amp;MATCH(Raeburn_Main_Tariff[[#This Row],[Product Code]],Main_Tariff!I:I,0),"#Main_Tariff!A"&amp;MATCH("*"&amp;RIGHT(A2153,8)&amp;"*",Main_Tariff!A:A,0)),Raeburn_Main_Tariff[[#This Row],[PRODUCER]])</f>
        <v>Thierry Glantenay</v>
      </c>
      <c r="C2153" s="1178" t="s">
        <v>21110</v>
      </c>
      <c r="D2153" s="1178" t="s">
        <v>1129</v>
      </c>
      <c r="E2153" s="1179">
        <v>2022</v>
      </c>
      <c r="F2153" s="1282" t="s">
        <v>20220</v>
      </c>
      <c r="G2153" s="1368" t="s">
        <v>20342</v>
      </c>
      <c r="H2153" s="1178" t="s">
        <v>20343</v>
      </c>
      <c r="I2153" s="1178" t="s">
        <v>7032</v>
      </c>
      <c r="J2153" s="1178" t="s">
        <v>662</v>
      </c>
      <c r="K2153" s="1178" t="s">
        <v>267</v>
      </c>
      <c r="L2153" s="1178" t="s">
        <v>242</v>
      </c>
      <c r="M2153" s="1369" t="s">
        <v>23297</v>
      </c>
      <c r="N2153" s="1178"/>
      <c r="O2153" s="1178">
        <v>6</v>
      </c>
      <c r="P2153" s="1178">
        <v>0</v>
      </c>
    </row>
    <row r="2154" spans="1:16">
      <c r="A2154" s="1178" t="s">
        <v>21109</v>
      </c>
      <c r="B2154" s="1371" t="str">
        <f>HYPERLINK(IFERROR("#Main_Tariff!A"&amp;MATCH(Raeburn_Main_Tariff[[#This Row],[Product Code]],Main_Tariff!I:I,0),"#Main_Tariff!A"&amp;MATCH("*"&amp;RIGHT(A2154,8)&amp;"*",Main_Tariff!A:A,0)),Raeburn_Main_Tariff[[#This Row],[PRODUCER]])</f>
        <v>Thierry Glantenay</v>
      </c>
      <c r="C2154" s="1178" t="s">
        <v>21110</v>
      </c>
      <c r="D2154" s="1178" t="s">
        <v>1129</v>
      </c>
      <c r="E2154" s="1179">
        <v>2021</v>
      </c>
      <c r="F2154" s="1282" t="s">
        <v>20220</v>
      </c>
      <c r="G2154" s="1368">
        <v>93.5</v>
      </c>
      <c r="H2154" s="1178" t="s">
        <v>20224</v>
      </c>
      <c r="I2154" s="1178" t="s">
        <v>7034</v>
      </c>
      <c r="J2154" s="1178" t="s">
        <v>662</v>
      </c>
      <c r="K2154" s="1178" t="s">
        <v>267</v>
      </c>
      <c r="L2154" s="1178" t="s">
        <v>242</v>
      </c>
      <c r="M2154" s="1369" t="s">
        <v>23297</v>
      </c>
      <c r="N2154" s="1178"/>
      <c r="O2154" s="1178">
        <v>6</v>
      </c>
      <c r="P2154" s="1178">
        <v>13</v>
      </c>
    </row>
    <row r="2155" spans="1:16">
      <c r="A2155" s="1178" t="s">
        <v>21109</v>
      </c>
      <c r="B2155" s="1371" t="str">
        <f>HYPERLINK(IFERROR("#Main_Tariff!A"&amp;MATCH(Raeburn_Main_Tariff[[#This Row],[Product Code]],Main_Tariff!I:I,0),"#Main_Tariff!A"&amp;MATCH("*"&amp;RIGHT(A2155,8)&amp;"*",Main_Tariff!A:A,0)),Raeburn_Main_Tariff[[#This Row],[PRODUCER]])</f>
        <v>Thierry Glantenay</v>
      </c>
      <c r="C2155" s="1178" t="s">
        <v>21110</v>
      </c>
      <c r="D2155" s="1178" t="s">
        <v>1129</v>
      </c>
      <c r="E2155" s="1179">
        <v>2020</v>
      </c>
      <c r="F2155" s="1282" t="s">
        <v>20220</v>
      </c>
      <c r="G2155" s="1368">
        <v>93.5</v>
      </c>
      <c r="H2155" s="1178" t="s">
        <v>20221</v>
      </c>
      <c r="I2155" s="1178" t="s">
        <v>7036</v>
      </c>
      <c r="J2155" s="1178" t="s">
        <v>662</v>
      </c>
      <c r="K2155" s="1178" t="s">
        <v>267</v>
      </c>
      <c r="L2155" s="1178" t="s">
        <v>242</v>
      </c>
      <c r="M2155" s="1369" t="s">
        <v>23297</v>
      </c>
      <c r="N2155" s="1178"/>
      <c r="O2155" s="1178">
        <v>6</v>
      </c>
      <c r="P2155" s="1178">
        <v>14</v>
      </c>
    </row>
    <row r="2156" spans="1:16">
      <c r="A2156" s="1178" t="s">
        <v>21109</v>
      </c>
      <c r="B2156" s="1371" t="str">
        <f>HYPERLINK(IFERROR("#Main_Tariff!A"&amp;MATCH(Raeburn_Main_Tariff[[#This Row],[Product Code]],Main_Tariff!I:I,0),"#Main_Tariff!A"&amp;MATCH("*"&amp;RIGHT(A2156,8)&amp;"*",Main_Tariff!A:A,0)),Raeburn_Main_Tariff[[#This Row],[PRODUCER]])</f>
        <v>Thierry Glantenay</v>
      </c>
      <c r="C2156" s="1178" t="s">
        <v>21111</v>
      </c>
      <c r="D2156" s="1178" t="s">
        <v>897</v>
      </c>
      <c r="E2156" s="1179">
        <v>2022</v>
      </c>
      <c r="F2156" s="1282" t="s">
        <v>20220</v>
      </c>
      <c r="G2156" s="1368" t="s">
        <v>20342</v>
      </c>
      <c r="H2156" s="1178" t="s">
        <v>20343</v>
      </c>
      <c r="I2156" s="1178" t="s">
        <v>7039</v>
      </c>
      <c r="J2156" s="1178" t="s">
        <v>662</v>
      </c>
      <c r="K2156" s="1178" t="s">
        <v>267</v>
      </c>
      <c r="L2156" s="1178" t="s">
        <v>242</v>
      </c>
      <c r="M2156" s="1369"/>
      <c r="N2156" s="1178"/>
      <c r="O2156" s="1178">
        <v>6</v>
      </c>
      <c r="P2156" s="1178">
        <v>0</v>
      </c>
    </row>
    <row r="2157" spans="1:16">
      <c r="A2157" s="1178" t="s">
        <v>21109</v>
      </c>
      <c r="B2157" s="1371" t="str">
        <f>HYPERLINK(IFERROR("#Main_Tariff!A"&amp;MATCH(Raeburn_Main_Tariff[[#This Row],[Product Code]],Main_Tariff!I:I,0),"#Main_Tariff!A"&amp;MATCH("*"&amp;RIGHT(A2157,8)&amp;"*",Main_Tariff!A:A,0)),Raeburn_Main_Tariff[[#This Row],[PRODUCER]])</f>
        <v>Thierry Glantenay</v>
      </c>
      <c r="C2157" s="1178" t="s">
        <v>21111</v>
      </c>
      <c r="D2157" s="1178" t="s">
        <v>897</v>
      </c>
      <c r="E2157" s="1179">
        <v>2021</v>
      </c>
      <c r="F2157" s="1282" t="s">
        <v>20220</v>
      </c>
      <c r="G2157" s="1368">
        <v>24.5</v>
      </c>
      <c r="H2157" s="1178" t="s">
        <v>20221</v>
      </c>
      <c r="I2157" s="1178" t="s">
        <v>7041</v>
      </c>
      <c r="J2157" s="1178" t="s">
        <v>662</v>
      </c>
      <c r="K2157" s="1178" t="s">
        <v>267</v>
      </c>
      <c r="L2157" s="1178" t="s">
        <v>242</v>
      </c>
      <c r="M2157" s="1369"/>
      <c r="N2157" s="1178"/>
      <c r="O2157" s="1178">
        <v>6</v>
      </c>
      <c r="P2157" s="1178">
        <v>13</v>
      </c>
    </row>
    <row r="2158" spans="1:16">
      <c r="A2158" s="1178" t="s">
        <v>21109</v>
      </c>
      <c r="B2158" s="1371" t="str">
        <f>HYPERLINK(IFERROR("#Main_Tariff!A"&amp;MATCH(Raeburn_Main_Tariff[[#This Row],[Product Code]],Main_Tariff!I:I,0),"#Main_Tariff!A"&amp;MATCH("*"&amp;RIGHT(A2158,8)&amp;"*",Main_Tariff!A:A,0)),Raeburn_Main_Tariff[[#This Row],[PRODUCER]])</f>
        <v>Thierry Glantenay</v>
      </c>
      <c r="C2158" s="1178" t="s">
        <v>21111</v>
      </c>
      <c r="D2158" s="1178" t="s">
        <v>897</v>
      </c>
      <c r="E2158" s="1179">
        <v>2020</v>
      </c>
      <c r="F2158" s="1282" t="s">
        <v>20220</v>
      </c>
      <c r="G2158" s="1368">
        <v>24.5</v>
      </c>
      <c r="H2158" s="1178" t="s">
        <v>20221</v>
      </c>
      <c r="I2158" s="1178" t="s">
        <v>7043</v>
      </c>
      <c r="J2158" s="1178" t="s">
        <v>662</v>
      </c>
      <c r="K2158" s="1178" t="s">
        <v>267</v>
      </c>
      <c r="L2158" s="1178" t="s">
        <v>242</v>
      </c>
      <c r="M2158" s="1369"/>
      <c r="N2158" s="1178"/>
      <c r="O2158" s="1178">
        <v>6</v>
      </c>
      <c r="P2158" s="1178">
        <v>14</v>
      </c>
    </row>
    <row r="2159" spans="1:16">
      <c r="A2159" s="1178" t="s">
        <v>21109</v>
      </c>
      <c r="B2159" s="1371" t="str">
        <f>HYPERLINK(IFERROR("#Main_Tariff!A"&amp;MATCH(Raeburn_Main_Tariff[[#This Row],[Product Code]],Main_Tariff!I:I,0),"#Main_Tariff!A"&amp;MATCH("*"&amp;RIGHT(A2159,8)&amp;"*",Main_Tariff!A:A,0)),Raeburn_Main_Tariff[[#This Row],[PRODUCER]])</f>
        <v>Thierry Glantenay</v>
      </c>
      <c r="C2159" s="1178" t="s">
        <v>20856</v>
      </c>
      <c r="D2159" s="1178" t="s">
        <v>897</v>
      </c>
      <c r="E2159" s="1179">
        <v>2019</v>
      </c>
      <c r="F2159" s="1282" t="s">
        <v>20220</v>
      </c>
      <c r="G2159" s="1368">
        <v>24.5</v>
      </c>
      <c r="H2159" s="1178" t="s">
        <v>20221</v>
      </c>
      <c r="I2159" s="1178" t="s">
        <v>7044</v>
      </c>
      <c r="J2159" s="1178" t="s">
        <v>662</v>
      </c>
      <c r="K2159" s="1178" t="s">
        <v>267</v>
      </c>
      <c r="L2159" s="1178" t="s">
        <v>242</v>
      </c>
      <c r="M2159" s="1369"/>
      <c r="N2159" s="1178"/>
      <c r="O2159" s="1178">
        <v>6</v>
      </c>
      <c r="P2159" s="1178">
        <v>14</v>
      </c>
    </row>
    <row r="2160" spans="1:16">
      <c r="A2160" s="1178" t="s">
        <v>21109</v>
      </c>
      <c r="B2160" s="1371" t="str">
        <f>HYPERLINK(IFERROR("#Main_Tariff!A"&amp;MATCH(Raeburn_Main_Tariff[[#This Row],[Product Code]],Main_Tariff!I:I,0),"#Main_Tariff!A"&amp;MATCH("*"&amp;RIGHT(A2160,8)&amp;"*",Main_Tariff!A:A,0)),Raeburn_Main_Tariff[[#This Row],[PRODUCER]])</f>
        <v>Thierry Glantenay</v>
      </c>
      <c r="C2160" s="1178" t="s">
        <v>20856</v>
      </c>
      <c r="D2160" s="1178" t="s">
        <v>897</v>
      </c>
      <c r="E2160" s="1179">
        <v>2018</v>
      </c>
      <c r="F2160" s="1282" t="s">
        <v>20220</v>
      </c>
      <c r="G2160" s="1368">
        <v>23</v>
      </c>
      <c r="H2160" s="1178" t="s">
        <v>20221</v>
      </c>
      <c r="I2160" s="1178" t="s">
        <v>7046</v>
      </c>
      <c r="J2160" s="1178" t="s">
        <v>662</v>
      </c>
      <c r="K2160" s="1178" t="s">
        <v>267</v>
      </c>
      <c r="L2160" s="1178" t="s">
        <v>242</v>
      </c>
      <c r="M2160" s="1369"/>
      <c r="N2160" s="1178"/>
      <c r="O2160" s="1178">
        <v>6</v>
      </c>
      <c r="P2160" s="1178">
        <v>13</v>
      </c>
    </row>
    <row r="2161" spans="1:16">
      <c r="A2161" s="1178" t="s">
        <v>21109</v>
      </c>
      <c r="B2161" s="1371" t="str">
        <f>HYPERLINK(IFERROR("#Main_Tariff!A"&amp;MATCH(Raeburn_Main_Tariff[[#This Row],[Product Code]],Main_Tariff!I:I,0),"#Main_Tariff!A"&amp;MATCH("*"&amp;RIGHT(A2161,8)&amp;"*",Main_Tariff!A:A,0)),Raeburn_Main_Tariff[[#This Row],[PRODUCER]])</f>
        <v>Thierry Glantenay</v>
      </c>
      <c r="C2161" s="1178" t="s">
        <v>20856</v>
      </c>
      <c r="D2161" s="1178" t="s">
        <v>897</v>
      </c>
      <c r="E2161" s="1179">
        <v>2017</v>
      </c>
      <c r="F2161" s="1282" t="s">
        <v>20220</v>
      </c>
      <c r="G2161" s="1368">
        <v>23</v>
      </c>
      <c r="H2161" s="1178" t="s">
        <v>20221</v>
      </c>
      <c r="I2161" s="1178" t="s">
        <v>7047</v>
      </c>
      <c r="J2161" s="1178" t="s">
        <v>662</v>
      </c>
      <c r="K2161" s="1178" t="s">
        <v>267</v>
      </c>
      <c r="L2161" s="1178" t="s">
        <v>242</v>
      </c>
      <c r="M2161" s="1369"/>
      <c r="N2161" s="1178"/>
      <c r="O2161" s="1178">
        <v>6</v>
      </c>
      <c r="P2161" s="1178">
        <v>13.5</v>
      </c>
    </row>
    <row r="2162" spans="1:16">
      <c r="A2162" s="1178" t="s">
        <v>21109</v>
      </c>
      <c r="B2162" s="1371" t="str">
        <f>HYPERLINK(IFERROR("#Main_Tariff!A"&amp;MATCH(Raeburn_Main_Tariff[[#This Row],[Product Code]],Main_Tariff!I:I,0),"#Main_Tariff!A"&amp;MATCH("*"&amp;RIGHT(A2162,8)&amp;"*",Main_Tariff!A:A,0)),Raeburn_Main_Tariff[[#This Row],[PRODUCER]])</f>
        <v>Thierry Glantenay</v>
      </c>
      <c r="C2162" s="1178" t="s">
        <v>20856</v>
      </c>
      <c r="D2162" s="1178" t="s">
        <v>897</v>
      </c>
      <c r="E2162" s="1179">
        <v>2016</v>
      </c>
      <c r="F2162" s="1282" t="s">
        <v>20220</v>
      </c>
      <c r="G2162" s="1368">
        <v>23</v>
      </c>
      <c r="H2162" s="1178" t="s">
        <v>20221</v>
      </c>
      <c r="I2162" s="1178" t="s">
        <v>7049</v>
      </c>
      <c r="J2162" s="1178" t="s">
        <v>662</v>
      </c>
      <c r="K2162" s="1178" t="s">
        <v>267</v>
      </c>
      <c r="L2162" s="1178" t="s">
        <v>242</v>
      </c>
      <c r="M2162" s="1369"/>
      <c r="N2162" s="1178"/>
      <c r="O2162" s="1178">
        <v>6</v>
      </c>
      <c r="P2162" s="1178">
        <v>12.5</v>
      </c>
    </row>
    <row r="2163" spans="1:16">
      <c r="A2163" s="1178" t="s">
        <v>21109</v>
      </c>
      <c r="B2163" s="1371" t="str">
        <f>HYPERLINK(IFERROR("#Main_Tariff!A"&amp;MATCH(Raeburn_Main_Tariff[[#This Row],[Product Code]],Main_Tariff!I:I,0),"#Main_Tariff!A"&amp;MATCH("*"&amp;RIGHT(A2163,8)&amp;"*",Main_Tariff!A:A,0)),Raeburn_Main_Tariff[[#This Row],[PRODUCER]])</f>
        <v>Thierry Glantenay</v>
      </c>
      <c r="C2163" s="1178" t="s">
        <v>20856</v>
      </c>
      <c r="D2163" s="1178" t="s">
        <v>897</v>
      </c>
      <c r="E2163" s="1179">
        <v>2015</v>
      </c>
      <c r="F2163" s="1282" t="s">
        <v>20220</v>
      </c>
      <c r="G2163" s="1368">
        <v>23.5</v>
      </c>
      <c r="H2163" s="1178" t="s">
        <v>20221</v>
      </c>
      <c r="I2163" s="1178" t="s">
        <v>7051</v>
      </c>
      <c r="J2163" s="1178" t="s">
        <v>662</v>
      </c>
      <c r="K2163" s="1178" t="s">
        <v>267</v>
      </c>
      <c r="L2163" s="1178" t="s">
        <v>242</v>
      </c>
      <c r="M2163" s="1369"/>
      <c r="N2163" s="1178"/>
      <c r="O2163" s="1178">
        <v>6</v>
      </c>
      <c r="P2163" s="1178">
        <v>12.5</v>
      </c>
    </row>
    <row r="2164" spans="1:16">
      <c r="A2164" s="1178" t="s">
        <v>21109</v>
      </c>
      <c r="B2164" s="1371" t="str">
        <f>HYPERLINK(IFERROR("#Main_Tariff!A"&amp;MATCH(Raeburn_Main_Tariff[[#This Row],[Product Code]],Main_Tariff!I:I,0),"#Main_Tariff!A"&amp;MATCH("*"&amp;RIGHT(A2164,8)&amp;"*",Main_Tariff!A:A,0)),Raeburn_Main_Tariff[[#This Row],[PRODUCER]])</f>
        <v>Thierry Glantenay</v>
      </c>
      <c r="C2164" s="1178" t="s">
        <v>20856</v>
      </c>
      <c r="D2164" s="1178" t="s">
        <v>897</v>
      </c>
      <c r="E2164" s="1179">
        <v>2014</v>
      </c>
      <c r="F2164" s="1282" t="s">
        <v>20220</v>
      </c>
      <c r="G2164" s="1368">
        <v>23</v>
      </c>
      <c r="H2164" s="1178" t="s">
        <v>20221</v>
      </c>
      <c r="I2164" s="1178" t="s">
        <v>7053</v>
      </c>
      <c r="J2164" s="1178" t="s">
        <v>662</v>
      </c>
      <c r="K2164" s="1178" t="s">
        <v>267</v>
      </c>
      <c r="L2164" s="1178" t="s">
        <v>242</v>
      </c>
      <c r="M2164" s="1369"/>
      <c r="N2164" s="1178"/>
      <c r="O2164" s="1178">
        <v>6</v>
      </c>
      <c r="P2164" s="1178">
        <v>12.5</v>
      </c>
    </row>
    <row r="2165" spans="1:16">
      <c r="A2165" s="1178" t="s">
        <v>21109</v>
      </c>
      <c r="B2165" s="1371" t="str">
        <f>HYPERLINK(IFERROR("#Main_Tariff!A"&amp;MATCH(Raeburn_Main_Tariff[[#This Row],[Product Code]],Main_Tariff!I:I,0),"#Main_Tariff!A"&amp;MATCH("*"&amp;RIGHT(A2165,8)&amp;"*",Main_Tariff!A:A,0)),Raeburn_Main_Tariff[[#This Row],[PRODUCER]])</f>
        <v>Thierry Glantenay</v>
      </c>
      <c r="C2165" s="1178" t="s">
        <v>20856</v>
      </c>
      <c r="D2165" s="1178" t="s">
        <v>897</v>
      </c>
      <c r="E2165" s="1179">
        <v>2013</v>
      </c>
      <c r="F2165" s="1282" t="s">
        <v>20220</v>
      </c>
      <c r="G2165" s="1368">
        <v>23</v>
      </c>
      <c r="H2165" s="1178" t="s">
        <v>20221</v>
      </c>
      <c r="I2165" s="1178" t="s">
        <v>7055</v>
      </c>
      <c r="J2165" s="1178" t="s">
        <v>662</v>
      </c>
      <c r="K2165" s="1178" t="s">
        <v>267</v>
      </c>
      <c r="L2165" s="1178" t="s">
        <v>242</v>
      </c>
      <c r="M2165" s="1369"/>
      <c r="N2165" s="1178"/>
      <c r="O2165" s="1178">
        <v>6</v>
      </c>
      <c r="P2165" s="1178">
        <v>12.5</v>
      </c>
    </row>
    <row r="2166" spans="1:16">
      <c r="A2166" s="1178" t="s">
        <v>21109</v>
      </c>
      <c r="B2166" s="1371" t="str">
        <f>HYPERLINK(IFERROR("#Main_Tariff!A"&amp;MATCH(Raeburn_Main_Tariff[[#This Row],[Product Code]],Main_Tariff!I:I,0),"#Main_Tariff!A"&amp;MATCH("*"&amp;RIGHT(A2166,8)&amp;"*",Main_Tariff!A:A,0)),Raeburn_Main_Tariff[[#This Row],[PRODUCER]])</f>
        <v>Thierry Glantenay</v>
      </c>
      <c r="C2166" s="1178" t="s">
        <v>20856</v>
      </c>
      <c r="D2166" s="1178" t="s">
        <v>897</v>
      </c>
      <c r="E2166" s="1179">
        <v>2012</v>
      </c>
      <c r="F2166" s="1282" t="s">
        <v>20220</v>
      </c>
      <c r="G2166" s="1368">
        <v>20.5</v>
      </c>
      <c r="H2166" s="1178" t="s">
        <v>20221</v>
      </c>
      <c r="I2166" s="1178" t="s">
        <v>7057</v>
      </c>
      <c r="J2166" s="1178" t="s">
        <v>662</v>
      </c>
      <c r="K2166" s="1178" t="s">
        <v>267</v>
      </c>
      <c r="L2166" s="1178" t="s">
        <v>242</v>
      </c>
      <c r="M2166" s="1369"/>
      <c r="N2166" s="1178"/>
      <c r="O2166" s="1178">
        <v>6</v>
      </c>
      <c r="P2166" s="1178">
        <v>12.5</v>
      </c>
    </row>
    <row r="2167" spans="1:16">
      <c r="A2167" s="1178" t="s">
        <v>21109</v>
      </c>
      <c r="B2167" s="1371" t="str">
        <f>HYPERLINK(IFERROR("#Main_Tariff!A"&amp;MATCH(Raeburn_Main_Tariff[[#This Row],[Product Code]],Main_Tariff!I:I,0),"#Main_Tariff!A"&amp;MATCH("*"&amp;RIGHT(A2167,8)&amp;"*",Main_Tariff!A:A,0)),Raeburn_Main_Tariff[[#This Row],[PRODUCER]])</f>
        <v>Thierry Glantenay</v>
      </c>
      <c r="C2167" s="1178" t="s">
        <v>21112</v>
      </c>
      <c r="D2167" s="1178" t="s">
        <v>897</v>
      </c>
      <c r="E2167" s="1179">
        <v>2022</v>
      </c>
      <c r="F2167" s="1282" t="s">
        <v>20220</v>
      </c>
      <c r="G2167" s="1368" t="s">
        <v>20342</v>
      </c>
      <c r="H2167" s="1178" t="s">
        <v>20343</v>
      </c>
      <c r="I2167" s="1178" t="s">
        <v>7061</v>
      </c>
      <c r="J2167" s="1178" t="s">
        <v>662</v>
      </c>
      <c r="K2167" s="1178" t="s">
        <v>267</v>
      </c>
      <c r="L2167" s="1178" t="s">
        <v>242</v>
      </c>
      <c r="M2167" s="1369"/>
      <c r="N2167" s="1178"/>
      <c r="O2167" s="1178">
        <v>6</v>
      </c>
      <c r="P2167" s="1178">
        <v>0</v>
      </c>
    </row>
    <row r="2168" spans="1:16">
      <c r="A2168" s="1178" t="s">
        <v>21109</v>
      </c>
      <c r="B2168" s="1371" t="str">
        <f>HYPERLINK(IFERROR("#Main_Tariff!A"&amp;MATCH(Raeburn_Main_Tariff[[#This Row],[Product Code]],Main_Tariff!I:I,0),"#Main_Tariff!A"&amp;MATCH("*"&amp;RIGHT(A2168,8)&amp;"*",Main_Tariff!A:A,0)),Raeburn_Main_Tariff[[#This Row],[PRODUCER]])</f>
        <v>Thierry Glantenay</v>
      </c>
      <c r="C2168" s="1178" t="s">
        <v>21112</v>
      </c>
      <c r="D2168" s="1178" t="s">
        <v>897</v>
      </c>
      <c r="E2168" s="1179">
        <v>2021</v>
      </c>
      <c r="F2168" s="1282" t="s">
        <v>20220</v>
      </c>
      <c r="G2168" s="1368">
        <v>39</v>
      </c>
      <c r="H2168" s="1178" t="s">
        <v>20221</v>
      </c>
      <c r="I2168" s="1178" t="s">
        <v>7063</v>
      </c>
      <c r="J2168" s="1178" t="s">
        <v>662</v>
      </c>
      <c r="K2168" s="1178" t="s">
        <v>267</v>
      </c>
      <c r="L2168" s="1178" t="s">
        <v>242</v>
      </c>
      <c r="M2168" s="1369"/>
      <c r="N2168" s="1178"/>
      <c r="O2168" s="1178">
        <v>6</v>
      </c>
      <c r="P2168" s="1178">
        <v>13</v>
      </c>
    </row>
    <row r="2169" spans="1:16">
      <c r="A2169" s="1178" t="s">
        <v>21109</v>
      </c>
      <c r="B2169" s="1371" t="str">
        <f>HYPERLINK(IFERROR("#Main_Tariff!A"&amp;MATCH(Raeburn_Main_Tariff[[#This Row],[Product Code]],Main_Tariff!I:I,0),"#Main_Tariff!A"&amp;MATCH("*"&amp;RIGHT(A2169,8)&amp;"*",Main_Tariff!A:A,0)),Raeburn_Main_Tariff[[#This Row],[PRODUCER]])</f>
        <v>Thierry Glantenay</v>
      </c>
      <c r="C2169" s="1178" t="s">
        <v>21112</v>
      </c>
      <c r="D2169" s="1178" t="s">
        <v>897</v>
      </c>
      <c r="E2169" s="1179">
        <v>2020</v>
      </c>
      <c r="F2169" s="1282" t="s">
        <v>20220</v>
      </c>
      <c r="G2169" s="1368">
        <v>39</v>
      </c>
      <c r="H2169" s="1178" t="s">
        <v>20221</v>
      </c>
      <c r="I2169" s="1178" t="s">
        <v>7065</v>
      </c>
      <c r="J2169" s="1178" t="s">
        <v>662</v>
      </c>
      <c r="K2169" s="1178" t="s">
        <v>267</v>
      </c>
      <c r="L2169" s="1178" t="s">
        <v>242</v>
      </c>
      <c r="M2169" s="1369"/>
      <c r="N2169" s="1178"/>
      <c r="O2169" s="1178">
        <v>6</v>
      </c>
      <c r="P2169" s="1178">
        <v>14.5</v>
      </c>
    </row>
    <row r="2170" spans="1:16">
      <c r="A2170" s="1178" t="s">
        <v>21109</v>
      </c>
      <c r="B2170" s="1371" t="str">
        <f>HYPERLINK(IFERROR("#Main_Tariff!A"&amp;MATCH(Raeburn_Main_Tariff[[#This Row],[Product Code]],Main_Tariff!I:I,0),"#Main_Tariff!A"&amp;MATCH("*"&amp;RIGHT(A2170,8)&amp;"*",Main_Tariff!A:A,0)),Raeburn_Main_Tariff[[#This Row],[PRODUCER]])</f>
        <v>Thierry Glantenay</v>
      </c>
      <c r="C2170" s="1178" t="s">
        <v>21112</v>
      </c>
      <c r="D2170" s="1178" t="s">
        <v>897</v>
      </c>
      <c r="E2170" s="1179">
        <v>2019</v>
      </c>
      <c r="F2170" s="1282" t="s">
        <v>20220</v>
      </c>
      <c r="G2170" s="1368">
        <v>39</v>
      </c>
      <c r="H2170" s="1178" t="s">
        <v>20221</v>
      </c>
      <c r="I2170" s="1178" t="s">
        <v>7066</v>
      </c>
      <c r="J2170" s="1178" t="s">
        <v>662</v>
      </c>
      <c r="K2170" s="1178" t="s">
        <v>267</v>
      </c>
      <c r="L2170" s="1178" t="s">
        <v>242</v>
      </c>
      <c r="M2170" s="1369"/>
      <c r="N2170" s="1178"/>
      <c r="O2170" s="1178">
        <v>6</v>
      </c>
      <c r="P2170" s="1178">
        <v>14</v>
      </c>
    </row>
    <row r="2171" spans="1:16">
      <c r="A2171" s="1178" t="s">
        <v>21109</v>
      </c>
      <c r="B2171" s="1371" t="str">
        <f>HYPERLINK(IFERROR("#Main_Tariff!A"&amp;MATCH(Raeburn_Main_Tariff[[#This Row],[Product Code]],Main_Tariff!I:I,0),"#Main_Tariff!A"&amp;MATCH("*"&amp;RIGHT(A2171,8)&amp;"*",Main_Tariff!A:A,0)),Raeburn_Main_Tariff[[#This Row],[PRODUCER]])</f>
        <v>Thierry Glantenay</v>
      </c>
      <c r="C2171" s="1178" t="s">
        <v>18808</v>
      </c>
      <c r="D2171" s="1178" t="s">
        <v>897</v>
      </c>
      <c r="E2171" s="1179">
        <v>2018</v>
      </c>
      <c r="F2171" s="1282" t="s">
        <v>20220</v>
      </c>
      <c r="G2171" s="1368">
        <v>33.5</v>
      </c>
      <c r="H2171" s="1178" t="s">
        <v>20221</v>
      </c>
      <c r="I2171" s="1178" t="s">
        <v>7068</v>
      </c>
      <c r="J2171" s="1178" t="s">
        <v>662</v>
      </c>
      <c r="K2171" s="1178" t="s">
        <v>267</v>
      </c>
      <c r="L2171" s="1178" t="s">
        <v>242</v>
      </c>
      <c r="M2171" s="1369"/>
      <c r="N2171" s="1178"/>
      <c r="O2171" s="1178">
        <v>6</v>
      </c>
      <c r="P2171" s="1178">
        <v>14</v>
      </c>
    </row>
    <row r="2172" spans="1:16">
      <c r="A2172" s="1178" t="s">
        <v>21109</v>
      </c>
      <c r="B2172" s="1371" t="str">
        <f>HYPERLINK(IFERROR("#Main_Tariff!A"&amp;MATCH(Raeburn_Main_Tariff[[#This Row],[Product Code]],Main_Tariff!I:I,0),"#Main_Tariff!A"&amp;MATCH("*"&amp;RIGHT(A2172,8)&amp;"*",Main_Tariff!A:A,0)),Raeburn_Main_Tariff[[#This Row],[PRODUCER]])</f>
        <v>Thierry Glantenay</v>
      </c>
      <c r="C2172" s="1178" t="s">
        <v>18808</v>
      </c>
      <c r="D2172" s="1178" t="s">
        <v>897</v>
      </c>
      <c r="E2172" s="1179">
        <v>2017</v>
      </c>
      <c r="F2172" s="1282" t="s">
        <v>20220</v>
      </c>
      <c r="G2172" s="1368">
        <v>33.5</v>
      </c>
      <c r="H2172" s="1178" t="s">
        <v>20221</v>
      </c>
      <c r="I2172" s="1178" t="s">
        <v>7070</v>
      </c>
      <c r="J2172" s="1178" t="s">
        <v>662</v>
      </c>
      <c r="K2172" s="1178" t="s">
        <v>267</v>
      </c>
      <c r="L2172" s="1178" t="s">
        <v>242</v>
      </c>
      <c r="M2172" s="1369"/>
      <c r="N2172" s="1178"/>
      <c r="O2172" s="1178">
        <v>6</v>
      </c>
      <c r="P2172" s="1178">
        <v>13.5</v>
      </c>
    </row>
    <row r="2173" spans="1:16">
      <c r="A2173" s="1178" t="s">
        <v>21109</v>
      </c>
      <c r="B2173" s="1371" t="str">
        <f>HYPERLINK(IFERROR("#Main_Tariff!A"&amp;MATCH(Raeburn_Main_Tariff[[#This Row],[Product Code]],Main_Tariff!I:I,0),"#Main_Tariff!A"&amp;MATCH("*"&amp;RIGHT(A2173,8)&amp;"*",Main_Tariff!A:A,0)),Raeburn_Main_Tariff[[#This Row],[PRODUCER]])</f>
        <v>Thierry Glantenay</v>
      </c>
      <c r="C2173" s="1178" t="s">
        <v>18808</v>
      </c>
      <c r="D2173" s="1178" t="s">
        <v>897</v>
      </c>
      <c r="E2173" s="1179">
        <v>2016</v>
      </c>
      <c r="F2173" s="1282" t="s">
        <v>20220</v>
      </c>
      <c r="G2173" s="1368">
        <v>34.5</v>
      </c>
      <c r="H2173" s="1178" t="s">
        <v>20221</v>
      </c>
      <c r="I2173" s="1178" t="s">
        <v>7072</v>
      </c>
      <c r="J2173" s="1178" t="s">
        <v>662</v>
      </c>
      <c r="K2173" s="1178" t="s">
        <v>267</v>
      </c>
      <c r="L2173" s="1178" t="s">
        <v>242</v>
      </c>
      <c r="M2173" s="1369"/>
      <c r="N2173" s="1178"/>
      <c r="O2173" s="1178">
        <v>6</v>
      </c>
      <c r="P2173" s="1178">
        <v>13</v>
      </c>
    </row>
    <row r="2174" spans="1:16">
      <c r="A2174" s="1178" t="s">
        <v>21109</v>
      </c>
      <c r="B2174" s="1371" t="str">
        <f>HYPERLINK(IFERROR("#Main_Tariff!A"&amp;MATCH(Raeburn_Main_Tariff[[#This Row],[Product Code]],Main_Tariff!I:I,0),"#Main_Tariff!A"&amp;MATCH("*"&amp;RIGHT(A2174,8)&amp;"*",Main_Tariff!A:A,0)),Raeburn_Main_Tariff[[#This Row],[PRODUCER]])</f>
        <v>Thierry Glantenay</v>
      </c>
      <c r="C2174" s="1178" t="s">
        <v>18808</v>
      </c>
      <c r="D2174" s="1178" t="s">
        <v>897</v>
      </c>
      <c r="E2174" s="1179">
        <v>2015</v>
      </c>
      <c r="F2174" s="1282" t="s">
        <v>20220</v>
      </c>
      <c r="G2174" s="1368">
        <v>35.5</v>
      </c>
      <c r="H2174" s="1178" t="s">
        <v>20221</v>
      </c>
      <c r="I2174" s="1178" t="s">
        <v>7074</v>
      </c>
      <c r="J2174" s="1178" t="s">
        <v>662</v>
      </c>
      <c r="K2174" s="1178" t="s">
        <v>267</v>
      </c>
      <c r="L2174" s="1178" t="s">
        <v>242</v>
      </c>
      <c r="M2174" s="1369"/>
      <c r="N2174" s="1178"/>
      <c r="O2174" s="1178">
        <v>6</v>
      </c>
      <c r="P2174" s="1178">
        <v>13</v>
      </c>
    </row>
    <row r="2175" spans="1:16">
      <c r="A2175" s="1178" t="s">
        <v>21109</v>
      </c>
      <c r="B2175" s="1371" t="str">
        <f>HYPERLINK(IFERROR("#Main_Tariff!A"&amp;MATCH(Raeburn_Main_Tariff[[#This Row],[Product Code]],Main_Tariff!I:I,0),"#Main_Tariff!A"&amp;MATCH("*"&amp;RIGHT(A2175,8)&amp;"*",Main_Tariff!A:A,0)),Raeburn_Main_Tariff[[#This Row],[PRODUCER]])</f>
        <v>Thierry Glantenay</v>
      </c>
      <c r="C2175" s="1178" t="s">
        <v>18808</v>
      </c>
      <c r="D2175" s="1178" t="s">
        <v>897</v>
      </c>
      <c r="E2175" s="1179">
        <v>2014</v>
      </c>
      <c r="F2175" s="1282" t="s">
        <v>20220</v>
      </c>
      <c r="G2175" s="1368">
        <v>33.5</v>
      </c>
      <c r="H2175" s="1178" t="s">
        <v>20221</v>
      </c>
      <c r="I2175" s="1178" t="s">
        <v>7076</v>
      </c>
      <c r="J2175" s="1178" t="s">
        <v>662</v>
      </c>
      <c r="K2175" s="1178" t="s">
        <v>267</v>
      </c>
      <c r="L2175" s="1178" t="s">
        <v>242</v>
      </c>
      <c r="M2175" s="1369"/>
      <c r="N2175" s="1178"/>
      <c r="O2175" s="1178">
        <v>6</v>
      </c>
      <c r="P2175" s="1178">
        <v>13</v>
      </c>
    </row>
    <row r="2176" spans="1:16">
      <c r="A2176" s="1178" t="s">
        <v>21109</v>
      </c>
      <c r="B2176" s="1371" t="str">
        <f>HYPERLINK(IFERROR("#Main_Tariff!A"&amp;MATCH(Raeburn_Main_Tariff[[#This Row],[Product Code]],Main_Tariff!I:I,0),"#Main_Tariff!A"&amp;MATCH("*"&amp;RIGHT(A2176,8)&amp;"*",Main_Tariff!A:A,0)),Raeburn_Main_Tariff[[#This Row],[PRODUCER]])</f>
        <v>Thierry Glantenay</v>
      </c>
      <c r="C2176" s="1178" t="s">
        <v>21113</v>
      </c>
      <c r="D2176" s="1178" t="s">
        <v>897</v>
      </c>
      <c r="E2176" s="1179">
        <v>2022</v>
      </c>
      <c r="F2176" s="1282" t="s">
        <v>20220</v>
      </c>
      <c r="G2176" s="1368" t="s">
        <v>20342</v>
      </c>
      <c r="H2176" s="1178" t="s">
        <v>20343</v>
      </c>
      <c r="I2176" s="1178" t="s">
        <v>7080</v>
      </c>
      <c r="J2176" s="1178" t="s">
        <v>662</v>
      </c>
      <c r="K2176" s="1178" t="s">
        <v>267</v>
      </c>
      <c r="L2176" s="1178" t="s">
        <v>242</v>
      </c>
      <c r="M2176" s="1369" t="s">
        <v>23297</v>
      </c>
      <c r="N2176" s="1178"/>
      <c r="O2176" s="1178">
        <v>6</v>
      </c>
      <c r="P2176" s="1178">
        <v>0</v>
      </c>
    </row>
    <row r="2177" spans="1:16">
      <c r="A2177" s="1178" t="s">
        <v>21109</v>
      </c>
      <c r="B2177" s="1371" t="str">
        <f>HYPERLINK(IFERROR("#Main_Tariff!A"&amp;MATCH(Raeburn_Main_Tariff[[#This Row],[Product Code]],Main_Tariff!I:I,0),"#Main_Tariff!A"&amp;MATCH("*"&amp;RIGHT(A2177,8)&amp;"*",Main_Tariff!A:A,0)),Raeburn_Main_Tariff[[#This Row],[PRODUCER]])</f>
        <v>Thierry Glantenay</v>
      </c>
      <c r="C2177" s="1178" t="s">
        <v>21113</v>
      </c>
      <c r="D2177" s="1178" t="s">
        <v>897</v>
      </c>
      <c r="E2177" s="1179">
        <v>2021</v>
      </c>
      <c r="F2177" s="1282" t="s">
        <v>20220</v>
      </c>
      <c r="G2177" s="1368">
        <v>50</v>
      </c>
      <c r="H2177" s="1178" t="s">
        <v>20221</v>
      </c>
      <c r="I2177" s="1178" t="s">
        <v>7082</v>
      </c>
      <c r="J2177" s="1178" t="s">
        <v>662</v>
      </c>
      <c r="K2177" s="1178" t="s">
        <v>267</v>
      </c>
      <c r="L2177" s="1178" t="s">
        <v>242</v>
      </c>
      <c r="M2177" s="1369" t="s">
        <v>23297</v>
      </c>
      <c r="N2177" s="1178"/>
      <c r="O2177" s="1178">
        <v>6</v>
      </c>
      <c r="P2177" s="1178">
        <v>13</v>
      </c>
    </row>
    <row r="2178" spans="1:16">
      <c r="A2178" s="1178" t="s">
        <v>21109</v>
      </c>
      <c r="B2178" s="1371" t="str">
        <f>HYPERLINK(IFERROR("#Main_Tariff!A"&amp;MATCH(Raeburn_Main_Tariff[[#This Row],[Product Code]],Main_Tariff!I:I,0),"#Main_Tariff!A"&amp;MATCH("*"&amp;RIGHT(A2178,8)&amp;"*",Main_Tariff!A:A,0)),Raeburn_Main_Tariff[[#This Row],[PRODUCER]])</f>
        <v>Thierry Glantenay</v>
      </c>
      <c r="C2178" s="1178" t="s">
        <v>21113</v>
      </c>
      <c r="D2178" s="1178" t="s">
        <v>897</v>
      </c>
      <c r="E2178" s="1179">
        <v>2020</v>
      </c>
      <c r="F2178" s="1282" t="s">
        <v>20220</v>
      </c>
      <c r="G2178" s="1368">
        <v>50</v>
      </c>
      <c r="H2178" s="1178" t="s">
        <v>20221</v>
      </c>
      <c r="I2178" s="1178" t="s">
        <v>7084</v>
      </c>
      <c r="J2178" s="1178" t="s">
        <v>662</v>
      </c>
      <c r="K2178" s="1178" t="s">
        <v>267</v>
      </c>
      <c r="L2178" s="1178" t="s">
        <v>242</v>
      </c>
      <c r="M2178" s="1369" t="s">
        <v>23297</v>
      </c>
      <c r="N2178" s="1178"/>
      <c r="O2178" s="1178">
        <v>6</v>
      </c>
      <c r="P2178" s="1178">
        <v>14.5</v>
      </c>
    </row>
    <row r="2179" spans="1:16">
      <c r="A2179" s="1178" t="s">
        <v>21109</v>
      </c>
      <c r="B2179" s="1371" t="str">
        <f>HYPERLINK(IFERROR("#Main_Tariff!A"&amp;MATCH(Raeburn_Main_Tariff[[#This Row],[Product Code]],Main_Tariff!I:I,0),"#Main_Tariff!A"&amp;MATCH("*"&amp;RIGHT(A2179,8)&amp;"*",Main_Tariff!A:A,0)),Raeburn_Main_Tariff[[#This Row],[PRODUCER]])</f>
        <v>Thierry Glantenay</v>
      </c>
      <c r="C2179" s="1178" t="s">
        <v>21113</v>
      </c>
      <c r="D2179" s="1178" t="s">
        <v>897</v>
      </c>
      <c r="E2179" s="1179">
        <v>2019</v>
      </c>
      <c r="F2179" s="1282" t="s">
        <v>20220</v>
      </c>
      <c r="G2179" s="1368">
        <v>50</v>
      </c>
      <c r="H2179" s="1178" t="s">
        <v>20221</v>
      </c>
      <c r="I2179" s="1178" t="s">
        <v>7086</v>
      </c>
      <c r="J2179" s="1178" t="s">
        <v>662</v>
      </c>
      <c r="K2179" s="1178" t="s">
        <v>267</v>
      </c>
      <c r="L2179" s="1178" t="s">
        <v>242</v>
      </c>
      <c r="M2179" s="1369" t="s">
        <v>23297</v>
      </c>
      <c r="N2179" s="1178"/>
      <c r="O2179" s="1178">
        <v>6</v>
      </c>
      <c r="P2179" s="1178">
        <v>13</v>
      </c>
    </row>
    <row r="2180" spans="1:16">
      <c r="A2180" s="1178" t="s">
        <v>21109</v>
      </c>
      <c r="B2180" s="1371" t="str">
        <f>HYPERLINK(IFERROR("#Main_Tariff!A"&amp;MATCH(Raeburn_Main_Tariff[[#This Row],[Product Code]],Main_Tariff!I:I,0),"#Main_Tariff!A"&amp;MATCH("*"&amp;RIGHT(A2180,8)&amp;"*",Main_Tariff!A:A,0)),Raeburn_Main_Tariff[[#This Row],[PRODUCER]])</f>
        <v>Thierry Glantenay</v>
      </c>
      <c r="C2180" s="1178" t="s">
        <v>21113</v>
      </c>
      <c r="D2180" s="1178" t="s">
        <v>897</v>
      </c>
      <c r="E2180" s="1179">
        <v>2018</v>
      </c>
      <c r="F2180" s="1282" t="s">
        <v>20220</v>
      </c>
      <c r="G2180" s="1368">
        <v>45.5</v>
      </c>
      <c r="H2180" s="1178" t="s">
        <v>20221</v>
      </c>
      <c r="I2180" s="1178" t="s">
        <v>7088</v>
      </c>
      <c r="J2180" s="1178" t="s">
        <v>662</v>
      </c>
      <c r="K2180" s="1178" t="s">
        <v>267</v>
      </c>
      <c r="L2180" s="1178" t="s">
        <v>242</v>
      </c>
      <c r="M2180" s="1369" t="s">
        <v>23297</v>
      </c>
      <c r="N2180" s="1178"/>
      <c r="O2180" s="1178">
        <v>6</v>
      </c>
      <c r="P2180" s="1178">
        <v>14</v>
      </c>
    </row>
    <row r="2181" spans="1:16">
      <c r="A2181" s="1178" t="s">
        <v>21109</v>
      </c>
      <c r="B2181" s="1371" t="str">
        <f>HYPERLINK(IFERROR("#Main_Tariff!A"&amp;MATCH(Raeburn_Main_Tariff[[#This Row],[Product Code]],Main_Tariff!I:I,0),"#Main_Tariff!A"&amp;MATCH("*"&amp;RIGHT(A2181,8)&amp;"*",Main_Tariff!A:A,0)),Raeburn_Main_Tariff[[#This Row],[PRODUCER]])</f>
        <v>Thierry Glantenay</v>
      </c>
      <c r="C2181" s="1178" t="s">
        <v>21113</v>
      </c>
      <c r="D2181" s="1178" t="s">
        <v>897</v>
      </c>
      <c r="E2181" s="1179">
        <v>2017</v>
      </c>
      <c r="F2181" s="1282" t="s">
        <v>20220</v>
      </c>
      <c r="G2181" s="1368">
        <v>45.5</v>
      </c>
      <c r="H2181" s="1178" t="s">
        <v>20221</v>
      </c>
      <c r="I2181" s="1178" t="s">
        <v>7090</v>
      </c>
      <c r="J2181" s="1178" t="s">
        <v>662</v>
      </c>
      <c r="K2181" s="1178" t="s">
        <v>267</v>
      </c>
      <c r="L2181" s="1178" t="s">
        <v>242</v>
      </c>
      <c r="M2181" s="1369" t="s">
        <v>23297</v>
      </c>
      <c r="N2181" s="1178"/>
      <c r="O2181" s="1178">
        <v>6</v>
      </c>
      <c r="P2181" s="1178">
        <v>14</v>
      </c>
    </row>
    <row r="2182" spans="1:16">
      <c r="A2182" s="1178" t="s">
        <v>21109</v>
      </c>
      <c r="B2182" s="1371" t="str">
        <f>HYPERLINK(IFERROR("#Main_Tariff!A"&amp;MATCH(Raeburn_Main_Tariff[[#This Row],[Product Code]],Main_Tariff!I:I,0),"#Main_Tariff!A"&amp;MATCH("*"&amp;RIGHT(A2182,8)&amp;"*",Main_Tariff!A:A,0)),Raeburn_Main_Tariff[[#This Row],[PRODUCER]])</f>
        <v>Thierry Glantenay</v>
      </c>
      <c r="C2182" s="1178" t="s">
        <v>21113</v>
      </c>
      <c r="D2182" s="1178" t="s">
        <v>897</v>
      </c>
      <c r="E2182" s="1179">
        <v>2015</v>
      </c>
      <c r="F2182" s="1282" t="s">
        <v>20220</v>
      </c>
      <c r="G2182" s="1368">
        <v>45.5</v>
      </c>
      <c r="H2182" s="1178" t="s">
        <v>20221</v>
      </c>
      <c r="I2182" s="1178" t="s">
        <v>7092</v>
      </c>
      <c r="J2182" s="1178" t="s">
        <v>662</v>
      </c>
      <c r="K2182" s="1178" t="s">
        <v>267</v>
      </c>
      <c r="L2182" s="1178" t="s">
        <v>242</v>
      </c>
      <c r="M2182" s="1369" t="s">
        <v>23297</v>
      </c>
      <c r="N2182" s="1178"/>
      <c r="O2182" s="1178">
        <v>6</v>
      </c>
      <c r="P2182" s="1178">
        <v>13</v>
      </c>
    </row>
    <row r="2183" spans="1:16">
      <c r="A2183" s="1178" t="s">
        <v>21109</v>
      </c>
      <c r="B2183" s="1371" t="str">
        <f>HYPERLINK(IFERROR("#Main_Tariff!A"&amp;MATCH(Raeburn_Main_Tariff[[#This Row],[Product Code]],Main_Tariff!I:I,0),"#Main_Tariff!A"&amp;MATCH("*"&amp;RIGHT(A2183,8)&amp;"*",Main_Tariff!A:A,0)),Raeburn_Main_Tariff[[#This Row],[PRODUCER]])</f>
        <v>Thierry Glantenay</v>
      </c>
      <c r="C2183" s="1178" t="s">
        <v>21063</v>
      </c>
      <c r="D2183" s="1178" t="s">
        <v>897</v>
      </c>
      <c r="E2183" s="1179">
        <v>2022</v>
      </c>
      <c r="F2183" s="1282" t="s">
        <v>20220</v>
      </c>
      <c r="G2183" s="1368" t="s">
        <v>20342</v>
      </c>
      <c r="H2183" s="1178" t="s">
        <v>20343</v>
      </c>
      <c r="I2183" s="1178" t="s">
        <v>7094</v>
      </c>
      <c r="J2183" s="1178" t="s">
        <v>662</v>
      </c>
      <c r="K2183" s="1178" t="s">
        <v>267</v>
      </c>
      <c r="L2183" s="1178" t="s">
        <v>242</v>
      </c>
      <c r="M2183" s="1369" t="s">
        <v>23297</v>
      </c>
      <c r="N2183" s="1178"/>
      <c r="O2183" s="1178">
        <v>6</v>
      </c>
      <c r="P2183" s="1178">
        <v>0</v>
      </c>
    </row>
    <row r="2184" spans="1:16">
      <c r="A2184" s="1178" t="s">
        <v>21109</v>
      </c>
      <c r="B2184" s="1371" t="str">
        <f>HYPERLINK(IFERROR("#Main_Tariff!A"&amp;MATCH(Raeburn_Main_Tariff[[#This Row],[Product Code]],Main_Tariff!I:I,0),"#Main_Tariff!A"&amp;MATCH("*"&amp;RIGHT(A2184,8)&amp;"*",Main_Tariff!A:A,0)),Raeburn_Main_Tariff[[#This Row],[PRODUCER]])</f>
        <v>Thierry Glantenay</v>
      </c>
      <c r="C2184" s="1178" t="s">
        <v>21063</v>
      </c>
      <c r="D2184" s="1178" t="s">
        <v>897</v>
      </c>
      <c r="E2184" s="1179">
        <v>2021</v>
      </c>
      <c r="F2184" s="1282" t="s">
        <v>20220</v>
      </c>
      <c r="G2184" s="1368">
        <v>60</v>
      </c>
      <c r="H2184" s="1178" t="s">
        <v>20221</v>
      </c>
      <c r="I2184" s="1178" t="s">
        <v>7096</v>
      </c>
      <c r="J2184" s="1178" t="s">
        <v>662</v>
      </c>
      <c r="K2184" s="1178" t="s">
        <v>267</v>
      </c>
      <c r="L2184" s="1178" t="s">
        <v>242</v>
      </c>
      <c r="M2184" s="1369" t="s">
        <v>23297</v>
      </c>
      <c r="N2184" s="1178"/>
      <c r="O2184" s="1178">
        <v>6</v>
      </c>
      <c r="P2184" s="1178">
        <v>13</v>
      </c>
    </row>
    <row r="2185" spans="1:16">
      <c r="A2185" s="1178" t="s">
        <v>21109</v>
      </c>
      <c r="B2185" s="1371" t="str">
        <f>HYPERLINK(IFERROR("#Main_Tariff!A"&amp;MATCH(Raeburn_Main_Tariff[[#This Row],[Product Code]],Main_Tariff!I:I,0),"#Main_Tariff!A"&amp;MATCH("*"&amp;RIGHT(A2185,8)&amp;"*",Main_Tariff!A:A,0)),Raeburn_Main_Tariff[[#This Row],[PRODUCER]])</f>
        <v>Thierry Glantenay</v>
      </c>
      <c r="C2185" s="1178" t="s">
        <v>21063</v>
      </c>
      <c r="D2185" s="1178" t="s">
        <v>897</v>
      </c>
      <c r="E2185" s="1179">
        <v>2018</v>
      </c>
      <c r="F2185" s="1282" t="s">
        <v>20220</v>
      </c>
      <c r="G2185" s="1368">
        <v>51.5</v>
      </c>
      <c r="H2185" s="1178" t="s">
        <v>20221</v>
      </c>
      <c r="I2185" s="1178" t="s">
        <v>7098</v>
      </c>
      <c r="J2185" s="1178" t="s">
        <v>662</v>
      </c>
      <c r="K2185" s="1178" t="s">
        <v>267</v>
      </c>
      <c r="L2185" s="1178" t="s">
        <v>242</v>
      </c>
      <c r="M2185" s="1369" t="s">
        <v>23297</v>
      </c>
      <c r="N2185" s="1178"/>
      <c r="O2185" s="1178">
        <v>6</v>
      </c>
      <c r="P2185" s="1178">
        <v>14</v>
      </c>
    </row>
    <row r="2186" spans="1:16">
      <c r="A2186" s="1178" t="s">
        <v>21109</v>
      </c>
      <c r="B2186" s="1371" t="str">
        <f>HYPERLINK(IFERROR("#Main_Tariff!A"&amp;MATCH(Raeburn_Main_Tariff[[#This Row],[Product Code]],Main_Tariff!I:I,0),"#Main_Tariff!A"&amp;MATCH("*"&amp;RIGHT(A2186,8)&amp;"*",Main_Tariff!A:A,0)),Raeburn_Main_Tariff[[#This Row],[PRODUCER]])</f>
        <v>Thierry Glantenay</v>
      </c>
      <c r="C2186" s="1178" t="s">
        <v>21063</v>
      </c>
      <c r="D2186" s="1178" t="s">
        <v>897</v>
      </c>
      <c r="E2186" s="1179">
        <v>2017</v>
      </c>
      <c r="F2186" s="1282" t="s">
        <v>20220</v>
      </c>
      <c r="G2186" s="1368">
        <v>51.5</v>
      </c>
      <c r="H2186" s="1178" t="s">
        <v>20221</v>
      </c>
      <c r="I2186" s="1178" t="s">
        <v>7100</v>
      </c>
      <c r="J2186" s="1178" t="s">
        <v>662</v>
      </c>
      <c r="K2186" s="1178" t="s">
        <v>267</v>
      </c>
      <c r="L2186" s="1178" t="s">
        <v>242</v>
      </c>
      <c r="M2186" s="1369" t="s">
        <v>23297</v>
      </c>
      <c r="N2186" s="1178"/>
      <c r="O2186" s="1178">
        <v>6</v>
      </c>
      <c r="P2186" s="1178">
        <v>14.5</v>
      </c>
    </row>
    <row r="2187" spans="1:16">
      <c r="A2187" s="1178" t="s">
        <v>21109</v>
      </c>
      <c r="B2187" s="1371" t="str">
        <f>HYPERLINK(IFERROR("#Main_Tariff!A"&amp;MATCH(Raeburn_Main_Tariff[[#This Row],[Product Code]],Main_Tariff!I:I,0),"#Main_Tariff!A"&amp;MATCH("*"&amp;RIGHT(A2187,8)&amp;"*",Main_Tariff!A:A,0)),Raeburn_Main_Tariff[[#This Row],[PRODUCER]])</f>
        <v>Thierry Glantenay</v>
      </c>
      <c r="C2187" s="1178" t="s">
        <v>21063</v>
      </c>
      <c r="D2187" s="1178" t="s">
        <v>897</v>
      </c>
      <c r="E2187" s="1179">
        <v>2015</v>
      </c>
      <c r="F2187" s="1282" t="s">
        <v>20220</v>
      </c>
      <c r="G2187" s="1368">
        <v>53.5</v>
      </c>
      <c r="H2187" s="1178" t="s">
        <v>20221</v>
      </c>
      <c r="I2187" s="1178" t="s">
        <v>7102</v>
      </c>
      <c r="J2187" s="1178" t="s">
        <v>662</v>
      </c>
      <c r="K2187" s="1178" t="s">
        <v>267</v>
      </c>
      <c r="L2187" s="1178" t="s">
        <v>242</v>
      </c>
      <c r="M2187" s="1369" t="s">
        <v>23297</v>
      </c>
      <c r="N2187" s="1178"/>
      <c r="O2187" s="1178">
        <v>6</v>
      </c>
      <c r="P2187" s="1178">
        <v>13</v>
      </c>
    </row>
    <row r="2188" spans="1:16">
      <c r="A2188" s="1178" t="s">
        <v>21109</v>
      </c>
      <c r="B2188" s="1371" t="str">
        <f>HYPERLINK(IFERROR("#Main_Tariff!A"&amp;MATCH(Raeburn_Main_Tariff[[#This Row],[Product Code]],Main_Tariff!I:I,0),"#Main_Tariff!A"&amp;MATCH("*"&amp;RIGHT(A2188,8)&amp;"*",Main_Tariff!A:A,0)),Raeburn_Main_Tariff[[#This Row],[PRODUCER]])</f>
        <v>Thierry Glantenay</v>
      </c>
      <c r="C2188" s="1178" t="s">
        <v>21063</v>
      </c>
      <c r="D2188" s="1178" t="s">
        <v>897</v>
      </c>
      <c r="E2188" s="1179">
        <v>2014</v>
      </c>
      <c r="F2188" s="1282" t="s">
        <v>20220</v>
      </c>
      <c r="G2188" s="1368">
        <v>51.5</v>
      </c>
      <c r="H2188" s="1178" t="s">
        <v>20221</v>
      </c>
      <c r="I2188" s="1178" t="s">
        <v>7104</v>
      </c>
      <c r="J2188" s="1178" t="s">
        <v>662</v>
      </c>
      <c r="K2188" s="1178" t="s">
        <v>267</v>
      </c>
      <c r="L2188" s="1178" t="s">
        <v>242</v>
      </c>
      <c r="M2188" s="1369" t="s">
        <v>23297</v>
      </c>
      <c r="N2188" s="1178"/>
      <c r="O2188" s="1178">
        <v>6</v>
      </c>
      <c r="P2188" s="1178">
        <v>13</v>
      </c>
    </row>
    <row r="2189" spans="1:16">
      <c r="A2189" s="1178" t="s">
        <v>21109</v>
      </c>
      <c r="B2189" s="1371" t="str">
        <f>HYPERLINK(IFERROR("#Main_Tariff!A"&amp;MATCH(Raeburn_Main_Tariff[[#This Row],[Product Code]],Main_Tariff!I:I,0),"#Main_Tariff!A"&amp;MATCH("*"&amp;RIGHT(A2189,8)&amp;"*",Main_Tariff!A:A,0)),Raeburn_Main_Tariff[[#This Row],[PRODUCER]])</f>
        <v>Thierry Glantenay</v>
      </c>
      <c r="C2189" s="1178" t="s">
        <v>21063</v>
      </c>
      <c r="D2189" s="1178" t="s">
        <v>897</v>
      </c>
      <c r="E2189" s="1179">
        <v>2013</v>
      </c>
      <c r="F2189" s="1282" t="s">
        <v>20220</v>
      </c>
      <c r="G2189" s="1368">
        <v>51.5</v>
      </c>
      <c r="H2189" s="1178" t="s">
        <v>20221</v>
      </c>
      <c r="I2189" s="1178" t="s">
        <v>7106</v>
      </c>
      <c r="J2189" s="1178" t="s">
        <v>662</v>
      </c>
      <c r="K2189" s="1178" t="s">
        <v>267</v>
      </c>
      <c r="L2189" s="1178" t="s">
        <v>242</v>
      </c>
      <c r="M2189" s="1369" t="s">
        <v>23297</v>
      </c>
      <c r="N2189" s="1178"/>
      <c r="O2189" s="1178">
        <v>6</v>
      </c>
      <c r="P2189" s="1178">
        <v>13</v>
      </c>
    </row>
    <row r="2190" spans="1:16">
      <c r="A2190" s="1178" t="s">
        <v>21109</v>
      </c>
      <c r="B2190" s="1371" t="str">
        <f>HYPERLINK(IFERROR("#Main_Tariff!A"&amp;MATCH(Raeburn_Main_Tariff[[#This Row],[Product Code]],Main_Tariff!I:I,0),"#Main_Tariff!A"&amp;MATCH("*"&amp;RIGHT(A2190,8)&amp;"*",Main_Tariff!A:A,0)),Raeburn_Main_Tariff[[#This Row],[PRODUCER]])</f>
        <v>Thierry Glantenay</v>
      </c>
      <c r="C2190" s="1178" t="s">
        <v>21063</v>
      </c>
      <c r="D2190" s="1178" t="s">
        <v>897</v>
      </c>
      <c r="E2190" s="1179">
        <v>2012</v>
      </c>
      <c r="F2190" s="1282" t="s">
        <v>20220</v>
      </c>
      <c r="G2190" s="1368">
        <v>51.5</v>
      </c>
      <c r="H2190" s="1178" t="s">
        <v>20221</v>
      </c>
      <c r="I2190" s="1178" t="s">
        <v>7108</v>
      </c>
      <c r="J2190" s="1178" t="s">
        <v>662</v>
      </c>
      <c r="K2190" s="1178" t="s">
        <v>267</v>
      </c>
      <c r="L2190" s="1178" t="s">
        <v>242</v>
      </c>
      <c r="M2190" s="1369" t="s">
        <v>23297</v>
      </c>
      <c r="N2190" s="1178"/>
      <c r="O2190" s="1178">
        <v>6</v>
      </c>
      <c r="P2190" s="1178">
        <v>15</v>
      </c>
    </row>
    <row r="2191" spans="1:16">
      <c r="A2191" s="1178" t="s">
        <v>21109</v>
      </c>
      <c r="B2191" s="1371" t="str">
        <f>HYPERLINK(IFERROR("#Main_Tariff!A"&amp;MATCH(Raeburn_Main_Tariff[[#This Row],[Product Code]],Main_Tariff!I:I,0),"#Main_Tariff!A"&amp;MATCH("*"&amp;RIGHT(A2191,8)&amp;"*",Main_Tariff!A:A,0)),Raeburn_Main_Tariff[[#This Row],[PRODUCER]])</f>
        <v>Thierry Glantenay</v>
      </c>
      <c r="C2191" s="1178" t="s">
        <v>21063</v>
      </c>
      <c r="D2191" s="1178" t="s">
        <v>897</v>
      </c>
      <c r="E2191" s="1179">
        <v>2011</v>
      </c>
      <c r="F2191" s="1282" t="s">
        <v>20220</v>
      </c>
      <c r="G2191" s="1368">
        <v>51.5</v>
      </c>
      <c r="H2191" s="1178" t="s">
        <v>20221</v>
      </c>
      <c r="I2191" s="1178" t="s">
        <v>7110</v>
      </c>
      <c r="J2191" s="1178" t="s">
        <v>662</v>
      </c>
      <c r="K2191" s="1178" t="s">
        <v>267</v>
      </c>
      <c r="L2191" s="1178" t="s">
        <v>242</v>
      </c>
      <c r="M2191" s="1369" t="s">
        <v>23297</v>
      </c>
      <c r="N2191" s="1178"/>
      <c r="O2191" s="1178">
        <v>6</v>
      </c>
      <c r="P2191" s="1178">
        <v>13</v>
      </c>
    </row>
    <row r="2192" spans="1:16">
      <c r="A2192" s="1178" t="s">
        <v>21109</v>
      </c>
      <c r="B2192" s="1371" t="str">
        <f>HYPERLINK(IFERROR("#Main_Tariff!A"&amp;MATCH(Raeburn_Main_Tariff[[#This Row],[Product Code]],Main_Tariff!I:I,0),"#Main_Tariff!A"&amp;MATCH("*"&amp;RIGHT(A2192,8)&amp;"*",Main_Tariff!A:A,0)),Raeburn_Main_Tariff[[#This Row],[PRODUCER]])</f>
        <v>Thierry Glantenay</v>
      </c>
      <c r="C2192" s="1178" t="s">
        <v>21063</v>
      </c>
      <c r="D2192" s="1178" t="s">
        <v>897</v>
      </c>
      <c r="E2192" s="1179">
        <v>2008</v>
      </c>
      <c r="F2192" s="1282" t="s">
        <v>20220</v>
      </c>
      <c r="G2192" s="1368">
        <v>51.5</v>
      </c>
      <c r="H2192" s="1178" t="s">
        <v>20224</v>
      </c>
      <c r="I2192" s="1178" t="s">
        <v>7112</v>
      </c>
      <c r="J2192" s="1178" t="s">
        <v>662</v>
      </c>
      <c r="K2192" s="1178" t="s">
        <v>267</v>
      </c>
      <c r="L2192" s="1178" t="s">
        <v>242</v>
      </c>
      <c r="M2192" s="1369" t="s">
        <v>23297</v>
      </c>
      <c r="N2192" s="1178"/>
      <c r="O2192" s="1178">
        <v>12</v>
      </c>
      <c r="P2192" s="1178">
        <v>12.5</v>
      </c>
    </row>
    <row r="2193" spans="1:16">
      <c r="A2193" s="1178" t="s">
        <v>21109</v>
      </c>
      <c r="B2193" s="1371" t="str">
        <f>HYPERLINK(IFERROR("#Main_Tariff!A"&amp;MATCH(Raeburn_Main_Tariff[[#This Row],[Product Code]],Main_Tariff!I:I,0),"#Main_Tariff!A"&amp;MATCH("*"&amp;RIGHT(A2193,8)&amp;"*",Main_Tariff!A:A,0)),Raeburn_Main_Tariff[[#This Row],[PRODUCER]])</f>
        <v>Thierry Glantenay</v>
      </c>
      <c r="C2193" s="1178" t="s">
        <v>21114</v>
      </c>
      <c r="D2193" s="1178" t="s">
        <v>897</v>
      </c>
      <c r="E2193" s="1179">
        <v>2022</v>
      </c>
      <c r="F2193" s="1282" t="s">
        <v>20220</v>
      </c>
      <c r="G2193" s="1368" t="s">
        <v>20342</v>
      </c>
      <c r="H2193" s="1178" t="s">
        <v>20343</v>
      </c>
      <c r="I2193" s="1178" t="s">
        <v>7113</v>
      </c>
      <c r="J2193" s="1178" t="s">
        <v>662</v>
      </c>
      <c r="K2193" s="1178" t="s">
        <v>267</v>
      </c>
      <c r="L2193" s="1178" t="s">
        <v>242</v>
      </c>
      <c r="M2193" s="1369" t="s">
        <v>23297</v>
      </c>
      <c r="N2193" s="1178"/>
      <c r="O2193" s="1178">
        <v>6</v>
      </c>
      <c r="P2193" s="1178">
        <v>0</v>
      </c>
    </row>
    <row r="2194" spans="1:16">
      <c r="A2194" s="1178" t="s">
        <v>21109</v>
      </c>
      <c r="B2194" s="1371" t="str">
        <f>HYPERLINK(IFERROR("#Main_Tariff!A"&amp;MATCH(Raeburn_Main_Tariff[[#This Row],[Product Code]],Main_Tariff!I:I,0),"#Main_Tariff!A"&amp;MATCH("*"&amp;RIGHT(A2194,8)&amp;"*",Main_Tariff!A:A,0)),Raeburn_Main_Tariff[[#This Row],[PRODUCER]])</f>
        <v>Thierry Glantenay</v>
      </c>
      <c r="C2194" s="1178" t="s">
        <v>21114</v>
      </c>
      <c r="D2194" s="1178" t="s">
        <v>897</v>
      </c>
      <c r="E2194" s="1179">
        <v>2018</v>
      </c>
      <c r="F2194" s="1282" t="s">
        <v>20220</v>
      </c>
      <c r="G2194" s="1368">
        <v>55.5</v>
      </c>
      <c r="H2194" s="1178" t="s">
        <v>20224</v>
      </c>
      <c r="I2194" s="1178" t="s">
        <v>7114</v>
      </c>
      <c r="J2194" s="1178" t="s">
        <v>662</v>
      </c>
      <c r="K2194" s="1178" t="s">
        <v>267</v>
      </c>
      <c r="L2194" s="1178" t="s">
        <v>242</v>
      </c>
      <c r="M2194" s="1369" t="s">
        <v>23297</v>
      </c>
      <c r="N2194" s="1178"/>
      <c r="O2194" s="1178">
        <v>6</v>
      </c>
      <c r="P2194" s="1178">
        <v>14</v>
      </c>
    </row>
    <row r="2195" spans="1:16">
      <c r="A2195" s="1178" t="s">
        <v>21109</v>
      </c>
      <c r="B2195" s="1371" t="str">
        <f>HYPERLINK(IFERROR("#Main_Tariff!A"&amp;MATCH(Raeburn_Main_Tariff[[#This Row],[Product Code]],Main_Tariff!I:I,0),"#Main_Tariff!A"&amp;MATCH("*"&amp;RIGHT(A2195,8)&amp;"*",Main_Tariff!A:A,0)),Raeburn_Main_Tariff[[#This Row],[PRODUCER]])</f>
        <v>Thierry Glantenay</v>
      </c>
      <c r="C2195" s="1178" t="s">
        <v>21114</v>
      </c>
      <c r="D2195" s="1178" t="s">
        <v>897</v>
      </c>
      <c r="E2195" s="1179">
        <v>2016</v>
      </c>
      <c r="F2195" s="1282" t="s">
        <v>20220</v>
      </c>
      <c r="G2195" s="1368">
        <v>55.5</v>
      </c>
      <c r="H2195" s="1178" t="s">
        <v>20224</v>
      </c>
      <c r="I2195" s="1178" t="s">
        <v>7115</v>
      </c>
      <c r="J2195" s="1178" t="s">
        <v>662</v>
      </c>
      <c r="K2195" s="1178" t="s">
        <v>267</v>
      </c>
      <c r="L2195" s="1178" t="s">
        <v>242</v>
      </c>
      <c r="M2195" s="1369" t="s">
        <v>23297</v>
      </c>
      <c r="N2195" s="1178"/>
      <c r="O2195" s="1178">
        <v>6</v>
      </c>
      <c r="P2195" s="1178">
        <v>13</v>
      </c>
    </row>
    <row r="2196" spans="1:16">
      <c r="A2196" s="1178" t="s">
        <v>21109</v>
      </c>
      <c r="B2196" s="1371" t="str">
        <f>HYPERLINK(IFERROR("#Main_Tariff!A"&amp;MATCH(Raeburn_Main_Tariff[[#This Row],[Product Code]],Main_Tariff!I:I,0),"#Main_Tariff!A"&amp;MATCH("*"&amp;RIGHT(A2196,8)&amp;"*",Main_Tariff!A:A,0)),Raeburn_Main_Tariff[[#This Row],[PRODUCER]])</f>
        <v>Thierry Glantenay</v>
      </c>
      <c r="C2196" s="1178" t="s">
        <v>21114</v>
      </c>
      <c r="D2196" s="1178" t="s">
        <v>897</v>
      </c>
      <c r="E2196" s="1179">
        <v>2012</v>
      </c>
      <c r="F2196" s="1282" t="s">
        <v>20220</v>
      </c>
      <c r="G2196" s="1368">
        <v>55.5</v>
      </c>
      <c r="H2196" s="1178" t="s">
        <v>20224</v>
      </c>
      <c r="I2196" s="1178" t="s">
        <v>7116</v>
      </c>
      <c r="J2196" s="1178" t="s">
        <v>662</v>
      </c>
      <c r="K2196" s="1178" t="s">
        <v>267</v>
      </c>
      <c r="L2196" s="1178" t="s">
        <v>242</v>
      </c>
      <c r="M2196" s="1369" t="s">
        <v>23297</v>
      </c>
      <c r="N2196" s="1178"/>
      <c r="O2196" s="1178">
        <v>6</v>
      </c>
      <c r="P2196" s="1178">
        <v>15</v>
      </c>
    </row>
    <row r="2197" spans="1:16">
      <c r="A2197" s="1178" t="s">
        <v>21109</v>
      </c>
      <c r="B2197" s="1371" t="str">
        <f>HYPERLINK(IFERROR("#Main_Tariff!A"&amp;MATCH(Raeburn_Main_Tariff[[#This Row],[Product Code]],Main_Tariff!I:I,0),"#Main_Tariff!A"&amp;MATCH("*"&amp;RIGHT(A2197,8)&amp;"*",Main_Tariff!A:A,0)),Raeburn_Main_Tariff[[#This Row],[PRODUCER]])</f>
        <v>Thierry Glantenay</v>
      </c>
      <c r="C2197" s="1178" t="s">
        <v>21114</v>
      </c>
      <c r="D2197" s="1178" t="s">
        <v>897</v>
      </c>
      <c r="E2197" s="1179">
        <v>2010</v>
      </c>
      <c r="F2197" s="1282" t="s">
        <v>20220</v>
      </c>
      <c r="G2197" s="1368">
        <v>57.5</v>
      </c>
      <c r="H2197" s="1178" t="s">
        <v>20221</v>
      </c>
      <c r="I2197" s="1178" t="s">
        <v>7117</v>
      </c>
      <c r="J2197" s="1178" t="s">
        <v>662</v>
      </c>
      <c r="K2197" s="1178" t="s">
        <v>267</v>
      </c>
      <c r="L2197" s="1178" t="s">
        <v>242</v>
      </c>
      <c r="M2197" s="1369" t="s">
        <v>23297</v>
      </c>
      <c r="N2197" s="1178"/>
      <c r="O2197" s="1178">
        <v>6</v>
      </c>
      <c r="P2197" s="1178">
        <v>15</v>
      </c>
    </row>
    <row r="2198" spans="1:16">
      <c r="A2198" s="1178" t="s">
        <v>21109</v>
      </c>
      <c r="B2198" s="1371" t="str">
        <f>HYPERLINK(IFERROR("#Main_Tariff!A"&amp;MATCH(Raeburn_Main_Tariff[[#This Row],[Product Code]],Main_Tariff!I:I,0),"#Main_Tariff!A"&amp;MATCH("*"&amp;RIGHT(A2198,8)&amp;"*",Main_Tariff!A:A,0)),Raeburn_Main_Tariff[[#This Row],[PRODUCER]])</f>
        <v>Thierry Glantenay</v>
      </c>
      <c r="C2198" s="1178" t="s">
        <v>20736</v>
      </c>
      <c r="D2198" s="1178" t="s">
        <v>897</v>
      </c>
      <c r="E2198" s="1179">
        <v>2022</v>
      </c>
      <c r="F2198" s="1282" t="s">
        <v>20220</v>
      </c>
      <c r="G2198" s="1368" t="s">
        <v>20342</v>
      </c>
      <c r="H2198" s="1178" t="s">
        <v>20343</v>
      </c>
      <c r="I2198" s="1178" t="s">
        <v>7118</v>
      </c>
      <c r="J2198" s="1178" t="s">
        <v>662</v>
      </c>
      <c r="K2198" s="1178" t="s">
        <v>267</v>
      </c>
      <c r="L2198" s="1178" t="s">
        <v>242</v>
      </c>
      <c r="M2198" s="1369" t="s">
        <v>23297</v>
      </c>
      <c r="N2198" s="1178"/>
      <c r="O2198" s="1178">
        <v>6</v>
      </c>
      <c r="P2198" s="1178">
        <v>0</v>
      </c>
    </row>
    <row r="2199" spans="1:16">
      <c r="A2199" s="1178" t="s">
        <v>21109</v>
      </c>
      <c r="B2199" s="1371" t="str">
        <f>HYPERLINK(IFERROR("#Main_Tariff!A"&amp;MATCH(Raeburn_Main_Tariff[[#This Row],[Product Code]],Main_Tariff!I:I,0),"#Main_Tariff!A"&amp;MATCH("*"&amp;RIGHT(A2199,8)&amp;"*",Main_Tariff!A:A,0)),Raeburn_Main_Tariff[[#This Row],[PRODUCER]])</f>
        <v>Thierry Glantenay</v>
      </c>
      <c r="C2199" s="1178" t="s">
        <v>20736</v>
      </c>
      <c r="D2199" s="1178" t="s">
        <v>897</v>
      </c>
      <c r="E2199" s="1179">
        <v>2011</v>
      </c>
      <c r="F2199" s="1282" t="s">
        <v>20220</v>
      </c>
      <c r="G2199" s="1368">
        <v>67.5</v>
      </c>
      <c r="H2199" s="1178" t="s">
        <v>20221</v>
      </c>
      <c r="I2199" s="1178" t="s">
        <v>7119</v>
      </c>
      <c r="J2199" s="1178" t="s">
        <v>662</v>
      </c>
      <c r="K2199" s="1178" t="s">
        <v>267</v>
      </c>
      <c r="L2199" s="1178" t="s">
        <v>242</v>
      </c>
      <c r="M2199" s="1369" t="s">
        <v>23297</v>
      </c>
      <c r="N2199" s="1178"/>
      <c r="O2199" s="1178">
        <v>12</v>
      </c>
      <c r="P2199" s="1178">
        <v>13</v>
      </c>
    </row>
    <row r="2200" spans="1:16">
      <c r="A2200" s="1178" t="s">
        <v>21109</v>
      </c>
      <c r="B2200" s="1371" t="str">
        <f>HYPERLINK(IFERROR("#Main_Tariff!A"&amp;MATCH(Raeburn_Main_Tariff[[#This Row],[Product Code]],Main_Tariff!I:I,0),"#Main_Tariff!A"&amp;MATCH("*"&amp;RIGHT(A2200,8)&amp;"*",Main_Tariff!A:A,0)),Raeburn_Main_Tariff[[#This Row],[PRODUCER]])</f>
        <v>Thierry Glantenay</v>
      </c>
      <c r="C2200" s="1178" t="s">
        <v>21115</v>
      </c>
      <c r="D2200" s="1178" t="s">
        <v>897</v>
      </c>
      <c r="E2200" s="1179">
        <v>2022</v>
      </c>
      <c r="F2200" s="1282" t="s">
        <v>20220</v>
      </c>
      <c r="G2200" s="1368" t="s">
        <v>20342</v>
      </c>
      <c r="H2200" s="1178" t="s">
        <v>20343</v>
      </c>
      <c r="I2200" s="1178" t="s">
        <v>7120</v>
      </c>
      <c r="J2200" s="1178" t="s">
        <v>662</v>
      </c>
      <c r="K2200" s="1178" t="s">
        <v>267</v>
      </c>
      <c r="L2200" s="1178" t="s">
        <v>242</v>
      </c>
      <c r="M2200" s="1369" t="s">
        <v>23297</v>
      </c>
      <c r="N2200" s="1178"/>
      <c r="O2200" s="1178">
        <v>6</v>
      </c>
      <c r="P2200" s="1178">
        <v>0</v>
      </c>
    </row>
    <row r="2201" spans="1:16">
      <c r="A2201" s="1178" t="s">
        <v>21109</v>
      </c>
      <c r="B2201" s="1371" t="str">
        <f>HYPERLINK(IFERROR("#Main_Tariff!A"&amp;MATCH(Raeburn_Main_Tariff[[#This Row],[Product Code]],Main_Tariff!I:I,0),"#Main_Tariff!A"&amp;MATCH("*"&amp;RIGHT(A2201,8)&amp;"*",Main_Tariff!A:A,0)),Raeburn_Main_Tariff[[#This Row],[PRODUCER]])</f>
        <v>Thierry Glantenay</v>
      </c>
      <c r="C2201" s="1178" t="s">
        <v>21115</v>
      </c>
      <c r="D2201" s="1178" t="s">
        <v>897</v>
      </c>
      <c r="E2201" s="1179">
        <v>2021</v>
      </c>
      <c r="F2201" s="1282" t="s">
        <v>20220</v>
      </c>
      <c r="G2201" s="1368">
        <v>62</v>
      </c>
      <c r="H2201" s="1178" t="s">
        <v>20224</v>
      </c>
      <c r="I2201" s="1178" t="s">
        <v>7121</v>
      </c>
      <c r="J2201" s="1178" t="s">
        <v>662</v>
      </c>
      <c r="K2201" s="1178" t="s">
        <v>267</v>
      </c>
      <c r="L2201" s="1178" t="s">
        <v>242</v>
      </c>
      <c r="M2201" s="1369" t="s">
        <v>23297</v>
      </c>
      <c r="N2201" s="1178"/>
      <c r="O2201" s="1178">
        <v>6</v>
      </c>
      <c r="P2201" s="1178">
        <v>13</v>
      </c>
    </row>
    <row r="2202" spans="1:16">
      <c r="A2202" s="1178" t="s">
        <v>21109</v>
      </c>
      <c r="B2202" s="1371" t="str">
        <f>HYPERLINK(IFERROR("#Main_Tariff!A"&amp;MATCH(Raeburn_Main_Tariff[[#This Row],[Product Code]],Main_Tariff!I:I,0),"#Main_Tariff!A"&amp;MATCH("*"&amp;RIGHT(A2202,8)&amp;"*",Main_Tariff!A:A,0)),Raeburn_Main_Tariff[[#This Row],[PRODUCER]])</f>
        <v>Thierry Glantenay</v>
      </c>
      <c r="C2202" s="1178" t="s">
        <v>21115</v>
      </c>
      <c r="D2202" s="1178" t="s">
        <v>897</v>
      </c>
      <c r="E2202" s="1179">
        <v>2020</v>
      </c>
      <c r="F2202" s="1282" t="s">
        <v>20220</v>
      </c>
      <c r="G2202" s="1368">
        <v>62</v>
      </c>
      <c r="H2202" s="1178" t="s">
        <v>20224</v>
      </c>
      <c r="I2202" s="1178" t="s">
        <v>7122</v>
      </c>
      <c r="J2202" s="1178" t="s">
        <v>662</v>
      </c>
      <c r="K2202" s="1178" t="s">
        <v>267</v>
      </c>
      <c r="L2202" s="1178" t="s">
        <v>242</v>
      </c>
      <c r="M2202" s="1369" t="s">
        <v>23297</v>
      </c>
      <c r="N2202" s="1178"/>
      <c r="O2202" s="1178">
        <v>6</v>
      </c>
      <c r="P2202" s="1178">
        <v>14</v>
      </c>
    </row>
    <row r="2203" spans="1:16">
      <c r="A2203" s="1178" t="s">
        <v>21109</v>
      </c>
      <c r="B2203" s="1371" t="str">
        <f>HYPERLINK(IFERROR("#Main_Tariff!A"&amp;MATCH(Raeburn_Main_Tariff[[#This Row],[Product Code]],Main_Tariff!I:I,0),"#Main_Tariff!A"&amp;MATCH("*"&amp;RIGHT(A2203,8)&amp;"*",Main_Tariff!A:A,0)),Raeburn_Main_Tariff[[#This Row],[PRODUCER]])</f>
        <v>Thierry Glantenay</v>
      </c>
      <c r="C2203" s="1178" t="s">
        <v>21116</v>
      </c>
      <c r="D2203" s="1178" t="s">
        <v>897</v>
      </c>
      <c r="E2203" s="1179">
        <v>2022</v>
      </c>
      <c r="F2203" s="1282" t="s">
        <v>20220</v>
      </c>
      <c r="G2203" s="1368" t="s">
        <v>20342</v>
      </c>
      <c r="H2203" s="1178" t="s">
        <v>20343</v>
      </c>
      <c r="I2203" s="1178" t="s">
        <v>7123</v>
      </c>
      <c r="J2203" s="1178" t="s">
        <v>662</v>
      </c>
      <c r="K2203" s="1178" t="s">
        <v>267</v>
      </c>
      <c r="L2203" s="1178" t="s">
        <v>242</v>
      </c>
      <c r="M2203" s="1369" t="s">
        <v>23297</v>
      </c>
      <c r="N2203" s="1178"/>
      <c r="O2203" s="1178">
        <v>6</v>
      </c>
      <c r="P2203" s="1178">
        <v>0</v>
      </c>
    </row>
    <row r="2204" spans="1:16">
      <c r="A2204" s="1178" t="s">
        <v>21109</v>
      </c>
      <c r="B2204" s="1371" t="str">
        <f>HYPERLINK(IFERROR("#Main_Tariff!A"&amp;MATCH(Raeburn_Main_Tariff[[#This Row],[Product Code]],Main_Tariff!I:I,0),"#Main_Tariff!A"&amp;MATCH("*"&amp;RIGHT(A2204,8)&amp;"*",Main_Tariff!A:A,0)),Raeburn_Main_Tariff[[#This Row],[PRODUCER]])</f>
        <v>Thierry Glantenay</v>
      </c>
      <c r="C2204" s="1178" t="s">
        <v>21116</v>
      </c>
      <c r="D2204" s="1178" t="s">
        <v>897</v>
      </c>
      <c r="E2204" s="1179">
        <v>2014</v>
      </c>
      <c r="F2204" s="1282" t="s">
        <v>20220</v>
      </c>
      <c r="G2204" s="1368">
        <v>71.5</v>
      </c>
      <c r="H2204" s="1178" t="s">
        <v>20224</v>
      </c>
      <c r="I2204" s="1178" t="s">
        <v>7124</v>
      </c>
      <c r="J2204" s="1178" t="s">
        <v>662</v>
      </c>
      <c r="K2204" s="1178" t="s">
        <v>267</v>
      </c>
      <c r="L2204" s="1178" t="s">
        <v>242</v>
      </c>
      <c r="M2204" s="1369" t="s">
        <v>23297</v>
      </c>
      <c r="N2204" s="1178"/>
      <c r="O2204" s="1178">
        <v>6</v>
      </c>
      <c r="P2204" s="1178">
        <v>13</v>
      </c>
    </row>
    <row r="2205" spans="1:16">
      <c r="A2205" s="1178" t="s">
        <v>21109</v>
      </c>
      <c r="B2205" s="1371" t="str">
        <f>HYPERLINK(IFERROR("#Main_Tariff!A"&amp;MATCH(Raeburn_Main_Tariff[[#This Row],[Product Code]],Main_Tariff!I:I,0),"#Main_Tariff!A"&amp;MATCH("*"&amp;RIGHT(A2205,8)&amp;"*",Main_Tariff!A:A,0)),Raeburn_Main_Tariff[[#This Row],[PRODUCER]])</f>
        <v>Thierry Glantenay</v>
      </c>
      <c r="C2205" s="1178" t="s">
        <v>21117</v>
      </c>
      <c r="D2205" s="1178" t="s">
        <v>897</v>
      </c>
      <c r="E2205" s="1179">
        <v>2022</v>
      </c>
      <c r="F2205" s="1282" t="s">
        <v>20240</v>
      </c>
      <c r="G2205" s="1368" t="s">
        <v>20342</v>
      </c>
      <c r="H2205" s="1178" t="s">
        <v>20343</v>
      </c>
      <c r="I2205" s="1178" t="s">
        <v>7125</v>
      </c>
      <c r="J2205" s="1178" t="s">
        <v>662</v>
      </c>
      <c r="K2205" s="1178" t="s">
        <v>267</v>
      </c>
      <c r="L2205" s="1178" t="s">
        <v>242</v>
      </c>
      <c r="M2205" s="1369"/>
      <c r="N2205" s="1178"/>
      <c r="O2205" s="1178">
        <v>3</v>
      </c>
      <c r="P2205" s="1178">
        <v>0</v>
      </c>
    </row>
    <row r="2206" spans="1:16">
      <c r="A2206" s="1178" t="s">
        <v>21109</v>
      </c>
      <c r="B2206" s="1371" t="str">
        <f>HYPERLINK(IFERROR("#Main_Tariff!A"&amp;MATCH(Raeburn_Main_Tariff[[#This Row],[Product Code]],Main_Tariff!I:I,0),"#Main_Tariff!A"&amp;MATCH("*"&amp;RIGHT(A2206,8)&amp;"*",Main_Tariff!A:A,0)),Raeburn_Main_Tariff[[#This Row],[PRODUCER]])</f>
        <v>Thierry Glantenay</v>
      </c>
      <c r="C2206" s="1178" t="s">
        <v>21118</v>
      </c>
      <c r="D2206" s="1178" t="s">
        <v>897</v>
      </c>
      <c r="E2206" s="1179">
        <v>2018</v>
      </c>
      <c r="F2206" s="1282" t="s">
        <v>20240</v>
      </c>
      <c r="G2206" s="1368">
        <v>67</v>
      </c>
      <c r="H2206" s="1178" t="s">
        <v>20221</v>
      </c>
      <c r="I2206" s="1178" t="s">
        <v>7126</v>
      </c>
      <c r="J2206" s="1178" t="s">
        <v>662</v>
      </c>
      <c r="K2206" s="1178" t="s">
        <v>267</v>
      </c>
      <c r="L2206" s="1178" t="s">
        <v>242</v>
      </c>
      <c r="M2206" s="1369"/>
      <c r="N2206" s="1178"/>
      <c r="O2206" s="1178">
        <v>6</v>
      </c>
      <c r="P2206" s="1178">
        <v>14</v>
      </c>
    </row>
    <row r="2207" spans="1:16">
      <c r="A2207" s="1178" t="s">
        <v>21109</v>
      </c>
      <c r="B2207" s="1371" t="str">
        <f>HYPERLINK(IFERROR("#Main_Tariff!A"&amp;MATCH(Raeburn_Main_Tariff[[#This Row],[Product Code]],Main_Tariff!I:I,0),"#Main_Tariff!A"&amp;MATCH("*"&amp;RIGHT(A2207,8)&amp;"*",Main_Tariff!A:A,0)),Raeburn_Main_Tariff[[#This Row],[PRODUCER]])</f>
        <v>Thierry Glantenay</v>
      </c>
      <c r="C2207" s="1178" t="s">
        <v>21119</v>
      </c>
      <c r="D2207" s="1178" t="s">
        <v>897</v>
      </c>
      <c r="E2207" s="1179">
        <v>2018</v>
      </c>
      <c r="F2207" s="1282" t="s">
        <v>20240</v>
      </c>
      <c r="G2207" s="1368">
        <v>92</v>
      </c>
      <c r="H2207" s="1178" t="s">
        <v>20221</v>
      </c>
      <c r="I2207" s="1178" t="s">
        <v>7127</v>
      </c>
      <c r="J2207" s="1178" t="s">
        <v>662</v>
      </c>
      <c r="K2207" s="1178" t="s">
        <v>267</v>
      </c>
      <c r="L2207" s="1178" t="s">
        <v>242</v>
      </c>
      <c r="M2207" s="1369" t="s">
        <v>23297</v>
      </c>
      <c r="N2207" s="1178"/>
      <c r="O2207" s="1178">
        <v>6</v>
      </c>
      <c r="P2207" s="1178">
        <v>14</v>
      </c>
    </row>
    <row r="2208" spans="1:16">
      <c r="A2208" s="1178" t="s">
        <v>21109</v>
      </c>
      <c r="B2208" s="1371" t="str">
        <f>HYPERLINK(IFERROR("#Main_Tariff!A"&amp;MATCH(Raeburn_Main_Tariff[[#This Row],[Product Code]],Main_Tariff!I:I,0),"#Main_Tariff!A"&amp;MATCH("*"&amp;RIGHT(A2208,8)&amp;"*",Main_Tariff!A:A,0)),Raeburn_Main_Tariff[[#This Row],[PRODUCER]])</f>
        <v>Thierry Glantenay</v>
      </c>
      <c r="C2208" s="1178" t="s">
        <v>21119</v>
      </c>
      <c r="D2208" s="1178" t="s">
        <v>897</v>
      </c>
      <c r="E2208" s="1179">
        <v>2011</v>
      </c>
      <c r="F2208" s="1282" t="s">
        <v>20240</v>
      </c>
      <c r="G2208" s="1368">
        <v>89</v>
      </c>
      <c r="H2208" s="1178" t="s">
        <v>20224</v>
      </c>
      <c r="I2208" s="1178" t="s">
        <v>7128</v>
      </c>
      <c r="J2208" s="1178" t="s">
        <v>662</v>
      </c>
      <c r="K2208" s="1178" t="s">
        <v>267</v>
      </c>
      <c r="L2208" s="1178" t="s">
        <v>242</v>
      </c>
      <c r="M2208" s="1369" t="s">
        <v>23297</v>
      </c>
      <c r="N2208" s="1178"/>
      <c r="O2208" s="1178">
        <v>3</v>
      </c>
      <c r="P2208" s="1178">
        <v>13</v>
      </c>
    </row>
    <row r="2209" spans="1:16">
      <c r="A2209" s="1178" t="s">
        <v>21109</v>
      </c>
      <c r="B2209" s="1371" t="str">
        <f>HYPERLINK(IFERROR("#Main_Tariff!A"&amp;MATCH(Raeburn_Main_Tariff[[#This Row],[Product Code]],Main_Tariff!I:I,0),"#Main_Tariff!A"&amp;MATCH("*"&amp;RIGHT(A2209,8)&amp;"*",Main_Tariff!A:A,0)),Raeburn_Main_Tariff[[#This Row],[PRODUCER]])</f>
        <v>Thierry Glantenay</v>
      </c>
      <c r="C2209" s="1178" t="s">
        <v>21120</v>
      </c>
      <c r="D2209" s="1178" t="s">
        <v>897</v>
      </c>
      <c r="E2209" s="1179">
        <v>2022</v>
      </c>
      <c r="F2209" s="1282" t="s">
        <v>20240</v>
      </c>
      <c r="G2209" s="1368" t="s">
        <v>20342</v>
      </c>
      <c r="H2209" s="1178" t="s">
        <v>20343</v>
      </c>
      <c r="I2209" s="1178" t="s">
        <v>7129</v>
      </c>
      <c r="J2209" s="1178" t="s">
        <v>662</v>
      </c>
      <c r="K2209" s="1178" t="s">
        <v>267</v>
      </c>
      <c r="L2209" s="1178" t="s">
        <v>242</v>
      </c>
      <c r="M2209" s="1369" t="s">
        <v>23297</v>
      </c>
      <c r="N2209" s="1178"/>
      <c r="O2209" s="1178">
        <v>3</v>
      </c>
      <c r="P2209" s="1178">
        <v>0</v>
      </c>
    </row>
    <row r="2210" spans="1:16">
      <c r="A2210" s="1178" t="s">
        <v>21109</v>
      </c>
      <c r="B2210" s="1371" t="str">
        <f>HYPERLINK(IFERROR("#Main_Tariff!A"&amp;MATCH(Raeburn_Main_Tariff[[#This Row],[Product Code]],Main_Tariff!I:I,0),"#Main_Tariff!A"&amp;MATCH("*"&amp;RIGHT(A2210,8)&amp;"*",Main_Tariff!A:A,0)),Raeburn_Main_Tariff[[#This Row],[PRODUCER]])</f>
        <v>Thierry Glantenay</v>
      </c>
      <c r="C2210" s="1178" t="s">
        <v>21120</v>
      </c>
      <c r="D2210" s="1178" t="s">
        <v>897</v>
      </c>
      <c r="E2210" s="1179">
        <v>2011</v>
      </c>
      <c r="F2210" s="1282" t="s">
        <v>20240</v>
      </c>
      <c r="G2210" s="1368">
        <v>110</v>
      </c>
      <c r="H2210" s="1178" t="s">
        <v>20224</v>
      </c>
      <c r="I2210" s="1178" t="s">
        <v>7130</v>
      </c>
      <c r="J2210" s="1178" t="s">
        <v>662</v>
      </c>
      <c r="K2210" s="1178" t="s">
        <v>267</v>
      </c>
      <c r="L2210" s="1178" t="s">
        <v>242</v>
      </c>
      <c r="M2210" s="1369" t="s">
        <v>23297</v>
      </c>
      <c r="N2210" s="1178"/>
      <c r="O2210" s="1178">
        <v>6</v>
      </c>
      <c r="P2210" s="1178">
        <v>13</v>
      </c>
    </row>
    <row r="2211" spans="1:16">
      <c r="A2211" s="1178" t="s">
        <v>21109</v>
      </c>
      <c r="B2211" s="1371" t="str">
        <f>HYPERLINK(IFERROR("#Main_Tariff!A"&amp;MATCH(Raeburn_Main_Tariff[[#This Row],[Product Code]],Main_Tariff!I:I,0),"#Main_Tariff!A"&amp;MATCH("*"&amp;RIGHT(A2211,8)&amp;"*",Main_Tariff!A:A,0)),Raeburn_Main_Tariff[[#This Row],[PRODUCER]])</f>
        <v>Thierry Glantenay</v>
      </c>
      <c r="C2211" s="1178" t="s">
        <v>21120</v>
      </c>
      <c r="D2211" s="1178" t="s">
        <v>897</v>
      </c>
      <c r="E2211" s="1179">
        <v>2010</v>
      </c>
      <c r="F2211" s="1282" t="s">
        <v>20240</v>
      </c>
      <c r="G2211" s="1368">
        <v>128</v>
      </c>
      <c r="H2211" s="1178" t="s">
        <v>20224</v>
      </c>
      <c r="I2211" s="1178" t="s">
        <v>7131</v>
      </c>
      <c r="J2211" s="1178" t="s">
        <v>662</v>
      </c>
      <c r="K2211" s="1178" t="s">
        <v>267</v>
      </c>
      <c r="L2211" s="1178" t="s">
        <v>242</v>
      </c>
      <c r="M2211" s="1369" t="s">
        <v>23297</v>
      </c>
      <c r="N2211" s="1178"/>
      <c r="O2211" s="1178">
        <v>6</v>
      </c>
      <c r="P2211" s="1178">
        <v>15</v>
      </c>
    </row>
    <row r="2212" spans="1:16">
      <c r="A2212" s="1178" t="s">
        <v>21109</v>
      </c>
      <c r="B2212" s="1371" t="str">
        <f>HYPERLINK(IFERROR("#Main_Tariff!A"&amp;MATCH(Raeburn_Main_Tariff[[#This Row],[Product Code]],Main_Tariff!I:I,0),"#Main_Tariff!A"&amp;MATCH("*"&amp;RIGHT(A2212,8)&amp;"*",Main_Tariff!A:A,0)),Raeburn_Main_Tariff[[#This Row],[PRODUCER]])</f>
        <v>Thierry Glantenay</v>
      </c>
      <c r="C2212" s="1178" t="s">
        <v>21120</v>
      </c>
      <c r="D2212" s="1178" t="s">
        <v>897</v>
      </c>
      <c r="E2212" s="1179">
        <v>2009</v>
      </c>
      <c r="F2212" s="1282" t="s">
        <v>20240</v>
      </c>
      <c r="G2212" s="1368">
        <v>128</v>
      </c>
      <c r="H2212" s="1178" t="s">
        <v>20277</v>
      </c>
      <c r="I2212" s="1178" t="s">
        <v>7132</v>
      </c>
      <c r="J2212" s="1178" t="s">
        <v>662</v>
      </c>
      <c r="K2212" s="1178" t="s">
        <v>267</v>
      </c>
      <c r="L2212" s="1178" t="s">
        <v>242</v>
      </c>
      <c r="M2212" s="1369" t="s">
        <v>23297</v>
      </c>
      <c r="N2212" s="1178"/>
      <c r="O2212" s="1178">
        <v>6</v>
      </c>
      <c r="P2212" s="1178">
        <v>12.5</v>
      </c>
    </row>
    <row r="2213" spans="1:16">
      <c r="A2213" s="1178" t="s">
        <v>21121</v>
      </c>
      <c r="B2213" s="1371" t="str">
        <f>HYPERLINK(IFERROR("#Main_Tariff!A"&amp;MATCH(Raeburn_Main_Tariff[[#This Row],[Product Code]],Main_Tariff!I:I,0),"#Main_Tariff!A"&amp;MATCH("*"&amp;RIGHT(A2213,8)&amp;"*",Main_Tariff!A:A,0)),Raeburn_Main_Tariff[[#This Row],[PRODUCER]])</f>
        <v>Domaine Alain Gras</v>
      </c>
      <c r="C2213" s="1178" t="s">
        <v>21122</v>
      </c>
      <c r="D2213" s="1178" t="s">
        <v>1129</v>
      </c>
      <c r="E2213" s="1179">
        <v>2023</v>
      </c>
      <c r="F2213" s="1282" t="s">
        <v>20280</v>
      </c>
      <c r="G2213" s="1368">
        <v>21.25</v>
      </c>
      <c r="H2213" s="1178" t="s">
        <v>20221</v>
      </c>
      <c r="I2213" s="1178" t="s">
        <v>7140</v>
      </c>
      <c r="J2213" s="1178" t="s">
        <v>662</v>
      </c>
      <c r="K2213" s="1178" t="s">
        <v>267</v>
      </c>
      <c r="L2213" s="1178" t="s">
        <v>242</v>
      </c>
      <c r="M2213" s="1369"/>
      <c r="N2213" s="1178"/>
      <c r="O2213" s="1178">
        <v>12</v>
      </c>
      <c r="P2213" s="1178">
        <v>13</v>
      </c>
    </row>
    <row r="2214" spans="1:16">
      <c r="A2214" s="1178" t="s">
        <v>21121</v>
      </c>
      <c r="B2214" s="1371" t="str">
        <f>HYPERLINK(IFERROR("#Main_Tariff!A"&amp;MATCH(Raeburn_Main_Tariff[[#This Row],[Product Code]],Main_Tariff!I:I,0),"#Main_Tariff!A"&amp;MATCH("*"&amp;RIGHT(A2214,8)&amp;"*",Main_Tariff!A:A,0)),Raeburn_Main_Tariff[[#This Row],[PRODUCER]])</f>
        <v>Domaine Alain Gras</v>
      </c>
      <c r="C2214" s="1178" t="s">
        <v>18923</v>
      </c>
      <c r="D2214" s="1178" t="s">
        <v>1129</v>
      </c>
      <c r="E2214" s="1179">
        <v>2023</v>
      </c>
      <c r="F2214" s="1282" t="s">
        <v>20220</v>
      </c>
      <c r="G2214" s="1368">
        <v>36.5</v>
      </c>
      <c r="H2214" s="1178" t="s">
        <v>20221</v>
      </c>
      <c r="I2214" s="1178" t="s">
        <v>7142</v>
      </c>
      <c r="J2214" s="1178" t="s">
        <v>662</v>
      </c>
      <c r="K2214" s="1178" t="s">
        <v>267</v>
      </c>
      <c r="L2214" s="1178" t="s">
        <v>242</v>
      </c>
      <c r="M2214" s="1369"/>
      <c r="N2214" s="1178"/>
      <c r="O2214" s="1178">
        <v>6</v>
      </c>
      <c r="P2214" s="1178">
        <v>13</v>
      </c>
    </row>
    <row r="2215" spans="1:16">
      <c r="A2215" s="1178" t="s">
        <v>21121</v>
      </c>
      <c r="B2215" s="1371" t="str">
        <f>HYPERLINK(IFERROR("#Main_Tariff!A"&amp;MATCH(Raeburn_Main_Tariff[[#This Row],[Product Code]],Main_Tariff!I:I,0),"#Main_Tariff!A"&amp;MATCH("*"&amp;RIGHT(A2215,8)&amp;"*",Main_Tariff!A:A,0)),Raeburn_Main_Tariff[[#This Row],[PRODUCER]])</f>
        <v>Domaine Alain Gras</v>
      </c>
      <c r="C2215" s="1178" t="s">
        <v>18923</v>
      </c>
      <c r="D2215" s="1178" t="s">
        <v>1129</v>
      </c>
      <c r="E2215" s="1179">
        <v>2022</v>
      </c>
      <c r="F2215" s="1282" t="s">
        <v>20220</v>
      </c>
      <c r="G2215" s="1368">
        <v>36.5</v>
      </c>
      <c r="H2215" s="1178" t="s">
        <v>20221</v>
      </c>
      <c r="I2215" s="1178" t="s">
        <v>7144</v>
      </c>
      <c r="J2215" s="1178" t="s">
        <v>662</v>
      </c>
      <c r="K2215" s="1178" t="s">
        <v>267</v>
      </c>
      <c r="L2215" s="1178" t="s">
        <v>242</v>
      </c>
      <c r="M2215" s="1369"/>
      <c r="N2215" s="1178"/>
      <c r="O2215" s="1178">
        <v>6</v>
      </c>
      <c r="P2215" s="1178">
        <v>13</v>
      </c>
    </row>
    <row r="2216" spans="1:16">
      <c r="A2216" s="1178" t="s">
        <v>21121</v>
      </c>
      <c r="B2216" s="1371" t="str">
        <f>HYPERLINK(IFERROR("#Main_Tariff!A"&amp;MATCH(Raeburn_Main_Tariff[[#This Row],[Product Code]],Main_Tariff!I:I,0),"#Main_Tariff!A"&amp;MATCH("*"&amp;RIGHT(A2216,8)&amp;"*",Main_Tariff!A:A,0)),Raeburn_Main_Tariff[[#This Row],[PRODUCER]])</f>
        <v>Domaine Alain Gras</v>
      </c>
      <c r="C2216" s="1178" t="s">
        <v>18923</v>
      </c>
      <c r="D2216" s="1178" t="s">
        <v>1129</v>
      </c>
      <c r="E2216" s="1179">
        <v>2021</v>
      </c>
      <c r="F2216" s="1282" t="s">
        <v>20220</v>
      </c>
      <c r="G2216" s="1368">
        <v>36.5</v>
      </c>
      <c r="H2216" s="1178" t="s">
        <v>20224</v>
      </c>
      <c r="I2216" s="1178" t="s">
        <v>7146</v>
      </c>
      <c r="J2216" s="1178" t="s">
        <v>662</v>
      </c>
      <c r="K2216" s="1178" t="s">
        <v>267</v>
      </c>
      <c r="L2216" s="1178" t="s">
        <v>242</v>
      </c>
      <c r="M2216" s="1369"/>
      <c r="N2216" s="1178"/>
      <c r="O2216" s="1178">
        <v>12</v>
      </c>
      <c r="P2216" s="1178">
        <v>13</v>
      </c>
    </row>
    <row r="2217" spans="1:16">
      <c r="A2217" s="1178" t="s">
        <v>21121</v>
      </c>
      <c r="B2217" s="1371" t="str">
        <f>HYPERLINK(IFERROR("#Main_Tariff!A"&amp;MATCH(Raeburn_Main_Tariff[[#This Row],[Product Code]],Main_Tariff!I:I,0),"#Main_Tariff!A"&amp;MATCH("*"&amp;RIGHT(A2217,8)&amp;"*",Main_Tariff!A:A,0)),Raeburn_Main_Tariff[[#This Row],[PRODUCER]])</f>
        <v>Domaine Alain Gras</v>
      </c>
      <c r="C2217" s="1178" t="s">
        <v>18923</v>
      </c>
      <c r="D2217" s="1178" t="s">
        <v>1129</v>
      </c>
      <c r="E2217" s="1179">
        <v>2020</v>
      </c>
      <c r="F2217" s="1282" t="s">
        <v>20220</v>
      </c>
      <c r="G2217" s="1368">
        <v>36.5</v>
      </c>
      <c r="H2217" s="1178" t="s">
        <v>20224</v>
      </c>
      <c r="I2217" s="1178" t="s">
        <v>7148</v>
      </c>
      <c r="J2217" s="1178" t="s">
        <v>662</v>
      </c>
      <c r="K2217" s="1178" t="s">
        <v>267</v>
      </c>
      <c r="L2217" s="1178" t="s">
        <v>242</v>
      </c>
      <c r="M2217" s="1369"/>
      <c r="N2217" s="1178"/>
      <c r="O2217" s="1178">
        <v>12</v>
      </c>
      <c r="P2217" s="1178">
        <v>13</v>
      </c>
    </row>
    <row r="2218" spans="1:16">
      <c r="A2218" s="1178" t="s">
        <v>21121</v>
      </c>
      <c r="B2218" s="1371" t="str">
        <f>HYPERLINK(IFERROR("#Main_Tariff!A"&amp;MATCH(Raeburn_Main_Tariff[[#This Row],[Product Code]],Main_Tariff!I:I,0),"#Main_Tariff!A"&amp;MATCH("*"&amp;RIGHT(A2218,8)&amp;"*",Main_Tariff!A:A,0)),Raeburn_Main_Tariff[[#This Row],[PRODUCER]])</f>
        <v>Domaine Alain Gras</v>
      </c>
      <c r="C2218" s="1178" t="s">
        <v>18923</v>
      </c>
      <c r="D2218" s="1178" t="s">
        <v>1129</v>
      </c>
      <c r="E2218" s="1179">
        <v>2019</v>
      </c>
      <c r="F2218" s="1282" t="s">
        <v>20220</v>
      </c>
      <c r="G2218" s="1368">
        <v>36.5</v>
      </c>
      <c r="H2218" s="1178" t="s">
        <v>20221</v>
      </c>
      <c r="I2218" s="1178" t="s">
        <v>7150</v>
      </c>
      <c r="J2218" s="1178" t="s">
        <v>662</v>
      </c>
      <c r="K2218" s="1178" t="s">
        <v>267</v>
      </c>
      <c r="L2218" s="1178" t="s">
        <v>242</v>
      </c>
      <c r="M2218" s="1369"/>
      <c r="N2218" s="1178"/>
      <c r="O2218" s="1178">
        <v>12</v>
      </c>
      <c r="P2218" s="1178">
        <v>13</v>
      </c>
    </row>
    <row r="2219" spans="1:16">
      <c r="A2219" s="1178" t="s">
        <v>21121</v>
      </c>
      <c r="B2219" s="1371" t="str">
        <f>HYPERLINK(IFERROR("#Main_Tariff!A"&amp;MATCH(Raeburn_Main_Tariff[[#This Row],[Product Code]],Main_Tariff!I:I,0),"#Main_Tariff!A"&amp;MATCH("*"&amp;RIGHT(A2219,8)&amp;"*",Main_Tariff!A:A,0)),Raeburn_Main_Tariff[[#This Row],[PRODUCER]])</f>
        <v>Domaine Alain Gras</v>
      </c>
      <c r="C2219" s="1178" t="s">
        <v>18923</v>
      </c>
      <c r="D2219" s="1178" t="s">
        <v>1129</v>
      </c>
      <c r="E2219" s="1179">
        <v>2018</v>
      </c>
      <c r="F2219" s="1282" t="s">
        <v>20220</v>
      </c>
      <c r="G2219" s="1368">
        <v>33.5</v>
      </c>
      <c r="H2219" s="1178" t="s">
        <v>20221</v>
      </c>
      <c r="I2219" s="1178" t="s">
        <v>7152</v>
      </c>
      <c r="J2219" s="1178" t="s">
        <v>662</v>
      </c>
      <c r="K2219" s="1178" t="s">
        <v>267</v>
      </c>
      <c r="L2219" s="1178" t="s">
        <v>242</v>
      </c>
      <c r="M2219" s="1369"/>
      <c r="N2219" s="1178"/>
      <c r="O2219" s="1178">
        <v>12</v>
      </c>
      <c r="P2219" s="1178">
        <v>13</v>
      </c>
    </row>
    <row r="2220" spans="1:16">
      <c r="A2220" s="1178" t="s">
        <v>21121</v>
      </c>
      <c r="B2220" s="1371" t="str">
        <f>HYPERLINK(IFERROR("#Main_Tariff!A"&amp;MATCH(Raeburn_Main_Tariff[[#This Row],[Product Code]],Main_Tariff!I:I,0),"#Main_Tariff!A"&amp;MATCH("*"&amp;RIGHT(A2220,8)&amp;"*",Main_Tariff!A:A,0)),Raeburn_Main_Tariff[[#This Row],[PRODUCER]])</f>
        <v>Domaine Alain Gras</v>
      </c>
      <c r="C2220" s="1178" t="s">
        <v>18923</v>
      </c>
      <c r="D2220" s="1178" t="s">
        <v>1129</v>
      </c>
      <c r="E2220" s="1179">
        <v>2017</v>
      </c>
      <c r="F2220" s="1282" t="s">
        <v>20220</v>
      </c>
      <c r="G2220" s="1368">
        <v>33.5</v>
      </c>
      <c r="H2220" s="1178" t="s">
        <v>20221</v>
      </c>
      <c r="I2220" s="1178" t="s">
        <v>7153</v>
      </c>
      <c r="J2220" s="1178" t="s">
        <v>662</v>
      </c>
      <c r="K2220" s="1178" t="s">
        <v>267</v>
      </c>
      <c r="L2220" s="1178" t="s">
        <v>242</v>
      </c>
      <c r="M2220" s="1369"/>
      <c r="N2220" s="1178"/>
      <c r="O2220" s="1178">
        <v>12</v>
      </c>
      <c r="P2220" s="1178">
        <v>13</v>
      </c>
    </row>
    <row r="2221" spans="1:16">
      <c r="A2221" s="1178" t="s">
        <v>21121</v>
      </c>
      <c r="B2221" s="1371" t="str">
        <f>HYPERLINK(IFERROR("#Main_Tariff!A"&amp;MATCH(Raeburn_Main_Tariff[[#This Row],[Product Code]],Main_Tariff!I:I,0),"#Main_Tariff!A"&amp;MATCH("*"&amp;RIGHT(A2221,8)&amp;"*",Main_Tariff!A:A,0)),Raeburn_Main_Tariff[[#This Row],[PRODUCER]])</f>
        <v>Domaine Alain Gras</v>
      </c>
      <c r="C2221" s="1178" t="s">
        <v>18923</v>
      </c>
      <c r="D2221" s="1178" t="s">
        <v>1129</v>
      </c>
      <c r="E2221" s="1179">
        <v>2016</v>
      </c>
      <c r="F2221" s="1282" t="s">
        <v>20220</v>
      </c>
      <c r="G2221" s="1368">
        <v>33.5</v>
      </c>
      <c r="H2221" s="1178" t="s">
        <v>20221</v>
      </c>
      <c r="I2221" s="1178" t="s">
        <v>7155</v>
      </c>
      <c r="J2221" s="1178" t="s">
        <v>662</v>
      </c>
      <c r="K2221" s="1178" t="s">
        <v>267</v>
      </c>
      <c r="L2221" s="1178" t="s">
        <v>242</v>
      </c>
      <c r="M2221" s="1369"/>
      <c r="N2221" s="1178"/>
      <c r="O2221" s="1178">
        <v>12</v>
      </c>
      <c r="P2221" s="1178">
        <v>13</v>
      </c>
    </row>
    <row r="2222" spans="1:16">
      <c r="A2222" s="1178" t="s">
        <v>21121</v>
      </c>
      <c r="B2222" s="1371" t="str">
        <f>HYPERLINK(IFERROR("#Main_Tariff!A"&amp;MATCH(Raeburn_Main_Tariff[[#This Row],[Product Code]],Main_Tariff!I:I,0),"#Main_Tariff!A"&amp;MATCH("*"&amp;RIGHT(A2222,8)&amp;"*",Main_Tariff!A:A,0)),Raeburn_Main_Tariff[[#This Row],[PRODUCER]])</f>
        <v>Domaine Alain Gras</v>
      </c>
      <c r="C2222" s="1178" t="s">
        <v>18923</v>
      </c>
      <c r="D2222" s="1178" t="s">
        <v>1129</v>
      </c>
      <c r="E2222" s="1179">
        <v>2015</v>
      </c>
      <c r="F2222" s="1282" t="s">
        <v>20220</v>
      </c>
      <c r="G2222" s="1368">
        <v>33.5</v>
      </c>
      <c r="H2222" s="1178" t="s">
        <v>20221</v>
      </c>
      <c r="I2222" s="1178" t="s">
        <v>7157</v>
      </c>
      <c r="J2222" s="1178" t="s">
        <v>662</v>
      </c>
      <c r="K2222" s="1178" t="s">
        <v>267</v>
      </c>
      <c r="L2222" s="1178" t="s">
        <v>242</v>
      </c>
      <c r="M2222" s="1369"/>
      <c r="N2222" s="1178"/>
      <c r="O2222" s="1178">
        <v>12</v>
      </c>
      <c r="P2222" s="1178">
        <v>13</v>
      </c>
    </row>
    <row r="2223" spans="1:16">
      <c r="A2223" s="1178" t="s">
        <v>21121</v>
      </c>
      <c r="B2223" s="1371" t="str">
        <f>HYPERLINK(IFERROR("#Main_Tariff!A"&amp;MATCH(Raeburn_Main_Tariff[[#This Row],[Product Code]],Main_Tariff!I:I,0),"#Main_Tariff!A"&amp;MATCH("*"&amp;RIGHT(A2223,8)&amp;"*",Main_Tariff!A:A,0)),Raeburn_Main_Tariff[[#This Row],[PRODUCER]])</f>
        <v>Domaine Alain Gras</v>
      </c>
      <c r="C2223" s="1178" t="s">
        <v>20891</v>
      </c>
      <c r="D2223" s="1178" t="s">
        <v>1129</v>
      </c>
      <c r="E2223" s="1179">
        <v>2022</v>
      </c>
      <c r="F2223" s="1282" t="s">
        <v>20240</v>
      </c>
      <c r="G2223" s="1368">
        <v>76.75</v>
      </c>
      <c r="H2223" s="1178" t="s">
        <v>20224</v>
      </c>
      <c r="I2223" s="1178" t="s">
        <v>7159</v>
      </c>
      <c r="J2223" s="1178" t="s">
        <v>662</v>
      </c>
      <c r="K2223" s="1178" t="s">
        <v>267</v>
      </c>
      <c r="L2223" s="1178" t="s">
        <v>242</v>
      </c>
      <c r="M2223" s="1369"/>
      <c r="N2223" s="1178"/>
      <c r="O2223" s="1178">
        <v>6</v>
      </c>
      <c r="P2223" s="1178">
        <v>13</v>
      </c>
    </row>
    <row r="2224" spans="1:16">
      <c r="A2224" s="1178" t="s">
        <v>21121</v>
      </c>
      <c r="B2224" s="1371" t="str">
        <f>HYPERLINK(IFERROR("#Main_Tariff!A"&amp;MATCH(Raeburn_Main_Tariff[[#This Row],[Product Code]],Main_Tariff!I:I,0),"#Main_Tariff!A"&amp;MATCH("*"&amp;RIGHT(A2224,8)&amp;"*",Main_Tariff!A:A,0)),Raeburn_Main_Tariff[[#This Row],[PRODUCER]])</f>
        <v>Domaine Alain Gras</v>
      </c>
      <c r="C2224" s="1178" t="s">
        <v>21123</v>
      </c>
      <c r="D2224" s="1178" t="s">
        <v>897</v>
      </c>
      <c r="E2224" s="1179">
        <v>2023</v>
      </c>
      <c r="F2224" s="1282" t="s">
        <v>20280</v>
      </c>
      <c r="G2224" s="1368">
        <v>19.25</v>
      </c>
      <c r="H2224" s="1178" t="s">
        <v>20221</v>
      </c>
      <c r="I2224" s="1178" t="s">
        <v>7163</v>
      </c>
      <c r="J2224" s="1178" t="s">
        <v>662</v>
      </c>
      <c r="K2224" s="1178" t="s">
        <v>267</v>
      </c>
      <c r="L2224" s="1178" t="s">
        <v>242</v>
      </c>
      <c r="M2224" s="1369"/>
      <c r="N2224" s="1178"/>
      <c r="O2224" s="1178">
        <v>12</v>
      </c>
      <c r="P2224" s="1178">
        <v>12.5</v>
      </c>
    </row>
    <row r="2225" spans="1:16">
      <c r="A2225" s="1178" t="s">
        <v>21121</v>
      </c>
      <c r="B2225" s="1371" t="str">
        <f>HYPERLINK(IFERROR("#Main_Tariff!A"&amp;MATCH(Raeburn_Main_Tariff[[#This Row],[Product Code]],Main_Tariff!I:I,0),"#Main_Tariff!A"&amp;MATCH("*"&amp;RIGHT(A2225,8)&amp;"*",Main_Tariff!A:A,0)),Raeburn_Main_Tariff[[#This Row],[PRODUCER]])</f>
        <v>Domaine Alain Gras</v>
      </c>
      <c r="C2225" s="1178" t="s">
        <v>21123</v>
      </c>
      <c r="D2225" s="1178" t="s">
        <v>897</v>
      </c>
      <c r="E2225" s="1179">
        <v>2022</v>
      </c>
      <c r="F2225" s="1282" t="s">
        <v>20280</v>
      </c>
      <c r="G2225" s="1368">
        <v>19.25</v>
      </c>
      <c r="H2225" s="1178" t="s">
        <v>20221</v>
      </c>
      <c r="I2225" s="1178" t="s">
        <v>7165</v>
      </c>
      <c r="J2225" s="1178" t="s">
        <v>662</v>
      </c>
      <c r="K2225" s="1178" t="s">
        <v>267</v>
      </c>
      <c r="L2225" s="1178" t="s">
        <v>242</v>
      </c>
      <c r="M2225" s="1369"/>
      <c r="N2225" s="1178"/>
      <c r="O2225" s="1178">
        <v>24</v>
      </c>
      <c r="P2225" s="1178">
        <v>12.5</v>
      </c>
    </row>
    <row r="2226" spans="1:16">
      <c r="A2226" s="1178" t="s">
        <v>21121</v>
      </c>
      <c r="B2226" s="1371" t="str">
        <f>HYPERLINK(IFERROR("#Main_Tariff!A"&amp;MATCH(Raeburn_Main_Tariff[[#This Row],[Product Code]],Main_Tariff!I:I,0),"#Main_Tariff!A"&amp;MATCH("*"&amp;RIGHT(A2226,8)&amp;"*",Main_Tariff!A:A,0)),Raeburn_Main_Tariff[[#This Row],[PRODUCER]])</f>
        <v>Domaine Alain Gras</v>
      </c>
      <c r="C2226" s="1178" t="s">
        <v>18992</v>
      </c>
      <c r="D2226" s="1178" t="s">
        <v>897</v>
      </c>
      <c r="E2226" s="1179">
        <v>2023</v>
      </c>
      <c r="F2226" s="1282" t="s">
        <v>20220</v>
      </c>
      <c r="G2226" s="1368">
        <v>33.5</v>
      </c>
      <c r="H2226" s="1178" t="s">
        <v>20221</v>
      </c>
      <c r="I2226" s="1178" t="s">
        <v>7171</v>
      </c>
      <c r="J2226" s="1178" t="s">
        <v>662</v>
      </c>
      <c r="K2226" s="1178" t="s">
        <v>267</v>
      </c>
      <c r="L2226" s="1178" t="s">
        <v>242</v>
      </c>
      <c r="M2226" s="1369"/>
      <c r="N2226" s="1178"/>
      <c r="O2226" s="1178">
        <v>6</v>
      </c>
      <c r="P2226" s="1178">
        <v>12.5</v>
      </c>
    </row>
    <row r="2227" spans="1:16">
      <c r="A2227" s="1178" t="s">
        <v>21121</v>
      </c>
      <c r="B2227" s="1371" t="str">
        <f>HYPERLINK(IFERROR("#Main_Tariff!A"&amp;MATCH(Raeburn_Main_Tariff[[#This Row],[Product Code]],Main_Tariff!I:I,0),"#Main_Tariff!A"&amp;MATCH("*"&amp;RIGHT(A2227,8)&amp;"*",Main_Tariff!A:A,0)),Raeburn_Main_Tariff[[#This Row],[PRODUCER]])</f>
        <v>Domaine Alain Gras</v>
      </c>
      <c r="C2227" s="1178" t="s">
        <v>18992</v>
      </c>
      <c r="D2227" s="1178" t="s">
        <v>897</v>
      </c>
      <c r="E2227" s="1179">
        <v>2022</v>
      </c>
      <c r="F2227" s="1282" t="s">
        <v>20220</v>
      </c>
      <c r="G2227" s="1368">
        <v>33.5</v>
      </c>
      <c r="H2227" s="1178" t="s">
        <v>20221</v>
      </c>
      <c r="I2227" s="1178" t="s">
        <v>7173</v>
      </c>
      <c r="J2227" s="1178" t="s">
        <v>662</v>
      </c>
      <c r="K2227" s="1178" t="s">
        <v>267</v>
      </c>
      <c r="L2227" s="1178" t="s">
        <v>242</v>
      </c>
      <c r="M2227" s="1369"/>
      <c r="N2227" s="1178"/>
      <c r="O2227" s="1178">
        <v>6</v>
      </c>
      <c r="P2227" s="1178">
        <v>12.5</v>
      </c>
    </row>
    <row r="2228" spans="1:16">
      <c r="A2228" s="1178" t="s">
        <v>21121</v>
      </c>
      <c r="B2228" s="1371" t="str">
        <f>HYPERLINK(IFERROR("#Main_Tariff!A"&amp;MATCH(Raeburn_Main_Tariff[[#This Row],[Product Code]],Main_Tariff!I:I,0),"#Main_Tariff!A"&amp;MATCH("*"&amp;RIGHT(A2228,8)&amp;"*",Main_Tariff!A:A,0)),Raeburn_Main_Tariff[[#This Row],[PRODUCER]])</f>
        <v>Domaine Alain Gras</v>
      </c>
      <c r="C2228" s="1178" t="s">
        <v>18992</v>
      </c>
      <c r="D2228" s="1178" t="s">
        <v>897</v>
      </c>
      <c r="E2228" s="1179">
        <v>2021</v>
      </c>
      <c r="F2228" s="1282" t="s">
        <v>20220</v>
      </c>
      <c r="G2228" s="1368">
        <v>32.5</v>
      </c>
      <c r="H2228" s="1178" t="s">
        <v>20221</v>
      </c>
      <c r="I2228" s="1178" t="s">
        <v>7175</v>
      </c>
      <c r="J2228" s="1178" t="s">
        <v>662</v>
      </c>
      <c r="K2228" s="1178" t="s">
        <v>267</v>
      </c>
      <c r="L2228" s="1178" t="s">
        <v>242</v>
      </c>
      <c r="M2228" s="1369"/>
      <c r="N2228" s="1178"/>
      <c r="O2228" s="1178">
        <v>12</v>
      </c>
      <c r="P2228" s="1178">
        <v>12.5</v>
      </c>
    </row>
    <row r="2229" spans="1:16">
      <c r="A2229" s="1178" t="s">
        <v>21121</v>
      </c>
      <c r="B2229" s="1371" t="str">
        <f>HYPERLINK(IFERROR("#Main_Tariff!A"&amp;MATCH(Raeburn_Main_Tariff[[#This Row],[Product Code]],Main_Tariff!I:I,0),"#Main_Tariff!A"&amp;MATCH("*"&amp;RIGHT(A2229,8)&amp;"*",Main_Tariff!A:A,0)),Raeburn_Main_Tariff[[#This Row],[PRODUCER]])</f>
        <v>Domaine Alain Gras</v>
      </c>
      <c r="C2229" s="1178" t="s">
        <v>18992</v>
      </c>
      <c r="D2229" s="1178" t="s">
        <v>897</v>
      </c>
      <c r="E2229" s="1179">
        <v>2020</v>
      </c>
      <c r="F2229" s="1282" t="s">
        <v>20220</v>
      </c>
      <c r="G2229" s="1368">
        <v>31.5</v>
      </c>
      <c r="H2229" s="1178" t="s">
        <v>20221</v>
      </c>
      <c r="I2229" s="1178" t="s">
        <v>7177</v>
      </c>
      <c r="J2229" s="1178" t="s">
        <v>662</v>
      </c>
      <c r="K2229" s="1178" t="s">
        <v>267</v>
      </c>
      <c r="L2229" s="1178" t="s">
        <v>242</v>
      </c>
      <c r="M2229" s="1369"/>
      <c r="N2229" s="1178"/>
      <c r="O2229" s="1178">
        <v>12</v>
      </c>
      <c r="P2229" s="1178">
        <v>13</v>
      </c>
    </row>
    <row r="2230" spans="1:16">
      <c r="A2230" s="1178" t="s">
        <v>21121</v>
      </c>
      <c r="B2230" s="1371" t="str">
        <f>HYPERLINK(IFERROR("#Main_Tariff!A"&amp;MATCH(Raeburn_Main_Tariff[[#This Row],[Product Code]],Main_Tariff!I:I,0),"#Main_Tariff!A"&amp;MATCH("*"&amp;RIGHT(A2230,8)&amp;"*",Main_Tariff!A:A,0)),Raeburn_Main_Tariff[[#This Row],[PRODUCER]])</f>
        <v>Domaine Alain Gras</v>
      </c>
      <c r="C2230" s="1178" t="s">
        <v>18992</v>
      </c>
      <c r="D2230" s="1178" t="s">
        <v>897</v>
      </c>
      <c r="E2230" s="1179">
        <v>2019</v>
      </c>
      <c r="F2230" s="1282" t="s">
        <v>20220</v>
      </c>
      <c r="G2230" s="1368">
        <v>31.5</v>
      </c>
      <c r="H2230" s="1178" t="s">
        <v>20221</v>
      </c>
      <c r="I2230" s="1178" t="s">
        <v>7178</v>
      </c>
      <c r="J2230" s="1178" t="s">
        <v>662</v>
      </c>
      <c r="K2230" s="1178" t="s">
        <v>267</v>
      </c>
      <c r="L2230" s="1178" t="s">
        <v>242</v>
      </c>
      <c r="M2230" s="1369"/>
      <c r="N2230" s="1178"/>
      <c r="O2230" s="1178">
        <v>12</v>
      </c>
      <c r="P2230" s="1178">
        <v>12.5</v>
      </c>
    </row>
    <row r="2231" spans="1:16">
      <c r="A2231" s="1178" t="s">
        <v>21121</v>
      </c>
      <c r="B2231" s="1371" t="str">
        <f>HYPERLINK(IFERROR("#Main_Tariff!A"&amp;MATCH(Raeburn_Main_Tariff[[#This Row],[Product Code]],Main_Tariff!I:I,0),"#Main_Tariff!A"&amp;MATCH("*"&amp;RIGHT(A2231,8)&amp;"*",Main_Tariff!A:A,0)),Raeburn_Main_Tariff[[#This Row],[PRODUCER]])</f>
        <v>Domaine Alain Gras</v>
      </c>
      <c r="C2231" s="1178" t="s">
        <v>18992</v>
      </c>
      <c r="D2231" s="1178" t="s">
        <v>897</v>
      </c>
      <c r="E2231" s="1179">
        <v>2018</v>
      </c>
      <c r="F2231" s="1282" t="s">
        <v>20220</v>
      </c>
      <c r="G2231" s="1368">
        <v>29.5</v>
      </c>
      <c r="H2231" s="1178" t="s">
        <v>20221</v>
      </c>
      <c r="I2231" s="1178" t="s">
        <v>7179</v>
      </c>
      <c r="J2231" s="1178" t="s">
        <v>662</v>
      </c>
      <c r="K2231" s="1178" t="s">
        <v>267</v>
      </c>
      <c r="L2231" s="1178" t="s">
        <v>242</v>
      </c>
      <c r="M2231" s="1369"/>
      <c r="N2231" s="1178"/>
      <c r="O2231" s="1178">
        <v>12</v>
      </c>
      <c r="P2231" s="1178">
        <v>12.5</v>
      </c>
    </row>
    <row r="2232" spans="1:16">
      <c r="A2232" s="1178" t="s">
        <v>21121</v>
      </c>
      <c r="B2232" s="1371" t="str">
        <f>HYPERLINK(IFERROR("#Main_Tariff!A"&amp;MATCH(Raeburn_Main_Tariff[[#This Row],[Product Code]],Main_Tariff!I:I,0),"#Main_Tariff!A"&amp;MATCH("*"&amp;RIGHT(A2232,8)&amp;"*",Main_Tariff!A:A,0)),Raeburn_Main_Tariff[[#This Row],[PRODUCER]])</f>
        <v>Domaine Alain Gras</v>
      </c>
      <c r="C2232" s="1178" t="s">
        <v>18992</v>
      </c>
      <c r="D2232" s="1178" t="s">
        <v>897</v>
      </c>
      <c r="E2232" s="1179">
        <v>2017</v>
      </c>
      <c r="F2232" s="1282" t="s">
        <v>20220</v>
      </c>
      <c r="G2232" s="1368">
        <v>28.5</v>
      </c>
      <c r="H2232" s="1178" t="s">
        <v>20221</v>
      </c>
      <c r="I2232" s="1178" t="s">
        <v>7180</v>
      </c>
      <c r="J2232" s="1178" t="s">
        <v>662</v>
      </c>
      <c r="K2232" s="1178" t="s">
        <v>267</v>
      </c>
      <c r="L2232" s="1178" t="s">
        <v>242</v>
      </c>
      <c r="M2232" s="1369"/>
      <c r="N2232" s="1178"/>
      <c r="O2232" s="1178">
        <v>12</v>
      </c>
      <c r="P2232" s="1178">
        <v>12.5</v>
      </c>
    </row>
    <row r="2233" spans="1:16">
      <c r="A2233" s="1178" t="s">
        <v>21121</v>
      </c>
      <c r="B2233" s="1371" t="str">
        <f>HYPERLINK(IFERROR("#Main_Tariff!A"&amp;MATCH(Raeburn_Main_Tariff[[#This Row],[Product Code]],Main_Tariff!I:I,0),"#Main_Tariff!A"&amp;MATCH("*"&amp;RIGHT(A2233,8)&amp;"*",Main_Tariff!A:A,0)),Raeburn_Main_Tariff[[#This Row],[PRODUCER]])</f>
        <v>Domaine Alain Gras</v>
      </c>
      <c r="C2233" s="1178" t="s">
        <v>18992</v>
      </c>
      <c r="D2233" s="1178" t="s">
        <v>897</v>
      </c>
      <c r="E2233" s="1179">
        <v>2016</v>
      </c>
      <c r="F2233" s="1282" t="s">
        <v>20220</v>
      </c>
      <c r="G2233" s="1368">
        <v>28.5</v>
      </c>
      <c r="H2233" s="1178" t="s">
        <v>20221</v>
      </c>
      <c r="I2233" s="1178" t="s">
        <v>7181</v>
      </c>
      <c r="J2233" s="1178" t="s">
        <v>662</v>
      </c>
      <c r="K2233" s="1178" t="s">
        <v>267</v>
      </c>
      <c r="L2233" s="1178" t="s">
        <v>242</v>
      </c>
      <c r="M2233" s="1369"/>
      <c r="N2233" s="1178"/>
      <c r="O2233" s="1178">
        <v>12</v>
      </c>
      <c r="P2233" s="1178">
        <v>12.5</v>
      </c>
    </row>
    <row r="2234" spans="1:16">
      <c r="A2234" s="1178" t="s">
        <v>21121</v>
      </c>
      <c r="B2234" s="1371" t="str">
        <f>HYPERLINK(IFERROR("#Main_Tariff!A"&amp;MATCH(Raeburn_Main_Tariff[[#This Row],[Product Code]],Main_Tariff!I:I,0),"#Main_Tariff!A"&amp;MATCH("*"&amp;RIGHT(A2234,8)&amp;"*",Main_Tariff!A:A,0)),Raeburn_Main_Tariff[[#This Row],[PRODUCER]])</f>
        <v>Domaine Alain Gras</v>
      </c>
      <c r="C2234" s="1178" t="s">
        <v>18992</v>
      </c>
      <c r="D2234" s="1178" t="s">
        <v>897</v>
      </c>
      <c r="E2234" s="1179">
        <v>2015</v>
      </c>
      <c r="F2234" s="1282" t="s">
        <v>20220</v>
      </c>
      <c r="G2234" s="1368">
        <v>28.5</v>
      </c>
      <c r="H2234" s="1178" t="s">
        <v>20221</v>
      </c>
      <c r="I2234" s="1178" t="s">
        <v>7182</v>
      </c>
      <c r="J2234" s="1178" t="s">
        <v>662</v>
      </c>
      <c r="K2234" s="1178" t="s">
        <v>267</v>
      </c>
      <c r="L2234" s="1178" t="s">
        <v>242</v>
      </c>
      <c r="M2234" s="1369"/>
      <c r="N2234" s="1178"/>
      <c r="O2234" s="1178">
        <v>12</v>
      </c>
      <c r="P2234" s="1178">
        <v>12.5</v>
      </c>
    </row>
    <row r="2235" spans="1:16">
      <c r="A2235" s="1178" t="s">
        <v>21121</v>
      </c>
      <c r="B2235" s="1371" t="str">
        <f>HYPERLINK(IFERROR("#Main_Tariff!A"&amp;MATCH(Raeburn_Main_Tariff[[#This Row],[Product Code]],Main_Tariff!I:I,0),"#Main_Tariff!A"&amp;MATCH("*"&amp;RIGHT(A2235,8)&amp;"*",Main_Tariff!A:A,0)),Raeburn_Main_Tariff[[#This Row],[PRODUCER]])</f>
        <v>Domaine Alain Gras</v>
      </c>
      <c r="C2235" s="1178" t="s">
        <v>18992</v>
      </c>
      <c r="D2235" s="1178" t="s">
        <v>897</v>
      </c>
      <c r="E2235" s="1179">
        <v>2014</v>
      </c>
      <c r="F2235" s="1282" t="s">
        <v>20220</v>
      </c>
      <c r="G2235" s="1368">
        <v>28.5</v>
      </c>
      <c r="H2235" s="1178" t="s">
        <v>20221</v>
      </c>
      <c r="I2235" s="1178" t="s">
        <v>7183</v>
      </c>
      <c r="J2235" s="1178" t="s">
        <v>662</v>
      </c>
      <c r="K2235" s="1178" t="s">
        <v>267</v>
      </c>
      <c r="L2235" s="1178" t="s">
        <v>242</v>
      </c>
      <c r="M2235" s="1369"/>
      <c r="N2235" s="1178"/>
      <c r="O2235" s="1178">
        <v>12</v>
      </c>
      <c r="P2235" s="1178">
        <v>12.5</v>
      </c>
    </row>
    <row r="2236" spans="1:16">
      <c r="A2236" s="1178" t="s">
        <v>21121</v>
      </c>
      <c r="B2236" s="1371" t="str">
        <f>HYPERLINK(IFERROR("#Main_Tariff!A"&amp;MATCH(Raeburn_Main_Tariff[[#This Row],[Product Code]],Main_Tariff!I:I,0),"#Main_Tariff!A"&amp;MATCH("*"&amp;RIGHT(A2236,8)&amp;"*",Main_Tariff!A:A,0)),Raeburn_Main_Tariff[[#This Row],[PRODUCER]])</f>
        <v>Domaine Alain Gras</v>
      </c>
      <c r="C2236" s="1178" t="s">
        <v>18992</v>
      </c>
      <c r="D2236" s="1178" t="s">
        <v>897</v>
      </c>
      <c r="E2236" s="1179">
        <v>2012</v>
      </c>
      <c r="F2236" s="1282" t="s">
        <v>20220</v>
      </c>
      <c r="G2236" s="1368">
        <v>28.5</v>
      </c>
      <c r="H2236" s="1178" t="s">
        <v>20221</v>
      </c>
      <c r="I2236" s="1178" t="s">
        <v>7184</v>
      </c>
      <c r="J2236" s="1178" t="s">
        <v>662</v>
      </c>
      <c r="K2236" s="1178" t="s">
        <v>267</v>
      </c>
      <c r="L2236" s="1178" t="s">
        <v>242</v>
      </c>
      <c r="M2236" s="1369"/>
      <c r="N2236" s="1178"/>
      <c r="O2236" s="1178">
        <v>12</v>
      </c>
      <c r="P2236" s="1178">
        <v>12.5</v>
      </c>
    </row>
    <row r="2237" spans="1:16">
      <c r="A2237" s="1178" t="s">
        <v>21121</v>
      </c>
      <c r="B2237" s="1371" t="str">
        <f>HYPERLINK(IFERROR("#Main_Tariff!A"&amp;MATCH(Raeburn_Main_Tariff[[#This Row],[Product Code]],Main_Tariff!I:I,0),"#Main_Tariff!A"&amp;MATCH("*"&amp;RIGHT(A2237,8)&amp;"*",Main_Tariff!A:A,0)),Raeburn_Main_Tariff[[#This Row],[PRODUCER]])</f>
        <v>Domaine Alain Gras</v>
      </c>
      <c r="C2237" s="1178" t="s">
        <v>21124</v>
      </c>
      <c r="D2237" s="1178" t="s">
        <v>897</v>
      </c>
      <c r="E2237" s="1179">
        <v>2016</v>
      </c>
      <c r="F2237" s="1282" t="s">
        <v>20240</v>
      </c>
      <c r="G2237" s="1368">
        <v>59</v>
      </c>
      <c r="H2237" s="1178" t="s">
        <v>20277</v>
      </c>
      <c r="I2237" s="1178" t="s">
        <v>7185</v>
      </c>
      <c r="J2237" s="1178" t="s">
        <v>662</v>
      </c>
      <c r="K2237" s="1178" t="s">
        <v>267</v>
      </c>
      <c r="L2237" s="1178" t="s">
        <v>242</v>
      </c>
      <c r="M2237" s="1369"/>
      <c r="N2237" s="1178"/>
      <c r="O2237" s="1178">
        <v>6</v>
      </c>
      <c r="P2237" s="1178">
        <v>13</v>
      </c>
    </row>
    <row r="2238" spans="1:16">
      <c r="A2238" s="1178" t="s">
        <v>21121</v>
      </c>
      <c r="B2238" s="1371" t="str">
        <f>HYPERLINK(IFERROR("#Main_Tariff!A"&amp;MATCH(Raeburn_Main_Tariff[[#This Row],[Product Code]],Main_Tariff!I:I,0),"#Main_Tariff!A"&amp;MATCH("*"&amp;RIGHT(A2238,8)&amp;"*",Main_Tariff!A:A,0)),Raeburn_Main_Tariff[[#This Row],[PRODUCER]])</f>
        <v>Domaine Alain Gras</v>
      </c>
      <c r="C2238" s="1178" t="s">
        <v>21125</v>
      </c>
      <c r="D2238" s="1178" t="s">
        <v>897</v>
      </c>
      <c r="E2238" s="1179">
        <v>2023</v>
      </c>
      <c r="F2238" s="1282" t="s">
        <v>20220</v>
      </c>
      <c r="G2238" s="1368">
        <v>40.25</v>
      </c>
      <c r="H2238" s="1178" t="s">
        <v>20221</v>
      </c>
      <c r="I2238" s="1178" t="s">
        <v>7187</v>
      </c>
      <c r="J2238" s="1178" t="s">
        <v>662</v>
      </c>
      <c r="K2238" s="1178" t="s">
        <v>267</v>
      </c>
      <c r="L2238" s="1178" t="s">
        <v>242</v>
      </c>
      <c r="M2238" s="1369"/>
      <c r="N2238" s="1178"/>
      <c r="O2238" s="1178">
        <v>6</v>
      </c>
      <c r="P2238" s="1178">
        <v>13</v>
      </c>
    </row>
    <row r="2239" spans="1:16">
      <c r="A2239" s="1178" t="s">
        <v>21121</v>
      </c>
      <c r="B2239" s="1371" t="str">
        <f>HYPERLINK(IFERROR("#Main_Tariff!A"&amp;MATCH(Raeburn_Main_Tariff[[#This Row],[Product Code]],Main_Tariff!I:I,0),"#Main_Tariff!A"&amp;MATCH("*"&amp;RIGHT(A2239,8)&amp;"*",Main_Tariff!A:A,0)),Raeburn_Main_Tariff[[#This Row],[PRODUCER]])</f>
        <v>Domaine Alain Gras</v>
      </c>
      <c r="C2239" s="1178" t="s">
        <v>21125</v>
      </c>
      <c r="D2239" s="1178" t="s">
        <v>897</v>
      </c>
      <c r="E2239" s="1179">
        <v>2022</v>
      </c>
      <c r="F2239" s="1282" t="s">
        <v>20220</v>
      </c>
      <c r="G2239" s="1368">
        <v>40.25</v>
      </c>
      <c r="H2239" s="1178" t="s">
        <v>20221</v>
      </c>
      <c r="I2239" s="1178" t="s">
        <v>7188</v>
      </c>
      <c r="J2239" s="1178" t="s">
        <v>662</v>
      </c>
      <c r="K2239" s="1178" t="s">
        <v>267</v>
      </c>
      <c r="L2239" s="1178" t="s">
        <v>242</v>
      </c>
      <c r="M2239" s="1369"/>
      <c r="N2239" s="1178"/>
      <c r="O2239" s="1178">
        <v>6</v>
      </c>
      <c r="P2239" s="1178">
        <v>13</v>
      </c>
    </row>
    <row r="2240" spans="1:16">
      <c r="A2240" s="1178" t="s">
        <v>21121</v>
      </c>
      <c r="B2240" s="1371" t="str">
        <f>HYPERLINK(IFERROR("#Main_Tariff!A"&amp;MATCH(Raeburn_Main_Tariff[[#This Row],[Product Code]],Main_Tariff!I:I,0),"#Main_Tariff!A"&amp;MATCH("*"&amp;RIGHT(A2240,8)&amp;"*",Main_Tariff!A:A,0)),Raeburn_Main_Tariff[[#This Row],[PRODUCER]])</f>
        <v>Domaine Alain Gras</v>
      </c>
      <c r="C2240" s="1178" t="s">
        <v>21125</v>
      </c>
      <c r="D2240" s="1178" t="s">
        <v>897</v>
      </c>
      <c r="E2240" s="1179">
        <v>2021</v>
      </c>
      <c r="F2240" s="1282" t="s">
        <v>20220</v>
      </c>
      <c r="G2240" s="1368">
        <v>40.25</v>
      </c>
      <c r="H2240" s="1178" t="s">
        <v>20221</v>
      </c>
      <c r="I2240" s="1178" t="s">
        <v>7189</v>
      </c>
      <c r="J2240" s="1178" t="s">
        <v>662</v>
      </c>
      <c r="K2240" s="1178" t="s">
        <v>267</v>
      </c>
      <c r="L2240" s="1178" t="s">
        <v>242</v>
      </c>
      <c r="M2240" s="1369"/>
      <c r="N2240" s="1178"/>
      <c r="O2240" s="1178">
        <v>12</v>
      </c>
      <c r="P2240" s="1178">
        <v>13</v>
      </c>
    </row>
    <row r="2241" spans="1:16">
      <c r="A2241" s="1178" t="s">
        <v>21121</v>
      </c>
      <c r="B2241" s="1371" t="str">
        <f>HYPERLINK(IFERROR("#Main_Tariff!A"&amp;MATCH(Raeburn_Main_Tariff[[#This Row],[Product Code]],Main_Tariff!I:I,0),"#Main_Tariff!A"&amp;MATCH("*"&amp;RIGHT(A2241,8)&amp;"*",Main_Tariff!A:A,0)),Raeburn_Main_Tariff[[#This Row],[PRODUCER]])</f>
        <v>Domaine Alain Gras</v>
      </c>
      <c r="C2241" s="1178" t="s">
        <v>21125</v>
      </c>
      <c r="D2241" s="1178" t="s">
        <v>897</v>
      </c>
      <c r="E2241" s="1179">
        <v>2020</v>
      </c>
      <c r="F2241" s="1282" t="s">
        <v>20220</v>
      </c>
      <c r="G2241" s="1368">
        <v>40.25</v>
      </c>
      <c r="H2241" s="1178" t="s">
        <v>20221</v>
      </c>
      <c r="I2241" s="1178" t="s">
        <v>7190</v>
      </c>
      <c r="J2241" s="1178" t="s">
        <v>662</v>
      </c>
      <c r="K2241" s="1178" t="s">
        <v>267</v>
      </c>
      <c r="L2241" s="1178" t="s">
        <v>242</v>
      </c>
      <c r="M2241" s="1369"/>
      <c r="N2241" s="1178"/>
      <c r="O2241" s="1178">
        <v>12</v>
      </c>
      <c r="P2241" s="1178">
        <v>13</v>
      </c>
    </row>
    <row r="2242" spans="1:16">
      <c r="A2242" s="1178" t="s">
        <v>21121</v>
      </c>
      <c r="B2242" s="1371" t="str">
        <f>HYPERLINK(IFERROR("#Main_Tariff!A"&amp;MATCH(Raeburn_Main_Tariff[[#This Row],[Product Code]],Main_Tariff!I:I,0),"#Main_Tariff!A"&amp;MATCH("*"&amp;RIGHT(A2242,8)&amp;"*",Main_Tariff!A:A,0)),Raeburn_Main_Tariff[[#This Row],[PRODUCER]])</f>
        <v>Domaine Alain Gras</v>
      </c>
      <c r="C2242" s="1178" t="s">
        <v>21125</v>
      </c>
      <c r="D2242" s="1178" t="s">
        <v>897</v>
      </c>
      <c r="E2242" s="1179">
        <v>2019</v>
      </c>
      <c r="F2242" s="1282" t="s">
        <v>20220</v>
      </c>
      <c r="G2242" s="1368">
        <v>40.25</v>
      </c>
      <c r="H2242" s="1178" t="s">
        <v>20221</v>
      </c>
      <c r="I2242" s="1178" t="s">
        <v>7191</v>
      </c>
      <c r="J2242" s="1178" t="s">
        <v>662</v>
      </c>
      <c r="K2242" s="1178" t="s">
        <v>267</v>
      </c>
      <c r="L2242" s="1178" t="s">
        <v>242</v>
      </c>
      <c r="M2242" s="1369"/>
      <c r="N2242" s="1178"/>
      <c r="O2242" s="1178">
        <v>12</v>
      </c>
      <c r="P2242" s="1178">
        <v>13</v>
      </c>
    </row>
    <row r="2243" spans="1:16">
      <c r="A2243" s="1178" t="s">
        <v>21121</v>
      </c>
      <c r="B2243" s="1371" t="str">
        <f>HYPERLINK(IFERROR("#Main_Tariff!A"&amp;MATCH(Raeburn_Main_Tariff[[#This Row],[Product Code]],Main_Tariff!I:I,0),"#Main_Tariff!A"&amp;MATCH("*"&amp;RIGHT(A2243,8)&amp;"*",Main_Tariff!A:A,0)),Raeburn_Main_Tariff[[#This Row],[PRODUCER]])</f>
        <v>Domaine Alain Gras</v>
      </c>
      <c r="C2243" s="1178" t="s">
        <v>21125</v>
      </c>
      <c r="D2243" s="1178" t="s">
        <v>897</v>
      </c>
      <c r="E2243" s="1179">
        <v>2018</v>
      </c>
      <c r="F2243" s="1282" t="s">
        <v>20220</v>
      </c>
      <c r="G2243" s="1368">
        <v>33.5</v>
      </c>
      <c r="H2243" s="1178" t="s">
        <v>20221</v>
      </c>
      <c r="I2243" s="1178" t="s">
        <v>7192</v>
      </c>
      <c r="J2243" s="1178" t="s">
        <v>662</v>
      </c>
      <c r="K2243" s="1178" t="s">
        <v>267</v>
      </c>
      <c r="L2243" s="1178" t="s">
        <v>242</v>
      </c>
      <c r="M2243" s="1369"/>
      <c r="N2243" s="1178"/>
      <c r="O2243" s="1178">
        <v>12</v>
      </c>
      <c r="P2243" s="1178">
        <v>13</v>
      </c>
    </row>
    <row r="2244" spans="1:16">
      <c r="A2244" s="1178" t="s">
        <v>21121</v>
      </c>
      <c r="B2244" s="1371" t="str">
        <f>HYPERLINK(IFERROR("#Main_Tariff!A"&amp;MATCH(Raeburn_Main_Tariff[[#This Row],[Product Code]],Main_Tariff!I:I,0),"#Main_Tariff!A"&amp;MATCH("*"&amp;RIGHT(A2244,8)&amp;"*",Main_Tariff!A:A,0)),Raeburn_Main_Tariff[[#This Row],[PRODUCER]])</f>
        <v>Domaine Alain Gras</v>
      </c>
      <c r="C2244" s="1178" t="s">
        <v>21125</v>
      </c>
      <c r="D2244" s="1178" t="s">
        <v>897</v>
      </c>
      <c r="E2244" s="1179">
        <v>2017</v>
      </c>
      <c r="F2244" s="1282" t="s">
        <v>20220</v>
      </c>
      <c r="G2244" s="1368">
        <v>33.5</v>
      </c>
      <c r="H2244" s="1178" t="s">
        <v>20221</v>
      </c>
      <c r="I2244" s="1178" t="s">
        <v>7193</v>
      </c>
      <c r="J2244" s="1178" t="s">
        <v>662</v>
      </c>
      <c r="K2244" s="1178" t="s">
        <v>267</v>
      </c>
      <c r="L2244" s="1178" t="s">
        <v>242</v>
      </c>
      <c r="M2244" s="1369"/>
      <c r="N2244" s="1178"/>
      <c r="O2244" s="1178">
        <v>12</v>
      </c>
      <c r="P2244" s="1178">
        <v>13</v>
      </c>
    </row>
    <row r="2245" spans="1:16">
      <c r="A2245" s="1178" t="s">
        <v>21121</v>
      </c>
      <c r="B2245" s="1371" t="str">
        <f>HYPERLINK(IFERROR("#Main_Tariff!A"&amp;MATCH(Raeburn_Main_Tariff[[#This Row],[Product Code]],Main_Tariff!I:I,0),"#Main_Tariff!A"&amp;MATCH("*"&amp;RIGHT(A2245,8)&amp;"*",Main_Tariff!A:A,0)),Raeburn_Main_Tariff[[#This Row],[PRODUCER]])</f>
        <v>Domaine Alain Gras</v>
      </c>
      <c r="C2245" s="1178" t="s">
        <v>21125</v>
      </c>
      <c r="D2245" s="1178" t="s">
        <v>897</v>
      </c>
      <c r="E2245" s="1179">
        <v>2016</v>
      </c>
      <c r="F2245" s="1282" t="s">
        <v>20220</v>
      </c>
      <c r="G2245" s="1368">
        <v>33.5</v>
      </c>
      <c r="H2245" s="1178" t="s">
        <v>20221</v>
      </c>
      <c r="I2245" s="1178" t="s">
        <v>7194</v>
      </c>
      <c r="J2245" s="1178" t="s">
        <v>662</v>
      </c>
      <c r="K2245" s="1178" t="s">
        <v>267</v>
      </c>
      <c r="L2245" s="1178" t="s">
        <v>242</v>
      </c>
      <c r="M2245" s="1369"/>
      <c r="N2245" s="1178"/>
      <c r="O2245" s="1178">
        <v>12</v>
      </c>
      <c r="P2245" s="1178">
        <v>13</v>
      </c>
    </row>
    <row r="2246" spans="1:16">
      <c r="A2246" s="1178" t="s">
        <v>21121</v>
      </c>
      <c r="B2246" s="1371" t="str">
        <f>HYPERLINK(IFERROR("#Main_Tariff!A"&amp;MATCH(Raeburn_Main_Tariff[[#This Row],[Product Code]],Main_Tariff!I:I,0),"#Main_Tariff!A"&amp;MATCH("*"&amp;RIGHT(A2246,8)&amp;"*",Main_Tariff!A:A,0)),Raeburn_Main_Tariff[[#This Row],[PRODUCER]])</f>
        <v>Domaine Alain Gras</v>
      </c>
      <c r="C2246" s="1178" t="s">
        <v>21125</v>
      </c>
      <c r="D2246" s="1178" t="s">
        <v>897</v>
      </c>
      <c r="E2246" s="1179">
        <v>2015</v>
      </c>
      <c r="F2246" s="1282" t="s">
        <v>20220</v>
      </c>
      <c r="G2246" s="1368">
        <v>33.5</v>
      </c>
      <c r="H2246" s="1178" t="s">
        <v>20221</v>
      </c>
      <c r="I2246" s="1178" t="s">
        <v>7195</v>
      </c>
      <c r="J2246" s="1178" t="s">
        <v>662</v>
      </c>
      <c r="K2246" s="1178" t="s">
        <v>267</v>
      </c>
      <c r="L2246" s="1178" t="s">
        <v>242</v>
      </c>
      <c r="M2246" s="1369"/>
      <c r="N2246" s="1178"/>
      <c r="O2246" s="1178">
        <v>12</v>
      </c>
      <c r="P2246" s="1178">
        <v>13</v>
      </c>
    </row>
    <row r="2247" spans="1:16">
      <c r="A2247" s="1178" t="s">
        <v>21121</v>
      </c>
      <c r="B2247" s="1371" t="str">
        <f>HYPERLINK(IFERROR("#Main_Tariff!A"&amp;MATCH(Raeburn_Main_Tariff[[#This Row],[Product Code]],Main_Tariff!I:I,0),"#Main_Tariff!A"&amp;MATCH("*"&amp;RIGHT(A2247,8)&amp;"*",Main_Tariff!A:A,0)),Raeburn_Main_Tariff[[#This Row],[PRODUCER]])</f>
        <v>Domaine Alain Gras</v>
      </c>
      <c r="C2247" s="1178" t="s">
        <v>21125</v>
      </c>
      <c r="D2247" s="1178" t="s">
        <v>897</v>
      </c>
      <c r="E2247" s="1179">
        <v>2014</v>
      </c>
      <c r="F2247" s="1282" t="s">
        <v>20220</v>
      </c>
      <c r="G2247" s="1368">
        <v>32.5</v>
      </c>
      <c r="H2247" s="1178" t="s">
        <v>20221</v>
      </c>
      <c r="I2247" s="1178" t="s">
        <v>6288</v>
      </c>
      <c r="J2247" s="1178" t="s">
        <v>662</v>
      </c>
      <c r="K2247" s="1178" t="s">
        <v>267</v>
      </c>
      <c r="L2247" s="1178" t="s">
        <v>242</v>
      </c>
      <c r="M2247" s="1369"/>
      <c r="N2247" s="1178"/>
      <c r="O2247" s="1178">
        <v>12</v>
      </c>
      <c r="P2247" s="1178">
        <v>13</v>
      </c>
    </row>
    <row r="2248" spans="1:16">
      <c r="A2248" s="1178" t="s">
        <v>21121</v>
      </c>
      <c r="B2248" s="1371" t="str">
        <f>HYPERLINK(IFERROR("#Main_Tariff!A"&amp;MATCH(Raeburn_Main_Tariff[[#This Row],[Product Code]],Main_Tariff!I:I,0),"#Main_Tariff!A"&amp;MATCH("*"&amp;RIGHT(A2248,8)&amp;"*",Main_Tariff!A:A,0)),Raeburn_Main_Tariff[[#This Row],[PRODUCER]])</f>
        <v>Domaine Alain Gras</v>
      </c>
      <c r="C2248" s="1178" t="s">
        <v>21126</v>
      </c>
      <c r="D2248" s="1178" t="s">
        <v>897</v>
      </c>
      <c r="E2248" s="1179">
        <v>2019</v>
      </c>
      <c r="F2248" s="1282" t="s">
        <v>20240</v>
      </c>
      <c r="G2248" s="1368">
        <v>80</v>
      </c>
      <c r="H2248" s="1178" t="s">
        <v>20224</v>
      </c>
      <c r="I2248" s="1178" t="s">
        <v>7196</v>
      </c>
      <c r="J2248" s="1178" t="s">
        <v>662</v>
      </c>
      <c r="K2248" s="1178" t="s">
        <v>267</v>
      </c>
      <c r="L2248" s="1178" t="s">
        <v>242</v>
      </c>
      <c r="M2248" s="1369"/>
      <c r="N2248" s="1178"/>
      <c r="O2248" s="1178">
        <v>6</v>
      </c>
      <c r="P2248" s="1178">
        <v>13</v>
      </c>
    </row>
    <row r="2249" spans="1:16">
      <c r="A2249" s="1178" t="s">
        <v>21121</v>
      </c>
      <c r="B2249" s="1371" t="str">
        <f>HYPERLINK(IFERROR("#Main_Tariff!A"&amp;MATCH(Raeburn_Main_Tariff[[#This Row],[Product Code]],Main_Tariff!I:I,0),"#Main_Tariff!A"&amp;MATCH("*"&amp;RIGHT(A2249,8)&amp;"*",Main_Tariff!A:A,0)),Raeburn_Main_Tariff[[#This Row],[PRODUCER]])</f>
        <v>Domaine Alain Gras</v>
      </c>
      <c r="C2249" s="1178" t="s">
        <v>21126</v>
      </c>
      <c r="D2249" s="1178" t="s">
        <v>897</v>
      </c>
      <c r="E2249" s="1179">
        <v>2018</v>
      </c>
      <c r="F2249" s="1282" t="s">
        <v>20240</v>
      </c>
      <c r="G2249" s="1368">
        <v>67</v>
      </c>
      <c r="H2249" s="1178" t="s">
        <v>20224</v>
      </c>
      <c r="I2249" s="1178" t="s">
        <v>7197</v>
      </c>
      <c r="J2249" s="1178" t="s">
        <v>662</v>
      </c>
      <c r="K2249" s="1178" t="s">
        <v>267</v>
      </c>
      <c r="L2249" s="1178" t="s">
        <v>242</v>
      </c>
      <c r="M2249" s="1369"/>
      <c r="N2249" s="1178"/>
      <c r="O2249" s="1178">
        <v>6</v>
      </c>
      <c r="P2249" s="1178">
        <v>13</v>
      </c>
    </row>
    <row r="2250" spans="1:16">
      <c r="A2250" s="1178" t="s">
        <v>21121</v>
      </c>
      <c r="B2250" s="1371" t="str">
        <f>HYPERLINK(IFERROR("#Main_Tariff!A"&amp;MATCH(Raeburn_Main_Tariff[[#This Row],[Product Code]],Main_Tariff!I:I,0),"#Main_Tariff!A"&amp;MATCH("*"&amp;RIGHT(A2250,8)&amp;"*",Main_Tariff!A:A,0)),Raeburn_Main_Tariff[[#This Row],[PRODUCER]])</f>
        <v>Domaine Alain Gras</v>
      </c>
      <c r="C2250" s="1178" t="s">
        <v>21126</v>
      </c>
      <c r="D2250" s="1178" t="s">
        <v>897</v>
      </c>
      <c r="E2250" s="1179">
        <v>2017</v>
      </c>
      <c r="F2250" s="1282" t="s">
        <v>20240</v>
      </c>
      <c r="G2250" s="1368">
        <v>67</v>
      </c>
      <c r="H2250" s="1178" t="s">
        <v>20221</v>
      </c>
      <c r="I2250" s="1178" t="s">
        <v>7198</v>
      </c>
      <c r="J2250" s="1178" t="s">
        <v>662</v>
      </c>
      <c r="K2250" s="1178" t="s">
        <v>267</v>
      </c>
      <c r="L2250" s="1178" t="s">
        <v>242</v>
      </c>
      <c r="M2250" s="1369"/>
      <c r="N2250" s="1178"/>
      <c r="O2250" s="1178">
        <v>6</v>
      </c>
      <c r="P2250" s="1178">
        <v>13</v>
      </c>
    </row>
    <row r="2251" spans="1:16">
      <c r="A2251" s="1178" t="s">
        <v>21121</v>
      </c>
      <c r="B2251" s="1371" t="str">
        <f>HYPERLINK(IFERROR("#Main_Tariff!A"&amp;MATCH(Raeburn_Main_Tariff[[#This Row],[Product Code]],Main_Tariff!I:I,0),"#Main_Tariff!A"&amp;MATCH("*"&amp;RIGHT(A2251,8)&amp;"*",Main_Tariff!A:A,0)),Raeburn_Main_Tariff[[#This Row],[PRODUCER]])</f>
        <v>Domaine Alain Gras</v>
      </c>
      <c r="C2251" s="1178" t="s">
        <v>21126</v>
      </c>
      <c r="D2251" s="1178" t="s">
        <v>897</v>
      </c>
      <c r="E2251" s="1179">
        <v>2016</v>
      </c>
      <c r="F2251" s="1282" t="s">
        <v>20240</v>
      </c>
      <c r="G2251" s="1368">
        <v>67</v>
      </c>
      <c r="H2251" s="1178" t="s">
        <v>20221</v>
      </c>
      <c r="I2251" s="1178" t="s">
        <v>7199</v>
      </c>
      <c r="J2251" s="1178" t="s">
        <v>662</v>
      </c>
      <c r="K2251" s="1178" t="s">
        <v>267</v>
      </c>
      <c r="L2251" s="1178" t="s">
        <v>242</v>
      </c>
      <c r="M2251" s="1369"/>
      <c r="N2251" s="1178"/>
      <c r="O2251" s="1178">
        <v>6</v>
      </c>
      <c r="P2251" s="1178">
        <v>13</v>
      </c>
    </row>
    <row r="2252" spans="1:16">
      <c r="A2252" s="1178" t="s">
        <v>21121</v>
      </c>
      <c r="B2252" s="1371" t="str">
        <f>HYPERLINK(IFERROR("#Main_Tariff!A"&amp;MATCH(Raeburn_Main_Tariff[[#This Row],[Product Code]],Main_Tariff!I:I,0),"#Main_Tariff!A"&amp;MATCH("*"&amp;RIGHT(A2252,8)&amp;"*",Main_Tariff!A:A,0)),Raeburn_Main_Tariff[[#This Row],[PRODUCER]])</f>
        <v>Domaine Alain Gras</v>
      </c>
      <c r="C2252" s="1178" t="s">
        <v>21126</v>
      </c>
      <c r="D2252" s="1178" t="s">
        <v>897</v>
      </c>
      <c r="E2252" s="1179">
        <v>2014</v>
      </c>
      <c r="F2252" s="1282" t="s">
        <v>20240</v>
      </c>
      <c r="G2252" s="1368">
        <v>67</v>
      </c>
      <c r="H2252" s="1178" t="s">
        <v>20224</v>
      </c>
      <c r="I2252" s="1178" t="s">
        <v>7200</v>
      </c>
      <c r="J2252" s="1178" t="s">
        <v>662</v>
      </c>
      <c r="K2252" s="1178" t="s">
        <v>267</v>
      </c>
      <c r="L2252" s="1178" t="s">
        <v>242</v>
      </c>
      <c r="M2252" s="1369"/>
      <c r="N2252" s="1178"/>
      <c r="O2252" s="1178">
        <v>6</v>
      </c>
      <c r="P2252" s="1178">
        <v>13</v>
      </c>
    </row>
    <row r="2253" spans="1:16">
      <c r="A2253" s="1178" t="s">
        <v>21121</v>
      </c>
      <c r="B2253" s="1371" t="str">
        <f>HYPERLINK(IFERROR("#Main_Tariff!A"&amp;MATCH(Raeburn_Main_Tariff[[#This Row],[Product Code]],Main_Tariff!I:I,0),"#Main_Tariff!A"&amp;MATCH("*"&amp;RIGHT(A2253,8)&amp;"*",Main_Tariff!A:A,0)),Raeburn_Main_Tariff[[#This Row],[PRODUCER]])</f>
        <v>Domaine Alain Gras</v>
      </c>
      <c r="C2253" s="1178" t="s">
        <v>21126</v>
      </c>
      <c r="D2253" s="1178" t="s">
        <v>897</v>
      </c>
      <c r="E2253" s="1179">
        <v>2013</v>
      </c>
      <c r="F2253" s="1282" t="s">
        <v>20240</v>
      </c>
      <c r="G2253" s="1368">
        <v>67</v>
      </c>
      <c r="H2253" s="1178" t="s">
        <v>20224</v>
      </c>
      <c r="I2253" s="1178" t="s">
        <v>7201</v>
      </c>
      <c r="J2253" s="1178" t="s">
        <v>662</v>
      </c>
      <c r="K2253" s="1178" t="s">
        <v>267</v>
      </c>
      <c r="L2253" s="1178" t="s">
        <v>242</v>
      </c>
      <c r="M2253" s="1369"/>
      <c r="N2253" s="1178"/>
      <c r="O2253" s="1178">
        <v>6</v>
      </c>
      <c r="P2253" s="1178">
        <v>13</v>
      </c>
    </row>
    <row r="2254" spans="1:16">
      <c r="A2254" s="1178" t="s">
        <v>21121</v>
      </c>
      <c r="B2254" s="1371" t="str">
        <f>HYPERLINK(IFERROR("#Main_Tariff!A"&amp;MATCH(Raeburn_Main_Tariff[[#This Row],[Product Code]],Main_Tariff!I:I,0),"#Main_Tariff!A"&amp;MATCH("*"&amp;RIGHT(A2254,8)&amp;"*",Main_Tariff!A:A,0)),Raeburn_Main_Tariff[[#This Row],[PRODUCER]])</f>
        <v>Domaine Alain Gras</v>
      </c>
      <c r="C2254" s="1178" t="s">
        <v>21126</v>
      </c>
      <c r="D2254" s="1178" t="s">
        <v>897</v>
      </c>
      <c r="E2254" s="1179">
        <v>2011</v>
      </c>
      <c r="F2254" s="1282" t="s">
        <v>20240</v>
      </c>
      <c r="G2254" s="1368">
        <v>60</v>
      </c>
      <c r="H2254" s="1178" t="s">
        <v>20224</v>
      </c>
      <c r="I2254" s="1178" t="s">
        <v>6298</v>
      </c>
      <c r="J2254" s="1178" t="s">
        <v>662</v>
      </c>
      <c r="K2254" s="1178" t="s">
        <v>267</v>
      </c>
      <c r="L2254" s="1178" t="s">
        <v>242</v>
      </c>
      <c r="M2254" s="1369"/>
      <c r="N2254" s="1178"/>
      <c r="O2254" s="1178">
        <v>6</v>
      </c>
      <c r="P2254" s="1178">
        <v>12.5</v>
      </c>
    </row>
    <row r="2255" spans="1:16">
      <c r="A2255" s="1178" t="s">
        <v>21127</v>
      </c>
      <c r="B2255" s="1371" t="str">
        <f>HYPERLINK(IFERROR("#Main_Tariff!A"&amp;MATCH(Raeburn_Main_Tariff[[#This Row],[Product Code]],Main_Tariff!I:I,0),"#Main_Tariff!A"&amp;MATCH("*"&amp;RIGHT(A2255,8)&amp;"*",Main_Tariff!A:A,0)),Raeburn_Main_Tariff[[#This Row],[PRODUCER]])</f>
        <v>Domaine Michel Lafarge</v>
      </c>
      <c r="C2255" s="1178" t="s">
        <v>21026</v>
      </c>
      <c r="D2255" s="1178" t="s">
        <v>1129</v>
      </c>
      <c r="E2255" s="1179">
        <v>2022</v>
      </c>
      <c r="F2255" s="1282" t="s">
        <v>20220</v>
      </c>
      <c r="G2255" s="1368">
        <v>39.950000000000003</v>
      </c>
      <c r="H2255" s="1178" t="s">
        <v>20224</v>
      </c>
      <c r="I2255" s="1178" t="s">
        <v>7251</v>
      </c>
      <c r="J2255" s="1178" t="s">
        <v>662</v>
      </c>
      <c r="K2255" s="1178" t="s">
        <v>267</v>
      </c>
      <c r="L2255" s="1178" t="s">
        <v>242</v>
      </c>
      <c r="M2255" s="1369"/>
      <c r="N2255" s="1178" t="s">
        <v>20244</v>
      </c>
      <c r="O2255" s="1178">
        <v>6</v>
      </c>
      <c r="P2255" s="1178">
        <v>13</v>
      </c>
    </row>
    <row r="2256" spans="1:16">
      <c r="A2256" s="1178" t="s">
        <v>21127</v>
      </c>
      <c r="B2256" s="1371" t="str">
        <f>HYPERLINK(IFERROR("#Main_Tariff!A"&amp;MATCH(Raeburn_Main_Tariff[[#This Row],[Product Code]],Main_Tariff!I:I,0),"#Main_Tariff!A"&amp;MATCH("*"&amp;RIGHT(A2256,8)&amp;"*",Main_Tariff!A:A,0)),Raeburn_Main_Tariff[[#This Row],[PRODUCER]])</f>
        <v>Domaine Michel Lafarge</v>
      </c>
      <c r="C2256" s="1178" t="s">
        <v>21128</v>
      </c>
      <c r="D2256" s="1178" t="s">
        <v>1129</v>
      </c>
      <c r="E2256" s="1179">
        <v>2022</v>
      </c>
      <c r="F2256" s="1282" t="s">
        <v>20220</v>
      </c>
      <c r="G2256" s="1368" t="s">
        <v>5258</v>
      </c>
      <c r="H2256" s="1178" t="s">
        <v>20224</v>
      </c>
      <c r="I2256" s="1178" t="s">
        <v>7253</v>
      </c>
      <c r="J2256" s="1178" t="s">
        <v>662</v>
      </c>
      <c r="K2256" s="1178" t="s">
        <v>267</v>
      </c>
      <c r="L2256" s="1178" t="s">
        <v>242</v>
      </c>
      <c r="M2256" s="1369"/>
      <c r="N2256" s="1178" t="s">
        <v>20244</v>
      </c>
      <c r="O2256" s="1178">
        <v>6</v>
      </c>
      <c r="P2256" s="1178">
        <v>13</v>
      </c>
    </row>
    <row r="2257" spans="1:16">
      <c r="A2257" s="1178" t="s">
        <v>21127</v>
      </c>
      <c r="B2257" s="1371" t="str">
        <f>HYPERLINK(IFERROR("#Main_Tariff!A"&amp;MATCH(Raeburn_Main_Tariff[[#This Row],[Product Code]],Main_Tariff!I:I,0),"#Main_Tariff!A"&amp;MATCH("*"&amp;RIGHT(A2257,8)&amp;"*",Main_Tariff!A:A,0)),Raeburn_Main_Tariff[[#This Row],[PRODUCER]])</f>
        <v>Domaine Michel Lafarge</v>
      </c>
      <c r="C2257" s="1178" t="s">
        <v>21129</v>
      </c>
      <c r="D2257" s="1178" t="s">
        <v>1129</v>
      </c>
      <c r="E2257" s="1179">
        <v>2022</v>
      </c>
      <c r="F2257" s="1282" t="s">
        <v>20220</v>
      </c>
      <c r="G2257" s="1368">
        <v>59.5</v>
      </c>
      <c r="H2257" s="1178" t="s">
        <v>20221</v>
      </c>
      <c r="I2257" s="1178" t="s">
        <v>7257</v>
      </c>
      <c r="J2257" s="1178" t="s">
        <v>662</v>
      </c>
      <c r="K2257" s="1178" t="s">
        <v>267</v>
      </c>
      <c r="L2257" s="1178" t="s">
        <v>242</v>
      </c>
      <c r="M2257" s="1369" t="s">
        <v>23297</v>
      </c>
      <c r="N2257" s="1178" t="s">
        <v>20244</v>
      </c>
      <c r="O2257" s="1178">
        <v>6</v>
      </c>
      <c r="P2257" s="1178">
        <v>13</v>
      </c>
    </row>
    <row r="2258" spans="1:16">
      <c r="A2258" s="1178" t="s">
        <v>21127</v>
      </c>
      <c r="B2258" s="1371" t="str">
        <f>HYPERLINK(IFERROR("#Main_Tariff!A"&amp;MATCH(Raeburn_Main_Tariff[[#This Row],[Product Code]],Main_Tariff!I:I,0),"#Main_Tariff!A"&amp;MATCH("*"&amp;RIGHT(A2258,8)&amp;"*",Main_Tariff!A:A,0)),Raeburn_Main_Tariff[[#This Row],[PRODUCER]])</f>
        <v>Domaine Michel Lafarge</v>
      </c>
      <c r="C2258" s="1178" t="s">
        <v>21129</v>
      </c>
      <c r="D2258" s="1178" t="s">
        <v>1129</v>
      </c>
      <c r="E2258" s="1179">
        <v>2019</v>
      </c>
      <c r="F2258" s="1282" t="s">
        <v>20220</v>
      </c>
      <c r="G2258" s="1368">
        <v>59</v>
      </c>
      <c r="H2258" s="1178" t="s">
        <v>20221</v>
      </c>
      <c r="I2258" s="1178" t="s">
        <v>7259</v>
      </c>
      <c r="J2258" s="1178" t="s">
        <v>662</v>
      </c>
      <c r="K2258" s="1178" t="s">
        <v>267</v>
      </c>
      <c r="L2258" s="1178" t="s">
        <v>242</v>
      </c>
      <c r="M2258" s="1369" t="s">
        <v>23297</v>
      </c>
      <c r="N2258" s="1178" t="s">
        <v>20244</v>
      </c>
      <c r="O2258" s="1178">
        <v>6</v>
      </c>
      <c r="P2258" s="1178">
        <v>13.5</v>
      </c>
    </row>
    <row r="2259" spans="1:16">
      <c r="A2259" s="1178" t="s">
        <v>21127</v>
      </c>
      <c r="B2259" s="1371" t="str">
        <f>HYPERLINK(IFERROR("#Main_Tariff!A"&amp;MATCH(Raeburn_Main_Tariff[[#This Row],[Product Code]],Main_Tariff!I:I,0),"#Main_Tariff!A"&amp;MATCH("*"&amp;RIGHT(A2259,8)&amp;"*",Main_Tariff!A:A,0)),Raeburn_Main_Tariff[[#This Row],[PRODUCER]])</f>
        <v>Domaine Michel Lafarge</v>
      </c>
      <c r="C2259" s="1178" t="s">
        <v>21129</v>
      </c>
      <c r="D2259" s="1178" t="s">
        <v>1129</v>
      </c>
      <c r="E2259" s="1179">
        <v>2018</v>
      </c>
      <c r="F2259" s="1282" t="s">
        <v>20220</v>
      </c>
      <c r="G2259" s="1368">
        <v>57.5</v>
      </c>
      <c r="H2259" s="1178" t="s">
        <v>20221</v>
      </c>
      <c r="I2259" s="1178" t="s">
        <v>7261</v>
      </c>
      <c r="J2259" s="1178" t="s">
        <v>662</v>
      </c>
      <c r="K2259" s="1178" t="s">
        <v>267</v>
      </c>
      <c r="L2259" s="1178" t="s">
        <v>242</v>
      </c>
      <c r="M2259" s="1369" t="s">
        <v>23297</v>
      </c>
      <c r="N2259" s="1178" t="s">
        <v>20244</v>
      </c>
      <c r="O2259" s="1178">
        <v>6</v>
      </c>
      <c r="P2259" s="1178">
        <v>13</v>
      </c>
    </row>
    <row r="2260" spans="1:16">
      <c r="A2260" s="1178" t="s">
        <v>21127</v>
      </c>
      <c r="B2260" s="1371" t="str">
        <f>HYPERLINK(IFERROR("#Main_Tariff!A"&amp;MATCH(Raeburn_Main_Tariff[[#This Row],[Product Code]],Main_Tariff!I:I,0),"#Main_Tariff!A"&amp;MATCH("*"&amp;RIGHT(A2260,8)&amp;"*",Main_Tariff!A:A,0)),Raeburn_Main_Tariff[[#This Row],[PRODUCER]])</f>
        <v>Domaine Michel Lafarge</v>
      </c>
      <c r="C2260" s="1178" t="s">
        <v>21129</v>
      </c>
      <c r="D2260" s="1178" t="s">
        <v>1129</v>
      </c>
      <c r="E2260" s="1179">
        <v>2017</v>
      </c>
      <c r="F2260" s="1282" t="s">
        <v>20220</v>
      </c>
      <c r="G2260" s="1368">
        <v>75.5</v>
      </c>
      <c r="H2260" s="1178" t="s">
        <v>20221</v>
      </c>
      <c r="I2260" s="1178" t="s">
        <v>7263</v>
      </c>
      <c r="J2260" s="1178" t="s">
        <v>662</v>
      </c>
      <c r="K2260" s="1178" t="s">
        <v>267</v>
      </c>
      <c r="L2260" s="1178" t="s">
        <v>242</v>
      </c>
      <c r="M2260" s="1369" t="s">
        <v>23297</v>
      </c>
      <c r="N2260" s="1178" t="s">
        <v>20244</v>
      </c>
      <c r="O2260" s="1178">
        <v>6</v>
      </c>
      <c r="P2260" s="1178">
        <v>13</v>
      </c>
    </row>
    <row r="2261" spans="1:16">
      <c r="A2261" s="1178" t="s">
        <v>21127</v>
      </c>
      <c r="B2261" s="1371" t="str">
        <f>HYPERLINK(IFERROR("#Main_Tariff!A"&amp;MATCH(Raeburn_Main_Tariff[[#This Row],[Product Code]],Main_Tariff!I:I,0),"#Main_Tariff!A"&amp;MATCH("*"&amp;RIGHT(A2261,8)&amp;"*",Main_Tariff!A:A,0)),Raeburn_Main_Tariff[[#This Row],[PRODUCER]])</f>
        <v>Domaine Michel Lafarge</v>
      </c>
      <c r="C2261" s="1178" t="s">
        <v>21129</v>
      </c>
      <c r="D2261" s="1178" t="s">
        <v>1129</v>
      </c>
      <c r="E2261" s="1179">
        <v>2015</v>
      </c>
      <c r="F2261" s="1282" t="s">
        <v>20220</v>
      </c>
      <c r="G2261" s="1368">
        <v>72</v>
      </c>
      <c r="H2261" s="1178" t="s">
        <v>20221</v>
      </c>
      <c r="I2261" s="1178" t="s">
        <v>7265</v>
      </c>
      <c r="J2261" s="1178" t="s">
        <v>662</v>
      </c>
      <c r="K2261" s="1178" t="s">
        <v>267</v>
      </c>
      <c r="L2261" s="1178" t="s">
        <v>242</v>
      </c>
      <c r="M2261" s="1369" t="s">
        <v>23297</v>
      </c>
      <c r="N2261" s="1178" t="s">
        <v>20244</v>
      </c>
      <c r="O2261" s="1178">
        <v>6</v>
      </c>
      <c r="P2261" s="1178">
        <v>13</v>
      </c>
    </row>
    <row r="2262" spans="1:16">
      <c r="A2262" s="1178" t="s">
        <v>21127</v>
      </c>
      <c r="B2262" s="1371" t="str">
        <f>HYPERLINK(IFERROR("#Main_Tariff!A"&amp;MATCH(Raeburn_Main_Tariff[[#This Row],[Product Code]],Main_Tariff!I:I,0),"#Main_Tariff!A"&amp;MATCH("*"&amp;RIGHT(A2262,8)&amp;"*",Main_Tariff!A:A,0)),Raeburn_Main_Tariff[[#This Row],[PRODUCER]])</f>
        <v>Domaine Michel Lafarge</v>
      </c>
      <c r="C2262" s="1178" t="s">
        <v>21129</v>
      </c>
      <c r="D2262" s="1178" t="s">
        <v>1129</v>
      </c>
      <c r="E2262" s="1179">
        <v>2013</v>
      </c>
      <c r="F2262" s="1282" t="s">
        <v>20220</v>
      </c>
      <c r="G2262" s="1368">
        <v>66</v>
      </c>
      <c r="H2262" s="1178" t="s">
        <v>20221</v>
      </c>
      <c r="I2262" s="1178" t="s">
        <v>7267</v>
      </c>
      <c r="J2262" s="1178" t="s">
        <v>662</v>
      </c>
      <c r="K2262" s="1178" t="s">
        <v>267</v>
      </c>
      <c r="L2262" s="1178" t="s">
        <v>242</v>
      </c>
      <c r="M2262" s="1369" t="s">
        <v>23297</v>
      </c>
      <c r="N2262" s="1178"/>
      <c r="O2262" s="1178">
        <v>6</v>
      </c>
      <c r="P2262" s="1178">
        <v>13</v>
      </c>
    </row>
    <row r="2263" spans="1:16">
      <c r="A2263" s="1178" t="s">
        <v>21127</v>
      </c>
      <c r="B2263" s="1371" t="str">
        <f>HYPERLINK(IFERROR("#Main_Tariff!A"&amp;MATCH(Raeburn_Main_Tariff[[#This Row],[Product Code]],Main_Tariff!I:I,0),"#Main_Tariff!A"&amp;MATCH("*"&amp;RIGHT(A2263,8)&amp;"*",Main_Tariff!A:A,0)),Raeburn_Main_Tariff[[#This Row],[PRODUCER]])</f>
        <v>Domaine Michel Lafarge</v>
      </c>
      <c r="C2263" s="1178" t="s">
        <v>21129</v>
      </c>
      <c r="D2263" s="1178" t="s">
        <v>1129</v>
      </c>
      <c r="E2263" s="1179">
        <v>2012</v>
      </c>
      <c r="F2263" s="1282" t="s">
        <v>20220</v>
      </c>
      <c r="G2263" s="1368">
        <v>65</v>
      </c>
      <c r="H2263" s="1178" t="s">
        <v>20221</v>
      </c>
      <c r="I2263" s="1178" t="s">
        <v>7269</v>
      </c>
      <c r="J2263" s="1178" t="s">
        <v>662</v>
      </c>
      <c r="K2263" s="1178" t="s">
        <v>267</v>
      </c>
      <c r="L2263" s="1178" t="s">
        <v>242</v>
      </c>
      <c r="M2263" s="1369" t="s">
        <v>23297</v>
      </c>
      <c r="N2263" s="1178"/>
      <c r="O2263" s="1178">
        <v>6</v>
      </c>
      <c r="P2263" s="1178">
        <v>13</v>
      </c>
    </row>
    <row r="2264" spans="1:16">
      <c r="A2264" s="1178" t="s">
        <v>21127</v>
      </c>
      <c r="B2264" s="1371" t="str">
        <f>HYPERLINK(IFERROR("#Main_Tariff!A"&amp;MATCH(Raeburn_Main_Tariff[[#This Row],[Product Code]],Main_Tariff!I:I,0),"#Main_Tariff!A"&amp;MATCH("*"&amp;RIGHT(A2264,8)&amp;"*",Main_Tariff!A:A,0)),Raeburn_Main_Tariff[[#This Row],[PRODUCER]])</f>
        <v>Domaine Michel Lafarge</v>
      </c>
      <c r="C2264" s="1178" t="s">
        <v>21129</v>
      </c>
      <c r="D2264" s="1178" t="s">
        <v>1129</v>
      </c>
      <c r="E2264" s="1179">
        <v>2011</v>
      </c>
      <c r="F2264" s="1282" t="s">
        <v>20220</v>
      </c>
      <c r="G2264" s="1368">
        <v>69</v>
      </c>
      <c r="H2264" s="1178" t="s">
        <v>20224</v>
      </c>
      <c r="I2264" s="1178" t="s">
        <v>7270</v>
      </c>
      <c r="J2264" s="1178" t="s">
        <v>662</v>
      </c>
      <c r="K2264" s="1178" t="s">
        <v>267</v>
      </c>
      <c r="L2264" s="1178" t="s">
        <v>242</v>
      </c>
      <c r="M2264" s="1369" t="s">
        <v>23297</v>
      </c>
      <c r="N2264" s="1178"/>
      <c r="O2264" s="1178">
        <v>6</v>
      </c>
      <c r="P2264" s="1178">
        <v>13</v>
      </c>
    </row>
    <row r="2265" spans="1:16">
      <c r="A2265" s="1178" t="s">
        <v>21127</v>
      </c>
      <c r="B2265" s="1371" t="str">
        <f>HYPERLINK(IFERROR("#Main_Tariff!A"&amp;MATCH(Raeburn_Main_Tariff[[#This Row],[Product Code]],Main_Tariff!I:I,0),"#Main_Tariff!A"&amp;MATCH("*"&amp;RIGHT(A2265,8)&amp;"*",Main_Tariff!A:A,0)),Raeburn_Main_Tariff[[#This Row],[PRODUCER]])</f>
        <v>Domaine Michel Lafarge</v>
      </c>
      <c r="C2265" s="1178" t="s">
        <v>21129</v>
      </c>
      <c r="D2265" s="1178" t="s">
        <v>1129</v>
      </c>
      <c r="E2265" s="1179">
        <v>2008</v>
      </c>
      <c r="F2265" s="1282" t="s">
        <v>20220</v>
      </c>
      <c r="G2265" s="1368">
        <v>75.5</v>
      </c>
      <c r="H2265" s="1178" t="s">
        <v>20224</v>
      </c>
      <c r="I2265" s="1178" t="s">
        <v>7272</v>
      </c>
      <c r="J2265" s="1178" t="s">
        <v>662</v>
      </c>
      <c r="K2265" s="1178" t="s">
        <v>267</v>
      </c>
      <c r="L2265" s="1178" t="s">
        <v>242</v>
      </c>
      <c r="M2265" s="1369" t="s">
        <v>23297</v>
      </c>
      <c r="N2265" s="1178"/>
      <c r="O2265" s="1178">
        <v>6</v>
      </c>
      <c r="P2265" s="1178">
        <v>12.5</v>
      </c>
    </row>
    <row r="2266" spans="1:16">
      <c r="A2266" s="1178" t="s">
        <v>21127</v>
      </c>
      <c r="B2266" s="1371" t="str">
        <f>HYPERLINK(IFERROR("#Main_Tariff!A"&amp;MATCH(Raeburn_Main_Tariff[[#This Row],[Product Code]],Main_Tariff!I:I,0),"#Main_Tariff!A"&amp;MATCH("*"&amp;RIGHT(A2266,8)&amp;"*",Main_Tariff!A:A,0)),Raeburn_Main_Tariff[[#This Row],[PRODUCER]])</f>
        <v>Domaine Michel Lafarge</v>
      </c>
      <c r="C2266" s="1178" t="s">
        <v>21129</v>
      </c>
      <c r="D2266" s="1178" t="s">
        <v>1129</v>
      </c>
      <c r="E2266" s="1179">
        <v>2007</v>
      </c>
      <c r="F2266" s="1282" t="s">
        <v>20220</v>
      </c>
      <c r="G2266" s="1368">
        <v>69.5</v>
      </c>
      <c r="H2266" s="1178" t="s">
        <v>20221</v>
      </c>
      <c r="I2266" s="1178" t="s">
        <v>7273</v>
      </c>
      <c r="J2266" s="1178" t="s">
        <v>662</v>
      </c>
      <c r="K2266" s="1178" t="s">
        <v>267</v>
      </c>
      <c r="L2266" s="1178" t="s">
        <v>242</v>
      </c>
      <c r="M2266" s="1369" t="s">
        <v>23297</v>
      </c>
      <c r="N2266" s="1178"/>
      <c r="O2266" s="1178">
        <v>6</v>
      </c>
      <c r="P2266" s="1178">
        <v>13.5</v>
      </c>
    </row>
    <row r="2267" spans="1:16">
      <c r="A2267" s="1178" t="s">
        <v>21127</v>
      </c>
      <c r="B2267" s="1371" t="str">
        <f>HYPERLINK(IFERROR("#Main_Tariff!A"&amp;MATCH(Raeburn_Main_Tariff[[#This Row],[Product Code]],Main_Tariff!I:I,0),"#Main_Tariff!A"&amp;MATCH("*"&amp;RIGHT(A2267,8)&amp;"*",Main_Tariff!A:A,0)),Raeburn_Main_Tariff[[#This Row],[PRODUCER]])</f>
        <v>Domaine Michel Lafarge</v>
      </c>
      <c r="C2267" s="1178" t="s">
        <v>21129</v>
      </c>
      <c r="D2267" s="1178" t="s">
        <v>1129</v>
      </c>
      <c r="E2267" s="1179">
        <v>2006</v>
      </c>
      <c r="F2267" s="1282" t="s">
        <v>20220</v>
      </c>
      <c r="G2267" s="1368">
        <v>67.95</v>
      </c>
      <c r="H2267" s="1178" t="s">
        <v>20221</v>
      </c>
      <c r="I2267" s="1178" t="s">
        <v>7275</v>
      </c>
      <c r="J2267" s="1178" t="s">
        <v>662</v>
      </c>
      <c r="K2267" s="1178" t="s">
        <v>267</v>
      </c>
      <c r="L2267" s="1178" t="s">
        <v>242</v>
      </c>
      <c r="M2267" s="1369" t="s">
        <v>23297</v>
      </c>
      <c r="N2267" s="1178"/>
      <c r="O2267" s="1178">
        <v>12</v>
      </c>
      <c r="P2267" s="1178">
        <v>13.5</v>
      </c>
    </row>
    <row r="2268" spans="1:16">
      <c r="A2268" s="1178" t="s">
        <v>21127</v>
      </c>
      <c r="B2268" s="1371" t="str">
        <f>HYPERLINK(IFERROR("#Main_Tariff!A"&amp;MATCH(Raeburn_Main_Tariff[[#This Row],[Product Code]],Main_Tariff!I:I,0),"#Main_Tariff!A"&amp;MATCH("*"&amp;RIGHT(A2268,8)&amp;"*",Main_Tariff!A:A,0)),Raeburn_Main_Tariff[[#This Row],[PRODUCER]])</f>
        <v>Domaine Michel Lafarge</v>
      </c>
      <c r="C2268" s="1178" t="s">
        <v>21130</v>
      </c>
      <c r="D2268" s="1178" t="s">
        <v>1129</v>
      </c>
      <c r="E2268" s="1179">
        <v>2018</v>
      </c>
      <c r="F2268" s="1282" t="s">
        <v>20240</v>
      </c>
      <c r="G2268" s="1368">
        <v>120</v>
      </c>
      <c r="H2268" s="1178" t="s">
        <v>20224</v>
      </c>
      <c r="I2268" s="1178" t="s">
        <v>7279</v>
      </c>
      <c r="J2268" s="1178" t="s">
        <v>662</v>
      </c>
      <c r="K2268" s="1178" t="s">
        <v>267</v>
      </c>
      <c r="L2268" s="1178" t="s">
        <v>242</v>
      </c>
      <c r="M2268" s="1369" t="s">
        <v>23297</v>
      </c>
      <c r="N2268" s="1178" t="s">
        <v>20244</v>
      </c>
      <c r="O2268" s="1178">
        <v>6</v>
      </c>
      <c r="P2268" s="1178">
        <v>15</v>
      </c>
    </row>
    <row r="2269" spans="1:16">
      <c r="A2269" s="1178" t="s">
        <v>21127</v>
      </c>
      <c r="B2269" s="1371" t="str">
        <f>HYPERLINK(IFERROR("#Main_Tariff!A"&amp;MATCH(Raeburn_Main_Tariff[[#This Row],[Product Code]],Main_Tariff!I:I,0),"#Main_Tariff!A"&amp;MATCH("*"&amp;RIGHT(A2269,8)&amp;"*",Main_Tariff!A:A,0)),Raeburn_Main_Tariff[[#This Row],[PRODUCER]])</f>
        <v>Domaine Michel Lafarge</v>
      </c>
      <c r="C2269" s="1178" t="s">
        <v>21130</v>
      </c>
      <c r="D2269" s="1178" t="s">
        <v>1129</v>
      </c>
      <c r="E2269" s="1179">
        <v>2016</v>
      </c>
      <c r="F2269" s="1282" t="s">
        <v>20240</v>
      </c>
      <c r="G2269" s="1368">
        <v>125</v>
      </c>
      <c r="H2269" s="1178" t="s">
        <v>20221</v>
      </c>
      <c r="I2269" s="1178" t="s">
        <v>7281</v>
      </c>
      <c r="J2269" s="1178" t="s">
        <v>662</v>
      </c>
      <c r="K2269" s="1178" t="s">
        <v>267</v>
      </c>
      <c r="L2269" s="1178" t="s">
        <v>242</v>
      </c>
      <c r="M2269" s="1369" t="s">
        <v>23297</v>
      </c>
      <c r="N2269" s="1178" t="s">
        <v>20244</v>
      </c>
      <c r="O2269" s="1178">
        <v>6</v>
      </c>
      <c r="P2269" s="1178">
        <v>13</v>
      </c>
    </row>
    <row r="2270" spans="1:16">
      <c r="A2270" s="1178" t="s">
        <v>21127</v>
      </c>
      <c r="B2270" s="1371" t="str">
        <f>HYPERLINK(IFERROR("#Main_Tariff!A"&amp;MATCH(Raeburn_Main_Tariff[[#This Row],[Product Code]],Main_Tariff!I:I,0),"#Main_Tariff!A"&amp;MATCH("*"&amp;RIGHT(A2270,8)&amp;"*",Main_Tariff!A:A,0)),Raeburn_Main_Tariff[[#This Row],[PRODUCER]])</f>
        <v>Domaine Michel Lafarge</v>
      </c>
      <c r="C2270" s="1178" t="s">
        <v>21131</v>
      </c>
      <c r="D2270" s="1178" t="s">
        <v>897</v>
      </c>
      <c r="E2270" s="1179">
        <v>2022</v>
      </c>
      <c r="F2270" s="1282" t="s">
        <v>20220</v>
      </c>
      <c r="G2270" s="1368">
        <v>19.95</v>
      </c>
      <c r="H2270" s="1178" t="s">
        <v>20221</v>
      </c>
      <c r="I2270" s="1178" t="s">
        <v>7284</v>
      </c>
      <c r="J2270" s="1178" t="s">
        <v>662</v>
      </c>
      <c r="K2270" s="1178" t="s">
        <v>267</v>
      </c>
      <c r="L2270" s="1178" t="s">
        <v>242</v>
      </c>
      <c r="M2270" s="1369"/>
      <c r="N2270" s="1178" t="s">
        <v>20244</v>
      </c>
      <c r="O2270" s="1178">
        <v>6</v>
      </c>
      <c r="P2270" s="1178">
        <v>12.5</v>
      </c>
    </row>
    <row r="2271" spans="1:16">
      <c r="A2271" s="1178" t="s">
        <v>21127</v>
      </c>
      <c r="B2271" s="1371" t="str">
        <f>HYPERLINK(IFERROR("#Main_Tariff!A"&amp;MATCH(Raeburn_Main_Tariff[[#This Row],[Product Code]],Main_Tariff!I:I,0),"#Main_Tariff!A"&amp;MATCH("*"&amp;RIGHT(A2271,8)&amp;"*",Main_Tariff!A:A,0)),Raeburn_Main_Tariff[[#This Row],[PRODUCER]])</f>
        <v>Domaine Michel Lafarge</v>
      </c>
      <c r="C2271" s="1178" t="s">
        <v>21132</v>
      </c>
      <c r="D2271" s="1178" t="s">
        <v>897</v>
      </c>
      <c r="E2271" s="1179"/>
      <c r="F2271" s="1282" t="s">
        <v>20240</v>
      </c>
      <c r="G2271" s="1368"/>
      <c r="H2271" s="1178" t="s">
        <v>3907</v>
      </c>
      <c r="I2271" s="1178" t="s">
        <v>7286</v>
      </c>
      <c r="J2271" s="1178" t="s">
        <v>662</v>
      </c>
      <c r="K2271" s="1178" t="s">
        <v>267</v>
      </c>
      <c r="L2271" s="1178" t="s">
        <v>242</v>
      </c>
      <c r="M2271" s="1369"/>
      <c r="N2271" s="1178" t="s">
        <v>20244</v>
      </c>
      <c r="O2271" s="1178">
        <v>3</v>
      </c>
      <c r="P2271" s="1178">
        <v>13</v>
      </c>
    </row>
    <row r="2272" spans="1:16">
      <c r="A2272" s="1178" t="s">
        <v>21127</v>
      </c>
      <c r="B2272" s="1371" t="str">
        <f>HYPERLINK(IFERROR("#Main_Tariff!A"&amp;MATCH(Raeburn_Main_Tariff[[#This Row],[Product Code]],Main_Tariff!I:I,0),"#Main_Tariff!A"&amp;MATCH("*"&amp;RIGHT(A2272,8)&amp;"*",Main_Tariff!A:A,0)),Raeburn_Main_Tariff[[#This Row],[PRODUCER]])</f>
        <v>Domaine Michel Lafarge</v>
      </c>
      <c r="C2272" s="1178" t="s">
        <v>21133</v>
      </c>
      <c r="D2272" s="1178" t="s">
        <v>897</v>
      </c>
      <c r="E2272" s="1179">
        <v>2007</v>
      </c>
      <c r="F2272" s="1282" t="s">
        <v>20220</v>
      </c>
      <c r="G2272" s="1368" t="s">
        <v>5258</v>
      </c>
      <c r="H2272" s="1178" t="s">
        <v>20277</v>
      </c>
      <c r="I2272" s="1178" t="s">
        <v>7288</v>
      </c>
      <c r="J2272" s="1178" t="s">
        <v>662</v>
      </c>
      <c r="K2272" s="1178" t="s">
        <v>267</v>
      </c>
      <c r="L2272" s="1178" t="s">
        <v>242</v>
      </c>
      <c r="M2272" s="1369"/>
      <c r="N2272" s="1178" t="s">
        <v>20244</v>
      </c>
      <c r="O2272" s="1178">
        <v>12</v>
      </c>
      <c r="P2272" s="1178">
        <v>12.5</v>
      </c>
    </row>
    <row r="2273" spans="1:16">
      <c r="A2273" s="1178" t="s">
        <v>21127</v>
      </c>
      <c r="B2273" s="1371" t="str">
        <f>HYPERLINK(IFERROR("#Main_Tariff!A"&amp;MATCH(Raeburn_Main_Tariff[[#This Row],[Product Code]],Main_Tariff!I:I,0),"#Main_Tariff!A"&amp;MATCH("*"&amp;RIGHT(A2273,8)&amp;"*",Main_Tariff!A:A,0)),Raeburn_Main_Tariff[[#This Row],[PRODUCER]])</f>
        <v>Domaine Michel Lafarge</v>
      </c>
      <c r="C2273" s="1178" t="s">
        <v>18808</v>
      </c>
      <c r="D2273" s="1178" t="s">
        <v>897</v>
      </c>
      <c r="E2273" s="1179">
        <v>2021</v>
      </c>
      <c r="F2273" s="1282" t="s">
        <v>20220</v>
      </c>
      <c r="G2273" s="1368">
        <v>44.5</v>
      </c>
      <c r="H2273" s="1178" t="s">
        <v>20224</v>
      </c>
      <c r="I2273" s="1178" t="s">
        <v>7291</v>
      </c>
      <c r="J2273" s="1178" t="s">
        <v>662</v>
      </c>
      <c r="K2273" s="1178" t="s">
        <v>267</v>
      </c>
      <c r="L2273" s="1178" t="s">
        <v>242</v>
      </c>
      <c r="M2273" s="1369"/>
      <c r="N2273" s="1178" t="s">
        <v>20244</v>
      </c>
      <c r="O2273" s="1178">
        <v>6</v>
      </c>
      <c r="P2273" s="1178">
        <v>13</v>
      </c>
    </row>
    <row r="2274" spans="1:16">
      <c r="A2274" s="1178" t="s">
        <v>21127</v>
      </c>
      <c r="B2274" s="1371" t="str">
        <f>HYPERLINK(IFERROR("#Main_Tariff!A"&amp;MATCH(Raeburn_Main_Tariff[[#This Row],[Product Code]],Main_Tariff!I:I,0),"#Main_Tariff!A"&amp;MATCH("*"&amp;RIGHT(A2274,8)&amp;"*",Main_Tariff!A:A,0)),Raeburn_Main_Tariff[[#This Row],[PRODUCER]])</f>
        <v>Domaine Michel Lafarge</v>
      </c>
      <c r="C2274" s="1178" t="s">
        <v>21134</v>
      </c>
      <c r="D2274" s="1178" t="s">
        <v>897</v>
      </c>
      <c r="E2274" s="1179">
        <v>2022</v>
      </c>
      <c r="F2274" s="1282" t="s">
        <v>20220</v>
      </c>
      <c r="G2274" s="1368">
        <v>45.75</v>
      </c>
      <c r="H2274" s="1178" t="s">
        <v>20224</v>
      </c>
      <c r="I2274" s="1178" t="s">
        <v>7293</v>
      </c>
      <c r="J2274" s="1178" t="s">
        <v>662</v>
      </c>
      <c r="K2274" s="1178" t="s">
        <v>267</v>
      </c>
      <c r="L2274" s="1178" t="s">
        <v>242</v>
      </c>
      <c r="M2274" s="1369"/>
      <c r="N2274" s="1178" t="s">
        <v>20244</v>
      </c>
      <c r="O2274" s="1178">
        <v>6</v>
      </c>
      <c r="P2274" s="1178">
        <v>13</v>
      </c>
    </row>
    <row r="2275" spans="1:16">
      <c r="A2275" s="1178" t="s">
        <v>21127</v>
      </c>
      <c r="B2275" s="1371" t="str">
        <f>HYPERLINK(IFERROR("#Main_Tariff!A"&amp;MATCH(Raeburn_Main_Tariff[[#This Row],[Product Code]],Main_Tariff!I:I,0),"#Main_Tariff!A"&amp;MATCH("*"&amp;RIGHT(A2275,8)&amp;"*",Main_Tariff!A:A,0)),Raeburn_Main_Tariff[[#This Row],[PRODUCER]])</f>
        <v>Domaine Michel Lafarge</v>
      </c>
      <c r="C2275" s="1178" t="s">
        <v>21135</v>
      </c>
      <c r="D2275" s="1178" t="s">
        <v>897</v>
      </c>
      <c r="E2275" s="1179">
        <v>2022</v>
      </c>
      <c r="F2275" s="1282" t="s">
        <v>20220</v>
      </c>
      <c r="G2275" s="1368">
        <v>57</v>
      </c>
      <c r="H2275" s="1178" t="s">
        <v>20221</v>
      </c>
      <c r="I2275" s="1178" t="s">
        <v>7296</v>
      </c>
      <c r="J2275" s="1178" t="s">
        <v>662</v>
      </c>
      <c r="K2275" s="1178" t="s">
        <v>267</v>
      </c>
      <c r="L2275" s="1178" t="s">
        <v>242</v>
      </c>
      <c r="M2275" s="1369" t="s">
        <v>23297</v>
      </c>
      <c r="N2275" s="1178" t="s">
        <v>20244</v>
      </c>
      <c r="O2275" s="1178">
        <v>6</v>
      </c>
      <c r="P2275" s="1178">
        <v>13</v>
      </c>
    </row>
    <row r="2276" spans="1:16">
      <c r="A2276" s="1178" t="s">
        <v>21127</v>
      </c>
      <c r="B2276" s="1371" t="str">
        <f>HYPERLINK(IFERROR("#Main_Tariff!A"&amp;MATCH(Raeburn_Main_Tariff[[#This Row],[Product Code]],Main_Tariff!I:I,0),"#Main_Tariff!A"&amp;MATCH("*"&amp;RIGHT(A2276,8)&amp;"*",Main_Tariff!A:A,0)),Raeburn_Main_Tariff[[#This Row],[PRODUCER]])</f>
        <v>Domaine Michel Lafarge</v>
      </c>
      <c r="C2276" s="1178" t="s">
        <v>21135</v>
      </c>
      <c r="D2276" s="1178" t="s">
        <v>897</v>
      </c>
      <c r="E2276" s="1179">
        <v>2021</v>
      </c>
      <c r="F2276" s="1282" t="s">
        <v>20220</v>
      </c>
      <c r="G2276" s="1368">
        <v>65.5</v>
      </c>
      <c r="H2276" s="1178" t="s">
        <v>20221</v>
      </c>
      <c r="I2276" s="1178" t="s">
        <v>7298</v>
      </c>
      <c r="J2276" s="1178" t="s">
        <v>662</v>
      </c>
      <c r="K2276" s="1178" t="s">
        <v>267</v>
      </c>
      <c r="L2276" s="1178" t="s">
        <v>242</v>
      </c>
      <c r="M2276" s="1369" t="s">
        <v>23297</v>
      </c>
      <c r="N2276" s="1178" t="s">
        <v>20244</v>
      </c>
      <c r="O2276" s="1178">
        <v>6</v>
      </c>
      <c r="P2276" s="1178">
        <v>13</v>
      </c>
    </row>
    <row r="2277" spans="1:16">
      <c r="A2277" s="1178" t="s">
        <v>21127</v>
      </c>
      <c r="B2277" s="1371" t="str">
        <f>HYPERLINK(IFERROR("#Main_Tariff!A"&amp;MATCH(Raeburn_Main_Tariff[[#This Row],[Product Code]],Main_Tariff!I:I,0),"#Main_Tariff!A"&amp;MATCH("*"&amp;RIGHT(A2277,8)&amp;"*",Main_Tariff!A:A,0)),Raeburn_Main_Tariff[[#This Row],[PRODUCER]])</f>
        <v>Domaine Michel Lafarge</v>
      </c>
      <c r="C2277" s="1178" t="s">
        <v>21135</v>
      </c>
      <c r="D2277" s="1178" t="s">
        <v>897</v>
      </c>
      <c r="E2277" s="1179">
        <v>2020</v>
      </c>
      <c r="F2277" s="1282" t="s">
        <v>20220</v>
      </c>
      <c r="G2277" s="1368">
        <v>64.5</v>
      </c>
      <c r="H2277" s="1178" t="s">
        <v>20221</v>
      </c>
      <c r="I2277" s="1178" t="s">
        <v>7300</v>
      </c>
      <c r="J2277" s="1178" t="s">
        <v>662</v>
      </c>
      <c r="K2277" s="1178" t="s">
        <v>267</v>
      </c>
      <c r="L2277" s="1178" t="s">
        <v>242</v>
      </c>
      <c r="M2277" s="1369" t="s">
        <v>23297</v>
      </c>
      <c r="N2277" s="1178" t="s">
        <v>20244</v>
      </c>
      <c r="O2277" s="1178">
        <v>6</v>
      </c>
      <c r="P2277" s="1178">
        <v>13</v>
      </c>
    </row>
    <row r="2278" spans="1:16">
      <c r="A2278" s="1178" t="s">
        <v>21127</v>
      </c>
      <c r="B2278" s="1371" t="str">
        <f>HYPERLINK(IFERROR("#Main_Tariff!A"&amp;MATCH(Raeburn_Main_Tariff[[#This Row],[Product Code]],Main_Tariff!I:I,0),"#Main_Tariff!A"&amp;MATCH("*"&amp;RIGHT(A2278,8)&amp;"*",Main_Tariff!A:A,0)),Raeburn_Main_Tariff[[#This Row],[PRODUCER]])</f>
        <v>Domaine Michel Lafarge</v>
      </c>
      <c r="C2278" s="1178" t="s">
        <v>21135</v>
      </c>
      <c r="D2278" s="1178" t="s">
        <v>897</v>
      </c>
      <c r="E2278" s="1179">
        <v>2018</v>
      </c>
      <c r="F2278" s="1282" t="s">
        <v>20220</v>
      </c>
      <c r="G2278" s="1368">
        <v>64.5</v>
      </c>
      <c r="H2278" s="1178" t="s">
        <v>20224</v>
      </c>
      <c r="I2278" s="1178" t="s">
        <v>7302</v>
      </c>
      <c r="J2278" s="1178" t="s">
        <v>662</v>
      </c>
      <c r="K2278" s="1178" t="s">
        <v>267</v>
      </c>
      <c r="L2278" s="1178" t="s">
        <v>242</v>
      </c>
      <c r="M2278" s="1369" t="s">
        <v>23297</v>
      </c>
      <c r="N2278" s="1178" t="s">
        <v>20244</v>
      </c>
      <c r="O2278" s="1178">
        <v>6</v>
      </c>
      <c r="P2278" s="1178">
        <v>13</v>
      </c>
    </row>
    <row r="2279" spans="1:16">
      <c r="A2279" s="1178" t="s">
        <v>21127</v>
      </c>
      <c r="B2279" s="1371" t="str">
        <f>HYPERLINK(IFERROR("#Main_Tariff!A"&amp;MATCH(Raeburn_Main_Tariff[[#This Row],[Product Code]],Main_Tariff!I:I,0),"#Main_Tariff!A"&amp;MATCH("*"&amp;RIGHT(A2279,8)&amp;"*",Main_Tariff!A:A,0)),Raeburn_Main_Tariff[[#This Row],[PRODUCER]])</f>
        <v>Domaine Michel Lafarge</v>
      </c>
      <c r="C2279" s="1178" t="s">
        <v>21135</v>
      </c>
      <c r="D2279" s="1178" t="s">
        <v>897</v>
      </c>
      <c r="E2279" s="1179">
        <v>2016</v>
      </c>
      <c r="F2279" s="1282" t="s">
        <v>20220</v>
      </c>
      <c r="G2279" s="1368">
        <v>64.5</v>
      </c>
      <c r="H2279" s="1178" t="s">
        <v>20224</v>
      </c>
      <c r="I2279" s="1178" t="s">
        <v>7304</v>
      </c>
      <c r="J2279" s="1178" t="s">
        <v>662</v>
      </c>
      <c r="K2279" s="1178" t="s">
        <v>267</v>
      </c>
      <c r="L2279" s="1178" t="s">
        <v>242</v>
      </c>
      <c r="M2279" s="1369" t="s">
        <v>23297</v>
      </c>
      <c r="N2279" s="1178" t="s">
        <v>20244</v>
      </c>
      <c r="O2279" s="1178">
        <v>6</v>
      </c>
      <c r="P2279" s="1178">
        <v>13</v>
      </c>
    </row>
    <row r="2280" spans="1:16">
      <c r="A2280" s="1178" t="s">
        <v>21127</v>
      </c>
      <c r="B2280" s="1371" t="str">
        <f>HYPERLINK(IFERROR("#Main_Tariff!A"&amp;MATCH(Raeburn_Main_Tariff[[#This Row],[Product Code]],Main_Tariff!I:I,0),"#Main_Tariff!A"&amp;MATCH("*"&amp;RIGHT(A2280,8)&amp;"*",Main_Tariff!A:A,0)),Raeburn_Main_Tariff[[#This Row],[PRODUCER]])</f>
        <v>Domaine Michel Lafarge</v>
      </c>
      <c r="C2280" s="1178" t="s">
        <v>21135</v>
      </c>
      <c r="D2280" s="1178" t="s">
        <v>897</v>
      </c>
      <c r="E2280" s="1179">
        <v>2009</v>
      </c>
      <c r="F2280" s="1282" t="s">
        <v>20220</v>
      </c>
      <c r="G2280" s="1368">
        <v>66</v>
      </c>
      <c r="H2280" s="1178" t="s">
        <v>20224</v>
      </c>
      <c r="I2280" s="1178" t="s">
        <v>7306</v>
      </c>
      <c r="J2280" s="1178" t="s">
        <v>662</v>
      </c>
      <c r="K2280" s="1178" t="s">
        <v>267</v>
      </c>
      <c r="L2280" s="1178" t="s">
        <v>242</v>
      </c>
      <c r="M2280" s="1369" t="s">
        <v>23297</v>
      </c>
      <c r="N2280" s="1178" t="s">
        <v>20244</v>
      </c>
      <c r="O2280" s="1178">
        <v>6</v>
      </c>
      <c r="P2280" s="1178">
        <v>13</v>
      </c>
    </row>
    <row r="2281" spans="1:16">
      <c r="A2281" s="1178" t="s">
        <v>21127</v>
      </c>
      <c r="B2281" s="1371" t="str">
        <f>HYPERLINK(IFERROR("#Main_Tariff!A"&amp;MATCH(Raeburn_Main_Tariff[[#This Row],[Product Code]],Main_Tariff!I:I,0),"#Main_Tariff!A"&amp;MATCH("*"&amp;RIGHT(A2281,8)&amp;"*",Main_Tariff!A:A,0)),Raeburn_Main_Tariff[[#This Row],[PRODUCER]])</f>
        <v>Domaine Michel Lafarge</v>
      </c>
      <c r="C2281" s="1178" t="s">
        <v>21136</v>
      </c>
      <c r="D2281" s="1178" t="s">
        <v>897</v>
      </c>
      <c r="E2281" s="1179">
        <v>2004</v>
      </c>
      <c r="F2281" s="1282" t="s">
        <v>20220</v>
      </c>
      <c r="G2281" s="1368">
        <v>64.5</v>
      </c>
      <c r="H2281" s="1178" t="s">
        <v>20277</v>
      </c>
      <c r="I2281" s="1178" t="s">
        <v>7308</v>
      </c>
      <c r="J2281" s="1178" t="s">
        <v>662</v>
      </c>
      <c r="K2281" s="1178" t="s">
        <v>267</v>
      </c>
      <c r="L2281" s="1178" t="s">
        <v>242</v>
      </c>
      <c r="M2281" s="1369" t="s">
        <v>23297</v>
      </c>
      <c r="N2281" s="1178"/>
      <c r="O2281" s="1178">
        <v>12</v>
      </c>
      <c r="P2281" s="1178">
        <v>13.5</v>
      </c>
    </row>
    <row r="2282" spans="1:16">
      <c r="A2282" s="1178" t="s">
        <v>21127</v>
      </c>
      <c r="B2282" s="1371" t="str">
        <f>HYPERLINK(IFERROR("#Main_Tariff!A"&amp;MATCH(Raeburn_Main_Tariff[[#This Row],[Product Code]],Main_Tariff!I:I,0),"#Main_Tariff!A"&amp;MATCH("*"&amp;RIGHT(A2282,8)&amp;"*",Main_Tariff!A:A,0)),Raeburn_Main_Tariff[[#This Row],[PRODUCER]])</f>
        <v>Domaine Michel Lafarge</v>
      </c>
      <c r="C2282" s="1178" t="s">
        <v>21137</v>
      </c>
      <c r="D2282" s="1178" t="s">
        <v>897</v>
      </c>
      <c r="E2282" s="1179">
        <v>2004</v>
      </c>
      <c r="F2282" s="1282" t="s">
        <v>20220</v>
      </c>
      <c r="G2282" s="1368" t="s">
        <v>5258</v>
      </c>
      <c r="H2282" s="1178" t="s">
        <v>20277</v>
      </c>
      <c r="I2282" s="1178" t="s">
        <v>7310</v>
      </c>
      <c r="J2282" s="1178" t="s">
        <v>662</v>
      </c>
      <c r="K2282" s="1178" t="s">
        <v>267</v>
      </c>
      <c r="L2282" s="1178" t="s">
        <v>242</v>
      </c>
      <c r="M2282" s="1369" t="s">
        <v>23297</v>
      </c>
      <c r="N2282" s="1178" t="s">
        <v>20244</v>
      </c>
      <c r="O2282" s="1178">
        <v>12</v>
      </c>
      <c r="P2282" s="1178">
        <v>13</v>
      </c>
    </row>
    <row r="2283" spans="1:16">
      <c r="A2283" s="1178" t="s">
        <v>21127</v>
      </c>
      <c r="B2283" s="1371" t="str">
        <f>HYPERLINK(IFERROR("#Main_Tariff!A"&amp;MATCH(Raeburn_Main_Tariff[[#This Row],[Product Code]],Main_Tariff!I:I,0),"#Main_Tariff!A"&amp;MATCH("*"&amp;RIGHT(A2283,8)&amp;"*",Main_Tariff!A:A,0)),Raeburn_Main_Tariff[[#This Row],[PRODUCER]])</f>
        <v>Domaine Michel Lafarge</v>
      </c>
      <c r="C2283" s="1178" t="s">
        <v>21138</v>
      </c>
      <c r="D2283" s="1178" t="s">
        <v>897</v>
      </c>
      <c r="E2283" s="1179">
        <v>2021</v>
      </c>
      <c r="F2283" s="1282" t="s">
        <v>20220</v>
      </c>
      <c r="G2283" s="1368" t="s">
        <v>5258</v>
      </c>
      <c r="H2283" s="1178" t="s">
        <v>20224</v>
      </c>
      <c r="I2283" s="1178" t="s">
        <v>7312</v>
      </c>
      <c r="J2283" s="1178" t="s">
        <v>662</v>
      </c>
      <c r="K2283" s="1178" t="s">
        <v>267</v>
      </c>
      <c r="L2283" s="1178" t="s">
        <v>242</v>
      </c>
      <c r="M2283" s="1369" t="s">
        <v>23297</v>
      </c>
      <c r="N2283" s="1178" t="s">
        <v>20244</v>
      </c>
      <c r="O2283" s="1178">
        <v>1</v>
      </c>
      <c r="P2283" s="1178">
        <v>13</v>
      </c>
    </row>
    <row r="2284" spans="1:16">
      <c r="A2284" s="1178" t="s">
        <v>21127</v>
      </c>
      <c r="B2284" s="1371" t="str">
        <f>HYPERLINK(IFERROR("#Main_Tariff!A"&amp;MATCH(Raeburn_Main_Tariff[[#This Row],[Product Code]],Main_Tariff!I:I,0),"#Main_Tariff!A"&amp;MATCH("*"&amp;RIGHT(A2284,8)&amp;"*",Main_Tariff!A:A,0)),Raeburn_Main_Tariff[[#This Row],[PRODUCER]])</f>
        <v>Domaine Michel Lafarge</v>
      </c>
      <c r="C2284" s="1178" t="s">
        <v>21062</v>
      </c>
      <c r="D2284" s="1178" t="s">
        <v>897</v>
      </c>
      <c r="E2284" s="1179">
        <v>2019</v>
      </c>
      <c r="F2284" s="1282" t="s">
        <v>20220</v>
      </c>
      <c r="G2284" s="1368" t="s">
        <v>5258</v>
      </c>
      <c r="H2284" s="1178" t="s">
        <v>20224</v>
      </c>
      <c r="I2284" s="1178" t="s">
        <v>7314</v>
      </c>
      <c r="J2284" s="1178" t="s">
        <v>662</v>
      </c>
      <c r="K2284" s="1178" t="s">
        <v>267</v>
      </c>
      <c r="L2284" s="1178" t="s">
        <v>242</v>
      </c>
      <c r="M2284" s="1369" t="s">
        <v>23297</v>
      </c>
      <c r="N2284" s="1178" t="s">
        <v>20244</v>
      </c>
      <c r="O2284" s="1178">
        <v>3</v>
      </c>
      <c r="P2284" s="1178">
        <v>13.5</v>
      </c>
    </row>
    <row r="2285" spans="1:16">
      <c r="A2285" s="1178" t="s">
        <v>21127</v>
      </c>
      <c r="B2285" s="1371" t="str">
        <f>HYPERLINK(IFERROR("#Main_Tariff!A"&amp;MATCH(Raeburn_Main_Tariff[[#This Row],[Product Code]],Main_Tariff!I:I,0),"#Main_Tariff!A"&amp;MATCH("*"&amp;RIGHT(A2285,8)&amp;"*",Main_Tariff!A:A,0)),Raeburn_Main_Tariff[[#This Row],[PRODUCER]])</f>
        <v>Domaine Michel Lafarge</v>
      </c>
      <c r="C2285" s="1178" t="s">
        <v>20737</v>
      </c>
      <c r="D2285" s="1178" t="s">
        <v>897</v>
      </c>
      <c r="E2285" s="1179"/>
      <c r="F2285" s="1282" t="s">
        <v>20220</v>
      </c>
      <c r="G2285" s="1368"/>
      <c r="H2285" s="1178" t="s">
        <v>3907</v>
      </c>
      <c r="I2285" s="1178" t="s">
        <v>7316</v>
      </c>
      <c r="J2285" s="1178" t="s">
        <v>662</v>
      </c>
      <c r="K2285" s="1178" t="s">
        <v>267</v>
      </c>
      <c r="L2285" s="1178" t="s">
        <v>242</v>
      </c>
      <c r="M2285" s="1369" t="s">
        <v>23297</v>
      </c>
      <c r="N2285" s="1178" t="s">
        <v>20244</v>
      </c>
      <c r="O2285" s="1178">
        <v>3</v>
      </c>
      <c r="P2285" s="1178">
        <v>13</v>
      </c>
    </row>
    <row r="2286" spans="1:16">
      <c r="A2286" s="1178" t="s">
        <v>21127</v>
      </c>
      <c r="B2286" s="1371" t="str">
        <f>HYPERLINK(IFERROR("#Main_Tariff!A"&amp;MATCH(Raeburn_Main_Tariff[[#This Row],[Product Code]],Main_Tariff!I:I,0),"#Main_Tariff!A"&amp;MATCH("*"&amp;RIGHT(A2286,8)&amp;"*",Main_Tariff!A:A,0)),Raeburn_Main_Tariff[[#This Row],[PRODUCER]])</f>
        <v>Domaine Michel Lafarge</v>
      </c>
      <c r="C2286" s="1178" t="s">
        <v>21114</v>
      </c>
      <c r="D2286" s="1178" t="s">
        <v>897</v>
      </c>
      <c r="E2286" s="1179">
        <v>2020</v>
      </c>
      <c r="F2286" s="1282" t="s">
        <v>20220</v>
      </c>
      <c r="G2286" s="1368" t="s">
        <v>5258</v>
      </c>
      <c r="H2286" s="1178" t="s">
        <v>20224</v>
      </c>
      <c r="I2286" s="1178" t="s">
        <v>7318</v>
      </c>
      <c r="J2286" s="1178" t="s">
        <v>662</v>
      </c>
      <c r="K2286" s="1178" t="s">
        <v>267</v>
      </c>
      <c r="L2286" s="1178" t="s">
        <v>242</v>
      </c>
      <c r="M2286" s="1369" t="s">
        <v>23297</v>
      </c>
      <c r="N2286" s="1178" t="s">
        <v>20244</v>
      </c>
      <c r="O2286" s="1178">
        <v>6</v>
      </c>
      <c r="P2286" s="1178">
        <v>13</v>
      </c>
    </row>
    <row r="2287" spans="1:16">
      <c r="A2287" s="1178" t="s">
        <v>21127</v>
      </c>
      <c r="B2287" s="1371" t="str">
        <f>HYPERLINK(IFERROR("#Main_Tariff!A"&amp;MATCH(Raeburn_Main_Tariff[[#This Row],[Product Code]],Main_Tariff!I:I,0),"#Main_Tariff!A"&amp;MATCH("*"&amp;RIGHT(A2287,8)&amp;"*",Main_Tariff!A:A,0)),Raeburn_Main_Tariff[[#This Row],[PRODUCER]])</f>
        <v>Domaine Michel Lafarge</v>
      </c>
      <c r="C2287" s="1178" t="s">
        <v>21139</v>
      </c>
      <c r="D2287" s="1178" t="s">
        <v>897</v>
      </c>
      <c r="E2287" s="1179">
        <v>2020</v>
      </c>
      <c r="F2287" s="1282" t="s">
        <v>20220</v>
      </c>
      <c r="G2287" s="1368" t="s">
        <v>5258</v>
      </c>
      <c r="H2287" s="1178" t="s">
        <v>20224</v>
      </c>
      <c r="I2287" s="1178" t="s">
        <v>7320</v>
      </c>
      <c r="J2287" s="1178" t="s">
        <v>662</v>
      </c>
      <c r="K2287" s="1178" t="s">
        <v>267</v>
      </c>
      <c r="L2287" s="1178" t="s">
        <v>242</v>
      </c>
      <c r="M2287" s="1369" t="s">
        <v>23297</v>
      </c>
      <c r="N2287" s="1178" t="s">
        <v>20244</v>
      </c>
      <c r="O2287" s="1178">
        <v>3</v>
      </c>
      <c r="P2287" s="1178">
        <v>13</v>
      </c>
    </row>
    <row r="2288" spans="1:16">
      <c r="A2288" s="1178" t="s">
        <v>21127</v>
      </c>
      <c r="B2288" s="1371" t="str">
        <f>HYPERLINK(IFERROR("#Main_Tariff!A"&amp;MATCH(Raeburn_Main_Tariff[[#This Row],[Product Code]],Main_Tariff!I:I,0),"#Main_Tariff!A"&amp;MATCH("*"&amp;RIGHT(A2288,8)&amp;"*",Main_Tariff!A:A,0)),Raeburn_Main_Tariff[[#This Row],[PRODUCER]])</f>
        <v>Domaine Michel Lafarge</v>
      </c>
      <c r="C2288" s="1178" t="s">
        <v>21140</v>
      </c>
      <c r="D2288" s="1178" t="s">
        <v>897</v>
      </c>
      <c r="E2288" s="1179">
        <v>2018</v>
      </c>
      <c r="F2288" s="1282" t="s">
        <v>20240</v>
      </c>
      <c r="G2288" s="1368">
        <v>135</v>
      </c>
      <c r="H2288" s="1178" t="s">
        <v>20224</v>
      </c>
      <c r="I2288" s="1178" t="s">
        <v>7323</v>
      </c>
      <c r="J2288" s="1178" t="s">
        <v>662</v>
      </c>
      <c r="K2288" s="1178" t="s">
        <v>267</v>
      </c>
      <c r="L2288" s="1178" t="s">
        <v>242</v>
      </c>
      <c r="M2288" s="1369" t="s">
        <v>23297</v>
      </c>
      <c r="N2288" s="1178" t="s">
        <v>20244</v>
      </c>
      <c r="O2288" s="1178">
        <v>6</v>
      </c>
      <c r="P2288" s="1178">
        <v>13</v>
      </c>
    </row>
    <row r="2289" spans="1:16">
      <c r="A2289" s="1178" t="s">
        <v>21127</v>
      </c>
      <c r="B2289" s="1371" t="str">
        <f>HYPERLINK(IFERROR("#Main_Tariff!A"&amp;MATCH(Raeburn_Main_Tariff[[#This Row],[Product Code]],Main_Tariff!I:I,0),"#Main_Tariff!A"&amp;MATCH("*"&amp;RIGHT(A2289,8)&amp;"*",Main_Tariff!A:A,0)),Raeburn_Main_Tariff[[#This Row],[PRODUCER]])</f>
        <v>Domaine Michel Lafarge</v>
      </c>
      <c r="C2289" s="1178" t="s">
        <v>21140</v>
      </c>
      <c r="D2289" s="1178" t="s">
        <v>897</v>
      </c>
      <c r="E2289" s="1179">
        <v>2017</v>
      </c>
      <c r="F2289" s="1282" t="s">
        <v>20240</v>
      </c>
      <c r="G2289" s="1368">
        <v>135</v>
      </c>
      <c r="H2289" s="1178" t="s">
        <v>20224</v>
      </c>
      <c r="I2289" s="1178" t="s">
        <v>7325</v>
      </c>
      <c r="J2289" s="1178" t="s">
        <v>662</v>
      </c>
      <c r="K2289" s="1178" t="s">
        <v>267</v>
      </c>
      <c r="L2289" s="1178" t="s">
        <v>242</v>
      </c>
      <c r="M2289" s="1369" t="s">
        <v>23297</v>
      </c>
      <c r="N2289" s="1178" t="s">
        <v>20244</v>
      </c>
      <c r="O2289" s="1178">
        <v>6</v>
      </c>
      <c r="P2289" s="1178">
        <v>13</v>
      </c>
    </row>
    <row r="2290" spans="1:16">
      <c r="A2290" s="1178" t="s">
        <v>21127</v>
      </c>
      <c r="B2290" s="1371" t="str">
        <f>HYPERLINK(IFERROR("#Main_Tariff!A"&amp;MATCH(Raeburn_Main_Tariff[[#This Row],[Product Code]],Main_Tariff!I:I,0),"#Main_Tariff!A"&amp;MATCH("*"&amp;RIGHT(A2290,8)&amp;"*",Main_Tariff!A:A,0)),Raeburn_Main_Tariff[[#This Row],[PRODUCER]])</f>
        <v>Domaine Michel Lafarge</v>
      </c>
      <c r="C2290" s="1178" t="s">
        <v>21140</v>
      </c>
      <c r="D2290" s="1178" t="s">
        <v>897</v>
      </c>
      <c r="E2290" s="1179">
        <v>2013</v>
      </c>
      <c r="F2290" s="1282" t="s">
        <v>20240</v>
      </c>
      <c r="G2290" s="1368">
        <v>135</v>
      </c>
      <c r="H2290" s="1178" t="s">
        <v>20224</v>
      </c>
      <c r="I2290" s="1178" t="s">
        <v>7327</v>
      </c>
      <c r="J2290" s="1178" t="s">
        <v>662</v>
      </c>
      <c r="K2290" s="1178" t="s">
        <v>267</v>
      </c>
      <c r="L2290" s="1178" t="s">
        <v>242</v>
      </c>
      <c r="M2290" s="1369" t="s">
        <v>23297</v>
      </c>
      <c r="N2290" s="1178" t="s">
        <v>20244</v>
      </c>
      <c r="O2290" s="1178">
        <v>6</v>
      </c>
      <c r="P2290" s="1178">
        <v>13</v>
      </c>
    </row>
    <row r="2291" spans="1:16">
      <c r="A2291" s="1178" t="s">
        <v>21127</v>
      </c>
      <c r="B2291" s="1371" t="str">
        <f>HYPERLINK(IFERROR("#Main_Tariff!A"&amp;MATCH(Raeburn_Main_Tariff[[#This Row],[Product Code]],Main_Tariff!I:I,0),"#Main_Tariff!A"&amp;MATCH("*"&amp;RIGHT(A2291,8)&amp;"*",Main_Tariff!A:A,0)),Raeburn_Main_Tariff[[#This Row],[PRODUCER]])</f>
        <v>Domaine Michel Lafarge</v>
      </c>
      <c r="C2291" s="1178" t="s">
        <v>21141</v>
      </c>
      <c r="D2291" s="1178" t="s">
        <v>897</v>
      </c>
      <c r="E2291" s="1179">
        <v>2011</v>
      </c>
      <c r="F2291" s="1282" t="s">
        <v>20240</v>
      </c>
      <c r="G2291" s="1368">
        <v>140</v>
      </c>
      <c r="H2291" s="1178" t="s">
        <v>20224</v>
      </c>
      <c r="I2291" s="1178" t="s">
        <v>7329</v>
      </c>
      <c r="J2291" s="1178" t="s">
        <v>662</v>
      </c>
      <c r="K2291" s="1178" t="s">
        <v>267</v>
      </c>
      <c r="L2291" s="1178" t="s">
        <v>242</v>
      </c>
      <c r="M2291" s="1369" t="s">
        <v>23297</v>
      </c>
      <c r="N2291" s="1178"/>
      <c r="O2291" s="1178">
        <v>6</v>
      </c>
      <c r="P2291" s="1178">
        <v>13</v>
      </c>
    </row>
    <row r="2292" spans="1:16">
      <c r="A2292" s="1178" t="s">
        <v>20915</v>
      </c>
      <c r="B2292" s="1371" t="str">
        <f>HYPERLINK(IFERROR("#Main_Tariff!A"&amp;MATCH(Raeburn_Main_Tariff[[#This Row],[Product Code]],Main_Tariff!I:I,0),"#Main_Tariff!A"&amp;MATCH("*"&amp;RIGHT(A2292,8)&amp;"*",Main_Tariff!A:A,0)),Raeburn_Main_Tariff[[#This Row],[PRODUCER]])</f>
        <v>Marchand-Tawse</v>
      </c>
      <c r="C2292" s="1178" t="s">
        <v>21142</v>
      </c>
      <c r="D2292" s="1178" t="s">
        <v>21143</v>
      </c>
      <c r="E2292" s="1179">
        <v>2017</v>
      </c>
      <c r="F2292" s="1282" t="s">
        <v>20220</v>
      </c>
      <c r="G2292" s="1368">
        <v>32</v>
      </c>
      <c r="H2292" s="1178" t="s">
        <v>20221</v>
      </c>
      <c r="I2292" s="1178" t="s">
        <v>5765</v>
      </c>
      <c r="J2292" s="1178" t="s">
        <v>662</v>
      </c>
      <c r="K2292" s="1178" t="s">
        <v>267</v>
      </c>
      <c r="L2292" s="1178" t="s">
        <v>242</v>
      </c>
      <c r="M2292" s="1369" t="s">
        <v>23297</v>
      </c>
      <c r="N2292" s="1178"/>
      <c r="O2292" s="1178">
        <v>6</v>
      </c>
      <c r="P2292" s="1178">
        <v>13.5</v>
      </c>
    </row>
    <row r="2293" spans="1:16">
      <c r="A2293" s="1178" t="s">
        <v>20915</v>
      </c>
      <c r="B2293" s="1371" t="str">
        <f>HYPERLINK(IFERROR("#Main_Tariff!A"&amp;MATCH(Raeburn_Main_Tariff[[#This Row],[Product Code]],Main_Tariff!I:I,0),"#Main_Tariff!A"&amp;MATCH("*"&amp;RIGHT(A2293,8)&amp;"*",Main_Tariff!A:A,0)),Raeburn_Main_Tariff[[#This Row],[PRODUCER]])</f>
        <v>Marchand-Tawse</v>
      </c>
      <c r="C2293" s="1178" t="s">
        <v>21144</v>
      </c>
      <c r="D2293" s="1178" t="s">
        <v>897</v>
      </c>
      <c r="E2293" s="1179">
        <v>2020</v>
      </c>
      <c r="F2293" s="1282" t="s">
        <v>20220</v>
      </c>
      <c r="G2293" s="1368">
        <v>38.75</v>
      </c>
      <c r="H2293" s="1178" t="s">
        <v>20221</v>
      </c>
      <c r="I2293" s="1178" t="s">
        <v>5769</v>
      </c>
      <c r="J2293" s="1178" t="s">
        <v>662</v>
      </c>
      <c r="K2293" s="1178" t="s">
        <v>267</v>
      </c>
      <c r="L2293" s="1178" t="s">
        <v>242</v>
      </c>
      <c r="M2293" s="1369" t="s">
        <v>23297</v>
      </c>
      <c r="N2293" s="1178" t="s">
        <v>20244</v>
      </c>
      <c r="O2293" s="1178">
        <v>6</v>
      </c>
      <c r="P2293" s="1178">
        <v>14</v>
      </c>
    </row>
    <row r="2294" spans="1:16">
      <c r="A2294" s="1178" t="s">
        <v>20915</v>
      </c>
      <c r="B2294" s="1371" t="str">
        <f>HYPERLINK(IFERROR("#Main_Tariff!A"&amp;MATCH(Raeburn_Main_Tariff[[#This Row],[Product Code]],Main_Tariff!I:I,0),"#Main_Tariff!A"&amp;MATCH("*"&amp;RIGHT(A2294,8)&amp;"*",Main_Tariff!A:A,0)),Raeburn_Main_Tariff[[#This Row],[PRODUCER]])</f>
        <v>Marchand-Tawse</v>
      </c>
      <c r="C2294" s="1178" t="s">
        <v>21144</v>
      </c>
      <c r="D2294" s="1178" t="s">
        <v>897</v>
      </c>
      <c r="E2294" s="1179">
        <v>2019</v>
      </c>
      <c r="F2294" s="1282" t="s">
        <v>20220</v>
      </c>
      <c r="G2294" s="1368">
        <v>37</v>
      </c>
      <c r="H2294" s="1178" t="s">
        <v>20221</v>
      </c>
      <c r="I2294" s="1178" t="s">
        <v>5771</v>
      </c>
      <c r="J2294" s="1178" t="s">
        <v>662</v>
      </c>
      <c r="K2294" s="1178" t="s">
        <v>267</v>
      </c>
      <c r="L2294" s="1178" t="s">
        <v>242</v>
      </c>
      <c r="M2294" s="1369" t="s">
        <v>23297</v>
      </c>
      <c r="N2294" s="1178" t="s">
        <v>20244</v>
      </c>
      <c r="O2294" s="1178">
        <v>6</v>
      </c>
      <c r="P2294" s="1178">
        <v>13.5</v>
      </c>
    </row>
    <row r="2295" spans="1:16">
      <c r="A2295" s="1178" t="s">
        <v>20915</v>
      </c>
      <c r="B2295" s="1371" t="str">
        <f>HYPERLINK(IFERROR("#Main_Tariff!A"&amp;MATCH(Raeburn_Main_Tariff[[#This Row],[Product Code]],Main_Tariff!I:I,0),"#Main_Tariff!A"&amp;MATCH("*"&amp;RIGHT(A2295,8)&amp;"*",Main_Tariff!A:A,0)),Raeburn_Main_Tariff[[#This Row],[PRODUCER]])</f>
        <v>Marchand-Tawse</v>
      </c>
      <c r="C2295" s="1178" t="s">
        <v>21144</v>
      </c>
      <c r="D2295" s="1178" t="s">
        <v>897</v>
      </c>
      <c r="E2295" s="1179">
        <v>2018</v>
      </c>
      <c r="F2295" s="1282" t="s">
        <v>20220</v>
      </c>
      <c r="G2295" s="1368">
        <v>32</v>
      </c>
      <c r="H2295" s="1178" t="s">
        <v>20221</v>
      </c>
      <c r="I2295" s="1178" t="s">
        <v>5773</v>
      </c>
      <c r="J2295" s="1178" t="s">
        <v>662</v>
      </c>
      <c r="K2295" s="1178" t="s">
        <v>267</v>
      </c>
      <c r="L2295" s="1178" t="s">
        <v>242</v>
      </c>
      <c r="M2295" s="1369" t="s">
        <v>23297</v>
      </c>
      <c r="N2295" s="1178"/>
      <c r="O2295" s="1178">
        <v>6</v>
      </c>
      <c r="P2295" s="1178">
        <v>13.5</v>
      </c>
    </row>
    <row r="2296" spans="1:16">
      <c r="A2296" s="1178" t="s">
        <v>20915</v>
      </c>
      <c r="B2296" s="1371" t="str">
        <f>HYPERLINK(IFERROR("#Main_Tariff!A"&amp;MATCH(Raeburn_Main_Tariff[[#This Row],[Product Code]],Main_Tariff!I:I,0),"#Main_Tariff!A"&amp;MATCH("*"&amp;RIGHT(A2296,8)&amp;"*",Main_Tariff!A:A,0)),Raeburn_Main_Tariff[[#This Row],[PRODUCER]])</f>
        <v>Marchand-Tawse</v>
      </c>
      <c r="C2296" s="1178" t="s">
        <v>21144</v>
      </c>
      <c r="D2296" s="1178" t="s">
        <v>897</v>
      </c>
      <c r="E2296" s="1179">
        <v>2017</v>
      </c>
      <c r="F2296" s="1282" t="s">
        <v>20220</v>
      </c>
      <c r="G2296" s="1368">
        <v>32</v>
      </c>
      <c r="H2296" s="1178" t="s">
        <v>20277</v>
      </c>
      <c r="I2296" s="1178" t="s">
        <v>5775</v>
      </c>
      <c r="J2296" s="1178" t="s">
        <v>662</v>
      </c>
      <c r="K2296" s="1178" t="s">
        <v>267</v>
      </c>
      <c r="L2296" s="1178" t="s">
        <v>242</v>
      </c>
      <c r="M2296" s="1369" t="s">
        <v>23297</v>
      </c>
      <c r="N2296" s="1178"/>
      <c r="O2296" s="1178">
        <v>6</v>
      </c>
      <c r="P2296" s="1178">
        <v>12.5</v>
      </c>
    </row>
    <row r="2297" spans="1:16">
      <c r="A2297" s="1178" t="s">
        <v>20915</v>
      </c>
      <c r="B2297" s="1371" t="str">
        <f>HYPERLINK(IFERROR("#Main_Tariff!A"&amp;MATCH(Raeburn_Main_Tariff[[#This Row],[Product Code]],Main_Tariff!I:I,0),"#Main_Tariff!A"&amp;MATCH("*"&amp;RIGHT(A2297,8)&amp;"*",Main_Tariff!A:A,0)),Raeburn_Main_Tariff[[#This Row],[PRODUCER]])</f>
        <v>Marchand-Tawse</v>
      </c>
      <c r="C2297" s="1178" t="s">
        <v>21145</v>
      </c>
      <c r="D2297" s="1178" t="s">
        <v>897</v>
      </c>
      <c r="E2297" s="1179">
        <v>2016</v>
      </c>
      <c r="F2297" s="1282" t="s">
        <v>20220</v>
      </c>
      <c r="G2297" s="1368">
        <v>40</v>
      </c>
      <c r="H2297" s="1178" t="s">
        <v>20221</v>
      </c>
      <c r="I2297" s="1178" t="s">
        <v>5777</v>
      </c>
      <c r="J2297" s="1178" t="s">
        <v>662</v>
      </c>
      <c r="K2297" s="1178" t="s">
        <v>267</v>
      </c>
      <c r="L2297" s="1178" t="s">
        <v>242</v>
      </c>
      <c r="M2297" s="1369"/>
      <c r="N2297" s="1178"/>
      <c r="O2297" s="1178">
        <v>6</v>
      </c>
      <c r="P2297" s="1178">
        <v>13.5</v>
      </c>
    </row>
    <row r="2298" spans="1:16">
      <c r="A2298" s="1178" t="s">
        <v>20915</v>
      </c>
      <c r="B2298" s="1371" t="str">
        <f>HYPERLINK(IFERROR("#Main_Tariff!A"&amp;MATCH(Raeburn_Main_Tariff[[#This Row],[Product Code]],Main_Tariff!I:I,0),"#Main_Tariff!A"&amp;MATCH("*"&amp;RIGHT(A2298,8)&amp;"*",Main_Tariff!A:A,0)),Raeburn_Main_Tariff[[#This Row],[PRODUCER]])</f>
        <v>Marchand-Tawse</v>
      </c>
      <c r="C2298" s="1178" t="s">
        <v>21146</v>
      </c>
      <c r="D2298" s="1178" t="s">
        <v>1129</v>
      </c>
      <c r="E2298" s="1179">
        <v>2021</v>
      </c>
      <c r="F2298" s="1282" t="s">
        <v>20220</v>
      </c>
      <c r="G2298" s="1368">
        <v>35</v>
      </c>
      <c r="H2298" s="1178" t="s">
        <v>20224</v>
      </c>
      <c r="I2298" s="1178" t="s">
        <v>7358</v>
      </c>
      <c r="J2298" s="1178" t="s">
        <v>662</v>
      </c>
      <c r="K2298" s="1178" t="s">
        <v>267</v>
      </c>
      <c r="L2298" s="1178" t="s">
        <v>242</v>
      </c>
      <c r="M2298" s="1369" t="s">
        <v>23297</v>
      </c>
      <c r="N2298" s="1178" t="s">
        <v>20244</v>
      </c>
      <c r="O2298" s="1178">
        <v>6</v>
      </c>
      <c r="P2298" s="1178">
        <v>13</v>
      </c>
    </row>
    <row r="2299" spans="1:16">
      <c r="A2299" s="1178" t="s">
        <v>20915</v>
      </c>
      <c r="B2299" s="1371" t="str">
        <f>HYPERLINK(IFERROR("#Main_Tariff!A"&amp;MATCH(Raeburn_Main_Tariff[[#This Row],[Product Code]],Main_Tariff!I:I,0),"#Main_Tariff!A"&amp;MATCH("*"&amp;RIGHT(A2299,8)&amp;"*",Main_Tariff!A:A,0)),Raeburn_Main_Tariff[[#This Row],[PRODUCER]])</f>
        <v>Marchand-Tawse</v>
      </c>
      <c r="C2299" s="1178" t="s">
        <v>21147</v>
      </c>
      <c r="D2299" s="1178" t="s">
        <v>1129</v>
      </c>
      <c r="E2299" s="1179">
        <v>2020</v>
      </c>
      <c r="F2299" s="1282" t="s">
        <v>20220</v>
      </c>
      <c r="G2299" s="1368">
        <v>33.5</v>
      </c>
      <c r="H2299" s="1178" t="s">
        <v>20221</v>
      </c>
      <c r="I2299" s="1178" t="s">
        <v>7359</v>
      </c>
      <c r="J2299" s="1178" t="s">
        <v>662</v>
      </c>
      <c r="K2299" s="1178" t="s">
        <v>267</v>
      </c>
      <c r="L2299" s="1178" t="s">
        <v>242</v>
      </c>
      <c r="M2299" s="1369" t="s">
        <v>23297</v>
      </c>
      <c r="N2299" s="1178" t="s">
        <v>20244</v>
      </c>
      <c r="O2299" s="1178">
        <v>6</v>
      </c>
      <c r="P2299" s="1178">
        <v>13</v>
      </c>
    </row>
    <row r="2300" spans="1:16">
      <c r="A2300" s="1178" t="s">
        <v>20915</v>
      </c>
      <c r="B2300" s="1371" t="str">
        <f>HYPERLINK(IFERROR("#Main_Tariff!A"&amp;MATCH(Raeburn_Main_Tariff[[#This Row],[Product Code]],Main_Tariff!I:I,0),"#Main_Tariff!A"&amp;MATCH("*"&amp;RIGHT(A2300,8)&amp;"*",Main_Tariff!A:A,0)),Raeburn_Main_Tariff[[#This Row],[PRODUCER]])</f>
        <v>Marchand-Tawse</v>
      </c>
      <c r="C2300" s="1178" t="s">
        <v>21147</v>
      </c>
      <c r="D2300" s="1178" t="s">
        <v>1129</v>
      </c>
      <c r="E2300" s="1179">
        <v>2019</v>
      </c>
      <c r="F2300" s="1282" t="s">
        <v>20220</v>
      </c>
      <c r="G2300" s="1368">
        <v>32.5</v>
      </c>
      <c r="H2300" s="1178" t="s">
        <v>20224</v>
      </c>
      <c r="I2300" s="1178" t="s">
        <v>7360</v>
      </c>
      <c r="J2300" s="1178" t="s">
        <v>662</v>
      </c>
      <c r="K2300" s="1178" t="s">
        <v>267</v>
      </c>
      <c r="L2300" s="1178" t="s">
        <v>242</v>
      </c>
      <c r="M2300" s="1369" t="s">
        <v>23297</v>
      </c>
      <c r="N2300" s="1178" t="s">
        <v>20244</v>
      </c>
      <c r="O2300" s="1178">
        <v>6</v>
      </c>
      <c r="P2300" s="1178">
        <v>14</v>
      </c>
    </row>
    <row r="2301" spans="1:16">
      <c r="A2301" s="1178" t="s">
        <v>20915</v>
      </c>
      <c r="B2301" s="1371" t="str">
        <f>HYPERLINK(IFERROR("#Main_Tariff!A"&amp;MATCH(Raeburn_Main_Tariff[[#This Row],[Product Code]],Main_Tariff!I:I,0),"#Main_Tariff!A"&amp;MATCH("*"&amp;RIGHT(A2301,8)&amp;"*",Main_Tariff!A:A,0)),Raeburn_Main_Tariff[[#This Row],[PRODUCER]])</f>
        <v>Marchand-Tawse</v>
      </c>
      <c r="C2301" s="1178" t="s">
        <v>21148</v>
      </c>
      <c r="D2301" s="1178" t="s">
        <v>1129</v>
      </c>
      <c r="E2301" s="1179">
        <v>2021</v>
      </c>
      <c r="F2301" s="1282" t="s">
        <v>20220</v>
      </c>
      <c r="G2301" s="1368">
        <v>77</v>
      </c>
      <c r="H2301" s="1178" t="s">
        <v>20277</v>
      </c>
      <c r="I2301" s="1178" t="s">
        <v>7361</v>
      </c>
      <c r="J2301" s="1178" t="s">
        <v>662</v>
      </c>
      <c r="K2301" s="1178" t="s">
        <v>267</v>
      </c>
      <c r="L2301" s="1178" t="s">
        <v>242</v>
      </c>
      <c r="M2301" s="1369" t="s">
        <v>23297</v>
      </c>
      <c r="N2301" s="1178" t="s">
        <v>20244</v>
      </c>
      <c r="O2301" s="1178">
        <v>6</v>
      </c>
      <c r="P2301" s="1178">
        <v>13</v>
      </c>
    </row>
    <row r="2302" spans="1:16">
      <c r="A2302" s="1178" t="s">
        <v>20915</v>
      </c>
      <c r="B2302" s="1371" t="str">
        <f>HYPERLINK(IFERROR("#Main_Tariff!A"&amp;MATCH(Raeburn_Main_Tariff[[#This Row],[Product Code]],Main_Tariff!I:I,0),"#Main_Tariff!A"&amp;MATCH("*"&amp;RIGHT(A2302,8)&amp;"*",Main_Tariff!A:A,0)),Raeburn_Main_Tariff[[#This Row],[PRODUCER]])</f>
        <v>Marchand-Tawse</v>
      </c>
      <c r="C2302" s="1178" t="s">
        <v>21149</v>
      </c>
      <c r="D2302" s="1178" t="s">
        <v>1129</v>
      </c>
      <c r="E2302" s="1179">
        <v>2020</v>
      </c>
      <c r="F2302" s="1282" t="s">
        <v>20220</v>
      </c>
      <c r="G2302" s="1368">
        <v>69.5</v>
      </c>
      <c r="H2302" s="1178" t="s">
        <v>20224</v>
      </c>
      <c r="I2302" s="1178" t="s">
        <v>7362</v>
      </c>
      <c r="J2302" s="1178" t="s">
        <v>662</v>
      </c>
      <c r="K2302" s="1178" t="s">
        <v>267</v>
      </c>
      <c r="L2302" s="1178" t="s">
        <v>242</v>
      </c>
      <c r="M2302" s="1369" t="s">
        <v>23297</v>
      </c>
      <c r="N2302" s="1178" t="s">
        <v>20244</v>
      </c>
      <c r="O2302" s="1178">
        <v>6</v>
      </c>
      <c r="P2302" s="1178">
        <v>12.5</v>
      </c>
    </row>
    <row r="2303" spans="1:16">
      <c r="A2303" s="1178" t="s">
        <v>20915</v>
      </c>
      <c r="B2303" s="1371" t="str">
        <f>HYPERLINK(IFERROR("#Main_Tariff!A"&amp;MATCH(Raeburn_Main_Tariff[[#This Row],[Product Code]],Main_Tariff!I:I,0),"#Main_Tariff!A"&amp;MATCH("*"&amp;RIGHT(A2303,8)&amp;"*",Main_Tariff!A:A,0)),Raeburn_Main_Tariff[[#This Row],[PRODUCER]])</f>
        <v>Marchand-Tawse</v>
      </c>
      <c r="C2303" s="1178" t="s">
        <v>21150</v>
      </c>
      <c r="D2303" s="1178" t="s">
        <v>1129</v>
      </c>
      <c r="E2303" s="1179">
        <v>2020</v>
      </c>
      <c r="F2303" s="1282" t="s">
        <v>20220</v>
      </c>
      <c r="G2303" s="1368">
        <v>82.5</v>
      </c>
      <c r="H2303" s="1178" t="s">
        <v>20221</v>
      </c>
      <c r="I2303" s="1178" t="s">
        <v>7363</v>
      </c>
      <c r="J2303" s="1178" t="s">
        <v>662</v>
      </c>
      <c r="K2303" s="1178" t="s">
        <v>267</v>
      </c>
      <c r="L2303" s="1178" t="s">
        <v>242</v>
      </c>
      <c r="M2303" s="1369" t="s">
        <v>23297</v>
      </c>
      <c r="N2303" s="1178"/>
      <c r="O2303" s="1178">
        <v>6</v>
      </c>
      <c r="P2303" s="1178">
        <v>13.5</v>
      </c>
    </row>
    <row r="2304" spans="1:16">
      <c r="A2304" s="1178" t="s">
        <v>20915</v>
      </c>
      <c r="B2304" s="1371" t="str">
        <f>HYPERLINK(IFERROR("#Main_Tariff!A"&amp;MATCH(Raeburn_Main_Tariff[[#This Row],[Product Code]],Main_Tariff!I:I,0),"#Main_Tariff!A"&amp;MATCH("*"&amp;RIGHT(A2304,8)&amp;"*",Main_Tariff!A:A,0)),Raeburn_Main_Tariff[[#This Row],[PRODUCER]])</f>
        <v>Marchand-Tawse</v>
      </c>
      <c r="C2304" s="1178" t="s">
        <v>21151</v>
      </c>
      <c r="D2304" s="1178" t="s">
        <v>897</v>
      </c>
      <c r="E2304" s="1179">
        <v>2021</v>
      </c>
      <c r="F2304" s="1282" t="s">
        <v>20220</v>
      </c>
      <c r="G2304" s="1368">
        <v>44.25</v>
      </c>
      <c r="H2304" s="1178" t="s">
        <v>20221</v>
      </c>
      <c r="I2304" s="1178" t="s">
        <v>7365</v>
      </c>
      <c r="J2304" s="1178" t="s">
        <v>662</v>
      </c>
      <c r="K2304" s="1178" t="s">
        <v>267</v>
      </c>
      <c r="L2304" s="1178" t="s">
        <v>242</v>
      </c>
      <c r="M2304" s="1369"/>
      <c r="N2304" s="1178"/>
      <c r="O2304" s="1178">
        <v>6</v>
      </c>
      <c r="P2304" s="1178">
        <v>13</v>
      </c>
    </row>
    <row r="2305" spans="1:16">
      <c r="A2305" s="1178" t="s">
        <v>20915</v>
      </c>
      <c r="B2305" s="1371" t="str">
        <f>HYPERLINK(IFERROR("#Main_Tariff!A"&amp;MATCH(Raeburn_Main_Tariff[[#This Row],[Product Code]],Main_Tariff!I:I,0),"#Main_Tariff!A"&amp;MATCH("*"&amp;RIGHT(A2305,8)&amp;"*",Main_Tariff!A:A,0)),Raeburn_Main_Tariff[[#This Row],[PRODUCER]])</f>
        <v>Marchand-Tawse</v>
      </c>
      <c r="C2305" s="1178" t="s">
        <v>21151</v>
      </c>
      <c r="D2305" s="1178" t="s">
        <v>897</v>
      </c>
      <c r="E2305" s="1179">
        <v>2020</v>
      </c>
      <c r="F2305" s="1282" t="s">
        <v>20220</v>
      </c>
      <c r="G2305" s="1368">
        <v>42.5</v>
      </c>
      <c r="H2305" s="1178" t="s">
        <v>20221</v>
      </c>
      <c r="I2305" s="1178" t="s">
        <v>7366</v>
      </c>
      <c r="J2305" s="1178" t="s">
        <v>662</v>
      </c>
      <c r="K2305" s="1178" t="s">
        <v>267</v>
      </c>
      <c r="L2305" s="1178" t="s">
        <v>242</v>
      </c>
      <c r="M2305" s="1369"/>
      <c r="N2305" s="1178"/>
      <c r="O2305" s="1178">
        <v>6</v>
      </c>
      <c r="P2305" s="1178">
        <v>13</v>
      </c>
    </row>
    <row r="2306" spans="1:16">
      <c r="A2306" s="1178" t="s">
        <v>20915</v>
      </c>
      <c r="B2306" s="1371" t="str">
        <f>HYPERLINK(IFERROR("#Main_Tariff!A"&amp;MATCH(Raeburn_Main_Tariff[[#This Row],[Product Code]],Main_Tariff!I:I,0),"#Main_Tariff!A"&amp;MATCH("*"&amp;RIGHT(A2306,8)&amp;"*",Main_Tariff!A:A,0)),Raeburn_Main_Tariff[[#This Row],[PRODUCER]])</f>
        <v>Marchand-Tawse</v>
      </c>
      <c r="C2306" s="1178" t="s">
        <v>21151</v>
      </c>
      <c r="D2306" s="1178" t="s">
        <v>897</v>
      </c>
      <c r="E2306" s="1179">
        <v>2019</v>
      </c>
      <c r="F2306" s="1282" t="s">
        <v>20220</v>
      </c>
      <c r="G2306" s="1368">
        <v>40.5</v>
      </c>
      <c r="H2306" s="1178" t="s">
        <v>20221</v>
      </c>
      <c r="I2306" s="1178" t="s">
        <v>7367</v>
      </c>
      <c r="J2306" s="1178" t="s">
        <v>662</v>
      </c>
      <c r="K2306" s="1178" t="s">
        <v>267</v>
      </c>
      <c r="L2306" s="1178" t="s">
        <v>242</v>
      </c>
      <c r="M2306" s="1369"/>
      <c r="N2306" s="1178"/>
      <c r="O2306" s="1178">
        <v>6</v>
      </c>
      <c r="P2306" s="1178">
        <v>13.5</v>
      </c>
    </row>
    <row r="2307" spans="1:16">
      <c r="A2307" s="1178" t="s">
        <v>20915</v>
      </c>
      <c r="B2307" s="1371" t="str">
        <f>HYPERLINK(IFERROR("#Main_Tariff!A"&amp;MATCH(Raeburn_Main_Tariff[[#This Row],[Product Code]],Main_Tariff!I:I,0),"#Main_Tariff!A"&amp;MATCH("*"&amp;RIGHT(A2307,8)&amp;"*",Main_Tariff!A:A,0)),Raeburn_Main_Tariff[[#This Row],[PRODUCER]])</f>
        <v>Marchand-Tawse</v>
      </c>
      <c r="C2307" s="1178" t="s">
        <v>21152</v>
      </c>
      <c r="D2307" s="1178" t="s">
        <v>897</v>
      </c>
      <c r="E2307" s="1179">
        <v>2021</v>
      </c>
      <c r="F2307" s="1282" t="s">
        <v>20220</v>
      </c>
      <c r="G2307" s="1368">
        <v>34.75</v>
      </c>
      <c r="H2307" s="1178" t="s">
        <v>20221</v>
      </c>
      <c r="I2307" s="1178" t="s">
        <v>7368</v>
      </c>
      <c r="J2307" s="1178" t="s">
        <v>662</v>
      </c>
      <c r="K2307" s="1178" t="s">
        <v>267</v>
      </c>
      <c r="L2307" s="1178" t="s">
        <v>242</v>
      </c>
      <c r="M2307" s="1369" t="s">
        <v>23297</v>
      </c>
      <c r="N2307" s="1178" t="s">
        <v>20244</v>
      </c>
      <c r="O2307" s="1178">
        <v>6</v>
      </c>
      <c r="P2307" s="1178">
        <v>12.5</v>
      </c>
    </row>
    <row r="2308" spans="1:16">
      <c r="A2308" s="1178" t="s">
        <v>20915</v>
      </c>
      <c r="B2308" s="1371" t="str">
        <f>HYPERLINK(IFERROR("#Main_Tariff!A"&amp;MATCH(Raeburn_Main_Tariff[[#This Row],[Product Code]],Main_Tariff!I:I,0),"#Main_Tariff!A"&amp;MATCH("*"&amp;RIGHT(A2308,8)&amp;"*",Main_Tariff!A:A,0)),Raeburn_Main_Tariff[[#This Row],[PRODUCER]])</f>
        <v>Marchand-Tawse</v>
      </c>
      <c r="C2308" s="1178" t="s">
        <v>21152</v>
      </c>
      <c r="D2308" s="1178" t="s">
        <v>897</v>
      </c>
      <c r="E2308" s="1179">
        <v>2020</v>
      </c>
      <c r="F2308" s="1282" t="s">
        <v>20220</v>
      </c>
      <c r="G2308" s="1368">
        <v>33</v>
      </c>
      <c r="H2308" s="1178" t="s">
        <v>20221</v>
      </c>
      <c r="I2308" s="1178" t="s">
        <v>7369</v>
      </c>
      <c r="J2308" s="1178" t="s">
        <v>662</v>
      </c>
      <c r="K2308" s="1178" t="s">
        <v>267</v>
      </c>
      <c r="L2308" s="1178" t="s">
        <v>242</v>
      </c>
      <c r="M2308" s="1369" t="s">
        <v>23297</v>
      </c>
      <c r="N2308" s="1178" t="s">
        <v>20244</v>
      </c>
      <c r="O2308" s="1178">
        <v>6</v>
      </c>
      <c r="P2308" s="1178">
        <v>13.5</v>
      </c>
    </row>
    <row r="2309" spans="1:16">
      <c r="A2309" s="1178" t="s">
        <v>20915</v>
      </c>
      <c r="B2309" s="1371" t="str">
        <f>HYPERLINK(IFERROR("#Main_Tariff!A"&amp;MATCH(Raeburn_Main_Tariff[[#This Row],[Product Code]],Main_Tariff!I:I,0),"#Main_Tariff!A"&amp;MATCH("*"&amp;RIGHT(A2309,8)&amp;"*",Main_Tariff!A:A,0)),Raeburn_Main_Tariff[[#This Row],[PRODUCER]])</f>
        <v>Marchand-Tawse</v>
      </c>
      <c r="C2309" s="1178" t="s">
        <v>21152</v>
      </c>
      <c r="D2309" s="1178" t="s">
        <v>897</v>
      </c>
      <c r="E2309" s="1179">
        <v>2019</v>
      </c>
      <c r="F2309" s="1282" t="s">
        <v>20220</v>
      </c>
      <c r="G2309" s="1368">
        <v>33</v>
      </c>
      <c r="H2309" s="1178" t="s">
        <v>20221</v>
      </c>
      <c r="I2309" s="1178" t="s">
        <v>7370</v>
      </c>
      <c r="J2309" s="1178" t="s">
        <v>662</v>
      </c>
      <c r="K2309" s="1178" t="s">
        <v>267</v>
      </c>
      <c r="L2309" s="1178" t="s">
        <v>242</v>
      </c>
      <c r="M2309" s="1369" t="s">
        <v>23297</v>
      </c>
      <c r="N2309" s="1178" t="s">
        <v>20244</v>
      </c>
      <c r="O2309" s="1178">
        <v>6</v>
      </c>
      <c r="P2309" s="1178">
        <v>13.5</v>
      </c>
    </row>
    <row r="2310" spans="1:16">
      <c r="A2310" s="1178" t="s">
        <v>20915</v>
      </c>
      <c r="B2310" s="1371" t="str">
        <f>HYPERLINK(IFERROR("#Main_Tariff!A"&amp;MATCH(Raeburn_Main_Tariff[[#This Row],[Product Code]],Main_Tariff!I:I,0),"#Main_Tariff!A"&amp;MATCH("*"&amp;RIGHT(A2310,8)&amp;"*",Main_Tariff!A:A,0)),Raeburn_Main_Tariff[[#This Row],[PRODUCER]])</f>
        <v>Marchand-Tawse</v>
      </c>
      <c r="C2310" s="1178" t="s">
        <v>21153</v>
      </c>
      <c r="D2310" s="1178" t="s">
        <v>897</v>
      </c>
      <c r="E2310" s="1179">
        <v>2015</v>
      </c>
      <c r="F2310" s="1282" t="s">
        <v>20220</v>
      </c>
      <c r="G2310" s="1368">
        <v>30.5</v>
      </c>
      <c r="H2310" s="1178" t="s">
        <v>20221</v>
      </c>
      <c r="I2310" s="1178" t="s">
        <v>7371</v>
      </c>
      <c r="J2310" s="1178" t="s">
        <v>662</v>
      </c>
      <c r="K2310" s="1178" t="s">
        <v>267</v>
      </c>
      <c r="L2310" s="1178" t="s">
        <v>242</v>
      </c>
      <c r="M2310" s="1369" t="s">
        <v>23297</v>
      </c>
      <c r="N2310" s="1178"/>
      <c r="O2310" s="1178">
        <v>6</v>
      </c>
      <c r="P2310" s="1178">
        <v>13</v>
      </c>
    </row>
    <row r="2311" spans="1:16">
      <c r="A2311" s="1178" t="s">
        <v>20915</v>
      </c>
      <c r="B2311" s="1371" t="str">
        <f>HYPERLINK(IFERROR("#Main_Tariff!A"&amp;MATCH(Raeburn_Main_Tariff[[#This Row],[Product Code]],Main_Tariff!I:I,0),"#Main_Tariff!A"&amp;MATCH("*"&amp;RIGHT(A2311,8)&amp;"*",Main_Tariff!A:A,0)),Raeburn_Main_Tariff[[#This Row],[PRODUCER]])</f>
        <v>Marchand-Tawse</v>
      </c>
      <c r="C2311" s="1178" t="s">
        <v>21154</v>
      </c>
      <c r="D2311" s="1178" t="s">
        <v>897</v>
      </c>
      <c r="E2311" s="1179">
        <v>2021</v>
      </c>
      <c r="F2311" s="1282" t="s">
        <v>20220</v>
      </c>
      <c r="G2311" s="1368">
        <v>39.5</v>
      </c>
      <c r="H2311" s="1178" t="s">
        <v>20221</v>
      </c>
      <c r="I2311" s="1178" t="s">
        <v>7372</v>
      </c>
      <c r="J2311" s="1178" t="s">
        <v>662</v>
      </c>
      <c r="K2311" s="1178" t="s">
        <v>267</v>
      </c>
      <c r="L2311" s="1178" t="s">
        <v>242</v>
      </c>
      <c r="M2311" s="1369" t="s">
        <v>23297</v>
      </c>
      <c r="N2311" s="1178" t="s">
        <v>20244</v>
      </c>
      <c r="O2311" s="1178">
        <v>6</v>
      </c>
      <c r="P2311" s="1178">
        <v>12.5</v>
      </c>
    </row>
    <row r="2312" spans="1:16">
      <c r="A2312" s="1178" t="s">
        <v>20915</v>
      </c>
      <c r="B2312" s="1371" t="str">
        <f>HYPERLINK(IFERROR("#Main_Tariff!A"&amp;MATCH(Raeburn_Main_Tariff[[#This Row],[Product Code]],Main_Tariff!I:I,0),"#Main_Tariff!A"&amp;MATCH("*"&amp;RIGHT(A2312,8)&amp;"*",Main_Tariff!A:A,0)),Raeburn_Main_Tariff[[#This Row],[PRODUCER]])</f>
        <v>Marchand-Tawse</v>
      </c>
      <c r="C2312" s="1178" t="s">
        <v>21154</v>
      </c>
      <c r="D2312" s="1178" t="s">
        <v>897</v>
      </c>
      <c r="E2312" s="1179">
        <v>2020</v>
      </c>
      <c r="F2312" s="1282" t="s">
        <v>20220</v>
      </c>
      <c r="G2312" s="1368">
        <v>35.75</v>
      </c>
      <c r="H2312" s="1178" t="s">
        <v>20221</v>
      </c>
      <c r="I2312" s="1178" t="s">
        <v>7373</v>
      </c>
      <c r="J2312" s="1178" t="s">
        <v>662</v>
      </c>
      <c r="K2312" s="1178" t="s">
        <v>267</v>
      </c>
      <c r="L2312" s="1178" t="s">
        <v>242</v>
      </c>
      <c r="M2312" s="1369" t="s">
        <v>23297</v>
      </c>
      <c r="N2312" s="1178" t="s">
        <v>20244</v>
      </c>
      <c r="O2312" s="1178">
        <v>6</v>
      </c>
      <c r="P2312" s="1178">
        <v>13</v>
      </c>
    </row>
    <row r="2313" spans="1:16">
      <c r="A2313" s="1178" t="s">
        <v>20915</v>
      </c>
      <c r="B2313" s="1371" t="str">
        <f>HYPERLINK(IFERROR("#Main_Tariff!A"&amp;MATCH(Raeburn_Main_Tariff[[#This Row],[Product Code]],Main_Tariff!I:I,0),"#Main_Tariff!A"&amp;MATCH("*"&amp;RIGHT(A2313,8)&amp;"*",Main_Tariff!A:A,0)),Raeburn_Main_Tariff[[#This Row],[PRODUCER]])</f>
        <v>Marchand-Tawse</v>
      </c>
      <c r="C2313" s="1178" t="s">
        <v>21154</v>
      </c>
      <c r="D2313" s="1178" t="s">
        <v>897</v>
      </c>
      <c r="E2313" s="1179">
        <v>2019</v>
      </c>
      <c r="F2313" s="1282" t="s">
        <v>20220</v>
      </c>
      <c r="G2313" s="1368">
        <v>35.75</v>
      </c>
      <c r="H2313" s="1178" t="s">
        <v>20221</v>
      </c>
      <c r="I2313" s="1178" t="s">
        <v>7374</v>
      </c>
      <c r="J2313" s="1178" t="s">
        <v>662</v>
      </c>
      <c r="K2313" s="1178" t="s">
        <v>267</v>
      </c>
      <c r="L2313" s="1178" t="s">
        <v>242</v>
      </c>
      <c r="M2313" s="1369" t="s">
        <v>23297</v>
      </c>
      <c r="N2313" s="1178" t="s">
        <v>20244</v>
      </c>
      <c r="O2313" s="1178">
        <v>6</v>
      </c>
      <c r="P2313" s="1178">
        <v>13.5</v>
      </c>
    </row>
    <row r="2314" spans="1:16">
      <c r="A2314" s="1178" t="s">
        <v>20915</v>
      </c>
      <c r="B2314" s="1371" t="str">
        <f>HYPERLINK(IFERROR("#Main_Tariff!A"&amp;MATCH(Raeburn_Main_Tariff[[#This Row],[Product Code]],Main_Tariff!I:I,0),"#Main_Tariff!A"&amp;MATCH("*"&amp;RIGHT(A2314,8)&amp;"*",Main_Tariff!A:A,0)),Raeburn_Main_Tariff[[#This Row],[PRODUCER]])</f>
        <v>Marchand-Tawse</v>
      </c>
      <c r="C2314" s="1178" t="s">
        <v>21154</v>
      </c>
      <c r="D2314" s="1178" t="s">
        <v>897</v>
      </c>
      <c r="E2314" s="1179">
        <v>2018</v>
      </c>
      <c r="F2314" s="1282" t="s">
        <v>20220</v>
      </c>
      <c r="G2314" s="1368">
        <v>29</v>
      </c>
      <c r="H2314" s="1178" t="s">
        <v>20221</v>
      </c>
      <c r="I2314" s="1178" t="s">
        <v>7375</v>
      </c>
      <c r="J2314" s="1178" t="s">
        <v>662</v>
      </c>
      <c r="K2314" s="1178" t="s">
        <v>267</v>
      </c>
      <c r="L2314" s="1178" t="s">
        <v>242</v>
      </c>
      <c r="M2314" s="1369" t="s">
        <v>23297</v>
      </c>
      <c r="N2314" s="1178"/>
      <c r="O2314" s="1178">
        <v>6</v>
      </c>
      <c r="P2314" s="1178">
        <v>13</v>
      </c>
    </row>
    <row r="2315" spans="1:16">
      <c r="A2315" s="1178" t="s">
        <v>20915</v>
      </c>
      <c r="B2315" s="1371" t="str">
        <f>HYPERLINK(IFERROR("#Main_Tariff!A"&amp;MATCH(Raeburn_Main_Tariff[[#This Row],[Product Code]],Main_Tariff!I:I,0),"#Main_Tariff!A"&amp;MATCH("*"&amp;RIGHT(A2315,8)&amp;"*",Main_Tariff!A:A,0)),Raeburn_Main_Tariff[[#This Row],[PRODUCER]])</f>
        <v>Marchand-Tawse</v>
      </c>
      <c r="C2315" s="1178" t="s">
        <v>21154</v>
      </c>
      <c r="D2315" s="1178" t="s">
        <v>897</v>
      </c>
      <c r="E2315" s="1179">
        <v>2017</v>
      </c>
      <c r="F2315" s="1282" t="s">
        <v>20220</v>
      </c>
      <c r="G2315" s="1368">
        <v>29</v>
      </c>
      <c r="H2315" s="1178" t="s">
        <v>20221</v>
      </c>
      <c r="I2315" s="1178" t="s">
        <v>7376</v>
      </c>
      <c r="J2315" s="1178" t="s">
        <v>662</v>
      </c>
      <c r="K2315" s="1178" t="s">
        <v>267</v>
      </c>
      <c r="L2315" s="1178" t="s">
        <v>242</v>
      </c>
      <c r="M2315" s="1369" t="s">
        <v>23297</v>
      </c>
      <c r="N2315" s="1178"/>
      <c r="O2315" s="1178">
        <v>6</v>
      </c>
      <c r="P2315" s="1178">
        <v>12.5</v>
      </c>
    </row>
    <row r="2316" spans="1:16">
      <c r="A2316" s="1178" t="s">
        <v>20915</v>
      </c>
      <c r="B2316" s="1371" t="str">
        <f>HYPERLINK(IFERROR("#Main_Tariff!A"&amp;MATCH(Raeburn_Main_Tariff[[#This Row],[Product Code]],Main_Tariff!I:I,0),"#Main_Tariff!A"&amp;MATCH("*"&amp;RIGHT(A2316,8)&amp;"*",Main_Tariff!A:A,0)),Raeburn_Main_Tariff[[#This Row],[PRODUCER]])</f>
        <v>Marchand-Tawse</v>
      </c>
      <c r="C2316" s="1178" t="s">
        <v>21155</v>
      </c>
      <c r="D2316" s="1178" t="s">
        <v>897</v>
      </c>
      <c r="E2316" s="1179">
        <v>2021</v>
      </c>
      <c r="F2316" s="1282" t="s">
        <v>20220</v>
      </c>
      <c r="G2316" s="1368">
        <v>41.75</v>
      </c>
      <c r="H2316" s="1178" t="s">
        <v>20221</v>
      </c>
      <c r="I2316" s="1178" t="s">
        <v>7377</v>
      </c>
      <c r="J2316" s="1178" t="s">
        <v>662</v>
      </c>
      <c r="K2316" s="1178" t="s">
        <v>267</v>
      </c>
      <c r="L2316" s="1178" t="s">
        <v>242</v>
      </c>
      <c r="M2316" s="1369" t="s">
        <v>23297</v>
      </c>
      <c r="N2316" s="1178" t="s">
        <v>20244</v>
      </c>
      <c r="O2316" s="1178">
        <v>6</v>
      </c>
      <c r="P2316" s="1178">
        <v>12.5</v>
      </c>
    </row>
    <row r="2317" spans="1:16">
      <c r="A2317" s="1178" t="s">
        <v>20915</v>
      </c>
      <c r="B2317" s="1371" t="str">
        <f>HYPERLINK(IFERROR("#Main_Tariff!A"&amp;MATCH(Raeburn_Main_Tariff[[#This Row],[Product Code]],Main_Tariff!I:I,0),"#Main_Tariff!A"&amp;MATCH("*"&amp;RIGHT(A2317,8)&amp;"*",Main_Tariff!A:A,0)),Raeburn_Main_Tariff[[#This Row],[PRODUCER]])</f>
        <v>Marchand-Tawse</v>
      </c>
      <c r="C2317" s="1178" t="s">
        <v>21155</v>
      </c>
      <c r="D2317" s="1178" t="s">
        <v>897</v>
      </c>
      <c r="E2317" s="1179">
        <v>2020</v>
      </c>
      <c r="F2317" s="1282" t="s">
        <v>20220</v>
      </c>
      <c r="G2317" s="1368">
        <v>36.5</v>
      </c>
      <c r="H2317" s="1178" t="s">
        <v>20221</v>
      </c>
      <c r="I2317" s="1178" t="s">
        <v>7378</v>
      </c>
      <c r="J2317" s="1178" t="s">
        <v>662</v>
      </c>
      <c r="K2317" s="1178" t="s">
        <v>267</v>
      </c>
      <c r="L2317" s="1178" t="s">
        <v>242</v>
      </c>
      <c r="M2317" s="1369" t="s">
        <v>23297</v>
      </c>
      <c r="N2317" s="1178" t="s">
        <v>20244</v>
      </c>
      <c r="O2317" s="1178">
        <v>6</v>
      </c>
      <c r="P2317" s="1178">
        <v>13.5</v>
      </c>
    </row>
    <row r="2318" spans="1:16">
      <c r="A2318" s="1178" t="s">
        <v>20915</v>
      </c>
      <c r="B2318" s="1371" t="str">
        <f>HYPERLINK(IFERROR("#Main_Tariff!A"&amp;MATCH(Raeburn_Main_Tariff[[#This Row],[Product Code]],Main_Tariff!I:I,0),"#Main_Tariff!A"&amp;MATCH("*"&amp;RIGHT(A2318,8)&amp;"*",Main_Tariff!A:A,0)),Raeburn_Main_Tariff[[#This Row],[PRODUCER]])</f>
        <v>Marchand-Tawse</v>
      </c>
      <c r="C2318" s="1178" t="s">
        <v>21155</v>
      </c>
      <c r="D2318" s="1178" t="s">
        <v>897</v>
      </c>
      <c r="E2318" s="1179">
        <v>2019</v>
      </c>
      <c r="F2318" s="1282" t="s">
        <v>20220</v>
      </c>
      <c r="G2318" s="1368">
        <v>36.5</v>
      </c>
      <c r="H2318" s="1178" t="s">
        <v>20221</v>
      </c>
      <c r="I2318" s="1178" t="s">
        <v>7379</v>
      </c>
      <c r="J2318" s="1178" t="s">
        <v>662</v>
      </c>
      <c r="K2318" s="1178" t="s">
        <v>267</v>
      </c>
      <c r="L2318" s="1178" t="s">
        <v>242</v>
      </c>
      <c r="M2318" s="1369" t="s">
        <v>23297</v>
      </c>
      <c r="N2318" s="1178" t="s">
        <v>20244</v>
      </c>
      <c r="O2318" s="1178">
        <v>6</v>
      </c>
      <c r="P2318" s="1178">
        <v>13</v>
      </c>
    </row>
    <row r="2319" spans="1:16">
      <c r="A2319" s="1178" t="s">
        <v>20915</v>
      </c>
      <c r="B2319" s="1371" t="str">
        <f>HYPERLINK(IFERROR("#Main_Tariff!A"&amp;MATCH(Raeburn_Main_Tariff[[#This Row],[Product Code]],Main_Tariff!I:I,0),"#Main_Tariff!A"&amp;MATCH("*"&amp;RIGHT(A2319,8)&amp;"*",Main_Tariff!A:A,0)),Raeburn_Main_Tariff[[#This Row],[PRODUCER]])</f>
        <v>Marchand-Tawse</v>
      </c>
      <c r="C2319" s="1178" t="s">
        <v>21155</v>
      </c>
      <c r="D2319" s="1178" t="s">
        <v>897</v>
      </c>
      <c r="E2319" s="1179">
        <v>2018</v>
      </c>
      <c r="F2319" s="1282" t="s">
        <v>20220</v>
      </c>
      <c r="G2319" s="1368">
        <v>30.5</v>
      </c>
      <c r="H2319" s="1178" t="s">
        <v>20221</v>
      </c>
      <c r="I2319" s="1178" t="s">
        <v>7380</v>
      </c>
      <c r="J2319" s="1178" t="s">
        <v>662</v>
      </c>
      <c r="K2319" s="1178" t="s">
        <v>267</v>
      </c>
      <c r="L2319" s="1178" t="s">
        <v>242</v>
      </c>
      <c r="M2319" s="1369" t="s">
        <v>23297</v>
      </c>
      <c r="N2319" s="1178"/>
      <c r="O2319" s="1178">
        <v>6</v>
      </c>
      <c r="P2319" s="1178">
        <v>13.5</v>
      </c>
    </row>
    <row r="2320" spans="1:16">
      <c r="A2320" s="1178" t="s">
        <v>20915</v>
      </c>
      <c r="B2320" s="1371" t="str">
        <f>HYPERLINK(IFERROR("#Main_Tariff!A"&amp;MATCH(Raeburn_Main_Tariff[[#This Row],[Product Code]],Main_Tariff!I:I,0),"#Main_Tariff!A"&amp;MATCH("*"&amp;RIGHT(A2320,8)&amp;"*",Main_Tariff!A:A,0)),Raeburn_Main_Tariff[[#This Row],[PRODUCER]])</f>
        <v>Marchand-Tawse</v>
      </c>
      <c r="C2320" s="1178" t="s">
        <v>21155</v>
      </c>
      <c r="D2320" s="1178" t="s">
        <v>897</v>
      </c>
      <c r="E2320" s="1179">
        <v>2017</v>
      </c>
      <c r="F2320" s="1282" t="s">
        <v>20220</v>
      </c>
      <c r="G2320" s="1368">
        <v>31</v>
      </c>
      <c r="H2320" s="1178" t="s">
        <v>20221</v>
      </c>
      <c r="I2320" s="1178" t="s">
        <v>7382</v>
      </c>
      <c r="J2320" s="1178" t="s">
        <v>662</v>
      </c>
      <c r="K2320" s="1178" t="s">
        <v>267</v>
      </c>
      <c r="L2320" s="1178" t="s">
        <v>242</v>
      </c>
      <c r="M2320" s="1369" t="s">
        <v>23297</v>
      </c>
      <c r="N2320" s="1178"/>
      <c r="O2320" s="1178">
        <v>6</v>
      </c>
      <c r="P2320" s="1178">
        <v>12.5</v>
      </c>
    </row>
    <row r="2321" spans="1:16">
      <c r="A2321" s="1178" t="s">
        <v>20915</v>
      </c>
      <c r="B2321" s="1371" t="str">
        <f>HYPERLINK(IFERROR("#Main_Tariff!A"&amp;MATCH(Raeburn_Main_Tariff[[#This Row],[Product Code]],Main_Tariff!I:I,0),"#Main_Tariff!A"&amp;MATCH("*"&amp;RIGHT(A2321,8)&amp;"*",Main_Tariff!A:A,0)),Raeburn_Main_Tariff[[#This Row],[PRODUCER]])</f>
        <v>Marchand-Tawse</v>
      </c>
      <c r="C2321" s="1178" t="s">
        <v>21018</v>
      </c>
      <c r="D2321" s="1178" t="s">
        <v>897</v>
      </c>
      <c r="E2321" s="1179"/>
      <c r="F2321" s="1282" t="s">
        <v>20220</v>
      </c>
      <c r="G2321" s="1368"/>
      <c r="H2321" s="1178" t="s">
        <v>3907</v>
      </c>
      <c r="I2321" s="1178" t="s">
        <v>7384</v>
      </c>
      <c r="J2321" s="1178" t="s">
        <v>662</v>
      </c>
      <c r="K2321" s="1178" t="s">
        <v>267</v>
      </c>
      <c r="L2321" s="1178" t="s">
        <v>242</v>
      </c>
      <c r="M2321" s="1369" t="s">
        <v>23297</v>
      </c>
      <c r="N2321" s="1178"/>
      <c r="O2321" s="1178">
        <v>6</v>
      </c>
      <c r="P2321" s="1178">
        <v>0</v>
      </c>
    </row>
    <row r="2322" spans="1:16">
      <c r="A2322" s="1178" t="s">
        <v>20915</v>
      </c>
      <c r="B2322" s="1371" t="str">
        <f>HYPERLINK(IFERROR("#Main_Tariff!A"&amp;MATCH(Raeburn_Main_Tariff[[#This Row],[Product Code]],Main_Tariff!I:I,0),"#Main_Tariff!A"&amp;MATCH("*"&amp;RIGHT(A2322,8)&amp;"*",Main_Tariff!A:A,0)),Raeburn_Main_Tariff[[#This Row],[PRODUCER]])</f>
        <v>Marchand-Tawse</v>
      </c>
      <c r="C2322" s="1178" t="s">
        <v>21019</v>
      </c>
      <c r="D2322" s="1178" t="s">
        <v>897</v>
      </c>
      <c r="E2322" s="1179">
        <v>2021</v>
      </c>
      <c r="F2322" s="1282" t="s">
        <v>20220</v>
      </c>
      <c r="G2322" s="1368">
        <v>60</v>
      </c>
      <c r="H2322" s="1178" t="s">
        <v>20224</v>
      </c>
      <c r="I2322" s="1178" t="s">
        <v>7385</v>
      </c>
      <c r="J2322" s="1178" t="s">
        <v>662</v>
      </c>
      <c r="K2322" s="1178" t="s">
        <v>267</v>
      </c>
      <c r="L2322" s="1178" t="s">
        <v>242</v>
      </c>
      <c r="M2322" s="1369" t="s">
        <v>23297</v>
      </c>
      <c r="N2322" s="1178" t="s">
        <v>20244</v>
      </c>
      <c r="O2322" s="1178">
        <v>6</v>
      </c>
      <c r="P2322" s="1178">
        <v>12.5</v>
      </c>
    </row>
    <row r="2323" spans="1:16">
      <c r="A2323" s="1178" t="s">
        <v>20915</v>
      </c>
      <c r="B2323" s="1371" t="str">
        <f>HYPERLINK(IFERROR("#Main_Tariff!A"&amp;MATCH(Raeburn_Main_Tariff[[#This Row],[Product Code]],Main_Tariff!I:I,0),"#Main_Tariff!A"&amp;MATCH("*"&amp;RIGHT(A2323,8)&amp;"*",Main_Tariff!A:A,0)),Raeburn_Main_Tariff[[#This Row],[PRODUCER]])</f>
        <v>Marchand-Tawse</v>
      </c>
      <c r="C2323" s="1178" t="s">
        <v>21019</v>
      </c>
      <c r="D2323" s="1178" t="s">
        <v>897</v>
      </c>
      <c r="E2323" s="1179">
        <v>2020</v>
      </c>
      <c r="F2323" s="1282" t="s">
        <v>20220</v>
      </c>
      <c r="G2323" s="1368">
        <v>52.5</v>
      </c>
      <c r="H2323" s="1178" t="s">
        <v>20221</v>
      </c>
      <c r="I2323" s="1178" t="s">
        <v>7386</v>
      </c>
      <c r="J2323" s="1178" t="s">
        <v>662</v>
      </c>
      <c r="K2323" s="1178" t="s">
        <v>267</v>
      </c>
      <c r="L2323" s="1178" t="s">
        <v>242</v>
      </c>
      <c r="M2323" s="1369" t="s">
        <v>23297</v>
      </c>
      <c r="N2323" s="1178" t="s">
        <v>20244</v>
      </c>
      <c r="O2323" s="1178">
        <v>6</v>
      </c>
      <c r="P2323" s="1178">
        <v>14.5</v>
      </c>
    </row>
    <row r="2324" spans="1:16">
      <c r="A2324" s="1178" t="s">
        <v>20915</v>
      </c>
      <c r="B2324" s="1371" t="str">
        <f>HYPERLINK(IFERROR("#Main_Tariff!A"&amp;MATCH(Raeburn_Main_Tariff[[#This Row],[Product Code]],Main_Tariff!I:I,0),"#Main_Tariff!A"&amp;MATCH("*"&amp;RIGHT(A2324,8)&amp;"*",Main_Tariff!A:A,0)),Raeburn_Main_Tariff[[#This Row],[PRODUCER]])</f>
        <v>Marchand-Tawse</v>
      </c>
      <c r="C2324" s="1178" t="s">
        <v>21019</v>
      </c>
      <c r="D2324" s="1178" t="s">
        <v>897</v>
      </c>
      <c r="E2324" s="1179">
        <v>2019</v>
      </c>
      <c r="F2324" s="1282" t="s">
        <v>20220</v>
      </c>
      <c r="G2324" s="1368">
        <v>52.5</v>
      </c>
      <c r="H2324" s="1178" t="s">
        <v>20221</v>
      </c>
      <c r="I2324" s="1178" t="s">
        <v>7387</v>
      </c>
      <c r="J2324" s="1178" t="s">
        <v>662</v>
      </c>
      <c r="K2324" s="1178" t="s">
        <v>267</v>
      </c>
      <c r="L2324" s="1178" t="s">
        <v>242</v>
      </c>
      <c r="M2324" s="1369" t="s">
        <v>23297</v>
      </c>
      <c r="N2324" s="1178" t="s">
        <v>20244</v>
      </c>
      <c r="O2324" s="1178">
        <v>6</v>
      </c>
      <c r="P2324" s="1178">
        <v>13.5</v>
      </c>
    </row>
    <row r="2325" spans="1:16">
      <c r="A2325" s="1178" t="s">
        <v>20915</v>
      </c>
      <c r="B2325" s="1371" t="str">
        <f>HYPERLINK(IFERROR("#Main_Tariff!A"&amp;MATCH(Raeburn_Main_Tariff[[#This Row],[Product Code]],Main_Tariff!I:I,0),"#Main_Tariff!A"&amp;MATCH("*"&amp;RIGHT(A2325,8)&amp;"*",Main_Tariff!A:A,0)),Raeburn_Main_Tariff[[#This Row],[PRODUCER]])</f>
        <v>Marchand-Tawse</v>
      </c>
      <c r="C2325" s="1178" t="s">
        <v>21019</v>
      </c>
      <c r="D2325" s="1178" t="s">
        <v>897</v>
      </c>
      <c r="E2325" s="1179">
        <v>2018</v>
      </c>
      <c r="F2325" s="1282" t="s">
        <v>20220</v>
      </c>
      <c r="G2325" s="1368">
        <v>42</v>
      </c>
      <c r="H2325" s="1178" t="s">
        <v>20221</v>
      </c>
      <c r="I2325" s="1178" t="s">
        <v>7388</v>
      </c>
      <c r="J2325" s="1178" t="s">
        <v>662</v>
      </c>
      <c r="K2325" s="1178" t="s">
        <v>267</v>
      </c>
      <c r="L2325" s="1178" t="s">
        <v>242</v>
      </c>
      <c r="M2325" s="1369" t="s">
        <v>23297</v>
      </c>
      <c r="N2325" s="1178"/>
      <c r="O2325" s="1178">
        <v>6</v>
      </c>
      <c r="P2325" s="1178">
        <v>13.5</v>
      </c>
    </row>
    <row r="2326" spans="1:16">
      <c r="A2326" s="1178" t="s">
        <v>20915</v>
      </c>
      <c r="B2326" s="1371" t="str">
        <f>HYPERLINK(IFERROR("#Main_Tariff!A"&amp;MATCH(Raeburn_Main_Tariff[[#This Row],[Product Code]],Main_Tariff!I:I,0),"#Main_Tariff!A"&amp;MATCH("*"&amp;RIGHT(A2326,8)&amp;"*",Main_Tariff!A:A,0)),Raeburn_Main_Tariff[[#This Row],[PRODUCER]])</f>
        <v>Marchand-Tawse</v>
      </c>
      <c r="C2326" s="1178" t="s">
        <v>21019</v>
      </c>
      <c r="D2326" s="1178" t="s">
        <v>897</v>
      </c>
      <c r="E2326" s="1179">
        <v>2017</v>
      </c>
      <c r="F2326" s="1282" t="s">
        <v>20220</v>
      </c>
      <c r="G2326" s="1368">
        <v>42</v>
      </c>
      <c r="H2326" s="1178" t="s">
        <v>20221</v>
      </c>
      <c r="I2326" s="1178" t="s">
        <v>7389</v>
      </c>
      <c r="J2326" s="1178" t="s">
        <v>662</v>
      </c>
      <c r="K2326" s="1178" t="s">
        <v>267</v>
      </c>
      <c r="L2326" s="1178" t="s">
        <v>242</v>
      </c>
      <c r="M2326" s="1369" t="s">
        <v>23297</v>
      </c>
      <c r="N2326" s="1178"/>
      <c r="O2326" s="1178">
        <v>6</v>
      </c>
      <c r="P2326" s="1178">
        <v>13.5</v>
      </c>
    </row>
    <row r="2327" spans="1:16">
      <c r="A2327" s="1178" t="s">
        <v>20915</v>
      </c>
      <c r="B2327" s="1371" t="str">
        <f>HYPERLINK(IFERROR("#Main_Tariff!A"&amp;MATCH(Raeburn_Main_Tariff[[#This Row],[Product Code]],Main_Tariff!I:I,0),"#Main_Tariff!A"&amp;MATCH("*"&amp;RIGHT(A2327,8)&amp;"*",Main_Tariff!A:A,0)),Raeburn_Main_Tariff[[#This Row],[PRODUCER]])</f>
        <v>Marchand-Tawse</v>
      </c>
      <c r="C2327" s="1178" t="s">
        <v>21019</v>
      </c>
      <c r="D2327" s="1178" t="s">
        <v>897</v>
      </c>
      <c r="E2327" s="1179">
        <v>2016</v>
      </c>
      <c r="F2327" s="1282" t="s">
        <v>20220</v>
      </c>
      <c r="G2327" s="1368">
        <v>42</v>
      </c>
      <c r="H2327" s="1178" t="s">
        <v>20221</v>
      </c>
      <c r="I2327" s="1178" t="s">
        <v>7390</v>
      </c>
      <c r="J2327" s="1178" t="s">
        <v>662</v>
      </c>
      <c r="K2327" s="1178" t="s">
        <v>267</v>
      </c>
      <c r="L2327" s="1178" t="s">
        <v>242</v>
      </c>
      <c r="M2327" s="1369" t="s">
        <v>23297</v>
      </c>
      <c r="N2327" s="1178"/>
      <c r="O2327" s="1178">
        <v>6</v>
      </c>
      <c r="P2327" s="1178">
        <v>13</v>
      </c>
    </row>
    <row r="2328" spans="1:16">
      <c r="A2328" s="1178" t="s">
        <v>20915</v>
      </c>
      <c r="B2328" s="1371" t="str">
        <f>HYPERLINK(IFERROR("#Main_Tariff!A"&amp;MATCH(Raeburn_Main_Tariff[[#This Row],[Product Code]],Main_Tariff!I:I,0),"#Main_Tariff!A"&amp;MATCH("*"&amp;RIGHT(A2328,8)&amp;"*",Main_Tariff!A:A,0)),Raeburn_Main_Tariff[[#This Row],[PRODUCER]])</f>
        <v>Marchand-Tawse</v>
      </c>
      <c r="C2328" s="1178" t="s">
        <v>21019</v>
      </c>
      <c r="D2328" s="1178" t="s">
        <v>897</v>
      </c>
      <c r="E2328" s="1179">
        <v>2015</v>
      </c>
      <c r="F2328" s="1282" t="s">
        <v>20220</v>
      </c>
      <c r="G2328" s="1368">
        <v>42</v>
      </c>
      <c r="H2328" s="1178" t="s">
        <v>20224</v>
      </c>
      <c r="I2328" s="1178" t="s">
        <v>7391</v>
      </c>
      <c r="J2328" s="1178" t="s">
        <v>662</v>
      </c>
      <c r="K2328" s="1178" t="s">
        <v>267</v>
      </c>
      <c r="L2328" s="1178" t="s">
        <v>242</v>
      </c>
      <c r="M2328" s="1369" t="s">
        <v>23297</v>
      </c>
      <c r="N2328" s="1178"/>
      <c r="O2328" s="1178">
        <v>6</v>
      </c>
      <c r="P2328" s="1178">
        <v>13</v>
      </c>
    </row>
    <row r="2329" spans="1:16">
      <c r="A2329" s="1178" t="s">
        <v>21156</v>
      </c>
      <c r="B2329" s="1371" t="str">
        <f>HYPERLINK(IFERROR("#Main_Tariff!A"&amp;MATCH(Raeburn_Main_Tariff[[#This Row],[Product Code]],Main_Tariff!I:I,0),"#Main_Tariff!A"&amp;MATCH("*"&amp;RIGHT(A2329,8)&amp;"*",Main_Tariff!A:A,0)),Raeburn_Main_Tariff[[#This Row],[PRODUCER]])</f>
        <v>Alex Moreau</v>
      </c>
      <c r="C2329" s="1178" t="s">
        <v>21009</v>
      </c>
      <c r="D2329" s="1178" t="s">
        <v>897</v>
      </c>
      <c r="E2329" s="1179">
        <v>2021</v>
      </c>
      <c r="F2329" s="1282" t="s">
        <v>20220</v>
      </c>
      <c r="G2329" s="1368">
        <v>36.25</v>
      </c>
      <c r="H2329" s="1178" t="s">
        <v>20221</v>
      </c>
      <c r="I2329" s="1178" t="s">
        <v>7409</v>
      </c>
      <c r="J2329" s="1178" t="s">
        <v>662</v>
      </c>
      <c r="K2329" s="1178" t="s">
        <v>267</v>
      </c>
      <c r="L2329" s="1178" t="s">
        <v>242</v>
      </c>
      <c r="M2329" s="1369"/>
      <c r="N2329" s="1178"/>
      <c r="O2329" s="1178">
        <v>6</v>
      </c>
      <c r="P2329" s="1178">
        <v>13.5</v>
      </c>
    </row>
    <row r="2330" spans="1:16">
      <c r="A2330" s="1178" t="s">
        <v>21157</v>
      </c>
      <c r="B2330" s="1371" t="str">
        <f>HYPERLINK(IFERROR("#Main_Tariff!A"&amp;MATCH(Raeburn_Main_Tariff[[#This Row],[Product Code]],Main_Tariff!I:I,0),"#Main_Tariff!A"&amp;MATCH("*"&amp;RIGHT(A2330,8)&amp;"*",Main_Tariff!A:A,0)),Raeburn_Main_Tariff[[#This Row],[PRODUCER]])</f>
        <v>Bernard Moreau</v>
      </c>
      <c r="C2330" s="1178" t="s">
        <v>21009</v>
      </c>
      <c r="D2330" s="1178" t="s">
        <v>897</v>
      </c>
      <c r="E2330" s="1179">
        <v>2020</v>
      </c>
      <c r="F2330" s="1282" t="s">
        <v>20220</v>
      </c>
      <c r="G2330" s="1368">
        <v>39.5</v>
      </c>
      <c r="H2330" s="1178" t="s">
        <v>20221</v>
      </c>
      <c r="I2330" s="1178" t="s">
        <v>7411</v>
      </c>
      <c r="J2330" s="1178" t="s">
        <v>662</v>
      </c>
      <c r="K2330" s="1178" t="s">
        <v>267</v>
      </c>
      <c r="L2330" s="1178" t="s">
        <v>242</v>
      </c>
      <c r="M2330" s="1369"/>
      <c r="N2330" s="1178"/>
      <c r="O2330" s="1178">
        <v>6</v>
      </c>
      <c r="P2330" s="1178">
        <v>13.5</v>
      </c>
    </row>
    <row r="2331" spans="1:16">
      <c r="A2331" s="1178" t="s">
        <v>21157</v>
      </c>
      <c r="B2331" s="1371" t="str">
        <f>HYPERLINK(IFERROR("#Main_Tariff!A"&amp;MATCH(Raeburn_Main_Tariff[[#This Row],[Product Code]],Main_Tariff!I:I,0),"#Main_Tariff!A"&amp;MATCH("*"&amp;RIGHT(A2331,8)&amp;"*",Main_Tariff!A:A,0)),Raeburn_Main_Tariff[[#This Row],[PRODUCER]])</f>
        <v>Bernard Moreau</v>
      </c>
      <c r="C2331" s="1178" t="s">
        <v>21009</v>
      </c>
      <c r="D2331" s="1178" t="s">
        <v>897</v>
      </c>
      <c r="E2331" s="1179">
        <v>2019</v>
      </c>
      <c r="F2331" s="1282" t="s">
        <v>20220</v>
      </c>
      <c r="G2331" s="1368">
        <v>39.5</v>
      </c>
      <c r="H2331" s="1178" t="s">
        <v>20221</v>
      </c>
      <c r="I2331" s="1178" t="s">
        <v>7413</v>
      </c>
      <c r="J2331" s="1178" t="s">
        <v>662</v>
      </c>
      <c r="K2331" s="1178" t="s">
        <v>267</v>
      </c>
      <c r="L2331" s="1178" t="s">
        <v>242</v>
      </c>
      <c r="M2331" s="1369"/>
      <c r="N2331" s="1178"/>
      <c r="O2331" s="1178">
        <v>6</v>
      </c>
      <c r="P2331" s="1178">
        <v>13.5</v>
      </c>
    </row>
    <row r="2332" spans="1:16">
      <c r="A2332" s="1178" t="s">
        <v>21157</v>
      </c>
      <c r="B2332" s="1371" t="str">
        <f>HYPERLINK(IFERROR("#Main_Tariff!A"&amp;MATCH(Raeburn_Main_Tariff[[#This Row],[Product Code]],Main_Tariff!I:I,0),"#Main_Tariff!A"&amp;MATCH("*"&amp;RIGHT(A2332,8)&amp;"*",Main_Tariff!A:A,0)),Raeburn_Main_Tariff[[#This Row],[PRODUCER]])</f>
        <v>Bernard Moreau</v>
      </c>
      <c r="C2332" s="1178" t="s">
        <v>21009</v>
      </c>
      <c r="D2332" s="1178" t="s">
        <v>897</v>
      </c>
      <c r="E2332" s="1179">
        <v>2018</v>
      </c>
      <c r="F2332" s="1282" t="s">
        <v>20220</v>
      </c>
      <c r="G2332" s="1368">
        <v>29.5</v>
      </c>
      <c r="H2332" s="1178" t="s">
        <v>20224</v>
      </c>
      <c r="I2332" s="1178" t="s">
        <v>7415</v>
      </c>
      <c r="J2332" s="1178" t="s">
        <v>662</v>
      </c>
      <c r="K2332" s="1178" t="s">
        <v>267</v>
      </c>
      <c r="L2332" s="1178" t="s">
        <v>242</v>
      </c>
      <c r="M2332" s="1369"/>
      <c r="N2332" s="1178"/>
      <c r="O2332" s="1178">
        <v>6</v>
      </c>
      <c r="P2332" s="1178">
        <v>13.5</v>
      </c>
    </row>
    <row r="2333" spans="1:16">
      <c r="A2333" s="1178" t="s">
        <v>21157</v>
      </c>
      <c r="B2333" s="1371" t="str">
        <f>HYPERLINK(IFERROR("#Main_Tariff!A"&amp;MATCH(Raeburn_Main_Tariff[[#This Row],[Product Code]],Main_Tariff!I:I,0),"#Main_Tariff!A"&amp;MATCH("*"&amp;RIGHT(A2333,8)&amp;"*",Main_Tariff!A:A,0)),Raeburn_Main_Tariff[[#This Row],[PRODUCER]])</f>
        <v>Bernard Moreau</v>
      </c>
      <c r="C2333" s="1178" t="s">
        <v>21009</v>
      </c>
      <c r="D2333" s="1178" t="s">
        <v>897</v>
      </c>
      <c r="E2333" s="1179">
        <v>2014</v>
      </c>
      <c r="F2333" s="1282" t="s">
        <v>20220</v>
      </c>
      <c r="G2333" s="1368">
        <v>24.5</v>
      </c>
      <c r="H2333" s="1178" t="s">
        <v>20221</v>
      </c>
      <c r="I2333" s="1178" t="s">
        <v>7417</v>
      </c>
      <c r="J2333" s="1178" t="s">
        <v>662</v>
      </c>
      <c r="K2333" s="1178" t="s">
        <v>267</v>
      </c>
      <c r="L2333" s="1178" t="s">
        <v>242</v>
      </c>
      <c r="M2333" s="1369"/>
      <c r="N2333" s="1178"/>
      <c r="O2333" s="1178">
        <v>12</v>
      </c>
      <c r="P2333" s="1178">
        <v>13.5</v>
      </c>
    </row>
    <row r="2334" spans="1:16">
      <c r="A2334" s="1178" t="s">
        <v>21157</v>
      </c>
      <c r="B2334" s="1371" t="str">
        <f>HYPERLINK(IFERROR("#Main_Tariff!A"&amp;MATCH(Raeburn_Main_Tariff[[#This Row],[Product Code]],Main_Tariff!I:I,0),"#Main_Tariff!A"&amp;MATCH("*"&amp;RIGHT(A2334,8)&amp;"*",Main_Tariff!A:A,0)),Raeburn_Main_Tariff[[#This Row],[PRODUCER]])</f>
        <v>Bernard Moreau</v>
      </c>
      <c r="C2334" s="1178" t="s">
        <v>21009</v>
      </c>
      <c r="D2334" s="1178" t="s">
        <v>897</v>
      </c>
      <c r="E2334" s="1179">
        <v>2013</v>
      </c>
      <c r="F2334" s="1282" t="s">
        <v>20220</v>
      </c>
      <c r="G2334" s="1368">
        <v>24.5</v>
      </c>
      <c r="H2334" s="1178" t="s">
        <v>20224</v>
      </c>
      <c r="I2334" s="1178" t="s">
        <v>7419</v>
      </c>
      <c r="J2334" s="1178" t="s">
        <v>662</v>
      </c>
      <c r="K2334" s="1178" t="s">
        <v>267</v>
      </c>
      <c r="L2334" s="1178" t="s">
        <v>242</v>
      </c>
      <c r="M2334" s="1369"/>
      <c r="N2334" s="1178"/>
      <c r="O2334" s="1178">
        <v>12</v>
      </c>
      <c r="P2334" s="1178">
        <v>13.5</v>
      </c>
    </row>
    <row r="2335" spans="1:16">
      <c r="A2335" s="1178" t="s">
        <v>21157</v>
      </c>
      <c r="B2335" s="1371" t="str">
        <f>HYPERLINK(IFERROR("#Main_Tariff!A"&amp;MATCH(Raeburn_Main_Tariff[[#This Row],[Product Code]],Main_Tariff!I:I,0),"#Main_Tariff!A"&amp;MATCH("*"&amp;RIGHT(A2335,8)&amp;"*",Main_Tariff!A:A,0)),Raeburn_Main_Tariff[[#This Row],[PRODUCER]])</f>
        <v>Bernard Moreau</v>
      </c>
      <c r="C2335" s="1178" t="s">
        <v>21158</v>
      </c>
      <c r="D2335" s="1178" t="s">
        <v>897</v>
      </c>
      <c r="E2335" s="1179">
        <v>2018</v>
      </c>
      <c r="F2335" s="1282" t="s">
        <v>20220</v>
      </c>
      <c r="G2335" s="1368">
        <v>45</v>
      </c>
      <c r="H2335" s="1178" t="s">
        <v>20221</v>
      </c>
      <c r="I2335" s="1178" t="s">
        <v>7420</v>
      </c>
      <c r="J2335" s="1178" t="s">
        <v>662</v>
      </c>
      <c r="K2335" s="1178" t="s">
        <v>267</v>
      </c>
      <c r="L2335" s="1178" t="s">
        <v>242</v>
      </c>
      <c r="M2335" s="1369" t="s">
        <v>23297</v>
      </c>
      <c r="N2335" s="1178"/>
      <c r="O2335" s="1178">
        <v>6</v>
      </c>
      <c r="P2335" s="1178">
        <v>14</v>
      </c>
    </row>
    <row r="2336" spans="1:16">
      <c r="A2336" s="1178" t="s">
        <v>21157</v>
      </c>
      <c r="B2336" s="1371" t="str">
        <f>HYPERLINK(IFERROR("#Main_Tariff!A"&amp;MATCH(Raeburn_Main_Tariff[[#This Row],[Product Code]],Main_Tariff!I:I,0),"#Main_Tariff!A"&amp;MATCH("*"&amp;RIGHT(A2336,8)&amp;"*",Main_Tariff!A:A,0)),Raeburn_Main_Tariff[[#This Row],[PRODUCER]])</f>
        <v>Bernard Moreau</v>
      </c>
      <c r="C2336" s="1178" t="s">
        <v>21063</v>
      </c>
      <c r="D2336" s="1178" t="s">
        <v>897</v>
      </c>
      <c r="E2336" s="1179">
        <v>2020</v>
      </c>
      <c r="F2336" s="1282" t="s">
        <v>20220</v>
      </c>
      <c r="G2336" s="1368">
        <v>65.5</v>
      </c>
      <c r="H2336" s="1178" t="s">
        <v>20221</v>
      </c>
      <c r="I2336" s="1178" t="s">
        <v>7424</v>
      </c>
      <c r="J2336" s="1178" t="s">
        <v>662</v>
      </c>
      <c r="K2336" s="1178" t="s">
        <v>267</v>
      </c>
      <c r="L2336" s="1178" t="s">
        <v>242</v>
      </c>
      <c r="M2336" s="1369" t="s">
        <v>23297</v>
      </c>
      <c r="N2336" s="1178"/>
      <c r="O2336" s="1178">
        <v>6</v>
      </c>
      <c r="P2336" s="1178">
        <v>13.5</v>
      </c>
    </row>
    <row r="2337" spans="1:16">
      <c r="A2337" s="1178" t="s">
        <v>21157</v>
      </c>
      <c r="B2337" s="1371" t="str">
        <f>HYPERLINK(IFERROR("#Main_Tariff!A"&amp;MATCH(Raeburn_Main_Tariff[[#This Row],[Product Code]],Main_Tariff!I:I,0),"#Main_Tariff!A"&amp;MATCH("*"&amp;RIGHT(A2337,8)&amp;"*",Main_Tariff!A:A,0)),Raeburn_Main_Tariff[[#This Row],[PRODUCER]])</f>
        <v>Bernard Moreau</v>
      </c>
      <c r="C2337" s="1178" t="s">
        <v>21063</v>
      </c>
      <c r="D2337" s="1178" t="s">
        <v>897</v>
      </c>
      <c r="E2337" s="1179">
        <v>2019</v>
      </c>
      <c r="F2337" s="1282" t="s">
        <v>20220</v>
      </c>
      <c r="G2337" s="1368">
        <v>45</v>
      </c>
      <c r="H2337" s="1178" t="s">
        <v>20221</v>
      </c>
      <c r="I2337" s="1178" t="s">
        <v>7426</v>
      </c>
      <c r="J2337" s="1178" t="s">
        <v>662</v>
      </c>
      <c r="K2337" s="1178" t="s">
        <v>267</v>
      </c>
      <c r="L2337" s="1178" t="s">
        <v>242</v>
      </c>
      <c r="M2337" s="1369" t="s">
        <v>23297</v>
      </c>
      <c r="N2337" s="1178"/>
      <c r="O2337" s="1178">
        <v>6</v>
      </c>
      <c r="P2337" s="1178">
        <v>13.5</v>
      </c>
    </row>
    <row r="2338" spans="1:16">
      <c r="A2338" s="1178" t="s">
        <v>21157</v>
      </c>
      <c r="B2338" s="1371" t="str">
        <f>HYPERLINK(IFERROR("#Main_Tariff!A"&amp;MATCH(Raeburn_Main_Tariff[[#This Row],[Product Code]],Main_Tariff!I:I,0),"#Main_Tariff!A"&amp;MATCH("*"&amp;RIGHT(A2338,8)&amp;"*",Main_Tariff!A:A,0)),Raeburn_Main_Tariff[[#This Row],[PRODUCER]])</f>
        <v>Bernard Moreau</v>
      </c>
      <c r="C2338" s="1178" t="s">
        <v>21063</v>
      </c>
      <c r="D2338" s="1178" t="s">
        <v>897</v>
      </c>
      <c r="E2338" s="1179">
        <v>2018</v>
      </c>
      <c r="F2338" s="1282" t="s">
        <v>20220</v>
      </c>
      <c r="G2338" s="1368">
        <v>45</v>
      </c>
      <c r="H2338" s="1178" t="s">
        <v>20221</v>
      </c>
      <c r="I2338" s="1178" t="s">
        <v>7428</v>
      </c>
      <c r="J2338" s="1178" t="s">
        <v>662</v>
      </c>
      <c r="K2338" s="1178" t="s">
        <v>267</v>
      </c>
      <c r="L2338" s="1178" t="s">
        <v>242</v>
      </c>
      <c r="M2338" s="1369" t="s">
        <v>23297</v>
      </c>
      <c r="N2338" s="1178"/>
      <c r="O2338" s="1178">
        <v>6</v>
      </c>
      <c r="P2338" s="1178">
        <v>13.5</v>
      </c>
    </row>
    <row r="2339" spans="1:16">
      <c r="A2339" s="1178" t="s">
        <v>21157</v>
      </c>
      <c r="B2339" s="1371" t="str">
        <f>HYPERLINK(IFERROR("#Main_Tariff!A"&amp;MATCH(Raeburn_Main_Tariff[[#This Row],[Product Code]],Main_Tariff!I:I,0),"#Main_Tariff!A"&amp;MATCH("*"&amp;RIGHT(A2339,8)&amp;"*",Main_Tariff!A:A,0)),Raeburn_Main_Tariff[[#This Row],[PRODUCER]])</f>
        <v>Bernard Moreau</v>
      </c>
      <c r="C2339" s="1178" t="s">
        <v>21021</v>
      </c>
      <c r="D2339" s="1178" t="s">
        <v>897</v>
      </c>
      <c r="E2339" s="1179">
        <v>2020</v>
      </c>
      <c r="F2339" s="1282" t="s">
        <v>20220</v>
      </c>
      <c r="G2339" s="1368">
        <v>72.75</v>
      </c>
      <c r="H2339" s="1178" t="s">
        <v>20221</v>
      </c>
      <c r="I2339" s="1178" t="s">
        <v>7430</v>
      </c>
      <c r="J2339" s="1178" t="s">
        <v>662</v>
      </c>
      <c r="K2339" s="1178" t="s">
        <v>267</v>
      </c>
      <c r="L2339" s="1178" t="s">
        <v>242</v>
      </c>
      <c r="M2339" s="1369" t="s">
        <v>23297</v>
      </c>
      <c r="N2339" s="1178"/>
      <c r="O2339" s="1178">
        <v>6</v>
      </c>
      <c r="P2339" s="1178">
        <v>14</v>
      </c>
    </row>
    <row r="2340" spans="1:16">
      <c r="A2340" s="1178" t="s">
        <v>21157</v>
      </c>
      <c r="B2340" s="1371" t="str">
        <f>HYPERLINK(IFERROR("#Main_Tariff!A"&amp;MATCH(Raeburn_Main_Tariff[[#This Row],[Product Code]],Main_Tariff!I:I,0),"#Main_Tariff!A"&amp;MATCH("*"&amp;RIGHT(A2340,8)&amp;"*",Main_Tariff!A:A,0)),Raeburn_Main_Tariff[[#This Row],[PRODUCER]])</f>
        <v>Bernard Moreau</v>
      </c>
      <c r="C2340" s="1178" t="s">
        <v>21021</v>
      </c>
      <c r="D2340" s="1178" t="s">
        <v>897</v>
      </c>
      <c r="E2340" s="1179">
        <v>2017</v>
      </c>
      <c r="F2340" s="1282" t="s">
        <v>20220</v>
      </c>
      <c r="G2340" s="1368">
        <v>47.5</v>
      </c>
      <c r="H2340" s="1178" t="s">
        <v>20221</v>
      </c>
      <c r="I2340" s="1178" t="s">
        <v>7432</v>
      </c>
      <c r="J2340" s="1178" t="s">
        <v>662</v>
      </c>
      <c r="K2340" s="1178" t="s">
        <v>267</v>
      </c>
      <c r="L2340" s="1178" t="s">
        <v>242</v>
      </c>
      <c r="M2340" s="1369" t="s">
        <v>23297</v>
      </c>
      <c r="N2340" s="1178"/>
      <c r="O2340" s="1178">
        <v>6</v>
      </c>
      <c r="P2340" s="1178">
        <v>13.5</v>
      </c>
    </row>
    <row r="2341" spans="1:16">
      <c r="A2341" s="1178" t="s">
        <v>21157</v>
      </c>
      <c r="B2341" s="1371" t="str">
        <f>HYPERLINK(IFERROR("#Main_Tariff!A"&amp;MATCH(Raeburn_Main_Tariff[[#This Row],[Product Code]],Main_Tariff!I:I,0),"#Main_Tariff!A"&amp;MATCH("*"&amp;RIGHT(A2341,8)&amp;"*",Main_Tariff!A:A,0)),Raeburn_Main_Tariff[[#This Row],[PRODUCER]])</f>
        <v>Bernard Moreau</v>
      </c>
      <c r="C2341" s="1178" t="s">
        <v>21021</v>
      </c>
      <c r="D2341" s="1178" t="s">
        <v>897</v>
      </c>
      <c r="E2341" s="1179">
        <v>2014</v>
      </c>
      <c r="F2341" s="1282" t="s">
        <v>20220</v>
      </c>
      <c r="G2341" s="1368">
        <v>43</v>
      </c>
      <c r="H2341" s="1178" t="s">
        <v>20221</v>
      </c>
      <c r="I2341" s="1178" t="s">
        <v>7434</v>
      </c>
      <c r="J2341" s="1178" t="s">
        <v>662</v>
      </c>
      <c r="K2341" s="1178" t="s">
        <v>267</v>
      </c>
      <c r="L2341" s="1178" t="s">
        <v>242</v>
      </c>
      <c r="M2341" s="1369" t="s">
        <v>23297</v>
      </c>
      <c r="N2341" s="1178"/>
      <c r="O2341" s="1178">
        <v>12</v>
      </c>
      <c r="P2341" s="1178">
        <v>13.5</v>
      </c>
    </row>
    <row r="2342" spans="1:16">
      <c r="A2342" s="1178" t="s">
        <v>21157</v>
      </c>
      <c r="B2342" s="1371" t="str">
        <f>HYPERLINK(IFERROR("#Main_Tariff!A"&amp;MATCH(Raeburn_Main_Tariff[[#This Row],[Product Code]],Main_Tariff!I:I,0),"#Main_Tariff!A"&amp;MATCH("*"&amp;RIGHT(A2342,8)&amp;"*",Main_Tariff!A:A,0)),Raeburn_Main_Tariff[[#This Row],[PRODUCER]])</f>
        <v>Bernard Moreau</v>
      </c>
      <c r="C2342" s="1178" t="s">
        <v>21021</v>
      </c>
      <c r="D2342" s="1178" t="s">
        <v>897</v>
      </c>
      <c r="E2342" s="1179">
        <v>2013</v>
      </c>
      <c r="F2342" s="1282" t="s">
        <v>20220</v>
      </c>
      <c r="G2342" s="1368">
        <v>43</v>
      </c>
      <c r="H2342" s="1178" t="s">
        <v>20221</v>
      </c>
      <c r="I2342" s="1178" t="s">
        <v>7436</v>
      </c>
      <c r="J2342" s="1178" t="s">
        <v>662</v>
      </c>
      <c r="K2342" s="1178" t="s">
        <v>267</v>
      </c>
      <c r="L2342" s="1178" t="s">
        <v>242</v>
      </c>
      <c r="M2342" s="1369" t="s">
        <v>23297</v>
      </c>
      <c r="N2342" s="1178"/>
      <c r="O2342" s="1178">
        <v>12</v>
      </c>
      <c r="P2342" s="1178">
        <v>13.5</v>
      </c>
    </row>
    <row r="2343" spans="1:16">
      <c r="A2343" s="1178" t="s">
        <v>21157</v>
      </c>
      <c r="B2343" s="1371" t="str">
        <f>HYPERLINK(IFERROR("#Main_Tariff!A"&amp;MATCH(Raeburn_Main_Tariff[[#This Row],[Product Code]],Main_Tariff!I:I,0),"#Main_Tariff!A"&amp;MATCH("*"&amp;RIGHT(A2343,8)&amp;"*",Main_Tariff!A:A,0)),Raeburn_Main_Tariff[[#This Row],[PRODUCER]])</f>
        <v>Bernard Moreau</v>
      </c>
      <c r="C2343" s="1178" t="s">
        <v>21021</v>
      </c>
      <c r="D2343" s="1178" t="s">
        <v>897</v>
      </c>
      <c r="E2343" s="1179">
        <v>2011</v>
      </c>
      <c r="F2343" s="1282" t="s">
        <v>20220</v>
      </c>
      <c r="G2343" s="1368">
        <v>40</v>
      </c>
      <c r="H2343" s="1178" t="s">
        <v>20221</v>
      </c>
      <c r="I2343" s="1178" t="s">
        <v>7438</v>
      </c>
      <c r="J2343" s="1178" t="s">
        <v>662</v>
      </c>
      <c r="K2343" s="1178" t="s">
        <v>267</v>
      </c>
      <c r="L2343" s="1178" t="s">
        <v>242</v>
      </c>
      <c r="M2343" s="1369" t="s">
        <v>23297</v>
      </c>
      <c r="N2343" s="1178"/>
      <c r="O2343" s="1178">
        <v>12</v>
      </c>
      <c r="P2343" s="1178">
        <v>13.5</v>
      </c>
    </row>
    <row r="2344" spans="1:16">
      <c r="A2344" s="1178" t="s">
        <v>21157</v>
      </c>
      <c r="B2344" s="1371" t="str">
        <f>HYPERLINK(IFERROR("#Main_Tariff!A"&amp;MATCH(Raeburn_Main_Tariff[[#This Row],[Product Code]],Main_Tariff!I:I,0),"#Main_Tariff!A"&amp;MATCH("*"&amp;RIGHT(A2344,8)&amp;"*",Main_Tariff!A:A,0)),Raeburn_Main_Tariff[[#This Row],[PRODUCER]])</f>
        <v>Bernard Moreau</v>
      </c>
      <c r="C2344" s="1178" t="s">
        <v>7442</v>
      </c>
      <c r="D2344" s="1178" t="s">
        <v>1129</v>
      </c>
      <c r="E2344" s="1179">
        <v>2020</v>
      </c>
      <c r="F2344" s="1282" t="s">
        <v>20220</v>
      </c>
      <c r="G2344" s="1368"/>
      <c r="H2344" s="1178" t="s">
        <v>3907</v>
      </c>
      <c r="I2344" s="1178" t="s">
        <v>7443</v>
      </c>
      <c r="J2344" s="1178" t="s">
        <v>662</v>
      </c>
      <c r="K2344" s="1178" t="s">
        <v>267</v>
      </c>
      <c r="L2344" s="1178" t="s">
        <v>242</v>
      </c>
      <c r="M2344" s="1369" t="s">
        <v>23297</v>
      </c>
      <c r="N2344" s="1178"/>
      <c r="O2344" s="1178">
        <v>6</v>
      </c>
      <c r="P2344" s="1178">
        <v>13.5</v>
      </c>
    </row>
    <row r="2345" spans="1:16">
      <c r="A2345" s="1178" t="s">
        <v>21156</v>
      </c>
      <c r="B2345" s="1371" t="str">
        <f>HYPERLINK(IFERROR("#Main_Tariff!A"&amp;MATCH(Raeburn_Main_Tariff[[#This Row],[Product Code]],Main_Tariff!I:I,0),"#Main_Tariff!A"&amp;MATCH("*"&amp;RIGHT(A2345,8)&amp;"*",Main_Tariff!A:A,0)),Raeburn_Main_Tariff[[#This Row],[PRODUCER]])</f>
        <v>Alex Moreau</v>
      </c>
      <c r="C2345" s="1178" t="s">
        <v>21159</v>
      </c>
      <c r="D2345" s="1178" t="s">
        <v>1129</v>
      </c>
      <c r="E2345" s="1179">
        <v>2021</v>
      </c>
      <c r="F2345" s="1282" t="s">
        <v>20220</v>
      </c>
      <c r="G2345" s="1368" t="s">
        <v>5258</v>
      </c>
      <c r="H2345" s="1178" t="s">
        <v>20221</v>
      </c>
      <c r="I2345" s="1178" t="s">
        <v>7447</v>
      </c>
      <c r="J2345" s="1178" t="s">
        <v>662</v>
      </c>
      <c r="K2345" s="1178" t="s">
        <v>267</v>
      </c>
      <c r="L2345" s="1178" t="s">
        <v>242</v>
      </c>
      <c r="M2345" s="1369"/>
      <c r="N2345" s="1178"/>
      <c r="O2345" s="1178">
        <v>6</v>
      </c>
      <c r="P2345" s="1178">
        <v>13.5</v>
      </c>
    </row>
    <row r="2346" spans="1:16">
      <c r="A2346" s="1178" t="s">
        <v>21157</v>
      </c>
      <c r="B2346" s="1371" t="str">
        <f>HYPERLINK(IFERROR("#Main_Tariff!A"&amp;MATCH(Raeburn_Main_Tariff[[#This Row],[Product Code]],Main_Tariff!I:I,0),"#Main_Tariff!A"&amp;MATCH("*"&amp;RIGHT(A2346,8)&amp;"*",Main_Tariff!A:A,0)),Raeburn_Main_Tariff[[#This Row],[PRODUCER]])</f>
        <v>Bernard Moreau</v>
      </c>
      <c r="C2346" s="1178" t="s">
        <v>21159</v>
      </c>
      <c r="D2346" s="1178" t="s">
        <v>1129</v>
      </c>
      <c r="E2346" s="1179">
        <v>2020</v>
      </c>
      <c r="F2346" s="1282" t="s">
        <v>20220</v>
      </c>
      <c r="G2346" s="1368" t="s">
        <v>5258</v>
      </c>
      <c r="H2346" s="1178" t="s">
        <v>20224</v>
      </c>
      <c r="I2346" s="1178" t="s">
        <v>7448</v>
      </c>
      <c r="J2346" s="1178" t="s">
        <v>662</v>
      </c>
      <c r="K2346" s="1178" t="s">
        <v>267</v>
      </c>
      <c r="L2346" s="1178" t="s">
        <v>242</v>
      </c>
      <c r="M2346" s="1369"/>
      <c r="N2346" s="1178"/>
      <c r="O2346" s="1178">
        <v>6</v>
      </c>
      <c r="P2346" s="1178">
        <v>13.5</v>
      </c>
    </row>
    <row r="2347" spans="1:16">
      <c r="A2347" s="1178" t="s">
        <v>21156</v>
      </c>
      <c r="B2347" s="1371" t="str">
        <f>HYPERLINK(IFERROR("#Main_Tariff!A"&amp;MATCH(Raeburn_Main_Tariff[[#This Row],[Product Code]],Main_Tariff!I:I,0),"#Main_Tariff!A"&amp;MATCH("*"&amp;RIGHT(A2347,8)&amp;"*",Main_Tariff!A:A,0)),Raeburn_Main_Tariff[[#This Row],[PRODUCER]])</f>
        <v>Alex Moreau</v>
      </c>
      <c r="C2347" s="1178" t="s">
        <v>21160</v>
      </c>
      <c r="D2347" s="1178" t="s">
        <v>1129</v>
      </c>
      <c r="E2347" s="1179">
        <v>2022</v>
      </c>
      <c r="F2347" s="1282" t="s">
        <v>20220</v>
      </c>
      <c r="G2347" s="1368" t="s">
        <v>20342</v>
      </c>
      <c r="H2347" s="1178" t="s">
        <v>20343</v>
      </c>
      <c r="I2347" s="1178" t="s">
        <v>7452</v>
      </c>
      <c r="J2347" s="1178" t="s">
        <v>662</v>
      </c>
      <c r="K2347" s="1178" t="s">
        <v>267</v>
      </c>
      <c r="L2347" s="1178" t="s">
        <v>242</v>
      </c>
      <c r="M2347" s="1369" t="s">
        <v>23297</v>
      </c>
      <c r="N2347" s="1178"/>
      <c r="O2347" s="1178">
        <v>6</v>
      </c>
      <c r="P2347" s="1178">
        <v>0</v>
      </c>
    </row>
    <row r="2348" spans="1:16">
      <c r="A2348" s="1178" t="s">
        <v>21156</v>
      </c>
      <c r="B2348" s="1371" t="str">
        <f>HYPERLINK(IFERROR("#Main_Tariff!A"&amp;MATCH(Raeburn_Main_Tariff[[#This Row],[Product Code]],Main_Tariff!I:I,0),"#Main_Tariff!A"&amp;MATCH("*"&amp;RIGHT(A2348,8)&amp;"*",Main_Tariff!A:A,0)),Raeburn_Main_Tariff[[#This Row],[PRODUCER]])</f>
        <v>Alex Moreau</v>
      </c>
      <c r="C2348" s="1178" t="s">
        <v>21161</v>
      </c>
      <c r="D2348" s="1178" t="s">
        <v>1129</v>
      </c>
      <c r="E2348" s="1179"/>
      <c r="F2348" s="1282" t="s">
        <v>20220</v>
      </c>
      <c r="G2348" s="1368"/>
      <c r="H2348" s="1178" t="s">
        <v>3907</v>
      </c>
      <c r="I2348" s="1178" t="s">
        <v>7454</v>
      </c>
      <c r="J2348" s="1178" t="s">
        <v>662</v>
      </c>
      <c r="K2348" s="1178" t="s">
        <v>267</v>
      </c>
      <c r="L2348" s="1178" t="s">
        <v>242</v>
      </c>
      <c r="M2348" s="1369" t="s">
        <v>23297</v>
      </c>
      <c r="N2348" s="1178"/>
      <c r="O2348" s="1178">
        <v>6</v>
      </c>
      <c r="P2348" s="1178">
        <v>13.5</v>
      </c>
    </row>
    <row r="2349" spans="1:16">
      <c r="A2349" s="1178" t="s">
        <v>21156</v>
      </c>
      <c r="B2349" s="1371" t="str">
        <f>HYPERLINK(IFERROR("#Main_Tariff!A"&amp;MATCH(Raeburn_Main_Tariff[[#This Row],[Product Code]],Main_Tariff!I:I,0),"#Main_Tariff!A"&amp;MATCH("*"&amp;RIGHT(A2349,8)&amp;"*",Main_Tariff!A:A,0)),Raeburn_Main_Tariff[[#This Row],[PRODUCER]])</f>
        <v>Alex Moreau</v>
      </c>
      <c r="C2349" s="1178" t="s">
        <v>21162</v>
      </c>
      <c r="D2349" s="1178" t="s">
        <v>1129</v>
      </c>
      <c r="E2349" s="1179">
        <v>2020</v>
      </c>
      <c r="F2349" s="1282" t="s">
        <v>20220</v>
      </c>
      <c r="G2349" s="1368" t="s">
        <v>5258</v>
      </c>
      <c r="H2349" s="1178" t="s">
        <v>20224</v>
      </c>
      <c r="I2349" s="1178" t="s">
        <v>7456</v>
      </c>
      <c r="J2349" s="1178" t="s">
        <v>662</v>
      </c>
      <c r="K2349" s="1178" t="s">
        <v>267</v>
      </c>
      <c r="L2349" s="1178" t="s">
        <v>242</v>
      </c>
      <c r="M2349" s="1369" t="s">
        <v>23297</v>
      </c>
      <c r="N2349" s="1178"/>
      <c r="O2349" s="1178">
        <v>6</v>
      </c>
      <c r="P2349" s="1178">
        <v>13.5</v>
      </c>
    </row>
    <row r="2350" spans="1:16">
      <c r="A2350" s="1178" t="s">
        <v>21156</v>
      </c>
      <c r="B2350" s="1371" t="str">
        <f>HYPERLINK(IFERROR("#Main_Tariff!A"&amp;MATCH(Raeburn_Main_Tariff[[#This Row],[Product Code]],Main_Tariff!I:I,0),"#Main_Tariff!A"&amp;MATCH("*"&amp;RIGHT(A2350,8)&amp;"*",Main_Tariff!A:A,0)),Raeburn_Main_Tariff[[#This Row],[PRODUCER]])</f>
        <v>Alex Moreau</v>
      </c>
      <c r="C2350" s="1178" t="s">
        <v>21163</v>
      </c>
      <c r="D2350" s="1178" t="s">
        <v>1129</v>
      </c>
      <c r="E2350" s="1179">
        <v>2021</v>
      </c>
      <c r="F2350" s="1282" t="s">
        <v>20220</v>
      </c>
      <c r="G2350" s="1368" t="s">
        <v>5258</v>
      </c>
      <c r="H2350" s="1178" t="s">
        <v>20224</v>
      </c>
      <c r="I2350" s="1178" t="s">
        <v>7457</v>
      </c>
      <c r="J2350" s="1178" t="s">
        <v>662</v>
      </c>
      <c r="K2350" s="1178" t="s">
        <v>267</v>
      </c>
      <c r="L2350" s="1178" t="s">
        <v>242</v>
      </c>
      <c r="M2350" s="1369" t="s">
        <v>23297</v>
      </c>
      <c r="N2350" s="1178"/>
      <c r="O2350" s="1178">
        <v>3</v>
      </c>
      <c r="P2350" s="1178">
        <v>13.5</v>
      </c>
    </row>
    <row r="2351" spans="1:16">
      <c r="A2351" s="1178" t="s">
        <v>21156</v>
      </c>
      <c r="B2351" s="1371" t="str">
        <f>HYPERLINK(IFERROR("#Main_Tariff!A"&amp;MATCH(Raeburn_Main_Tariff[[#This Row],[Product Code]],Main_Tariff!I:I,0),"#Main_Tariff!A"&amp;MATCH("*"&amp;RIGHT(A2351,8)&amp;"*",Main_Tariff!A:A,0)),Raeburn_Main_Tariff[[#This Row],[PRODUCER]])</f>
        <v>Alex Moreau</v>
      </c>
      <c r="C2351" s="1178" t="s">
        <v>21038</v>
      </c>
      <c r="D2351" s="1178" t="s">
        <v>1129</v>
      </c>
      <c r="E2351" s="1179"/>
      <c r="F2351" s="1282" t="s">
        <v>20220</v>
      </c>
      <c r="G2351" s="1368"/>
      <c r="H2351" s="1178" t="s">
        <v>3907</v>
      </c>
      <c r="I2351" s="1178" t="s">
        <v>7459</v>
      </c>
      <c r="J2351" s="1178" t="s">
        <v>662</v>
      </c>
      <c r="K2351" s="1178" t="s">
        <v>267</v>
      </c>
      <c r="L2351" s="1178" t="s">
        <v>242</v>
      </c>
      <c r="M2351" s="1369" t="s">
        <v>23296</v>
      </c>
      <c r="N2351" s="1178"/>
      <c r="O2351" s="1178">
        <v>3</v>
      </c>
      <c r="P2351" s="1178">
        <v>0</v>
      </c>
    </row>
    <row r="2352" spans="1:16">
      <c r="A2352" s="1178" t="s">
        <v>21156</v>
      </c>
      <c r="B2352" s="1371" t="str">
        <f>HYPERLINK(IFERROR("#Main_Tariff!A"&amp;MATCH(Raeburn_Main_Tariff[[#This Row],[Product Code]],Main_Tariff!I:I,0),"#Main_Tariff!A"&amp;MATCH("*"&amp;RIGHT(A2352,8)&amp;"*",Main_Tariff!A:A,0)),Raeburn_Main_Tariff[[#This Row],[PRODUCER]])</f>
        <v>Alex Moreau</v>
      </c>
      <c r="C2352" s="1178" t="s">
        <v>21164</v>
      </c>
      <c r="D2352" s="1178" t="s">
        <v>1129</v>
      </c>
      <c r="E2352" s="1179"/>
      <c r="F2352" s="1282" t="s">
        <v>20220</v>
      </c>
      <c r="G2352" s="1368"/>
      <c r="H2352" s="1178" t="s">
        <v>3907</v>
      </c>
      <c r="I2352" s="1178" t="s">
        <v>7460</v>
      </c>
      <c r="J2352" s="1178" t="s">
        <v>662</v>
      </c>
      <c r="K2352" s="1178" t="s">
        <v>267</v>
      </c>
      <c r="L2352" s="1178" t="s">
        <v>242</v>
      </c>
      <c r="M2352" s="1369" t="s">
        <v>23296</v>
      </c>
      <c r="N2352" s="1178"/>
      <c r="O2352" s="1178">
        <v>3</v>
      </c>
      <c r="P2352" s="1178">
        <v>13.5</v>
      </c>
    </row>
    <row r="2353" spans="1:16">
      <c r="A2353" s="1178" t="s">
        <v>21165</v>
      </c>
      <c r="B2353" s="1371" t="str">
        <f>HYPERLINK(IFERROR("#Main_Tariff!A"&amp;MATCH(Raeburn_Main_Tariff[[#This Row],[Product Code]],Main_Tariff!I:I,0),"#Main_Tariff!A"&amp;MATCH("*"&amp;RIGHT(A2353,8)&amp;"*",Main_Tariff!A:A,0)),Raeburn_Main_Tariff[[#This Row],[PRODUCER]])</f>
        <v>Clos du Moulin aux Moines</v>
      </c>
      <c r="C2353" s="1178" t="s">
        <v>21166</v>
      </c>
      <c r="D2353" s="1178" t="s">
        <v>1129</v>
      </c>
      <c r="E2353" s="1179">
        <v>2022</v>
      </c>
      <c r="F2353" s="1282" t="s">
        <v>20220</v>
      </c>
      <c r="G2353" s="1368">
        <v>24.75</v>
      </c>
      <c r="H2353" s="1178" t="s">
        <v>20221</v>
      </c>
      <c r="I2353" s="1178" t="s">
        <v>7465</v>
      </c>
      <c r="J2353" s="1178" t="s">
        <v>662</v>
      </c>
      <c r="K2353" s="1178" t="s">
        <v>267</v>
      </c>
      <c r="L2353" s="1178" t="s">
        <v>242</v>
      </c>
      <c r="M2353" s="1369"/>
      <c r="N2353" s="1178" t="s">
        <v>20244</v>
      </c>
      <c r="O2353" s="1178">
        <v>6</v>
      </c>
      <c r="P2353" s="1178">
        <v>12.5</v>
      </c>
    </row>
    <row r="2354" spans="1:16">
      <c r="A2354" s="1178" t="s">
        <v>21165</v>
      </c>
      <c r="B2354" s="1371" t="str">
        <f>HYPERLINK(IFERROR("#Main_Tariff!A"&amp;MATCH(Raeburn_Main_Tariff[[#This Row],[Product Code]],Main_Tariff!I:I,0),"#Main_Tariff!A"&amp;MATCH("*"&amp;RIGHT(A2354,8)&amp;"*",Main_Tariff!A:A,0)),Raeburn_Main_Tariff[[#This Row],[PRODUCER]])</f>
        <v>Clos du Moulin aux Moines</v>
      </c>
      <c r="C2354" s="1178" t="s">
        <v>18923</v>
      </c>
      <c r="D2354" s="1178" t="s">
        <v>1129</v>
      </c>
      <c r="E2354" s="1179">
        <v>2015</v>
      </c>
      <c r="F2354" s="1282" t="s">
        <v>20220</v>
      </c>
      <c r="G2354" s="1368">
        <v>25.5</v>
      </c>
      <c r="H2354" s="1178" t="s">
        <v>20221</v>
      </c>
      <c r="I2354" s="1178" t="s">
        <v>7467</v>
      </c>
      <c r="J2354" s="1178" t="s">
        <v>662</v>
      </c>
      <c r="K2354" s="1178" t="s">
        <v>267</v>
      </c>
      <c r="L2354" s="1178" t="s">
        <v>242</v>
      </c>
      <c r="M2354" s="1369"/>
      <c r="N2354" s="1178" t="s">
        <v>20244</v>
      </c>
      <c r="O2354" s="1178">
        <v>6</v>
      </c>
      <c r="P2354" s="1178">
        <v>13.5</v>
      </c>
    </row>
    <row r="2355" spans="1:16">
      <c r="A2355" s="1178" t="s">
        <v>21165</v>
      </c>
      <c r="B2355" s="1371" t="str">
        <f>HYPERLINK(IFERROR("#Main_Tariff!A"&amp;MATCH(Raeburn_Main_Tariff[[#This Row],[Product Code]],Main_Tariff!I:I,0),"#Main_Tariff!A"&amp;MATCH("*"&amp;RIGHT(A2355,8)&amp;"*",Main_Tariff!A:A,0)),Raeburn_Main_Tariff[[#This Row],[PRODUCER]])</f>
        <v>Clos du Moulin aux Moines</v>
      </c>
      <c r="C2355" s="1178" t="s">
        <v>21167</v>
      </c>
      <c r="D2355" s="1178" t="s">
        <v>1129</v>
      </c>
      <c r="E2355" s="1179">
        <v>2019</v>
      </c>
      <c r="F2355" s="1282" t="s">
        <v>20220</v>
      </c>
      <c r="G2355" s="1368">
        <v>29</v>
      </c>
      <c r="H2355" s="1178" t="s">
        <v>20221</v>
      </c>
      <c r="I2355" s="1178" t="s">
        <v>7469</v>
      </c>
      <c r="J2355" s="1178" t="s">
        <v>662</v>
      </c>
      <c r="K2355" s="1178" t="s">
        <v>267</v>
      </c>
      <c r="L2355" s="1178" t="s">
        <v>242</v>
      </c>
      <c r="M2355" s="1369"/>
      <c r="N2355" s="1178" t="s">
        <v>20244</v>
      </c>
      <c r="O2355" s="1178">
        <v>6</v>
      </c>
      <c r="P2355" s="1178">
        <v>13</v>
      </c>
    </row>
    <row r="2356" spans="1:16">
      <c r="A2356" s="1178" t="s">
        <v>21165</v>
      </c>
      <c r="B2356" s="1371" t="str">
        <f>HYPERLINK(IFERROR("#Main_Tariff!A"&amp;MATCH(Raeburn_Main_Tariff[[#This Row],[Product Code]],Main_Tariff!I:I,0),"#Main_Tariff!A"&amp;MATCH("*"&amp;RIGHT(A2356,8)&amp;"*",Main_Tariff!A:A,0)),Raeburn_Main_Tariff[[#This Row],[PRODUCER]])</f>
        <v>Clos du Moulin aux Moines</v>
      </c>
      <c r="C2356" s="1178" t="s">
        <v>21167</v>
      </c>
      <c r="D2356" s="1178" t="s">
        <v>1129</v>
      </c>
      <c r="E2356" s="1179">
        <v>2017</v>
      </c>
      <c r="F2356" s="1282" t="s">
        <v>20220</v>
      </c>
      <c r="G2356" s="1368">
        <v>28</v>
      </c>
      <c r="H2356" s="1178" t="s">
        <v>20221</v>
      </c>
      <c r="I2356" s="1178" t="s">
        <v>7471</v>
      </c>
      <c r="J2356" s="1178" t="s">
        <v>662</v>
      </c>
      <c r="K2356" s="1178" t="s">
        <v>267</v>
      </c>
      <c r="L2356" s="1178" t="s">
        <v>242</v>
      </c>
      <c r="M2356" s="1369"/>
      <c r="N2356" s="1178" t="s">
        <v>20244</v>
      </c>
      <c r="O2356" s="1178">
        <v>6</v>
      </c>
      <c r="P2356" s="1178">
        <v>13</v>
      </c>
    </row>
    <row r="2357" spans="1:16">
      <c r="A2357" s="1178" t="s">
        <v>21165</v>
      </c>
      <c r="B2357" s="1371" t="str">
        <f>HYPERLINK(IFERROR("#Main_Tariff!A"&amp;MATCH(Raeburn_Main_Tariff[[#This Row],[Product Code]],Main_Tariff!I:I,0),"#Main_Tariff!A"&amp;MATCH("*"&amp;RIGHT(A2357,8)&amp;"*",Main_Tariff!A:A,0)),Raeburn_Main_Tariff[[#This Row],[PRODUCER]])</f>
        <v>Clos du Moulin aux Moines</v>
      </c>
      <c r="C2357" s="1178" t="s">
        <v>21167</v>
      </c>
      <c r="D2357" s="1178" t="s">
        <v>1129</v>
      </c>
      <c r="E2357" s="1179">
        <v>2013</v>
      </c>
      <c r="F2357" s="1282" t="s">
        <v>20220</v>
      </c>
      <c r="G2357" s="1368">
        <v>28</v>
      </c>
      <c r="H2357" s="1178" t="s">
        <v>20224</v>
      </c>
      <c r="I2357" s="1178" t="s">
        <v>7472</v>
      </c>
      <c r="J2357" s="1178" t="s">
        <v>662</v>
      </c>
      <c r="K2357" s="1178" t="s">
        <v>267</v>
      </c>
      <c r="L2357" s="1178" t="s">
        <v>242</v>
      </c>
      <c r="M2357" s="1369"/>
      <c r="N2357" s="1178"/>
      <c r="O2357" s="1178">
        <v>6</v>
      </c>
      <c r="P2357" s="1178">
        <v>13</v>
      </c>
    </row>
    <row r="2358" spans="1:16">
      <c r="A2358" s="1178" t="s">
        <v>21165</v>
      </c>
      <c r="B2358" s="1371" t="str">
        <f>HYPERLINK(IFERROR("#Main_Tariff!A"&amp;MATCH(Raeburn_Main_Tariff[[#This Row],[Product Code]],Main_Tariff!I:I,0),"#Main_Tariff!A"&amp;MATCH("*"&amp;RIGHT(A2358,8)&amp;"*",Main_Tariff!A:A,0)),Raeburn_Main_Tariff[[#This Row],[PRODUCER]])</f>
        <v>Clos du Moulin aux Moines</v>
      </c>
      <c r="C2358" s="1178" t="s">
        <v>21168</v>
      </c>
      <c r="D2358" s="1178" t="s">
        <v>1129</v>
      </c>
      <c r="E2358" s="1179">
        <v>2019</v>
      </c>
      <c r="F2358" s="1282" t="s">
        <v>20220</v>
      </c>
      <c r="G2358" s="1368">
        <v>28</v>
      </c>
      <c r="H2358" s="1178" t="s">
        <v>20221</v>
      </c>
      <c r="I2358" s="1178" t="s">
        <v>7474</v>
      </c>
      <c r="J2358" s="1178" t="s">
        <v>662</v>
      </c>
      <c r="K2358" s="1178" t="s">
        <v>267</v>
      </c>
      <c r="L2358" s="1178" t="s">
        <v>242</v>
      </c>
      <c r="M2358" s="1369"/>
      <c r="N2358" s="1178" t="s">
        <v>20244</v>
      </c>
      <c r="O2358" s="1178">
        <v>6</v>
      </c>
      <c r="P2358" s="1178">
        <v>13</v>
      </c>
    </row>
    <row r="2359" spans="1:16">
      <c r="A2359" s="1178" t="s">
        <v>21165</v>
      </c>
      <c r="B2359" s="1371" t="str">
        <f>HYPERLINK(IFERROR("#Main_Tariff!A"&amp;MATCH(Raeburn_Main_Tariff[[#This Row],[Product Code]],Main_Tariff!I:I,0),"#Main_Tariff!A"&amp;MATCH("*"&amp;RIGHT(A2359,8)&amp;"*",Main_Tariff!A:A,0)),Raeburn_Main_Tariff[[#This Row],[PRODUCER]])</f>
        <v>Clos du Moulin aux Moines</v>
      </c>
      <c r="C2359" s="1178" t="s">
        <v>21168</v>
      </c>
      <c r="D2359" s="1178" t="s">
        <v>1129</v>
      </c>
      <c r="E2359" s="1179">
        <v>2018</v>
      </c>
      <c r="F2359" s="1282" t="s">
        <v>20220</v>
      </c>
      <c r="G2359" s="1368">
        <v>27</v>
      </c>
      <c r="H2359" s="1178" t="s">
        <v>20221</v>
      </c>
      <c r="I2359" s="1178" t="s">
        <v>7476</v>
      </c>
      <c r="J2359" s="1178" t="s">
        <v>662</v>
      </c>
      <c r="K2359" s="1178" t="s">
        <v>267</v>
      </c>
      <c r="L2359" s="1178" t="s">
        <v>242</v>
      </c>
      <c r="M2359" s="1369"/>
      <c r="N2359" s="1178" t="s">
        <v>20244</v>
      </c>
      <c r="O2359" s="1178">
        <v>6</v>
      </c>
      <c r="P2359" s="1178">
        <v>12.5</v>
      </c>
    </row>
    <row r="2360" spans="1:16">
      <c r="A2360" s="1178" t="s">
        <v>21165</v>
      </c>
      <c r="B2360" s="1371" t="str">
        <f>HYPERLINK(IFERROR("#Main_Tariff!A"&amp;MATCH(Raeburn_Main_Tariff[[#This Row],[Product Code]],Main_Tariff!I:I,0),"#Main_Tariff!A"&amp;MATCH("*"&amp;RIGHT(A2360,8)&amp;"*",Main_Tariff!A:A,0)),Raeburn_Main_Tariff[[#This Row],[PRODUCER]])</f>
        <v>Clos du Moulin aux Moines</v>
      </c>
      <c r="C2360" s="1178" t="s">
        <v>21168</v>
      </c>
      <c r="D2360" s="1178" t="s">
        <v>1129</v>
      </c>
      <c r="E2360" s="1179">
        <v>2015</v>
      </c>
      <c r="F2360" s="1282" t="s">
        <v>20220</v>
      </c>
      <c r="G2360" s="1368">
        <v>27</v>
      </c>
      <c r="H2360" s="1178" t="s">
        <v>20221</v>
      </c>
      <c r="I2360" s="1178" t="s">
        <v>7478</v>
      </c>
      <c r="J2360" s="1178" t="s">
        <v>662</v>
      </c>
      <c r="K2360" s="1178" t="s">
        <v>267</v>
      </c>
      <c r="L2360" s="1178" t="s">
        <v>242</v>
      </c>
      <c r="M2360" s="1369"/>
      <c r="N2360" s="1178" t="s">
        <v>20244</v>
      </c>
      <c r="O2360" s="1178">
        <v>6</v>
      </c>
      <c r="P2360" s="1178">
        <v>13.5</v>
      </c>
    </row>
    <row r="2361" spans="1:16">
      <c r="A2361" s="1178" t="s">
        <v>21165</v>
      </c>
      <c r="B2361" s="1371" t="str">
        <f>HYPERLINK(IFERROR("#Main_Tariff!A"&amp;MATCH(Raeburn_Main_Tariff[[#This Row],[Product Code]],Main_Tariff!I:I,0),"#Main_Tariff!A"&amp;MATCH("*"&amp;RIGHT(A2361,8)&amp;"*",Main_Tariff!A:A,0)),Raeburn_Main_Tariff[[#This Row],[PRODUCER]])</f>
        <v>Clos du Moulin aux Moines</v>
      </c>
      <c r="C2361" s="1178" t="s">
        <v>21169</v>
      </c>
      <c r="D2361" s="1178" t="s">
        <v>1129</v>
      </c>
      <c r="E2361" s="1179"/>
      <c r="F2361" s="1282" t="s">
        <v>20220</v>
      </c>
      <c r="G2361" s="1368"/>
      <c r="H2361" s="1178" t="s">
        <v>3907</v>
      </c>
      <c r="I2361" s="1178" t="s">
        <v>7480</v>
      </c>
      <c r="J2361" s="1178" t="s">
        <v>662</v>
      </c>
      <c r="K2361" s="1178" t="s">
        <v>267</v>
      </c>
      <c r="L2361" s="1178" t="s">
        <v>242</v>
      </c>
      <c r="M2361" s="1369"/>
      <c r="N2361" s="1178"/>
      <c r="O2361" s="1178">
        <v>6</v>
      </c>
      <c r="P2361" s="1178">
        <v>12</v>
      </c>
    </row>
    <row r="2362" spans="1:16">
      <c r="A2362" s="1178" t="s">
        <v>21165</v>
      </c>
      <c r="B2362" s="1371" t="str">
        <f>HYPERLINK(IFERROR("#Main_Tariff!A"&amp;MATCH(Raeburn_Main_Tariff[[#This Row],[Product Code]],Main_Tariff!I:I,0),"#Main_Tariff!A"&amp;MATCH("*"&amp;RIGHT(A2362,8)&amp;"*",Main_Tariff!A:A,0)),Raeburn_Main_Tariff[[#This Row],[PRODUCER]])</f>
        <v>Clos du Moulin aux Moines</v>
      </c>
      <c r="C2362" s="1178" t="s">
        <v>21170</v>
      </c>
      <c r="D2362" s="1178" t="s">
        <v>1129</v>
      </c>
      <c r="E2362" s="1179"/>
      <c r="F2362" s="1282" t="s">
        <v>20220</v>
      </c>
      <c r="G2362" s="1368"/>
      <c r="H2362" s="1178" t="s">
        <v>3907</v>
      </c>
      <c r="I2362" s="1178" t="s">
        <v>7482</v>
      </c>
      <c r="J2362" s="1178" t="s">
        <v>662</v>
      </c>
      <c r="K2362" s="1178" t="s">
        <v>267</v>
      </c>
      <c r="L2362" s="1178" t="s">
        <v>242</v>
      </c>
      <c r="M2362" s="1369"/>
      <c r="N2362" s="1178"/>
      <c r="O2362" s="1178">
        <v>6</v>
      </c>
      <c r="P2362" s="1178">
        <v>13</v>
      </c>
    </row>
    <row r="2363" spans="1:16">
      <c r="A2363" s="1178" t="s">
        <v>21165</v>
      </c>
      <c r="B2363" s="1371" t="str">
        <f>HYPERLINK(IFERROR("#Main_Tariff!A"&amp;MATCH(Raeburn_Main_Tariff[[#This Row],[Product Code]],Main_Tariff!I:I,0),"#Main_Tariff!A"&amp;MATCH("*"&amp;RIGHT(A2363,8)&amp;"*",Main_Tariff!A:A,0)),Raeburn_Main_Tariff[[#This Row],[PRODUCER]])</f>
        <v>Clos du Moulin aux Moines</v>
      </c>
      <c r="C2363" s="1178" t="s">
        <v>21171</v>
      </c>
      <c r="D2363" s="1178" t="s">
        <v>1129</v>
      </c>
      <c r="E2363" s="1179">
        <v>2022</v>
      </c>
      <c r="F2363" s="1282" t="s">
        <v>20220</v>
      </c>
      <c r="G2363" s="1368">
        <v>35.5</v>
      </c>
      <c r="H2363" s="1178" t="s">
        <v>20221</v>
      </c>
      <c r="I2363" s="1178" t="s">
        <v>6283</v>
      </c>
      <c r="J2363" s="1178" t="s">
        <v>662</v>
      </c>
      <c r="K2363" s="1178" t="s">
        <v>267</v>
      </c>
      <c r="L2363" s="1178" t="s">
        <v>242</v>
      </c>
      <c r="M2363" s="1369"/>
      <c r="N2363" s="1178" t="s">
        <v>20244</v>
      </c>
      <c r="O2363" s="1178">
        <v>6</v>
      </c>
      <c r="P2363" s="1178">
        <v>12.5</v>
      </c>
    </row>
    <row r="2364" spans="1:16">
      <c r="A2364" s="1178" t="s">
        <v>21165</v>
      </c>
      <c r="B2364" s="1371" t="str">
        <f>HYPERLINK(IFERROR("#Main_Tariff!A"&amp;MATCH(Raeburn_Main_Tariff[[#This Row],[Product Code]],Main_Tariff!I:I,0),"#Main_Tariff!A"&amp;MATCH("*"&amp;RIGHT(A2364,8)&amp;"*",Main_Tariff!A:A,0)),Raeburn_Main_Tariff[[#This Row],[PRODUCER]])</f>
        <v>Clos du Moulin aux Moines</v>
      </c>
      <c r="C2364" s="1178" t="s">
        <v>21171</v>
      </c>
      <c r="D2364" s="1178" t="s">
        <v>1129</v>
      </c>
      <c r="E2364" s="1179">
        <v>2020</v>
      </c>
      <c r="F2364" s="1282" t="s">
        <v>20220</v>
      </c>
      <c r="G2364" s="1368">
        <v>32.5</v>
      </c>
      <c r="H2364" s="1178" t="s">
        <v>20221</v>
      </c>
      <c r="I2364" s="1178" t="s">
        <v>6284</v>
      </c>
      <c r="J2364" s="1178" t="s">
        <v>662</v>
      </c>
      <c r="K2364" s="1178" t="s">
        <v>267</v>
      </c>
      <c r="L2364" s="1178" t="s">
        <v>242</v>
      </c>
      <c r="M2364" s="1369"/>
      <c r="N2364" s="1178" t="s">
        <v>20244</v>
      </c>
      <c r="O2364" s="1178">
        <v>6</v>
      </c>
      <c r="P2364" s="1178">
        <v>12.5</v>
      </c>
    </row>
    <row r="2365" spans="1:16">
      <c r="A2365" s="1178" t="s">
        <v>21165</v>
      </c>
      <c r="B2365" s="1371" t="str">
        <f>HYPERLINK(IFERROR("#Main_Tariff!A"&amp;MATCH(Raeburn_Main_Tariff[[#This Row],[Product Code]],Main_Tariff!I:I,0),"#Main_Tariff!A"&amp;MATCH("*"&amp;RIGHT(A2365,8)&amp;"*",Main_Tariff!A:A,0)),Raeburn_Main_Tariff[[#This Row],[PRODUCER]])</f>
        <v>Clos du Moulin aux Moines</v>
      </c>
      <c r="C2365" s="1178" t="s">
        <v>21171</v>
      </c>
      <c r="D2365" s="1178" t="s">
        <v>1129</v>
      </c>
      <c r="E2365" s="1179">
        <v>2018</v>
      </c>
      <c r="F2365" s="1282" t="s">
        <v>20220</v>
      </c>
      <c r="G2365" s="1368">
        <v>32</v>
      </c>
      <c r="H2365" s="1178" t="s">
        <v>20277</v>
      </c>
      <c r="I2365" s="1178" t="s">
        <v>7488</v>
      </c>
      <c r="J2365" s="1178" t="s">
        <v>662</v>
      </c>
      <c r="K2365" s="1178" t="s">
        <v>267</v>
      </c>
      <c r="L2365" s="1178" t="s">
        <v>242</v>
      </c>
      <c r="M2365" s="1369"/>
      <c r="N2365" s="1178" t="s">
        <v>20244</v>
      </c>
      <c r="O2365" s="1178">
        <v>6</v>
      </c>
      <c r="P2365" s="1178">
        <v>12</v>
      </c>
    </row>
    <row r="2366" spans="1:16">
      <c r="A2366" s="1178" t="s">
        <v>21165</v>
      </c>
      <c r="B2366" s="1371" t="str">
        <f>HYPERLINK(IFERROR("#Main_Tariff!A"&amp;MATCH(Raeburn_Main_Tariff[[#This Row],[Product Code]],Main_Tariff!I:I,0),"#Main_Tariff!A"&amp;MATCH("*"&amp;RIGHT(A2366,8)&amp;"*",Main_Tariff!A:A,0)),Raeburn_Main_Tariff[[#This Row],[PRODUCER]])</f>
        <v>Clos du Moulin aux Moines</v>
      </c>
      <c r="C2366" s="1178" t="s">
        <v>21172</v>
      </c>
      <c r="D2366" s="1178" t="s">
        <v>1129</v>
      </c>
      <c r="E2366" s="1179">
        <v>2022</v>
      </c>
      <c r="F2366" s="1282" t="s">
        <v>20220</v>
      </c>
      <c r="G2366" s="1368">
        <v>46</v>
      </c>
      <c r="H2366" s="1178" t="s">
        <v>20221</v>
      </c>
      <c r="I2366" s="1178" t="s">
        <v>7491</v>
      </c>
      <c r="J2366" s="1178" t="s">
        <v>662</v>
      </c>
      <c r="K2366" s="1178" t="s">
        <v>267</v>
      </c>
      <c r="L2366" s="1178" t="s">
        <v>242</v>
      </c>
      <c r="M2366" s="1369" t="s">
        <v>23297</v>
      </c>
      <c r="N2366" s="1178"/>
      <c r="O2366" s="1178">
        <v>6</v>
      </c>
      <c r="P2366" s="1178">
        <v>12.5</v>
      </c>
    </row>
    <row r="2367" spans="1:16">
      <c r="A2367" s="1178" t="s">
        <v>21165</v>
      </c>
      <c r="B2367" s="1371" t="str">
        <f>HYPERLINK(IFERROR("#Main_Tariff!A"&amp;MATCH(Raeburn_Main_Tariff[[#This Row],[Product Code]],Main_Tariff!I:I,0),"#Main_Tariff!A"&amp;MATCH("*"&amp;RIGHT(A2367,8)&amp;"*",Main_Tariff!A:A,0)),Raeburn_Main_Tariff[[#This Row],[PRODUCER]])</f>
        <v>Clos du Moulin aux Moines</v>
      </c>
      <c r="C2367" s="1178" t="s">
        <v>21173</v>
      </c>
      <c r="D2367" s="1178" t="s">
        <v>1129</v>
      </c>
      <c r="E2367" s="1179">
        <v>2022</v>
      </c>
      <c r="F2367" s="1282" t="s">
        <v>20220</v>
      </c>
      <c r="G2367" s="1368">
        <v>97</v>
      </c>
      <c r="H2367" s="1178" t="s">
        <v>20224</v>
      </c>
      <c r="I2367" s="1178" t="s">
        <v>7493</v>
      </c>
      <c r="J2367" s="1178" t="s">
        <v>662</v>
      </c>
      <c r="K2367" s="1178" t="s">
        <v>267</v>
      </c>
      <c r="L2367" s="1178" t="s">
        <v>242</v>
      </c>
      <c r="M2367" s="1369" t="s">
        <v>23297</v>
      </c>
      <c r="N2367" s="1178"/>
      <c r="O2367" s="1178">
        <v>6</v>
      </c>
      <c r="P2367" s="1178">
        <v>13</v>
      </c>
    </row>
    <row r="2368" spans="1:16">
      <c r="A2368" s="1178" t="s">
        <v>21165</v>
      </c>
      <c r="B2368" s="1371" t="str">
        <f>HYPERLINK(IFERROR("#Main_Tariff!A"&amp;MATCH(Raeburn_Main_Tariff[[#This Row],[Product Code]],Main_Tariff!I:I,0),"#Main_Tariff!A"&amp;MATCH("*"&amp;RIGHT(A2368,8)&amp;"*",Main_Tariff!A:A,0)),Raeburn_Main_Tariff[[#This Row],[PRODUCER]])</f>
        <v>Clos du Moulin aux Moines</v>
      </c>
      <c r="C2368" s="1178" t="s">
        <v>21110</v>
      </c>
      <c r="D2368" s="1178" t="s">
        <v>1129</v>
      </c>
      <c r="E2368" s="1179">
        <v>2022</v>
      </c>
      <c r="F2368" s="1282" t="s">
        <v>20220</v>
      </c>
      <c r="G2368" s="1368">
        <v>109</v>
      </c>
      <c r="H2368" s="1178" t="s">
        <v>20221</v>
      </c>
      <c r="I2368" s="1178" t="s">
        <v>7495</v>
      </c>
      <c r="J2368" s="1178" t="s">
        <v>662</v>
      </c>
      <c r="K2368" s="1178" t="s">
        <v>267</v>
      </c>
      <c r="L2368" s="1178" t="s">
        <v>242</v>
      </c>
      <c r="M2368" s="1369" t="s">
        <v>23297</v>
      </c>
      <c r="N2368" s="1178"/>
      <c r="O2368" s="1178">
        <v>6</v>
      </c>
      <c r="P2368" s="1178">
        <v>13</v>
      </c>
    </row>
    <row r="2369" spans="1:16">
      <c r="A2369" s="1178" t="s">
        <v>21165</v>
      </c>
      <c r="B2369" s="1371" t="str">
        <f>HYPERLINK(IFERROR("#Main_Tariff!A"&amp;MATCH(Raeburn_Main_Tariff[[#This Row],[Product Code]],Main_Tariff!I:I,0),"#Main_Tariff!A"&amp;MATCH("*"&amp;RIGHT(A2369,8)&amp;"*",Main_Tariff!A:A,0)),Raeburn_Main_Tariff[[#This Row],[PRODUCER]])</f>
        <v>Clos du Moulin aux Moines</v>
      </c>
      <c r="C2369" s="1178" t="s">
        <v>21174</v>
      </c>
      <c r="D2369" s="1178" t="s">
        <v>897</v>
      </c>
      <c r="E2369" s="1179">
        <v>2018</v>
      </c>
      <c r="F2369" s="1282" t="s">
        <v>20220</v>
      </c>
      <c r="G2369" s="1368">
        <v>18</v>
      </c>
      <c r="H2369" s="1178" t="s">
        <v>20221</v>
      </c>
      <c r="I2369" s="1178" t="s">
        <v>7498</v>
      </c>
      <c r="J2369" s="1178" t="s">
        <v>662</v>
      </c>
      <c r="K2369" s="1178" t="s">
        <v>267</v>
      </c>
      <c r="L2369" s="1178" t="s">
        <v>242</v>
      </c>
      <c r="M2369" s="1369"/>
      <c r="N2369" s="1178" t="s">
        <v>20244</v>
      </c>
      <c r="O2369" s="1178">
        <v>6</v>
      </c>
      <c r="P2369" s="1178">
        <v>13.5</v>
      </c>
    </row>
    <row r="2370" spans="1:16">
      <c r="A2370" s="1178" t="s">
        <v>21165</v>
      </c>
      <c r="B2370" s="1371" t="str">
        <f>HYPERLINK(IFERROR("#Main_Tariff!A"&amp;MATCH(Raeburn_Main_Tariff[[#This Row],[Product Code]],Main_Tariff!I:I,0),"#Main_Tariff!A"&amp;MATCH("*"&amp;RIGHT(A2370,8)&amp;"*",Main_Tariff!A:A,0)),Raeburn_Main_Tariff[[#This Row],[PRODUCER]])</f>
        <v>Clos du Moulin aux Moines</v>
      </c>
      <c r="C2370" s="1178" t="s">
        <v>21175</v>
      </c>
      <c r="D2370" s="1178" t="s">
        <v>897</v>
      </c>
      <c r="E2370" s="1179">
        <v>2022</v>
      </c>
      <c r="F2370" s="1282" t="s">
        <v>20220</v>
      </c>
      <c r="G2370" s="1368">
        <v>24.25</v>
      </c>
      <c r="H2370" s="1178" t="s">
        <v>20221</v>
      </c>
      <c r="I2370" s="1178" t="s">
        <v>7500</v>
      </c>
      <c r="J2370" s="1178" t="s">
        <v>662</v>
      </c>
      <c r="K2370" s="1178" t="s">
        <v>267</v>
      </c>
      <c r="L2370" s="1178" t="s">
        <v>242</v>
      </c>
      <c r="M2370" s="1369"/>
      <c r="N2370" s="1178" t="s">
        <v>20244</v>
      </c>
      <c r="O2370" s="1178">
        <v>6</v>
      </c>
      <c r="P2370" s="1178">
        <v>12.5</v>
      </c>
    </row>
    <row r="2371" spans="1:16">
      <c r="A2371" s="1178" t="s">
        <v>21165</v>
      </c>
      <c r="B2371" s="1371" t="str">
        <f>HYPERLINK(IFERROR("#Main_Tariff!A"&amp;MATCH(Raeburn_Main_Tariff[[#This Row],[Product Code]],Main_Tariff!I:I,0),"#Main_Tariff!A"&amp;MATCH("*"&amp;RIGHT(A2371,8)&amp;"*",Main_Tariff!A:A,0)),Raeburn_Main_Tariff[[#This Row],[PRODUCER]])</f>
        <v>Clos du Moulin aux Moines</v>
      </c>
      <c r="C2371" s="1178" t="s">
        <v>21176</v>
      </c>
      <c r="D2371" s="1178" t="s">
        <v>897</v>
      </c>
      <c r="E2371" s="1179">
        <v>2020</v>
      </c>
      <c r="F2371" s="1282" t="s">
        <v>20220</v>
      </c>
      <c r="G2371" s="1368">
        <v>23</v>
      </c>
      <c r="H2371" s="1178" t="s">
        <v>20221</v>
      </c>
      <c r="I2371" s="1178" t="s">
        <v>7502</v>
      </c>
      <c r="J2371" s="1178" t="s">
        <v>662</v>
      </c>
      <c r="K2371" s="1178" t="s">
        <v>267</v>
      </c>
      <c r="L2371" s="1178" t="s">
        <v>242</v>
      </c>
      <c r="M2371" s="1369"/>
      <c r="N2371" s="1178" t="s">
        <v>20244</v>
      </c>
      <c r="O2371" s="1178">
        <v>6</v>
      </c>
      <c r="P2371" s="1178">
        <v>12.5</v>
      </c>
    </row>
    <row r="2372" spans="1:16">
      <c r="A2372" s="1178" t="s">
        <v>21165</v>
      </c>
      <c r="B2372" s="1371" t="str">
        <f>HYPERLINK(IFERROR("#Main_Tariff!A"&amp;MATCH(Raeburn_Main_Tariff[[#This Row],[Product Code]],Main_Tariff!I:I,0),"#Main_Tariff!A"&amp;MATCH("*"&amp;RIGHT(A2372,8)&amp;"*",Main_Tariff!A:A,0)),Raeburn_Main_Tariff[[#This Row],[PRODUCER]])</f>
        <v>Clos du Moulin aux Moines</v>
      </c>
      <c r="C2372" s="1178" t="s">
        <v>21176</v>
      </c>
      <c r="D2372" s="1178" t="s">
        <v>897</v>
      </c>
      <c r="E2372" s="1179">
        <v>2018</v>
      </c>
      <c r="F2372" s="1282" t="s">
        <v>20220</v>
      </c>
      <c r="G2372" s="1368">
        <v>22</v>
      </c>
      <c r="H2372" s="1178" t="s">
        <v>20221</v>
      </c>
      <c r="I2372" s="1178" t="s">
        <v>7504</v>
      </c>
      <c r="J2372" s="1178" t="s">
        <v>662</v>
      </c>
      <c r="K2372" s="1178" t="s">
        <v>267</v>
      </c>
      <c r="L2372" s="1178" t="s">
        <v>242</v>
      </c>
      <c r="M2372" s="1369"/>
      <c r="N2372" s="1178" t="s">
        <v>20244</v>
      </c>
      <c r="O2372" s="1178">
        <v>6</v>
      </c>
      <c r="P2372" s="1178">
        <v>12</v>
      </c>
    </row>
    <row r="2373" spans="1:16">
      <c r="A2373" s="1178" t="s">
        <v>21165</v>
      </c>
      <c r="B2373" s="1371" t="str">
        <f>HYPERLINK(IFERROR("#Main_Tariff!A"&amp;MATCH(Raeburn_Main_Tariff[[#This Row],[Product Code]],Main_Tariff!I:I,0),"#Main_Tariff!A"&amp;MATCH("*"&amp;RIGHT(A2373,8)&amp;"*",Main_Tariff!A:A,0)),Raeburn_Main_Tariff[[#This Row],[PRODUCER]])</f>
        <v>Clos du Moulin aux Moines</v>
      </c>
      <c r="C2373" s="1178" t="s">
        <v>21176</v>
      </c>
      <c r="D2373" s="1178" t="s">
        <v>897</v>
      </c>
      <c r="E2373" s="1179">
        <v>2015</v>
      </c>
      <c r="F2373" s="1282" t="s">
        <v>20220</v>
      </c>
      <c r="G2373" s="1368">
        <v>22</v>
      </c>
      <c r="H2373" s="1178" t="s">
        <v>20221</v>
      </c>
      <c r="I2373" s="1178" t="s">
        <v>7506</v>
      </c>
      <c r="J2373" s="1178" t="s">
        <v>662</v>
      </c>
      <c r="K2373" s="1178" t="s">
        <v>267</v>
      </c>
      <c r="L2373" s="1178" t="s">
        <v>242</v>
      </c>
      <c r="M2373" s="1369"/>
      <c r="N2373" s="1178" t="s">
        <v>20244</v>
      </c>
      <c r="O2373" s="1178">
        <v>6</v>
      </c>
      <c r="P2373" s="1178">
        <v>12.5</v>
      </c>
    </row>
    <row r="2374" spans="1:16">
      <c r="A2374" s="1178" t="s">
        <v>21165</v>
      </c>
      <c r="B2374" s="1371" t="str">
        <f>HYPERLINK(IFERROR("#Main_Tariff!A"&amp;MATCH(Raeburn_Main_Tariff[[#This Row],[Product Code]],Main_Tariff!I:I,0),"#Main_Tariff!A"&amp;MATCH("*"&amp;RIGHT(A2374,8)&amp;"*",Main_Tariff!A:A,0)),Raeburn_Main_Tariff[[#This Row],[PRODUCER]])</f>
        <v>Clos du Moulin aux Moines</v>
      </c>
      <c r="C2374" s="1178" t="s">
        <v>21176</v>
      </c>
      <c r="D2374" s="1178" t="s">
        <v>897</v>
      </c>
      <c r="E2374" s="1179">
        <v>2014</v>
      </c>
      <c r="F2374" s="1282" t="s">
        <v>20220</v>
      </c>
      <c r="G2374" s="1368">
        <v>21</v>
      </c>
      <c r="H2374" s="1178" t="s">
        <v>20221</v>
      </c>
      <c r="I2374" s="1178" t="s">
        <v>7508</v>
      </c>
      <c r="J2374" s="1178" t="s">
        <v>662</v>
      </c>
      <c r="K2374" s="1178" t="s">
        <v>267</v>
      </c>
      <c r="L2374" s="1178" t="s">
        <v>242</v>
      </c>
      <c r="M2374" s="1369"/>
      <c r="N2374" s="1178" t="s">
        <v>20244</v>
      </c>
      <c r="O2374" s="1178">
        <v>6</v>
      </c>
      <c r="P2374" s="1178">
        <v>12.5</v>
      </c>
    </row>
    <row r="2375" spans="1:16">
      <c r="A2375" s="1178" t="s">
        <v>21165</v>
      </c>
      <c r="B2375" s="1371" t="str">
        <f>HYPERLINK(IFERROR("#Main_Tariff!A"&amp;MATCH(Raeburn_Main_Tariff[[#This Row],[Product Code]],Main_Tariff!I:I,0),"#Main_Tariff!A"&amp;MATCH("*"&amp;RIGHT(A2375,8)&amp;"*",Main_Tariff!A:A,0)),Raeburn_Main_Tariff[[#This Row],[PRODUCER]])</f>
        <v>Clos du Moulin aux Moines</v>
      </c>
      <c r="C2375" s="1178" t="s">
        <v>21177</v>
      </c>
      <c r="D2375" s="1178" t="s">
        <v>897</v>
      </c>
      <c r="E2375" s="1179">
        <v>2015</v>
      </c>
      <c r="F2375" s="1282" t="s">
        <v>20220</v>
      </c>
      <c r="G2375" s="1368">
        <v>25.5</v>
      </c>
      <c r="H2375" s="1178" t="s">
        <v>20221</v>
      </c>
      <c r="I2375" s="1178" t="s">
        <v>7510</v>
      </c>
      <c r="J2375" s="1178" t="s">
        <v>662</v>
      </c>
      <c r="K2375" s="1178" t="s">
        <v>267</v>
      </c>
      <c r="L2375" s="1178" t="s">
        <v>242</v>
      </c>
      <c r="M2375" s="1369"/>
      <c r="N2375" s="1178" t="s">
        <v>20244</v>
      </c>
      <c r="O2375" s="1178">
        <v>6</v>
      </c>
      <c r="P2375" s="1178">
        <v>12.5</v>
      </c>
    </row>
    <row r="2376" spans="1:16">
      <c r="A2376" s="1178" t="s">
        <v>21165</v>
      </c>
      <c r="B2376" s="1371" t="str">
        <f>HYPERLINK(IFERROR("#Main_Tariff!A"&amp;MATCH(Raeburn_Main_Tariff[[#This Row],[Product Code]],Main_Tariff!I:I,0),"#Main_Tariff!A"&amp;MATCH("*"&amp;RIGHT(A2376,8)&amp;"*",Main_Tariff!A:A,0)),Raeburn_Main_Tariff[[#This Row],[PRODUCER]])</f>
        <v>Clos du Moulin aux Moines</v>
      </c>
      <c r="C2376" s="1178" t="s">
        <v>21177</v>
      </c>
      <c r="D2376" s="1178" t="s">
        <v>897</v>
      </c>
      <c r="E2376" s="1179">
        <v>2014</v>
      </c>
      <c r="F2376" s="1282" t="s">
        <v>20220</v>
      </c>
      <c r="G2376" s="1368">
        <v>25</v>
      </c>
      <c r="H2376" s="1178" t="s">
        <v>20221</v>
      </c>
      <c r="I2376" s="1178" t="s">
        <v>7512</v>
      </c>
      <c r="J2376" s="1178" t="s">
        <v>662</v>
      </c>
      <c r="K2376" s="1178" t="s">
        <v>267</v>
      </c>
      <c r="L2376" s="1178" t="s">
        <v>242</v>
      </c>
      <c r="M2376" s="1369"/>
      <c r="N2376" s="1178" t="s">
        <v>20244</v>
      </c>
      <c r="O2376" s="1178">
        <v>6</v>
      </c>
      <c r="P2376" s="1178">
        <v>12</v>
      </c>
    </row>
    <row r="2377" spans="1:16">
      <c r="A2377" s="1178" t="s">
        <v>21165</v>
      </c>
      <c r="B2377" s="1371" t="str">
        <f>HYPERLINK(IFERROR("#Main_Tariff!A"&amp;MATCH(Raeburn_Main_Tariff[[#This Row],[Product Code]],Main_Tariff!I:I,0),"#Main_Tariff!A"&amp;MATCH("*"&amp;RIGHT(A2377,8)&amp;"*",Main_Tariff!A:A,0)),Raeburn_Main_Tariff[[#This Row],[PRODUCER]])</f>
        <v>Clos du Moulin aux Moines</v>
      </c>
      <c r="C2377" s="1178" t="s">
        <v>21178</v>
      </c>
      <c r="D2377" s="1178" t="s">
        <v>897</v>
      </c>
      <c r="E2377" s="1179">
        <v>2011</v>
      </c>
      <c r="F2377" s="1282" t="s">
        <v>20220</v>
      </c>
      <c r="G2377" s="1368">
        <v>25.5</v>
      </c>
      <c r="H2377" s="1178" t="s">
        <v>20224</v>
      </c>
      <c r="I2377" s="1178" t="s">
        <v>7514</v>
      </c>
      <c r="J2377" s="1178" t="s">
        <v>662</v>
      </c>
      <c r="K2377" s="1178" t="s">
        <v>267</v>
      </c>
      <c r="L2377" s="1178" t="s">
        <v>242</v>
      </c>
      <c r="M2377" s="1369"/>
      <c r="N2377" s="1178"/>
      <c r="O2377" s="1178">
        <v>6</v>
      </c>
      <c r="P2377" s="1178">
        <v>13</v>
      </c>
    </row>
    <row r="2378" spans="1:16">
      <c r="A2378" s="1178" t="s">
        <v>21165</v>
      </c>
      <c r="B2378" s="1371" t="str">
        <f>HYPERLINK(IFERROR("#Main_Tariff!A"&amp;MATCH(Raeburn_Main_Tariff[[#This Row],[Product Code]],Main_Tariff!I:I,0),"#Main_Tariff!A"&amp;MATCH("*"&amp;RIGHT(A2378,8)&amp;"*",Main_Tariff!A:A,0)),Raeburn_Main_Tariff[[#This Row],[PRODUCER]])</f>
        <v>Clos du Moulin aux Moines</v>
      </c>
      <c r="C2378" s="1178" t="s">
        <v>21179</v>
      </c>
      <c r="D2378" s="1178" t="s">
        <v>897</v>
      </c>
      <c r="E2378" s="1179">
        <v>2021</v>
      </c>
      <c r="F2378" s="1282" t="s">
        <v>20220</v>
      </c>
      <c r="G2378" s="1368">
        <v>45</v>
      </c>
      <c r="H2378" s="1178" t="s">
        <v>20221</v>
      </c>
      <c r="I2378" s="1178" t="s">
        <v>7516</v>
      </c>
      <c r="J2378" s="1178" t="s">
        <v>662</v>
      </c>
      <c r="K2378" s="1178" t="s">
        <v>267</v>
      </c>
      <c r="L2378" s="1178" t="s">
        <v>242</v>
      </c>
      <c r="M2378" s="1369"/>
      <c r="N2378" s="1178" t="s">
        <v>20244</v>
      </c>
      <c r="O2378" s="1178">
        <v>6</v>
      </c>
      <c r="P2378" s="1178">
        <v>12</v>
      </c>
    </row>
    <row r="2379" spans="1:16">
      <c r="A2379" s="1178" t="s">
        <v>21165</v>
      </c>
      <c r="B2379" s="1371" t="str">
        <f>HYPERLINK(IFERROR("#Main_Tariff!A"&amp;MATCH(Raeburn_Main_Tariff[[#This Row],[Product Code]],Main_Tariff!I:I,0),"#Main_Tariff!A"&amp;MATCH("*"&amp;RIGHT(A2379,8)&amp;"*",Main_Tariff!A:A,0)),Raeburn_Main_Tariff[[#This Row],[PRODUCER]])</f>
        <v>Clos du Moulin aux Moines</v>
      </c>
      <c r="C2379" s="1178" t="s">
        <v>21180</v>
      </c>
      <c r="D2379" s="1178" t="s">
        <v>897</v>
      </c>
      <c r="E2379" s="1179">
        <v>2018</v>
      </c>
      <c r="F2379" s="1282" t="s">
        <v>20220</v>
      </c>
      <c r="G2379" s="1368">
        <v>40</v>
      </c>
      <c r="H2379" s="1178" t="s">
        <v>20221</v>
      </c>
      <c r="I2379" s="1178" t="s">
        <v>7518</v>
      </c>
      <c r="J2379" s="1178" t="s">
        <v>662</v>
      </c>
      <c r="K2379" s="1178" t="s">
        <v>267</v>
      </c>
      <c r="L2379" s="1178" t="s">
        <v>242</v>
      </c>
      <c r="M2379" s="1369" t="s">
        <v>23297</v>
      </c>
      <c r="N2379" s="1178" t="s">
        <v>20244</v>
      </c>
      <c r="O2379" s="1178">
        <v>6</v>
      </c>
      <c r="P2379" s="1178">
        <v>12.5</v>
      </c>
    </row>
    <row r="2380" spans="1:16">
      <c r="A2380" s="1178" t="s">
        <v>21165</v>
      </c>
      <c r="B2380" s="1371" t="str">
        <f>HYPERLINK(IFERROR("#Main_Tariff!A"&amp;MATCH(Raeburn_Main_Tariff[[#This Row],[Product Code]],Main_Tariff!I:I,0),"#Main_Tariff!A"&amp;MATCH("*"&amp;RIGHT(A2380,8)&amp;"*",Main_Tariff!A:A,0)),Raeburn_Main_Tariff[[#This Row],[PRODUCER]])</f>
        <v>Clos du Moulin aux Moines</v>
      </c>
      <c r="C2380" s="1178" t="s">
        <v>21180</v>
      </c>
      <c r="D2380" s="1178" t="s">
        <v>897</v>
      </c>
      <c r="E2380" s="1179">
        <v>2017</v>
      </c>
      <c r="F2380" s="1282" t="s">
        <v>20220</v>
      </c>
      <c r="G2380" s="1368">
        <v>38</v>
      </c>
      <c r="H2380" s="1178" t="s">
        <v>20221</v>
      </c>
      <c r="I2380" s="1178" t="s">
        <v>7520</v>
      </c>
      <c r="J2380" s="1178" t="s">
        <v>662</v>
      </c>
      <c r="K2380" s="1178" t="s">
        <v>267</v>
      </c>
      <c r="L2380" s="1178" t="s">
        <v>242</v>
      </c>
      <c r="M2380" s="1369" t="s">
        <v>23297</v>
      </c>
      <c r="N2380" s="1178" t="s">
        <v>20244</v>
      </c>
      <c r="O2380" s="1178">
        <v>6</v>
      </c>
      <c r="P2380" s="1178">
        <v>13</v>
      </c>
    </row>
    <row r="2381" spans="1:16">
      <c r="A2381" s="1178" t="s">
        <v>21165</v>
      </c>
      <c r="B2381" s="1371" t="str">
        <f>HYPERLINK(IFERROR("#Main_Tariff!A"&amp;MATCH(Raeburn_Main_Tariff[[#This Row],[Product Code]],Main_Tariff!I:I,0),"#Main_Tariff!A"&amp;MATCH("*"&amp;RIGHT(A2381,8)&amp;"*",Main_Tariff!A:A,0)),Raeburn_Main_Tariff[[#This Row],[PRODUCER]])</f>
        <v>Clos du Moulin aux Moines</v>
      </c>
      <c r="C2381" s="1178" t="s">
        <v>21180</v>
      </c>
      <c r="D2381" s="1178" t="s">
        <v>897</v>
      </c>
      <c r="E2381" s="1179">
        <v>2016</v>
      </c>
      <c r="F2381" s="1282" t="s">
        <v>20220</v>
      </c>
      <c r="G2381" s="1368">
        <v>38</v>
      </c>
      <c r="H2381" s="1178" t="s">
        <v>20221</v>
      </c>
      <c r="I2381" s="1178" t="s">
        <v>7522</v>
      </c>
      <c r="J2381" s="1178" t="s">
        <v>662</v>
      </c>
      <c r="K2381" s="1178" t="s">
        <v>267</v>
      </c>
      <c r="L2381" s="1178" t="s">
        <v>242</v>
      </c>
      <c r="M2381" s="1369" t="s">
        <v>23297</v>
      </c>
      <c r="N2381" s="1178" t="s">
        <v>20244</v>
      </c>
      <c r="O2381" s="1178">
        <v>6</v>
      </c>
      <c r="P2381" s="1178">
        <v>12.5</v>
      </c>
    </row>
    <row r="2382" spans="1:16">
      <c r="A2382" s="1178" t="s">
        <v>21165</v>
      </c>
      <c r="B2382" s="1371" t="str">
        <f>HYPERLINK(IFERROR("#Main_Tariff!A"&amp;MATCH(Raeburn_Main_Tariff[[#This Row],[Product Code]],Main_Tariff!I:I,0),"#Main_Tariff!A"&amp;MATCH("*"&amp;RIGHT(A2382,8)&amp;"*",Main_Tariff!A:A,0)),Raeburn_Main_Tariff[[#This Row],[PRODUCER]])</f>
        <v>Clos du Moulin aux Moines</v>
      </c>
      <c r="C2382" s="1178" t="s">
        <v>21180</v>
      </c>
      <c r="D2382" s="1178" t="s">
        <v>897</v>
      </c>
      <c r="E2382" s="1179">
        <v>2015</v>
      </c>
      <c r="F2382" s="1282" t="s">
        <v>20220</v>
      </c>
      <c r="G2382" s="1368">
        <v>38</v>
      </c>
      <c r="H2382" s="1178" t="s">
        <v>20221</v>
      </c>
      <c r="I2382" s="1178" t="s">
        <v>7524</v>
      </c>
      <c r="J2382" s="1178" t="s">
        <v>662</v>
      </c>
      <c r="K2382" s="1178" t="s">
        <v>267</v>
      </c>
      <c r="L2382" s="1178" t="s">
        <v>242</v>
      </c>
      <c r="M2382" s="1369" t="s">
        <v>23297</v>
      </c>
      <c r="N2382" s="1178" t="s">
        <v>20244</v>
      </c>
      <c r="O2382" s="1178">
        <v>6</v>
      </c>
      <c r="P2382" s="1178">
        <v>13</v>
      </c>
    </row>
    <row r="2383" spans="1:16">
      <c r="A2383" s="1178" t="s">
        <v>21165</v>
      </c>
      <c r="B2383" s="1371" t="str">
        <f>HYPERLINK(IFERROR("#Main_Tariff!A"&amp;MATCH(Raeburn_Main_Tariff[[#This Row],[Product Code]],Main_Tariff!I:I,0),"#Main_Tariff!A"&amp;MATCH("*"&amp;RIGHT(A2383,8)&amp;"*",Main_Tariff!A:A,0)),Raeburn_Main_Tariff[[#This Row],[PRODUCER]])</f>
        <v>Clos du Moulin aux Moines</v>
      </c>
      <c r="C2383" s="1178" t="s">
        <v>21181</v>
      </c>
      <c r="D2383" s="1178" t="s">
        <v>897</v>
      </c>
      <c r="E2383" s="1179">
        <v>2019</v>
      </c>
      <c r="F2383" s="1282" t="s">
        <v>20220</v>
      </c>
      <c r="G2383" s="1368">
        <v>29.25</v>
      </c>
      <c r="H2383" s="1178" t="s">
        <v>20221</v>
      </c>
      <c r="I2383" s="1178" t="s">
        <v>7528</v>
      </c>
      <c r="J2383" s="1178" t="s">
        <v>662</v>
      </c>
      <c r="K2383" s="1178" t="s">
        <v>267</v>
      </c>
      <c r="L2383" s="1178" t="s">
        <v>242</v>
      </c>
      <c r="M2383" s="1369"/>
      <c r="N2383" s="1178" t="s">
        <v>20244</v>
      </c>
      <c r="O2383" s="1178">
        <v>6</v>
      </c>
      <c r="P2383" s="1178">
        <v>12.5</v>
      </c>
    </row>
    <row r="2384" spans="1:16">
      <c r="A2384" s="1178" t="s">
        <v>21165</v>
      </c>
      <c r="B2384" s="1371" t="str">
        <f>HYPERLINK(IFERROR("#Main_Tariff!A"&amp;MATCH(Raeburn_Main_Tariff[[#This Row],[Product Code]],Main_Tariff!I:I,0),"#Main_Tariff!A"&amp;MATCH("*"&amp;RIGHT(A2384,8)&amp;"*",Main_Tariff!A:A,0)),Raeburn_Main_Tariff[[#This Row],[PRODUCER]])</f>
        <v>Clos du Moulin aux Moines</v>
      </c>
      <c r="C2384" s="1178" t="s">
        <v>21181</v>
      </c>
      <c r="D2384" s="1178" t="s">
        <v>897</v>
      </c>
      <c r="E2384" s="1179">
        <v>2018</v>
      </c>
      <c r="F2384" s="1282" t="s">
        <v>20220</v>
      </c>
      <c r="G2384" s="1368">
        <v>28</v>
      </c>
      <c r="H2384" s="1178" t="s">
        <v>20221</v>
      </c>
      <c r="I2384" s="1178" t="s">
        <v>7530</v>
      </c>
      <c r="J2384" s="1178" t="s">
        <v>662</v>
      </c>
      <c r="K2384" s="1178" t="s">
        <v>267</v>
      </c>
      <c r="L2384" s="1178" t="s">
        <v>242</v>
      </c>
      <c r="M2384" s="1369"/>
      <c r="N2384" s="1178" t="s">
        <v>20244</v>
      </c>
      <c r="O2384" s="1178">
        <v>6</v>
      </c>
      <c r="P2384" s="1178">
        <v>12.5</v>
      </c>
    </row>
    <row r="2385" spans="1:16">
      <c r="A2385" s="1178" t="s">
        <v>21165</v>
      </c>
      <c r="B2385" s="1371" t="str">
        <f>HYPERLINK(IFERROR("#Main_Tariff!A"&amp;MATCH(Raeburn_Main_Tariff[[#This Row],[Product Code]],Main_Tariff!I:I,0),"#Main_Tariff!A"&amp;MATCH("*"&amp;RIGHT(A2385,8)&amp;"*",Main_Tariff!A:A,0)),Raeburn_Main_Tariff[[#This Row],[PRODUCER]])</f>
        <v>Clos du Moulin aux Moines</v>
      </c>
      <c r="C2385" s="1178" t="s">
        <v>21181</v>
      </c>
      <c r="D2385" s="1178" t="s">
        <v>897</v>
      </c>
      <c r="E2385" s="1179">
        <v>2017</v>
      </c>
      <c r="F2385" s="1282" t="s">
        <v>20220</v>
      </c>
      <c r="G2385" s="1368">
        <v>28</v>
      </c>
      <c r="H2385" s="1178" t="s">
        <v>20221</v>
      </c>
      <c r="I2385" s="1178" t="s">
        <v>6286</v>
      </c>
      <c r="J2385" s="1178" t="s">
        <v>662</v>
      </c>
      <c r="K2385" s="1178" t="s">
        <v>267</v>
      </c>
      <c r="L2385" s="1178" t="s">
        <v>242</v>
      </c>
      <c r="M2385" s="1369"/>
      <c r="N2385" s="1178" t="s">
        <v>20244</v>
      </c>
      <c r="O2385" s="1178">
        <v>6</v>
      </c>
      <c r="P2385" s="1178">
        <v>12.5</v>
      </c>
    </row>
    <row r="2386" spans="1:16">
      <c r="A2386" s="1178" t="s">
        <v>21165</v>
      </c>
      <c r="B2386" s="1371" t="str">
        <f>HYPERLINK(IFERROR("#Main_Tariff!A"&amp;MATCH(Raeburn_Main_Tariff[[#This Row],[Product Code]],Main_Tariff!I:I,0),"#Main_Tariff!A"&amp;MATCH("*"&amp;RIGHT(A2386,8)&amp;"*",Main_Tariff!A:A,0)),Raeburn_Main_Tariff[[#This Row],[PRODUCER]])</f>
        <v>Clos du Moulin aux Moines</v>
      </c>
      <c r="C2386" s="1178" t="s">
        <v>21181</v>
      </c>
      <c r="D2386" s="1178" t="s">
        <v>897</v>
      </c>
      <c r="E2386" s="1179">
        <v>2015</v>
      </c>
      <c r="F2386" s="1282" t="s">
        <v>20220</v>
      </c>
      <c r="G2386" s="1368">
        <v>28</v>
      </c>
      <c r="H2386" s="1178" t="s">
        <v>20221</v>
      </c>
      <c r="I2386" s="1178" t="s">
        <v>7533</v>
      </c>
      <c r="J2386" s="1178" t="s">
        <v>662</v>
      </c>
      <c r="K2386" s="1178" t="s">
        <v>267</v>
      </c>
      <c r="L2386" s="1178" t="s">
        <v>242</v>
      </c>
      <c r="M2386" s="1369"/>
      <c r="N2386" s="1178" t="s">
        <v>20244</v>
      </c>
      <c r="O2386" s="1178">
        <v>6</v>
      </c>
      <c r="P2386" s="1178">
        <v>12</v>
      </c>
    </row>
    <row r="2387" spans="1:16">
      <c r="A2387" s="1178" t="s">
        <v>21165</v>
      </c>
      <c r="B2387" s="1371" t="str">
        <f>HYPERLINK(IFERROR("#Main_Tariff!A"&amp;MATCH(Raeburn_Main_Tariff[[#This Row],[Product Code]],Main_Tariff!I:I,0),"#Main_Tariff!A"&amp;MATCH("*"&amp;RIGHT(A2387,8)&amp;"*",Main_Tariff!A:A,0)),Raeburn_Main_Tariff[[#This Row],[PRODUCER]])</f>
        <v>Clos du Moulin aux Moines</v>
      </c>
      <c r="C2387" s="1178" t="s">
        <v>21181</v>
      </c>
      <c r="D2387" s="1178" t="s">
        <v>897</v>
      </c>
      <c r="E2387" s="1179">
        <v>2013</v>
      </c>
      <c r="F2387" s="1282" t="s">
        <v>20220</v>
      </c>
      <c r="G2387" s="1368">
        <v>28</v>
      </c>
      <c r="H2387" s="1178" t="s">
        <v>20221</v>
      </c>
      <c r="I2387" s="1178" t="s">
        <v>7535</v>
      </c>
      <c r="J2387" s="1178" t="s">
        <v>662</v>
      </c>
      <c r="K2387" s="1178" t="s">
        <v>267</v>
      </c>
      <c r="L2387" s="1178" t="s">
        <v>242</v>
      </c>
      <c r="M2387" s="1369"/>
      <c r="N2387" s="1178"/>
      <c r="O2387" s="1178">
        <v>6</v>
      </c>
      <c r="P2387" s="1178">
        <v>13</v>
      </c>
    </row>
    <row r="2388" spans="1:16">
      <c r="A2388" s="1178" t="s">
        <v>21165</v>
      </c>
      <c r="B2388" s="1371" t="str">
        <f>HYPERLINK(IFERROR("#Main_Tariff!A"&amp;MATCH(Raeburn_Main_Tariff[[#This Row],[Product Code]],Main_Tariff!I:I,0),"#Main_Tariff!A"&amp;MATCH("*"&amp;RIGHT(A2388,8)&amp;"*",Main_Tariff!A:A,0)),Raeburn_Main_Tariff[[#This Row],[PRODUCER]])</f>
        <v>Clos du Moulin aux Moines</v>
      </c>
      <c r="C2388" s="1178" t="s">
        <v>21182</v>
      </c>
      <c r="D2388" s="1178" t="s">
        <v>897</v>
      </c>
      <c r="E2388" s="1179">
        <v>2020</v>
      </c>
      <c r="F2388" s="1282" t="s">
        <v>20220</v>
      </c>
      <c r="G2388" s="1368">
        <v>34.5</v>
      </c>
      <c r="H2388" s="1178" t="s">
        <v>20221</v>
      </c>
      <c r="I2388" s="1178" t="s">
        <v>7539</v>
      </c>
      <c r="J2388" s="1178" t="s">
        <v>662</v>
      </c>
      <c r="K2388" s="1178" t="s">
        <v>267</v>
      </c>
      <c r="L2388" s="1178" t="s">
        <v>242</v>
      </c>
      <c r="M2388" s="1369"/>
      <c r="N2388" s="1178" t="s">
        <v>20244</v>
      </c>
      <c r="O2388" s="1178">
        <v>6</v>
      </c>
      <c r="P2388" s="1178">
        <v>13</v>
      </c>
    </row>
    <row r="2389" spans="1:16">
      <c r="A2389" s="1178" t="s">
        <v>21165</v>
      </c>
      <c r="B2389" s="1371" t="str">
        <f>HYPERLINK(IFERROR("#Main_Tariff!A"&amp;MATCH(Raeburn_Main_Tariff[[#This Row],[Product Code]],Main_Tariff!I:I,0),"#Main_Tariff!A"&amp;MATCH("*"&amp;RIGHT(A2389,8)&amp;"*",Main_Tariff!A:A,0)),Raeburn_Main_Tariff[[#This Row],[PRODUCER]])</f>
        <v>Clos du Moulin aux Moines</v>
      </c>
      <c r="C2389" s="1178" t="s">
        <v>21182</v>
      </c>
      <c r="D2389" s="1178" t="s">
        <v>897</v>
      </c>
      <c r="E2389" s="1179">
        <v>2019</v>
      </c>
      <c r="F2389" s="1282" t="s">
        <v>20220</v>
      </c>
      <c r="G2389" s="1368">
        <v>33</v>
      </c>
      <c r="H2389" s="1178" t="s">
        <v>20221</v>
      </c>
      <c r="I2389" s="1178" t="s">
        <v>7541</v>
      </c>
      <c r="J2389" s="1178" t="s">
        <v>662</v>
      </c>
      <c r="K2389" s="1178" t="s">
        <v>267</v>
      </c>
      <c r="L2389" s="1178" t="s">
        <v>242</v>
      </c>
      <c r="M2389" s="1369"/>
      <c r="N2389" s="1178" t="s">
        <v>20244</v>
      </c>
      <c r="O2389" s="1178">
        <v>6</v>
      </c>
      <c r="P2389" s="1178">
        <v>13</v>
      </c>
    </row>
    <row r="2390" spans="1:16">
      <c r="A2390" s="1178" t="s">
        <v>21165</v>
      </c>
      <c r="B2390" s="1371" t="str">
        <f>HYPERLINK(IFERROR("#Main_Tariff!A"&amp;MATCH(Raeburn_Main_Tariff[[#This Row],[Product Code]],Main_Tariff!I:I,0),"#Main_Tariff!A"&amp;MATCH("*"&amp;RIGHT(A2390,8)&amp;"*",Main_Tariff!A:A,0)),Raeburn_Main_Tariff[[#This Row],[PRODUCER]])</f>
        <v>Clos du Moulin aux Moines</v>
      </c>
      <c r="C2390" s="1178" t="s">
        <v>21182</v>
      </c>
      <c r="D2390" s="1178" t="s">
        <v>897</v>
      </c>
      <c r="E2390" s="1179">
        <v>2018</v>
      </c>
      <c r="F2390" s="1282" t="s">
        <v>20220</v>
      </c>
      <c r="G2390" s="1368">
        <v>30</v>
      </c>
      <c r="H2390" s="1178" t="s">
        <v>20221</v>
      </c>
      <c r="I2390" s="1178" t="s">
        <v>7543</v>
      </c>
      <c r="J2390" s="1178" t="s">
        <v>662</v>
      </c>
      <c r="K2390" s="1178" t="s">
        <v>267</v>
      </c>
      <c r="L2390" s="1178" t="s">
        <v>242</v>
      </c>
      <c r="M2390" s="1369"/>
      <c r="N2390" s="1178" t="s">
        <v>20244</v>
      </c>
      <c r="O2390" s="1178">
        <v>6</v>
      </c>
      <c r="P2390" s="1178">
        <v>12.5</v>
      </c>
    </row>
    <row r="2391" spans="1:16">
      <c r="A2391" s="1178" t="s">
        <v>21165</v>
      </c>
      <c r="B2391" s="1371" t="str">
        <f>HYPERLINK(IFERROR("#Main_Tariff!A"&amp;MATCH(Raeburn_Main_Tariff[[#This Row],[Product Code]],Main_Tariff!I:I,0),"#Main_Tariff!A"&amp;MATCH("*"&amp;RIGHT(A2391,8)&amp;"*",Main_Tariff!A:A,0)),Raeburn_Main_Tariff[[#This Row],[PRODUCER]])</f>
        <v>Clos du Moulin aux Moines</v>
      </c>
      <c r="C2391" s="1178" t="s">
        <v>21182</v>
      </c>
      <c r="D2391" s="1178" t="s">
        <v>897</v>
      </c>
      <c r="E2391" s="1179">
        <v>2017</v>
      </c>
      <c r="F2391" s="1282" t="s">
        <v>20220</v>
      </c>
      <c r="G2391" s="1368">
        <v>30</v>
      </c>
      <c r="H2391" s="1178" t="s">
        <v>20221</v>
      </c>
      <c r="I2391" s="1178" t="s">
        <v>7545</v>
      </c>
      <c r="J2391" s="1178" t="s">
        <v>662</v>
      </c>
      <c r="K2391" s="1178" t="s">
        <v>267</v>
      </c>
      <c r="L2391" s="1178" t="s">
        <v>242</v>
      </c>
      <c r="M2391" s="1369"/>
      <c r="N2391" s="1178" t="s">
        <v>20244</v>
      </c>
      <c r="O2391" s="1178">
        <v>6</v>
      </c>
      <c r="P2391" s="1178">
        <v>12.5</v>
      </c>
    </row>
    <row r="2392" spans="1:16">
      <c r="A2392" s="1178" t="s">
        <v>21165</v>
      </c>
      <c r="B2392" s="1371" t="str">
        <f>HYPERLINK(IFERROR("#Main_Tariff!A"&amp;MATCH(Raeburn_Main_Tariff[[#This Row],[Product Code]],Main_Tariff!I:I,0),"#Main_Tariff!A"&amp;MATCH("*"&amp;RIGHT(A2392,8)&amp;"*",Main_Tariff!A:A,0)),Raeburn_Main_Tariff[[#This Row],[PRODUCER]])</f>
        <v>Clos du Moulin aux Moines</v>
      </c>
      <c r="C2392" s="1178" t="s">
        <v>21182</v>
      </c>
      <c r="D2392" s="1178" t="s">
        <v>897</v>
      </c>
      <c r="E2392" s="1179">
        <v>2016</v>
      </c>
      <c r="F2392" s="1282" t="s">
        <v>20220</v>
      </c>
      <c r="G2392" s="1368">
        <v>30</v>
      </c>
      <c r="H2392" s="1178" t="s">
        <v>20221</v>
      </c>
      <c r="I2392" s="1178" t="s">
        <v>7547</v>
      </c>
      <c r="J2392" s="1178" t="s">
        <v>662</v>
      </c>
      <c r="K2392" s="1178" t="s">
        <v>267</v>
      </c>
      <c r="L2392" s="1178" t="s">
        <v>242</v>
      </c>
      <c r="M2392" s="1369"/>
      <c r="N2392" s="1178" t="s">
        <v>20244</v>
      </c>
      <c r="O2392" s="1178">
        <v>6</v>
      </c>
      <c r="P2392" s="1178">
        <v>12.5</v>
      </c>
    </row>
    <row r="2393" spans="1:16">
      <c r="A2393" s="1178" t="s">
        <v>21165</v>
      </c>
      <c r="B2393" s="1371" t="str">
        <f>HYPERLINK(IFERROR("#Main_Tariff!A"&amp;MATCH(Raeburn_Main_Tariff[[#This Row],[Product Code]],Main_Tariff!I:I,0),"#Main_Tariff!A"&amp;MATCH("*"&amp;RIGHT(A2393,8)&amp;"*",Main_Tariff!A:A,0)),Raeburn_Main_Tariff[[#This Row],[PRODUCER]])</f>
        <v>Clos du Moulin aux Moines</v>
      </c>
      <c r="C2393" s="1178" t="s">
        <v>21182</v>
      </c>
      <c r="D2393" s="1178" t="s">
        <v>897</v>
      </c>
      <c r="E2393" s="1179">
        <v>2014</v>
      </c>
      <c r="F2393" s="1282" t="s">
        <v>20220</v>
      </c>
      <c r="G2393" s="1368">
        <v>30</v>
      </c>
      <c r="H2393" s="1178" t="s">
        <v>20221</v>
      </c>
      <c r="I2393" s="1178" t="s">
        <v>6289</v>
      </c>
      <c r="J2393" s="1178" t="s">
        <v>662</v>
      </c>
      <c r="K2393" s="1178" t="s">
        <v>267</v>
      </c>
      <c r="L2393" s="1178" t="s">
        <v>242</v>
      </c>
      <c r="M2393" s="1369"/>
      <c r="N2393" s="1178" t="s">
        <v>20244</v>
      </c>
      <c r="O2393" s="1178">
        <v>6</v>
      </c>
      <c r="P2393" s="1178">
        <v>12.5</v>
      </c>
    </row>
    <row r="2394" spans="1:16">
      <c r="A2394" s="1178" t="s">
        <v>21165</v>
      </c>
      <c r="B2394" s="1371" t="str">
        <f>HYPERLINK(IFERROR("#Main_Tariff!A"&amp;MATCH(Raeburn_Main_Tariff[[#This Row],[Product Code]],Main_Tariff!I:I,0),"#Main_Tariff!A"&amp;MATCH("*"&amp;RIGHT(A2394,8)&amp;"*",Main_Tariff!A:A,0)),Raeburn_Main_Tariff[[#This Row],[PRODUCER]])</f>
        <v>Clos du Moulin aux Moines</v>
      </c>
      <c r="C2394" s="1178" t="s">
        <v>21183</v>
      </c>
      <c r="D2394" s="1178" t="s">
        <v>897</v>
      </c>
      <c r="E2394" s="1179">
        <v>2013</v>
      </c>
      <c r="F2394" s="1282" t="s">
        <v>20240</v>
      </c>
      <c r="G2394" s="1368">
        <v>61</v>
      </c>
      <c r="H2394" s="1178" t="s">
        <v>20224</v>
      </c>
      <c r="I2394" s="1178" t="s">
        <v>6299</v>
      </c>
      <c r="J2394" s="1178" t="s">
        <v>662</v>
      </c>
      <c r="K2394" s="1178" t="s">
        <v>267</v>
      </c>
      <c r="L2394" s="1178" t="s">
        <v>242</v>
      </c>
      <c r="M2394" s="1369"/>
      <c r="N2394" s="1178"/>
      <c r="O2394" s="1178">
        <v>3</v>
      </c>
      <c r="P2394" s="1178">
        <v>12.5</v>
      </c>
    </row>
    <row r="2395" spans="1:16">
      <c r="A2395" s="1178" t="s">
        <v>21165</v>
      </c>
      <c r="B2395" s="1371" t="str">
        <f>HYPERLINK(IFERROR("#Main_Tariff!A"&amp;MATCH(Raeburn_Main_Tariff[[#This Row],[Product Code]],Main_Tariff!I:I,0),"#Main_Tariff!A"&amp;MATCH("*"&amp;RIGHT(A2395,8)&amp;"*",Main_Tariff!A:A,0)),Raeburn_Main_Tariff[[#This Row],[PRODUCER]])</f>
        <v>Clos du Moulin aux Moines</v>
      </c>
      <c r="C2395" s="1178" t="s">
        <v>18810</v>
      </c>
      <c r="D2395" s="1178" t="s">
        <v>897</v>
      </c>
      <c r="E2395" s="1179">
        <v>2019</v>
      </c>
      <c r="F2395" s="1282" t="s">
        <v>20220</v>
      </c>
      <c r="G2395" s="1368">
        <v>40.25</v>
      </c>
      <c r="H2395" s="1178" t="s">
        <v>20221</v>
      </c>
      <c r="I2395" s="1178" t="s">
        <v>7553</v>
      </c>
      <c r="J2395" s="1178" t="s">
        <v>662</v>
      </c>
      <c r="K2395" s="1178" t="s">
        <v>267</v>
      </c>
      <c r="L2395" s="1178" t="s">
        <v>242</v>
      </c>
      <c r="M2395" s="1369"/>
      <c r="N2395" s="1178" t="s">
        <v>20244</v>
      </c>
      <c r="O2395" s="1178">
        <v>6</v>
      </c>
      <c r="P2395" s="1178">
        <v>13</v>
      </c>
    </row>
    <row r="2396" spans="1:16">
      <c r="A2396" s="1178" t="s">
        <v>21165</v>
      </c>
      <c r="B2396" s="1371" t="str">
        <f>HYPERLINK(IFERROR("#Main_Tariff!A"&amp;MATCH(Raeburn_Main_Tariff[[#This Row],[Product Code]],Main_Tariff!I:I,0),"#Main_Tariff!A"&amp;MATCH("*"&amp;RIGHT(A2396,8)&amp;"*",Main_Tariff!A:A,0)),Raeburn_Main_Tariff[[#This Row],[PRODUCER]])</f>
        <v>Clos du Moulin aux Moines</v>
      </c>
      <c r="C2396" s="1178" t="s">
        <v>18810</v>
      </c>
      <c r="D2396" s="1178" t="s">
        <v>897</v>
      </c>
      <c r="E2396" s="1179">
        <v>2017</v>
      </c>
      <c r="F2396" s="1282" t="s">
        <v>20220</v>
      </c>
      <c r="G2396" s="1368">
        <v>35.5</v>
      </c>
      <c r="H2396" s="1178" t="s">
        <v>20224</v>
      </c>
      <c r="I2396" s="1178" t="s">
        <v>7555</v>
      </c>
      <c r="J2396" s="1178" t="s">
        <v>662</v>
      </c>
      <c r="K2396" s="1178" t="s">
        <v>267</v>
      </c>
      <c r="L2396" s="1178" t="s">
        <v>242</v>
      </c>
      <c r="M2396" s="1369"/>
      <c r="N2396" s="1178" t="s">
        <v>20244</v>
      </c>
      <c r="O2396" s="1178">
        <v>6</v>
      </c>
      <c r="P2396" s="1178">
        <v>15</v>
      </c>
    </row>
    <row r="2397" spans="1:16">
      <c r="A2397" s="1178" t="s">
        <v>21165</v>
      </c>
      <c r="B2397" s="1371" t="str">
        <f>HYPERLINK(IFERROR("#Main_Tariff!A"&amp;MATCH(Raeburn_Main_Tariff[[#This Row],[Product Code]],Main_Tariff!I:I,0),"#Main_Tariff!A"&amp;MATCH("*"&amp;RIGHT(A2397,8)&amp;"*",Main_Tariff!A:A,0)),Raeburn_Main_Tariff[[#This Row],[PRODUCER]])</f>
        <v>Clos du Moulin aux Moines</v>
      </c>
      <c r="C2397" s="1178" t="s">
        <v>21017</v>
      </c>
      <c r="D2397" s="1178" t="s">
        <v>897</v>
      </c>
      <c r="E2397" s="1179">
        <v>2019</v>
      </c>
      <c r="F2397" s="1282" t="s">
        <v>20220</v>
      </c>
      <c r="G2397" s="1368">
        <v>57.5</v>
      </c>
      <c r="H2397" s="1178" t="s">
        <v>20221</v>
      </c>
      <c r="I2397" s="1178" t="s">
        <v>7558</v>
      </c>
      <c r="J2397" s="1178" t="s">
        <v>662</v>
      </c>
      <c r="K2397" s="1178" t="s">
        <v>267</v>
      </c>
      <c r="L2397" s="1178" t="s">
        <v>242</v>
      </c>
      <c r="M2397" s="1369" t="s">
        <v>23297</v>
      </c>
      <c r="N2397" s="1178" t="s">
        <v>20244</v>
      </c>
      <c r="O2397" s="1178">
        <v>6</v>
      </c>
      <c r="P2397" s="1178">
        <v>12.5</v>
      </c>
    </row>
    <row r="2398" spans="1:16">
      <c r="A2398" s="1178" t="s">
        <v>21165</v>
      </c>
      <c r="B2398" s="1371" t="str">
        <f>HYPERLINK(IFERROR("#Main_Tariff!A"&amp;MATCH(Raeburn_Main_Tariff[[#This Row],[Product Code]],Main_Tariff!I:I,0),"#Main_Tariff!A"&amp;MATCH("*"&amp;RIGHT(A2398,8)&amp;"*",Main_Tariff!A:A,0)),Raeburn_Main_Tariff[[#This Row],[PRODUCER]])</f>
        <v>Clos du Moulin aux Moines</v>
      </c>
      <c r="C2398" s="1178" t="s">
        <v>21184</v>
      </c>
      <c r="D2398" s="1178" t="s">
        <v>897</v>
      </c>
      <c r="E2398" s="1179">
        <v>2019</v>
      </c>
      <c r="F2398" s="1282" t="s">
        <v>20220</v>
      </c>
      <c r="G2398" s="1368">
        <v>59.5</v>
      </c>
      <c r="H2398" s="1178" t="s">
        <v>20221</v>
      </c>
      <c r="I2398" s="1178" t="s">
        <v>7560</v>
      </c>
      <c r="J2398" s="1178" t="s">
        <v>662</v>
      </c>
      <c r="K2398" s="1178" t="s">
        <v>267</v>
      </c>
      <c r="L2398" s="1178" t="s">
        <v>242</v>
      </c>
      <c r="M2398" s="1369" t="s">
        <v>23297</v>
      </c>
      <c r="N2398" s="1178" t="s">
        <v>20244</v>
      </c>
      <c r="O2398" s="1178">
        <v>6</v>
      </c>
      <c r="P2398" s="1178">
        <v>12.5</v>
      </c>
    </row>
    <row r="2399" spans="1:16">
      <c r="A2399" s="1178" t="s">
        <v>21165</v>
      </c>
      <c r="B2399" s="1371" t="str">
        <f>HYPERLINK(IFERROR("#Main_Tariff!A"&amp;MATCH(Raeburn_Main_Tariff[[#This Row],[Product Code]],Main_Tariff!I:I,0),"#Main_Tariff!A"&amp;MATCH("*"&amp;RIGHT(A2399,8)&amp;"*",Main_Tariff!A:A,0)),Raeburn_Main_Tariff[[#This Row],[PRODUCER]])</f>
        <v>Clos du Moulin aux Moines</v>
      </c>
      <c r="C2399" s="1178" t="s">
        <v>21185</v>
      </c>
      <c r="D2399" s="1178" t="s">
        <v>897</v>
      </c>
      <c r="E2399" s="1179">
        <v>2019</v>
      </c>
      <c r="F2399" s="1282" t="s">
        <v>20220</v>
      </c>
      <c r="G2399" s="1368">
        <v>60.75</v>
      </c>
      <c r="H2399" s="1178" t="s">
        <v>20221</v>
      </c>
      <c r="I2399" s="1178" t="s">
        <v>7562</v>
      </c>
      <c r="J2399" s="1178" t="s">
        <v>662</v>
      </c>
      <c r="K2399" s="1178" t="s">
        <v>267</v>
      </c>
      <c r="L2399" s="1178" t="s">
        <v>242</v>
      </c>
      <c r="M2399" s="1369" t="s">
        <v>23297</v>
      </c>
      <c r="N2399" s="1178" t="s">
        <v>20244</v>
      </c>
      <c r="O2399" s="1178">
        <v>6</v>
      </c>
      <c r="P2399" s="1178">
        <v>13</v>
      </c>
    </row>
    <row r="2400" spans="1:16">
      <c r="A2400" s="1178" t="s">
        <v>21165</v>
      </c>
      <c r="B2400" s="1371" t="str">
        <f>HYPERLINK(IFERROR("#Main_Tariff!A"&amp;MATCH(Raeburn_Main_Tariff[[#This Row],[Product Code]],Main_Tariff!I:I,0),"#Main_Tariff!A"&amp;MATCH("*"&amp;RIGHT(A2400,8)&amp;"*",Main_Tariff!A:A,0)),Raeburn_Main_Tariff[[#This Row],[PRODUCER]])</f>
        <v>Clos du Moulin aux Moines</v>
      </c>
      <c r="C2400" s="1178" t="s">
        <v>21185</v>
      </c>
      <c r="D2400" s="1178" t="s">
        <v>897</v>
      </c>
      <c r="E2400" s="1179">
        <v>2018</v>
      </c>
      <c r="F2400" s="1282" t="s">
        <v>20220</v>
      </c>
      <c r="G2400" s="1368">
        <v>57</v>
      </c>
      <c r="H2400" s="1178" t="s">
        <v>20221</v>
      </c>
      <c r="I2400" s="1178" t="s">
        <v>7563</v>
      </c>
      <c r="J2400" s="1178" t="s">
        <v>662</v>
      </c>
      <c r="K2400" s="1178" t="s">
        <v>267</v>
      </c>
      <c r="L2400" s="1178" t="s">
        <v>242</v>
      </c>
      <c r="M2400" s="1369" t="s">
        <v>23297</v>
      </c>
      <c r="N2400" s="1178" t="s">
        <v>20244</v>
      </c>
      <c r="O2400" s="1178">
        <v>6</v>
      </c>
      <c r="P2400" s="1178">
        <v>12.5</v>
      </c>
    </row>
    <row r="2401" spans="1:16">
      <c r="A2401" s="1178" t="s">
        <v>21165</v>
      </c>
      <c r="B2401" s="1371" t="str">
        <f>HYPERLINK(IFERROR("#Main_Tariff!A"&amp;MATCH(Raeburn_Main_Tariff[[#This Row],[Product Code]],Main_Tariff!I:I,0),"#Main_Tariff!A"&amp;MATCH("*"&amp;RIGHT(A2401,8)&amp;"*",Main_Tariff!A:A,0)),Raeburn_Main_Tariff[[#This Row],[PRODUCER]])</f>
        <v>Clos du Moulin aux Moines</v>
      </c>
      <c r="C2401" s="1178" t="s">
        <v>21185</v>
      </c>
      <c r="D2401" s="1178" t="s">
        <v>897</v>
      </c>
      <c r="E2401" s="1179">
        <v>2017</v>
      </c>
      <c r="F2401" s="1282" t="s">
        <v>20220</v>
      </c>
      <c r="G2401" s="1368">
        <v>57</v>
      </c>
      <c r="H2401" s="1178" t="s">
        <v>20221</v>
      </c>
      <c r="I2401" s="1178" t="s">
        <v>7565</v>
      </c>
      <c r="J2401" s="1178" t="s">
        <v>662</v>
      </c>
      <c r="K2401" s="1178" t="s">
        <v>267</v>
      </c>
      <c r="L2401" s="1178" t="s">
        <v>242</v>
      </c>
      <c r="M2401" s="1369" t="s">
        <v>23297</v>
      </c>
      <c r="N2401" s="1178" t="s">
        <v>20244</v>
      </c>
      <c r="O2401" s="1178">
        <v>6</v>
      </c>
      <c r="P2401" s="1178">
        <v>13</v>
      </c>
    </row>
    <row r="2402" spans="1:16">
      <c r="A2402" s="1178" t="s">
        <v>21165</v>
      </c>
      <c r="B2402" s="1371" t="str">
        <f>HYPERLINK(IFERROR("#Main_Tariff!A"&amp;MATCH(Raeburn_Main_Tariff[[#This Row],[Product Code]],Main_Tariff!I:I,0),"#Main_Tariff!A"&amp;MATCH("*"&amp;RIGHT(A2402,8)&amp;"*",Main_Tariff!A:A,0)),Raeburn_Main_Tariff[[#This Row],[PRODUCER]])</f>
        <v>Clos du Moulin aux Moines</v>
      </c>
      <c r="C2402" s="1178" t="s">
        <v>21185</v>
      </c>
      <c r="D2402" s="1178" t="s">
        <v>897</v>
      </c>
      <c r="E2402" s="1179">
        <v>2016</v>
      </c>
      <c r="F2402" s="1282" t="s">
        <v>20220</v>
      </c>
      <c r="G2402" s="1368">
        <v>57</v>
      </c>
      <c r="H2402" s="1178" t="s">
        <v>20221</v>
      </c>
      <c r="I2402" s="1178" t="s">
        <v>7567</v>
      </c>
      <c r="J2402" s="1178" t="s">
        <v>662</v>
      </c>
      <c r="K2402" s="1178" t="s">
        <v>267</v>
      </c>
      <c r="L2402" s="1178" t="s">
        <v>242</v>
      </c>
      <c r="M2402" s="1369" t="s">
        <v>23297</v>
      </c>
      <c r="N2402" s="1178" t="s">
        <v>20244</v>
      </c>
      <c r="O2402" s="1178">
        <v>6</v>
      </c>
      <c r="P2402" s="1178">
        <v>12.5</v>
      </c>
    </row>
    <row r="2403" spans="1:16">
      <c r="A2403" s="1178" t="s">
        <v>21165</v>
      </c>
      <c r="B2403" s="1371" t="str">
        <f>HYPERLINK(IFERROR("#Main_Tariff!A"&amp;MATCH(Raeburn_Main_Tariff[[#This Row],[Product Code]],Main_Tariff!I:I,0),"#Main_Tariff!A"&amp;MATCH("*"&amp;RIGHT(A2403,8)&amp;"*",Main_Tariff!A:A,0)),Raeburn_Main_Tariff[[#This Row],[PRODUCER]])</f>
        <v>Clos du Moulin aux Moines</v>
      </c>
      <c r="C2403" s="1178" t="s">
        <v>21185</v>
      </c>
      <c r="D2403" s="1178" t="s">
        <v>897</v>
      </c>
      <c r="E2403" s="1179">
        <v>2015</v>
      </c>
      <c r="F2403" s="1282" t="s">
        <v>20220</v>
      </c>
      <c r="G2403" s="1368">
        <v>57</v>
      </c>
      <c r="H2403" s="1178" t="s">
        <v>20221</v>
      </c>
      <c r="I2403" s="1178" t="s">
        <v>7569</v>
      </c>
      <c r="J2403" s="1178" t="s">
        <v>662</v>
      </c>
      <c r="K2403" s="1178" t="s">
        <v>267</v>
      </c>
      <c r="L2403" s="1178" t="s">
        <v>242</v>
      </c>
      <c r="M2403" s="1369" t="s">
        <v>23297</v>
      </c>
      <c r="N2403" s="1178" t="s">
        <v>20244</v>
      </c>
      <c r="O2403" s="1178">
        <v>6</v>
      </c>
      <c r="P2403" s="1178">
        <v>12.5</v>
      </c>
    </row>
    <row r="2404" spans="1:16">
      <c r="A2404" s="1178" t="s">
        <v>21165</v>
      </c>
      <c r="B2404" s="1371" t="str">
        <f>HYPERLINK(IFERROR("#Main_Tariff!A"&amp;MATCH(Raeburn_Main_Tariff[[#This Row],[Product Code]],Main_Tariff!I:I,0),"#Main_Tariff!A"&amp;MATCH("*"&amp;RIGHT(A2404,8)&amp;"*",Main_Tariff!A:A,0)),Raeburn_Main_Tariff[[#This Row],[PRODUCER]])</f>
        <v>Clos du Moulin aux Moines</v>
      </c>
      <c r="C2404" s="1178" t="s">
        <v>21185</v>
      </c>
      <c r="D2404" s="1178" t="s">
        <v>897</v>
      </c>
      <c r="E2404" s="1179">
        <v>2014</v>
      </c>
      <c r="F2404" s="1282" t="s">
        <v>20220</v>
      </c>
      <c r="G2404" s="1368">
        <v>54</v>
      </c>
      <c r="H2404" s="1178" t="s">
        <v>20221</v>
      </c>
      <c r="I2404" s="1178" t="s">
        <v>7571</v>
      </c>
      <c r="J2404" s="1178" t="s">
        <v>662</v>
      </c>
      <c r="K2404" s="1178" t="s">
        <v>267</v>
      </c>
      <c r="L2404" s="1178" t="s">
        <v>242</v>
      </c>
      <c r="M2404" s="1369" t="s">
        <v>23297</v>
      </c>
      <c r="N2404" s="1178" t="s">
        <v>20244</v>
      </c>
      <c r="O2404" s="1178">
        <v>6</v>
      </c>
      <c r="P2404" s="1178">
        <v>13.5</v>
      </c>
    </row>
    <row r="2405" spans="1:16">
      <c r="A2405" s="1178" t="s">
        <v>21186</v>
      </c>
      <c r="B2405" s="1371" t="str">
        <f>HYPERLINK(IFERROR("#Main_Tariff!A"&amp;MATCH(Raeburn_Main_Tariff[[#This Row],[Product Code]],Main_Tariff!I:I,0),"#Main_Tariff!A"&amp;MATCH("*"&amp;RIGHT(A2405,8)&amp;"*",Main_Tariff!A:A,0)),Raeburn_Main_Tariff[[#This Row],[PRODUCER]])</f>
        <v>Domaine Potinet-Ampeau</v>
      </c>
      <c r="C2405" s="1178" t="s">
        <v>21187</v>
      </c>
      <c r="D2405" s="1178" t="s">
        <v>1129</v>
      </c>
      <c r="E2405" s="1179">
        <v>2012</v>
      </c>
      <c r="F2405" s="1282" t="s">
        <v>20220</v>
      </c>
      <c r="G2405" s="1368">
        <v>27</v>
      </c>
      <c r="H2405" s="1178" t="s">
        <v>20221</v>
      </c>
      <c r="I2405" s="1178" t="s">
        <v>7595</v>
      </c>
      <c r="J2405" s="1178" t="s">
        <v>662</v>
      </c>
      <c r="K2405" s="1178" t="s">
        <v>267</v>
      </c>
      <c r="L2405" s="1178" t="s">
        <v>242</v>
      </c>
      <c r="M2405" s="1369"/>
      <c r="N2405" s="1178"/>
      <c r="O2405" s="1178">
        <v>12</v>
      </c>
      <c r="P2405" s="1178">
        <v>13</v>
      </c>
    </row>
    <row r="2406" spans="1:16">
      <c r="A2406" s="1178" t="s">
        <v>21186</v>
      </c>
      <c r="B2406" s="1371" t="str">
        <f>HYPERLINK(IFERROR("#Main_Tariff!A"&amp;MATCH(Raeburn_Main_Tariff[[#This Row],[Product Code]],Main_Tariff!I:I,0),"#Main_Tariff!A"&amp;MATCH("*"&amp;RIGHT(A2406,8)&amp;"*",Main_Tariff!A:A,0)),Raeburn_Main_Tariff[[#This Row],[PRODUCER]])</f>
        <v>Domaine Potinet-Ampeau</v>
      </c>
      <c r="C2406" s="1178" t="s">
        <v>21026</v>
      </c>
      <c r="D2406" s="1178" t="s">
        <v>1129</v>
      </c>
      <c r="E2406" s="1179">
        <v>2015</v>
      </c>
      <c r="F2406" s="1282" t="s">
        <v>20220</v>
      </c>
      <c r="G2406" s="1368">
        <v>48.5</v>
      </c>
      <c r="H2406" s="1178" t="s">
        <v>20221</v>
      </c>
      <c r="I2406" s="1178" t="s">
        <v>7596</v>
      </c>
      <c r="J2406" s="1178" t="s">
        <v>662</v>
      </c>
      <c r="K2406" s="1178" t="s">
        <v>267</v>
      </c>
      <c r="L2406" s="1178" t="s">
        <v>242</v>
      </c>
      <c r="M2406" s="1369"/>
      <c r="N2406" s="1178"/>
      <c r="O2406" s="1178">
        <v>6</v>
      </c>
      <c r="P2406" s="1178">
        <v>13.5</v>
      </c>
    </row>
    <row r="2407" spans="1:16">
      <c r="A2407" s="1178" t="s">
        <v>21186</v>
      </c>
      <c r="B2407" s="1371" t="str">
        <f>HYPERLINK(IFERROR("#Main_Tariff!A"&amp;MATCH(Raeburn_Main_Tariff[[#This Row],[Product Code]],Main_Tariff!I:I,0),"#Main_Tariff!A"&amp;MATCH("*"&amp;RIGHT(A2407,8)&amp;"*",Main_Tariff!A:A,0)),Raeburn_Main_Tariff[[#This Row],[PRODUCER]])</f>
        <v>Domaine Potinet-Ampeau</v>
      </c>
      <c r="C2407" s="1178" t="s">
        <v>21188</v>
      </c>
      <c r="D2407" s="1178" t="s">
        <v>1129</v>
      </c>
      <c r="E2407" s="1179">
        <v>2018</v>
      </c>
      <c r="F2407" s="1282" t="s">
        <v>20220</v>
      </c>
      <c r="G2407" s="1368">
        <v>51</v>
      </c>
      <c r="H2407" s="1178" t="s">
        <v>20221</v>
      </c>
      <c r="I2407" s="1178" t="s">
        <v>7598</v>
      </c>
      <c r="J2407" s="1178" t="s">
        <v>662</v>
      </c>
      <c r="K2407" s="1178" t="s">
        <v>267</v>
      </c>
      <c r="L2407" s="1178" t="s">
        <v>242</v>
      </c>
      <c r="M2407" s="1369"/>
      <c r="N2407" s="1178"/>
      <c r="O2407" s="1178">
        <v>6</v>
      </c>
      <c r="P2407" s="1178">
        <v>13.5</v>
      </c>
    </row>
    <row r="2408" spans="1:16">
      <c r="A2408" s="1178" t="s">
        <v>21186</v>
      </c>
      <c r="B2408" s="1371" t="str">
        <f>HYPERLINK(IFERROR("#Main_Tariff!A"&amp;MATCH(Raeburn_Main_Tariff[[#This Row],[Product Code]],Main_Tariff!I:I,0),"#Main_Tariff!A"&amp;MATCH("*"&amp;RIGHT(A2408,8)&amp;"*",Main_Tariff!A:A,0)),Raeburn_Main_Tariff[[#This Row],[PRODUCER]])</f>
        <v>Domaine Potinet-Ampeau</v>
      </c>
      <c r="C2408" s="1178" t="s">
        <v>21033</v>
      </c>
      <c r="D2408" s="1178" t="s">
        <v>1129</v>
      </c>
      <c r="E2408" s="1179">
        <v>2014</v>
      </c>
      <c r="F2408" s="1282" t="s">
        <v>20220</v>
      </c>
      <c r="G2408" s="1368" t="s">
        <v>5258</v>
      </c>
      <c r="H2408" s="1178" t="s">
        <v>20224</v>
      </c>
      <c r="I2408" s="1178" t="s">
        <v>7600</v>
      </c>
      <c r="J2408" s="1178" t="s">
        <v>662</v>
      </c>
      <c r="K2408" s="1178" t="s">
        <v>267</v>
      </c>
      <c r="L2408" s="1178" t="s">
        <v>242</v>
      </c>
      <c r="M2408" s="1369"/>
      <c r="N2408" s="1178"/>
      <c r="O2408" s="1178">
        <v>6</v>
      </c>
      <c r="P2408" s="1178">
        <v>13.5</v>
      </c>
    </row>
    <row r="2409" spans="1:16">
      <c r="A2409" s="1178" t="s">
        <v>21186</v>
      </c>
      <c r="B2409" s="1371" t="str">
        <f>HYPERLINK(IFERROR("#Main_Tariff!A"&amp;MATCH(Raeburn_Main_Tariff[[#This Row],[Product Code]],Main_Tariff!I:I,0),"#Main_Tariff!A"&amp;MATCH("*"&amp;RIGHT(A2409,8)&amp;"*",Main_Tariff!A:A,0)),Raeburn_Main_Tariff[[#This Row],[PRODUCER]])</f>
        <v>Domaine Potinet-Ampeau</v>
      </c>
      <c r="C2409" s="1178" t="s">
        <v>21189</v>
      </c>
      <c r="D2409" s="1178" t="s">
        <v>1129</v>
      </c>
      <c r="E2409" s="1179">
        <v>2011</v>
      </c>
      <c r="F2409" s="1282" t="s">
        <v>20220</v>
      </c>
      <c r="G2409" s="1368">
        <v>72.5</v>
      </c>
      <c r="H2409" s="1178" t="s">
        <v>20221</v>
      </c>
      <c r="I2409" s="1178" t="s">
        <v>7602</v>
      </c>
      <c r="J2409" s="1178" t="s">
        <v>662</v>
      </c>
      <c r="K2409" s="1178" t="s">
        <v>267</v>
      </c>
      <c r="L2409" s="1178" t="s">
        <v>242</v>
      </c>
      <c r="M2409" s="1369" t="s">
        <v>23297</v>
      </c>
      <c r="N2409" s="1178"/>
      <c r="O2409" s="1178">
        <v>6</v>
      </c>
      <c r="P2409" s="1178">
        <v>13.5</v>
      </c>
    </row>
    <row r="2410" spans="1:16">
      <c r="A2410" s="1178" t="s">
        <v>21186</v>
      </c>
      <c r="B2410" s="1371" t="str">
        <f>HYPERLINK(IFERROR("#Main_Tariff!A"&amp;MATCH(Raeburn_Main_Tariff[[#This Row],[Product Code]],Main_Tariff!I:I,0),"#Main_Tariff!A"&amp;MATCH("*"&amp;RIGHT(A2410,8)&amp;"*",Main_Tariff!A:A,0)),Raeburn_Main_Tariff[[#This Row],[PRODUCER]])</f>
        <v>Domaine Potinet-Ampeau</v>
      </c>
      <c r="C2410" s="1178" t="s">
        <v>21190</v>
      </c>
      <c r="D2410" s="1178" t="s">
        <v>1129</v>
      </c>
      <c r="E2410" s="1179">
        <v>2017</v>
      </c>
      <c r="F2410" s="1282" t="s">
        <v>20220</v>
      </c>
      <c r="G2410" s="1368">
        <v>69.900000000000006</v>
      </c>
      <c r="H2410" s="1178" t="s">
        <v>20221</v>
      </c>
      <c r="I2410" s="1178" t="s">
        <v>7603</v>
      </c>
      <c r="J2410" s="1178" t="s">
        <v>662</v>
      </c>
      <c r="K2410" s="1178" t="s">
        <v>267</v>
      </c>
      <c r="L2410" s="1178" t="s">
        <v>242</v>
      </c>
      <c r="M2410" s="1369" t="s">
        <v>23297</v>
      </c>
      <c r="N2410" s="1178"/>
      <c r="O2410" s="1178">
        <v>6</v>
      </c>
      <c r="P2410" s="1178">
        <v>13.5</v>
      </c>
    </row>
    <row r="2411" spans="1:16">
      <c r="A2411" s="1178" t="s">
        <v>21186</v>
      </c>
      <c r="B2411" s="1371" t="str">
        <f>HYPERLINK(IFERROR("#Main_Tariff!A"&amp;MATCH(Raeburn_Main_Tariff[[#This Row],[Product Code]],Main_Tariff!I:I,0),"#Main_Tariff!A"&amp;MATCH("*"&amp;RIGHT(A2411,8)&amp;"*",Main_Tariff!A:A,0)),Raeburn_Main_Tariff[[#This Row],[PRODUCER]])</f>
        <v>Domaine Potinet-Ampeau</v>
      </c>
      <c r="C2411" s="1178" t="s">
        <v>21190</v>
      </c>
      <c r="D2411" s="1178" t="s">
        <v>1129</v>
      </c>
      <c r="E2411" s="1179">
        <v>2014</v>
      </c>
      <c r="F2411" s="1282" t="s">
        <v>20220</v>
      </c>
      <c r="G2411" s="1368">
        <v>77.5</v>
      </c>
      <c r="H2411" s="1178" t="s">
        <v>20221</v>
      </c>
      <c r="I2411" s="1178" t="s">
        <v>7605</v>
      </c>
      <c r="J2411" s="1178" t="s">
        <v>662</v>
      </c>
      <c r="K2411" s="1178" t="s">
        <v>267</v>
      </c>
      <c r="L2411" s="1178" t="s">
        <v>242</v>
      </c>
      <c r="M2411" s="1369" t="s">
        <v>23297</v>
      </c>
      <c r="N2411" s="1178"/>
      <c r="O2411" s="1178">
        <v>6</v>
      </c>
      <c r="P2411" s="1178">
        <v>13.5</v>
      </c>
    </row>
    <row r="2412" spans="1:16">
      <c r="A2412" s="1178" t="s">
        <v>21186</v>
      </c>
      <c r="B2412" s="1371" t="str">
        <f>HYPERLINK(IFERROR("#Main_Tariff!A"&amp;MATCH(Raeburn_Main_Tariff[[#This Row],[Product Code]],Main_Tariff!I:I,0),"#Main_Tariff!A"&amp;MATCH("*"&amp;RIGHT(A2412,8)&amp;"*",Main_Tariff!A:A,0)),Raeburn_Main_Tariff[[#This Row],[PRODUCER]])</f>
        <v>Domaine Potinet-Ampeau</v>
      </c>
      <c r="C2412" s="1178" t="s">
        <v>21029</v>
      </c>
      <c r="D2412" s="1178" t="s">
        <v>1129</v>
      </c>
      <c r="E2412" s="1179">
        <v>2013</v>
      </c>
      <c r="F2412" s="1282" t="s">
        <v>20220</v>
      </c>
      <c r="G2412" s="1368">
        <v>93.5</v>
      </c>
      <c r="H2412" s="1178" t="s">
        <v>20221</v>
      </c>
      <c r="I2412" s="1178" t="s">
        <v>7607</v>
      </c>
      <c r="J2412" s="1178" t="s">
        <v>662</v>
      </c>
      <c r="K2412" s="1178" t="s">
        <v>267</v>
      </c>
      <c r="L2412" s="1178" t="s">
        <v>242</v>
      </c>
      <c r="M2412" s="1369" t="s">
        <v>23297</v>
      </c>
      <c r="N2412" s="1178"/>
      <c r="O2412" s="1178">
        <v>6</v>
      </c>
      <c r="P2412" s="1178">
        <v>13.5</v>
      </c>
    </row>
    <row r="2413" spans="1:16">
      <c r="A2413" s="1178" t="s">
        <v>21186</v>
      </c>
      <c r="B2413" s="1371" t="str">
        <f>HYPERLINK(IFERROR("#Main_Tariff!A"&amp;MATCH(Raeburn_Main_Tariff[[#This Row],[Product Code]],Main_Tariff!I:I,0),"#Main_Tariff!A"&amp;MATCH("*"&amp;RIGHT(A2413,8)&amp;"*",Main_Tariff!A:A,0)),Raeburn_Main_Tariff[[#This Row],[PRODUCER]])</f>
        <v>Domaine Potinet-Ampeau</v>
      </c>
      <c r="C2413" s="1178" t="s">
        <v>21191</v>
      </c>
      <c r="D2413" s="1178" t="s">
        <v>1129</v>
      </c>
      <c r="E2413" s="1179"/>
      <c r="F2413" s="1282" t="s">
        <v>20220</v>
      </c>
      <c r="G2413" s="1368"/>
      <c r="H2413" s="1178" t="s">
        <v>3907</v>
      </c>
      <c r="I2413" s="1178" t="s">
        <v>7609</v>
      </c>
      <c r="J2413" s="1178" t="s">
        <v>662</v>
      </c>
      <c r="K2413" s="1178" t="s">
        <v>267</v>
      </c>
      <c r="L2413" s="1178" t="s">
        <v>242</v>
      </c>
      <c r="M2413" s="1369" t="s">
        <v>23297</v>
      </c>
      <c r="N2413" s="1178"/>
      <c r="O2413" s="1178">
        <v>6</v>
      </c>
      <c r="P2413" s="1178">
        <v>13.5</v>
      </c>
    </row>
    <row r="2414" spans="1:16">
      <c r="A2414" s="1178" t="s">
        <v>21186</v>
      </c>
      <c r="B2414" s="1371" t="str">
        <f>HYPERLINK(IFERROR("#Main_Tariff!A"&amp;MATCH(Raeburn_Main_Tariff[[#This Row],[Product Code]],Main_Tariff!I:I,0),"#Main_Tariff!A"&amp;MATCH("*"&amp;RIGHT(A2414,8)&amp;"*",Main_Tariff!A:A,0)),Raeburn_Main_Tariff[[#This Row],[PRODUCER]])</f>
        <v>Domaine Potinet-Ampeau</v>
      </c>
      <c r="C2414" s="1178" t="s">
        <v>21192</v>
      </c>
      <c r="D2414" s="1178" t="s">
        <v>897</v>
      </c>
      <c r="E2414" s="1179">
        <v>2010</v>
      </c>
      <c r="F2414" s="1282" t="s">
        <v>20220</v>
      </c>
      <c r="G2414" s="1368">
        <v>25.5</v>
      </c>
      <c r="H2414" s="1178" t="s">
        <v>20221</v>
      </c>
      <c r="I2414" s="1178" t="s">
        <v>7612</v>
      </c>
      <c r="J2414" s="1178" t="s">
        <v>662</v>
      </c>
      <c r="K2414" s="1178" t="s">
        <v>267</v>
      </c>
      <c r="L2414" s="1178" t="s">
        <v>242</v>
      </c>
      <c r="M2414" s="1369"/>
      <c r="N2414" s="1178"/>
      <c r="O2414" s="1178">
        <v>6</v>
      </c>
      <c r="P2414" s="1178">
        <v>13</v>
      </c>
    </row>
    <row r="2415" spans="1:16">
      <c r="A2415" s="1178" t="s">
        <v>21186</v>
      </c>
      <c r="B2415" s="1371" t="str">
        <f>HYPERLINK(IFERROR("#Main_Tariff!A"&amp;MATCH(Raeburn_Main_Tariff[[#This Row],[Product Code]],Main_Tariff!I:I,0),"#Main_Tariff!A"&amp;MATCH("*"&amp;RIGHT(A2415,8)&amp;"*",Main_Tariff!A:A,0)),Raeburn_Main_Tariff[[#This Row],[PRODUCER]])</f>
        <v>Domaine Potinet-Ampeau</v>
      </c>
      <c r="C2415" s="1178" t="s">
        <v>21193</v>
      </c>
      <c r="D2415" s="1178" t="s">
        <v>897</v>
      </c>
      <c r="E2415" s="1179">
        <v>2006</v>
      </c>
      <c r="F2415" s="1282" t="s">
        <v>20220</v>
      </c>
      <c r="G2415" s="1368">
        <v>32</v>
      </c>
      <c r="H2415" s="1178" t="s">
        <v>20465</v>
      </c>
      <c r="I2415" s="1178" t="s">
        <v>7615</v>
      </c>
      <c r="J2415" s="1178" t="s">
        <v>662</v>
      </c>
      <c r="K2415" s="1178" t="s">
        <v>267</v>
      </c>
      <c r="L2415" s="1178" t="s">
        <v>242</v>
      </c>
      <c r="M2415" s="1369" t="s">
        <v>23297</v>
      </c>
      <c r="N2415" s="1178"/>
      <c r="O2415" s="1178">
        <v>12</v>
      </c>
      <c r="P2415" s="1178">
        <v>15</v>
      </c>
    </row>
    <row r="2416" spans="1:16">
      <c r="A2416" s="1178" t="s">
        <v>21186</v>
      </c>
      <c r="B2416" s="1371" t="str">
        <f>HYPERLINK(IFERROR("#Main_Tariff!A"&amp;MATCH(Raeburn_Main_Tariff[[#This Row],[Product Code]],Main_Tariff!I:I,0),"#Main_Tariff!A"&amp;MATCH("*"&amp;RIGHT(A2416,8)&amp;"*",Main_Tariff!A:A,0)),Raeburn_Main_Tariff[[#This Row],[PRODUCER]])</f>
        <v>Domaine Potinet-Ampeau</v>
      </c>
      <c r="C2416" s="1178" t="s">
        <v>21194</v>
      </c>
      <c r="D2416" s="1178" t="s">
        <v>897</v>
      </c>
      <c r="E2416" s="1179">
        <v>2013</v>
      </c>
      <c r="F2416" s="1282" t="s">
        <v>20220</v>
      </c>
      <c r="G2416" s="1368">
        <v>33</v>
      </c>
      <c r="H2416" s="1178" t="s">
        <v>20221</v>
      </c>
      <c r="I2416" s="1178" t="s">
        <v>7617</v>
      </c>
      <c r="J2416" s="1178" t="s">
        <v>662</v>
      </c>
      <c r="K2416" s="1178" t="s">
        <v>267</v>
      </c>
      <c r="L2416" s="1178" t="s">
        <v>242</v>
      </c>
      <c r="M2416" s="1369" t="s">
        <v>23297</v>
      </c>
      <c r="N2416" s="1178"/>
      <c r="O2416" s="1178">
        <v>6</v>
      </c>
      <c r="P2416" s="1178">
        <v>13.5</v>
      </c>
    </row>
    <row r="2417" spans="1:16">
      <c r="A2417" s="1178" t="s">
        <v>21186</v>
      </c>
      <c r="B2417" s="1371" t="str">
        <f>HYPERLINK(IFERROR("#Main_Tariff!A"&amp;MATCH(Raeburn_Main_Tariff[[#This Row],[Product Code]],Main_Tariff!I:I,0),"#Main_Tariff!A"&amp;MATCH("*"&amp;RIGHT(A2417,8)&amp;"*",Main_Tariff!A:A,0)),Raeburn_Main_Tariff[[#This Row],[PRODUCER]])</f>
        <v>Domaine Potinet-Ampeau</v>
      </c>
      <c r="C2417" s="1178" t="s">
        <v>21194</v>
      </c>
      <c r="D2417" s="1178" t="s">
        <v>897</v>
      </c>
      <c r="E2417" s="1179">
        <v>2010</v>
      </c>
      <c r="F2417" s="1282" t="s">
        <v>20220</v>
      </c>
      <c r="G2417" s="1368">
        <v>33.5</v>
      </c>
      <c r="H2417" s="1178" t="s">
        <v>20221</v>
      </c>
      <c r="I2417" s="1178" t="s">
        <v>7619</v>
      </c>
      <c r="J2417" s="1178" t="s">
        <v>662</v>
      </c>
      <c r="K2417" s="1178" t="s">
        <v>267</v>
      </c>
      <c r="L2417" s="1178" t="s">
        <v>242</v>
      </c>
      <c r="M2417" s="1369" t="s">
        <v>23297</v>
      </c>
      <c r="N2417" s="1178"/>
      <c r="O2417" s="1178">
        <v>6</v>
      </c>
      <c r="P2417" s="1178">
        <v>13.5</v>
      </c>
    </row>
    <row r="2418" spans="1:16">
      <c r="A2418" s="1178" t="s">
        <v>21186</v>
      </c>
      <c r="B2418" s="1371" t="str">
        <f>HYPERLINK(IFERROR("#Main_Tariff!A"&amp;MATCH(Raeburn_Main_Tariff[[#This Row],[Product Code]],Main_Tariff!I:I,0),"#Main_Tariff!A"&amp;MATCH("*"&amp;RIGHT(A2418,8)&amp;"*",Main_Tariff!A:A,0)),Raeburn_Main_Tariff[[#This Row],[PRODUCER]])</f>
        <v>Domaine Potinet-Ampeau</v>
      </c>
      <c r="C2418" s="1178" t="s">
        <v>21195</v>
      </c>
      <c r="D2418" s="1178" t="s">
        <v>897</v>
      </c>
      <c r="E2418" s="1179">
        <v>2010</v>
      </c>
      <c r="F2418" s="1282" t="s">
        <v>20220</v>
      </c>
      <c r="G2418" s="1368">
        <v>34</v>
      </c>
      <c r="H2418" s="1178" t="s">
        <v>20221</v>
      </c>
      <c r="I2418" s="1178" t="s">
        <v>7621</v>
      </c>
      <c r="J2418" s="1178" t="s">
        <v>662</v>
      </c>
      <c r="K2418" s="1178" t="s">
        <v>267</v>
      </c>
      <c r="L2418" s="1178" t="s">
        <v>242</v>
      </c>
      <c r="M2418" s="1369" t="s">
        <v>23297</v>
      </c>
      <c r="N2418" s="1178"/>
      <c r="O2418" s="1178">
        <v>6</v>
      </c>
      <c r="P2418" s="1178">
        <v>13.5</v>
      </c>
    </row>
    <row r="2419" spans="1:16">
      <c r="A2419" s="1178" t="s">
        <v>21186</v>
      </c>
      <c r="B2419" s="1371" t="str">
        <f>HYPERLINK(IFERROR("#Main_Tariff!A"&amp;MATCH(Raeburn_Main_Tariff[[#This Row],[Product Code]],Main_Tariff!I:I,0),"#Main_Tariff!A"&amp;MATCH("*"&amp;RIGHT(A2419,8)&amp;"*",Main_Tariff!A:A,0)),Raeburn_Main_Tariff[[#This Row],[PRODUCER]])</f>
        <v>Domaine Potinet-Ampeau</v>
      </c>
      <c r="C2419" s="1178" t="s">
        <v>21195</v>
      </c>
      <c r="D2419" s="1178" t="s">
        <v>897</v>
      </c>
      <c r="E2419" s="1179">
        <v>2000</v>
      </c>
      <c r="F2419" s="1282" t="s">
        <v>20220</v>
      </c>
      <c r="G2419" s="1368">
        <v>39.5</v>
      </c>
      <c r="H2419" s="1178" t="s">
        <v>20221</v>
      </c>
      <c r="I2419" s="1178" t="s">
        <v>6296</v>
      </c>
      <c r="J2419" s="1178" t="s">
        <v>662</v>
      </c>
      <c r="K2419" s="1178" t="s">
        <v>267</v>
      </c>
      <c r="L2419" s="1178" t="s">
        <v>242</v>
      </c>
      <c r="M2419" s="1369" t="s">
        <v>23297</v>
      </c>
      <c r="N2419" s="1178"/>
      <c r="O2419" s="1178">
        <v>6</v>
      </c>
      <c r="P2419" s="1178">
        <v>13.5</v>
      </c>
    </row>
    <row r="2420" spans="1:16">
      <c r="A2420" s="1178" t="s">
        <v>21186</v>
      </c>
      <c r="B2420" s="1371" t="str">
        <f>HYPERLINK(IFERROR("#Main_Tariff!A"&amp;MATCH(Raeburn_Main_Tariff[[#This Row],[Product Code]],Main_Tariff!I:I,0),"#Main_Tariff!A"&amp;MATCH("*"&amp;RIGHT(A2420,8)&amp;"*",Main_Tariff!A:A,0)),Raeburn_Main_Tariff[[#This Row],[PRODUCER]])</f>
        <v>Domaine Potinet-Ampeau</v>
      </c>
      <c r="C2420" s="1178" t="s">
        <v>21195</v>
      </c>
      <c r="D2420" s="1178" t="s">
        <v>897</v>
      </c>
      <c r="E2420" s="1179">
        <v>1998</v>
      </c>
      <c r="F2420" s="1282" t="s">
        <v>20220</v>
      </c>
      <c r="G2420" s="1368">
        <v>40</v>
      </c>
      <c r="H2420" s="1178" t="s">
        <v>20221</v>
      </c>
      <c r="I2420" s="1178" t="s">
        <v>7624</v>
      </c>
      <c r="J2420" s="1178" t="s">
        <v>662</v>
      </c>
      <c r="K2420" s="1178" t="s">
        <v>267</v>
      </c>
      <c r="L2420" s="1178" t="s">
        <v>242</v>
      </c>
      <c r="M2420" s="1369" t="s">
        <v>23297</v>
      </c>
      <c r="N2420" s="1178"/>
      <c r="O2420" s="1178">
        <v>6</v>
      </c>
      <c r="P2420" s="1178">
        <v>13.5</v>
      </c>
    </row>
    <row r="2421" spans="1:16">
      <c r="A2421" s="1178" t="s">
        <v>21186</v>
      </c>
      <c r="B2421" s="1371" t="str">
        <f>HYPERLINK(IFERROR("#Main_Tariff!A"&amp;MATCH(Raeburn_Main_Tariff[[#This Row],[Product Code]],Main_Tariff!I:I,0),"#Main_Tariff!A"&amp;MATCH("*"&amp;RIGHT(A2421,8)&amp;"*",Main_Tariff!A:A,0)),Raeburn_Main_Tariff[[#This Row],[PRODUCER]])</f>
        <v>Domaine Potinet-Ampeau</v>
      </c>
      <c r="C2421" s="1178" t="s">
        <v>21184</v>
      </c>
      <c r="D2421" s="1178" t="s">
        <v>897</v>
      </c>
      <c r="E2421" s="1179">
        <v>2017</v>
      </c>
      <c r="F2421" s="1282" t="s">
        <v>20220</v>
      </c>
      <c r="G2421" s="1368">
        <v>52</v>
      </c>
      <c r="H2421" s="1178" t="s">
        <v>20221</v>
      </c>
      <c r="I2421" s="1178" t="s">
        <v>7626</v>
      </c>
      <c r="J2421" s="1178" t="s">
        <v>662</v>
      </c>
      <c r="K2421" s="1178" t="s">
        <v>267</v>
      </c>
      <c r="L2421" s="1178" t="s">
        <v>242</v>
      </c>
      <c r="M2421" s="1369" t="s">
        <v>23297</v>
      </c>
      <c r="N2421" s="1178"/>
      <c r="O2421" s="1178">
        <v>6</v>
      </c>
      <c r="P2421" s="1178">
        <v>13.5</v>
      </c>
    </row>
    <row r="2422" spans="1:16">
      <c r="A2422" s="1178" t="s">
        <v>21186</v>
      </c>
      <c r="B2422" s="1371" t="str">
        <f>HYPERLINK(IFERROR("#Main_Tariff!A"&amp;MATCH(Raeburn_Main_Tariff[[#This Row],[Product Code]],Main_Tariff!I:I,0),"#Main_Tariff!A"&amp;MATCH("*"&amp;RIGHT(A2422,8)&amp;"*",Main_Tariff!A:A,0)),Raeburn_Main_Tariff[[#This Row],[PRODUCER]])</f>
        <v>Domaine Potinet-Ampeau</v>
      </c>
      <c r="C2422" s="1178" t="s">
        <v>21184</v>
      </c>
      <c r="D2422" s="1178" t="s">
        <v>897</v>
      </c>
      <c r="E2422" s="1179">
        <v>2006</v>
      </c>
      <c r="F2422" s="1282" t="s">
        <v>20220</v>
      </c>
      <c r="G2422" s="1368">
        <v>47</v>
      </c>
      <c r="H2422" s="1178" t="s">
        <v>20221</v>
      </c>
      <c r="I2422" s="1178" t="s">
        <v>7628</v>
      </c>
      <c r="J2422" s="1178" t="s">
        <v>662</v>
      </c>
      <c r="K2422" s="1178" t="s">
        <v>267</v>
      </c>
      <c r="L2422" s="1178" t="s">
        <v>242</v>
      </c>
      <c r="M2422" s="1369" t="s">
        <v>23297</v>
      </c>
      <c r="N2422" s="1178"/>
      <c r="O2422" s="1178">
        <v>6</v>
      </c>
      <c r="P2422" s="1178">
        <v>13.5</v>
      </c>
    </row>
    <row r="2423" spans="1:16">
      <c r="A2423" s="1178" t="s">
        <v>21186</v>
      </c>
      <c r="B2423" s="1371" t="str">
        <f>HYPERLINK(IFERROR("#Main_Tariff!A"&amp;MATCH(Raeburn_Main_Tariff[[#This Row],[Product Code]],Main_Tariff!I:I,0),"#Main_Tariff!A"&amp;MATCH("*"&amp;RIGHT(A2423,8)&amp;"*",Main_Tariff!A:A,0)),Raeburn_Main_Tariff[[#This Row],[PRODUCER]])</f>
        <v>Domaine Potinet-Ampeau</v>
      </c>
      <c r="C2423" s="1178" t="s">
        <v>21114</v>
      </c>
      <c r="D2423" s="1178" t="s">
        <v>897</v>
      </c>
      <c r="E2423" s="1179">
        <v>2016</v>
      </c>
      <c r="F2423" s="1282" t="s">
        <v>20220</v>
      </c>
      <c r="G2423" s="1368">
        <v>44</v>
      </c>
      <c r="H2423" s="1178" t="s">
        <v>20221</v>
      </c>
      <c r="I2423" s="1178" t="s">
        <v>7630</v>
      </c>
      <c r="J2423" s="1178" t="s">
        <v>662</v>
      </c>
      <c r="K2423" s="1178" t="s">
        <v>267</v>
      </c>
      <c r="L2423" s="1178" t="s">
        <v>242</v>
      </c>
      <c r="M2423" s="1369" t="s">
        <v>23297</v>
      </c>
      <c r="N2423" s="1178"/>
      <c r="O2423" s="1178">
        <v>6</v>
      </c>
      <c r="P2423" s="1178">
        <v>13.5</v>
      </c>
    </row>
    <row r="2424" spans="1:16">
      <c r="A2424" s="1178" t="s">
        <v>21186</v>
      </c>
      <c r="B2424" s="1371" t="str">
        <f>HYPERLINK(IFERROR("#Main_Tariff!A"&amp;MATCH(Raeburn_Main_Tariff[[#This Row],[Product Code]],Main_Tariff!I:I,0),"#Main_Tariff!A"&amp;MATCH("*"&amp;RIGHT(A2424,8)&amp;"*",Main_Tariff!A:A,0)),Raeburn_Main_Tariff[[#This Row],[PRODUCER]])</f>
        <v>Domaine Potinet-Ampeau</v>
      </c>
      <c r="C2424" s="1178" t="s">
        <v>21114</v>
      </c>
      <c r="D2424" s="1178" t="s">
        <v>897</v>
      </c>
      <c r="E2424" s="1179">
        <v>2012</v>
      </c>
      <c r="F2424" s="1282" t="s">
        <v>20220</v>
      </c>
      <c r="G2424" s="1368">
        <v>47</v>
      </c>
      <c r="H2424" s="1178" t="s">
        <v>20221</v>
      </c>
      <c r="I2424" s="1178" t="s">
        <v>7632</v>
      </c>
      <c r="J2424" s="1178" t="s">
        <v>662</v>
      </c>
      <c r="K2424" s="1178" t="s">
        <v>267</v>
      </c>
      <c r="L2424" s="1178" t="s">
        <v>242</v>
      </c>
      <c r="M2424" s="1369" t="s">
        <v>23297</v>
      </c>
      <c r="N2424" s="1178"/>
      <c r="O2424" s="1178">
        <v>6</v>
      </c>
      <c r="P2424" s="1178">
        <v>13.5</v>
      </c>
    </row>
    <row r="2425" spans="1:16">
      <c r="A2425" s="1178" t="s">
        <v>21186</v>
      </c>
      <c r="B2425" s="1371" t="str">
        <f>HYPERLINK(IFERROR("#Main_Tariff!A"&amp;MATCH(Raeburn_Main_Tariff[[#This Row],[Product Code]],Main_Tariff!I:I,0),"#Main_Tariff!A"&amp;MATCH("*"&amp;RIGHT(A2425,8)&amp;"*",Main_Tariff!A:A,0)),Raeburn_Main_Tariff[[#This Row],[PRODUCER]])</f>
        <v>Domaine Potinet-Ampeau</v>
      </c>
      <c r="C2425" s="1178" t="s">
        <v>21114</v>
      </c>
      <c r="D2425" s="1178" t="s">
        <v>897</v>
      </c>
      <c r="E2425" s="1179">
        <v>2008</v>
      </c>
      <c r="F2425" s="1282" t="s">
        <v>20220</v>
      </c>
      <c r="G2425" s="1368">
        <v>47.5</v>
      </c>
      <c r="H2425" s="1178" t="s">
        <v>20221</v>
      </c>
      <c r="I2425" s="1178" t="s">
        <v>7634</v>
      </c>
      <c r="J2425" s="1178" t="s">
        <v>662</v>
      </c>
      <c r="K2425" s="1178" t="s">
        <v>267</v>
      </c>
      <c r="L2425" s="1178" t="s">
        <v>242</v>
      </c>
      <c r="M2425" s="1369" t="s">
        <v>23297</v>
      </c>
      <c r="N2425" s="1178"/>
      <c r="O2425" s="1178">
        <v>6</v>
      </c>
      <c r="P2425" s="1178">
        <v>13.5</v>
      </c>
    </row>
    <row r="2426" spans="1:16">
      <c r="A2426" s="1178" t="s">
        <v>21186</v>
      </c>
      <c r="B2426" s="1371" t="str">
        <f>HYPERLINK(IFERROR("#Main_Tariff!A"&amp;MATCH(Raeburn_Main_Tariff[[#This Row],[Product Code]],Main_Tariff!I:I,0),"#Main_Tariff!A"&amp;MATCH("*"&amp;RIGHT(A2426,8)&amp;"*",Main_Tariff!A:A,0)),Raeburn_Main_Tariff[[#This Row],[PRODUCER]])</f>
        <v>Domaine Potinet-Ampeau</v>
      </c>
      <c r="C2426" s="1178" t="s">
        <v>21114</v>
      </c>
      <c r="D2426" s="1178" t="s">
        <v>897</v>
      </c>
      <c r="E2426" s="1179">
        <v>2004</v>
      </c>
      <c r="F2426" s="1282" t="s">
        <v>20220</v>
      </c>
      <c r="G2426" s="1368">
        <v>46</v>
      </c>
      <c r="H2426" s="1178" t="s">
        <v>20221</v>
      </c>
      <c r="I2426" s="1178" t="s">
        <v>7636</v>
      </c>
      <c r="J2426" s="1178" t="s">
        <v>662</v>
      </c>
      <c r="K2426" s="1178" t="s">
        <v>267</v>
      </c>
      <c r="L2426" s="1178" t="s">
        <v>242</v>
      </c>
      <c r="M2426" s="1369" t="s">
        <v>23297</v>
      </c>
      <c r="N2426" s="1178"/>
      <c r="O2426" s="1178">
        <v>6</v>
      </c>
      <c r="P2426" s="1178">
        <v>13.5</v>
      </c>
    </row>
    <row r="2427" spans="1:16">
      <c r="A2427" s="1178" t="s">
        <v>21186</v>
      </c>
      <c r="B2427" s="1371" t="str">
        <f>HYPERLINK(IFERROR("#Main_Tariff!A"&amp;MATCH(Raeburn_Main_Tariff[[#This Row],[Product Code]],Main_Tariff!I:I,0),"#Main_Tariff!A"&amp;MATCH("*"&amp;RIGHT(A2427,8)&amp;"*",Main_Tariff!A:A,0)),Raeburn_Main_Tariff[[#This Row],[PRODUCER]])</f>
        <v>Domaine Potinet-Ampeau</v>
      </c>
      <c r="C2427" s="1178" t="s">
        <v>21114</v>
      </c>
      <c r="D2427" s="1178" t="s">
        <v>897</v>
      </c>
      <c r="E2427" s="1179">
        <v>2003</v>
      </c>
      <c r="F2427" s="1282" t="s">
        <v>20220</v>
      </c>
      <c r="G2427" s="1368">
        <v>49</v>
      </c>
      <c r="H2427" s="1178" t="s">
        <v>20221</v>
      </c>
      <c r="I2427" s="1178" t="s">
        <v>7638</v>
      </c>
      <c r="J2427" s="1178" t="s">
        <v>662</v>
      </c>
      <c r="K2427" s="1178" t="s">
        <v>267</v>
      </c>
      <c r="L2427" s="1178" t="s">
        <v>242</v>
      </c>
      <c r="M2427" s="1369" t="s">
        <v>23297</v>
      </c>
      <c r="N2427" s="1178"/>
      <c r="O2427" s="1178">
        <v>6</v>
      </c>
      <c r="P2427" s="1178">
        <v>13.5</v>
      </c>
    </row>
    <row r="2428" spans="1:16">
      <c r="A2428" s="1178" t="s">
        <v>21186</v>
      </c>
      <c r="B2428" s="1371" t="str">
        <f>HYPERLINK(IFERROR("#Main_Tariff!A"&amp;MATCH(Raeburn_Main_Tariff[[#This Row],[Product Code]],Main_Tariff!I:I,0),"#Main_Tariff!A"&amp;MATCH("*"&amp;RIGHT(A2428,8)&amp;"*",Main_Tariff!A:A,0)),Raeburn_Main_Tariff[[#This Row],[PRODUCER]])</f>
        <v>Domaine Potinet-Ampeau</v>
      </c>
      <c r="C2428" s="1178" t="s">
        <v>21063</v>
      </c>
      <c r="D2428" s="1178" t="s">
        <v>897</v>
      </c>
      <c r="E2428" s="1179">
        <v>1978</v>
      </c>
      <c r="F2428" s="1282" t="s">
        <v>20220</v>
      </c>
      <c r="G2428" s="1368">
        <v>250.5</v>
      </c>
      <c r="H2428" s="1178" t="s">
        <v>20224</v>
      </c>
      <c r="I2428" s="1178" t="s">
        <v>7640</v>
      </c>
      <c r="J2428" s="1178" t="s">
        <v>662</v>
      </c>
      <c r="K2428" s="1178" t="s">
        <v>267</v>
      </c>
      <c r="L2428" s="1178" t="s">
        <v>242</v>
      </c>
      <c r="M2428" s="1369" t="s">
        <v>23297</v>
      </c>
      <c r="N2428" s="1178"/>
      <c r="O2428" s="1178">
        <v>6</v>
      </c>
      <c r="P2428" s="1178">
        <v>13.5</v>
      </c>
    </row>
    <row r="2429" spans="1:16">
      <c r="A2429" s="1178" t="s">
        <v>21186</v>
      </c>
      <c r="B2429" s="1371" t="str">
        <f>HYPERLINK(IFERROR("#Main_Tariff!A"&amp;MATCH(Raeburn_Main_Tariff[[#This Row],[Product Code]],Main_Tariff!I:I,0),"#Main_Tariff!A"&amp;MATCH("*"&amp;RIGHT(A2429,8)&amp;"*",Main_Tariff!A:A,0)),Raeburn_Main_Tariff[[#This Row],[PRODUCER]])</f>
        <v>Domaine Potinet-Ampeau</v>
      </c>
      <c r="C2429" s="1178" t="s">
        <v>21063</v>
      </c>
      <c r="D2429" s="1178" t="s">
        <v>897</v>
      </c>
      <c r="E2429" s="1179">
        <v>1976</v>
      </c>
      <c r="F2429" s="1282" t="s">
        <v>20220</v>
      </c>
      <c r="G2429" s="1368">
        <v>215.5</v>
      </c>
      <c r="H2429" s="1178" t="s">
        <v>20224</v>
      </c>
      <c r="I2429" s="1178" t="s">
        <v>7642</v>
      </c>
      <c r="J2429" s="1178" t="s">
        <v>662</v>
      </c>
      <c r="K2429" s="1178" t="s">
        <v>267</v>
      </c>
      <c r="L2429" s="1178" t="s">
        <v>242</v>
      </c>
      <c r="M2429" s="1369" t="s">
        <v>23297</v>
      </c>
      <c r="N2429" s="1178"/>
      <c r="O2429" s="1178">
        <v>6</v>
      </c>
      <c r="P2429" s="1178">
        <v>13.5</v>
      </c>
    </row>
    <row r="2430" spans="1:16">
      <c r="A2430" s="1178" t="s">
        <v>21186</v>
      </c>
      <c r="B2430" s="1371" t="str">
        <f>HYPERLINK(IFERROR("#Main_Tariff!A"&amp;MATCH(Raeburn_Main_Tariff[[#This Row],[Product Code]],Main_Tariff!I:I,0),"#Main_Tariff!A"&amp;MATCH("*"&amp;RIGHT(A2430,8)&amp;"*",Main_Tariff!A:A,0)),Raeburn_Main_Tariff[[#This Row],[PRODUCER]])</f>
        <v>Domaine Potinet-Ampeau</v>
      </c>
      <c r="C2430" s="1178" t="s">
        <v>21196</v>
      </c>
      <c r="D2430" s="1178" t="s">
        <v>897</v>
      </c>
      <c r="E2430" s="1179">
        <v>2012</v>
      </c>
      <c r="F2430" s="1282" t="s">
        <v>20240</v>
      </c>
      <c r="G2430" s="1368">
        <v>80</v>
      </c>
      <c r="H2430" s="1178" t="s">
        <v>20224</v>
      </c>
      <c r="I2430" s="1178" t="s">
        <v>7645</v>
      </c>
      <c r="J2430" s="1178" t="s">
        <v>662</v>
      </c>
      <c r="K2430" s="1178" t="s">
        <v>267</v>
      </c>
      <c r="L2430" s="1178" t="s">
        <v>242</v>
      </c>
      <c r="M2430" s="1369" t="s">
        <v>23297</v>
      </c>
      <c r="N2430" s="1178"/>
      <c r="O2430" s="1178">
        <v>6</v>
      </c>
      <c r="P2430" s="1178">
        <v>13.5</v>
      </c>
    </row>
    <row r="2431" spans="1:16">
      <c r="A2431" s="1178" t="s">
        <v>21186</v>
      </c>
      <c r="B2431" s="1371" t="str">
        <f>HYPERLINK(IFERROR("#Main_Tariff!A"&amp;MATCH(Raeburn_Main_Tariff[[#This Row],[Product Code]],Main_Tariff!I:I,0),"#Main_Tariff!A"&amp;MATCH("*"&amp;RIGHT(A2431,8)&amp;"*",Main_Tariff!A:A,0)),Raeburn_Main_Tariff[[#This Row],[PRODUCER]])</f>
        <v>Domaine Potinet-Ampeau</v>
      </c>
      <c r="C2431" s="1178" t="s">
        <v>21197</v>
      </c>
      <c r="D2431" s="1178" t="s">
        <v>897</v>
      </c>
      <c r="E2431" s="1179">
        <v>2012</v>
      </c>
      <c r="F2431" s="1282" t="s">
        <v>20240</v>
      </c>
      <c r="G2431" s="1368">
        <v>107</v>
      </c>
      <c r="H2431" s="1178" t="s">
        <v>20224</v>
      </c>
      <c r="I2431" s="1178" t="s">
        <v>7647</v>
      </c>
      <c r="J2431" s="1178" t="s">
        <v>662</v>
      </c>
      <c r="K2431" s="1178" t="s">
        <v>267</v>
      </c>
      <c r="L2431" s="1178" t="s">
        <v>242</v>
      </c>
      <c r="M2431" s="1369" t="s">
        <v>23297</v>
      </c>
      <c r="N2431" s="1178"/>
      <c r="O2431" s="1178">
        <v>6</v>
      </c>
      <c r="P2431" s="1178">
        <v>13.5</v>
      </c>
    </row>
    <row r="2432" spans="1:16">
      <c r="A2432" s="1178" t="s">
        <v>21186</v>
      </c>
      <c r="B2432" s="1371" t="str">
        <f>HYPERLINK(IFERROR("#Main_Tariff!A"&amp;MATCH(Raeburn_Main_Tariff[[#This Row],[Product Code]],Main_Tariff!I:I,0),"#Main_Tariff!A"&amp;MATCH("*"&amp;RIGHT(A2432,8)&amp;"*",Main_Tariff!A:A,0)),Raeburn_Main_Tariff[[#This Row],[PRODUCER]])</f>
        <v>Domaine Potinet-Ampeau</v>
      </c>
      <c r="C2432" s="1178" t="s">
        <v>21198</v>
      </c>
      <c r="D2432" s="1178" t="s">
        <v>897</v>
      </c>
      <c r="E2432" s="1179">
        <v>2012</v>
      </c>
      <c r="F2432" s="1282" t="s">
        <v>20240</v>
      </c>
      <c r="G2432" s="1368">
        <v>112</v>
      </c>
      <c r="H2432" s="1178" t="s">
        <v>20224</v>
      </c>
      <c r="I2432" s="1178" t="s">
        <v>7649</v>
      </c>
      <c r="J2432" s="1178" t="s">
        <v>662</v>
      </c>
      <c r="K2432" s="1178" t="s">
        <v>267</v>
      </c>
      <c r="L2432" s="1178" t="s">
        <v>242</v>
      </c>
      <c r="M2432" s="1369" t="s">
        <v>23297</v>
      </c>
      <c r="N2432" s="1178"/>
      <c r="O2432" s="1178">
        <v>6</v>
      </c>
      <c r="P2432" s="1178">
        <v>13.5</v>
      </c>
    </row>
    <row r="2433" spans="1:16">
      <c r="A2433" s="1178" t="s">
        <v>262</v>
      </c>
      <c r="B2433" s="1371" t="str">
        <f>HYPERLINK(IFERROR("#Main_Tariff!A"&amp;MATCH(Raeburn_Main_Tariff[[#This Row],[Product Code]],Main_Tariff!I:I,0),"#Main_Tariff!A"&amp;MATCH("*"&amp;RIGHT(A2433,8)&amp;"*",Main_Tariff!A:A,0)),Raeburn_Main_Tariff[[#This Row],[PRODUCER]])</f>
        <v>Henri Prudhon</v>
      </c>
      <c r="C2433" s="1178" t="s">
        <v>20877</v>
      </c>
      <c r="D2433" s="1178" t="s">
        <v>1129</v>
      </c>
      <c r="E2433" s="1179">
        <v>2023</v>
      </c>
      <c r="F2433" s="1282" t="s">
        <v>20220</v>
      </c>
      <c r="G2433" s="1368">
        <v>30.95</v>
      </c>
      <c r="H2433" s="1178" t="s">
        <v>20221</v>
      </c>
      <c r="I2433" s="1178" t="s">
        <v>7658</v>
      </c>
      <c r="J2433" s="1178" t="s">
        <v>662</v>
      </c>
      <c r="K2433" s="1178" t="s">
        <v>267</v>
      </c>
      <c r="L2433" s="1178" t="s">
        <v>242</v>
      </c>
      <c r="M2433" s="1369" t="s">
        <v>23297</v>
      </c>
      <c r="N2433" s="1178"/>
      <c r="O2433" s="1178">
        <v>6</v>
      </c>
      <c r="P2433" s="1178">
        <v>13.5</v>
      </c>
    </row>
    <row r="2434" spans="1:16">
      <c r="A2434" s="1178" t="s">
        <v>262</v>
      </c>
      <c r="B2434" s="1371" t="str">
        <f>HYPERLINK(IFERROR("#Main_Tariff!A"&amp;MATCH(Raeburn_Main_Tariff[[#This Row],[Product Code]],Main_Tariff!I:I,0),"#Main_Tariff!A"&amp;MATCH("*"&amp;RIGHT(A2434,8)&amp;"*",Main_Tariff!A:A,0)),Raeburn_Main_Tariff[[#This Row],[PRODUCER]])</f>
        <v>Henri Prudhon</v>
      </c>
      <c r="C2434" s="1178" t="s">
        <v>21199</v>
      </c>
      <c r="D2434" s="1178" t="s">
        <v>1129</v>
      </c>
      <c r="E2434" s="1179">
        <v>2023</v>
      </c>
      <c r="F2434" s="1282" t="s">
        <v>20220</v>
      </c>
      <c r="G2434" s="1368">
        <v>30.95</v>
      </c>
      <c r="H2434" s="1178" t="s">
        <v>20221</v>
      </c>
      <c r="I2434" s="1178" t="s">
        <v>7661</v>
      </c>
      <c r="J2434" s="1178" t="s">
        <v>662</v>
      </c>
      <c r="K2434" s="1178" t="s">
        <v>267</v>
      </c>
      <c r="L2434" s="1178" t="s">
        <v>242</v>
      </c>
      <c r="M2434" s="1369" t="s">
        <v>23297</v>
      </c>
      <c r="N2434" s="1178"/>
      <c r="O2434" s="1178">
        <v>6</v>
      </c>
      <c r="P2434" s="1178">
        <v>13.5</v>
      </c>
    </row>
    <row r="2435" spans="1:16">
      <c r="A2435" s="1178" t="s">
        <v>262</v>
      </c>
      <c r="B2435" s="1371" t="str">
        <f>HYPERLINK(IFERROR("#Main_Tariff!A"&amp;MATCH(Raeburn_Main_Tariff[[#This Row],[Product Code]],Main_Tariff!I:I,0),"#Main_Tariff!A"&amp;MATCH("*"&amp;RIGHT(A2435,8)&amp;"*",Main_Tariff!A:A,0)),Raeburn_Main_Tariff[[#This Row],[PRODUCER]])</f>
        <v>Henri Prudhon</v>
      </c>
      <c r="C2435" s="1178" t="s">
        <v>21200</v>
      </c>
      <c r="D2435" s="1178" t="s">
        <v>897</v>
      </c>
      <c r="E2435" s="1179">
        <v>2019</v>
      </c>
      <c r="F2435" s="1282" t="s">
        <v>20220</v>
      </c>
      <c r="G2435" s="1368">
        <v>23</v>
      </c>
      <c r="H2435" s="1178" t="s">
        <v>20221</v>
      </c>
      <c r="I2435" s="1178" t="s">
        <v>7664</v>
      </c>
      <c r="J2435" s="1178" t="s">
        <v>662</v>
      </c>
      <c r="K2435" s="1178" t="s">
        <v>267</v>
      </c>
      <c r="L2435" s="1178" t="s">
        <v>242</v>
      </c>
      <c r="M2435" s="1369" t="s">
        <v>23297</v>
      </c>
      <c r="N2435" s="1178"/>
      <c r="O2435" s="1178">
        <v>6</v>
      </c>
      <c r="P2435" s="1178">
        <v>13</v>
      </c>
    </row>
    <row r="2436" spans="1:16">
      <c r="A2436" s="1178" t="s">
        <v>262</v>
      </c>
      <c r="B2436" s="1371" t="str">
        <f>HYPERLINK(IFERROR("#Main_Tariff!A"&amp;MATCH(Raeburn_Main_Tariff[[#This Row],[Product Code]],Main_Tariff!I:I,0),"#Main_Tariff!A"&amp;MATCH("*"&amp;RIGHT(A2436,8)&amp;"*",Main_Tariff!A:A,0)),Raeburn_Main_Tariff[[#This Row],[PRODUCER]])</f>
        <v>Henri Prudhon</v>
      </c>
      <c r="C2436" s="1178" t="s">
        <v>21200</v>
      </c>
      <c r="D2436" s="1178" t="s">
        <v>897</v>
      </c>
      <c r="E2436" s="1179">
        <v>1990</v>
      </c>
      <c r="F2436" s="1282" t="s">
        <v>20220</v>
      </c>
      <c r="G2436" s="1368">
        <v>69</v>
      </c>
      <c r="H2436" s="1178" t="s">
        <v>20224</v>
      </c>
      <c r="I2436" s="1178" t="s">
        <v>7666</v>
      </c>
      <c r="J2436" s="1178" t="s">
        <v>662</v>
      </c>
      <c r="K2436" s="1178" t="s">
        <v>267</v>
      </c>
      <c r="L2436" s="1178" t="s">
        <v>242</v>
      </c>
      <c r="M2436" s="1369" t="s">
        <v>23297</v>
      </c>
      <c r="N2436" s="1178"/>
      <c r="O2436" s="1178">
        <v>12</v>
      </c>
      <c r="P2436" s="1178">
        <v>13.5</v>
      </c>
    </row>
    <row r="2437" spans="1:16">
      <c r="A2437" s="1178" t="s">
        <v>21201</v>
      </c>
      <c r="B2437" s="1371" t="str">
        <f>HYPERLINK(IFERROR("#Main_Tariff!A"&amp;MATCH(Raeburn_Main_Tariff[[#This Row],[Product Code]],Main_Tariff!I:I,0),"#Main_Tariff!A"&amp;MATCH("*"&amp;RIGHT(A2437,8)&amp;"*",Main_Tariff!A:A,0)),Raeburn_Main_Tariff[[#This Row],[PRODUCER]])</f>
        <v>Domaine Rémi Rollin</v>
      </c>
      <c r="C2437" s="1178" t="s">
        <v>21202</v>
      </c>
      <c r="D2437" s="1178" t="s">
        <v>1129</v>
      </c>
      <c r="E2437" s="1179">
        <v>2021</v>
      </c>
      <c r="F2437" s="1282" t="s">
        <v>20220</v>
      </c>
      <c r="G2437" s="1368">
        <v>27.5</v>
      </c>
      <c r="H2437" s="1178" t="s">
        <v>20221</v>
      </c>
      <c r="I2437" s="1178" t="s">
        <v>7694</v>
      </c>
      <c r="J2437" s="1178" t="s">
        <v>662</v>
      </c>
      <c r="K2437" s="1178" t="s">
        <v>267</v>
      </c>
      <c r="L2437" s="1178" t="s">
        <v>242</v>
      </c>
      <c r="M2437" s="1369"/>
      <c r="N2437" s="1178"/>
      <c r="O2437" s="1178">
        <v>6</v>
      </c>
      <c r="P2437" s="1178">
        <v>13</v>
      </c>
    </row>
    <row r="2438" spans="1:16">
      <c r="A2438" s="1178" t="s">
        <v>21201</v>
      </c>
      <c r="B2438" s="1371" t="str">
        <f>HYPERLINK(IFERROR("#Main_Tariff!A"&amp;MATCH(Raeburn_Main_Tariff[[#This Row],[Product Code]],Main_Tariff!I:I,0),"#Main_Tariff!A"&amp;MATCH("*"&amp;RIGHT(A2438,8)&amp;"*",Main_Tariff!A:A,0)),Raeburn_Main_Tariff[[#This Row],[PRODUCER]])</f>
        <v>Domaine Rémi Rollin</v>
      </c>
      <c r="C2438" s="1178" t="s">
        <v>21202</v>
      </c>
      <c r="D2438" s="1178" t="s">
        <v>1129</v>
      </c>
      <c r="E2438" s="1179">
        <v>2020</v>
      </c>
      <c r="F2438" s="1282" t="s">
        <v>20220</v>
      </c>
      <c r="G2438" s="1368">
        <v>26.5</v>
      </c>
      <c r="H2438" s="1178" t="s">
        <v>20221</v>
      </c>
      <c r="I2438" s="1178" t="s">
        <v>7696</v>
      </c>
      <c r="J2438" s="1178" t="s">
        <v>662</v>
      </c>
      <c r="K2438" s="1178" t="s">
        <v>267</v>
      </c>
      <c r="L2438" s="1178" t="s">
        <v>242</v>
      </c>
      <c r="M2438" s="1369"/>
      <c r="N2438" s="1178"/>
      <c r="O2438" s="1178">
        <v>6</v>
      </c>
      <c r="P2438" s="1178">
        <v>13</v>
      </c>
    </row>
    <row r="2439" spans="1:16">
      <c r="A2439" s="1178" t="s">
        <v>21201</v>
      </c>
      <c r="B2439" s="1371" t="str">
        <f>HYPERLINK(IFERROR("#Main_Tariff!A"&amp;MATCH(Raeburn_Main_Tariff[[#This Row],[Product Code]],Main_Tariff!I:I,0),"#Main_Tariff!A"&amp;MATCH("*"&amp;RIGHT(A2439,8)&amp;"*",Main_Tariff!A:A,0)),Raeburn_Main_Tariff[[#This Row],[PRODUCER]])</f>
        <v>Domaine Rémi Rollin</v>
      </c>
      <c r="C2439" s="1178" t="s">
        <v>21202</v>
      </c>
      <c r="D2439" s="1178" t="s">
        <v>1129</v>
      </c>
      <c r="E2439" s="1179">
        <v>2018</v>
      </c>
      <c r="F2439" s="1282" t="s">
        <v>20220</v>
      </c>
      <c r="G2439" s="1368">
        <v>25.5</v>
      </c>
      <c r="H2439" s="1178" t="s">
        <v>20221</v>
      </c>
      <c r="I2439" s="1178" t="s">
        <v>7698</v>
      </c>
      <c r="J2439" s="1178" t="s">
        <v>662</v>
      </c>
      <c r="K2439" s="1178" t="s">
        <v>267</v>
      </c>
      <c r="L2439" s="1178" t="s">
        <v>242</v>
      </c>
      <c r="M2439" s="1369"/>
      <c r="N2439" s="1178"/>
      <c r="O2439" s="1178">
        <v>12</v>
      </c>
      <c r="P2439" s="1178">
        <v>13</v>
      </c>
    </row>
    <row r="2440" spans="1:16">
      <c r="A2440" s="1178" t="s">
        <v>21201</v>
      </c>
      <c r="B2440" s="1371" t="str">
        <f>HYPERLINK(IFERROR("#Main_Tariff!A"&amp;MATCH(Raeburn_Main_Tariff[[#This Row],[Product Code]],Main_Tariff!I:I,0),"#Main_Tariff!A"&amp;MATCH("*"&amp;RIGHT(A2440,8)&amp;"*",Main_Tariff!A:A,0)),Raeburn_Main_Tariff[[#This Row],[PRODUCER]])</f>
        <v>Domaine Rémi Rollin</v>
      </c>
      <c r="C2440" s="1178" t="s">
        <v>21202</v>
      </c>
      <c r="D2440" s="1178" t="s">
        <v>1129</v>
      </c>
      <c r="E2440" s="1179">
        <v>2017</v>
      </c>
      <c r="F2440" s="1282" t="s">
        <v>20220</v>
      </c>
      <c r="G2440" s="1368">
        <v>25.5</v>
      </c>
      <c r="H2440" s="1178" t="s">
        <v>20221</v>
      </c>
      <c r="I2440" s="1178" t="s">
        <v>7700</v>
      </c>
      <c r="J2440" s="1178" t="s">
        <v>662</v>
      </c>
      <c r="K2440" s="1178" t="s">
        <v>267</v>
      </c>
      <c r="L2440" s="1178" t="s">
        <v>242</v>
      </c>
      <c r="M2440" s="1369"/>
      <c r="N2440" s="1178"/>
      <c r="O2440" s="1178">
        <v>6</v>
      </c>
      <c r="P2440" s="1178">
        <v>13</v>
      </c>
    </row>
    <row r="2441" spans="1:16">
      <c r="A2441" s="1178" t="s">
        <v>21201</v>
      </c>
      <c r="B2441" s="1371" t="str">
        <f>HYPERLINK(IFERROR("#Main_Tariff!A"&amp;MATCH(Raeburn_Main_Tariff[[#This Row],[Product Code]],Main_Tariff!I:I,0),"#Main_Tariff!A"&amp;MATCH("*"&amp;RIGHT(A2441,8)&amp;"*",Main_Tariff!A:A,0)),Raeburn_Main_Tariff[[#This Row],[PRODUCER]])</f>
        <v>Domaine Rémi Rollin</v>
      </c>
      <c r="C2441" s="1178" t="s">
        <v>21203</v>
      </c>
      <c r="D2441" s="1178" t="s">
        <v>1129</v>
      </c>
      <c r="E2441" s="1179">
        <v>2022</v>
      </c>
      <c r="F2441" s="1282" t="s">
        <v>20220</v>
      </c>
      <c r="G2441" s="1368">
        <v>32.5</v>
      </c>
      <c r="H2441" s="1178" t="s">
        <v>20221</v>
      </c>
      <c r="I2441" s="1178" t="s">
        <v>7702</v>
      </c>
      <c r="J2441" s="1178" t="s">
        <v>662</v>
      </c>
      <c r="K2441" s="1178" t="s">
        <v>267</v>
      </c>
      <c r="L2441" s="1178" t="s">
        <v>242</v>
      </c>
      <c r="M2441" s="1369"/>
      <c r="N2441" s="1178"/>
      <c r="O2441" s="1178">
        <v>6</v>
      </c>
      <c r="P2441" s="1178">
        <v>13</v>
      </c>
    </row>
    <row r="2442" spans="1:16">
      <c r="A2442" s="1178" t="s">
        <v>21201</v>
      </c>
      <c r="B2442" s="1371" t="str">
        <f>HYPERLINK(IFERROR("#Main_Tariff!A"&amp;MATCH(Raeburn_Main_Tariff[[#This Row],[Product Code]],Main_Tariff!I:I,0),"#Main_Tariff!A"&amp;MATCH("*"&amp;RIGHT(A2442,8)&amp;"*",Main_Tariff!A:A,0)),Raeburn_Main_Tariff[[#This Row],[PRODUCER]])</f>
        <v>Domaine Rémi Rollin</v>
      </c>
      <c r="C2442" s="1178" t="s">
        <v>21203</v>
      </c>
      <c r="D2442" s="1178" t="s">
        <v>1129</v>
      </c>
      <c r="E2442" s="1179">
        <v>2021</v>
      </c>
      <c r="F2442" s="1282" t="s">
        <v>20220</v>
      </c>
      <c r="G2442" s="1368">
        <v>32</v>
      </c>
      <c r="H2442" s="1178" t="s">
        <v>20221</v>
      </c>
      <c r="I2442" s="1178" t="s">
        <v>7704</v>
      </c>
      <c r="J2442" s="1178" t="s">
        <v>662</v>
      </c>
      <c r="K2442" s="1178" t="s">
        <v>267</v>
      </c>
      <c r="L2442" s="1178" t="s">
        <v>242</v>
      </c>
      <c r="M2442" s="1369"/>
      <c r="N2442" s="1178"/>
      <c r="O2442" s="1178">
        <v>6</v>
      </c>
      <c r="P2442" s="1178">
        <v>13</v>
      </c>
    </row>
    <row r="2443" spans="1:16">
      <c r="A2443" s="1178" t="s">
        <v>21201</v>
      </c>
      <c r="B2443" s="1371" t="str">
        <f>HYPERLINK(IFERROR("#Main_Tariff!A"&amp;MATCH(Raeburn_Main_Tariff[[#This Row],[Product Code]],Main_Tariff!I:I,0),"#Main_Tariff!A"&amp;MATCH("*"&amp;RIGHT(A2443,8)&amp;"*",Main_Tariff!A:A,0)),Raeburn_Main_Tariff[[#This Row],[PRODUCER]])</f>
        <v>Domaine Rémi Rollin</v>
      </c>
      <c r="C2443" s="1178" t="s">
        <v>21203</v>
      </c>
      <c r="D2443" s="1178" t="s">
        <v>1129</v>
      </c>
      <c r="E2443" s="1179">
        <v>2020</v>
      </c>
      <c r="F2443" s="1282" t="s">
        <v>20220</v>
      </c>
      <c r="G2443" s="1368">
        <v>30.5</v>
      </c>
      <c r="H2443" s="1178" t="s">
        <v>20221</v>
      </c>
      <c r="I2443" s="1178" t="s">
        <v>7705</v>
      </c>
      <c r="J2443" s="1178" t="s">
        <v>662</v>
      </c>
      <c r="K2443" s="1178" t="s">
        <v>267</v>
      </c>
      <c r="L2443" s="1178" t="s">
        <v>242</v>
      </c>
      <c r="M2443" s="1369"/>
      <c r="N2443" s="1178"/>
      <c r="O2443" s="1178">
        <v>6</v>
      </c>
      <c r="P2443" s="1178">
        <v>13</v>
      </c>
    </row>
    <row r="2444" spans="1:16">
      <c r="A2444" s="1178" t="s">
        <v>21201</v>
      </c>
      <c r="B2444" s="1371" t="str">
        <f>HYPERLINK(IFERROR("#Main_Tariff!A"&amp;MATCH(Raeburn_Main_Tariff[[#This Row],[Product Code]],Main_Tariff!I:I,0),"#Main_Tariff!A"&amp;MATCH("*"&amp;RIGHT(A2444,8)&amp;"*",Main_Tariff!A:A,0)),Raeburn_Main_Tariff[[#This Row],[PRODUCER]])</f>
        <v>Domaine Rémi Rollin</v>
      </c>
      <c r="C2444" s="1178" t="s">
        <v>21203</v>
      </c>
      <c r="D2444" s="1178" t="s">
        <v>1129</v>
      </c>
      <c r="E2444" s="1179">
        <v>2019</v>
      </c>
      <c r="F2444" s="1282" t="s">
        <v>20220</v>
      </c>
      <c r="G2444" s="1368">
        <v>30.5</v>
      </c>
      <c r="H2444" s="1178" t="s">
        <v>20221</v>
      </c>
      <c r="I2444" s="1178" t="s">
        <v>7706</v>
      </c>
      <c r="J2444" s="1178" t="s">
        <v>662</v>
      </c>
      <c r="K2444" s="1178" t="s">
        <v>267</v>
      </c>
      <c r="L2444" s="1178" t="s">
        <v>242</v>
      </c>
      <c r="M2444" s="1369"/>
      <c r="N2444" s="1178"/>
      <c r="O2444" s="1178">
        <v>6</v>
      </c>
      <c r="P2444" s="1178">
        <v>13</v>
      </c>
    </row>
    <row r="2445" spans="1:16">
      <c r="A2445" s="1178" t="s">
        <v>21201</v>
      </c>
      <c r="B2445" s="1371" t="str">
        <f>HYPERLINK(IFERROR("#Main_Tariff!A"&amp;MATCH(Raeburn_Main_Tariff[[#This Row],[Product Code]],Main_Tariff!I:I,0),"#Main_Tariff!A"&amp;MATCH("*"&amp;RIGHT(A2445,8)&amp;"*",Main_Tariff!A:A,0)),Raeburn_Main_Tariff[[#This Row],[PRODUCER]])</f>
        <v>Domaine Rémi Rollin</v>
      </c>
      <c r="C2445" s="1178" t="s">
        <v>21203</v>
      </c>
      <c r="D2445" s="1178" t="s">
        <v>1129</v>
      </c>
      <c r="E2445" s="1179">
        <v>2018</v>
      </c>
      <c r="F2445" s="1282" t="s">
        <v>20220</v>
      </c>
      <c r="G2445" s="1368">
        <v>29.5</v>
      </c>
      <c r="H2445" s="1178" t="s">
        <v>20221</v>
      </c>
      <c r="I2445" s="1178" t="s">
        <v>7707</v>
      </c>
      <c r="J2445" s="1178" t="s">
        <v>662</v>
      </c>
      <c r="K2445" s="1178" t="s">
        <v>267</v>
      </c>
      <c r="L2445" s="1178" t="s">
        <v>242</v>
      </c>
      <c r="M2445" s="1369"/>
      <c r="N2445" s="1178"/>
      <c r="O2445" s="1178">
        <v>6</v>
      </c>
      <c r="P2445" s="1178">
        <v>13</v>
      </c>
    </row>
    <row r="2446" spans="1:16">
      <c r="A2446" s="1178" t="s">
        <v>21201</v>
      </c>
      <c r="B2446" s="1371" t="str">
        <f>HYPERLINK(IFERROR("#Main_Tariff!A"&amp;MATCH(Raeburn_Main_Tariff[[#This Row],[Product Code]],Main_Tariff!I:I,0),"#Main_Tariff!A"&amp;MATCH("*"&amp;RIGHT(A2446,8)&amp;"*",Main_Tariff!A:A,0)),Raeburn_Main_Tariff[[#This Row],[PRODUCER]])</f>
        <v>Domaine Rémi Rollin</v>
      </c>
      <c r="C2446" s="1178" t="s">
        <v>21204</v>
      </c>
      <c r="D2446" s="1178" t="s">
        <v>1129</v>
      </c>
      <c r="E2446" s="1179">
        <v>2022</v>
      </c>
      <c r="F2446" s="1282" t="s">
        <v>20220</v>
      </c>
      <c r="G2446" s="1368" t="s">
        <v>5258</v>
      </c>
      <c r="H2446" s="1178" t="s">
        <v>20221</v>
      </c>
      <c r="I2446" s="1178" t="s">
        <v>7711</v>
      </c>
      <c r="J2446" s="1178" t="s">
        <v>662</v>
      </c>
      <c r="K2446" s="1178" t="s">
        <v>267</v>
      </c>
      <c r="L2446" s="1178" t="s">
        <v>242</v>
      </c>
      <c r="M2446" s="1369" t="s">
        <v>23296</v>
      </c>
      <c r="N2446" s="1178"/>
      <c r="O2446" s="1178">
        <v>3</v>
      </c>
      <c r="P2446" s="1178">
        <v>13.5</v>
      </c>
    </row>
    <row r="2447" spans="1:16">
      <c r="A2447" s="1178" t="s">
        <v>21201</v>
      </c>
      <c r="B2447" s="1371" t="str">
        <f>HYPERLINK(IFERROR("#Main_Tariff!A"&amp;MATCH(Raeburn_Main_Tariff[[#This Row],[Product Code]],Main_Tariff!I:I,0),"#Main_Tariff!A"&amp;MATCH("*"&amp;RIGHT(A2447,8)&amp;"*",Main_Tariff!A:A,0)),Raeburn_Main_Tariff[[#This Row],[PRODUCER]])</f>
        <v>Domaine Rémi Rollin</v>
      </c>
      <c r="C2447" s="1178" t="s">
        <v>21204</v>
      </c>
      <c r="D2447" s="1178" t="s">
        <v>1129</v>
      </c>
      <c r="E2447" s="1179">
        <v>2001</v>
      </c>
      <c r="F2447" s="1282" t="s">
        <v>20220</v>
      </c>
      <c r="G2447" s="1368">
        <v>150.5</v>
      </c>
      <c r="H2447" s="1178" t="s">
        <v>20277</v>
      </c>
      <c r="I2447" s="1178" t="s">
        <v>7713</v>
      </c>
      <c r="J2447" s="1178" t="s">
        <v>662</v>
      </c>
      <c r="K2447" s="1178" t="s">
        <v>267</v>
      </c>
      <c r="L2447" s="1178" t="s">
        <v>242</v>
      </c>
      <c r="M2447" s="1369" t="s">
        <v>23296</v>
      </c>
      <c r="N2447" s="1178"/>
      <c r="O2447" s="1178">
        <v>12</v>
      </c>
      <c r="P2447" s="1178">
        <v>0</v>
      </c>
    </row>
    <row r="2448" spans="1:16">
      <c r="A2448" s="1178" t="s">
        <v>21201</v>
      </c>
      <c r="B2448" s="1371" t="str">
        <f>HYPERLINK(IFERROR("#Main_Tariff!A"&amp;MATCH(Raeburn_Main_Tariff[[#This Row],[Product Code]],Main_Tariff!I:I,0),"#Main_Tariff!A"&amp;MATCH("*"&amp;RIGHT(A2448,8)&amp;"*",Main_Tariff!A:A,0)),Raeburn_Main_Tariff[[#This Row],[PRODUCER]])</f>
        <v>Domaine Rémi Rollin</v>
      </c>
      <c r="C2448" s="1178" t="s">
        <v>21205</v>
      </c>
      <c r="D2448" s="1178" t="s">
        <v>897</v>
      </c>
      <c r="E2448" s="1179">
        <v>2020</v>
      </c>
      <c r="F2448" s="1282" t="s">
        <v>20220</v>
      </c>
      <c r="G2448" s="1368">
        <v>19</v>
      </c>
      <c r="H2448" s="1178" t="s">
        <v>20221</v>
      </c>
      <c r="I2448" s="1178" t="s">
        <v>7717</v>
      </c>
      <c r="J2448" s="1178" t="s">
        <v>662</v>
      </c>
      <c r="K2448" s="1178" t="s">
        <v>267</v>
      </c>
      <c r="L2448" s="1178" t="s">
        <v>242</v>
      </c>
      <c r="M2448" s="1369"/>
      <c r="N2448" s="1178"/>
      <c r="O2448" s="1178">
        <v>6</v>
      </c>
      <c r="P2448" s="1178">
        <v>13.5</v>
      </c>
    </row>
    <row r="2449" spans="1:16">
      <c r="A2449" s="1178" t="s">
        <v>21201</v>
      </c>
      <c r="B2449" s="1371" t="str">
        <f>HYPERLINK(IFERROR("#Main_Tariff!A"&amp;MATCH(Raeburn_Main_Tariff[[#This Row],[Product Code]],Main_Tariff!I:I,0),"#Main_Tariff!A"&amp;MATCH("*"&amp;RIGHT(A2449,8)&amp;"*",Main_Tariff!A:A,0)),Raeburn_Main_Tariff[[#This Row],[PRODUCER]])</f>
        <v>Domaine Rémi Rollin</v>
      </c>
      <c r="C2449" s="1178" t="s">
        <v>21206</v>
      </c>
      <c r="D2449" s="1178" t="s">
        <v>897</v>
      </c>
      <c r="E2449" s="1179">
        <v>2019</v>
      </c>
      <c r="F2449" s="1282" t="s">
        <v>20220</v>
      </c>
      <c r="G2449" s="1368">
        <v>25.5</v>
      </c>
      <c r="H2449" s="1178" t="s">
        <v>20221</v>
      </c>
      <c r="I2449" s="1178" t="s">
        <v>7722</v>
      </c>
      <c r="J2449" s="1178" t="s">
        <v>662</v>
      </c>
      <c r="K2449" s="1178" t="s">
        <v>267</v>
      </c>
      <c r="L2449" s="1178" t="s">
        <v>242</v>
      </c>
      <c r="M2449" s="1369"/>
      <c r="N2449" s="1178"/>
      <c r="O2449" s="1178">
        <v>6</v>
      </c>
      <c r="P2449" s="1178">
        <v>13.5</v>
      </c>
    </row>
    <row r="2450" spans="1:16">
      <c r="A2450" s="1178" t="s">
        <v>21201</v>
      </c>
      <c r="B2450" s="1371" t="str">
        <f>HYPERLINK(IFERROR("#Main_Tariff!A"&amp;MATCH(Raeburn_Main_Tariff[[#This Row],[Product Code]],Main_Tariff!I:I,0),"#Main_Tariff!A"&amp;MATCH("*"&amp;RIGHT(A2450,8)&amp;"*",Main_Tariff!A:A,0)),Raeburn_Main_Tariff[[#This Row],[PRODUCER]])</f>
        <v>Domaine Rémi Rollin</v>
      </c>
      <c r="C2450" s="1178" t="s">
        <v>21207</v>
      </c>
      <c r="D2450" s="1178" t="s">
        <v>897</v>
      </c>
      <c r="E2450" s="1179">
        <v>2015</v>
      </c>
      <c r="F2450" s="1282" t="s">
        <v>20220</v>
      </c>
      <c r="G2450" s="1368">
        <v>30</v>
      </c>
      <c r="H2450" s="1178" t="s">
        <v>20221</v>
      </c>
      <c r="I2450" s="1178" t="s">
        <v>7724</v>
      </c>
      <c r="J2450" s="1178" t="s">
        <v>662</v>
      </c>
      <c r="K2450" s="1178" t="s">
        <v>267</v>
      </c>
      <c r="L2450" s="1178" t="s">
        <v>242</v>
      </c>
      <c r="M2450" s="1369" t="s">
        <v>23297</v>
      </c>
      <c r="N2450" s="1178"/>
      <c r="O2450" s="1178">
        <v>6</v>
      </c>
      <c r="P2450" s="1178">
        <v>13</v>
      </c>
    </row>
    <row r="2451" spans="1:16">
      <c r="A2451" s="1178" t="s">
        <v>21201</v>
      </c>
      <c r="B2451" s="1371" t="str">
        <f>HYPERLINK(IFERROR("#Main_Tariff!A"&amp;MATCH(Raeburn_Main_Tariff[[#This Row],[Product Code]],Main_Tariff!I:I,0),"#Main_Tariff!A"&amp;MATCH("*"&amp;RIGHT(A2451,8)&amp;"*",Main_Tariff!A:A,0)),Raeburn_Main_Tariff[[#This Row],[PRODUCER]])</f>
        <v>Domaine Rémi Rollin</v>
      </c>
      <c r="C2451" s="1178" t="s">
        <v>21207</v>
      </c>
      <c r="D2451" s="1178" t="s">
        <v>897</v>
      </c>
      <c r="E2451" s="1179">
        <v>2013</v>
      </c>
      <c r="F2451" s="1282" t="s">
        <v>20220</v>
      </c>
      <c r="G2451" s="1368">
        <v>30</v>
      </c>
      <c r="H2451" s="1178" t="s">
        <v>20221</v>
      </c>
      <c r="I2451" s="1178" t="s">
        <v>7725</v>
      </c>
      <c r="J2451" s="1178" t="s">
        <v>662</v>
      </c>
      <c r="K2451" s="1178" t="s">
        <v>267</v>
      </c>
      <c r="L2451" s="1178" t="s">
        <v>242</v>
      </c>
      <c r="M2451" s="1369" t="s">
        <v>23297</v>
      </c>
      <c r="N2451" s="1178"/>
      <c r="O2451" s="1178">
        <v>6</v>
      </c>
      <c r="P2451" s="1178">
        <v>13</v>
      </c>
    </row>
    <row r="2452" spans="1:16">
      <c r="A2452" s="1178" t="s">
        <v>21201</v>
      </c>
      <c r="B2452" s="1371" t="str">
        <f>HYPERLINK(IFERROR("#Main_Tariff!A"&amp;MATCH(Raeburn_Main_Tariff[[#This Row],[Product Code]],Main_Tariff!I:I,0),"#Main_Tariff!A"&amp;MATCH("*"&amp;RIGHT(A2452,8)&amp;"*",Main_Tariff!A:A,0)),Raeburn_Main_Tariff[[#This Row],[PRODUCER]])</f>
        <v>Domaine Rémi Rollin</v>
      </c>
      <c r="C2452" s="1178" t="s">
        <v>21207</v>
      </c>
      <c r="D2452" s="1178" t="s">
        <v>897</v>
      </c>
      <c r="E2452" s="1179">
        <v>2012</v>
      </c>
      <c r="F2452" s="1282" t="s">
        <v>20220</v>
      </c>
      <c r="G2452" s="1368">
        <v>30</v>
      </c>
      <c r="H2452" s="1178" t="s">
        <v>20221</v>
      </c>
      <c r="I2452" s="1178" t="s">
        <v>7727</v>
      </c>
      <c r="J2452" s="1178" t="s">
        <v>662</v>
      </c>
      <c r="K2452" s="1178" t="s">
        <v>267</v>
      </c>
      <c r="L2452" s="1178" t="s">
        <v>242</v>
      </c>
      <c r="M2452" s="1369" t="s">
        <v>23297</v>
      </c>
      <c r="N2452" s="1178"/>
      <c r="O2452" s="1178">
        <v>6</v>
      </c>
      <c r="P2452" s="1178">
        <v>13</v>
      </c>
    </row>
    <row r="2453" spans="1:16">
      <c r="A2453" s="1178" t="s">
        <v>21201</v>
      </c>
      <c r="B2453" s="1371" t="str">
        <f>HYPERLINK(IFERROR("#Main_Tariff!A"&amp;MATCH(Raeburn_Main_Tariff[[#This Row],[Product Code]],Main_Tariff!I:I,0),"#Main_Tariff!A"&amp;MATCH("*"&amp;RIGHT(A2453,8)&amp;"*",Main_Tariff!A:A,0)),Raeburn_Main_Tariff[[#This Row],[PRODUCER]])</f>
        <v>Domaine Rémi Rollin</v>
      </c>
      <c r="C2453" s="1178" t="s">
        <v>21208</v>
      </c>
      <c r="D2453" s="1178" t="s">
        <v>897</v>
      </c>
      <c r="E2453" s="1179">
        <v>2022</v>
      </c>
      <c r="F2453" s="1282" t="s">
        <v>20220</v>
      </c>
      <c r="G2453" s="1368">
        <v>41.25</v>
      </c>
      <c r="H2453" s="1178" t="s">
        <v>20221</v>
      </c>
      <c r="I2453" s="1178" t="s">
        <v>7729</v>
      </c>
      <c r="J2453" s="1178" t="s">
        <v>662</v>
      </c>
      <c r="K2453" s="1178" t="s">
        <v>267</v>
      </c>
      <c r="L2453" s="1178" t="s">
        <v>242</v>
      </c>
      <c r="M2453" s="1369" t="s">
        <v>23297</v>
      </c>
      <c r="N2453" s="1178"/>
      <c r="O2453" s="1178">
        <v>6</v>
      </c>
      <c r="P2453" s="1178">
        <v>13.5</v>
      </c>
    </row>
    <row r="2454" spans="1:16">
      <c r="A2454" s="1178" t="s">
        <v>21201</v>
      </c>
      <c r="B2454" s="1371" t="str">
        <f>HYPERLINK(IFERROR("#Main_Tariff!A"&amp;MATCH(Raeburn_Main_Tariff[[#This Row],[Product Code]],Main_Tariff!I:I,0),"#Main_Tariff!A"&amp;MATCH("*"&amp;RIGHT(A2454,8)&amp;"*",Main_Tariff!A:A,0)),Raeburn_Main_Tariff[[#This Row],[PRODUCER]])</f>
        <v>Domaine Rémi Rollin</v>
      </c>
      <c r="C2454" s="1178" t="s">
        <v>21208</v>
      </c>
      <c r="D2454" s="1178" t="s">
        <v>897</v>
      </c>
      <c r="E2454" s="1179">
        <v>2021</v>
      </c>
      <c r="F2454" s="1282" t="s">
        <v>20220</v>
      </c>
      <c r="G2454" s="1368">
        <v>41</v>
      </c>
      <c r="H2454" s="1178" t="s">
        <v>20221</v>
      </c>
      <c r="I2454" s="1178" t="s">
        <v>7731</v>
      </c>
      <c r="J2454" s="1178" t="s">
        <v>662</v>
      </c>
      <c r="K2454" s="1178" t="s">
        <v>267</v>
      </c>
      <c r="L2454" s="1178" t="s">
        <v>242</v>
      </c>
      <c r="M2454" s="1369" t="s">
        <v>23297</v>
      </c>
      <c r="N2454" s="1178"/>
      <c r="O2454" s="1178">
        <v>6</v>
      </c>
      <c r="P2454" s="1178">
        <v>13.5</v>
      </c>
    </row>
    <row r="2455" spans="1:16">
      <c r="A2455" s="1178" t="s">
        <v>21201</v>
      </c>
      <c r="B2455" s="1371" t="str">
        <f>HYPERLINK(IFERROR("#Main_Tariff!A"&amp;MATCH(Raeburn_Main_Tariff[[#This Row],[Product Code]],Main_Tariff!I:I,0),"#Main_Tariff!A"&amp;MATCH("*"&amp;RIGHT(A2455,8)&amp;"*",Main_Tariff!A:A,0)),Raeburn_Main_Tariff[[#This Row],[PRODUCER]])</f>
        <v>Domaine Rémi Rollin</v>
      </c>
      <c r="C2455" s="1178" t="s">
        <v>21208</v>
      </c>
      <c r="D2455" s="1178" t="s">
        <v>897</v>
      </c>
      <c r="E2455" s="1179">
        <v>2020</v>
      </c>
      <c r="F2455" s="1282" t="s">
        <v>20220</v>
      </c>
      <c r="G2455" s="1368">
        <v>39</v>
      </c>
      <c r="H2455" s="1178" t="s">
        <v>20221</v>
      </c>
      <c r="I2455" s="1178" t="s">
        <v>7733</v>
      </c>
      <c r="J2455" s="1178" t="s">
        <v>662</v>
      </c>
      <c r="K2455" s="1178" t="s">
        <v>267</v>
      </c>
      <c r="L2455" s="1178" t="s">
        <v>242</v>
      </c>
      <c r="M2455" s="1369" t="s">
        <v>23297</v>
      </c>
      <c r="N2455" s="1178"/>
      <c r="O2455" s="1178">
        <v>6</v>
      </c>
      <c r="P2455" s="1178">
        <v>14</v>
      </c>
    </row>
    <row r="2456" spans="1:16">
      <c r="A2456" s="1178" t="s">
        <v>21201</v>
      </c>
      <c r="B2456" s="1371" t="str">
        <f>HYPERLINK(IFERROR("#Main_Tariff!A"&amp;MATCH(Raeburn_Main_Tariff[[#This Row],[Product Code]],Main_Tariff!I:I,0),"#Main_Tariff!A"&amp;MATCH("*"&amp;RIGHT(A2456,8)&amp;"*",Main_Tariff!A:A,0)),Raeburn_Main_Tariff[[#This Row],[PRODUCER]])</f>
        <v>Domaine Rémi Rollin</v>
      </c>
      <c r="C2456" s="1178" t="s">
        <v>21208</v>
      </c>
      <c r="D2456" s="1178" t="s">
        <v>897</v>
      </c>
      <c r="E2456" s="1179">
        <v>2019</v>
      </c>
      <c r="F2456" s="1282" t="s">
        <v>20220</v>
      </c>
      <c r="G2456" s="1368">
        <v>39</v>
      </c>
      <c r="H2456" s="1178" t="s">
        <v>20221</v>
      </c>
      <c r="I2456" s="1178" t="s">
        <v>7735</v>
      </c>
      <c r="J2456" s="1178" t="s">
        <v>662</v>
      </c>
      <c r="K2456" s="1178" t="s">
        <v>267</v>
      </c>
      <c r="L2456" s="1178" t="s">
        <v>242</v>
      </c>
      <c r="M2456" s="1369" t="s">
        <v>23297</v>
      </c>
      <c r="N2456" s="1178"/>
      <c r="O2456" s="1178">
        <v>6</v>
      </c>
      <c r="P2456" s="1178">
        <v>13.5</v>
      </c>
    </row>
    <row r="2457" spans="1:16">
      <c r="A2457" s="1178" t="s">
        <v>21201</v>
      </c>
      <c r="B2457" s="1371" t="str">
        <f>HYPERLINK(IFERROR("#Main_Tariff!A"&amp;MATCH(Raeburn_Main_Tariff[[#This Row],[Product Code]],Main_Tariff!I:I,0),"#Main_Tariff!A"&amp;MATCH("*"&amp;RIGHT(A2457,8)&amp;"*",Main_Tariff!A:A,0)),Raeburn_Main_Tariff[[#This Row],[PRODUCER]])</f>
        <v>Domaine Rémi Rollin</v>
      </c>
      <c r="C2457" s="1178" t="s">
        <v>21208</v>
      </c>
      <c r="D2457" s="1178" t="s">
        <v>897</v>
      </c>
      <c r="E2457" s="1179">
        <v>2018</v>
      </c>
      <c r="F2457" s="1282" t="s">
        <v>20220</v>
      </c>
      <c r="G2457" s="1368">
        <v>34</v>
      </c>
      <c r="H2457" s="1178" t="s">
        <v>20221</v>
      </c>
      <c r="I2457" s="1178" t="s">
        <v>7737</v>
      </c>
      <c r="J2457" s="1178" t="s">
        <v>662</v>
      </c>
      <c r="K2457" s="1178" t="s">
        <v>267</v>
      </c>
      <c r="L2457" s="1178" t="s">
        <v>242</v>
      </c>
      <c r="M2457" s="1369" t="s">
        <v>23297</v>
      </c>
      <c r="N2457" s="1178"/>
      <c r="O2457" s="1178">
        <v>6</v>
      </c>
      <c r="P2457" s="1178">
        <v>13.5</v>
      </c>
    </row>
    <row r="2458" spans="1:16">
      <c r="A2458" s="1178" t="s">
        <v>21201</v>
      </c>
      <c r="B2458" s="1371" t="str">
        <f>HYPERLINK(IFERROR("#Main_Tariff!A"&amp;MATCH(Raeburn_Main_Tariff[[#This Row],[Product Code]],Main_Tariff!I:I,0),"#Main_Tariff!A"&amp;MATCH("*"&amp;RIGHT(A2458,8)&amp;"*",Main_Tariff!A:A,0)),Raeburn_Main_Tariff[[#This Row],[PRODUCER]])</f>
        <v>Domaine Rémi Rollin</v>
      </c>
      <c r="C2458" s="1178" t="s">
        <v>21208</v>
      </c>
      <c r="D2458" s="1178" t="s">
        <v>897</v>
      </c>
      <c r="E2458" s="1179">
        <v>2017</v>
      </c>
      <c r="F2458" s="1282" t="s">
        <v>20220</v>
      </c>
      <c r="G2458" s="1368">
        <v>34</v>
      </c>
      <c r="H2458" s="1178" t="s">
        <v>20221</v>
      </c>
      <c r="I2458" s="1178" t="s">
        <v>7739</v>
      </c>
      <c r="J2458" s="1178" t="s">
        <v>662</v>
      </c>
      <c r="K2458" s="1178" t="s">
        <v>267</v>
      </c>
      <c r="L2458" s="1178" t="s">
        <v>242</v>
      </c>
      <c r="M2458" s="1369" t="s">
        <v>23297</v>
      </c>
      <c r="N2458" s="1178"/>
      <c r="O2458" s="1178">
        <v>6</v>
      </c>
      <c r="P2458" s="1178">
        <v>13</v>
      </c>
    </row>
    <row r="2459" spans="1:16">
      <c r="A2459" s="1178" t="s">
        <v>21201</v>
      </c>
      <c r="B2459" s="1371" t="str">
        <f>HYPERLINK(IFERROR("#Main_Tariff!A"&amp;MATCH(Raeburn_Main_Tariff[[#This Row],[Product Code]],Main_Tariff!I:I,0),"#Main_Tariff!A"&amp;MATCH("*"&amp;RIGHT(A2459,8)&amp;"*",Main_Tariff!A:A,0)),Raeburn_Main_Tariff[[#This Row],[PRODUCER]])</f>
        <v>Domaine Rémi Rollin</v>
      </c>
      <c r="C2459" s="1178" t="s">
        <v>21208</v>
      </c>
      <c r="D2459" s="1178" t="s">
        <v>897</v>
      </c>
      <c r="E2459" s="1179">
        <v>2016</v>
      </c>
      <c r="F2459" s="1282" t="s">
        <v>20220</v>
      </c>
      <c r="G2459" s="1368">
        <v>34</v>
      </c>
      <c r="H2459" s="1178" t="s">
        <v>20221</v>
      </c>
      <c r="I2459" s="1178" t="s">
        <v>7741</v>
      </c>
      <c r="J2459" s="1178" t="s">
        <v>662</v>
      </c>
      <c r="K2459" s="1178" t="s">
        <v>267</v>
      </c>
      <c r="L2459" s="1178" t="s">
        <v>242</v>
      </c>
      <c r="M2459" s="1369" t="s">
        <v>23297</v>
      </c>
      <c r="N2459" s="1178"/>
      <c r="O2459" s="1178">
        <v>6</v>
      </c>
      <c r="P2459" s="1178">
        <v>13</v>
      </c>
    </row>
    <row r="2460" spans="1:16">
      <c r="A2460" s="1178" t="s">
        <v>21201</v>
      </c>
      <c r="B2460" s="1371" t="str">
        <f>HYPERLINK(IFERROR("#Main_Tariff!A"&amp;MATCH(Raeburn_Main_Tariff[[#This Row],[Product Code]],Main_Tariff!I:I,0),"#Main_Tariff!A"&amp;MATCH("*"&amp;RIGHT(A2460,8)&amp;"*",Main_Tariff!A:A,0)),Raeburn_Main_Tariff[[#This Row],[PRODUCER]])</f>
        <v>Domaine Rémi Rollin</v>
      </c>
      <c r="C2460" s="1178" t="s">
        <v>21208</v>
      </c>
      <c r="D2460" s="1178" t="s">
        <v>897</v>
      </c>
      <c r="E2460" s="1179">
        <v>2014</v>
      </c>
      <c r="F2460" s="1282" t="s">
        <v>20220</v>
      </c>
      <c r="G2460" s="1368">
        <v>32</v>
      </c>
      <c r="H2460" s="1178" t="s">
        <v>20221</v>
      </c>
      <c r="I2460" s="1178" t="s">
        <v>7743</v>
      </c>
      <c r="J2460" s="1178" t="s">
        <v>662</v>
      </c>
      <c r="K2460" s="1178" t="s">
        <v>267</v>
      </c>
      <c r="L2460" s="1178" t="s">
        <v>242</v>
      </c>
      <c r="M2460" s="1369" t="s">
        <v>23297</v>
      </c>
      <c r="N2460" s="1178"/>
      <c r="O2460" s="1178">
        <v>6</v>
      </c>
      <c r="P2460" s="1178">
        <v>13</v>
      </c>
    </row>
    <row r="2461" spans="1:16">
      <c r="A2461" s="1178" t="s">
        <v>21201</v>
      </c>
      <c r="B2461" s="1371" t="str">
        <f>HYPERLINK(IFERROR("#Main_Tariff!A"&amp;MATCH(Raeburn_Main_Tariff[[#This Row],[Product Code]],Main_Tariff!I:I,0),"#Main_Tariff!A"&amp;MATCH("*"&amp;RIGHT(A2461,8)&amp;"*",Main_Tariff!A:A,0)),Raeburn_Main_Tariff[[#This Row],[PRODUCER]])</f>
        <v>Domaine Rémi Rollin</v>
      </c>
      <c r="C2461" s="1178" t="s">
        <v>21208</v>
      </c>
      <c r="D2461" s="1178" t="s">
        <v>897</v>
      </c>
      <c r="E2461" s="1179">
        <v>2013</v>
      </c>
      <c r="F2461" s="1282" t="s">
        <v>20220</v>
      </c>
      <c r="G2461" s="1368">
        <v>32</v>
      </c>
      <c r="H2461" s="1178" t="s">
        <v>20224</v>
      </c>
      <c r="I2461" s="1178" t="s">
        <v>7745</v>
      </c>
      <c r="J2461" s="1178" t="s">
        <v>662</v>
      </c>
      <c r="K2461" s="1178" t="s">
        <v>267</v>
      </c>
      <c r="L2461" s="1178" t="s">
        <v>242</v>
      </c>
      <c r="M2461" s="1369" t="s">
        <v>23297</v>
      </c>
      <c r="N2461" s="1178"/>
      <c r="O2461" s="1178">
        <v>6</v>
      </c>
      <c r="P2461" s="1178">
        <v>13</v>
      </c>
    </row>
    <row r="2462" spans="1:16">
      <c r="A2462" s="1178" t="s">
        <v>21201</v>
      </c>
      <c r="B2462" s="1371" t="str">
        <f>HYPERLINK(IFERROR("#Main_Tariff!A"&amp;MATCH(Raeburn_Main_Tariff[[#This Row],[Product Code]],Main_Tariff!I:I,0),"#Main_Tariff!A"&amp;MATCH("*"&amp;RIGHT(A2462,8)&amp;"*",Main_Tariff!A:A,0)),Raeburn_Main_Tariff[[#This Row],[PRODUCER]])</f>
        <v>Domaine Rémi Rollin</v>
      </c>
      <c r="C2462" s="1178" t="s">
        <v>21208</v>
      </c>
      <c r="D2462" s="1178" t="s">
        <v>897</v>
      </c>
      <c r="E2462" s="1179">
        <v>2008</v>
      </c>
      <c r="F2462" s="1282" t="s">
        <v>20220</v>
      </c>
      <c r="G2462" s="1368">
        <v>32</v>
      </c>
      <c r="H2462" s="1178" t="s">
        <v>20224</v>
      </c>
      <c r="I2462" s="1178" t="s">
        <v>7746</v>
      </c>
      <c r="J2462" s="1178" t="s">
        <v>662</v>
      </c>
      <c r="K2462" s="1178" t="s">
        <v>267</v>
      </c>
      <c r="L2462" s="1178" t="s">
        <v>242</v>
      </c>
      <c r="M2462" s="1369" t="s">
        <v>23297</v>
      </c>
      <c r="N2462" s="1178"/>
      <c r="O2462" s="1178">
        <v>6</v>
      </c>
      <c r="P2462" s="1178">
        <v>12.5</v>
      </c>
    </row>
    <row r="2463" spans="1:16">
      <c r="A2463" s="1178" t="s">
        <v>21201</v>
      </c>
      <c r="B2463" s="1371" t="str">
        <f>HYPERLINK(IFERROR("#Main_Tariff!A"&amp;MATCH(Raeburn_Main_Tariff[[#This Row],[Product Code]],Main_Tariff!I:I,0),"#Main_Tariff!A"&amp;MATCH("*"&amp;RIGHT(A2463,8)&amp;"*",Main_Tariff!A:A,0)),Raeburn_Main_Tariff[[#This Row],[PRODUCER]])</f>
        <v>Domaine Rémi Rollin</v>
      </c>
      <c r="C2463" s="1178" t="s">
        <v>21209</v>
      </c>
      <c r="D2463" s="1178" t="s">
        <v>897</v>
      </c>
      <c r="E2463" s="1179">
        <v>2012</v>
      </c>
      <c r="F2463" s="1282" t="s">
        <v>20240</v>
      </c>
      <c r="G2463" s="1368">
        <v>67</v>
      </c>
      <c r="H2463" s="1178" t="s">
        <v>20224</v>
      </c>
      <c r="I2463" s="1178" t="s">
        <v>7748</v>
      </c>
      <c r="J2463" s="1178" t="s">
        <v>662</v>
      </c>
      <c r="K2463" s="1178" t="s">
        <v>267</v>
      </c>
      <c r="L2463" s="1178" t="s">
        <v>242</v>
      </c>
      <c r="M2463" s="1369" t="s">
        <v>23297</v>
      </c>
      <c r="N2463" s="1178"/>
      <c r="O2463" s="1178">
        <v>6</v>
      </c>
      <c r="P2463" s="1178">
        <v>13</v>
      </c>
    </row>
    <row r="2464" spans="1:16">
      <c r="A2464" s="1178" t="s">
        <v>21201</v>
      </c>
      <c r="B2464" s="1371" t="str">
        <f>HYPERLINK(IFERROR("#Main_Tariff!A"&amp;MATCH(Raeburn_Main_Tariff[[#This Row],[Product Code]],Main_Tariff!I:I,0),"#Main_Tariff!A"&amp;MATCH("*"&amp;RIGHT(A2464,8)&amp;"*",Main_Tariff!A:A,0)),Raeburn_Main_Tariff[[#This Row],[PRODUCER]])</f>
        <v>Domaine Rémi Rollin</v>
      </c>
      <c r="C2464" s="1178" t="s">
        <v>21209</v>
      </c>
      <c r="D2464" s="1178" t="s">
        <v>897</v>
      </c>
      <c r="E2464" s="1179">
        <v>2011</v>
      </c>
      <c r="F2464" s="1282" t="s">
        <v>20240</v>
      </c>
      <c r="G2464" s="1368">
        <v>64</v>
      </c>
      <c r="H2464" s="1178" t="s">
        <v>20221</v>
      </c>
      <c r="I2464" s="1178" t="s">
        <v>7749</v>
      </c>
      <c r="J2464" s="1178" t="s">
        <v>662</v>
      </c>
      <c r="K2464" s="1178" t="s">
        <v>267</v>
      </c>
      <c r="L2464" s="1178" t="s">
        <v>242</v>
      </c>
      <c r="M2464" s="1369" t="s">
        <v>23297</v>
      </c>
      <c r="N2464" s="1178"/>
      <c r="O2464" s="1178">
        <v>6</v>
      </c>
      <c r="P2464" s="1178">
        <v>13</v>
      </c>
    </row>
    <row r="2465" spans="1:16">
      <c r="A2465" s="1178" t="s">
        <v>21210</v>
      </c>
      <c r="B2465" s="1371" t="str">
        <f>HYPERLINK(IFERROR("#Main_Tariff!A"&amp;MATCH(Raeburn_Main_Tariff[[#This Row],[Product Code]],Main_Tariff!I:I,0),"#Main_Tariff!A"&amp;MATCH("*"&amp;RIGHT(A2465,8)&amp;"*",Main_Tariff!A:A,0)),Raeburn_Main_Tariff[[#This Row],[PRODUCER]])</f>
        <v>Domaine Serrigny</v>
      </c>
      <c r="C2465" s="1178" t="s">
        <v>21211</v>
      </c>
      <c r="D2465" s="1178" t="s">
        <v>1129</v>
      </c>
      <c r="E2465" s="1179">
        <v>2014</v>
      </c>
      <c r="F2465" s="1282" t="s">
        <v>20220</v>
      </c>
      <c r="G2465" s="1368">
        <v>15.5</v>
      </c>
      <c r="H2465" s="1178" t="s">
        <v>20277</v>
      </c>
      <c r="I2465" s="1178" t="s">
        <v>7754</v>
      </c>
      <c r="J2465" s="1178" t="s">
        <v>662</v>
      </c>
      <c r="K2465" s="1178" t="s">
        <v>267</v>
      </c>
      <c r="L2465" s="1178" t="s">
        <v>242</v>
      </c>
      <c r="M2465" s="1369"/>
      <c r="N2465" s="1178"/>
      <c r="O2465" s="1178">
        <v>6</v>
      </c>
      <c r="P2465" s="1178">
        <v>12.5</v>
      </c>
    </row>
    <row r="2466" spans="1:16">
      <c r="A2466" s="1178" t="s">
        <v>21210</v>
      </c>
      <c r="B2466" s="1371" t="str">
        <f>HYPERLINK(IFERROR("#Main_Tariff!A"&amp;MATCH(Raeburn_Main_Tariff[[#This Row],[Product Code]],Main_Tariff!I:I,0),"#Main_Tariff!A"&amp;MATCH("*"&amp;RIGHT(A2466,8)&amp;"*",Main_Tariff!A:A,0)),Raeburn_Main_Tariff[[#This Row],[PRODUCER]])</f>
        <v>Domaine Serrigny</v>
      </c>
      <c r="C2466" s="1178" t="s">
        <v>21212</v>
      </c>
      <c r="D2466" s="1178" t="s">
        <v>1129</v>
      </c>
      <c r="E2466" s="1179">
        <v>2016</v>
      </c>
      <c r="F2466" s="1282" t="s">
        <v>20220</v>
      </c>
      <c r="G2466" s="1368">
        <v>24.5</v>
      </c>
      <c r="H2466" s="1178" t="s">
        <v>20221</v>
      </c>
      <c r="I2466" s="1178" t="s">
        <v>7756</v>
      </c>
      <c r="J2466" s="1178" t="s">
        <v>662</v>
      </c>
      <c r="K2466" s="1178" t="s">
        <v>267</v>
      </c>
      <c r="L2466" s="1178" t="s">
        <v>242</v>
      </c>
      <c r="M2466" s="1369"/>
      <c r="N2466" s="1178"/>
      <c r="O2466" s="1178">
        <v>6</v>
      </c>
      <c r="P2466" s="1178">
        <v>13</v>
      </c>
    </row>
    <row r="2467" spans="1:16">
      <c r="A2467" s="1178" t="s">
        <v>21210</v>
      </c>
      <c r="B2467" s="1371" t="str">
        <f>HYPERLINK(IFERROR("#Main_Tariff!A"&amp;MATCH(Raeburn_Main_Tariff[[#This Row],[Product Code]],Main_Tariff!I:I,0),"#Main_Tariff!A"&amp;MATCH("*"&amp;RIGHT(A2467,8)&amp;"*",Main_Tariff!A:A,0)),Raeburn_Main_Tariff[[#This Row],[PRODUCER]])</f>
        <v>Domaine Serrigny</v>
      </c>
      <c r="C2467" s="1178" t="s">
        <v>21212</v>
      </c>
      <c r="D2467" s="1178" t="s">
        <v>1129</v>
      </c>
      <c r="E2467" s="1179">
        <v>2015</v>
      </c>
      <c r="F2467" s="1282" t="s">
        <v>20220</v>
      </c>
      <c r="G2467" s="1368">
        <v>24.5</v>
      </c>
      <c r="H2467" s="1178" t="s">
        <v>20224</v>
      </c>
      <c r="I2467" s="1178" t="s">
        <v>7758</v>
      </c>
      <c r="J2467" s="1178" t="s">
        <v>662</v>
      </c>
      <c r="K2467" s="1178" t="s">
        <v>267</v>
      </c>
      <c r="L2467" s="1178" t="s">
        <v>242</v>
      </c>
      <c r="M2467" s="1369"/>
      <c r="N2467" s="1178"/>
      <c r="O2467" s="1178">
        <v>6</v>
      </c>
      <c r="P2467" s="1178">
        <v>13</v>
      </c>
    </row>
    <row r="2468" spans="1:16">
      <c r="A2468" s="1178" t="s">
        <v>21210</v>
      </c>
      <c r="B2468" s="1371" t="str">
        <f>HYPERLINK(IFERROR("#Main_Tariff!A"&amp;MATCH(Raeburn_Main_Tariff[[#This Row],[Product Code]],Main_Tariff!I:I,0),"#Main_Tariff!A"&amp;MATCH("*"&amp;RIGHT(A2468,8)&amp;"*",Main_Tariff!A:A,0)),Raeburn_Main_Tariff[[#This Row],[PRODUCER]])</f>
        <v>Domaine Serrigny</v>
      </c>
      <c r="C2468" s="1178" t="s">
        <v>21212</v>
      </c>
      <c r="D2468" s="1178" t="s">
        <v>1129</v>
      </c>
      <c r="E2468" s="1179">
        <v>2014</v>
      </c>
      <c r="F2468" s="1282" t="s">
        <v>20220</v>
      </c>
      <c r="G2468" s="1368">
        <v>24.5</v>
      </c>
      <c r="H2468" s="1178" t="s">
        <v>20221</v>
      </c>
      <c r="I2468" s="1178" t="s">
        <v>7760</v>
      </c>
      <c r="J2468" s="1178" t="s">
        <v>662</v>
      </c>
      <c r="K2468" s="1178" t="s">
        <v>267</v>
      </c>
      <c r="L2468" s="1178" t="s">
        <v>242</v>
      </c>
      <c r="M2468" s="1369"/>
      <c r="N2468" s="1178"/>
      <c r="O2468" s="1178">
        <v>6</v>
      </c>
      <c r="P2468" s="1178">
        <v>13</v>
      </c>
    </row>
    <row r="2469" spans="1:16">
      <c r="A2469" s="1178" t="s">
        <v>21210</v>
      </c>
      <c r="B2469" s="1371" t="str">
        <f>HYPERLINK(IFERROR("#Main_Tariff!A"&amp;MATCH(Raeburn_Main_Tariff[[#This Row],[Product Code]],Main_Tariff!I:I,0),"#Main_Tariff!A"&amp;MATCH("*"&amp;RIGHT(A2469,8)&amp;"*",Main_Tariff!A:A,0)),Raeburn_Main_Tariff[[#This Row],[PRODUCER]])</f>
        <v>Domaine Serrigny</v>
      </c>
      <c r="C2469" s="1178" t="s">
        <v>21212</v>
      </c>
      <c r="D2469" s="1178" t="s">
        <v>1129</v>
      </c>
      <c r="E2469" s="1179">
        <v>2012</v>
      </c>
      <c r="F2469" s="1282" t="s">
        <v>20220</v>
      </c>
      <c r="G2469" s="1368">
        <v>24.5</v>
      </c>
      <c r="H2469" s="1178" t="s">
        <v>20221</v>
      </c>
      <c r="I2469" s="1178" t="s">
        <v>7762</v>
      </c>
      <c r="J2469" s="1178" t="s">
        <v>662</v>
      </c>
      <c r="K2469" s="1178" t="s">
        <v>267</v>
      </c>
      <c r="L2469" s="1178" t="s">
        <v>242</v>
      </c>
      <c r="M2469" s="1369"/>
      <c r="N2469" s="1178"/>
      <c r="O2469" s="1178">
        <v>6</v>
      </c>
      <c r="P2469" s="1178">
        <v>13</v>
      </c>
    </row>
    <row r="2470" spans="1:16">
      <c r="A2470" s="1178" t="s">
        <v>21210</v>
      </c>
      <c r="B2470" s="1371" t="str">
        <f>HYPERLINK(IFERROR("#Main_Tariff!A"&amp;MATCH(Raeburn_Main_Tariff[[#This Row],[Product Code]],Main_Tariff!I:I,0),"#Main_Tariff!A"&amp;MATCH("*"&amp;RIGHT(A2470,8)&amp;"*",Main_Tariff!A:A,0)),Raeburn_Main_Tariff[[#This Row],[PRODUCER]])</f>
        <v>Domaine Serrigny</v>
      </c>
      <c r="C2470" s="1178" t="s">
        <v>21212</v>
      </c>
      <c r="D2470" s="1178" t="s">
        <v>1129</v>
      </c>
      <c r="E2470" s="1179">
        <v>2011</v>
      </c>
      <c r="F2470" s="1282" t="s">
        <v>20220</v>
      </c>
      <c r="G2470" s="1368">
        <v>24.5</v>
      </c>
      <c r="H2470" s="1178" t="s">
        <v>20221</v>
      </c>
      <c r="I2470" s="1178" t="s">
        <v>7763</v>
      </c>
      <c r="J2470" s="1178" t="s">
        <v>662</v>
      </c>
      <c r="K2470" s="1178" t="s">
        <v>267</v>
      </c>
      <c r="L2470" s="1178" t="s">
        <v>242</v>
      </c>
      <c r="M2470" s="1369"/>
      <c r="N2470" s="1178"/>
      <c r="O2470" s="1178">
        <v>6</v>
      </c>
      <c r="P2470" s="1178">
        <v>12.5</v>
      </c>
    </row>
    <row r="2471" spans="1:16">
      <c r="A2471" s="1178" t="s">
        <v>21210</v>
      </c>
      <c r="B2471" s="1371" t="str">
        <f>HYPERLINK(IFERROR("#Main_Tariff!A"&amp;MATCH(Raeburn_Main_Tariff[[#This Row],[Product Code]],Main_Tariff!I:I,0),"#Main_Tariff!A"&amp;MATCH("*"&amp;RIGHT(A2471,8)&amp;"*",Main_Tariff!A:A,0)),Raeburn_Main_Tariff[[#This Row],[PRODUCER]])</f>
        <v>Domaine Serrigny</v>
      </c>
      <c r="C2471" s="1178" t="s">
        <v>21213</v>
      </c>
      <c r="D2471" s="1178" t="s">
        <v>897</v>
      </c>
      <c r="E2471" s="1179">
        <v>2015</v>
      </c>
      <c r="F2471" s="1282" t="s">
        <v>20220</v>
      </c>
      <c r="G2471" s="1368">
        <v>22.5</v>
      </c>
      <c r="H2471" s="1178" t="s">
        <v>20221</v>
      </c>
      <c r="I2471" s="1178" t="s">
        <v>7766</v>
      </c>
      <c r="J2471" s="1178" t="s">
        <v>662</v>
      </c>
      <c r="K2471" s="1178" t="s">
        <v>267</v>
      </c>
      <c r="L2471" s="1178" t="s">
        <v>242</v>
      </c>
      <c r="M2471" s="1369"/>
      <c r="N2471" s="1178"/>
      <c r="O2471" s="1178">
        <v>6</v>
      </c>
      <c r="P2471" s="1178">
        <v>13</v>
      </c>
    </row>
    <row r="2472" spans="1:16">
      <c r="A2472" s="1178" t="s">
        <v>21210</v>
      </c>
      <c r="B2472" s="1371" t="str">
        <f>HYPERLINK(IFERROR("#Main_Tariff!A"&amp;MATCH(Raeburn_Main_Tariff[[#This Row],[Product Code]],Main_Tariff!I:I,0),"#Main_Tariff!A"&amp;MATCH("*"&amp;RIGHT(A2472,8)&amp;"*",Main_Tariff!A:A,0)),Raeburn_Main_Tariff[[#This Row],[PRODUCER]])</f>
        <v>Domaine Serrigny</v>
      </c>
      <c r="C2472" s="1178" t="s">
        <v>21213</v>
      </c>
      <c r="D2472" s="1178" t="s">
        <v>897</v>
      </c>
      <c r="E2472" s="1179">
        <v>2014</v>
      </c>
      <c r="F2472" s="1282" t="s">
        <v>20220</v>
      </c>
      <c r="G2472" s="1368">
        <v>21.5</v>
      </c>
      <c r="H2472" s="1178" t="s">
        <v>20221</v>
      </c>
      <c r="I2472" s="1178" t="s">
        <v>7768</v>
      </c>
      <c r="J2472" s="1178" t="s">
        <v>662</v>
      </c>
      <c r="K2472" s="1178" t="s">
        <v>267</v>
      </c>
      <c r="L2472" s="1178" t="s">
        <v>242</v>
      </c>
      <c r="M2472" s="1369"/>
      <c r="N2472" s="1178"/>
      <c r="O2472" s="1178">
        <v>6</v>
      </c>
      <c r="P2472" s="1178">
        <v>13</v>
      </c>
    </row>
    <row r="2473" spans="1:16">
      <c r="A2473" s="1178" t="s">
        <v>21210</v>
      </c>
      <c r="B2473" s="1371" t="str">
        <f>HYPERLINK(IFERROR("#Main_Tariff!A"&amp;MATCH(Raeburn_Main_Tariff[[#This Row],[Product Code]],Main_Tariff!I:I,0),"#Main_Tariff!A"&amp;MATCH("*"&amp;RIGHT(A2473,8)&amp;"*",Main_Tariff!A:A,0)),Raeburn_Main_Tariff[[#This Row],[PRODUCER]])</f>
        <v>Domaine Serrigny</v>
      </c>
      <c r="C2473" s="1178" t="s">
        <v>21213</v>
      </c>
      <c r="D2473" s="1178" t="s">
        <v>897</v>
      </c>
      <c r="E2473" s="1179">
        <v>2012</v>
      </c>
      <c r="F2473" s="1282" t="s">
        <v>20220</v>
      </c>
      <c r="G2473" s="1368">
        <v>21.5</v>
      </c>
      <c r="H2473" s="1178" t="s">
        <v>20221</v>
      </c>
      <c r="I2473" s="1178" t="s">
        <v>7770</v>
      </c>
      <c r="J2473" s="1178" t="s">
        <v>662</v>
      </c>
      <c r="K2473" s="1178" t="s">
        <v>267</v>
      </c>
      <c r="L2473" s="1178" t="s">
        <v>242</v>
      </c>
      <c r="M2473" s="1369"/>
      <c r="N2473" s="1178"/>
      <c r="O2473" s="1178">
        <v>6</v>
      </c>
      <c r="P2473" s="1178">
        <v>12.5</v>
      </c>
    </row>
    <row r="2474" spans="1:16">
      <c r="A2474" s="1178" t="s">
        <v>21210</v>
      </c>
      <c r="B2474" s="1371" t="str">
        <f>HYPERLINK(IFERROR("#Main_Tariff!A"&amp;MATCH(Raeburn_Main_Tariff[[#This Row],[Product Code]],Main_Tariff!I:I,0),"#Main_Tariff!A"&amp;MATCH("*"&amp;RIGHT(A2474,8)&amp;"*",Main_Tariff!A:A,0)),Raeburn_Main_Tariff[[#This Row],[PRODUCER]])</f>
        <v>Domaine Serrigny</v>
      </c>
      <c r="C2474" s="1178" t="s">
        <v>21214</v>
      </c>
      <c r="D2474" s="1178" t="s">
        <v>897</v>
      </c>
      <c r="E2474" s="1179">
        <v>2015</v>
      </c>
      <c r="F2474" s="1282" t="s">
        <v>20220</v>
      </c>
      <c r="G2474" s="1368">
        <v>22.5</v>
      </c>
      <c r="H2474" s="1178" t="s">
        <v>20221</v>
      </c>
      <c r="I2474" s="1178" t="s">
        <v>7772</v>
      </c>
      <c r="J2474" s="1178" t="s">
        <v>662</v>
      </c>
      <c r="K2474" s="1178" t="s">
        <v>267</v>
      </c>
      <c r="L2474" s="1178" t="s">
        <v>242</v>
      </c>
      <c r="M2474" s="1369"/>
      <c r="N2474" s="1178"/>
      <c r="O2474" s="1178">
        <v>6</v>
      </c>
      <c r="P2474" s="1178">
        <v>12.5</v>
      </c>
    </row>
    <row r="2475" spans="1:16">
      <c r="A2475" s="1178" t="s">
        <v>21210</v>
      </c>
      <c r="B2475" s="1371" t="str">
        <f>HYPERLINK(IFERROR("#Main_Tariff!A"&amp;MATCH(Raeburn_Main_Tariff[[#This Row],[Product Code]],Main_Tariff!I:I,0),"#Main_Tariff!A"&amp;MATCH("*"&amp;RIGHT(A2475,8)&amp;"*",Main_Tariff!A:A,0)),Raeburn_Main_Tariff[[#This Row],[PRODUCER]])</f>
        <v>Domaine Serrigny</v>
      </c>
      <c r="C2475" s="1178" t="s">
        <v>21215</v>
      </c>
      <c r="D2475" s="1178" t="s">
        <v>897</v>
      </c>
      <c r="E2475" s="1179">
        <v>2016</v>
      </c>
      <c r="F2475" s="1282" t="s">
        <v>20220</v>
      </c>
      <c r="G2475" s="1368">
        <v>23</v>
      </c>
      <c r="H2475" s="1178" t="s">
        <v>20221</v>
      </c>
      <c r="I2475" s="1178" t="s">
        <v>7774</v>
      </c>
      <c r="J2475" s="1178" t="s">
        <v>662</v>
      </c>
      <c r="K2475" s="1178" t="s">
        <v>267</v>
      </c>
      <c r="L2475" s="1178" t="s">
        <v>242</v>
      </c>
      <c r="M2475" s="1369"/>
      <c r="N2475" s="1178"/>
      <c r="O2475" s="1178">
        <v>6</v>
      </c>
      <c r="P2475" s="1178">
        <v>13</v>
      </c>
    </row>
    <row r="2476" spans="1:16">
      <c r="A2476" s="1178" t="s">
        <v>21210</v>
      </c>
      <c r="B2476" s="1371" t="str">
        <f>HYPERLINK(IFERROR("#Main_Tariff!A"&amp;MATCH(Raeburn_Main_Tariff[[#This Row],[Product Code]],Main_Tariff!I:I,0),"#Main_Tariff!A"&amp;MATCH("*"&amp;RIGHT(A2476,8)&amp;"*",Main_Tariff!A:A,0)),Raeburn_Main_Tariff[[#This Row],[PRODUCER]])</f>
        <v>Domaine Serrigny</v>
      </c>
      <c r="C2476" s="1178" t="s">
        <v>20999</v>
      </c>
      <c r="D2476" s="1178" t="s">
        <v>897</v>
      </c>
      <c r="E2476" s="1179">
        <v>2012</v>
      </c>
      <c r="F2476" s="1282" t="s">
        <v>20220</v>
      </c>
      <c r="G2476" s="1368">
        <v>22.5</v>
      </c>
      <c r="H2476" s="1178" t="s">
        <v>20221</v>
      </c>
      <c r="I2476" s="1178" t="s">
        <v>7776</v>
      </c>
      <c r="J2476" s="1178" t="s">
        <v>662</v>
      </c>
      <c r="K2476" s="1178" t="s">
        <v>267</v>
      </c>
      <c r="L2476" s="1178" t="s">
        <v>242</v>
      </c>
      <c r="M2476" s="1369"/>
      <c r="N2476" s="1178"/>
      <c r="O2476" s="1178">
        <v>6</v>
      </c>
      <c r="P2476" s="1178">
        <v>13</v>
      </c>
    </row>
    <row r="2477" spans="1:16">
      <c r="A2477" s="1178" t="s">
        <v>21210</v>
      </c>
      <c r="B2477" s="1371" t="str">
        <f>HYPERLINK(IFERROR("#Main_Tariff!A"&amp;MATCH(Raeburn_Main_Tariff[[#This Row],[Product Code]],Main_Tariff!I:I,0),"#Main_Tariff!A"&amp;MATCH("*"&amp;RIGHT(A2477,8)&amp;"*",Main_Tariff!A:A,0)),Raeburn_Main_Tariff[[#This Row],[PRODUCER]])</f>
        <v>Domaine Serrigny</v>
      </c>
      <c r="C2477" s="1178" t="s">
        <v>20999</v>
      </c>
      <c r="D2477" s="1178" t="s">
        <v>897</v>
      </c>
      <c r="E2477" s="1179">
        <v>2011</v>
      </c>
      <c r="F2477" s="1282" t="s">
        <v>20220</v>
      </c>
      <c r="G2477" s="1368">
        <v>22.75</v>
      </c>
      <c r="H2477" s="1178" t="s">
        <v>20465</v>
      </c>
      <c r="I2477" s="1178" t="s">
        <v>7778</v>
      </c>
      <c r="J2477" s="1178" t="s">
        <v>662</v>
      </c>
      <c r="K2477" s="1178" t="s">
        <v>267</v>
      </c>
      <c r="L2477" s="1178" t="s">
        <v>242</v>
      </c>
      <c r="M2477" s="1369"/>
      <c r="N2477" s="1178"/>
      <c r="O2477" s="1178">
        <v>6</v>
      </c>
      <c r="P2477" s="1178">
        <v>13</v>
      </c>
    </row>
    <row r="2478" spans="1:16">
      <c r="A2478" s="1178" t="s">
        <v>21210</v>
      </c>
      <c r="B2478" s="1371" t="str">
        <f>HYPERLINK(IFERROR("#Main_Tariff!A"&amp;MATCH(Raeburn_Main_Tariff[[#This Row],[Product Code]],Main_Tariff!I:I,0),"#Main_Tariff!A"&amp;MATCH("*"&amp;RIGHT(A2478,8)&amp;"*",Main_Tariff!A:A,0)),Raeburn_Main_Tariff[[#This Row],[PRODUCER]])</f>
        <v>Domaine Serrigny</v>
      </c>
      <c r="C2478" s="1178" t="s">
        <v>21216</v>
      </c>
      <c r="D2478" s="1178" t="s">
        <v>897</v>
      </c>
      <c r="E2478" s="1179">
        <v>2011</v>
      </c>
      <c r="F2478" s="1282" t="s">
        <v>20220</v>
      </c>
      <c r="G2478" s="1368">
        <v>24.75</v>
      </c>
      <c r="H2478" s="1178" t="s">
        <v>20221</v>
      </c>
      <c r="I2478" s="1178" t="s">
        <v>7780</v>
      </c>
      <c r="J2478" s="1178" t="s">
        <v>662</v>
      </c>
      <c r="K2478" s="1178" t="s">
        <v>267</v>
      </c>
      <c r="L2478" s="1178" t="s">
        <v>242</v>
      </c>
      <c r="M2478" s="1369"/>
      <c r="N2478" s="1178"/>
      <c r="O2478" s="1178">
        <v>6</v>
      </c>
      <c r="P2478" s="1178">
        <v>13</v>
      </c>
    </row>
    <row r="2479" spans="1:16">
      <c r="A2479" s="1178" t="s">
        <v>21210</v>
      </c>
      <c r="B2479" s="1371" t="str">
        <f>HYPERLINK(IFERROR("#Main_Tariff!A"&amp;MATCH(Raeburn_Main_Tariff[[#This Row],[Product Code]],Main_Tariff!I:I,0),"#Main_Tariff!A"&amp;MATCH("*"&amp;RIGHT(A2479,8)&amp;"*",Main_Tariff!A:A,0)),Raeburn_Main_Tariff[[#This Row],[PRODUCER]])</f>
        <v>Domaine Serrigny</v>
      </c>
      <c r="C2479" s="1178" t="s">
        <v>21217</v>
      </c>
      <c r="D2479" s="1178" t="s">
        <v>897</v>
      </c>
      <c r="E2479" s="1179">
        <v>2011</v>
      </c>
      <c r="F2479" s="1282" t="s">
        <v>20220</v>
      </c>
      <c r="G2479" s="1368">
        <v>26.75</v>
      </c>
      <c r="H2479" s="1178" t="s">
        <v>20221</v>
      </c>
      <c r="I2479" s="1178" t="s">
        <v>7783</v>
      </c>
      <c r="J2479" s="1178" t="s">
        <v>662</v>
      </c>
      <c r="K2479" s="1178" t="s">
        <v>267</v>
      </c>
      <c r="L2479" s="1178" t="s">
        <v>242</v>
      </c>
      <c r="M2479" s="1369" t="s">
        <v>23297</v>
      </c>
      <c r="N2479" s="1178"/>
      <c r="O2479" s="1178">
        <v>6</v>
      </c>
      <c r="P2479" s="1178">
        <v>12.5</v>
      </c>
    </row>
    <row r="2480" spans="1:16">
      <c r="A2480" s="1178" t="s">
        <v>21210</v>
      </c>
      <c r="B2480" s="1371" t="str">
        <f>HYPERLINK(IFERROR("#Main_Tariff!A"&amp;MATCH(Raeburn_Main_Tariff[[#This Row],[Product Code]],Main_Tariff!I:I,0),"#Main_Tariff!A"&amp;MATCH("*"&amp;RIGHT(A2480,8)&amp;"*",Main_Tariff!A:A,0)),Raeburn_Main_Tariff[[#This Row],[PRODUCER]])</f>
        <v>Domaine Serrigny</v>
      </c>
      <c r="C2480" s="1178" t="s">
        <v>21218</v>
      </c>
      <c r="D2480" s="1178" t="s">
        <v>897</v>
      </c>
      <c r="E2480" s="1179">
        <v>2015</v>
      </c>
      <c r="F2480" s="1282" t="s">
        <v>20220</v>
      </c>
      <c r="G2480" s="1368">
        <v>28</v>
      </c>
      <c r="H2480" s="1178" t="s">
        <v>20224</v>
      </c>
      <c r="I2480" s="1178" t="s">
        <v>7785</v>
      </c>
      <c r="J2480" s="1178" t="s">
        <v>662</v>
      </c>
      <c r="K2480" s="1178" t="s">
        <v>267</v>
      </c>
      <c r="L2480" s="1178" t="s">
        <v>242</v>
      </c>
      <c r="M2480" s="1369" t="s">
        <v>23297</v>
      </c>
      <c r="N2480" s="1178"/>
      <c r="O2480" s="1178">
        <v>6</v>
      </c>
      <c r="P2480" s="1178">
        <v>13</v>
      </c>
    </row>
    <row r="2481" spans="1:16">
      <c r="A2481" s="1178" t="s">
        <v>21210</v>
      </c>
      <c r="B2481" s="1371" t="str">
        <f>HYPERLINK(IFERROR("#Main_Tariff!A"&amp;MATCH(Raeburn_Main_Tariff[[#This Row],[Product Code]],Main_Tariff!I:I,0),"#Main_Tariff!A"&amp;MATCH("*"&amp;RIGHT(A2481,8)&amp;"*",Main_Tariff!A:A,0)),Raeburn_Main_Tariff[[#This Row],[PRODUCER]])</f>
        <v>Domaine Serrigny</v>
      </c>
      <c r="C2481" s="1178" t="s">
        <v>21218</v>
      </c>
      <c r="D2481" s="1178" t="s">
        <v>897</v>
      </c>
      <c r="E2481" s="1179">
        <v>2012</v>
      </c>
      <c r="F2481" s="1282" t="s">
        <v>20220</v>
      </c>
      <c r="G2481" s="1368">
        <v>28</v>
      </c>
      <c r="H2481" s="1178" t="s">
        <v>20221</v>
      </c>
      <c r="I2481" s="1178" t="s">
        <v>7787</v>
      </c>
      <c r="J2481" s="1178" t="s">
        <v>662</v>
      </c>
      <c r="K2481" s="1178" t="s">
        <v>267</v>
      </c>
      <c r="L2481" s="1178" t="s">
        <v>242</v>
      </c>
      <c r="M2481" s="1369" t="s">
        <v>23297</v>
      </c>
      <c r="N2481" s="1178"/>
      <c r="O2481" s="1178">
        <v>6</v>
      </c>
      <c r="P2481" s="1178">
        <v>13</v>
      </c>
    </row>
    <row r="2482" spans="1:16">
      <c r="A2482" s="1178" t="s">
        <v>21210</v>
      </c>
      <c r="B2482" s="1371" t="str">
        <f>HYPERLINK(IFERROR("#Main_Tariff!A"&amp;MATCH(Raeburn_Main_Tariff[[#This Row],[Product Code]],Main_Tariff!I:I,0),"#Main_Tariff!A"&amp;MATCH("*"&amp;RIGHT(A2482,8)&amp;"*",Main_Tariff!A:A,0)),Raeburn_Main_Tariff[[#This Row],[PRODUCER]])</f>
        <v>Domaine Serrigny</v>
      </c>
      <c r="C2482" s="1178" t="s">
        <v>21218</v>
      </c>
      <c r="D2482" s="1178" t="s">
        <v>897</v>
      </c>
      <c r="E2482" s="1179">
        <v>2010</v>
      </c>
      <c r="F2482" s="1282" t="s">
        <v>20220</v>
      </c>
      <c r="G2482" s="1368">
        <v>28</v>
      </c>
      <c r="H2482" s="1178" t="s">
        <v>20221</v>
      </c>
      <c r="I2482" s="1178" t="s">
        <v>7789</v>
      </c>
      <c r="J2482" s="1178" t="s">
        <v>662</v>
      </c>
      <c r="K2482" s="1178" t="s">
        <v>267</v>
      </c>
      <c r="L2482" s="1178" t="s">
        <v>242</v>
      </c>
      <c r="M2482" s="1369" t="s">
        <v>23297</v>
      </c>
      <c r="N2482" s="1178"/>
      <c r="O2482" s="1178">
        <v>6</v>
      </c>
      <c r="P2482" s="1178">
        <v>13</v>
      </c>
    </row>
    <row r="2483" spans="1:16">
      <c r="A2483" s="1178" t="s">
        <v>21210</v>
      </c>
      <c r="B2483" s="1371" t="str">
        <f>HYPERLINK(IFERROR("#Main_Tariff!A"&amp;MATCH(Raeburn_Main_Tariff[[#This Row],[Product Code]],Main_Tariff!I:I,0),"#Main_Tariff!A"&amp;MATCH("*"&amp;RIGHT(A2483,8)&amp;"*",Main_Tariff!A:A,0)),Raeburn_Main_Tariff[[#This Row],[PRODUCER]])</f>
        <v>Domaine Serrigny</v>
      </c>
      <c r="C2483" s="1178" t="s">
        <v>21219</v>
      </c>
      <c r="D2483" s="1178" t="s">
        <v>897</v>
      </c>
      <c r="E2483" s="1179">
        <v>2016</v>
      </c>
      <c r="F2483" s="1282" t="s">
        <v>20220</v>
      </c>
      <c r="G2483" s="1368">
        <v>27</v>
      </c>
      <c r="H2483" s="1178" t="s">
        <v>20221</v>
      </c>
      <c r="I2483" s="1178" t="s">
        <v>6292</v>
      </c>
      <c r="J2483" s="1178" t="s">
        <v>662</v>
      </c>
      <c r="K2483" s="1178" t="s">
        <v>267</v>
      </c>
      <c r="L2483" s="1178" t="s">
        <v>242</v>
      </c>
      <c r="M2483" s="1369" t="s">
        <v>23297</v>
      </c>
      <c r="N2483" s="1178"/>
      <c r="O2483" s="1178">
        <v>6</v>
      </c>
      <c r="P2483" s="1178">
        <v>13</v>
      </c>
    </row>
    <row r="2484" spans="1:16">
      <c r="A2484" s="1178" t="s">
        <v>21210</v>
      </c>
      <c r="B2484" s="1371" t="str">
        <f>HYPERLINK(IFERROR("#Main_Tariff!A"&amp;MATCH(Raeburn_Main_Tariff[[#This Row],[Product Code]],Main_Tariff!I:I,0),"#Main_Tariff!A"&amp;MATCH("*"&amp;RIGHT(A2484,8)&amp;"*",Main_Tariff!A:A,0)),Raeburn_Main_Tariff[[#This Row],[PRODUCER]])</f>
        <v>Domaine Serrigny</v>
      </c>
      <c r="C2484" s="1178" t="s">
        <v>21220</v>
      </c>
      <c r="D2484" s="1178" t="s">
        <v>897</v>
      </c>
      <c r="E2484" s="1179">
        <v>2016</v>
      </c>
      <c r="F2484" s="1282" t="s">
        <v>20220</v>
      </c>
      <c r="G2484" s="1368">
        <v>27</v>
      </c>
      <c r="H2484" s="1178" t="s">
        <v>20221</v>
      </c>
      <c r="I2484" s="1178" t="s">
        <v>7794</v>
      </c>
      <c r="J2484" s="1178" t="s">
        <v>662</v>
      </c>
      <c r="K2484" s="1178" t="s">
        <v>267</v>
      </c>
      <c r="L2484" s="1178" t="s">
        <v>242</v>
      </c>
      <c r="M2484" s="1369" t="s">
        <v>23297</v>
      </c>
      <c r="N2484" s="1178"/>
      <c r="O2484" s="1178">
        <v>6</v>
      </c>
      <c r="P2484" s="1178">
        <v>13</v>
      </c>
    </row>
    <row r="2485" spans="1:16">
      <c r="A2485" s="1178" t="s">
        <v>21210</v>
      </c>
      <c r="B2485" s="1371" t="str">
        <f>HYPERLINK(IFERROR("#Main_Tariff!A"&amp;MATCH(Raeburn_Main_Tariff[[#This Row],[Product Code]],Main_Tariff!I:I,0),"#Main_Tariff!A"&amp;MATCH("*"&amp;RIGHT(A2485,8)&amp;"*",Main_Tariff!A:A,0)),Raeburn_Main_Tariff[[#This Row],[PRODUCER]])</f>
        <v>Domaine Serrigny</v>
      </c>
      <c r="C2485" s="1178" t="s">
        <v>21221</v>
      </c>
      <c r="D2485" s="1178" t="s">
        <v>897</v>
      </c>
      <c r="E2485" s="1179">
        <v>2016</v>
      </c>
      <c r="F2485" s="1282" t="s">
        <v>20220</v>
      </c>
      <c r="G2485" s="1368">
        <v>32</v>
      </c>
      <c r="H2485" s="1178" t="s">
        <v>20221</v>
      </c>
      <c r="I2485" s="1178" t="s">
        <v>7792</v>
      </c>
      <c r="J2485" s="1178" t="s">
        <v>662</v>
      </c>
      <c r="K2485" s="1178" t="s">
        <v>267</v>
      </c>
      <c r="L2485" s="1178" t="s">
        <v>242</v>
      </c>
      <c r="M2485" s="1369" t="s">
        <v>23297</v>
      </c>
      <c r="N2485" s="1178"/>
      <c r="O2485" s="1178">
        <v>6</v>
      </c>
      <c r="P2485" s="1178">
        <v>13</v>
      </c>
    </row>
    <row r="2486" spans="1:16">
      <c r="A2486" s="1178" t="s">
        <v>21222</v>
      </c>
      <c r="B2486" s="1371" t="str">
        <f>HYPERLINK(IFERROR("#Main_Tariff!A"&amp;MATCH(Raeburn_Main_Tariff[[#This Row],[Product Code]],Main_Tariff!I:I,0),"#Main_Tariff!A"&amp;MATCH("*"&amp;RIGHT(A2486,8)&amp;"*",Main_Tariff!A:A,0)),Raeburn_Main_Tariff[[#This Row],[PRODUCER]])</f>
        <v>Domaine Terres de Velle</v>
      </c>
      <c r="C2486" s="1178" t="s">
        <v>21223</v>
      </c>
      <c r="D2486" s="1178" t="s">
        <v>1129</v>
      </c>
      <c r="E2486" s="1179">
        <v>2020</v>
      </c>
      <c r="F2486" s="1282" t="s">
        <v>20220</v>
      </c>
      <c r="G2486" s="1368">
        <v>23.5</v>
      </c>
      <c r="H2486" s="1178" t="s">
        <v>20221</v>
      </c>
      <c r="I2486" s="1178" t="s">
        <v>7818</v>
      </c>
      <c r="J2486" s="1178" t="s">
        <v>662</v>
      </c>
      <c r="K2486" s="1178" t="s">
        <v>267</v>
      </c>
      <c r="L2486" s="1178" t="s">
        <v>242</v>
      </c>
      <c r="M2486" s="1369"/>
      <c r="N2486" s="1178"/>
      <c r="O2486" s="1178">
        <v>6</v>
      </c>
      <c r="P2486" s="1178">
        <v>13.5</v>
      </c>
    </row>
    <row r="2487" spans="1:16">
      <c r="A2487" s="1178" t="s">
        <v>21222</v>
      </c>
      <c r="B2487" s="1371" t="str">
        <f>HYPERLINK(IFERROR("#Main_Tariff!A"&amp;MATCH(Raeburn_Main_Tariff[[#This Row],[Product Code]],Main_Tariff!I:I,0),"#Main_Tariff!A"&amp;MATCH("*"&amp;RIGHT(A2487,8)&amp;"*",Main_Tariff!A:A,0)),Raeburn_Main_Tariff[[#This Row],[PRODUCER]])</f>
        <v>Domaine Terres de Velle</v>
      </c>
      <c r="C2487" s="1178" t="s">
        <v>21223</v>
      </c>
      <c r="D2487" s="1178" t="s">
        <v>1129</v>
      </c>
      <c r="E2487" s="1179">
        <v>2019</v>
      </c>
      <c r="F2487" s="1282" t="s">
        <v>20220</v>
      </c>
      <c r="G2487" s="1368">
        <v>23.5</v>
      </c>
      <c r="H2487" s="1178" t="s">
        <v>20277</v>
      </c>
      <c r="I2487" s="1178" t="s">
        <v>7820</v>
      </c>
      <c r="J2487" s="1178" t="s">
        <v>662</v>
      </c>
      <c r="K2487" s="1178" t="s">
        <v>267</v>
      </c>
      <c r="L2487" s="1178" t="s">
        <v>242</v>
      </c>
      <c r="M2487" s="1369"/>
      <c r="N2487" s="1178"/>
      <c r="O2487" s="1178">
        <v>6</v>
      </c>
      <c r="P2487" s="1178">
        <v>14</v>
      </c>
    </row>
    <row r="2488" spans="1:16">
      <c r="A2488" s="1178" t="s">
        <v>21222</v>
      </c>
      <c r="B2488" s="1371" t="str">
        <f>HYPERLINK(IFERROR("#Main_Tariff!A"&amp;MATCH(Raeburn_Main_Tariff[[#This Row],[Product Code]],Main_Tariff!I:I,0),"#Main_Tariff!A"&amp;MATCH("*"&amp;RIGHT(A2488,8)&amp;"*",Main_Tariff!A:A,0)),Raeburn_Main_Tariff[[#This Row],[PRODUCER]])</f>
        <v>Domaine Terres de Velle</v>
      </c>
      <c r="C2488" s="1178" t="s">
        <v>21224</v>
      </c>
      <c r="D2488" s="1178" t="s">
        <v>1129</v>
      </c>
      <c r="E2488" s="1179">
        <v>2019</v>
      </c>
      <c r="F2488" s="1282" t="s">
        <v>20220</v>
      </c>
      <c r="G2488" s="1368">
        <v>39.5</v>
      </c>
      <c r="H2488" s="1178" t="s">
        <v>20221</v>
      </c>
      <c r="I2488" s="1178" t="s">
        <v>7823</v>
      </c>
      <c r="J2488" s="1178" t="s">
        <v>662</v>
      </c>
      <c r="K2488" s="1178" t="s">
        <v>267</v>
      </c>
      <c r="L2488" s="1178" t="s">
        <v>242</v>
      </c>
      <c r="M2488" s="1369" t="s">
        <v>23297</v>
      </c>
      <c r="N2488" s="1178"/>
      <c r="O2488" s="1178">
        <v>6</v>
      </c>
      <c r="P2488" s="1178">
        <v>14</v>
      </c>
    </row>
    <row r="2489" spans="1:16">
      <c r="A2489" s="1178" t="s">
        <v>21222</v>
      </c>
      <c r="B2489" s="1371" t="str">
        <f>HYPERLINK(IFERROR("#Main_Tariff!A"&amp;MATCH(Raeburn_Main_Tariff[[#This Row],[Product Code]],Main_Tariff!I:I,0),"#Main_Tariff!A"&amp;MATCH("*"&amp;RIGHT(A2489,8)&amp;"*",Main_Tariff!A:A,0)),Raeburn_Main_Tariff[[#This Row],[PRODUCER]])</f>
        <v>Domaine Terres de Velle</v>
      </c>
      <c r="C2489" s="1178" t="s">
        <v>20783</v>
      </c>
      <c r="D2489" s="1178" t="s">
        <v>1129</v>
      </c>
      <c r="E2489" s="1179">
        <v>2021</v>
      </c>
      <c r="F2489" s="1282" t="s">
        <v>20220</v>
      </c>
      <c r="G2489" s="1368">
        <v>110</v>
      </c>
      <c r="H2489" s="1178" t="s">
        <v>20221</v>
      </c>
      <c r="I2489" s="1178" t="s">
        <v>7826</v>
      </c>
      <c r="J2489" s="1178" t="s">
        <v>662</v>
      </c>
      <c r="K2489" s="1178" t="s">
        <v>267</v>
      </c>
      <c r="L2489" s="1178" t="s">
        <v>242</v>
      </c>
      <c r="M2489" s="1369" t="s">
        <v>23296</v>
      </c>
      <c r="N2489" s="1178"/>
      <c r="O2489" s="1178">
        <v>6</v>
      </c>
      <c r="P2489" s="1178">
        <v>13</v>
      </c>
    </row>
    <row r="2490" spans="1:16">
      <c r="A2490" s="1178" t="s">
        <v>21222</v>
      </c>
      <c r="B2490" s="1371" t="str">
        <f>HYPERLINK(IFERROR("#Main_Tariff!A"&amp;MATCH(Raeburn_Main_Tariff[[#This Row],[Product Code]],Main_Tariff!I:I,0),"#Main_Tariff!A"&amp;MATCH("*"&amp;RIGHT(A2490,8)&amp;"*",Main_Tariff!A:A,0)),Raeburn_Main_Tariff[[#This Row],[PRODUCER]])</f>
        <v>Domaine Terres de Velle</v>
      </c>
      <c r="C2490" s="1178" t="s">
        <v>20783</v>
      </c>
      <c r="D2490" s="1178" t="s">
        <v>1129</v>
      </c>
      <c r="E2490" s="1179">
        <v>2020</v>
      </c>
      <c r="F2490" s="1282" t="s">
        <v>20220</v>
      </c>
      <c r="G2490" s="1368">
        <v>110</v>
      </c>
      <c r="H2490" s="1178" t="s">
        <v>20224</v>
      </c>
      <c r="I2490" s="1178" t="s">
        <v>7828</v>
      </c>
      <c r="J2490" s="1178" t="s">
        <v>662</v>
      </c>
      <c r="K2490" s="1178" t="s">
        <v>267</v>
      </c>
      <c r="L2490" s="1178" t="s">
        <v>242</v>
      </c>
      <c r="M2490" s="1369" t="s">
        <v>23296</v>
      </c>
      <c r="N2490" s="1178"/>
      <c r="O2490" s="1178">
        <v>6</v>
      </c>
      <c r="P2490" s="1178">
        <v>13.5</v>
      </c>
    </row>
    <row r="2491" spans="1:16">
      <c r="A2491" s="1178" t="s">
        <v>21222</v>
      </c>
      <c r="B2491" s="1371" t="str">
        <f>HYPERLINK(IFERROR("#Main_Tariff!A"&amp;MATCH(Raeburn_Main_Tariff[[#This Row],[Product Code]],Main_Tariff!I:I,0),"#Main_Tariff!A"&amp;MATCH("*"&amp;RIGHT(A2491,8)&amp;"*",Main_Tariff!A:A,0)),Raeburn_Main_Tariff[[#This Row],[PRODUCER]])</f>
        <v>Domaine Terres de Velle</v>
      </c>
      <c r="C2491" s="1178" t="s">
        <v>20783</v>
      </c>
      <c r="D2491" s="1178" t="s">
        <v>1129</v>
      </c>
      <c r="E2491" s="1179">
        <v>2019</v>
      </c>
      <c r="F2491" s="1282" t="s">
        <v>20220</v>
      </c>
      <c r="G2491" s="1368">
        <v>99</v>
      </c>
      <c r="H2491" s="1178" t="s">
        <v>20277</v>
      </c>
      <c r="I2491" s="1178" t="s">
        <v>7830</v>
      </c>
      <c r="J2491" s="1178" t="s">
        <v>662</v>
      </c>
      <c r="K2491" s="1178" t="s">
        <v>267</v>
      </c>
      <c r="L2491" s="1178" t="s">
        <v>242</v>
      </c>
      <c r="M2491" s="1369" t="s">
        <v>23296</v>
      </c>
      <c r="N2491" s="1178"/>
      <c r="O2491" s="1178">
        <v>6</v>
      </c>
      <c r="P2491" s="1178">
        <v>14</v>
      </c>
    </row>
    <row r="2492" spans="1:16">
      <c r="A2492" s="1178" t="s">
        <v>21222</v>
      </c>
      <c r="B2492" s="1371" t="str">
        <f>HYPERLINK(IFERROR("#Main_Tariff!A"&amp;MATCH(Raeburn_Main_Tariff[[#This Row],[Product Code]],Main_Tariff!I:I,0),"#Main_Tariff!A"&amp;MATCH("*"&amp;RIGHT(A2492,8)&amp;"*",Main_Tariff!A:A,0)),Raeburn_Main_Tariff[[#This Row],[PRODUCER]])</f>
        <v>Domaine Terres de Velle</v>
      </c>
      <c r="C2492" s="1178" t="s">
        <v>21225</v>
      </c>
      <c r="D2492" s="1178" t="s">
        <v>1129</v>
      </c>
      <c r="E2492" s="1179">
        <v>2018</v>
      </c>
      <c r="F2492" s="1282" t="s">
        <v>20240</v>
      </c>
      <c r="G2492" s="1368">
        <v>100</v>
      </c>
      <c r="H2492" s="1178" t="s">
        <v>20224</v>
      </c>
      <c r="I2492" s="1178" t="s">
        <v>7834</v>
      </c>
      <c r="J2492" s="1178" t="s">
        <v>662</v>
      </c>
      <c r="K2492" s="1178" t="s">
        <v>267</v>
      </c>
      <c r="L2492" s="1178" t="s">
        <v>242</v>
      </c>
      <c r="M2492" s="1369"/>
      <c r="N2492" s="1178"/>
      <c r="O2492" s="1178">
        <v>3</v>
      </c>
      <c r="P2492" s="1178">
        <v>13.5</v>
      </c>
    </row>
    <row r="2493" spans="1:16">
      <c r="A2493" s="1178" t="s">
        <v>21222</v>
      </c>
      <c r="B2493" s="1371" t="str">
        <f>HYPERLINK(IFERROR("#Main_Tariff!A"&amp;MATCH(Raeburn_Main_Tariff[[#This Row],[Product Code]],Main_Tariff!I:I,0),"#Main_Tariff!A"&amp;MATCH("*"&amp;RIGHT(A2493,8)&amp;"*",Main_Tariff!A:A,0)),Raeburn_Main_Tariff[[#This Row],[PRODUCER]])</f>
        <v>Domaine Terres de Velle</v>
      </c>
      <c r="C2493" s="1178" t="s">
        <v>21226</v>
      </c>
      <c r="D2493" s="1178" t="s">
        <v>1129</v>
      </c>
      <c r="E2493" s="1179">
        <v>2018</v>
      </c>
      <c r="F2493" s="1282" t="s">
        <v>20240</v>
      </c>
      <c r="G2493" s="1368">
        <v>132</v>
      </c>
      <c r="H2493" s="1178" t="s">
        <v>20277</v>
      </c>
      <c r="I2493" s="1178" t="s">
        <v>7836</v>
      </c>
      <c r="J2493" s="1178" t="s">
        <v>662</v>
      </c>
      <c r="K2493" s="1178" t="s">
        <v>267</v>
      </c>
      <c r="L2493" s="1178" t="s">
        <v>242</v>
      </c>
      <c r="M2493" s="1369"/>
      <c r="N2493" s="1178"/>
      <c r="O2493" s="1178">
        <v>3</v>
      </c>
      <c r="P2493" s="1178">
        <v>13.5</v>
      </c>
    </row>
    <row r="2494" spans="1:16">
      <c r="A2494" s="1178" t="s">
        <v>21222</v>
      </c>
      <c r="B2494" s="1371" t="str">
        <f>HYPERLINK(IFERROR("#Main_Tariff!A"&amp;MATCH(Raeburn_Main_Tariff[[#This Row],[Product Code]],Main_Tariff!I:I,0),"#Main_Tariff!A"&amp;MATCH("*"&amp;RIGHT(A2494,8)&amp;"*",Main_Tariff!A:A,0)),Raeburn_Main_Tariff[[#This Row],[PRODUCER]])</f>
        <v>Domaine Terres de Velle</v>
      </c>
      <c r="C2494" s="1178" t="s">
        <v>21227</v>
      </c>
      <c r="D2494" s="1178" t="s">
        <v>1129</v>
      </c>
      <c r="E2494" s="1179">
        <v>2020</v>
      </c>
      <c r="F2494" s="1282" t="s">
        <v>20240</v>
      </c>
      <c r="G2494" s="1368">
        <v>114</v>
      </c>
      <c r="H2494" s="1178" t="s">
        <v>20221</v>
      </c>
      <c r="I2494" s="1178" t="s">
        <v>7838</v>
      </c>
      <c r="J2494" s="1178" t="s">
        <v>662</v>
      </c>
      <c r="K2494" s="1178" t="s">
        <v>267</v>
      </c>
      <c r="L2494" s="1178" t="s">
        <v>242</v>
      </c>
      <c r="M2494" s="1369"/>
      <c r="N2494" s="1178"/>
      <c r="O2494" s="1178">
        <v>3</v>
      </c>
      <c r="P2494" s="1178">
        <v>13.5</v>
      </c>
    </row>
    <row r="2495" spans="1:16">
      <c r="A2495" s="1178" t="s">
        <v>21222</v>
      </c>
      <c r="B2495" s="1371" t="str">
        <f>HYPERLINK(IFERROR("#Main_Tariff!A"&amp;MATCH(Raeburn_Main_Tariff[[#This Row],[Product Code]],Main_Tariff!I:I,0),"#Main_Tariff!A"&amp;MATCH("*"&amp;RIGHT(A2495,8)&amp;"*",Main_Tariff!A:A,0)),Raeburn_Main_Tariff[[#This Row],[PRODUCER]])</f>
        <v>Domaine Terres de Velle</v>
      </c>
      <c r="C2495" s="1178" t="s">
        <v>21227</v>
      </c>
      <c r="D2495" s="1178" t="s">
        <v>1129</v>
      </c>
      <c r="E2495" s="1179">
        <v>2018</v>
      </c>
      <c r="F2495" s="1282" t="s">
        <v>20240</v>
      </c>
      <c r="G2495" s="1368">
        <v>114</v>
      </c>
      <c r="H2495" s="1178" t="s">
        <v>20224</v>
      </c>
      <c r="I2495" s="1178" t="s">
        <v>7840</v>
      </c>
      <c r="J2495" s="1178" t="s">
        <v>662</v>
      </c>
      <c r="K2495" s="1178" t="s">
        <v>267</v>
      </c>
      <c r="L2495" s="1178" t="s">
        <v>242</v>
      </c>
      <c r="M2495" s="1369"/>
      <c r="N2495" s="1178"/>
      <c r="O2495" s="1178">
        <v>3</v>
      </c>
      <c r="P2495" s="1178">
        <v>13.5</v>
      </c>
    </row>
    <row r="2496" spans="1:16">
      <c r="A2496" s="1178" t="s">
        <v>21222</v>
      </c>
      <c r="B2496" s="1371" t="str">
        <f>HYPERLINK(IFERROR("#Main_Tariff!A"&amp;MATCH(Raeburn_Main_Tariff[[#This Row],[Product Code]],Main_Tariff!I:I,0),"#Main_Tariff!A"&amp;MATCH("*"&amp;RIGHT(A2496,8)&amp;"*",Main_Tariff!A:A,0)),Raeburn_Main_Tariff[[#This Row],[PRODUCER]])</f>
        <v>Domaine Terres de Velle</v>
      </c>
      <c r="C2496" s="1178" t="s">
        <v>21228</v>
      </c>
      <c r="D2496" s="1178" t="s">
        <v>1129</v>
      </c>
      <c r="E2496" s="1179">
        <v>2018</v>
      </c>
      <c r="F2496" s="1282" t="s">
        <v>20240</v>
      </c>
      <c r="G2496" s="1368">
        <v>165</v>
      </c>
      <c r="H2496" s="1178" t="s">
        <v>20221</v>
      </c>
      <c r="I2496" s="1178" t="s">
        <v>7842</v>
      </c>
      <c r="J2496" s="1178" t="s">
        <v>662</v>
      </c>
      <c r="K2496" s="1178" t="s">
        <v>267</v>
      </c>
      <c r="L2496" s="1178" t="s">
        <v>242</v>
      </c>
      <c r="M2496" s="1369" t="s">
        <v>23297</v>
      </c>
      <c r="N2496" s="1178"/>
      <c r="O2496" s="1178">
        <v>3</v>
      </c>
      <c r="P2496" s="1178">
        <v>13.5</v>
      </c>
    </row>
    <row r="2497" spans="1:16">
      <c r="A2497" s="1178" t="s">
        <v>21222</v>
      </c>
      <c r="B2497" s="1371" t="str">
        <f>HYPERLINK(IFERROR("#Main_Tariff!A"&amp;MATCH(Raeburn_Main_Tariff[[#This Row],[Product Code]],Main_Tariff!I:I,0),"#Main_Tariff!A"&amp;MATCH("*"&amp;RIGHT(A2497,8)&amp;"*",Main_Tariff!A:A,0)),Raeburn_Main_Tariff[[#This Row],[PRODUCER]])</f>
        <v>Domaine Terres de Velle</v>
      </c>
      <c r="C2497" s="1178" t="s">
        <v>20786</v>
      </c>
      <c r="D2497" s="1178" t="s">
        <v>1129</v>
      </c>
      <c r="E2497" s="1179">
        <v>2019</v>
      </c>
      <c r="F2497" s="1282" t="s">
        <v>20240</v>
      </c>
      <c r="G2497" s="1368">
        <v>209</v>
      </c>
      <c r="H2497" s="1178" t="s">
        <v>20224</v>
      </c>
      <c r="I2497" s="1178" t="s">
        <v>7844</v>
      </c>
      <c r="J2497" s="1178" t="s">
        <v>662</v>
      </c>
      <c r="K2497" s="1178" t="s">
        <v>267</v>
      </c>
      <c r="L2497" s="1178" t="s">
        <v>242</v>
      </c>
      <c r="M2497" s="1369" t="s">
        <v>23296</v>
      </c>
      <c r="N2497" s="1178"/>
      <c r="O2497" s="1178">
        <v>3</v>
      </c>
      <c r="P2497" s="1178">
        <v>14</v>
      </c>
    </row>
    <row r="2498" spans="1:16">
      <c r="A2498" s="1178" t="s">
        <v>21222</v>
      </c>
      <c r="B2498" s="1371" t="str">
        <f>HYPERLINK(IFERROR("#Main_Tariff!A"&amp;MATCH(Raeburn_Main_Tariff[[#This Row],[Product Code]],Main_Tariff!I:I,0),"#Main_Tariff!A"&amp;MATCH("*"&amp;RIGHT(A2498,8)&amp;"*",Main_Tariff!A:A,0)),Raeburn_Main_Tariff[[#This Row],[PRODUCER]])</f>
        <v>Domaine Terres de Velle</v>
      </c>
      <c r="C2498" s="1178" t="s">
        <v>21229</v>
      </c>
      <c r="D2498" s="1178" t="s">
        <v>897</v>
      </c>
      <c r="E2498" s="1179">
        <v>2020</v>
      </c>
      <c r="F2498" s="1282" t="s">
        <v>20220</v>
      </c>
      <c r="G2498" s="1368">
        <v>22.75</v>
      </c>
      <c r="H2498" s="1178" t="s">
        <v>20221</v>
      </c>
      <c r="I2498" s="1178" t="s">
        <v>7848</v>
      </c>
      <c r="J2498" s="1178" t="s">
        <v>662</v>
      </c>
      <c r="K2498" s="1178" t="s">
        <v>267</v>
      </c>
      <c r="L2498" s="1178" t="s">
        <v>242</v>
      </c>
      <c r="M2498" s="1369"/>
      <c r="N2498" s="1178"/>
      <c r="O2498" s="1178">
        <v>6</v>
      </c>
      <c r="P2498" s="1178">
        <v>14</v>
      </c>
    </row>
    <row r="2499" spans="1:16">
      <c r="A2499" s="1178" t="s">
        <v>21222</v>
      </c>
      <c r="B2499" s="1371" t="str">
        <f>HYPERLINK(IFERROR("#Main_Tariff!A"&amp;MATCH(Raeburn_Main_Tariff[[#This Row],[Product Code]],Main_Tariff!I:I,0),"#Main_Tariff!A"&amp;MATCH("*"&amp;RIGHT(A2499,8)&amp;"*",Main_Tariff!A:A,0)),Raeburn_Main_Tariff[[#This Row],[PRODUCER]])</f>
        <v>Domaine Terres de Velle</v>
      </c>
      <c r="C2499" s="1178" t="s">
        <v>21229</v>
      </c>
      <c r="D2499" s="1178" t="s">
        <v>897</v>
      </c>
      <c r="E2499" s="1179">
        <v>2019</v>
      </c>
      <c r="F2499" s="1282" t="s">
        <v>20220</v>
      </c>
      <c r="G2499" s="1368">
        <v>22.75</v>
      </c>
      <c r="H2499" s="1178" t="s">
        <v>20221</v>
      </c>
      <c r="I2499" s="1178" t="s">
        <v>7850</v>
      </c>
      <c r="J2499" s="1178" t="s">
        <v>662</v>
      </c>
      <c r="K2499" s="1178" t="s">
        <v>267</v>
      </c>
      <c r="L2499" s="1178" t="s">
        <v>242</v>
      </c>
      <c r="M2499" s="1369"/>
      <c r="N2499" s="1178"/>
      <c r="O2499" s="1178">
        <v>6</v>
      </c>
      <c r="P2499" s="1178">
        <v>14</v>
      </c>
    </row>
    <row r="2500" spans="1:16">
      <c r="A2500" s="1178" t="s">
        <v>21222</v>
      </c>
      <c r="B2500" s="1371" t="str">
        <f>HYPERLINK(IFERROR("#Main_Tariff!A"&amp;MATCH(Raeburn_Main_Tariff[[#This Row],[Product Code]],Main_Tariff!I:I,0),"#Main_Tariff!A"&amp;MATCH("*"&amp;RIGHT(A2500,8)&amp;"*",Main_Tariff!A:A,0)),Raeburn_Main_Tariff[[#This Row],[PRODUCER]])</f>
        <v>Domaine Terres de Velle</v>
      </c>
      <c r="C2500" s="1178" t="s">
        <v>21229</v>
      </c>
      <c r="D2500" s="1178" t="s">
        <v>897</v>
      </c>
      <c r="E2500" s="1179">
        <v>2018</v>
      </c>
      <c r="F2500" s="1282" t="s">
        <v>20220</v>
      </c>
      <c r="G2500" s="1368">
        <v>21.25</v>
      </c>
      <c r="H2500" s="1178" t="s">
        <v>20221</v>
      </c>
      <c r="I2500" s="1178" t="s">
        <v>7852</v>
      </c>
      <c r="J2500" s="1178" t="s">
        <v>662</v>
      </c>
      <c r="K2500" s="1178" t="s">
        <v>267</v>
      </c>
      <c r="L2500" s="1178" t="s">
        <v>242</v>
      </c>
      <c r="M2500" s="1369"/>
      <c r="N2500" s="1178"/>
      <c r="O2500" s="1178">
        <v>6</v>
      </c>
      <c r="P2500" s="1178">
        <v>13.5</v>
      </c>
    </row>
    <row r="2501" spans="1:16">
      <c r="A2501" s="1178" t="s">
        <v>21222</v>
      </c>
      <c r="B2501" s="1371" t="str">
        <f>HYPERLINK(IFERROR("#Main_Tariff!A"&amp;MATCH(Raeburn_Main_Tariff[[#This Row],[Product Code]],Main_Tariff!I:I,0),"#Main_Tariff!A"&amp;MATCH("*"&amp;RIGHT(A2501,8)&amp;"*",Main_Tariff!A:A,0)),Raeburn_Main_Tariff[[#This Row],[PRODUCER]])</f>
        <v>Domaine Terres de Velle</v>
      </c>
      <c r="C2501" s="1178" t="s">
        <v>21229</v>
      </c>
      <c r="D2501" s="1178" t="s">
        <v>897</v>
      </c>
      <c r="E2501" s="1179">
        <v>2017</v>
      </c>
      <c r="F2501" s="1282" t="s">
        <v>20220</v>
      </c>
      <c r="G2501" s="1368">
        <v>21.25</v>
      </c>
      <c r="H2501" s="1178" t="s">
        <v>20221</v>
      </c>
      <c r="I2501" s="1178" t="s">
        <v>7854</v>
      </c>
      <c r="J2501" s="1178" t="s">
        <v>662</v>
      </c>
      <c r="K2501" s="1178" t="s">
        <v>267</v>
      </c>
      <c r="L2501" s="1178" t="s">
        <v>242</v>
      </c>
      <c r="M2501" s="1369"/>
      <c r="N2501" s="1178"/>
      <c r="O2501" s="1178">
        <v>6</v>
      </c>
      <c r="P2501" s="1178">
        <v>13</v>
      </c>
    </row>
    <row r="2502" spans="1:16">
      <c r="A2502" s="1178" t="s">
        <v>21222</v>
      </c>
      <c r="B2502" s="1371" t="str">
        <f>HYPERLINK(IFERROR("#Main_Tariff!A"&amp;MATCH(Raeburn_Main_Tariff[[#This Row],[Product Code]],Main_Tariff!I:I,0),"#Main_Tariff!A"&amp;MATCH("*"&amp;RIGHT(A2502,8)&amp;"*",Main_Tariff!A:A,0)),Raeburn_Main_Tariff[[#This Row],[PRODUCER]])</f>
        <v>Domaine Terres de Velle</v>
      </c>
      <c r="C2502" s="1178" t="s">
        <v>20856</v>
      </c>
      <c r="D2502" s="1178" t="s">
        <v>897</v>
      </c>
      <c r="E2502" s="1179">
        <v>2016</v>
      </c>
      <c r="F2502" s="1282" t="s">
        <v>20220</v>
      </c>
      <c r="G2502" s="1368">
        <v>21.25</v>
      </c>
      <c r="H2502" s="1178" t="s">
        <v>20221</v>
      </c>
      <c r="I2502" s="1178" t="s">
        <v>7856</v>
      </c>
      <c r="J2502" s="1178" t="s">
        <v>662</v>
      </c>
      <c r="K2502" s="1178" t="s">
        <v>267</v>
      </c>
      <c r="L2502" s="1178" t="s">
        <v>242</v>
      </c>
      <c r="M2502" s="1369"/>
      <c r="N2502" s="1178"/>
      <c r="O2502" s="1178">
        <v>6</v>
      </c>
      <c r="P2502" s="1178">
        <v>13</v>
      </c>
    </row>
    <row r="2503" spans="1:16">
      <c r="A2503" s="1178" t="s">
        <v>21222</v>
      </c>
      <c r="B2503" s="1371" t="str">
        <f>HYPERLINK(IFERROR("#Main_Tariff!A"&amp;MATCH(Raeburn_Main_Tariff[[#This Row],[Product Code]],Main_Tariff!I:I,0),"#Main_Tariff!A"&amp;MATCH("*"&amp;RIGHT(A2503,8)&amp;"*",Main_Tariff!A:A,0)),Raeburn_Main_Tariff[[#This Row],[PRODUCER]])</f>
        <v>Domaine Terres de Velle</v>
      </c>
      <c r="C2503" s="1178" t="s">
        <v>20856</v>
      </c>
      <c r="D2503" s="1178" t="s">
        <v>897</v>
      </c>
      <c r="E2503" s="1179">
        <v>2015</v>
      </c>
      <c r="F2503" s="1282" t="s">
        <v>20220</v>
      </c>
      <c r="G2503" s="1368">
        <v>21.25</v>
      </c>
      <c r="H2503" s="1178" t="s">
        <v>20221</v>
      </c>
      <c r="I2503" s="1178" t="s">
        <v>7858</v>
      </c>
      <c r="J2503" s="1178" t="s">
        <v>662</v>
      </c>
      <c r="K2503" s="1178" t="s">
        <v>267</v>
      </c>
      <c r="L2503" s="1178" t="s">
        <v>242</v>
      </c>
      <c r="M2503" s="1369"/>
      <c r="N2503" s="1178"/>
      <c r="O2503" s="1178">
        <v>6</v>
      </c>
      <c r="P2503" s="1178">
        <v>13</v>
      </c>
    </row>
    <row r="2504" spans="1:16">
      <c r="A2504" s="1178" t="s">
        <v>21222</v>
      </c>
      <c r="B2504" s="1371" t="str">
        <f>HYPERLINK(IFERROR("#Main_Tariff!A"&amp;MATCH(Raeburn_Main_Tariff[[#This Row],[Product Code]],Main_Tariff!I:I,0),"#Main_Tariff!A"&amp;MATCH("*"&amp;RIGHT(A2504,8)&amp;"*",Main_Tariff!A:A,0)),Raeburn_Main_Tariff[[#This Row],[PRODUCER]])</f>
        <v>Domaine Terres de Velle</v>
      </c>
      <c r="C2504" s="1178" t="s">
        <v>20856</v>
      </c>
      <c r="D2504" s="1178" t="s">
        <v>897</v>
      </c>
      <c r="E2504" s="1179">
        <v>2014</v>
      </c>
      <c r="F2504" s="1282" t="s">
        <v>20220</v>
      </c>
      <c r="G2504" s="1368">
        <v>20.5</v>
      </c>
      <c r="H2504" s="1178" t="s">
        <v>20221</v>
      </c>
      <c r="I2504" s="1178" t="s">
        <v>7860</v>
      </c>
      <c r="J2504" s="1178" t="s">
        <v>662</v>
      </c>
      <c r="K2504" s="1178" t="s">
        <v>267</v>
      </c>
      <c r="L2504" s="1178" t="s">
        <v>242</v>
      </c>
      <c r="M2504" s="1369"/>
      <c r="N2504" s="1178"/>
      <c r="O2504" s="1178">
        <v>6</v>
      </c>
      <c r="P2504" s="1178">
        <v>13</v>
      </c>
    </row>
    <row r="2505" spans="1:16">
      <c r="A2505" s="1178" t="s">
        <v>21222</v>
      </c>
      <c r="B2505" s="1371" t="str">
        <f>HYPERLINK(IFERROR("#Main_Tariff!A"&amp;MATCH(Raeburn_Main_Tariff[[#This Row],[Product Code]],Main_Tariff!I:I,0),"#Main_Tariff!A"&amp;MATCH("*"&amp;RIGHT(A2505,8)&amp;"*",Main_Tariff!A:A,0)),Raeburn_Main_Tariff[[#This Row],[PRODUCER]])</f>
        <v>Domaine Terres de Velle</v>
      </c>
      <c r="C2505" s="1178" t="s">
        <v>21230</v>
      </c>
      <c r="D2505" s="1178" t="s">
        <v>897</v>
      </c>
      <c r="E2505" s="1179">
        <v>2020</v>
      </c>
      <c r="F2505" s="1282" t="s">
        <v>20220</v>
      </c>
      <c r="G2505" s="1368">
        <v>38.75</v>
      </c>
      <c r="H2505" s="1178" t="s">
        <v>20221</v>
      </c>
      <c r="I2505" s="1178" t="s">
        <v>7863</v>
      </c>
      <c r="J2505" s="1178" t="s">
        <v>662</v>
      </c>
      <c r="K2505" s="1178" t="s">
        <v>267</v>
      </c>
      <c r="L2505" s="1178" t="s">
        <v>242</v>
      </c>
      <c r="M2505" s="1369"/>
      <c r="N2505" s="1178"/>
      <c r="O2505" s="1178">
        <v>6</v>
      </c>
      <c r="P2505" s="1178">
        <v>14</v>
      </c>
    </row>
    <row r="2506" spans="1:16">
      <c r="A2506" s="1178" t="s">
        <v>21222</v>
      </c>
      <c r="B2506" s="1371" t="str">
        <f>HYPERLINK(IFERROR("#Main_Tariff!A"&amp;MATCH(Raeburn_Main_Tariff[[#This Row],[Product Code]],Main_Tariff!I:I,0),"#Main_Tariff!A"&amp;MATCH("*"&amp;RIGHT(A2506,8)&amp;"*",Main_Tariff!A:A,0)),Raeburn_Main_Tariff[[#This Row],[PRODUCER]])</f>
        <v>Domaine Terres de Velle</v>
      </c>
      <c r="C2506" s="1178" t="s">
        <v>21230</v>
      </c>
      <c r="D2506" s="1178" t="s">
        <v>897</v>
      </c>
      <c r="E2506" s="1179">
        <v>2019</v>
      </c>
      <c r="F2506" s="1282" t="s">
        <v>20220</v>
      </c>
      <c r="G2506" s="1368">
        <v>38.75</v>
      </c>
      <c r="H2506" s="1178" t="s">
        <v>20221</v>
      </c>
      <c r="I2506" s="1178" t="s">
        <v>7865</v>
      </c>
      <c r="J2506" s="1178" t="s">
        <v>662</v>
      </c>
      <c r="K2506" s="1178" t="s">
        <v>267</v>
      </c>
      <c r="L2506" s="1178" t="s">
        <v>242</v>
      </c>
      <c r="M2506" s="1369"/>
      <c r="N2506" s="1178"/>
      <c r="O2506" s="1178">
        <v>6</v>
      </c>
      <c r="P2506" s="1178">
        <v>14</v>
      </c>
    </row>
    <row r="2507" spans="1:16">
      <c r="A2507" s="1178" t="s">
        <v>21222</v>
      </c>
      <c r="B2507" s="1371" t="str">
        <f>HYPERLINK(IFERROR("#Main_Tariff!A"&amp;MATCH(Raeburn_Main_Tariff[[#This Row],[Product Code]],Main_Tariff!I:I,0),"#Main_Tariff!A"&amp;MATCH("*"&amp;RIGHT(A2507,8)&amp;"*",Main_Tariff!A:A,0)),Raeburn_Main_Tariff[[#This Row],[PRODUCER]])</f>
        <v>Domaine Terres de Velle</v>
      </c>
      <c r="C2507" s="1178" t="s">
        <v>21230</v>
      </c>
      <c r="D2507" s="1178" t="s">
        <v>897</v>
      </c>
      <c r="E2507" s="1179">
        <v>2018</v>
      </c>
      <c r="F2507" s="1282" t="s">
        <v>20220</v>
      </c>
      <c r="G2507" s="1368">
        <v>37</v>
      </c>
      <c r="H2507" s="1178" t="s">
        <v>20221</v>
      </c>
      <c r="I2507" s="1178" t="s">
        <v>7867</v>
      </c>
      <c r="J2507" s="1178" t="s">
        <v>662</v>
      </c>
      <c r="K2507" s="1178" t="s">
        <v>267</v>
      </c>
      <c r="L2507" s="1178" t="s">
        <v>242</v>
      </c>
      <c r="M2507" s="1369"/>
      <c r="N2507" s="1178"/>
      <c r="O2507" s="1178">
        <v>6</v>
      </c>
      <c r="P2507" s="1178">
        <v>13.5</v>
      </c>
    </row>
    <row r="2508" spans="1:16">
      <c r="A2508" s="1178" t="s">
        <v>21222</v>
      </c>
      <c r="B2508" s="1371" t="str">
        <f>HYPERLINK(IFERROR("#Main_Tariff!A"&amp;MATCH(Raeburn_Main_Tariff[[#This Row],[Product Code]],Main_Tariff!I:I,0),"#Main_Tariff!A"&amp;MATCH("*"&amp;RIGHT(A2508,8)&amp;"*",Main_Tariff!A:A,0)),Raeburn_Main_Tariff[[#This Row],[PRODUCER]])</f>
        <v>Domaine Terres de Velle</v>
      </c>
      <c r="C2508" s="1178" t="s">
        <v>21230</v>
      </c>
      <c r="D2508" s="1178" t="s">
        <v>897</v>
      </c>
      <c r="E2508" s="1179">
        <v>2017</v>
      </c>
      <c r="F2508" s="1282" t="s">
        <v>20220</v>
      </c>
      <c r="G2508" s="1368">
        <v>36.5</v>
      </c>
      <c r="H2508" s="1178" t="s">
        <v>20221</v>
      </c>
      <c r="I2508" s="1178" t="s">
        <v>7869</v>
      </c>
      <c r="J2508" s="1178" t="s">
        <v>662</v>
      </c>
      <c r="K2508" s="1178" t="s">
        <v>267</v>
      </c>
      <c r="L2508" s="1178" t="s">
        <v>242</v>
      </c>
      <c r="M2508" s="1369"/>
      <c r="N2508" s="1178"/>
      <c r="O2508" s="1178">
        <v>6</v>
      </c>
      <c r="P2508" s="1178">
        <v>13</v>
      </c>
    </row>
    <row r="2509" spans="1:16">
      <c r="A2509" s="1178" t="s">
        <v>21222</v>
      </c>
      <c r="B2509" s="1371" t="str">
        <f>HYPERLINK(IFERROR("#Main_Tariff!A"&amp;MATCH(Raeburn_Main_Tariff[[#This Row],[Product Code]],Main_Tariff!I:I,0),"#Main_Tariff!A"&amp;MATCH("*"&amp;RIGHT(A2509,8)&amp;"*",Main_Tariff!A:A,0)),Raeburn_Main_Tariff[[#This Row],[PRODUCER]])</f>
        <v>Domaine Terres de Velle</v>
      </c>
      <c r="C2509" s="1178" t="s">
        <v>21230</v>
      </c>
      <c r="D2509" s="1178" t="s">
        <v>897</v>
      </c>
      <c r="E2509" s="1179">
        <v>2016</v>
      </c>
      <c r="F2509" s="1282" t="s">
        <v>20220</v>
      </c>
      <c r="G2509" s="1368">
        <v>36</v>
      </c>
      <c r="H2509" s="1178" t="s">
        <v>20221</v>
      </c>
      <c r="I2509" s="1178" t="s">
        <v>7871</v>
      </c>
      <c r="J2509" s="1178" t="s">
        <v>662</v>
      </c>
      <c r="K2509" s="1178" t="s">
        <v>267</v>
      </c>
      <c r="L2509" s="1178" t="s">
        <v>242</v>
      </c>
      <c r="M2509" s="1369"/>
      <c r="N2509" s="1178"/>
      <c r="O2509" s="1178">
        <v>6</v>
      </c>
      <c r="P2509" s="1178">
        <v>13</v>
      </c>
    </row>
    <row r="2510" spans="1:16">
      <c r="A2510" s="1178" t="s">
        <v>21222</v>
      </c>
      <c r="B2510" s="1371" t="str">
        <f>HYPERLINK(IFERROR("#Main_Tariff!A"&amp;MATCH(Raeburn_Main_Tariff[[#This Row],[Product Code]],Main_Tariff!I:I,0),"#Main_Tariff!A"&amp;MATCH("*"&amp;RIGHT(A2510,8)&amp;"*",Main_Tariff!A:A,0)),Raeburn_Main_Tariff[[#This Row],[PRODUCER]])</f>
        <v>Domaine Terres de Velle</v>
      </c>
      <c r="C2510" s="1178" t="s">
        <v>21230</v>
      </c>
      <c r="D2510" s="1178" t="s">
        <v>897</v>
      </c>
      <c r="E2510" s="1179">
        <v>2015</v>
      </c>
      <c r="F2510" s="1282" t="s">
        <v>20220</v>
      </c>
      <c r="G2510" s="1368">
        <v>36</v>
      </c>
      <c r="H2510" s="1178" t="s">
        <v>20221</v>
      </c>
      <c r="I2510" s="1178" t="s">
        <v>7873</v>
      </c>
      <c r="J2510" s="1178" t="s">
        <v>662</v>
      </c>
      <c r="K2510" s="1178" t="s">
        <v>267</v>
      </c>
      <c r="L2510" s="1178" t="s">
        <v>242</v>
      </c>
      <c r="M2510" s="1369"/>
      <c r="N2510" s="1178"/>
      <c r="O2510" s="1178">
        <v>6</v>
      </c>
      <c r="P2510" s="1178">
        <v>13</v>
      </c>
    </row>
    <row r="2511" spans="1:16">
      <c r="A2511" s="1178" t="s">
        <v>21222</v>
      </c>
      <c r="B2511" s="1371" t="str">
        <f>HYPERLINK(IFERROR("#Main_Tariff!A"&amp;MATCH(Raeburn_Main_Tariff[[#This Row],[Product Code]],Main_Tariff!I:I,0),"#Main_Tariff!A"&amp;MATCH("*"&amp;RIGHT(A2511,8)&amp;"*",Main_Tariff!A:A,0)),Raeburn_Main_Tariff[[#This Row],[PRODUCER]])</f>
        <v>Domaine Terres de Velle</v>
      </c>
      <c r="C2511" s="1178" t="s">
        <v>21230</v>
      </c>
      <c r="D2511" s="1178" t="s">
        <v>897</v>
      </c>
      <c r="E2511" s="1179">
        <v>2014</v>
      </c>
      <c r="F2511" s="1282" t="s">
        <v>20220</v>
      </c>
      <c r="G2511" s="1368">
        <v>34</v>
      </c>
      <c r="H2511" s="1178" t="s">
        <v>20221</v>
      </c>
      <c r="I2511" s="1178" t="s">
        <v>7875</v>
      </c>
      <c r="J2511" s="1178" t="s">
        <v>662</v>
      </c>
      <c r="K2511" s="1178" t="s">
        <v>267</v>
      </c>
      <c r="L2511" s="1178" t="s">
        <v>242</v>
      </c>
      <c r="M2511" s="1369"/>
      <c r="N2511" s="1178"/>
      <c r="O2511" s="1178">
        <v>6</v>
      </c>
      <c r="P2511" s="1178">
        <v>13</v>
      </c>
    </row>
    <row r="2512" spans="1:16">
      <c r="A2512" s="1178" t="s">
        <v>21222</v>
      </c>
      <c r="B2512" s="1371" t="str">
        <f>HYPERLINK(IFERROR("#Main_Tariff!A"&amp;MATCH(Raeburn_Main_Tariff[[#This Row],[Product Code]],Main_Tariff!I:I,0),"#Main_Tariff!A"&amp;MATCH("*"&amp;RIGHT(A2512,8)&amp;"*",Main_Tariff!A:A,0)),Raeburn_Main_Tariff[[#This Row],[PRODUCER]])</f>
        <v>Domaine Terres de Velle</v>
      </c>
      <c r="C2512" s="1178" t="s">
        <v>21230</v>
      </c>
      <c r="D2512" s="1178" t="s">
        <v>897</v>
      </c>
      <c r="E2512" s="1179">
        <v>2013</v>
      </c>
      <c r="F2512" s="1282" t="s">
        <v>20220</v>
      </c>
      <c r="G2512" s="1368">
        <v>34</v>
      </c>
      <c r="H2512" s="1178" t="s">
        <v>20221</v>
      </c>
      <c r="I2512" s="1178" t="s">
        <v>7877</v>
      </c>
      <c r="J2512" s="1178" t="s">
        <v>662</v>
      </c>
      <c r="K2512" s="1178" t="s">
        <v>267</v>
      </c>
      <c r="L2512" s="1178" t="s">
        <v>242</v>
      </c>
      <c r="M2512" s="1369"/>
      <c r="N2512" s="1178"/>
      <c r="O2512" s="1178">
        <v>6</v>
      </c>
      <c r="P2512" s="1178">
        <v>13</v>
      </c>
    </row>
    <row r="2513" spans="1:16">
      <c r="A2513" s="1178" t="s">
        <v>21222</v>
      </c>
      <c r="B2513" s="1371" t="str">
        <f>HYPERLINK(IFERROR("#Main_Tariff!A"&amp;MATCH(Raeburn_Main_Tariff[[#This Row],[Product Code]],Main_Tariff!I:I,0),"#Main_Tariff!A"&amp;MATCH("*"&amp;RIGHT(A2513,8)&amp;"*",Main_Tariff!A:A,0)),Raeburn_Main_Tariff[[#This Row],[PRODUCER]])</f>
        <v>Domaine Terres de Velle</v>
      </c>
      <c r="C2513" s="1178" t="s">
        <v>21230</v>
      </c>
      <c r="D2513" s="1178" t="s">
        <v>897</v>
      </c>
      <c r="E2513" s="1179">
        <v>2012</v>
      </c>
      <c r="F2513" s="1282" t="s">
        <v>20220</v>
      </c>
      <c r="G2513" s="1368">
        <v>33.5</v>
      </c>
      <c r="H2513" s="1178" t="s">
        <v>20224</v>
      </c>
      <c r="I2513" s="1178" t="s">
        <v>7879</v>
      </c>
      <c r="J2513" s="1178" t="s">
        <v>662</v>
      </c>
      <c r="K2513" s="1178" t="s">
        <v>267</v>
      </c>
      <c r="L2513" s="1178" t="s">
        <v>242</v>
      </c>
      <c r="M2513" s="1369"/>
      <c r="N2513" s="1178"/>
      <c r="O2513" s="1178">
        <v>6</v>
      </c>
      <c r="P2513" s="1178">
        <v>13</v>
      </c>
    </row>
    <row r="2514" spans="1:16">
      <c r="A2514" s="1178" t="s">
        <v>21222</v>
      </c>
      <c r="B2514" s="1371" t="str">
        <f>HYPERLINK(IFERROR("#Main_Tariff!A"&amp;MATCH(Raeburn_Main_Tariff[[#This Row],[Product Code]],Main_Tariff!I:I,0),"#Main_Tariff!A"&amp;MATCH("*"&amp;RIGHT(A2514,8)&amp;"*",Main_Tariff!A:A,0)),Raeburn_Main_Tariff[[#This Row],[PRODUCER]])</f>
        <v>Domaine Terres de Velle</v>
      </c>
      <c r="C2514" s="1178" t="s">
        <v>21231</v>
      </c>
      <c r="D2514" s="1178" t="s">
        <v>897</v>
      </c>
      <c r="E2514" s="1179">
        <v>2020</v>
      </c>
      <c r="F2514" s="1282" t="s">
        <v>20220</v>
      </c>
      <c r="G2514" s="1368">
        <v>38.75</v>
      </c>
      <c r="H2514" s="1178" t="s">
        <v>20221</v>
      </c>
      <c r="I2514" s="1178" t="s">
        <v>7882</v>
      </c>
      <c r="J2514" s="1178" t="s">
        <v>662</v>
      </c>
      <c r="K2514" s="1178" t="s">
        <v>267</v>
      </c>
      <c r="L2514" s="1178" t="s">
        <v>242</v>
      </c>
      <c r="M2514" s="1369" t="s">
        <v>23297</v>
      </c>
      <c r="N2514" s="1178"/>
      <c r="O2514" s="1178">
        <v>6</v>
      </c>
      <c r="P2514" s="1178">
        <v>14</v>
      </c>
    </row>
    <row r="2515" spans="1:16">
      <c r="A2515" s="1178" t="s">
        <v>21222</v>
      </c>
      <c r="B2515" s="1371" t="str">
        <f>HYPERLINK(IFERROR("#Main_Tariff!A"&amp;MATCH(Raeburn_Main_Tariff[[#This Row],[Product Code]],Main_Tariff!I:I,0),"#Main_Tariff!A"&amp;MATCH("*"&amp;RIGHT(A2515,8)&amp;"*",Main_Tariff!A:A,0)),Raeburn_Main_Tariff[[#This Row],[PRODUCER]])</f>
        <v>Domaine Terres de Velle</v>
      </c>
      <c r="C2515" s="1178" t="s">
        <v>21231</v>
      </c>
      <c r="D2515" s="1178" t="s">
        <v>897</v>
      </c>
      <c r="E2515" s="1179">
        <v>2019</v>
      </c>
      <c r="F2515" s="1282" t="s">
        <v>20220</v>
      </c>
      <c r="G2515" s="1368">
        <v>38.75</v>
      </c>
      <c r="H2515" s="1178" t="s">
        <v>20221</v>
      </c>
      <c r="I2515" s="1178" t="s">
        <v>7884</v>
      </c>
      <c r="J2515" s="1178" t="s">
        <v>662</v>
      </c>
      <c r="K2515" s="1178" t="s">
        <v>267</v>
      </c>
      <c r="L2515" s="1178" t="s">
        <v>242</v>
      </c>
      <c r="M2515" s="1369" t="s">
        <v>23297</v>
      </c>
      <c r="N2515" s="1178"/>
      <c r="O2515" s="1178">
        <v>6</v>
      </c>
      <c r="P2515" s="1178">
        <v>14</v>
      </c>
    </row>
    <row r="2516" spans="1:16">
      <c r="A2516" s="1178" t="s">
        <v>21222</v>
      </c>
      <c r="B2516" s="1371" t="str">
        <f>HYPERLINK(IFERROR("#Main_Tariff!A"&amp;MATCH(Raeburn_Main_Tariff[[#This Row],[Product Code]],Main_Tariff!I:I,0),"#Main_Tariff!A"&amp;MATCH("*"&amp;RIGHT(A2516,8)&amp;"*",Main_Tariff!A:A,0)),Raeburn_Main_Tariff[[#This Row],[PRODUCER]])</f>
        <v>Domaine Terres de Velle</v>
      </c>
      <c r="C2516" s="1178" t="s">
        <v>21231</v>
      </c>
      <c r="D2516" s="1178" t="s">
        <v>897</v>
      </c>
      <c r="E2516" s="1179">
        <v>2018</v>
      </c>
      <c r="F2516" s="1282" t="s">
        <v>20220</v>
      </c>
      <c r="G2516" s="1368">
        <v>37</v>
      </c>
      <c r="H2516" s="1178" t="s">
        <v>20221</v>
      </c>
      <c r="I2516" s="1178" t="s">
        <v>7886</v>
      </c>
      <c r="J2516" s="1178" t="s">
        <v>662</v>
      </c>
      <c r="K2516" s="1178" t="s">
        <v>267</v>
      </c>
      <c r="L2516" s="1178" t="s">
        <v>242</v>
      </c>
      <c r="M2516" s="1369" t="s">
        <v>23297</v>
      </c>
      <c r="N2516" s="1178"/>
      <c r="O2516" s="1178">
        <v>6</v>
      </c>
      <c r="P2516" s="1178">
        <v>13.5</v>
      </c>
    </row>
    <row r="2517" spans="1:16">
      <c r="A2517" s="1178" t="s">
        <v>21222</v>
      </c>
      <c r="B2517" s="1371" t="str">
        <f>HYPERLINK(IFERROR("#Main_Tariff!A"&amp;MATCH(Raeburn_Main_Tariff[[#This Row],[Product Code]],Main_Tariff!I:I,0),"#Main_Tariff!A"&amp;MATCH("*"&amp;RIGHT(A2517,8)&amp;"*",Main_Tariff!A:A,0)),Raeburn_Main_Tariff[[#This Row],[PRODUCER]])</f>
        <v>Domaine Terres de Velle</v>
      </c>
      <c r="C2517" s="1178" t="s">
        <v>21231</v>
      </c>
      <c r="D2517" s="1178" t="s">
        <v>897</v>
      </c>
      <c r="E2517" s="1179">
        <v>2016</v>
      </c>
      <c r="F2517" s="1282" t="s">
        <v>20220</v>
      </c>
      <c r="G2517" s="1368">
        <v>37</v>
      </c>
      <c r="H2517" s="1178" t="s">
        <v>20221</v>
      </c>
      <c r="I2517" s="1178" t="s">
        <v>7888</v>
      </c>
      <c r="J2517" s="1178" t="s">
        <v>662</v>
      </c>
      <c r="K2517" s="1178" t="s">
        <v>267</v>
      </c>
      <c r="L2517" s="1178" t="s">
        <v>242</v>
      </c>
      <c r="M2517" s="1369" t="s">
        <v>23297</v>
      </c>
      <c r="N2517" s="1178"/>
      <c r="O2517" s="1178">
        <v>6</v>
      </c>
      <c r="P2517" s="1178">
        <v>13</v>
      </c>
    </row>
    <row r="2518" spans="1:16">
      <c r="A2518" s="1178" t="s">
        <v>21222</v>
      </c>
      <c r="B2518" s="1371" t="str">
        <f>HYPERLINK(IFERROR("#Main_Tariff!A"&amp;MATCH(Raeburn_Main_Tariff[[#This Row],[Product Code]],Main_Tariff!I:I,0),"#Main_Tariff!A"&amp;MATCH("*"&amp;RIGHT(A2518,8)&amp;"*",Main_Tariff!A:A,0)),Raeburn_Main_Tariff[[#This Row],[PRODUCER]])</f>
        <v>Domaine Terres de Velle</v>
      </c>
      <c r="C2518" s="1178" t="s">
        <v>21231</v>
      </c>
      <c r="D2518" s="1178" t="s">
        <v>897</v>
      </c>
      <c r="E2518" s="1179">
        <v>2015</v>
      </c>
      <c r="F2518" s="1282" t="s">
        <v>20220</v>
      </c>
      <c r="G2518" s="1368">
        <v>36.5</v>
      </c>
      <c r="H2518" s="1178" t="s">
        <v>20221</v>
      </c>
      <c r="I2518" s="1178" t="s">
        <v>7890</v>
      </c>
      <c r="J2518" s="1178" t="s">
        <v>662</v>
      </c>
      <c r="K2518" s="1178" t="s">
        <v>267</v>
      </c>
      <c r="L2518" s="1178" t="s">
        <v>242</v>
      </c>
      <c r="M2518" s="1369" t="s">
        <v>23297</v>
      </c>
      <c r="N2518" s="1178"/>
      <c r="O2518" s="1178">
        <v>6</v>
      </c>
      <c r="P2518" s="1178">
        <v>13</v>
      </c>
    </row>
    <row r="2519" spans="1:16">
      <c r="A2519" s="1178" t="s">
        <v>21222</v>
      </c>
      <c r="B2519" s="1371" t="str">
        <f>HYPERLINK(IFERROR("#Main_Tariff!A"&amp;MATCH(Raeburn_Main_Tariff[[#This Row],[Product Code]],Main_Tariff!I:I,0),"#Main_Tariff!A"&amp;MATCH("*"&amp;RIGHT(A2519,8)&amp;"*",Main_Tariff!A:A,0)),Raeburn_Main_Tariff[[#This Row],[PRODUCER]])</f>
        <v>Domaine Terres de Velle</v>
      </c>
      <c r="C2519" s="1178" t="s">
        <v>21231</v>
      </c>
      <c r="D2519" s="1178" t="s">
        <v>897</v>
      </c>
      <c r="E2519" s="1179">
        <v>2014</v>
      </c>
      <c r="F2519" s="1282" t="s">
        <v>20220</v>
      </c>
      <c r="G2519" s="1368">
        <v>34.75</v>
      </c>
      <c r="H2519" s="1178" t="s">
        <v>20221</v>
      </c>
      <c r="I2519" s="1178" t="s">
        <v>7892</v>
      </c>
      <c r="J2519" s="1178" t="s">
        <v>662</v>
      </c>
      <c r="K2519" s="1178" t="s">
        <v>267</v>
      </c>
      <c r="L2519" s="1178" t="s">
        <v>242</v>
      </c>
      <c r="M2519" s="1369" t="s">
        <v>23297</v>
      </c>
      <c r="N2519" s="1178"/>
      <c r="O2519" s="1178">
        <v>6</v>
      </c>
      <c r="P2519" s="1178">
        <v>13</v>
      </c>
    </row>
    <row r="2520" spans="1:16">
      <c r="A2520" s="1178" t="s">
        <v>21222</v>
      </c>
      <c r="B2520" s="1371" t="str">
        <f>HYPERLINK(IFERROR("#Main_Tariff!A"&amp;MATCH(Raeburn_Main_Tariff[[#This Row],[Product Code]],Main_Tariff!I:I,0),"#Main_Tariff!A"&amp;MATCH("*"&amp;RIGHT(A2520,8)&amp;"*",Main_Tariff!A:A,0)),Raeburn_Main_Tariff[[#This Row],[PRODUCER]])</f>
        <v>Domaine Terres de Velle</v>
      </c>
      <c r="C2520" s="1178" t="s">
        <v>21231</v>
      </c>
      <c r="D2520" s="1178" t="s">
        <v>897</v>
      </c>
      <c r="E2520" s="1179">
        <v>2013</v>
      </c>
      <c r="F2520" s="1282" t="s">
        <v>20220</v>
      </c>
      <c r="G2520" s="1368">
        <v>34.75</v>
      </c>
      <c r="H2520" s="1178" t="s">
        <v>20221</v>
      </c>
      <c r="I2520" s="1178" t="s">
        <v>7894</v>
      </c>
      <c r="J2520" s="1178" t="s">
        <v>662</v>
      </c>
      <c r="K2520" s="1178" t="s">
        <v>267</v>
      </c>
      <c r="L2520" s="1178" t="s">
        <v>242</v>
      </c>
      <c r="M2520" s="1369" t="s">
        <v>23297</v>
      </c>
      <c r="N2520" s="1178"/>
      <c r="O2520" s="1178">
        <v>6</v>
      </c>
      <c r="P2520" s="1178">
        <v>13</v>
      </c>
    </row>
    <row r="2521" spans="1:16">
      <c r="A2521" s="1178" t="s">
        <v>21222</v>
      </c>
      <c r="B2521" s="1371" t="str">
        <f>HYPERLINK(IFERROR("#Main_Tariff!A"&amp;MATCH(Raeburn_Main_Tariff[[#This Row],[Product Code]],Main_Tariff!I:I,0),"#Main_Tariff!A"&amp;MATCH("*"&amp;RIGHT(A2521,8)&amp;"*",Main_Tariff!A:A,0)),Raeburn_Main_Tariff[[#This Row],[PRODUCER]])</f>
        <v>Domaine Terres de Velle</v>
      </c>
      <c r="C2521" s="1178" t="s">
        <v>21231</v>
      </c>
      <c r="D2521" s="1178" t="s">
        <v>897</v>
      </c>
      <c r="E2521" s="1179">
        <v>2012</v>
      </c>
      <c r="F2521" s="1282" t="s">
        <v>20220</v>
      </c>
      <c r="G2521" s="1368">
        <v>37.25</v>
      </c>
      <c r="H2521" s="1178" t="s">
        <v>20221</v>
      </c>
      <c r="I2521" s="1178" t="s">
        <v>7896</v>
      </c>
      <c r="J2521" s="1178" t="s">
        <v>662</v>
      </c>
      <c r="K2521" s="1178" t="s">
        <v>267</v>
      </c>
      <c r="L2521" s="1178" t="s">
        <v>242</v>
      </c>
      <c r="M2521" s="1369" t="s">
        <v>23297</v>
      </c>
      <c r="N2521" s="1178"/>
      <c r="O2521" s="1178">
        <v>6</v>
      </c>
      <c r="P2521" s="1178">
        <v>15</v>
      </c>
    </row>
    <row r="2522" spans="1:16">
      <c r="A2522" s="1178" t="s">
        <v>21222</v>
      </c>
      <c r="B2522" s="1371" t="str">
        <f>HYPERLINK(IFERROR("#Main_Tariff!A"&amp;MATCH(Raeburn_Main_Tariff[[#This Row],[Product Code]],Main_Tariff!I:I,0),"#Main_Tariff!A"&amp;MATCH("*"&amp;RIGHT(A2522,8)&amp;"*",Main_Tariff!A:A,0)),Raeburn_Main_Tariff[[#This Row],[PRODUCER]])</f>
        <v>Domaine Terres de Velle</v>
      </c>
      <c r="C2522" s="1178" t="s">
        <v>21231</v>
      </c>
      <c r="D2522" s="1178" t="s">
        <v>897</v>
      </c>
      <c r="E2522" s="1179">
        <v>2011</v>
      </c>
      <c r="F2522" s="1282" t="s">
        <v>20220</v>
      </c>
      <c r="G2522" s="1368">
        <v>33.5</v>
      </c>
      <c r="H2522" s="1178" t="s">
        <v>20221</v>
      </c>
      <c r="I2522" s="1178" t="s">
        <v>7898</v>
      </c>
      <c r="J2522" s="1178" t="s">
        <v>662</v>
      </c>
      <c r="K2522" s="1178" t="s">
        <v>267</v>
      </c>
      <c r="L2522" s="1178" t="s">
        <v>242</v>
      </c>
      <c r="M2522" s="1369" t="s">
        <v>23297</v>
      </c>
      <c r="N2522" s="1178"/>
      <c r="O2522" s="1178">
        <v>6</v>
      </c>
      <c r="P2522" s="1178">
        <v>13</v>
      </c>
    </row>
    <row r="2523" spans="1:16">
      <c r="A2523" s="1178" t="s">
        <v>21222</v>
      </c>
      <c r="B2523" s="1371" t="str">
        <f>HYPERLINK(IFERROR("#Main_Tariff!A"&amp;MATCH(Raeburn_Main_Tariff[[#This Row],[Product Code]],Main_Tariff!I:I,0),"#Main_Tariff!A"&amp;MATCH("*"&amp;RIGHT(A2523,8)&amp;"*",Main_Tariff!A:A,0)),Raeburn_Main_Tariff[[#This Row],[PRODUCER]])</f>
        <v>Domaine Terres de Velle</v>
      </c>
      <c r="C2523" s="1178" t="s">
        <v>21232</v>
      </c>
      <c r="D2523" s="1178" t="s">
        <v>897</v>
      </c>
      <c r="E2523" s="1179">
        <v>2020</v>
      </c>
      <c r="F2523" s="1282" t="s">
        <v>20220</v>
      </c>
      <c r="G2523" s="1368">
        <v>52</v>
      </c>
      <c r="H2523" s="1178" t="s">
        <v>20221</v>
      </c>
      <c r="I2523" s="1178" t="s">
        <v>7900</v>
      </c>
      <c r="J2523" s="1178" t="s">
        <v>662</v>
      </c>
      <c r="K2523" s="1178" t="s">
        <v>267</v>
      </c>
      <c r="L2523" s="1178" t="s">
        <v>242</v>
      </c>
      <c r="M2523" s="1369" t="s">
        <v>23297</v>
      </c>
      <c r="N2523" s="1178"/>
      <c r="O2523" s="1178">
        <v>6</v>
      </c>
      <c r="P2523" s="1178">
        <v>14</v>
      </c>
    </row>
    <row r="2524" spans="1:16">
      <c r="A2524" s="1178" t="s">
        <v>21222</v>
      </c>
      <c r="B2524" s="1371" t="str">
        <f>HYPERLINK(IFERROR("#Main_Tariff!A"&amp;MATCH(Raeburn_Main_Tariff[[#This Row],[Product Code]],Main_Tariff!I:I,0),"#Main_Tariff!A"&amp;MATCH("*"&amp;RIGHT(A2524,8)&amp;"*",Main_Tariff!A:A,0)),Raeburn_Main_Tariff[[#This Row],[PRODUCER]])</f>
        <v>Domaine Terres de Velle</v>
      </c>
      <c r="C2524" s="1178" t="s">
        <v>21232</v>
      </c>
      <c r="D2524" s="1178" t="s">
        <v>897</v>
      </c>
      <c r="E2524" s="1179">
        <v>2019</v>
      </c>
      <c r="F2524" s="1282" t="s">
        <v>20220</v>
      </c>
      <c r="G2524" s="1368">
        <v>52</v>
      </c>
      <c r="H2524" s="1178" t="s">
        <v>20221</v>
      </c>
      <c r="I2524" s="1178" t="s">
        <v>7902</v>
      </c>
      <c r="J2524" s="1178" t="s">
        <v>662</v>
      </c>
      <c r="K2524" s="1178" t="s">
        <v>267</v>
      </c>
      <c r="L2524" s="1178" t="s">
        <v>242</v>
      </c>
      <c r="M2524" s="1369" t="s">
        <v>23297</v>
      </c>
      <c r="N2524" s="1178"/>
      <c r="O2524" s="1178">
        <v>6</v>
      </c>
      <c r="P2524" s="1178">
        <v>14</v>
      </c>
    </row>
    <row r="2525" spans="1:16">
      <c r="A2525" s="1178" t="s">
        <v>21222</v>
      </c>
      <c r="B2525" s="1371" t="str">
        <f>HYPERLINK(IFERROR("#Main_Tariff!A"&amp;MATCH(Raeburn_Main_Tariff[[#This Row],[Product Code]],Main_Tariff!I:I,0),"#Main_Tariff!A"&amp;MATCH("*"&amp;RIGHT(A2525,8)&amp;"*",Main_Tariff!A:A,0)),Raeburn_Main_Tariff[[#This Row],[PRODUCER]])</f>
        <v>Domaine Terres de Velle</v>
      </c>
      <c r="C2525" s="1178" t="s">
        <v>21232</v>
      </c>
      <c r="D2525" s="1178" t="s">
        <v>897</v>
      </c>
      <c r="E2525" s="1179">
        <v>2018</v>
      </c>
      <c r="F2525" s="1282" t="s">
        <v>20220</v>
      </c>
      <c r="G2525" s="1368">
        <v>47</v>
      </c>
      <c r="H2525" s="1178" t="s">
        <v>20221</v>
      </c>
      <c r="I2525" s="1178" t="s">
        <v>7904</v>
      </c>
      <c r="J2525" s="1178" t="s">
        <v>662</v>
      </c>
      <c r="K2525" s="1178" t="s">
        <v>267</v>
      </c>
      <c r="L2525" s="1178" t="s">
        <v>242</v>
      </c>
      <c r="M2525" s="1369" t="s">
        <v>23297</v>
      </c>
      <c r="N2525" s="1178"/>
      <c r="O2525" s="1178">
        <v>6</v>
      </c>
      <c r="P2525" s="1178">
        <v>13.5</v>
      </c>
    </row>
    <row r="2526" spans="1:16">
      <c r="A2526" s="1178" t="s">
        <v>21222</v>
      </c>
      <c r="B2526" s="1371" t="str">
        <f>HYPERLINK(IFERROR("#Main_Tariff!A"&amp;MATCH(Raeburn_Main_Tariff[[#This Row],[Product Code]],Main_Tariff!I:I,0),"#Main_Tariff!A"&amp;MATCH("*"&amp;RIGHT(A2526,8)&amp;"*",Main_Tariff!A:A,0)),Raeburn_Main_Tariff[[#This Row],[PRODUCER]])</f>
        <v>Domaine Terres de Velle</v>
      </c>
      <c r="C2526" s="1178" t="s">
        <v>21232</v>
      </c>
      <c r="D2526" s="1178" t="s">
        <v>897</v>
      </c>
      <c r="E2526" s="1179">
        <v>2017</v>
      </c>
      <c r="F2526" s="1282" t="s">
        <v>20220</v>
      </c>
      <c r="G2526" s="1368">
        <v>47</v>
      </c>
      <c r="H2526" s="1178" t="s">
        <v>20221</v>
      </c>
      <c r="I2526" s="1178" t="s">
        <v>7906</v>
      </c>
      <c r="J2526" s="1178" t="s">
        <v>662</v>
      </c>
      <c r="K2526" s="1178" t="s">
        <v>267</v>
      </c>
      <c r="L2526" s="1178" t="s">
        <v>242</v>
      </c>
      <c r="M2526" s="1369" t="s">
        <v>23297</v>
      </c>
      <c r="N2526" s="1178"/>
      <c r="O2526" s="1178">
        <v>6</v>
      </c>
      <c r="P2526" s="1178">
        <v>13</v>
      </c>
    </row>
    <row r="2527" spans="1:16">
      <c r="A2527" s="1178" t="s">
        <v>21222</v>
      </c>
      <c r="B2527" s="1371" t="str">
        <f>HYPERLINK(IFERROR("#Main_Tariff!A"&amp;MATCH(Raeburn_Main_Tariff[[#This Row],[Product Code]],Main_Tariff!I:I,0),"#Main_Tariff!A"&amp;MATCH("*"&amp;RIGHT(A2527,8)&amp;"*",Main_Tariff!A:A,0)),Raeburn_Main_Tariff[[#This Row],[PRODUCER]])</f>
        <v>Domaine Terres de Velle</v>
      </c>
      <c r="C2527" s="1178" t="s">
        <v>21232</v>
      </c>
      <c r="D2527" s="1178" t="s">
        <v>897</v>
      </c>
      <c r="E2527" s="1179">
        <v>2016</v>
      </c>
      <c r="F2527" s="1282" t="s">
        <v>20220</v>
      </c>
      <c r="G2527" s="1368">
        <v>46.5</v>
      </c>
      <c r="H2527" s="1178" t="s">
        <v>20221</v>
      </c>
      <c r="I2527" s="1178" t="s">
        <v>7907</v>
      </c>
      <c r="J2527" s="1178" t="s">
        <v>662</v>
      </c>
      <c r="K2527" s="1178" t="s">
        <v>267</v>
      </c>
      <c r="L2527" s="1178" t="s">
        <v>242</v>
      </c>
      <c r="M2527" s="1369" t="s">
        <v>23297</v>
      </c>
      <c r="N2527" s="1178"/>
      <c r="O2527" s="1178">
        <v>6</v>
      </c>
      <c r="P2527" s="1178">
        <v>13</v>
      </c>
    </row>
    <row r="2528" spans="1:16">
      <c r="A2528" s="1178" t="s">
        <v>21222</v>
      </c>
      <c r="B2528" s="1371" t="str">
        <f>HYPERLINK(IFERROR("#Main_Tariff!A"&amp;MATCH(Raeburn_Main_Tariff[[#This Row],[Product Code]],Main_Tariff!I:I,0),"#Main_Tariff!A"&amp;MATCH("*"&amp;RIGHT(A2528,8)&amp;"*",Main_Tariff!A:A,0)),Raeburn_Main_Tariff[[#This Row],[PRODUCER]])</f>
        <v>Domaine Terres de Velle</v>
      </c>
      <c r="C2528" s="1178" t="s">
        <v>21232</v>
      </c>
      <c r="D2528" s="1178" t="s">
        <v>897</v>
      </c>
      <c r="E2528" s="1179">
        <v>2015</v>
      </c>
      <c r="F2528" s="1282" t="s">
        <v>20220</v>
      </c>
      <c r="G2528" s="1368">
        <v>46.5</v>
      </c>
      <c r="H2528" s="1178" t="s">
        <v>20221</v>
      </c>
      <c r="I2528" s="1178" t="s">
        <v>7908</v>
      </c>
      <c r="J2528" s="1178" t="s">
        <v>662</v>
      </c>
      <c r="K2528" s="1178" t="s">
        <v>267</v>
      </c>
      <c r="L2528" s="1178" t="s">
        <v>242</v>
      </c>
      <c r="M2528" s="1369" t="s">
        <v>23297</v>
      </c>
      <c r="N2528" s="1178"/>
      <c r="O2528" s="1178">
        <v>6</v>
      </c>
      <c r="P2528" s="1178">
        <v>13</v>
      </c>
    </row>
    <row r="2529" spans="1:16">
      <c r="A2529" s="1178" t="s">
        <v>21222</v>
      </c>
      <c r="B2529" s="1371" t="str">
        <f>HYPERLINK(IFERROR("#Main_Tariff!A"&amp;MATCH(Raeburn_Main_Tariff[[#This Row],[Product Code]],Main_Tariff!I:I,0),"#Main_Tariff!A"&amp;MATCH("*"&amp;RIGHT(A2529,8)&amp;"*",Main_Tariff!A:A,0)),Raeburn_Main_Tariff[[#This Row],[PRODUCER]])</f>
        <v>Domaine Terres de Velle</v>
      </c>
      <c r="C2529" s="1178" t="s">
        <v>21232</v>
      </c>
      <c r="D2529" s="1178" t="s">
        <v>897</v>
      </c>
      <c r="E2529" s="1179">
        <v>2014</v>
      </c>
      <c r="F2529" s="1282" t="s">
        <v>20220</v>
      </c>
      <c r="G2529" s="1368">
        <v>43.5</v>
      </c>
      <c r="H2529" s="1178" t="s">
        <v>20221</v>
      </c>
      <c r="I2529" s="1178" t="s">
        <v>7909</v>
      </c>
      <c r="J2529" s="1178" t="s">
        <v>662</v>
      </c>
      <c r="K2529" s="1178" t="s">
        <v>267</v>
      </c>
      <c r="L2529" s="1178" t="s">
        <v>242</v>
      </c>
      <c r="M2529" s="1369" t="s">
        <v>23297</v>
      </c>
      <c r="N2529" s="1178"/>
      <c r="O2529" s="1178">
        <v>6</v>
      </c>
      <c r="P2529" s="1178">
        <v>13</v>
      </c>
    </row>
    <row r="2530" spans="1:16">
      <c r="A2530" s="1178" t="s">
        <v>21222</v>
      </c>
      <c r="B2530" s="1371" t="str">
        <f>HYPERLINK(IFERROR("#Main_Tariff!A"&amp;MATCH(Raeburn_Main_Tariff[[#This Row],[Product Code]],Main_Tariff!I:I,0),"#Main_Tariff!A"&amp;MATCH("*"&amp;RIGHT(A2530,8)&amp;"*",Main_Tariff!A:A,0)),Raeburn_Main_Tariff[[#This Row],[PRODUCER]])</f>
        <v>Domaine Terres de Velle</v>
      </c>
      <c r="C2530" s="1178" t="s">
        <v>21232</v>
      </c>
      <c r="D2530" s="1178" t="s">
        <v>897</v>
      </c>
      <c r="E2530" s="1179">
        <v>2013</v>
      </c>
      <c r="F2530" s="1282" t="s">
        <v>20220</v>
      </c>
      <c r="G2530" s="1368">
        <v>43.5</v>
      </c>
      <c r="H2530" s="1178" t="s">
        <v>20221</v>
      </c>
      <c r="I2530" s="1178" t="s">
        <v>7910</v>
      </c>
      <c r="J2530" s="1178" t="s">
        <v>662</v>
      </c>
      <c r="K2530" s="1178" t="s">
        <v>267</v>
      </c>
      <c r="L2530" s="1178" t="s">
        <v>242</v>
      </c>
      <c r="M2530" s="1369" t="s">
        <v>23297</v>
      </c>
      <c r="N2530" s="1178"/>
      <c r="O2530" s="1178">
        <v>6</v>
      </c>
      <c r="P2530" s="1178">
        <v>13</v>
      </c>
    </row>
    <row r="2531" spans="1:16">
      <c r="A2531" s="1178" t="s">
        <v>21222</v>
      </c>
      <c r="B2531" s="1371" t="str">
        <f>HYPERLINK(IFERROR("#Main_Tariff!A"&amp;MATCH(Raeburn_Main_Tariff[[#This Row],[Product Code]],Main_Tariff!I:I,0),"#Main_Tariff!A"&amp;MATCH("*"&amp;RIGHT(A2531,8)&amp;"*",Main_Tariff!A:A,0)),Raeburn_Main_Tariff[[#This Row],[PRODUCER]])</f>
        <v>Domaine Terres de Velle</v>
      </c>
      <c r="C2531" s="1178" t="s">
        <v>21232</v>
      </c>
      <c r="D2531" s="1178" t="s">
        <v>897</v>
      </c>
      <c r="E2531" s="1179">
        <v>2012</v>
      </c>
      <c r="F2531" s="1282" t="s">
        <v>20220</v>
      </c>
      <c r="G2531" s="1368">
        <v>43.5</v>
      </c>
      <c r="H2531" s="1178" t="s">
        <v>20221</v>
      </c>
      <c r="I2531" s="1178" t="s">
        <v>7911</v>
      </c>
      <c r="J2531" s="1178" t="s">
        <v>662</v>
      </c>
      <c r="K2531" s="1178" t="s">
        <v>267</v>
      </c>
      <c r="L2531" s="1178" t="s">
        <v>242</v>
      </c>
      <c r="M2531" s="1369" t="s">
        <v>23297</v>
      </c>
      <c r="N2531" s="1178"/>
      <c r="O2531" s="1178">
        <v>6</v>
      </c>
      <c r="P2531" s="1178">
        <v>13</v>
      </c>
    </row>
    <row r="2532" spans="1:16">
      <c r="A2532" s="1178" t="s">
        <v>21222</v>
      </c>
      <c r="B2532" s="1371" t="str">
        <f>HYPERLINK(IFERROR("#Main_Tariff!A"&amp;MATCH(Raeburn_Main_Tariff[[#This Row],[Product Code]],Main_Tariff!I:I,0),"#Main_Tariff!A"&amp;MATCH("*"&amp;RIGHT(A2532,8)&amp;"*",Main_Tariff!A:A,0)),Raeburn_Main_Tariff[[#This Row],[PRODUCER]])</f>
        <v>Domaine Terres de Velle</v>
      </c>
      <c r="C2532" s="1178" t="s">
        <v>21232</v>
      </c>
      <c r="D2532" s="1178" t="s">
        <v>897</v>
      </c>
      <c r="E2532" s="1179">
        <v>2011</v>
      </c>
      <c r="F2532" s="1282" t="s">
        <v>20220</v>
      </c>
      <c r="G2532" s="1368">
        <v>42.25</v>
      </c>
      <c r="H2532" s="1178" t="s">
        <v>20221</v>
      </c>
      <c r="I2532" s="1178" t="s">
        <v>7912</v>
      </c>
      <c r="J2532" s="1178" t="s">
        <v>662</v>
      </c>
      <c r="K2532" s="1178" t="s">
        <v>267</v>
      </c>
      <c r="L2532" s="1178" t="s">
        <v>242</v>
      </c>
      <c r="M2532" s="1369" t="s">
        <v>23297</v>
      </c>
      <c r="N2532" s="1178"/>
      <c r="O2532" s="1178">
        <v>6</v>
      </c>
      <c r="P2532" s="1178">
        <v>13</v>
      </c>
    </row>
    <row r="2533" spans="1:16">
      <c r="A2533" s="1178" t="s">
        <v>21222</v>
      </c>
      <c r="B2533" s="1371" t="str">
        <f>HYPERLINK(IFERROR("#Main_Tariff!A"&amp;MATCH(Raeburn_Main_Tariff[[#This Row],[Product Code]],Main_Tariff!I:I,0),"#Main_Tariff!A"&amp;MATCH("*"&amp;RIGHT(A2533,8)&amp;"*",Main_Tariff!A:A,0)),Raeburn_Main_Tariff[[#This Row],[PRODUCER]])</f>
        <v>Domaine Terres de Velle</v>
      </c>
      <c r="C2533" s="1178" t="s">
        <v>21233</v>
      </c>
      <c r="D2533" s="1178" t="s">
        <v>897</v>
      </c>
      <c r="E2533" s="1179">
        <v>2020</v>
      </c>
      <c r="F2533" s="1282" t="s">
        <v>20240</v>
      </c>
      <c r="G2533" s="1368">
        <v>51</v>
      </c>
      <c r="H2533" s="1178" t="s">
        <v>20221</v>
      </c>
      <c r="I2533" s="1178" t="s">
        <v>7913</v>
      </c>
      <c r="J2533" s="1178" t="s">
        <v>662</v>
      </c>
      <c r="K2533" s="1178" t="s">
        <v>267</v>
      </c>
      <c r="L2533" s="1178" t="s">
        <v>242</v>
      </c>
      <c r="M2533" s="1369"/>
      <c r="N2533" s="1178"/>
      <c r="O2533" s="1178">
        <v>3</v>
      </c>
      <c r="P2533" s="1178">
        <v>14</v>
      </c>
    </row>
    <row r="2534" spans="1:16">
      <c r="A2534" s="1178" t="s">
        <v>21222</v>
      </c>
      <c r="B2534" s="1371" t="str">
        <f>HYPERLINK(IFERROR("#Main_Tariff!A"&amp;MATCH(Raeburn_Main_Tariff[[#This Row],[Product Code]],Main_Tariff!I:I,0),"#Main_Tariff!A"&amp;MATCH("*"&amp;RIGHT(A2534,8)&amp;"*",Main_Tariff!A:A,0)),Raeburn_Main_Tariff[[#This Row],[PRODUCER]])</f>
        <v>Domaine Terres de Velle</v>
      </c>
      <c r="C2534" s="1178" t="s">
        <v>21234</v>
      </c>
      <c r="D2534" s="1178" t="s">
        <v>897</v>
      </c>
      <c r="E2534" s="1179">
        <v>2018</v>
      </c>
      <c r="F2534" s="1282" t="s">
        <v>20240</v>
      </c>
      <c r="G2534" s="1368">
        <v>76</v>
      </c>
      <c r="H2534" s="1178" t="s">
        <v>20221</v>
      </c>
      <c r="I2534" s="1178" t="s">
        <v>7914</v>
      </c>
      <c r="J2534" s="1178" t="s">
        <v>662</v>
      </c>
      <c r="K2534" s="1178" t="s">
        <v>267</v>
      </c>
      <c r="L2534" s="1178" t="s">
        <v>242</v>
      </c>
      <c r="M2534" s="1369" t="s">
        <v>23297</v>
      </c>
      <c r="N2534" s="1178"/>
      <c r="O2534" s="1178">
        <v>3</v>
      </c>
      <c r="P2534" s="1178">
        <v>13.5</v>
      </c>
    </row>
    <row r="2535" spans="1:16">
      <c r="A2535" s="1178" t="s">
        <v>21222</v>
      </c>
      <c r="B2535" s="1371" t="str">
        <f>HYPERLINK(IFERROR("#Main_Tariff!A"&amp;MATCH(Raeburn_Main_Tariff[[#This Row],[Product Code]],Main_Tariff!I:I,0),"#Main_Tariff!A"&amp;MATCH("*"&amp;RIGHT(A2535,8)&amp;"*",Main_Tariff!A:A,0)),Raeburn_Main_Tariff[[#This Row],[PRODUCER]])</f>
        <v>Domaine Terres de Velle</v>
      </c>
      <c r="C2535" s="1178" t="s">
        <v>21235</v>
      </c>
      <c r="D2535" s="1178" t="s">
        <v>897</v>
      </c>
      <c r="E2535" s="1179">
        <v>2020</v>
      </c>
      <c r="F2535" s="1282" t="s">
        <v>20240</v>
      </c>
      <c r="G2535" s="1368">
        <v>82</v>
      </c>
      <c r="H2535" s="1178" t="s">
        <v>20221</v>
      </c>
      <c r="I2535" s="1178" t="s">
        <v>7915</v>
      </c>
      <c r="J2535" s="1178" t="s">
        <v>662</v>
      </c>
      <c r="K2535" s="1178" t="s">
        <v>267</v>
      </c>
      <c r="L2535" s="1178" t="s">
        <v>242</v>
      </c>
      <c r="M2535" s="1369"/>
      <c r="N2535" s="1178"/>
      <c r="O2535" s="1178">
        <v>3</v>
      </c>
      <c r="P2535" s="1178">
        <v>14</v>
      </c>
    </row>
    <row r="2536" spans="1:16">
      <c r="A2536" s="1178" t="s">
        <v>21222</v>
      </c>
      <c r="B2536" s="1371" t="str">
        <f>HYPERLINK(IFERROR("#Main_Tariff!A"&amp;MATCH(Raeburn_Main_Tariff[[#This Row],[Product Code]],Main_Tariff!I:I,0),"#Main_Tariff!A"&amp;MATCH("*"&amp;RIGHT(A2536,8)&amp;"*",Main_Tariff!A:A,0)),Raeburn_Main_Tariff[[#This Row],[PRODUCER]])</f>
        <v>Domaine Terres de Velle</v>
      </c>
      <c r="C2536" s="1178" t="s">
        <v>21235</v>
      </c>
      <c r="D2536" s="1178" t="s">
        <v>897</v>
      </c>
      <c r="E2536" s="1179">
        <v>2019</v>
      </c>
      <c r="F2536" s="1282" t="s">
        <v>20240</v>
      </c>
      <c r="G2536" s="1368">
        <v>82</v>
      </c>
      <c r="H2536" s="1178" t="s">
        <v>20221</v>
      </c>
      <c r="I2536" s="1178" t="s">
        <v>7916</v>
      </c>
      <c r="J2536" s="1178" t="s">
        <v>662</v>
      </c>
      <c r="K2536" s="1178" t="s">
        <v>267</v>
      </c>
      <c r="L2536" s="1178" t="s">
        <v>242</v>
      </c>
      <c r="M2536" s="1369"/>
      <c r="N2536" s="1178"/>
      <c r="O2536" s="1178">
        <v>3</v>
      </c>
      <c r="P2536" s="1178">
        <v>14</v>
      </c>
    </row>
    <row r="2537" spans="1:16">
      <c r="A2537" s="1178" t="s">
        <v>21222</v>
      </c>
      <c r="B2537" s="1371" t="str">
        <f>HYPERLINK(IFERROR("#Main_Tariff!A"&amp;MATCH(Raeburn_Main_Tariff[[#This Row],[Product Code]],Main_Tariff!I:I,0),"#Main_Tariff!A"&amp;MATCH("*"&amp;RIGHT(A2537,8)&amp;"*",Main_Tariff!A:A,0)),Raeburn_Main_Tariff[[#This Row],[PRODUCER]])</f>
        <v>Domaine Terres de Velle</v>
      </c>
      <c r="C2537" s="1178" t="s">
        <v>21235</v>
      </c>
      <c r="D2537" s="1178" t="s">
        <v>897</v>
      </c>
      <c r="E2537" s="1179">
        <v>2018</v>
      </c>
      <c r="F2537" s="1282" t="s">
        <v>20240</v>
      </c>
      <c r="G2537" s="1368">
        <v>79</v>
      </c>
      <c r="H2537" s="1178" t="s">
        <v>20221</v>
      </c>
      <c r="I2537" s="1178" t="s">
        <v>7917</v>
      </c>
      <c r="J2537" s="1178" t="s">
        <v>662</v>
      </c>
      <c r="K2537" s="1178" t="s">
        <v>267</v>
      </c>
      <c r="L2537" s="1178" t="s">
        <v>242</v>
      </c>
      <c r="M2537" s="1369"/>
      <c r="N2537" s="1178"/>
      <c r="O2537" s="1178">
        <v>3</v>
      </c>
      <c r="P2537" s="1178">
        <v>13.5</v>
      </c>
    </row>
    <row r="2538" spans="1:16">
      <c r="A2538" s="1178" t="s">
        <v>21222</v>
      </c>
      <c r="B2538" s="1371" t="str">
        <f>HYPERLINK(IFERROR("#Main_Tariff!A"&amp;MATCH(Raeburn_Main_Tariff[[#This Row],[Product Code]],Main_Tariff!I:I,0),"#Main_Tariff!A"&amp;MATCH("*"&amp;RIGHT(A2538,8)&amp;"*",Main_Tariff!A:A,0)),Raeburn_Main_Tariff[[#This Row],[PRODUCER]])</f>
        <v>Domaine Terres de Velle</v>
      </c>
      <c r="C2538" s="1178" t="s">
        <v>21236</v>
      </c>
      <c r="D2538" s="1178" t="s">
        <v>897</v>
      </c>
      <c r="E2538" s="1179">
        <v>2018</v>
      </c>
      <c r="F2538" s="1282" t="s">
        <v>20240</v>
      </c>
      <c r="G2538" s="1368">
        <v>99</v>
      </c>
      <c r="H2538" s="1178" t="s">
        <v>20221</v>
      </c>
      <c r="I2538" s="1178" t="s">
        <v>7918</v>
      </c>
      <c r="J2538" s="1178" t="s">
        <v>662</v>
      </c>
      <c r="K2538" s="1178" t="s">
        <v>267</v>
      </c>
      <c r="L2538" s="1178" t="s">
        <v>242</v>
      </c>
      <c r="M2538" s="1369" t="s">
        <v>23297</v>
      </c>
      <c r="N2538" s="1178"/>
      <c r="O2538" s="1178">
        <v>3</v>
      </c>
      <c r="P2538" s="1178">
        <v>13.5</v>
      </c>
    </row>
    <row r="2539" spans="1:16">
      <c r="A2539" s="1178" t="s">
        <v>21237</v>
      </c>
      <c r="B2539" s="1371" t="str">
        <f>HYPERLINK(IFERROR("#Main_Tariff!A"&amp;MATCH(Raeburn_Main_Tariff[[#This Row],[Product Code]],Main_Tariff!I:I,0),"#Main_Tariff!A"&amp;MATCH("*"&amp;RIGHT(A2539,8)&amp;"*",Main_Tariff!A:A,0)),Raeburn_Main_Tariff[[#This Row],[PRODUCER]])</f>
        <v>JM, AM &amp; A Vincent</v>
      </c>
      <c r="C2539" s="1178" t="s">
        <v>21238</v>
      </c>
      <c r="D2539" s="1178" t="s">
        <v>897</v>
      </c>
      <c r="E2539" s="1179">
        <v>2017</v>
      </c>
      <c r="F2539" s="1282" t="s">
        <v>20220</v>
      </c>
      <c r="G2539" s="1368">
        <v>37.5</v>
      </c>
      <c r="H2539" s="1178" t="s">
        <v>20221</v>
      </c>
      <c r="I2539" s="1178" t="s">
        <v>7945</v>
      </c>
      <c r="J2539" s="1178" t="s">
        <v>662</v>
      </c>
      <c r="K2539" s="1178" t="s">
        <v>267</v>
      </c>
      <c r="L2539" s="1178" t="s">
        <v>242</v>
      </c>
      <c r="M2539" s="1369" t="s">
        <v>23297</v>
      </c>
      <c r="N2539" s="1178"/>
      <c r="O2539" s="1178">
        <v>6</v>
      </c>
      <c r="P2539" s="1178">
        <v>13.5</v>
      </c>
    </row>
    <row r="2540" spans="1:16">
      <c r="A2540" s="1178" t="s">
        <v>21237</v>
      </c>
      <c r="B2540" s="1371" t="str">
        <f>HYPERLINK(IFERROR("#Main_Tariff!A"&amp;MATCH(Raeburn_Main_Tariff[[#This Row],[Product Code]],Main_Tariff!I:I,0),"#Main_Tariff!A"&amp;MATCH("*"&amp;RIGHT(A2540,8)&amp;"*",Main_Tariff!A:A,0)),Raeburn_Main_Tariff[[#This Row],[PRODUCER]])</f>
        <v>JM, AM &amp; A Vincent</v>
      </c>
      <c r="C2540" s="1178" t="s">
        <v>21238</v>
      </c>
      <c r="D2540" s="1178" t="s">
        <v>897</v>
      </c>
      <c r="E2540" s="1179">
        <v>2016</v>
      </c>
      <c r="F2540" s="1282" t="s">
        <v>20220</v>
      </c>
      <c r="G2540" s="1368">
        <v>37.5</v>
      </c>
      <c r="H2540" s="1178" t="s">
        <v>20221</v>
      </c>
      <c r="I2540" s="1178" t="s">
        <v>7947</v>
      </c>
      <c r="J2540" s="1178" t="s">
        <v>662</v>
      </c>
      <c r="K2540" s="1178" t="s">
        <v>267</v>
      </c>
      <c r="L2540" s="1178" t="s">
        <v>242</v>
      </c>
      <c r="M2540" s="1369" t="s">
        <v>23297</v>
      </c>
      <c r="N2540" s="1178"/>
      <c r="O2540" s="1178">
        <v>6</v>
      </c>
      <c r="P2540" s="1178">
        <v>13</v>
      </c>
    </row>
    <row r="2541" spans="1:16">
      <c r="A2541" s="1178" t="s">
        <v>21237</v>
      </c>
      <c r="B2541" s="1371" t="str">
        <f>HYPERLINK(IFERROR("#Main_Tariff!A"&amp;MATCH(Raeburn_Main_Tariff[[#This Row],[Product Code]],Main_Tariff!I:I,0),"#Main_Tariff!A"&amp;MATCH("*"&amp;RIGHT(A2541,8)&amp;"*",Main_Tariff!A:A,0)),Raeburn_Main_Tariff[[#This Row],[PRODUCER]])</f>
        <v>JM, AM &amp; A Vincent</v>
      </c>
      <c r="C2541" s="1178" t="s">
        <v>21238</v>
      </c>
      <c r="D2541" s="1178" t="s">
        <v>897</v>
      </c>
      <c r="E2541" s="1179">
        <v>2015</v>
      </c>
      <c r="F2541" s="1282" t="s">
        <v>20220</v>
      </c>
      <c r="G2541" s="1368">
        <v>39.5</v>
      </c>
      <c r="H2541" s="1178" t="s">
        <v>20221</v>
      </c>
      <c r="I2541" s="1178" t="s">
        <v>7949</v>
      </c>
      <c r="J2541" s="1178" t="s">
        <v>662</v>
      </c>
      <c r="K2541" s="1178" t="s">
        <v>267</v>
      </c>
      <c r="L2541" s="1178" t="s">
        <v>242</v>
      </c>
      <c r="M2541" s="1369" t="s">
        <v>23297</v>
      </c>
      <c r="N2541" s="1178"/>
      <c r="O2541" s="1178">
        <v>12</v>
      </c>
      <c r="P2541" s="1178">
        <v>13</v>
      </c>
    </row>
    <row r="2542" spans="1:16">
      <c r="A2542" s="1178" t="s">
        <v>21237</v>
      </c>
      <c r="B2542" s="1371" t="str">
        <f>HYPERLINK(IFERROR("#Main_Tariff!A"&amp;MATCH(Raeburn_Main_Tariff[[#This Row],[Product Code]],Main_Tariff!I:I,0),"#Main_Tariff!A"&amp;MATCH("*"&amp;RIGHT(A2542,8)&amp;"*",Main_Tariff!A:A,0)),Raeburn_Main_Tariff[[#This Row],[PRODUCER]])</f>
        <v>JM, AM &amp; A Vincent</v>
      </c>
      <c r="C2542" s="1178" t="s">
        <v>21238</v>
      </c>
      <c r="D2542" s="1178" t="s">
        <v>897</v>
      </c>
      <c r="E2542" s="1179">
        <v>2014</v>
      </c>
      <c r="F2542" s="1282" t="s">
        <v>20220</v>
      </c>
      <c r="G2542" s="1368">
        <v>37.5</v>
      </c>
      <c r="H2542" s="1178" t="s">
        <v>20221</v>
      </c>
      <c r="I2542" s="1178" t="s">
        <v>6294</v>
      </c>
      <c r="J2542" s="1178" t="s">
        <v>662</v>
      </c>
      <c r="K2542" s="1178" t="s">
        <v>267</v>
      </c>
      <c r="L2542" s="1178" t="s">
        <v>242</v>
      </c>
      <c r="M2542" s="1369" t="s">
        <v>23297</v>
      </c>
      <c r="N2542" s="1178"/>
      <c r="O2542" s="1178">
        <v>6</v>
      </c>
      <c r="P2542" s="1178">
        <v>13</v>
      </c>
    </row>
    <row r="2543" spans="1:16">
      <c r="A2543" s="1178" t="s">
        <v>21237</v>
      </c>
      <c r="B2543" s="1371" t="str">
        <f>HYPERLINK(IFERROR("#Main_Tariff!A"&amp;MATCH(Raeburn_Main_Tariff[[#This Row],[Product Code]],Main_Tariff!I:I,0),"#Main_Tariff!A"&amp;MATCH("*"&amp;RIGHT(A2543,8)&amp;"*",Main_Tariff!A:A,0)),Raeburn_Main_Tariff[[#This Row],[PRODUCER]])</f>
        <v>JM, AM &amp; A Vincent</v>
      </c>
      <c r="C2543" s="1178" t="s">
        <v>21239</v>
      </c>
      <c r="D2543" s="1178" t="s">
        <v>897</v>
      </c>
      <c r="E2543" s="1179">
        <v>2011</v>
      </c>
      <c r="F2543" s="1282" t="s">
        <v>20220</v>
      </c>
      <c r="G2543" s="1368">
        <v>29.5</v>
      </c>
      <c r="H2543" s="1178" t="s">
        <v>20221</v>
      </c>
      <c r="I2543" s="1178" t="s">
        <v>7951</v>
      </c>
      <c r="J2543" s="1178" t="s">
        <v>662</v>
      </c>
      <c r="K2543" s="1178" t="s">
        <v>267</v>
      </c>
      <c r="L2543" s="1178" t="s">
        <v>242</v>
      </c>
      <c r="M2543" s="1369"/>
      <c r="N2543" s="1178"/>
      <c r="O2543" s="1178">
        <v>12</v>
      </c>
      <c r="P2543" s="1178">
        <v>15</v>
      </c>
    </row>
    <row r="2544" spans="1:16">
      <c r="A2544" s="1178" t="s">
        <v>21237</v>
      </c>
      <c r="B2544" s="1371" t="str">
        <f>HYPERLINK(IFERROR("#Main_Tariff!A"&amp;MATCH(Raeburn_Main_Tariff[[#This Row],[Product Code]],Main_Tariff!I:I,0),"#Main_Tariff!A"&amp;MATCH("*"&amp;RIGHT(A2544,8)&amp;"*",Main_Tariff!A:A,0)),Raeburn_Main_Tariff[[#This Row],[PRODUCER]])</f>
        <v>JM, AM &amp; A Vincent</v>
      </c>
      <c r="C2544" s="1178" t="s">
        <v>21240</v>
      </c>
      <c r="D2544" s="1178" t="s">
        <v>897</v>
      </c>
      <c r="E2544" s="1179"/>
      <c r="F2544" s="1282" t="s">
        <v>20220</v>
      </c>
      <c r="G2544" s="1368"/>
      <c r="H2544" s="1178" t="s">
        <v>3907</v>
      </c>
      <c r="I2544" s="1178" t="s">
        <v>7953</v>
      </c>
      <c r="J2544" s="1178" t="s">
        <v>662</v>
      </c>
      <c r="K2544" s="1178" t="s">
        <v>267</v>
      </c>
      <c r="L2544" s="1178" t="s">
        <v>242</v>
      </c>
      <c r="M2544" s="1369" t="s">
        <v>23297</v>
      </c>
      <c r="N2544" s="1178"/>
      <c r="O2544" s="1178">
        <v>6</v>
      </c>
      <c r="P2544" s="1178">
        <v>0</v>
      </c>
    </row>
    <row r="2545" spans="1:16">
      <c r="A2545" s="1178" t="s">
        <v>21237</v>
      </c>
      <c r="B2545" s="1371" t="str">
        <f>HYPERLINK(IFERROR("#Main_Tariff!A"&amp;MATCH(Raeburn_Main_Tariff[[#This Row],[Product Code]],Main_Tariff!I:I,0),"#Main_Tariff!A"&amp;MATCH("*"&amp;RIGHT(A2545,8)&amp;"*",Main_Tariff!A:A,0)),Raeburn_Main_Tariff[[#This Row],[PRODUCER]])</f>
        <v>JM, AM &amp; A Vincent</v>
      </c>
      <c r="C2545" s="1178" t="s">
        <v>21241</v>
      </c>
      <c r="D2545" s="1178" t="s">
        <v>897</v>
      </c>
      <c r="E2545" s="1179"/>
      <c r="F2545" s="1282" t="s">
        <v>20220</v>
      </c>
      <c r="G2545" s="1368"/>
      <c r="H2545" s="1178" t="s">
        <v>3907</v>
      </c>
      <c r="I2545" s="1178" t="s">
        <v>7955</v>
      </c>
      <c r="J2545" s="1178" t="s">
        <v>662</v>
      </c>
      <c r="K2545" s="1178" t="s">
        <v>267</v>
      </c>
      <c r="L2545" s="1178" t="s">
        <v>242</v>
      </c>
      <c r="M2545" s="1369" t="s">
        <v>23297</v>
      </c>
      <c r="N2545" s="1178"/>
      <c r="O2545" s="1178">
        <v>6</v>
      </c>
      <c r="P2545" s="1178">
        <v>0</v>
      </c>
    </row>
    <row r="2546" spans="1:16">
      <c r="A2546" s="1178" t="s">
        <v>21237</v>
      </c>
      <c r="B2546" s="1371" t="str">
        <f>HYPERLINK(IFERROR("#Main_Tariff!A"&amp;MATCH(Raeburn_Main_Tariff[[#This Row],[Product Code]],Main_Tariff!I:I,0),"#Main_Tariff!A"&amp;MATCH("*"&amp;RIGHT(A2546,8)&amp;"*",Main_Tariff!A:A,0)),Raeburn_Main_Tariff[[#This Row],[PRODUCER]])</f>
        <v>JM, AM &amp; A Vincent</v>
      </c>
      <c r="C2546" s="1178" t="s">
        <v>21242</v>
      </c>
      <c r="D2546" s="1178" t="s">
        <v>897</v>
      </c>
      <c r="E2546" s="1179"/>
      <c r="F2546" s="1282" t="s">
        <v>20220</v>
      </c>
      <c r="G2546" s="1368"/>
      <c r="H2546" s="1178" t="s">
        <v>3907</v>
      </c>
      <c r="I2546" s="1178" t="s">
        <v>7957</v>
      </c>
      <c r="J2546" s="1178" t="s">
        <v>662</v>
      </c>
      <c r="K2546" s="1178" t="s">
        <v>267</v>
      </c>
      <c r="L2546" s="1178" t="s">
        <v>242</v>
      </c>
      <c r="M2546" s="1369" t="s">
        <v>23297</v>
      </c>
      <c r="N2546" s="1178"/>
      <c r="O2546" s="1178">
        <v>6</v>
      </c>
      <c r="P2546" s="1178">
        <v>0</v>
      </c>
    </row>
    <row r="2547" spans="1:16">
      <c r="A2547" s="1178" t="s">
        <v>21237</v>
      </c>
      <c r="B2547" s="1371" t="str">
        <f>HYPERLINK(IFERROR("#Main_Tariff!A"&amp;MATCH(Raeburn_Main_Tariff[[#This Row],[Product Code]],Main_Tariff!I:I,0),"#Main_Tariff!A"&amp;MATCH("*"&amp;RIGHT(A2547,8)&amp;"*",Main_Tariff!A:A,0)),Raeburn_Main_Tariff[[#This Row],[PRODUCER]])</f>
        <v>JM, AM &amp; A Vincent</v>
      </c>
      <c r="C2547" s="1178" t="s">
        <v>21243</v>
      </c>
      <c r="D2547" s="1178" t="s">
        <v>897</v>
      </c>
      <c r="E2547" s="1179">
        <v>2021</v>
      </c>
      <c r="F2547" s="1282" t="s">
        <v>20220</v>
      </c>
      <c r="G2547" s="1368">
        <v>79</v>
      </c>
      <c r="H2547" s="1178" t="s">
        <v>20221</v>
      </c>
      <c r="I2547" s="1178" t="s">
        <v>7959</v>
      </c>
      <c r="J2547" s="1178" t="s">
        <v>662</v>
      </c>
      <c r="K2547" s="1178" t="s">
        <v>267</v>
      </c>
      <c r="L2547" s="1178" t="s">
        <v>242</v>
      </c>
      <c r="M2547" s="1369"/>
      <c r="N2547" s="1178"/>
      <c r="O2547" s="1178">
        <v>6</v>
      </c>
      <c r="P2547" s="1178">
        <v>13.5</v>
      </c>
    </row>
    <row r="2548" spans="1:16">
      <c r="A2548" s="1178" t="s">
        <v>21237</v>
      </c>
      <c r="B2548" s="1371" t="str">
        <f>HYPERLINK(IFERROR("#Main_Tariff!A"&amp;MATCH(Raeburn_Main_Tariff[[#This Row],[Product Code]],Main_Tariff!I:I,0),"#Main_Tariff!A"&amp;MATCH("*"&amp;RIGHT(A2548,8)&amp;"*",Main_Tariff!A:A,0)),Raeburn_Main_Tariff[[#This Row],[PRODUCER]])</f>
        <v>JM, AM &amp; A Vincent</v>
      </c>
      <c r="C2548" s="1178" t="s">
        <v>21244</v>
      </c>
      <c r="D2548" s="1178" t="s">
        <v>1129</v>
      </c>
      <c r="E2548" s="1179"/>
      <c r="F2548" s="1282" t="s">
        <v>20220</v>
      </c>
      <c r="G2548" s="1368"/>
      <c r="H2548" s="1178" t="s">
        <v>3907</v>
      </c>
      <c r="I2548" s="1178" t="s">
        <v>7962</v>
      </c>
      <c r="J2548" s="1178" t="s">
        <v>662</v>
      </c>
      <c r="K2548" s="1178" t="s">
        <v>267</v>
      </c>
      <c r="L2548" s="1178" t="s">
        <v>242</v>
      </c>
      <c r="M2548" s="1369"/>
      <c r="N2548" s="1178"/>
      <c r="O2548" s="1178">
        <v>6</v>
      </c>
      <c r="P2548" s="1178">
        <v>0</v>
      </c>
    </row>
    <row r="2549" spans="1:16">
      <c r="A2549" s="1178" t="s">
        <v>21237</v>
      </c>
      <c r="B2549" s="1371" t="str">
        <f>HYPERLINK(IFERROR("#Main_Tariff!A"&amp;MATCH(Raeburn_Main_Tariff[[#This Row],[Product Code]],Main_Tariff!I:I,0),"#Main_Tariff!A"&amp;MATCH("*"&amp;RIGHT(A2549,8)&amp;"*",Main_Tariff!A:A,0)),Raeburn_Main_Tariff[[#This Row],[PRODUCER]])</f>
        <v>JM, AM &amp; A Vincent</v>
      </c>
      <c r="C2549" s="1178" t="s">
        <v>21245</v>
      </c>
      <c r="D2549" s="1178" t="s">
        <v>1129</v>
      </c>
      <c r="E2549" s="1179">
        <v>2022</v>
      </c>
      <c r="F2549" s="1282" t="s">
        <v>20220</v>
      </c>
      <c r="G2549" s="1368">
        <v>56</v>
      </c>
      <c r="H2549" s="1178" t="s">
        <v>20221</v>
      </c>
      <c r="I2549" s="1178" t="s">
        <v>7964</v>
      </c>
      <c r="J2549" s="1178" t="s">
        <v>662</v>
      </c>
      <c r="K2549" s="1178" t="s">
        <v>267</v>
      </c>
      <c r="L2549" s="1178" t="s">
        <v>242</v>
      </c>
      <c r="M2549" s="1369"/>
      <c r="N2549" s="1178"/>
      <c r="O2549" s="1178">
        <v>6</v>
      </c>
      <c r="P2549" s="1178">
        <v>13.5</v>
      </c>
    </row>
    <row r="2550" spans="1:16">
      <c r="A2550" s="1178" t="s">
        <v>21237</v>
      </c>
      <c r="B2550" s="1371" t="str">
        <f>HYPERLINK(IFERROR("#Main_Tariff!A"&amp;MATCH(Raeburn_Main_Tariff[[#This Row],[Product Code]],Main_Tariff!I:I,0),"#Main_Tariff!A"&amp;MATCH("*"&amp;RIGHT(A2550,8)&amp;"*",Main_Tariff!A:A,0)),Raeburn_Main_Tariff[[#This Row],[PRODUCER]])</f>
        <v>JM, AM &amp; A Vincent</v>
      </c>
      <c r="C2550" s="1178" t="s">
        <v>21246</v>
      </c>
      <c r="D2550" s="1178" t="s">
        <v>1129</v>
      </c>
      <c r="E2550" s="1179">
        <v>2020</v>
      </c>
      <c r="F2550" s="1282" t="s">
        <v>20220</v>
      </c>
      <c r="G2550" s="1368">
        <v>36.5</v>
      </c>
      <c r="H2550" s="1178" t="s">
        <v>20221</v>
      </c>
      <c r="I2550" s="1178" t="s">
        <v>7967</v>
      </c>
      <c r="J2550" s="1178" t="s">
        <v>662</v>
      </c>
      <c r="K2550" s="1178" t="s">
        <v>267</v>
      </c>
      <c r="L2550" s="1178" t="s">
        <v>242</v>
      </c>
      <c r="M2550" s="1369" t="s">
        <v>23297</v>
      </c>
      <c r="N2550" s="1178"/>
      <c r="O2550" s="1178">
        <v>12</v>
      </c>
      <c r="P2550" s="1178">
        <v>12.5</v>
      </c>
    </row>
    <row r="2551" spans="1:16">
      <c r="A2551" s="1178" t="s">
        <v>21237</v>
      </c>
      <c r="B2551" s="1371" t="str">
        <f>HYPERLINK(IFERROR("#Main_Tariff!A"&amp;MATCH(Raeburn_Main_Tariff[[#This Row],[Product Code]],Main_Tariff!I:I,0),"#Main_Tariff!A"&amp;MATCH("*"&amp;RIGHT(A2551,8)&amp;"*",Main_Tariff!A:A,0)),Raeburn_Main_Tariff[[#This Row],[PRODUCER]])</f>
        <v>JM, AM &amp; A Vincent</v>
      </c>
      <c r="C2551" s="1178" t="s">
        <v>21247</v>
      </c>
      <c r="D2551" s="1178" t="s">
        <v>1129</v>
      </c>
      <c r="E2551" s="1179"/>
      <c r="F2551" s="1282" t="s">
        <v>20220</v>
      </c>
      <c r="G2551" s="1368"/>
      <c r="H2551" s="1178" t="s">
        <v>3907</v>
      </c>
      <c r="I2551" s="1178" t="s">
        <v>7969</v>
      </c>
      <c r="J2551" s="1178" t="s">
        <v>662</v>
      </c>
      <c r="K2551" s="1178" t="s">
        <v>267</v>
      </c>
      <c r="L2551" s="1178" t="s">
        <v>242</v>
      </c>
      <c r="M2551" s="1369" t="s">
        <v>23297</v>
      </c>
      <c r="N2551" s="1178"/>
      <c r="O2551" s="1178">
        <v>6</v>
      </c>
      <c r="P2551" s="1178">
        <v>0</v>
      </c>
    </row>
    <row r="2552" spans="1:16">
      <c r="A2552" s="1178" t="s">
        <v>21237</v>
      </c>
      <c r="B2552" s="1371" t="str">
        <f>HYPERLINK(IFERROR("#Main_Tariff!A"&amp;MATCH(Raeburn_Main_Tariff[[#This Row],[Product Code]],Main_Tariff!I:I,0),"#Main_Tariff!A"&amp;MATCH("*"&amp;RIGHT(A2552,8)&amp;"*",Main_Tariff!A:A,0)),Raeburn_Main_Tariff[[#This Row],[PRODUCER]])</f>
        <v>JM, AM &amp; A Vincent</v>
      </c>
      <c r="C2552" s="1178" t="s">
        <v>21248</v>
      </c>
      <c r="D2552" s="1178" t="s">
        <v>1129</v>
      </c>
      <c r="E2552" s="1179"/>
      <c r="F2552" s="1282" t="s">
        <v>20220</v>
      </c>
      <c r="G2552" s="1368"/>
      <c r="H2552" s="1178" t="s">
        <v>3907</v>
      </c>
      <c r="I2552" s="1178" t="s">
        <v>7971</v>
      </c>
      <c r="J2552" s="1178" t="s">
        <v>662</v>
      </c>
      <c r="K2552" s="1178" t="s">
        <v>267</v>
      </c>
      <c r="L2552" s="1178" t="s">
        <v>242</v>
      </c>
      <c r="M2552" s="1369" t="s">
        <v>23297</v>
      </c>
      <c r="N2552" s="1178"/>
      <c r="O2552" s="1178">
        <v>6</v>
      </c>
      <c r="P2552" s="1178">
        <v>0</v>
      </c>
    </row>
    <row r="2553" spans="1:16">
      <c r="A2553" s="1178" t="s">
        <v>21237</v>
      </c>
      <c r="B2553" s="1371" t="str">
        <f>HYPERLINK(IFERROR("#Main_Tariff!A"&amp;MATCH(Raeburn_Main_Tariff[[#This Row],[Product Code]],Main_Tariff!I:I,0),"#Main_Tariff!A"&amp;MATCH("*"&amp;RIGHT(A2553,8)&amp;"*",Main_Tariff!A:A,0)),Raeburn_Main_Tariff[[#This Row],[PRODUCER]])</f>
        <v>JM, AM &amp; A Vincent</v>
      </c>
      <c r="C2553" s="1178" t="s">
        <v>21249</v>
      </c>
      <c r="D2553" s="1178" t="s">
        <v>1129</v>
      </c>
      <c r="E2553" s="1179"/>
      <c r="F2553" s="1282" t="s">
        <v>20220</v>
      </c>
      <c r="G2553" s="1368"/>
      <c r="H2553" s="1178" t="s">
        <v>3907</v>
      </c>
      <c r="I2553" s="1178" t="s">
        <v>7973</v>
      </c>
      <c r="J2553" s="1178" t="s">
        <v>662</v>
      </c>
      <c r="K2553" s="1178" t="s">
        <v>267</v>
      </c>
      <c r="L2553" s="1178" t="s">
        <v>242</v>
      </c>
      <c r="M2553" s="1369" t="s">
        <v>23297</v>
      </c>
      <c r="N2553" s="1178"/>
      <c r="O2553" s="1178">
        <v>6</v>
      </c>
      <c r="P2553" s="1178">
        <v>0</v>
      </c>
    </row>
    <row r="2554" spans="1:16">
      <c r="A2554" s="1178" t="s">
        <v>21237</v>
      </c>
      <c r="B2554" s="1371" t="str">
        <f>HYPERLINK(IFERROR("#Main_Tariff!A"&amp;MATCH(Raeburn_Main_Tariff[[#This Row],[Product Code]],Main_Tariff!I:I,0),"#Main_Tariff!A"&amp;MATCH("*"&amp;RIGHT(A2554,8)&amp;"*",Main_Tariff!A:A,0)),Raeburn_Main_Tariff[[#This Row],[PRODUCER]])</f>
        <v>JM, AM &amp; A Vincent</v>
      </c>
      <c r="C2554" s="1178" t="s">
        <v>21250</v>
      </c>
      <c r="D2554" s="1178" t="s">
        <v>1129</v>
      </c>
      <c r="E2554" s="1179"/>
      <c r="F2554" s="1282" t="s">
        <v>20220</v>
      </c>
      <c r="G2554" s="1368"/>
      <c r="H2554" s="1178" t="s">
        <v>3907</v>
      </c>
      <c r="I2554" s="1178" t="s">
        <v>7975</v>
      </c>
      <c r="J2554" s="1178" t="s">
        <v>662</v>
      </c>
      <c r="K2554" s="1178" t="s">
        <v>267</v>
      </c>
      <c r="L2554" s="1178" t="s">
        <v>242</v>
      </c>
      <c r="M2554" s="1369" t="s">
        <v>23297</v>
      </c>
      <c r="N2554" s="1178"/>
      <c r="O2554" s="1178">
        <v>6</v>
      </c>
      <c r="P2554" s="1178">
        <v>0</v>
      </c>
    </row>
    <row r="2555" spans="1:16">
      <c r="A2555" s="1178" t="s">
        <v>21251</v>
      </c>
      <c r="B2555" s="1371" t="str">
        <f>HYPERLINK(IFERROR("#Main_Tariff!A"&amp;MATCH(Raeburn_Main_Tariff[[#This Row],[Product Code]],Main_Tariff!I:I,0),"#Main_Tariff!A"&amp;MATCH("*"&amp;RIGHT(A2555,8)&amp;"*",Main_Tariff!A:A,0)),Raeburn_Main_Tariff[[#This Row],[PRODUCER]])</f>
        <v>Domaine G &amp; X Besson</v>
      </c>
      <c r="C2555" s="1178" t="s">
        <v>21252</v>
      </c>
      <c r="D2555" s="1178" t="s">
        <v>1129</v>
      </c>
      <c r="E2555" s="1179">
        <v>2021</v>
      </c>
      <c r="F2555" s="1282" t="s">
        <v>20220</v>
      </c>
      <c r="G2555" s="1368">
        <v>22.5</v>
      </c>
      <c r="H2555" s="1178" t="s">
        <v>20221</v>
      </c>
      <c r="I2555" s="1178" t="s">
        <v>7991</v>
      </c>
      <c r="J2555" s="1178" t="s">
        <v>662</v>
      </c>
      <c r="K2555" s="1178" t="s">
        <v>267</v>
      </c>
      <c r="L2555" s="1178" t="s">
        <v>268</v>
      </c>
      <c r="M2555" s="1369" t="s">
        <v>23297</v>
      </c>
      <c r="N2555" s="1178"/>
      <c r="O2555" s="1178">
        <v>6</v>
      </c>
      <c r="P2555" s="1178">
        <v>13</v>
      </c>
    </row>
    <row r="2556" spans="1:16">
      <c r="A2556" s="1178" t="s">
        <v>21251</v>
      </c>
      <c r="B2556" s="1371" t="str">
        <f>HYPERLINK(IFERROR("#Main_Tariff!A"&amp;MATCH(Raeburn_Main_Tariff[[#This Row],[Product Code]],Main_Tariff!I:I,0),"#Main_Tariff!A"&amp;MATCH("*"&amp;RIGHT(A2556,8)&amp;"*",Main_Tariff!A:A,0)),Raeburn_Main_Tariff[[#This Row],[PRODUCER]])</f>
        <v>Domaine G &amp; X Besson</v>
      </c>
      <c r="C2556" s="1178" t="s">
        <v>21252</v>
      </c>
      <c r="D2556" s="1178" t="s">
        <v>1129</v>
      </c>
      <c r="E2556" s="1179">
        <v>2020</v>
      </c>
      <c r="F2556" s="1282" t="s">
        <v>20220</v>
      </c>
      <c r="G2556" s="1368">
        <v>22.5</v>
      </c>
      <c r="H2556" s="1178" t="s">
        <v>20221</v>
      </c>
      <c r="I2556" s="1178" t="s">
        <v>7993</v>
      </c>
      <c r="J2556" s="1178" t="s">
        <v>662</v>
      </c>
      <c r="K2556" s="1178" t="s">
        <v>267</v>
      </c>
      <c r="L2556" s="1178" t="s">
        <v>268</v>
      </c>
      <c r="M2556" s="1369" t="s">
        <v>23297</v>
      </c>
      <c r="N2556" s="1178"/>
      <c r="O2556" s="1178">
        <v>6</v>
      </c>
      <c r="P2556" s="1178">
        <v>13</v>
      </c>
    </row>
    <row r="2557" spans="1:16">
      <c r="A2557" s="1178" t="s">
        <v>21251</v>
      </c>
      <c r="B2557" s="1371" t="str">
        <f>HYPERLINK(IFERROR("#Main_Tariff!A"&amp;MATCH(Raeburn_Main_Tariff[[#This Row],[Product Code]],Main_Tariff!I:I,0),"#Main_Tariff!A"&amp;MATCH("*"&amp;RIGHT(A2557,8)&amp;"*",Main_Tariff!A:A,0)),Raeburn_Main_Tariff[[#This Row],[PRODUCER]])</f>
        <v>Domaine G &amp; X Besson</v>
      </c>
      <c r="C2557" s="1178" t="s">
        <v>21253</v>
      </c>
      <c r="D2557" s="1178" t="s">
        <v>897</v>
      </c>
      <c r="E2557" s="1179">
        <v>2022</v>
      </c>
      <c r="F2557" s="1282" t="s">
        <v>20220</v>
      </c>
      <c r="G2557" s="1368" t="s">
        <v>5258</v>
      </c>
      <c r="H2557" s="1178" t="s">
        <v>20221</v>
      </c>
      <c r="I2557" s="1178" t="s">
        <v>7996</v>
      </c>
      <c r="J2557" s="1178" t="s">
        <v>662</v>
      </c>
      <c r="K2557" s="1178" t="s">
        <v>267</v>
      </c>
      <c r="L2557" s="1178" t="s">
        <v>268</v>
      </c>
      <c r="M2557" s="1369"/>
      <c r="N2557" s="1178"/>
      <c r="O2557" s="1178">
        <v>6</v>
      </c>
      <c r="P2557" s="1178">
        <v>13.5</v>
      </c>
    </row>
    <row r="2558" spans="1:16">
      <c r="A2558" s="1178" t="s">
        <v>21251</v>
      </c>
      <c r="B2558" s="1371" t="str">
        <f>HYPERLINK(IFERROR("#Main_Tariff!A"&amp;MATCH(Raeburn_Main_Tariff[[#This Row],[Product Code]],Main_Tariff!I:I,0),"#Main_Tariff!A"&amp;MATCH("*"&amp;RIGHT(A2558,8)&amp;"*",Main_Tariff!A:A,0)),Raeburn_Main_Tariff[[#This Row],[PRODUCER]])</f>
        <v>Domaine G &amp; X Besson</v>
      </c>
      <c r="C2558" s="1178" t="s">
        <v>21253</v>
      </c>
      <c r="D2558" s="1178" t="s">
        <v>897</v>
      </c>
      <c r="E2558" s="1179">
        <v>2021</v>
      </c>
      <c r="F2558" s="1282" t="s">
        <v>20220</v>
      </c>
      <c r="G2558" s="1368">
        <v>21.75</v>
      </c>
      <c r="H2558" s="1178" t="s">
        <v>20221</v>
      </c>
      <c r="I2558" s="1178" t="s">
        <v>7998</v>
      </c>
      <c r="J2558" s="1178" t="s">
        <v>662</v>
      </c>
      <c r="K2558" s="1178" t="s">
        <v>267</v>
      </c>
      <c r="L2558" s="1178" t="s">
        <v>268</v>
      </c>
      <c r="M2558" s="1369"/>
      <c r="N2558" s="1178"/>
      <c r="O2558" s="1178">
        <v>6</v>
      </c>
      <c r="P2558" s="1178">
        <v>13</v>
      </c>
    </row>
    <row r="2559" spans="1:16">
      <c r="A2559" s="1178" t="s">
        <v>21251</v>
      </c>
      <c r="B2559" s="1371" t="str">
        <f>HYPERLINK(IFERROR("#Main_Tariff!A"&amp;MATCH(Raeburn_Main_Tariff[[#This Row],[Product Code]],Main_Tariff!I:I,0),"#Main_Tariff!A"&amp;MATCH("*"&amp;RIGHT(A2559,8)&amp;"*",Main_Tariff!A:A,0)),Raeburn_Main_Tariff[[#This Row],[PRODUCER]])</f>
        <v>Domaine G &amp; X Besson</v>
      </c>
      <c r="C2559" s="1178" t="s">
        <v>21253</v>
      </c>
      <c r="D2559" s="1178" t="s">
        <v>897</v>
      </c>
      <c r="E2559" s="1179">
        <v>2018</v>
      </c>
      <c r="F2559" s="1282" t="s">
        <v>20220</v>
      </c>
      <c r="G2559" s="1368">
        <v>19.5</v>
      </c>
      <c r="H2559" s="1178" t="s">
        <v>20221</v>
      </c>
      <c r="I2559" s="1178" t="s">
        <v>7999</v>
      </c>
      <c r="J2559" s="1178" t="s">
        <v>662</v>
      </c>
      <c r="K2559" s="1178" t="s">
        <v>267</v>
      </c>
      <c r="L2559" s="1178" t="s">
        <v>268</v>
      </c>
      <c r="M2559" s="1369"/>
      <c r="N2559" s="1178"/>
      <c r="O2559" s="1178">
        <v>6</v>
      </c>
      <c r="P2559" s="1178">
        <v>14</v>
      </c>
    </row>
    <row r="2560" spans="1:16">
      <c r="A2560" s="1178" t="s">
        <v>21251</v>
      </c>
      <c r="B2560" s="1371" t="str">
        <f>HYPERLINK(IFERROR("#Main_Tariff!A"&amp;MATCH(Raeburn_Main_Tariff[[#This Row],[Product Code]],Main_Tariff!I:I,0),"#Main_Tariff!A"&amp;MATCH("*"&amp;RIGHT(A2560,8)&amp;"*",Main_Tariff!A:A,0)),Raeburn_Main_Tariff[[#This Row],[PRODUCER]])</f>
        <v>Domaine G &amp; X Besson</v>
      </c>
      <c r="C2560" s="1178" t="s">
        <v>21253</v>
      </c>
      <c r="D2560" s="1178" t="s">
        <v>897</v>
      </c>
      <c r="E2560" s="1179">
        <v>2017</v>
      </c>
      <c r="F2560" s="1282" t="s">
        <v>20220</v>
      </c>
      <c r="G2560" s="1368">
        <v>19.5</v>
      </c>
      <c r="H2560" s="1178" t="s">
        <v>20221</v>
      </c>
      <c r="I2560" s="1178" t="s">
        <v>8001</v>
      </c>
      <c r="J2560" s="1178" t="s">
        <v>662</v>
      </c>
      <c r="K2560" s="1178" t="s">
        <v>267</v>
      </c>
      <c r="L2560" s="1178" t="s">
        <v>268</v>
      </c>
      <c r="M2560" s="1369"/>
      <c r="N2560" s="1178"/>
      <c r="O2560" s="1178">
        <v>6</v>
      </c>
      <c r="P2560" s="1178">
        <v>13</v>
      </c>
    </row>
    <row r="2561" spans="1:16">
      <c r="A2561" s="1178" t="s">
        <v>21251</v>
      </c>
      <c r="B2561" s="1371" t="str">
        <f>HYPERLINK(IFERROR("#Main_Tariff!A"&amp;MATCH(Raeburn_Main_Tariff[[#This Row],[Product Code]],Main_Tariff!I:I,0),"#Main_Tariff!A"&amp;MATCH("*"&amp;RIGHT(A2561,8)&amp;"*",Main_Tariff!A:A,0)),Raeburn_Main_Tariff[[#This Row],[PRODUCER]])</f>
        <v>Domaine G &amp; X Besson</v>
      </c>
      <c r="C2561" s="1178" t="s">
        <v>21253</v>
      </c>
      <c r="D2561" s="1178" t="s">
        <v>897</v>
      </c>
      <c r="E2561" s="1179">
        <v>2016</v>
      </c>
      <c r="F2561" s="1282" t="s">
        <v>20220</v>
      </c>
      <c r="G2561" s="1368">
        <v>19.5</v>
      </c>
      <c r="H2561" s="1178" t="s">
        <v>20221</v>
      </c>
      <c r="I2561" s="1178" t="s">
        <v>8003</v>
      </c>
      <c r="J2561" s="1178" t="s">
        <v>662</v>
      </c>
      <c r="K2561" s="1178" t="s">
        <v>267</v>
      </c>
      <c r="L2561" s="1178" t="s">
        <v>268</v>
      </c>
      <c r="M2561" s="1369"/>
      <c r="N2561" s="1178"/>
      <c r="O2561" s="1178">
        <v>12</v>
      </c>
      <c r="P2561" s="1178">
        <v>13</v>
      </c>
    </row>
    <row r="2562" spans="1:16">
      <c r="A2562" s="1178" t="s">
        <v>21251</v>
      </c>
      <c r="B2562" s="1371" t="str">
        <f>HYPERLINK(IFERROR("#Main_Tariff!A"&amp;MATCH(Raeburn_Main_Tariff[[#This Row],[Product Code]],Main_Tariff!I:I,0),"#Main_Tariff!A"&amp;MATCH("*"&amp;RIGHT(A2562,8)&amp;"*",Main_Tariff!A:A,0)),Raeburn_Main_Tariff[[#This Row],[PRODUCER]])</f>
        <v>Domaine G &amp; X Besson</v>
      </c>
      <c r="C2562" s="1178" t="s">
        <v>21253</v>
      </c>
      <c r="D2562" s="1178" t="s">
        <v>897</v>
      </c>
      <c r="E2562" s="1179">
        <v>2015</v>
      </c>
      <c r="F2562" s="1282" t="s">
        <v>20220</v>
      </c>
      <c r="G2562" s="1368">
        <v>19.5</v>
      </c>
      <c r="H2562" s="1178" t="s">
        <v>20221</v>
      </c>
      <c r="I2562" s="1178" t="s">
        <v>8005</v>
      </c>
      <c r="J2562" s="1178" t="s">
        <v>662</v>
      </c>
      <c r="K2562" s="1178" t="s">
        <v>267</v>
      </c>
      <c r="L2562" s="1178" t="s">
        <v>268</v>
      </c>
      <c r="M2562" s="1369"/>
      <c r="N2562" s="1178"/>
      <c r="O2562" s="1178">
        <v>6</v>
      </c>
      <c r="P2562" s="1178">
        <v>13</v>
      </c>
    </row>
    <row r="2563" spans="1:16">
      <c r="A2563" s="1178" t="s">
        <v>21251</v>
      </c>
      <c r="B2563" s="1371" t="str">
        <f>HYPERLINK(IFERROR("#Main_Tariff!A"&amp;MATCH(Raeburn_Main_Tariff[[#This Row],[Product Code]],Main_Tariff!I:I,0),"#Main_Tariff!A"&amp;MATCH("*"&amp;RIGHT(A2563,8)&amp;"*",Main_Tariff!A:A,0)),Raeburn_Main_Tariff[[#This Row],[PRODUCER]])</f>
        <v>Domaine G &amp; X Besson</v>
      </c>
      <c r="C2563" s="1178" t="s">
        <v>21254</v>
      </c>
      <c r="D2563" s="1178" t="s">
        <v>897</v>
      </c>
      <c r="E2563" s="1179">
        <v>2019</v>
      </c>
      <c r="F2563" s="1282" t="s">
        <v>20220</v>
      </c>
      <c r="G2563" s="1368">
        <v>23</v>
      </c>
      <c r="H2563" s="1178" t="s">
        <v>20221</v>
      </c>
      <c r="I2563" s="1178" t="s">
        <v>8009</v>
      </c>
      <c r="J2563" s="1178" t="s">
        <v>662</v>
      </c>
      <c r="K2563" s="1178" t="s">
        <v>267</v>
      </c>
      <c r="L2563" s="1178" t="s">
        <v>268</v>
      </c>
      <c r="M2563" s="1369" t="s">
        <v>23297</v>
      </c>
      <c r="N2563" s="1178"/>
      <c r="O2563" s="1178">
        <v>6</v>
      </c>
      <c r="P2563" s="1178">
        <v>15</v>
      </c>
    </row>
    <row r="2564" spans="1:16">
      <c r="A2564" s="1178" t="s">
        <v>21251</v>
      </c>
      <c r="B2564" s="1371" t="str">
        <f>HYPERLINK(IFERROR("#Main_Tariff!A"&amp;MATCH(Raeburn_Main_Tariff[[#This Row],[Product Code]],Main_Tariff!I:I,0),"#Main_Tariff!A"&amp;MATCH("*"&amp;RIGHT(A2564,8)&amp;"*",Main_Tariff!A:A,0)),Raeburn_Main_Tariff[[#This Row],[PRODUCER]])</f>
        <v>Domaine G &amp; X Besson</v>
      </c>
      <c r="C2564" s="1178" t="s">
        <v>21254</v>
      </c>
      <c r="D2564" s="1178" t="s">
        <v>897</v>
      </c>
      <c r="E2564" s="1179">
        <v>2016</v>
      </c>
      <c r="F2564" s="1282" t="s">
        <v>20220</v>
      </c>
      <c r="G2564" s="1368">
        <v>21</v>
      </c>
      <c r="H2564" s="1178" t="s">
        <v>20221</v>
      </c>
      <c r="I2564" s="1178" t="s">
        <v>8011</v>
      </c>
      <c r="J2564" s="1178" t="s">
        <v>662</v>
      </c>
      <c r="K2564" s="1178" t="s">
        <v>267</v>
      </c>
      <c r="L2564" s="1178" t="s">
        <v>268</v>
      </c>
      <c r="M2564" s="1369" t="s">
        <v>23297</v>
      </c>
      <c r="N2564" s="1178"/>
      <c r="O2564" s="1178">
        <v>6</v>
      </c>
      <c r="P2564" s="1178">
        <v>13</v>
      </c>
    </row>
    <row r="2565" spans="1:16">
      <c r="A2565" s="1178" t="s">
        <v>21251</v>
      </c>
      <c r="B2565" s="1371" t="str">
        <f>HYPERLINK(IFERROR("#Main_Tariff!A"&amp;MATCH(Raeburn_Main_Tariff[[#This Row],[Product Code]],Main_Tariff!I:I,0),"#Main_Tariff!A"&amp;MATCH("*"&amp;RIGHT(A2565,8)&amp;"*",Main_Tariff!A:A,0)),Raeburn_Main_Tariff[[#This Row],[PRODUCER]])</f>
        <v>Domaine G &amp; X Besson</v>
      </c>
      <c r="C2565" s="1178" t="s">
        <v>21254</v>
      </c>
      <c r="D2565" s="1178" t="s">
        <v>897</v>
      </c>
      <c r="E2565" s="1179">
        <v>2015</v>
      </c>
      <c r="F2565" s="1282" t="s">
        <v>20220</v>
      </c>
      <c r="G2565" s="1368">
        <v>21</v>
      </c>
      <c r="H2565" s="1178" t="s">
        <v>20221</v>
      </c>
      <c r="I2565" s="1178" t="s">
        <v>8013</v>
      </c>
      <c r="J2565" s="1178" t="s">
        <v>662</v>
      </c>
      <c r="K2565" s="1178" t="s">
        <v>267</v>
      </c>
      <c r="L2565" s="1178" t="s">
        <v>268</v>
      </c>
      <c r="M2565" s="1369" t="s">
        <v>23297</v>
      </c>
      <c r="N2565" s="1178"/>
      <c r="O2565" s="1178">
        <v>12</v>
      </c>
      <c r="P2565" s="1178">
        <v>13</v>
      </c>
    </row>
    <row r="2566" spans="1:16">
      <c r="A2566" s="1178" t="s">
        <v>21251</v>
      </c>
      <c r="B2566" s="1371" t="str">
        <f>HYPERLINK(IFERROR("#Main_Tariff!A"&amp;MATCH(Raeburn_Main_Tariff[[#This Row],[Product Code]],Main_Tariff!I:I,0),"#Main_Tariff!A"&amp;MATCH("*"&amp;RIGHT(A2566,8)&amp;"*",Main_Tariff!A:A,0)),Raeburn_Main_Tariff[[#This Row],[PRODUCER]])</f>
        <v>Domaine G &amp; X Besson</v>
      </c>
      <c r="C2566" s="1178" t="s">
        <v>21254</v>
      </c>
      <c r="D2566" s="1178" t="s">
        <v>897</v>
      </c>
      <c r="E2566" s="1179">
        <v>2014</v>
      </c>
      <c r="F2566" s="1282" t="s">
        <v>20220</v>
      </c>
      <c r="G2566" s="1368">
        <v>21</v>
      </c>
      <c r="H2566" s="1178" t="s">
        <v>20277</v>
      </c>
      <c r="I2566" s="1178" t="s">
        <v>8015</v>
      </c>
      <c r="J2566" s="1178" t="s">
        <v>662</v>
      </c>
      <c r="K2566" s="1178" t="s">
        <v>267</v>
      </c>
      <c r="L2566" s="1178" t="s">
        <v>268</v>
      </c>
      <c r="M2566" s="1369" t="s">
        <v>23297</v>
      </c>
      <c r="N2566" s="1178"/>
      <c r="O2566" s="1178">
        <v>12</v>
      </c>
      <c r="P2566" s="1178">
        <v>13</v>
      </c>
    </row>
    <row r="2567" spans="1:16">
      <c r="A2567" s="1178" t="s">
        <v>21251</v>
      </c>
      <c r="B2567" s="1371" t="str">
        <f>HYPERLINK(IFERROR("#Main_Tariff!A"&amp;MATCH(Raeburn_Main_Tariff[[#This Row],[Product Code]],Main_Tariff!I:I,0),"#Main_Tariff!A"&amp;MATCH("*"&amp;RIGHT(A2567,8)&amp;"*",Main_Tariff!A:A,0)),Raeburn_Main_Tariff[[#This Row],[PRODUCER]])</f>
        <v>Domaine G &amp; X Besson</v>
      </c>
      <c r="C2567" s="1178" t="s">
        <v>21255</v>
      </c>
      <c r="D2567" s="1178" t="s">
        <v>897</v>
      </c>
      <c r="E2567" s="1179">
        <v>2022</v>
      </c>
      <c r="F2567" s="1282" t="s">
        <v>20220</v>
      </c>
      <c r="G2567" s="1368" t="s">
        <v>5258</v>
      </c>
      <c r="H2567" s="1178" t="s">
        <v>20221</v>
      </c>
      <c r="I2567" s="1178" t="s">
        <v>8016</v>
      </c>
      <c r="J2567" s="1178" t="s">
        <v>662</v>
      </c>
      <c r="K2567" s="1178" t="s">
        <v>267</v>
      </c>
      <c r="L2567" s="1178" t="s">
        <v>268</v>
      </c>
      <c r="M2567" s="1369" t="s">
        <v>23297</v>
      </c>
      <c r="N2567" s="1178"/>
      <c r="O2567" s="1178">
        <v>6</v>
      </c>
      <c r="P2567" s="1178">
        <v>13</v>
      </c>
    </row>
    <row r="2568" spans="1:16">
      <c r="A2568" s="1178" t="s">
        <v>21251</v>
      </c>
      <c r="B2568" s="1371" t="str">
        <f>HYPERLINK(IFERROR("#Main_Tariff!A"&amp;MATCH(Raeburn_Main_Tariff[[#This Row],[Product Code]],Main_Tariff!I:I,0),"#Main_Tariff!A"&amp;MATCH("*"&amp;RIGHT(A2568,8)&amp;"*",Main_Tariff!A:A,0)),Raeburn_Main_Tariff[[#This Row],[PRODUCER]])</f>
        <v>Domaine G &amp; X Besson</v>
      </c>
      <c r="C2568" s="1178" t="s">
        <v>21255</v>
      </c>
      <c r="D2568" s="1178" t="s">
        <v>897</v>
      </c>
      <c r="E2568" s="1179">
        <v>2021</v>
      </c>
      <c r="F2568" s="1282" t="s">
        <v>20220</v>
      </c>
      <c r="G2568" s="1368">
        <v>24.5</v>
      </c>
      <c r="H2568" s="1178" t="s">
        <v>20221</v>
      </c>
      <c r="I2568" s="1178" t="s">
        <v>8018</v>
      </c>
      <c r="J2568" s="1178" t="s">
        <v>662</v>
      </c>
      <c r="K2568" s="1178" t="s">
        <v>267</v>
      </c>
      <c r="L2568" s="1178" t="s">
        <v>268</v>
      </c>
      <c r="M2568" s="1369" t="s">
        <v>23297</v>
      </c>
      <c r="N2568" s="1178"/>
      <c r="O2568" s="1178">
        <v>6</v>
      </c>
      <c r="P2568" s="1178">
        <v>13</v>
      </c>
    </row>
    <row r="2569" spans="1:16">
      <c r="A2569" s="1178" t="s">
        <v>21251</v>
      </c>
      <c r="B2569" s="1371" t="str">
        <f>HYPERLINK(IFERROR("#Main_Tariff!A"&amp;MATCH(Raeburn_Main_Tariff[[#This Row],[Product Code]],Main_Tariff!I:I,0),"#Main_Tariff!A"&amp;MATCH("*"&amp;RIGHT(A2569,8)&amp;"*",Main_Tariff!A:A,0)),Raeburn_Main_Tariff[[#This Row],[PRODUCER]])</f>
        <v>Domaine G &amp; X Besson</v>
      </c>
      <c r="C2569" s="1178" t="s">
        <v>21255</v>
      </c>
      <c r="D2569" s="1178" t="s">
        <v>897</v>
      </c>
      <c r="E2569" s="1179">
        <v>2020</v>
      </c>
      <c r="F2569" s="1282" t="s">
        <v>20220</v>
      </c>
      <c r="G2569" s="1368">
        <v>23.5</v>
      </c>
      <c r="H2569" s="1178" t="s">
        <v>20221</v>
      </c>
      <c r="I2569" s="1178" t="s">
        <v>8020</v>
      </c>
      <c r="J2569" s="1178" t="s">
        <v>662</v>
      </c>
      <c r="K2569" s="1178" t="s">
        <v>267</v>
      </c>
      <c r="L2569" s="1178" t="s">
        <v>268</v>
      </c>
      <c r="M2569" s="1369" t="s">
        <v>23297</v>
      </c>
      <c r="N2569" s="1178"/>
      <c r="O2569" s="1178">
        <v>6</v>
      </c>
      <c r="P2569" s="1178">
        <v>15</v>
      </c>
    </row>
    <row r="2570" spans="1:16">
      <c r="A2570" s="1178" t="s">
        <v>21251</v>
      </c>
      <c r="B2570" s="1371" t="str">
        <f>HYPERLINK(IFERROR("#Main_Tariff!A"&amp;MATCH(Raeburn_Main_Tariff[[#This Row],[Product Code]],Main_Tariff!I:I,0),"#Main_Tariff!A"&amp;MATCH("*"&amp;RIGHT(A2570,8)&amp;"*",Main_Tariff!A:A,0)),Raeburn_Main_Tariff[[#This Row],[PRODUCER]])</f>
        <v>Domaine G &amp; X Besson</v>
      </c>
      <c r="C2570" s="1178" t="s">
        <v>21255</v>
      </c>
      <c r="D2570" s="1178" t="s">
        <v>897</v>
      </c>
      <c r="E2570" s="1179">
        <v>2019</v>
      </c>
      <c r="F2570" s="1282" t="s">
        <v>20220</v>
      </c>
      <c r="G2570" s="1368">
        <v>23.5</v>
      </c>
      <c r="H2570" s="1178" t="s">
        <v>20221</v>
      </c>
      <c r="I2570" s="1178" t="s">
        <v>8022</v>
      </c>
      <c r="J2570" s="1178" t="s">
        <v>662</v>
      </c>
      <c r="K2570" s="1178" t="s">
        <v>267</v>
      </c>
      <c r="L2570" s="1178" t="s">
        <v>268</v>
      </c>
      <c r="M2570" s="1369" t="s">
        <v>23297</v>
      </c>
      <c r="N2570" s="1178"/>
      <c r="O2570" s="1178">
        <v>6</v>
      </c>
      <c r="P2570" s="1178">
        <v>15</v>
      </c>
    </row>
    <row r="2571" spans="1:16">
      <c r="A2571" s="1178" t="s">
        <v>21251</v>
      </c>
      <c r="B2571" s="1371" t="str">
        <f>HYPERLINK(IFERROR("#Main_Tariff!A"&amp;MATCH(Raeburn_Main_Tariff[[#This Row],[Product Code]],Main_Tariff!I:I,0),"#Main_Tariff!A"&amp;MATCH("*"&amp;RIGHT(A2571,8)&amp;"*",Main_Tariff!A:A,0)),Raeburn_Main_Tariff[[#This Row],[PRODUCER]])</f>
        <v>Domaine G &amp; X Besson</v>
      </c>
      <c r="C2571" s="1178" t="s">
        <v>21255</v>
      </c>
      <c r="D2571" s="1178" t="s">
        <v>897</v>
      </c>
      <c r="E2571" s="1179">
        <v>2018</v>
      </c>
      <c r="F2571" s="1282" t="s">
        <v>20220</v>
      </c>
      <c r="G2571" s="1368">
        <v>22.5</v>
      </c>
      <c r="H2571" s="1178" t="s">
        <v>20221</v>
      </c>
      <c r="I2571" s="1178" t="s">
        <v>8024</v>
      </c>
      <c r="J2571" s="1178" t="s">
        <v>662</v>
      </c>
      <c r="K2571" s="1178" t="s">
        <v>267</v>
      </c>
      <c r="L2571" s="1178" t="s">
        <v>268</v>
      </c>
      <c r="M2571" s="1369" t="s">
        <v>23297</v>
      </c>
      <c r="N2571" s="1178"/>
      <c r="O2571" s="1178">
        <v>6</v>
      </c>
      <c r="P2571" s="1178">
        <v>14</v>
      </c>
    </row>
    <row r="2572" spans="1:16">
      <c r="A2572" s="1178" t="s">
        <v>21251</v>
      </c>
      <c r="B2572" s="1371" t="str">
        <f>HYPERLINK(IFERROR("#Main_Tariff!A"&amp;MATCH(Raeburn_Main_Tariff[[#This Row],[Product Code]],Main_Tariff!I:I,0),"#Main_Tariff!A"&amp;MATCH("*"&amp;RIGHT(A2572,8)&amp;"*",Main_Tariff!A:A,0)),Raeburn_Main_Tariff[[#This Row],[PRODUCER]])</f>
        <v>Domaine G &amp; X Besson</v>
      </c>
      <c r="C2572" s="1178" t="s">
        <v>21255</v>
      </c>
      <c r="D2572" s="1178" t="s">
        <v>897</v>
      </c>
      <c r="E2572" s="1179">
        <v>2017</v>
      </c>
      <c r="F2572" s="1282" t="s">
        <v>20220</v>
      </c>
      <c r="G2572" s="1368">
        <v>22.5</v>
      </c>
      <c r="H2572" s="1178" t="s">
        <v>20221</v>
      </c>
      <c r="I2572" s="1178" t="s">
        <v>8026</v>
      </c>
      <c r="J2572" s="1178" t="s">
        <v>662</v>
      </c>
      <c r="K2572" s="1178" t="s">
        <v>267</v>
      </c>
      <c r="L2572" s="1178" t="s">
        <v>268</v>
      </c>
      <c r="M2572" s="1369" t="s">
        <v>23297</v>
      </c>
      <c r="N2572" s="1178"/>
      <c r="O2572" s="1178">
        <v>6</v>
      </c>
      <c r="P2572" s="1178">
        <v>13</v>
      </c>
    </row>
    <row r="2573" spans="1:16">
      <c r="A2573" s="1178" t="s">
        <v>21251</v>
      </c>
      <c r="B2573" s="1371" t="str">
        <f>HYPERLINK(IFERROR("#Main_Tariff!A"&amp;MATCH(Raeburn_Main_Tariff[[#This Row],[Product Code]],Main_Tariff!I:I,0),"#Main_Tariff!A"&amp;MATCH("*"&amp;RIGHT(A2573,8)&amp;"*",Main_Tariff!A:A,0)),Raeburn_Main_Tariff[[#This Row],[PRODUCER]])</f>
        <v>Domaine G &amp; X Besson</v>
      </c>
      <c r="C2573" s="1178" t="s">
        <v>21255</v>
      </c>
      <c r="D2573" s="1178" t="s">
        <v>897</v>
      </c>
      <c r="E2573" s="1179">
        <v>2016</v>
      </c>
      <c r="F2573" s="1282" t="s">
        <v>20220</v>
      </c>
      <c r="G2573" s="1368">
        <v>22.5</v>
      </c>
      <c r="H2573" s="1178" t="s">
        <v>20224</v>
      </c>
      <c r="I2573" s="1178" t="s">
        <v>8028</v>
      </c>
      <c r="J2573" s="1178" t="s">
        <v>662</v>
      </c>
      <c r="K2573" s="1178" t="s">
        <v>267</v>
      </c>
      <c r="L2573" s="1178" t="s">
        <v>268</v>
      </c>
      <c r="M2573" s="1369" t="s">
        <v>23297</v>
      </c>
      <c r="N2573" s="1178"/>
      <c r="O2573" s="1178">
        <v>6</v>
      </c>
      <c r="P2573" s="1178">
        <v>13</v>
      </c>
    </row>
    <row r="2574" spans="1:16">
      <c r="A2574" s="1178" t="s">
        <v>21251</v>
      </c>
      <c r="B2574" s="1371" t="str">
        <f>HYPERLINK(IFERROR("#Main_Tariff!A"&amp;MATCH(Raeburn_Main_Tariff[[#This Row],[Product Code]],Main_Tariff!I:I,0),"#Main_Tariff!A"&amp;MATCH("*"&amp;RIGHT(A2574,8)&amp;"*",Main_Tariff!A:A,0)),Raeburn_Main_Tariff[[#This Row],[PRODUCER]])</f>
        <v>Domaine G &amp; X Besson</v>
      </c>
      <c r="C2574" s="1178" t="s">
        <v>21255</v>
      </c>
      <c r="D2574" s="1178" t="s">
        <v>897</v>
      </c>
      <c r="E2574" s="1179">
        <v>2015</v>
      </c>
      <c r="F2574" s="1282" t="s">
        <v>20220</v>
      </c>
      <c r="G2574" s="1368">
        <v>22.5</v>
      </c>
      <c r="H2574" s="1178" t="s">
        <v>20465</v>
      </c>
      <c r="I2574" s="1178" t="s">
        <v>8030</v>
      </c>
      <c r="J2574" s="1178" t="s">
        <v>662</v>
      </c>
      <c r="K2574" s="1178" t="s">
        <v>267</v>
      </c>
      <c r="L2574" s="1178" t="s">
        <v>268</v>
      </c>
      <c r="M2574" s="1369" t="s">
        <v>23297</v>
      </c>
      <c r="N2574" s="1178"/>
      <c r="O2574" s="1178">
        <v>12</v>
      </c>
      <c r="P2574" s="1178">
        <v>13</v>
      </c>
    </row>
    <row r="2575" spans="1:16">
      <c r="A2575" s="1178" t="s">
        <v>21251</v>
      </c>
      <c r="B2575" s="1371" t="str">
        <f>HYPERLINK(IFERROR("#Main_Tariff!A"&amp;MATCH(Raeburn_Main_Tariff[[#This Row],[Product Code]],Main_Tariff!I:I,0),"#Main_Tariff!A"&amp;MATCH("*"&amp;RIGHT(A2575,8)&amp;"*",Main_Tariff!A:A,0)),Raeburn_Main_Tariff[[#This Row],[PRODUCER]])</f>
        <v>Domaine G &amp; X Besson</v>
      </c>
      <c r="C2575" s="1178" t="s">
        <v>21255</v>
      </c>
      <c r="D2575" s="1178" t="s">
        <v>897</v>
      </c>
      <c r="E2575" s="1179">
        <v>2014</v>
      </c>
      <c r="F2575" s="1282" t="s">
        <v>20220</v>
      </c>
      <c r="G2575" s="1368">
        <v>22.5</v>
      </c>
      <c r="H2575" s="1178" t="s">
        <v>20221</v>
      </c>
      <c r="I2575" s="1178" t="s">
        <v>8032</v>
      </c>
      <c r="J2575" s="1178" t="s">
        <v>662</v>
      </c>
      <c r="K2575" s="1178" t="s">
        <v>267</v>
      </c>
      <c r="L2575" s="1178" t="s">
        <v>268</v>
      </c>
      <c r="M2575" s="1369" t="s">
        <v>23297</v>
      </c>
      <c r="N2575" s="1178"/>
      <c r="O2575" s="1178">
        <v>12</v>
      </c>
      <c r="P2575" s="1178">
        <v>13</v>
      </c>
    </row>
    <row r="2576" spans="1:16">
      <c r="A2576" s="1178" t="s">
        <v>21251</v>
      </c>
      <c r="B2576" s="1371" t="str">
        <f>HYPERLINK(IFERROR("#Main_Tariff!A"&amp;MATCH(Raeburn_Main_Tariff[[#This Row],[Product Code]],Main_Tariff!I:I,0),"#Main_Tariff!A"&amp;MATCH("*"&amp;RIGHT(A2576,8)&amp;"*",Main_Tariff!A:A,0)),Raeburn_Main_Tariff[[#This Row],[PRODUCER]])</f>
        <v>Domaine G &amp; X Besson</v>
      </c>
      <c r="C2576" s="1178" t="s">
        <v>21255</v>
      </c>
      <c r="D2576" s="1178" t="s">
        <v>897</v>
      </c>
      <c r="E2576" s="1179">
        <v>2013</v>
      </c>
      <c r="F2576" s="1282" t="s">
        <v>20220</v>
      </c>
      <c r="G2576" s="1368">
        <v>22.5</v>
      </c>
      <c r="H2576" s="1178" t="s">
        <v>20465</v>
      </c>
      <c r="I2576" s="1178" t="s">
        <v>8034</v>
      </c>
      <c r="J2576" s="1178" t="s">
        <v>662</v>
      </c>
      <c r="K2576" s="1178" t="s">
        <v>267</v>
      </c>
      <c r="L2576" s="1178" t="s">
        <v>268</v>
      </c>
      <c r="M2576" s="1369" t="s">
        <v>23297</v>
      </c>
      <c r="N2576" s="1178"/>
      <c r="O2576" s="1178">
        <v>12</v>
      </c>
      <c r="P2576" s="1178">
        <v>13</v>
      </c>
    </row>
    <row r="2577" spans="1:16">
      <c r="A2577" s="1178" t="s">
        <v>21251</v>
      </c>
      <c r="B2577" s="1371" t="str">
        <f>HYPERLINK(IFERROR("#Main_Tariff!A"&amp;MATCH(Raeburn_Main_Tariff[[#This Row],[Product Code]],Main_Tariff!I:I,0),"#Main_Tariff!A"&amp;MATCH("*"&amp;RIGHT(A2577,8)&amp;"*",Main_Tariff!A:A,0)),Raeburn_Main_Tariff[[#This Row],[PRODUCER]])</f>
        <v>Domaine G &amp; X Besson</v>
      </c>
      <c r="C2577" s="1178" t="s">
        <v>21256</v>
      </c>
      <c r="D2577" s="1178" t="s">
        <v>897</v>
      </c>
      <c r="E2577" s="1179">
        <v>2022</v>
      </c>
      <c r="F2577" s="1282" t="s">
        <v>20220</v>
      </c>
      <c r="G2577" s="1368" t="s">
        <v>5258</v>
      </c>
      <c r="H2577" s="1178" t="s">
        <v>20221</v>
      </c>
      <c r="I2577" s="1178" t="s">
        <v>8038</v>
      </c>
      <c r="J2577" s="1178" t="s">
        <v>662</v>
      </c>
      <c r="K2577" s="1178" t="s">
        <v>267</v>
      </c>
      <c r="L2577" s="1178" t="s">
        <v>268</v>
      </c>
      <c r="M2577" s="1369" t="s">
        <v>23297</v>
      </c>
      <c r="N2577" s="1178"/>
      <c r="O2577" s="1178">
        <v>6</v>
      </c>
      <c r="P2577" s="1178">
        <v>13</v>
      </c>
    </row>
    <row r="2578" spans="1:16">
      <c r="A2578" s="1178" t="s">
        <v>21251</v>
      </c>
      <c r="B2578" s="1371" t="str">
        <f>HYPERLINK(IFERROR("#Main_Tariff!A"&amp;MATCH(Raeburn_Main_Tariff[[#This Row],[Product Code]],Main_Tariff!I:I,0),"#Main_Tariff!A"&amp;MATCH("*"&amp;RIGHT(A2578,8)&amp;"*",Main_Tariff!A:A,0)),Raeburn_Main_Tariff[[#This Row],[PRODUCER]])</f>
        <v>Domaine G &amp; X Besson</v>
      </c>
      <c r="C2578" s="1178" t="s">
        <v>21256</v>
      </c>
      <c r="D2578" s="1178" t="s">
        <v>897</v>
      </c>
      <c r="E2578" s="1179">
        <v>2020</v>
      </c>
      <c r="F2578" s="1282" t="s">
        <v>20220</v>
      </c>
      <c r="G2578" s="1368">
        <v>31.75</v>
      </c>
      <c r="H2578" s="1178" t="s">
        <v>20221</v>
      </c>
      <c r="I2578" s="1178" t="s">
        <v>8040</v>
      </c>
      <c r="J2578" s="1178" t="s">
        <v>662</v>
      </c>
      <c r="K2578" s="1178" t="s">
        <v>267</v>
      </c>
      <c r="L2578" s="1178" t="s">
        <v>268</v>
      </c>
      <c r="M2578" s="1369" t="s">
        <v>23297</v>
      </c>
      <c r="N2578" s="1178"/>
      <c r="O2578" s="1178">
        <v>6</v>
      </c>
      <c r="P2578" s="1178">
        <v>14</v>
      </c>
    </row>
    <row r="2579" spans="1:16">
      <c r="A2579" s="1178" t="s">
        <v>21251</v>
      </c>
      <c r="B2579" s="1371" t="str">
        <f>HYPERLINK(IFERROR("#Main_Tariff!A"&amp;MATCH(Raeburn_Main_Tariff[[#This Row],[Product Code]],Main_Tariff!I:I,0),"#Main_Tariff!A"&amp;MATCH("*"&amp;RIGHT(A2579,8)&amp;"*",Main_Tariff!A:A,0)),Raeburn_Main_Tariff[[#This Row],[PRODUCER]])</f>
        <v>Domaine G &amp; X Besson</v>
      </c>
      <c r="C2579" s="1178" t="s">
        <v>21256</v>
      </c>
      <c r="D2579" s="1178" t="s">
        <v>897</v>
      </c>
      <c r="E2579" s="1179">
        <v>2019</v>
      </c>
      <c r="F2579" s="1282" t="s">
        <v>20220</v>
      </c>
      <c r="G2579" s="1368">
        <v>31.75</v>
      </c>
      <c r="H2579" s="1178" t="s">
        <v>20221</v>
      </c>
      <c r="I2579" s="1178" t="s">
        <v>8041</v>
      </c>
      <c r="J2579" s="1178" t="s">
        <v>662</v>
      </c>
      <c r="K2579" s="1178" t="s">
        <v>267</v>
      </c>
      <c r="L2579" s="1178" t="s">
        <v>268</v>
      </c>
      <c r="M2579" s="1369" t="s">
        <v>23297</v>
      </c>
      <c r="N2579" s="1178"/>
      <c r="O2579" s="1178">
        <v>6</v>
      </c>
      <c r="P2579" s="1178">
        <v>15</v>
      </c>
    </row>
    <row r="2580" spans="1:16">
      <c r="A2580" s="1178" t="s">
        <v>21251</v>
      </c>
      <c r="B2580" s="1371" t="str">
        <f>HYPERLINK(IFERROR("#Main_Tariff!A"&amp;MATCH(Raeburn_Main_Tariff[[#This Row],[Product Code]],Main_Tariff!I:I,0),"#Main_Tariff!A"&amp;MATCH("*"&amp;RIGHT(A2580,8)&amp;"*",Main_Tariff!A:A,0)),Raeburn_Main_Tariff[[#This Row],[PRODUCER]])</f>
        <v>Domaine G &amp; X Besson</v>
      </c>
      <c r="C2580" s="1178" t="s">
        <v>21256</v>
      </c>
      <c r="D2580" s="1178" t="s">
        <v>897</v>
      </c>
      <c r="E2580" s="1179">
        <v>2018</v>
      </c>
      <c r="F2580" s="1282" t="s">
        <v>20220</v>
      </c>
      <c r="G2580" s="1368">
        <v>29.5</v>
      </c>
      <c r="H2580" s="1178" t="s">
        <v>20221</v>
      </c>
      <c r="I2580" s="1178" t="s">
        <v>8042</v>
      </c>
      <c r="J2580" s="1178" t="s">
        <v>662</v>
      </c>
      <c r="K2580" s="1178" t="s">
        <v>267</v>
      </c>
      <c r="L2580" s="1178" t="s">
        <v>268</v>
      </c>
      <c r="M2580" s="1369" t="s">
        <v>23297</v>
      </c>
      <c r="N2580" s="1178"/>
      <c r="O2580" s="1178">
        <v>6</v>
      </c>
      <c r="P2580" s="1178">
        <v>14</v>
      </c>
    </row>
    <row r="2581" spans="1:16">
      <c r="A2581" s="1178" t="s">
        <v>21251</v>
      </c>
      <c r="B2581" s="1371" t="str">
        <f>HYPERLINK(IFERROR("#Main_Tariff!A"&amp;MATCH(Raeburn_Main_Tariff[[#This Row],[Product Code]],Main_Tariff!I:I,0),"#Main_Tariff!A"&amp;MATCH("*"&amp;RIGHT(A2581,8)&amp;"*",Main_Tariff!A:A,0)),Raeburn_Main_Tariff[[#This Row],[PRODUCER]])</f>
        <v>Domaine G &amp; X Besson</v>
      </c>
      <c r="C2581" s="1178" t="s">
        <v>21256</v>
      </c>
      <c r="D2581" s="1178" t="s">
        <v>897</v>
      </c>
      <c r="E2581" s="1179">
        <v>2017</v>
      </c>
      <c r="F2581" s="1282" t="s">
        <v>20220</v>
      </c>
      <c r="G2581" s="1368">
        <v>29.5</v>
      </c>
      <c r="H2581" s="1178" t="s">
        <v>20221</v>
      </c>
      <c r="I2581" s="1178" t="s">
        <v>8043</v>
      </c>
      <c r="J2581" s="1178" t="s">
        <v>662</v>
      </c>
      <c r="K2581" s="1178" t="s">
        <v>267</v>
      </c>
      <c r="L2581" s="1178" t="s">
        <v>268</v>
      </c>
      <c r="M2581" s="1369" t="s">
        <v>23297</v>
      </c>
      <c r="N2581" s="1178"/>
      <c r="O2581" s="1178">
        <v>6</v>
      </c>
      <c r="P2581" s="1178">
        <v>13</v>
      </c>
    </row>
    <row r="2582" spans="1:16">
      <c r="A2582" s="1178" t="s">
        <v>21251</v>
      </c>
      <c r="B2582" s="1371" t="str">
        <f>HYPERLINK(IFERROR("#Main_Tariff!A"&amp;MATCH(Raeburn_Main_Tariff[[#This Row],[Product Code]],Main_Tariff!I:I,0),"#Main_Tariff!A"&amp;MATCH("*"&amp;RIGHT(A2582,8)&amp;"*",Main_Tariff!A:A,0)),Raeburn_Main_Tariff[[#This Row],[PRODUCER]])</f>
        <v>Domaine G &amp; X Besson</v>
      </c>
      <c r="C2582" s="1178" t="s">
        <v>21256</v>
      </c>
      <c r="D2582" s="1178" t="s">
        <v>897</v>
      </c>
      <c r="E2582" s="1179">
        <v>2012</v>
      </c>
      <c r="F2582" s="1282" t="s">
        <v>20220</v>
      </c>
      <c r="G2582" s="1368">
        <v>29.5</v>
      </c>
      <c r="H2582" s="1178" t="s">
        <v>20221</v>
      </c>
      <c r="I2582" s="1178" t="s">
        <v>8044</v>
      </c>
      <c r="J2582" s="1178" t="s">
        <v>662</v>
      </c>
      <c r="K2582" s="1178" t="s">
        <v>267</v>
      </c>
      <c r="L2582" s="1178" t="s">
        <v>268</v>
      </c>
      <c r="M2582" s="1369" t="s">
        <v>23297</v>
      </c>
      <c r="N2582" s="1178"/>
      <c r="O2582" s="1178">
        <v>12</v>
      </c>
      <c r="P2582" s="1178">
        <v>13</v>
      </c>
    </row>
    <row r="2583" spans="1:16">
      <c r="A2583" s="1178" t="s">
        <v>21251</v>
      </c>
      <c r="B2583" s="1371" t="str">
        <f>HYPERLINK(IFERROR("#Main_Tariff!A"&amp;MATCH(Raeburn_Main_Tariff[[#This Row],[Product Code]],Main_Tariff!I:I,0),"#Main_Tariff!A"&amp;MATCH("*"&amp;RIGHT(A2583,8)&amp;"*",Main_Tariff!A:A,0)),Raeburn_Main_Tariff[[#This Row],[PRODUCER]])</f>
        <v>Domaine G &amp; X Besson</v>
      </c>
      <c r="C2583" s="1178" t="s">
        <v>21256</v>
      </c>
      <c r="D2583" s="1178" t="s">
        <v>897</v>
      </c>
      <c r="E2583" s="1179">
        <v>2010</v>
      </c>
      <c r="F2583" s="1282" t="s">
        <v>20220</v>
      </c>
      <c r="G2583" s="1368">
        <v>29.5</v>
      </c>
      <c r="H2583" s="1178" t="s">
        <v>20221</v>
      </c>
      <c r="I2583" s="1178" t="s">
        <v>8045</v>
      </c>
      <c r="J2583" s="1178" t="s">
        <v>662</v>
      </c>
      <c r="K2583" s="1178" t="s">
        <v>267</v>
      </c>
      <c r="L2583" s="1178" t="s">
        <v>268</v>
      </c>
      <c r="M2583" s="1369" t="s">
        <v>23297</v>
      </c>
      <c r="N2583" s="1178"/>
      <c r="O2583" s="1178">
        <v>12</v>
      </c>
      <c r="P2583" s="1178">
        <v>13</v>
      </c>
    </row>
    <row r="2584" spans="1:16">
      <c r="A2584" s="1178" t="s">
        <v>21251</v>
      </c>
      <c r="B2584" s="1371" t="str">
        <f>HYPERLINK(IFERROR("#Main_Tariff!A"&amp;MATCH(Raeburn_Main_Tariff[[#This Row],[Product Code]],Main_Tariff!I:I,0),"#Main_Tariff!A"&amp;MATCH("*"&amp;RIGHT(A2584,8)&amp;"*",Main_Tariff!A:A,0)),Raeburn_Main_Tariff[[#This Row],[PRODUCER]])</f>
        <v>Domaine G &amp; X Besson</v>
      </c>
      <c r="C2584" s="1178" t="s">
        <v>21256</v>
      </c>
      <c r="D2584" s="1178" t="s">
        <v>897</v>
      </c>
      <c r="E2584" s="1179">
        <v>2008</v>
      </c>
      <c r="F2584" s="1282" t="s">
        <v>20220</v>
      </c>
      <c r="G2584" s="1368">
        <v>29.5</v>
      </c>
      <c r="H2584" s="1178" t="s">
        <v>20221</v>
      </c>
      <c r="I2584" s="1178" t="s">
        <v>8046</v>
      </c>
      <c r="J2584" s="1178" t="s">
        <v>662</v>
      </c>
      <c r="K2584" s="1178" t="s">
        <v>267</v>
      </c>
      <c r="L2584" s="1178" t="s">
        <v>268</v>
      </c>
      <c r="M2584" s="1369" t="s">
        <v>23297</v>
      </c>
      <c r="N2584" s="1178"/>
      <c r="O2584" s="1178">
        <v>12</v>
      </c>
      <c r="P2584" s="1178">
        <v>13</v>
      </c>
    </row>
    <row r="2585" spans="1:16">
      <c r="A2585" s="1178" t="s">
        <v>21251</v>
      </c>
      <c r="B2585" s="1371" t="str">
        <f>HYPERLINK(IFERROR("#Main_Tariff!A"&amp;MATCH(Raeburn_Main_Tariff[[#This Row],[Product Code]],Main_Tariff!I:I,0),"#Main_Tariff!A"&amp;MATCH("*"&amp;RIGHT(A2585,8)&amp;"*",Main_Tariff!A:A,0)),Raeburn_Main_Tariff[[#This Row],[PRODUCER]])</f>
        <v>Domaine G &amp; X Besson</v>
      </c>
      <c r="C2585" s="1178" t="s">
        <v>21257</v>
      </c>
      <c r="D2585" s="1178" t="s">
        <v>897</v>
      </c>
      <c r="E2585" s="1179">
        <v>2015</v>
      </c>
      <c r="F2585" s="1282" t="s">
        <v>20240</v>
      </c>
      <c r="G2585" s="1368">
        <v>40</v>
      </c>
      <c r="H2585" s="1178" t="s">
        <v>20221</v>
      </c>
      <c r="I2585" s="1178" t="s">
        <v>8048</v>
      </c>
      <c r="J2585" s="1178" t="s">
        <v>662</v>
      </c>
      <c r="K2585" s="1178" t="s">
        <v>267</v>
      </c>
      <c r="L2585" s="1178" t="s">
        <v>268</v>
      </c>
      <c r="M2585" s="1369"/>
      <c r="N2585" s="1178"/>
      <c r="O2585" s="1178">
        <v>6</v>
      </c>
      <c r="P2585" s="1178">
        <v>13</v>
      </c>
    </row>
    <row r="2586" spans="1:16">
      <c r="A2586" s="1178" t="s">
        <v>21251</v>
      </c>
      <c r="B2586" s="1371" t="str">
        <f>HYPERLINK(IFERROR("#Main_Tariff!A"&amp;MATCH(Raeburn_Main_Tariff[[#This Row],[Product Code]],Main_Tariff!I:I,0),"#Main_Tariff!A"&amp;MATCH("*"&amp;RIGHT(A2586,8)&amp;"*",Main_Tariff!A:A,0)),Raeburn_Main_Tariff[[#This Row],[PRODUCER]])</f>
        <v>Domaine G &amp; X Besson</v>
      </c>
      <c r="C2586" s="1178" t="s">
        <v>21258</v>
      </c>
      <c r="D2586" s="1178" t="s">
        <v>897</v>
      </c>
      <c r="E2586" s="1179">
        <v>2014</v>
      </c>
      <c r="F2586" s="1282" t="s">
        <v>20240</v>
      </c>
      <c r="G2586" s="1368">
        <v>43</v>
      </c>
      <c r="H2586" s="1178" t="s">
        <v>20224</v>
      </c>
      <c r="I2586" s="1178" t="s">
        <v>8049</v>
      </c>
      <c r="J2586" s="1178" t="s">
        <v>662</v>
      </c>
      <c r="K2586" s="1178" t="s">
        <v>267</v>
      </c>
      <c r="L2586" s="1178" t="s">
        <v>268</v>
      </c>
      <c r="M2586" s="1369" t="s">
        <v>23297</v>
      </c>
      <c r="N2586" s="1178"/>
      <c r="O2586" s="1178">
        <v>6</v>
      </c>
      <c r="P2586" s="1178">
        <v>13</v>
      </c>
    </row>
    <row r="2587" spans="1:16">
      <c r="A2587" s="1178" t="s">
        <v>21251</v>
      </c>
      <c r="B2587" s="1371" t="str">
        <f>HYPERLINK(IFERROR("#Main_Tariff!A"&amp;MATCH(Raeburn_Main_Tariff[[#This Row],[Product Code]],Main_Tariff!I:I,0),"#Main_Tariff!A"&amp;MATCH("*"&amp;RIGHT(A2587,8)&amp;"*",Main_Tariff!A:A,0)),Raeburn_Main_Tariff[[#This Row],[PRODUCER]])</f>
        <v>Domaine G &amp; X Besson</v>
      </c>
      <c r="C2587" s="1178" t="s">
        <v>21258</v>
      </c>
      <c r="D2587" s="1178" t="s">
        <v>897</v>
      </c>
      <c r="E2587" s="1179">
        <v>2013</v>
      </c>
      <c r="F2587" s="1282" t="s">
        <v>20240</v>
      </c>
      <c r="G2587" s="1368">
        <v>40</v>
      </c>
      <c r="H2587" s="1178" t="s">
        <v>20221</v>
      </c>
      <c r="I2587" s="1178" t="s">
        <v>8050</v>
      </c>
      <c r="J2587" s="1178" t="s">
        <v>662</v>
      </c>
      <c r="K2587" s="1178" t="s">
        <v>267</v>
      </c>
      <c r="L2587" s="1178" t="s">
        <v>268</v>
      </c>
      <c r="M2587" s="1369" t="s">
        <v>23297</v>
      </c>
      <c r="N2587" s="1178"/>
      <c r="O2587" s="1178">
        <v>6</v>
      </c>
      <c r="P2587" s="1178">
        <v>13</v>
      </c>
    </row>
    <row r="2588" spans="1:16">
      <c r="A2588" s="1178" t="s">
        <v>21251</v>
      </c>
      <c r="B2588" s="1371" t="str">
        <f>HYPERLINK(IFERROR("#Main_Tariff!A"&amp;MATCH(Raeburn_Main_Tariff[[#This Row],[Product Code]],Main_Tariff!I:I,0),"#Main_Tariff!A"&amp;MATCH("*"&amp;RIGHT(A2588,8)&amp;"*",Main_Tariff!A:A,0)),Raeburn_Main_Tariff[[#This Row],[PRODUCER]])</f>
        <v>Domaine G &amp; X Besson</v>
      </c>
      <c r="C2588" s="1178" t="s">
        <v>21258</v>
      </c>
      <c r="D2588" s="1178" t="s">
        <v>897</v>
      </c>
      <c r="E2588" s="1179">
        <v>2011</v>
      </c>
      <c r="F2588" s="1282" t="s">
        <v>20240</v>
      </c>
      <c r="G2588" s="1368">
        <v>46</v>
      </c>
      <c r="H2588" s="1178" t="s">
        <v>20224</v>
      </c>
      <c r="I2588" s="1178" t="s">
        <v>8051</v>
      </c>
      <c r="J2588" s="1178" t="s">
        <v>662</v>
      </c>
      <c r="K2588" s="1178" t="s">
        <v>267</v>
      </c>
      <c r="L2588" s="1178" t="s">
        <v>268</v>
      </c>
      <c r="M2588" s="1369" t="s">
        <v>23297</v>
      </c>
      <c r="N2588" s="1178"/>
      <c r="O2588" s="1178">
        <v>6</v>
      </c>
      <c r="P2588" s="1178">
        <v>13</v>
      </c>
    </row>
    <row r="2589" spans="1:16">
      <c r="A2589" s="1178" t="s">
        <v>21251</v>
      </c>
      <c r="B2589" s="1371" t="str">
        <f>HYPERLINK(IFERROR("#Main_Tariff!A"&amp;MATCH(Raeburn_Main_Tariff[[#This Row],[Product Code]],Main_Tariff!I:I,0),"#Main_Tariff!A"&amp;MATCH("*"&amp;RIGHT(A2589,8)&amp;"*",Main_Tariff!A:A,0)),Raeburn_Main_Tariff[[#This Row],[PRODUCER]])</f>
        <v>Domaine G &amp; X Besson</v>
      </c>
      <c r="C2589" s="1178" t="s">
        <v>21259</v>
      </c>
      <c r="D2589" s="1178" t="s">
        <v>897</v>
      </c>
      <c r="E2589" s="1179">
        <v>2012</v>
      </c>
      <c r="F2589" s="1282" t="s">
        <v>20240</v>
      </c>
      <c r="G2589" s="1368">
        <v>47</v>
      </c>
      <c r="H2589" s="1178" t="s">
        <v>20221</v>
      </c>
      <c r="I2589" s="1178" t="s">
        <v>8053</v>
      </c>
      <c r="J2589" s="1178" t="s">
        <v>662</v>
      </c>
      <c r="K2589" s="1178" t="s">
        <v>267</v>
      </c>
      <c r="L2589" s="1178" t="s">
        <v>268</v>
      </c>
      <c r="M2589" s="1369" t="s">
        <v>23297</v>
      </c>
      <c r="N2589" s="1178"/>
      <c r="O2589" s="1178">
        <v>6</v>
      </c>
      <c r="P2589" s="1178">
        <v>13</v>
      </c>
    </row>
    <row r="2590" spans="1:16">
      <c r="A2590" s="1178" t="s">
        <v>21260</v>
      </c>
      <c r="B2590" s="1371" t="str">
        <f>HYPERLINK(IFERROR("#Main_Tariff!A"&amp;MATCH(Raeburn_Main_Tariff[[#This Row],[Product Code]],Main_Tariff!I:I,0),"#Main_Tariff!A"&amp;MATCH("*"&amp;RIGHT(A2590,8)&amp;"*",Main_Tariff!A:A,0)),Raeburn_Main_Tariff[[#This Row],[PRODUCER]])</f>
        <v>Domaine Michel Briday</v>
      </c>
      <c r="C2590" s="1178" t="s">
        <v>21261</v>
      </c>
      <c r="D2590" s="1178" t="s">
        <v>1129</v>
      </c>
      <c r="E2590" s="1179">
        <v>2015</v>
      </c>
      <c r="F2590" s="1282" t="s">
        <v>20220</v>
      </c>
      <c r="G2590" s="1368">
        <v>24.75</v>
      </c>
      <c r="H2590" s="1178" t="s">
        <v>20221</v>
      </c>
      <c r="I2590" s="1178" t="s">
        <v>8056</v>
      </c>
      <c r="J2590" s="1178" t="s">
        <v>662</v>
      </c>
      <c r="K2590" s="1178" t="s">
        <v>267</v>
      </c>
      <c r="L2590" s="1178" t="s">
        <v>268</v>
      </c>
      <c r="M2590" s="1369"/>
      <c r="N2590" s="1178"/>
      <c r="O2590" s="1178">
        <v>12</v>
      </c>
      <c r="P2590" s="1178">
        <v>13</v>
      </c>
    </row>
    <row r="2591" spans="1:16">
      <c r="A2591" s="1178" t="s">
        <v>21260</v>
      </c>
      <c r="B2591" s="1371" t="str">
        <f>HYPERLINK(IFERROR("#Main_Tariff!A"&amp;MATCH(Raeburn_Main_Tariff[[#This Row],[Product Code]],Main_Tariff!I:I,0),"#Main_Tariff!A"&amp;MATCH("*"&amp;RIGHT(A2591,8)&amp;"*",Main_Tariff!A:A,0)),Raeburn_Main_Tariff[[#This Row],[PRODUCER]])</f>
        <v>Domaine Michel Briday</v>
      </c>
      <c r="C2591" s="1178" t="s">
        <v>21261</v>
      </c>
      <c r="D2591" s="1178" t="s">
        <v>1129</v>
      </c>
      <c r="E2591" s="1179">
        <v>2014</v>
      </c>
      <c r="F2591" s="1282" t="s">
        <v>20220</v>
      </c>
      <c r="G2591" s="1368">
        <v>24.75</v>
      </c>
      <c r="H2591" s="1178" t="s">
        <v>20221</v>
      </c>
      <c r="I2591" s="1178" t="s">
        <v>8058</v>
      </c>
      <c r="J2591" s="1178" t="s">
        <v>662</v>
      </c>
      <c r="K2591" s="1178" t="s">
        <v>267</v>
      </c>
      <c r="L2591" s="1178" t="s">
        <v>268</v>
      </c>
      <c r="M2591" s="1369"/>
      <c r="N2591" s="1178"/>
      <c r="O2591" s="1178">
        <v>12</v>
      </c>
      <c r="P2591" s="1178">
        <v>13.5</v>
      </c>
    </row>
    <row r="2592" spans="1:16">
      <c r="A2592" s="1178" t="s">
        <v>21260</v>
      </c>
      <c r="B2592" s="1371" t="str">
        <f>HYPERLINK(IFERROR("#Main_Tariff!A"&amp;MATCH(Raeburn_Main_Tariff[[#This Row],[Product Code]],Main_Tariff!I:I,0),"#Main_Tariff!A"&amp;MATCH("*"&amp;RIGHT(A2592,8)&amp;"*",Main_Tariff!A:A,0)),Raeburn_Main_Tariff[[#This Row],[PRODUCER]])</f>
        <v>Domaine Michel Briday</v>
      </c>
      <c r="C2592" s="1178" t="s">
        <v>21262</v>
      </c>
      <c r="D2592" s="1178" t="s">
        <v>1129</v>
      </c>
      <c r="E2592" s="1179">
        <v>2021</v>
      </c>
      <c r="F2592" s="1282" t="s">
        <v>20220</v>
      </c>
      <c r="G2592" s="1368" t="s">
        <v>20342</v>
      </c>
      <c r="H2592" s="1178" t="s">
        <v>20343</v>
      </c>
      <c r="I2592" s="1178" t="s">
        <v>8060</v>
      </c>
      <c r="J2592" s="1178" t="s">
        <v>662</v>
      </c>
      <c r="K2592" s="1178" t="s">
        <v>267</v>
      </c>
      <c r="L2592" s="1178" t="s">
        <v>268</v>
      </c>
      <c r="M2592" s="1369"/>
      <c r="N2592" s="1178"/>
      <c r="O2592" s="1178">
        <v>12</v>
      </c>
      <c r="P2592" s="1178">
        <v>13</v>
      </c>
    </row>
    <row r="2593" spans="1:16">
      <c r="A2593" s="1178" t="s">
        <v>21260</v>
      </c>
      <c r="B2593" s="1371" t="str">
        <f>HYPERLINK(IFERROR("#Main_Tariff!A"&amp;MATCH(Raeburn_Main_Tariff[[#This Row],[Product Code]],Main_Tariff!I:I,0),"#Main_Tariff!A"&amp;MATCH("*"&amp;RIGHT(A2593,8)&amp;"*",Main_Tariff!A:A,0)),Raeburn_Main_Tariff[[#This Row],[PRODUCER]])</f>
        <v>Domaine Michel Briday</v>
      </c>
      <c r="C2593" s="1178" t="s">
        <v>21263</v>
      </c>
      <c r="D2593" s="1178" t="s">
        <v>1129</v>
      </c>
      <c r="E2593" s="1179">
        <v>2022</v>
      </c>
      <c r="F2593" s="1282" t="s">
        <v>20220</v>
      </c>
      <c r="G2593" s="1368">
        <v>27.25</v>
      </c>
      <c r="H2593" s="1178" t="s">
        <v>20221</v>
      </c>
      <c r="I2593" s="1178" t="s">
        <v>8062</v>
      </c>
      <c r="J2593" s="1178" t="s">
        <v>662</v>
      </c>
      <c r="K2593" s="1178" t="s">
        <v>267</v>
      </c>
      <c r="L2593" s="1178" t="s">
        <v>268</v>
      </c>
      <c r="M2593" s="1369"/>
      <c r="N2593" s="1178"/>
      <c r="O2593" s="1178">
        <v>12</v>
      </c>
      <c r="P2593" s="1178">
        <v>13</v>
      </c>
    </row>
    <row r="2594" spans="1:16">
      <c r="A2594" s="1178" t="s">
        <v>21260</v>
      </c>
      <c r="B2594" s="1371" t="str">
        <f>HYPERLINK(IFERROR("#Main_Tariff!A"&amp;MATCH(Raeburn_Main_Tariff[[#This Row],[Product Code]],Main_Tariff!I:I,0),"#Main_Tariff!A"&amp;MATCH("*"&amp;RIGHT(A2594,8)&amp;"*",Main_Tariff!A:A,0)),Raeburn_Main_Tariff[[#This Row],[PRODUCER]])</f>
        <v>Domaine Michel Briday</v>
      </c>
      <c r="C2594" s="1178" t="s">
        <v>21264</v>
      </c>
      <c r="D2594" s="1178" t="s">
        <v>1129</v>
      </c>
      <c r="E2594" s="1179">
        <v>2022</v>
      </c>
      <c r="F2594" s="1282" t="s">
        <v>20220</v>
      </c>
      <c r="G2594" s="1368" t="s">
        <v>20342</v>
      </c>
      <c r="H2594" s="1178" t="s">
        <v>20343</v>
      </c>
      <c r="I2594" s="1178" t="s">
        <v>8065</v>
      </c>
      <c r="J2594" s="1178" t="s">
        <v>662</v>
      </c>
      <c r="K2594" s="1178" t="s">
        <v>267</v>
      </c>
      <c r="L2594" s="1178" t="s">
        <v>268</v>
      </c>
      <c r="M2594" s="1369" t="s">
        <v>23297</v>
      </c>
      <c r="N2594" s="1178"/>
      <c r="O2594" s="1178">
        <v>12</v>
      </c>
      <c r="P2594" s="1178">
        <v>0</v>
      </c>
    </row>
    <row r="2595" spans="1:16">
      <c r="A2595" s="1178" t="s">
        <v>21260</v>
      </c>
      <c r="B2595" s="1371" t="str">
        <f>HYPERLINK(IFERROR("#Main_Tariff!A"&amp;MATCH(Raeburn_Main_Tariff[[#This Row],[Product Code]],Main_Tariff!I:I,0),"#Main_Tariff!A"&amp;MATCH("*"&amp;RIGHT(A2595,8)&amp;"*",Main_Tariff!A:A,0)),Raeburn_Main_Tariff[[#This Row],[PRODUCER]])</f>
        <v>Domaine Michel Briday</v>
      </c>
      <c r="C2595" s="1178" t="s">
        <v>21264</v>
      </c>
      <c r="D2595" s="1178" t="s">
        <v>1129</v>
      </c>
      <c r="E2595" s="1179">
        <v>2015</v>
      </c>
      <c r="F2595" s="1282" t="s">
        <v>20220</v>
      </c>
      <c r="G2595" s="1368">
        <v>24.75</v>
      </c>
      <c r="H2595" s="1178" t="s">
        <v>20221</v>
      </c>
      <c r="I2595" s="1178" t="s">
        <v>8067</v>
      </c>
      <c r="J2595" s="1178" t="s">
        <v>662</v>
      </c>
      <c r="K2595" s="1178" t="s">
        <v>267</v>
      </c>
      <c r="L2595" s="1178" t="s">
        <v>268</v>
      </c>
      <c r="M2595" s="1369" t="s">
        <v>23297</v>
      </c>
      <c r="N2595" s="1178"/>
      <c r="O2595" s="1178">
        <v>12</v>
      </c>
      <c r="P2595" s="1178">
        <v>13.5</v>
      </c>
    </row>
    <row r="2596" spans="1:16">
      <c r="A2596" s="1178" t="s">
        <v>21260</v>
      </c>
      <c r="B2596" s="1371" t="str">
        <f>HYPERLINK(IFERROR("#Main_Tariff!A"&amp;MATCH(Raeburn_Main_Tariff[[#This Row],[Product Code]],Main_Tariff!I:I,0),"#Main_Tariff!A"&amp;MATCH("*"&amp;RIGHT(A2596,8)&amp;"*",Main_Tariff!A:A,0)),Raeburn_Main_Tariff[[#This Row],[PRODUCER]])</f>
        <v>Domaine Michel Briday</v>
      </c>
      <c r="C2596" s="1178" t="s">
        <v>21264</v>
      </c>
      <c r="D2596" s="1178" t="s">
        <v>1129</v>
      </c>
      <c r="E2596" s="1179">
        <v>2012</v>
      </c>
      <c r="F2596" s="1282" t="s">
        <v>20220</v>
      </c>
      <c r="G2596" s="1368">
        <v>23.75</v>
      </c>
      <c r="H2596" s="1178" t="s">
        <v>20221</v>
      </c>
      <c r="I2596" s="1178" t="s">
        <v>8069</v>
      </c>
      <c r="J2596" s="1178" t="s">
        <v>662</v>
      </c>
      <c r="K2596" s="1178" t="s">
        <v>267</v>
      </c>
      <c r="L2596" s="1178" t="s">
        <v>268</v>
      </c>
      <c r="M2596" s="1369" t="s">
        <v>23297</v>
      </c>
      <c r="N2596" s="1178"/>
      <c r="O2596" s="1178">
        <v>12</v>
      </c>
      <c r="P2596" s="1178">
        <v>13.5</v>
      </c>
    </row>
    <row r="2597" spans="1:16">
      <c r="A2597" s="1178" t="s">
        <v>21260</v>
      </c>
      <c r="B2597" s="1371" t="str">
        <f>HYPERLINK(IFERROR("#Main_Tariff!A"&amp;MATCH(Raeburn_Main_Tariff[[#This Row],[Product Code]],Main_Tariff!I:I,0),"#Main_Tariff!A"&amp;MATCH("*"&amp;RIGHT(A2597,8)&amp;"*",Main_Tariff!A:A,0)),Raeburn_Main_Tariff[[#This Row],[PRODUCER]])</f>
        <v>Domaine Michel Briday</v>
      </c>
      <c r="C2597" s="1178" t="s">
        <v>21265</v>
      </c>
      <c r="D2597" s="1178" t="s">
        <v>1129</v>
      </c>
      <c r="E2597" s="1179">
        <v>2021</v>
      </c>
      <c r="F2597" s="1282" t="s">
        <v>20220</v>
      </c>
      <c r="G2597" s="1368">
        <v>27.25</v>
      </c>
      <c r="H2597" s="1178" t="s">
        <v>20221</v>
      </c>
      <c r="I2597" s="1178" t="s">
        <v>8070</v>
      </c>
      <c r="J2597" s="1178" t="s">
        <v>662</v>
      </c>
      <c r="K2597" s="1178" t="s">
        <v>267</v>
      </c>
      <c r="L2597" s="1178" t="s">
        <v>268</v>
      </c>
      <c r="M2597" s="1369" t="s">
        <v>23297</v>
      </c>
      <c r="N2597" s="1178"/>
      <c r="O2597" s="1178">
        <v>12</v>
      </c>
      <c r="P2597" s="1178">
        <v>13.5</v>
      </c>
    </row>
    <row r="2598" spans="1:16">
      <c r="A2598" s="1178" t="s">
        <v>21260</v>
      </c>
      <c r="B2598" s="1371" t="str">
        <f>HYPERLINK(IFERROR("#Main_Tariff!A"&amp;MATCH(Raeburn_Main_Tariff[[#This Row],[Product Code]],Main_Tariff!I:I,0),"#Main_Tariff!A"&amp;MATCH("*"&amp;RIGHT(A2598,8)&amp;"*",Main_Tariff!A:A,0)),Raeburn_Main_Tariff[[#This Row],[PRODUCER]])</f>
        <v>Domaine Michel Briday</v>
      </c>
      <c r="C2598" s="1178" t="s">
        <v>21265</v>
      </c>
      <c r="D2598" s="1178" t="s">
        <v>1129</v>
      </c>
      <c r="E2598" s="1179">
        <v>2020</v>
      </c>
      <c r="F2598" s="1282" t="s">
        <v>20220</v>
      </c>
      <c r="G2598" s="1368">
        <v>28.5</v>
      </c>
      <c r="H2598" s="1178" t="s">
        <v>20221</v>
      </c>
      <c r="I2598" s="1178" t="s">
        <v>8071</v>
      </c>
      <c r="J2598" s="1178" t="s">
        <v>662</v>
      </c>
      <c r="K2598" s="1178" t="s">
        <v>267</v>
      </c>
      <c r="L2598" s="1178" t="s">
        <v>268</v>
      </c>
      <c r="M2598" s="1369" t="s">
        <v>23297</v>
      </c>
      <c r="N2598" s="1178"/>
      <c r="O2598" s="1178">
        <v>12</v>
      </c>
      <c r="P2598" s="1178">
        <v>14</v>
      </c>
    </row>
    <row r="2599" spans="1:16">
      <c r="A2599" s="1178" t="s">
        <v>21260</v>
      </c>
      <c r="B2599" s="1371" t="str">
        <f>HYPERLINK(IFERROR("#Main_Tariff!A"&amp;MATCH(Raeburn_Main_Tariff[[#This Row],[Product Code]],Main_Tariff!I:I,0),"#Main_Tariff!A"&amp;MATCH("*"&amp;RIGHT(A2599,8)&amp;"*",Main_Tariff!A:A,0)),Raeburn_Main_Tariff[[#This Row],[PRODUCER]])</f>
        <v>Domaine Michel Briday</v>
      </c>
      <c r="C2599" s="1178" t="s">
        <v>21265</v>
      </c>
      <c r="D2599" s="1178" t="s">
        <v>1129</v>
      </c>
      <c r="E2599" s="1179">
        <v>2019</v>
      </c>
      <c r="F2599" s="1282" t="s">
        <v>20220</v>
      </c>
      <c r="G2599" s="1368">
        <v>28.5</v>
      </c>
      <c r="H2599" s="1178" t="s">
        <v>20221</v>
      </c>
      <c r="I2599" s="1178" t="s">
        <v>8073</v>
      </c>
      <c r="J2599" s="1178" t="s">
        <v>662</v>
      </c>
      <c r="K2599" s="1178" t="s">
        <v>267</v>
      </c>
      <c r="L2599" s="1178" t="s">
        <v>268</v>
      </c>
      <c r="M2599" s="1369" t="s">
        <v>23297</v>
      </c>
      <c r="N2599" s="1178"/>
      <c r="O2599" s="1178">
        <v>12</v>
      </c>
      <c r="P2599" s="1178">
        <v>14.5</v>
      </c>
    </row>
    <row r="2600" spans="1:16">
      <c r="A2600" s="1178" t="s">
        <v>21260</v>
      </c>
      <c r="B2600" s="1371" t="str">
        <f>HYPERLINK(IFERROR("#Main_Tariff!A"&amp;MATCH(Raeburn_Main_Tariff[[#This Row],[Product Code]],Main_Tariff!I:I,0),"#Main_Tariff!A"&amp;MATCH("*"&amp;RIGHT(A2600,8)&amp;"*",Main_Tariff!A:A,0)),Raeburn_Main_Tariff[[#This Row],[PRODUCER]])</f>
        <v>Domaine Michel Briday</v>
      </c>
      <c r="C2600" s="1178" t="s">
        <v>21265</v>
      </c>
      <c r="D2600" s="1178" t="s">
        <v>1129</v>
      </c>
      <c r="E2600" s="1179">
        <v>2018</v>
      </c>
      <c r="F2600" s="1282" t="s">
        <v>20220</v>
      </c>
      <c r="G2600" s="1368">
        <v>24.75</v>
      </c>
      <c r="H2600" s="1178" t="s">
        <v>20221</v>
      </c>
      <c r="I2600" s="1178" t="s">
        <v>8075</v>
      </c>
      <c r="J2600" s="1178" t="s">
        <v>662</v>
      </c>
      <c r="K2600" s="1178" t="s">
        <v>267</v>
      </c>
      <c r="L2600" s="1178" t="s">
        <v>268</v>
      </c>
      <c r="M2600" s="1369" t="s">
        <v>23297</v>
      </c>
      <c r="N2600" s="1178"/>
      <c r="O2600" s="1178">
        <v>12</v>
      </c>
      <c r="P2600" s="1178">
        <v>14</v>
      </c>
    </row>
    <row r="2601" spans="1:16">
      <c r="A2601" s="1178" t="s">
        <v>21260</v>
      </c>
      <c r="B2601" s="1371" t="str">
        <f>HYPERLINK(IFERROR("#Main_Tariff!A"&amp;MATCH(Raeburn_Main_Tariff[[#This Row],[Product Code]],Main_Tariff!I:I,0),"#Main_Tariff!A"&amp;MATCH("*"&amp;RIGHT(A2601,8)&amp;"*",Main_Tariff!A:A,0)),Raeburn_Main_Tariff[[#This Row],[PRODUCER]])</f>
        <v>Domaine Michel Briday</v>
      </c>
      <c r="C2601" s="1178" t="s">
        <v>21265</v>
      </c>
      <c r="D2601" s="1178" t="s">
        <v>1129</v>
      </c>
      <c r="E2601" s="1179">
        <v>2017</v>
      </c>
      <c r="F2601" s="1282" t="s">
        <v>20220</v>
      </c>
      <c r="G2601" s="1368">
        <v>24.75</v>
      </c>
      <c r="H2601" s="1178" t="s">
        <v>20221</v>
      </c>
      <c r="I2601" s="1178" t="s">
        <v>8077</v>
      </c>
      <c r="J2601" s="1178" t="s">
        <v>662</v>
      </c>
      <c r="K2601" s="1178" t="s">
        <v>267</v>
      </c>
      <c r="L2601" s="1178" t="s">
        <v>268</v>
      </c>
      <c r="M2601" s="1369" t="s">
        <v>23297</v>
      </c>
      <c r="N2601" s="1178"/>
      <c r="O2601" s="1178">
        <v>12</v>
      </c>
      <c r="P2601" s="1178">
        <v>13.5</v>
      </c>
    </row>
    <row r="2602" spans="1:16">
      <c r="A2602" s="1178" t="s">
        <v>21260</v>
      </c>
      <c r="B2602" s="1371" t="str">
        <f>HYPERLINK(IFERROR("#Main_Tariff!A"&amp;MATCH(Raeburn_Main_Tariff[[#This Row],[Product Code]],Main_Tariff!I:I,0),"#Main_Tariff!A"&amp;MATCH("*"&amp;RIGHT(A2602,8)&amp;"*",Main_Tariff!A:A,0)),Raeburn_Main_Tariff[[#This Row],[PRODUCER]])</f>
        <v>Domaine Michel Briday</v>
      </c>
      <c r="C2602" s="1178" t="s">
        <v>21265</v>
      </c>
      <c r="D2602" s="1178" t="s">
        <v>1129</v>
      </c>
      <c r="E2602" s="1179">
        <v>2016</v>
      </c>
      <c r="F2602" s="1282" t="s">
        <v>20220</v>
      </c>
      <c r="G2602" s="1368">
        <v>24.75</v>
      </c>
      <c r="H2602" s="1178" t="s">
        <v>20221</v>
      </c>
      <c r="I2602" s="1178" t="s">
        <v>8079</v>
      </c>
      <c r="J2602" s="1178" t="s">
        <v>662</v>
      </c>
      <c r="K2602" s="1178" t="s">
        <v>267</v>
      </c>
      <c r="L2602" s="1178" t="s">
        <v>268</v>
      </c>
      <c r="M2602" s="1369" t="s">
        <v>23297</v>
      </c>
      <c r="N2602" s="1178"/>
      <c r="O2602" s="1178">
        <v>12</v>
      </c>
      <c r="P2602" s="1178">
        <v>13</v>
      </c>
    </row>
    <row r="2603" spans="1:16">
      <c r="A2603" s="1178" t="s">
        <v>21260</v>
      </c>
      <c r="B2603" s="1371" t="str">
        <f>HYPERLINK(IFERROR("#Main_Tariff!A"&amp;MATCH(Raeburn_Main_Tariff[[#This Row],[Product Code]],Main_Tariff!I:I,0),"#Main_Tariff!A"&amp;MATCH("*"&amp;RIGHT(A2603,8)&amp;"*",Main_Tariff!A:A,0)),Raeburn_Main_Tariff[[#This Row],[PRODUCER]])</f>
        <v>Domaine Michel Briday</v>
      </c>
      <c r="C2603" s="1178" t="s">
        <v>21266</v>
      </c>
      <c r="D2603" s="1178" t="s">
        <v>897</v>
      </c>
      <c r="E2603" s="1179">
        <v>2015</v>
      </c>
      <c r="F2603" s="1282" t="s">
        <v>20280</v>
      </c>
      <c r="G2603" s="1368">
        <v>9.75</v>
      </c>
      <c r="H2603" s="1178" t="s">
        <v>20221</v>
      </c>
      <c r="I2603" s="1178" t="s">
        <v>8082</v>
      </c>
      <c r="J2603" s="1178" t="s">
        <v>662</v>
      </c>
      <c r="K2603" s="1178" t="s">
        <v>267</v>
      </c>
      <c r="L2603" s="1178" t="s">
        <v>268</v>
      </c>
      <c r="M2603" s="1369"/>
      <c r="N2603" s="1178"/>
      <c r="O2603" s="1178">
        <v>12</v>
      </c>
      <c r="P2603" s="1178">
        <v>13</v>
      </c>
    </row>
    <row r="2604" spans="1:16">
      <c r="A2604" s="1178" t="s">
        <v>21260</v>
      </c>
      <c r="B2604" s="1371" t="str">
        <f>HYPERLINK(IFERROR("#Main_Tariff!A"&amp;MATCH(Raeburn_Main_Tariff[[#This Row],[Product Code]],Main_Tariff!I:I,0),"#Main_Tariff!A"&amp;MATCH("*"&amp;RIGHT(A2604,8)&amp;"*",Main_Tariff!A:A,0)),Raeburn_Main_Tariff[[#This Row],[PRODUCER]])</f>
        <v>Domaine Michel Briday</v>
      </c>
      <c r="C2604" s="1178" t="s">
        <v>21266</v>
      </c>
      <c r="D2604" s="1178" t="s">
        <v>897</v>
      </c>
      <c r="E2604" s="1179">
        <v>2014</v>
      </c>
      <c r="F2604" s="1282" t="s">
        <v>20280</v>
      </c>
      <c r="G2604" s="1368">
        <v>9.75</v>
      </c>
      <c r="H2604" s="1178" t="s">
        <v>20221</v>
      </c>
      <c r="I2604" s="1178" t="s">
        <v>8084</v>
      </c>
      <c r="J2604" s="1178" t="s">
        <v>662</v>
      </c>
      <c r="K2604" s="1178" t="s">
        <v>267</v>
      </c>
      <c r="L2604" s="1178" t="s">
        <v>268</v>
      </c>
      <c r="M2604" s="1369"/>
      <c r="N2604" s="1178"/>
      <c r="O2604" s="1178">
        <v>12</v>
      </c>
      <c r="P2604" s="1178">
        <v>13</v>
      </c>
    </row>
    <row r="2605" spans="1:16">
      <c r="A2605" s="1178" t="s">
        <v>21260</v>
      </c>
      <c r="B2605" s="1371" t="str">
        <f>HYPERLINK(IFERROR("#Main_Tariff!A"&amp;MATCH(Raeburn_Main_Tariff[[#This Row],[Product Code]],Main_Tariff!I:I,0),"#Main_Tariff!A"&amp;MATCH("*"&amp;RIGHT(A2605,8)&amp;"*",Main_Tariff!A:A,0)),Raeburn_Main_Tariff[[#This Row],[PRODUCER]])</f>
        <v>Domaine Michel Briday</v>
      </c>
      <c r="C2605" s="1178" t="s">
        <v>21266</v>
      </c>
      <c r="D2605" s="1178" t="s">
        <v>897</v>
      </c>
      <c r="E2605" s="1179">
        <v>2012</v>
      </c>
      <c r="F2605" s="1282" t="s">
        <v>20280</v>
      </c>
      <c r="G2605" s="1368">
        <v>9.75</v>
      </c>
      <c r="H2605" s="1178" t="s">
        <v>20224</v>
      </c>
      <c r="I2605" s="1178" t="s">
        <v>8086</v>
      </c>
      <c r="J2605" s="1178" t="s">
        <v>662</v>
      </c>
      <c r="K2605" s="1178" t="s">
        <v>267</v>
      </c>
      <c r="L2605" s="1178" t="s">
        <v>268</v>
      </c>
      <c r="M2605" s="1369"/>
      <c r="N2605" s="1178"/>
      <c r="O2605" s="1178">
        <v>12</v>
      </c>
      <c r="P2605" s="1178">
        <v>13</v>
      </c>
    </row>
    <row r="2606" spans="1:16">
      <c r="A2606" s="1178" t="s">
        <v>21260</v>
      </c>
      <c r="B2606" s="1371" t="str">
        <f>HYPERLINK(IFERROR("#Main_Tariff!A"&amp;MATCH(Raeburn_Main_Tariff[[#This Row],[Product Code]],Main_Tariff!I:I,0),"#Main_Tariff!A"&amp;MATCH("*"&amp;RIGHT(A2606,8)&amp;"*",Main_Tariff!A:A,0)),Raeburn_Main_Tariff[[#This Row],[PRODUCER]])</f>
        <v>Domaine Michel Briday</v>
      </c>
      <c r="C2606" s="1178" t="s">
        <v>21267</v>
      </c>
      <c r="D2606" s="1178" t="s">
        <v>897</v>
      </c>
      <c r="E2606" s="1179">
        <v>2021</v>
      </c>
      <c r="F2606" s="1282" t="s">
        <v>20220</v>
      </c>
      <c r="G2606" s="1368">
        <v>21</v>
      </c>
      <c r="H2606" s="1178" t="s">
        <v>20221</v>
      </c>
      <c r="I2606" s="1178" t="s">
        <v>8090</v>
      </c>
      <c r="J2606" s="1178" t="s">
        <v>662</v>
      </c>
      <c r="K2606" s="1178" t="s">
        <v>267</v>
      </c>
      <c r="L2606" s="1178" t="s">
        <v>268</v>
      </c>
      <c r="M2606" s="1369"/>
      <c r="N2606" s="1178"/>
      <c r="O2606" s="1178">
        <v>12</v>
      </c>
      <c r="P2606" s="1178">
        <v>13</v>
      </c>
    </row>
    <row r="2607" spans="1:16">
      <c r="A2607" s="1178" t="s">
        <v>21260</v>
      </c>
      <c r="B2607" s="1371" t="str">
        <f>HYPERLINK(IFERROR("#Main_Tariff!A"&amp;MATCH(Raeburn_Main_Tariff[[#This Row],[Product Code]],Main_Tariff!I:I,0),"#Main_Tariff!A"&amp;MATCH("*"&amp;RIGHT(A2607,8)&amp;"*",Main_Tariff!A:A,0)),Raeburn_Main_Tariff[[#This Row],[PRODUCER]])</f>
        <v>Domaine Michel Briday</v>
      </c>
      <c r="C2607" s="1178" t="s">
        <v>21267</v>
      </c>
      <c r="D2607" s="1178" t="s">
        <v>897</v>
      </c>
      <c r="E2607" s="1179">
        <v>2020</v>
      </c>
      <c r="F2607" s="1282" t="s">
        <v>20220</v>
      </c>
      <c r="G2607" s="1368">
        <v>19.5</v>
      </c>
      <c r="H2607" s="1178" t="s">
        <v>20221</v>
      </c>
      <c r="I2607" s="1178" t="s">
        <v>8092</v>
      </c>
      <c r="J2607" s="1178" t="s">
        <v>662</v>
      </c>
      <c r="K2607" s="1178" t="s">
        <v>267</v>
      </c>
      <c r="L2607" s="1178" t="s">
        <v>268</v>
      </c>
      <c r="M2607" s="1369"/>
      <c r="N2607" s="1178"/>
      <c r="O2607" s="1178">
        <v>12</v>
      </c>
      <c r="P2607" s="1178">
        <v>14.5</v>
      </c>
    </row>
    <row r="2608" spans="1:16">
      <c r="A2608" s="1178" t="s">
        <v>21260</v>
      </c>
      <c r="B2608" s="1371" t="str">
        <f>HYPERLINK(IFERROR("#Main_Tariff!A"&amp;MATCH(Raeburn_Main_Tariff[[#This Row],[Product Code]],Main_Tariff!I:I,0),"#Main_Tariff!A"&amp;MATCH("*"&amp;RIGHT(A2608,8)&amp;"*",Main_Tariff!A:A,0)),Raeburn_Main_Tariff[[#This Row],[PRODUCER]])</f>
        <v>Domaine Michel Briday</v>
      </c>
      <c r="C2608" s="1178" t="s">
        <v>21267</v>
      </c>
      <c r="D2608" s="1178" t="s">
        <v>897</v>
      </c>
      <c r="E2608" s="1179">
        <v>2019</v>
      </c>
      <c r="F2608" s="1282" t="s">
        <v>20220</v>
      </c>
      <c r="G2608" s="1368">
        <v>19.5</v>
      </c>
      <c r="H2608" s="1178" t="s">
        <v>20221</v>
      </c>
      <c r="I2608" s="1178" t="s">
        <v>8094</v>
      </c>
      <c r="J2608" s="1178" t="s">
        <v>662</v>
      </c>
      <c r="K2608" s="1178" t="s">
        <v>267</v>
      </c>
      <c r="L2608" s="1178" t="s">
        <v>268</v>
      </c>
      <c r="M2608" s="1369"/>
      <c r="N2608" s="1178"/>
      <c r="O2608" s="1178">
        <v>12</v>
      </c>
      <c r="P2608" s="1178">
        <v>14.5</v>
      </c>
    </row>
    <row r="2609" spans="1:16">
      <c r="A2609" s="1178" t="s">
        <v>21260</v>
      </c>
      <c r="B2609" s="1371" t="str">
        <f>HYPERLINK(IFERROR("#Main_Tariff!A"&amp;MATCH(Raeburn_Main_Tariff[[#This Row],[Product Code]],Main_Tariff!I:I,0),"#Main_Tariff!A"&amp;MATCH("*"&amp;RIGHT(A2609,8)&amp;"*",Main_Tariff!A:A,0)),Raeburn_Main_Tariff[[#This Row],[PRODUCER]])</f>
        <v>Domaine Michel Briday</v>
      </c>
      <c r="C2609" s="1178" t="s">
        <v>21267</v>
      </c>
      <c r="D2609" s="1178" t="s">
        <v>897</v>
      </c>
      <c r="E2609" s="1179">
        <v>2017</v>
      </c>
      <c r="F2609" s="1282" t="s">
        <v>20220</v>
      </c>
      <c r="G2609" s="1368">
        <v>18</v>
      </c>
      <c r="H2609" s="1178" t="s">
        <v>20221</v>
      </c>
      <c r="I2609" s="1178" t="s">
        <v>8095</v>
      </c>
      <c r="J2609" s="1178" t="s">
        <v>662</v>
      </c>
      <c r="K2609" s="1178" t="s">
        <v>267</v>
      </c>
      <c r="L2609" s="1178" t="s">
        <v>268</v>
      </c>
      <c r="M2609" s="1369"/>
      <c r="N2609" s="1178"/>
      <c r="O2609" s="1178">
        <v>12</v>
      </c>
      <c r="P2609" s="1178">
        <v>13.5</v>
      </c>
    </row>
    <row r="2610" spans="1:16">
      <c r="A2610" s="1178" t="s">
        <v>21260</v>
      </c>
      <c r="B2610" s="1371" t="str">
        <f>HYPERLINK(IFERROR("#Main_Tariff!A"&amp;MATCH(Raeburn_Main_Tariff[[#This Row],[Product Code]],Main_Tariff!I:I,0),"#Main_Tariff!A"&amp;MATCH("*"&amp;RIGHT(A2610,8)&amp;"*",Main_Tariff!A:A,0)),Raeburn_Main_Tariff[[#This Row],[PRODUCER]])</f>
        <v>Domaine Michel Briday</v>
      </c>
      <c r="C2610" s="1178" t="s">
        <v>21267</v>
      </c>
      <c r="D2610" s="1178" t="s">
        <v>897</v>
      </c>
      <c r="E2610" s="1179">
        <v>2016</v>
      </c>
      <c r="F2610" s="1282" t="s">
        <v>20220</v>
      </c>
      <c r="G2610" s="1368">
        <v>18</v>
      </c>
      <c r="H2610" s="1178" t="s">
        <v>20221</v>
      </c>
      <c r="I2610" s="1178" t="s">
        <v>8096</v>
      </c>
      <c r="J2610" s="1178" t="s">
        <v>662</v>
      </c>
      <c r="K2610" s="1178" t="s">
        <v>267</v>
      </c>
      <c r="L2610" s="1178" t="s">
        <v>268</v>
      </c>
      <c r="M2610" s="1369"/>
      <c r="N2610" s="1178"/>
      <c r="O2610" s="1178">
        <v>12</v>
      </c>
      <c r="P2610" s="1178">
        <v>13</v>
      </c>
    </row>
    <row r="2611" spans="1:16">
      <c r="A2611" s="1178" t="s">
        <v>21260</v>
      </c>
      <c r="B2611" s="1371" t="str">
        <f>HYPERLINK(IFERROR("#Main_Tariff!A"&amp;MATCH(Raeburn_Main_Tariff[[#This Row],[Product Code]],Main_Tariff!I:I,0),"#Main_Tariff!A"&amp;MATCH("*"&amp;RIGHT(A2611,8)&amp;"*",Main_Tariff!A:A,0)),Raeburn_Main_Tariff[[#This Row],[PRODUCER]])</f>
        <v>Domaine Michel Briday</v>
      </c>
      <c r="C2611" s="1178" t="s">
        <v>21267</v>
      </c>
      <c r="D2611" s="1178" t="s">
        <v>897</v>
      </c>
      <c r="E2611" s="1179">
        <v>2015</v>
      </c>
      <c r="F2611" s="1282" t="s">
        <v>20220</v>
      </c>
      <c r="G2611" s="1368">
        <v>18</v>
      </c>
      <c r="H2611" s="1178" t="s">
        <v>20221</v>
      </c>
      <c r="I2611" s="1178" t="s">
        <v>8098</v>
      </c>
      <c r="J2611" s="1178" t="s">
        <v>662</v>
      </c>
      <c r="K2611" s="1178" t="s">
        <v>267</v>
      </c>
      <c r="L2611" s="1178" t="s">
        <v>268</v>
      </c>
      <c r="M2611" s="1369"/>
      <c r="N2611" s="1178"/>
      <c r="O2611" s="1178">
        <v>12</v>
      </c>
      <c r="P2611" s="1178">
        <v>13</v>
      </c>
    </row>
    <row r="2612" spans="1:16">
      <c r="A2612" s="1178" t="s">
        <v>21260</v>
      </c>
      <c r="B2612" s="1371" t="str">
        <f>HYPERLINK(IFERROR("#Main_Tariff!A"&amp;MATCH(Raeburn_Main_Tariff[[#This Row],[Product Code]],Main_Tariff!I:I,0),"#Main_Tariff!A"&amp;MATCH("*"&amp;RIGHT(A2612,8)&amp;"*",Main_Tariff!A:A,0)),Raeburn_Main_Tariff[[#This Row],[PRODUCER]])</f>
        <v>Domaine Michel Briday</v>
      </c>
      <c r="C2612" s="1178" t="s">
        <v>21268</v>
      </c>
      <c r="D2612" s="1178" t="s">
        <v>897</v>
      </c>
      <c r="E2612" s="1179">
        <v>2021</v>
      </c>
      <c r="F2612" s="1282" t="s">
        <v>20220</v>
      </c>
      <c r="G2612" s="1368">
        <v>26.25</v>
      </c>
      <c r="H2612" s="1178" t="s">
        <v>20221</v>
      </c>
      <c r="I2612" s="1178" t="s">
        <v>8102</v>
      </c>
      <c r="J2612" s="1178" t="s">
        <v>662</v>
      </c>
      <c r="K2612" s="1178" t="s">
        <v>267</v>
      </c>
      <c r="L2612" s="1178" t="s">
        <v>268</v>
      </c>
      <c r="M2612" s="1369" t="s">
        <v>23297</v>
      </c>
      <c r="N2612" s="1178"/>
      <c r="O2612" s="1178">
        <v>12</v>
      </c>
      <c r="P2612" s="1178">
        <v>13</v>
      </c>
    </row>
    <row r="2613" spans="1:16">
      <c r="A2613" s="1178" t="s">
        <v>21260</v>
      </c>
      <c r="B2613" s="1371" t="str">
        <f>HYPERLINK(IFERROR("#Main_Tariff!A"&amp;MATCH(Raeburn_Main_Tariff[[#This Row],[Product Code]],Main_Tariff!I:I,0),"#Main_Tariff!A"&amp;MATCH("*"&amp;RIGHT(A2613,8)&amp;"*",Main_Tariff!A:A,0)),Raeburn_Main_Tariff[[#This Row],[PRODUCER]])</f>
        <v>Domaine Michel Briday</v>
      </c>
      <c r="C2613" s="1178" t="s">
        <v>21269</v>
      </c>
      <c r="D2613" s="1178" t="s">
        <v>897</v>
      </c>
      <c r="E2613" s="1179">
        <v>2022</v>
      </c>
      <c r="F2613" s="1282" t="s">
        <v>20220</v>
      </c>
      <c r="G2613" s="1368" t="s">
        <v>20342</v>
      </c>
      <c r="H2613" s="1178" t="s">
        <v>20343</v>
      </c>
      <c r="I2613" s="1178" t="s">
        <v>8103</v>
      </c>
      <c r="J2613" s="1178" t="s">
        <v>662</v>
      </c>
      <c r="K2613" s="1178" t="s">
        <v>267</v>
      </c>
      <c r="L2613" s="1178" t="s">
        <v>268</v>
      </c>
      <c r="M2613" s="1369" t="s">
        <v>23297</v>
      </c>
      <c r="N2613" s="1178"/>
      <c r="O2613" s="1178">
        <v>12</v>
      </c>
      <c r="P2613" s="1178">
        <v>0</v>
      </c>
    </row>
    <row r="2614" spans="1:16">
      <c r="A2614" s="1178" t="s">
        <v>21260</v>
      </c>
      <c r="B2614" s="1371" t="str">
        <f>HYPERLINK(IFERROR("#Main_Tariff!A"&amp;MATCH(Raeburn_Main_Tariff[[#This Row],[Product Code]],Main_Tariff!I:I,0),"#Main_Tariff!A"&amp;MATCH("*"&amp;RIGHT(A2614,8)&amp;"*",Main_Tariff!A:A,0)),Raeburn_Main_Tariff[[#This Row],[PRODUCER]])</f>
        <v>Domaine Michel Briday</v>
      </c>
      <c r="C2614" s="1178" t="s">
        <v>21269</v>
      </c>
      <c r="D2614" s="1178" t="s">
        <v>897</v>
      </c>
      <c r="E2614" s="1179">
        <v>2019</v>
      </c>
      <c r="F2614" s="1282" t="s">
        <v>20220</v>
      </c>
      <c r="G2614" s="1368">
        <v>24</v>
      </c>
      <c r="H2614" s="1178" t="s">
        <v>20221</v>
      </c>
      <c r="I2614" s="1178" t="s">
        <v>8105</v>
      </c>
      <c r="J2614" s="1178" t="s">
        <v>662</v>
      </c>
      <c r="K2614" s="1178" t="s">
        <v>267</v>
      </c>
      <c r="L2614" s="1178" t="s">
        <v>268</v>
      </c>
      <c r="M2614" s="1369" t="s">
        <v>23297</v>
      </c>
      <c r="N2614" s="1178"/>
      <c r="O2614" s="1178">
        <v>12</v>
      </c>
      <c r="P2614" s="1178">
        <v>14.5</v>
      </c>
    </row>
    <row r="2615" spans="1:16">
      <c r="A2615" s="1178" t="s">
        <v>21260</v>
      </c>
      <c r="B2615" s="1371" t="str">
        <f>HYPERLINK(IFERROR("#Main_Tariff!A"&amp;MATCH(Raeburn_Main_Tariff[[#This Row],[Product Code]],Main_Tariff!I:I,0),"#Main_Tariff!A"&amp;MATCH("*"&amp;RIGHT(A2615,8)&amp;"*",Main_Tariff!A:A,0)),Raeburn_Main_Tariff[[#This Row],[PRODUCER]])</f>
        <v>Domaine Michel Briday</v>
      </c>
      <c r="C2615" s="1178" t="s">
        <v>21269</v>
      </c>
      <c r="D2615" s="1178" t="s">
        <v>897</v>
      </c>
      <c r="E2615" s="1179">
        <v>2018</v>
      </c>
      <c r="F2615" s="1282" t="s">
        <v>20220</v>
      </c>
      <c r="G2615" s="1368">
        <v>22.5</v>
      </c>
      <c r="H2615" s="1178" t="s">
        <v>20221</v>
      </c>
      <c r="I2615" s="1178" t="s">
        <v>8106</v>
      </c>
      <c r="J2615" s="1178" t="s">
        <v>662</v>
      </c>
      <c r="K2615" s="1178" t="s">
        <v>267</v>
      </c>
      <c r="L2615" s="1178" t="s">
        <v>268</v>
      </c>
      <c r="M2615" s="1369" t="s">
        <v>23297</v>
      </c>
      <c r="N2615" s="1178"/>
      <c r="O2615" s="1178">
        <v>12</v>
      </c>
      <c r="P2615" s="1178">
        <v>13.5</v>
      </c>
    </row>
    <row r="2616" spans="1:16">
      <c r="A2616" s="1178" t="s">
        <v>21260</v>
      </c>
      <c r="B2616" s="1371" t="str">
        <f>HYPERLINK(IFERROR("#Main_Tariff!A"&amp;MATCH(Raeburn_Main_Tariff[[#This Row],[Product Code]],Main_Tariff!I:I,0),"#Main_Tariff!A"&amp;MATCH("*"&amp;RIGHT(A2616,8)&amp;"*",Main_Tariff!A:A,0)),Raeburn_Main_Tariff[[#This Row],[PRODUCER]])</f>
        <v>Domaine Michel Briday</v>
      </c>
      <c r="C2616" s="1178" t="s">
        <v>21269</v>
      </c>
      <c r="D2616" s="1178" t="s">
        <v>897</v>
      </c>
      <c r="E2616" s="1179">
        <v>2017</v>
      </c>
      <c r="F2616" s="1282" t="s">
        <v>20220</v>
      </c>
      <c r="G2616" s="1368">
        <v>22.5</v>
      </c>
      <c r="H2616" s="1178" t="s">
        <v>20221</v>
      </c>
      <c r="I2616" s="1178" t="s">
        <v>8107</v>
      </c>
      <c r="J2616" s="1178" t="s">
        <v>662</v>
      </c>
      <c r="K2616" s="1178" t="s">
        <v>267</v>
      </c>
      <c r="L2616" s="1178" t="s">
        <v>268</v>
      </c>
      <c r="M2616" s="1369" t="s">
        <v>23297</v>
      </c>
      <c r="N2616" s="1178"/>
      <c r="O2616" s="1178">
        <v>12</v>
      </c>
      <c r="P2616" s="1178">
        <v>13.5</v>
      </c>
    </row>
    <row r="2617" spans="1:16">
      <c r="A2617" s="1178" t="s">
        <v>21260</v>
      </c>
      <c r="B2617" s="1371" t="str">
        <f>HYPERLINK(IFERROR("#Main_Tariff!A"&amp;MATCH(Raeburn_Main_Tariff[[#This Row],[Product Code]],Main_Tariff!I:I,0),"#Main_Tariff!A"&amp;MATCH("*"&amp;RIGHT(A2617,8)&amp;"*",Main_Tariff!A:A,0)),Raeburn_Main_Tariff[[#This Row],[PRODUCER]])</f>
        <v>Domaine Michel Briday</v>
      </c>
      <c r="C2617" s="1178" t="s">
        <v>21269</v>
      </c>
      <c r="D2617" s="1178" t="s">
        <v>897</v>
      </c>
      <c r="E2617" s="1179">
        <v>2016</v>
      </c>
      <c r="F2617" s="1282" t="s">
        <v>20220</v>
      </c>
      <c r="G2617" s="1368">
        <v>22.5</v>
      </c>
      <c r="H2617" s="1178" t="s">
        <v>20221</v>
      </c>
      <c r="I2617" s="1178" t="s">
        <v>8108</v>
      </c>
      <c r="J2617" s="1178" t="s">
        <v>662</v>
      </c>
      <c r="K2617" s="1178" t="s">
        <v>267</v>
      </c>
      <c r="L2617" s="1178" t="s">
        <v>268</v>
      </c>
      <c r="M2617" s="1369" t="s">
        <v>23297</v>
      </c>
      <c r="N2617" s="1178"/>
      <c r="O2617" s="1178">
        <v>12</v>
      </c>
      <c r="P2617" s="1178">
        <v>13</v>
      </c>
    </row>
    <row r="2618" spans="1:16">
      <c r="A2618" s="1178" t="s">
        <v>21260</v>
      </c>
      <c r="B2618" s="1371" t="str">
        <f>HYPERLINK(IFERROR("#Main_Tariff!A"&amp;MATCH(Raeburn_Main_Tariff[[#This Row],[Product Code]],Main_Tariff!I:I,0),"#Main_Tariff!A"&amp;MATCH("*"&amp;RIGHT(A2618,8)&amp;"*",Main_Tariff!A:A,0)),Raeburn_Main_Tariff[[#This Row],[PRODUCER]])</f>
        <v>Domaine Michel Briday</v>
      </c>
      <c r="C2618" s="1178" t="s">
        <v>21269</v>
      </c>
      <c r="D2618" s="1178" t="s">
        <v>897</v>
      </c>
      <c r="E2618" s="1179">
        <v>2015</v>
      </c>
      <c r="F2618" s="1282" t="s">
        <v>20220</v>
      </c>
      <c r="G2618" s="1368">
        <v>22.5</v>
      </c>
      <c r="H2618" s="1178" t="s">
        <v>20221</v>
      </c>
      <c r="I2618" s="1178" t="s">
        <v>8109</v>
      </c>
      <c r="J2618" s="1178" t="s">
        <v>662</v>
      </c>
      <c r="K2618" s="1178" t="s">
        <v>267</v>
      </c>
      <c r="L2618" s="1178" t="s">
        <v>268</v>
      </c>
      <c r="M2618" s="1369" t="s">
        <v>23297</v>
      </c>
      <c r="N2618" s="1178"/>
      <c r="O2618" s="1178">
        <v>12</v>
      </c>
      <c r="P2618" s="1178">
        <v>13.5</v>
      </c>
    </row>
    <row r="2619" spans="1:16">
      <c r="A2619" s="1178" t="s">
        <v>21260</v>
      </c>
      <c r="B2619" s="1371" t="str">
        <f>HYPERLINK(IFERROR("#Main_Tariff!A"&amp;MATCH(Raeburn_Main_Tariff[[#This Row],[Product Code]],Main_Tariff!I:I,0),"#Main_Tariff!A"&amp;MATCH("*"&amp;RIGHT(A2619,8)&amp;"*",Main_Tariff!A:A,0)),Raeburn_Main_Tariff[[#This Row],[PRODUCER]])</f>
        <v>Domaine Michel Briday</v>
      </c>
      <c r="C2619" s="1178" t="s">
        <v>21269</v>
      </c>
      <c r="D2619" s="1178" t="s">
        <v>897</v>
      </c>
      <c r="E2619" s="1179">
        <v>2013</v>
      </c>
      <c r="F2619" s="1282" t="s">
        <v>20220</v>
      </c>
      <c r="G2619" s="1368">
        <v>22.5</v>
      </c>
      <c r="H2619" s="1178" t="s">
        <v>20221</v>
      </c>
      <c r="I2619" s="1178" t="s">
        <v>8110</v>
      </c>
      <c r="J2619" s="1178" t="s">
        <v>662</v>
      </c>
      <c r="K2619" s="1178" t="s">
        <v>267</v>
      </c>
      <c r="L2619" s="1178" t="s">
        <v>268</v>
      </c>
      <c r="M2619" s="1369" t="s">
        <v>23297</v>
      </c>
      <c r="N2619" s="1178"/>
      <c r="O2619" s="1178">
        <v>12</v>
      </c>
      <c r="P2619" s="1178">
        <v>13</v>
      </c>
    </row>
    <row r="2620" spans="1:16">
      <c r="A2620" s="1178" t="s">
        <v>21260</v>
      </c>
      <c r="B2620" s="1371" t="str">
        <f>HYPERLINK(IFERROR("#Main_Tariff!A"&amp;MATCH(Raeburn_Main_Tariff[[#This Row],[Product Code]],Main_Tariff!I:I,0),"#Main_Tariff!A"&amp;MATCH("*"&amp;RIGHT(A2620,8)&amp;"*",Main_Tariff!A:A,0)),Raeburn_Main_Tariff[[#This Row],[PRODUCER]])</f>
        <v>Domaine Michel Briday</v>
      </c>
      <c r="C2620" s="1178" t="s">
        <v>21270</v>
      </c>
      <c r="D2620" s="1178" t="s">
        <v>897</v>
      </c>
      <c r="E2620" s="1179">
        <v>2022</v>
      </c>
      <c r="F2620" s="1282" t="s">
        <v>20220</v>
      </c>
      <c r="G2620" s="1368" t="s">
        <v>20342</v>
      </c>
      <c r="H2620" s="1178" t="s">
        <v>20343</v>
      </c>
      <c r="I2620" s="1178" t="s">
        <v>8111</v>
      </c>
      <c r="J2620" s="1178" t="s">
        <v>662</v>
      </c>
      <c r="K2620" s="1178" t="s">
        <v>267</v>
      </c>
      <c r="L2620" s="1178" t="s">
        <v>268</v>
      </c>
      <c r="M2620" s="1369" t="s">
        <v>23297</v>
      </c>
      <c r="N2620" s="1178"/>
      <c r="O2620" s="1178">
        <v>12</v>
      </c>
      <c r="P2620" s="1178">
        <v>0</v>
      </c>
    </row>
    <row r="2621" spans="1:16">
      <c r="A2621" s="1178" t="s">
        <v>21260</v>
      </c>
      <c r="B2621" s="1371" t="str">
        <f>HYPERLINK(IFERROR("#Main_Tariff!A"&amp;MATCH(Raeburn_Main_Tariff[[#This Row],[Product Code]],Main_Tariff!I:I,0),"#Main_Tariff!A"&amp;MATCH("*"&amp;RIGHT(A2621,8)&amp;"*",Main_Tariff!A:A,0)),Raeburn_Main_Tariff[[#This Row],[PRODUCER]])</f>
        <v>Domaine Michel Briday</v>
      </c>
      <c r="C2621" s="1178" t="s">
        <v>21270</v>
      </c>
      <c r="D2621" s="1178" t="s">
        <v>897</v>
      </c>
      <c r="E2621" s="1179">
        <v>2020</v>
      </c>
      <c r="F2621" s="1282" t="s">
        <v>20220</v>
      </c>
      <c r="G2621" s="1368">
        <v>24.75</v>
      </c>
      <c r="H2621" s="1178" t="s">
        <v>20221</v>
      </c>
      <c r="I2621" s="1178" t="s">
        <v>8112</v>
      </c>
      <c r="J2621" s="1178" t="s">
        <v>662</v>
      </c>
      <c r="K2621" s="1178" t="s">
        <v>267</v>
      </c>
      <c r="L2621" s="1178" t="s">
        <v>268</v>
      </c>
      <c r="M2621" s="1369" t="s">
        <v>23297</v>
      </c>
      <c r="N2621" s="1178"/>
      <c r="O2621" s="1178">
        <v>12</v>
      </c>
      <c r="P2621" s="1178">
        <v>14.5</v>
      </c>
    </row>
    <row r="2622" spans="1:16">
      <c r="A2622" s="1178" t="s">
        <v>21260</v>
      </c>
      <c r="B2622" s="1371" t="str">
        <f>HYPERLINK(IFERROR("#Main_Tariff!A"&amp;MATCH(Raeburn_Main_Tariff[[#This Row],[Product Code]],Main_Tariff!I:I,0),"#Main_Tariff!A"&amp;MATCH("*"&amp;RIGHT(A2622,8)&amp;"*",Main_Tariff!A:A,0)),Raeburn_Main_Tariff[[#This Row],[PRODUCER]])</f>
        <v>Domaine Michel Briday</v>
      </c>
      <c r="C2622" s="1178" t="s">
        <v>21270</v>
      </c>
      <c r="D2622" s="1178" t="s">
        <v>897</v>
      </c>
      <c r="E2622" s="1179">
        <v>2019</v>
      </c>
      <c r="F2622" s="1282" t="s">
        <v>20220</v>
      </c>
      <c r="G2622" s="1368">
        <v>24.75</v>
      </c>
      <c r="H2622" s="1178" t="s">
        <v>20221</v>
      </c>
      <c r="I2622" s="1178" t="s">
        <v>8113</v>
      </c>
      <c r="J2622" s="1178" t="s">
        <v>662</v>
      </c>
      <c r="K2622" s="1178" t="s">
        <v>267</v>
      </c>
      <c r="L2622" s="1178" t="s">
        <v>268</v>
      </c>
      <c r="M2622" s="1369" t="s">
        <v>23297</v>
      </c>
      <c r="N2622" s="1178"/>
      <c r="O2622" s="1178">
        <v>12</v>
      </c>
      <c r="P2622" s="1178">
        <v>14</v>
      </c>
    </row>
    <row r="2623" spans="1:16">
      <c r="A2623" s="1178" t="s">
        <v>21260</v>
      </c>
      <c r="B2623" s="1371" t="str">
        <f>HYPERLINK(IFERROR("#Main_Tariff!A"&amp;MATCH(Raeburn_Main_Tariff[[#This Row],[Product Code]],Main_Tariff!I:I,0),"#Main_Tariff!A"&amp;MATCH("*"&amp;RIGHT(A2623,8)&amp;"*",Main_Tariff!A:A,0)),Raeburn_Main_Tariff[[#This Row],[PRODUCER]])</f>
        <v>Domaine Michel Briday</v>
      </c>
      <c r="C2623" s="1178" t="s">
        <v>21270</v>
      </c>
      <c r="D2623" s="1178" t="s">
        <v>897</v>
      </c>
      <c r="E2623" s="1179">
        <v>2018</v>
      </c>
      <c r="F2623" s="1282" t="s">
        <v>20220</v>
      </c>
      <c r="G2623" s="1368">
        <v>23.5</v>
      </c>
      <c r="H2623" s="1178" t="s">
        <v>20221</v>
      </c>
      <c r="I2623" s="1178" t="s">
        <v>8114</v>
      </c>
      <c r="J2623" s="1178" t="s">
        <v>662</v>
      </c>
      <c r="K2623" s="1178" t="s">
        <v>267</v>
      </c>
      <c r="L2623" s="1178" t="s">
        <v>268</v>
      </c>
      <c r="M2623" s="1369" t="s">
        <v>23297</v>
      </c>
      <c r="N2623" s="1178"/>
      <c r="O2623" s="1178">
        <v>12</v>
      </c>
      <c r="P2623" s="1178">
        <v>14</v>
      </c>
    </row>
    <row r="2624" spans="1:16">
      <c r="A2624" s="1178" t="s">
        <v>21260</v>
      </c>
      <c r="B2624" s="1371" t="str">
        <f>HYPERLINK(IFERROR("#Main_Tariff!A"&amp;MATCH(Raeburn_Main_Tariff[[#This Row],[Product Code]],Main_Tariff!I:I,0),"#Main_Tariff!A"&amp;MATCH("*"&amp;RIGHT(A2624,8)&amp;"*",Main_Tariff!A:A,0)),Raeburn_Main_Tariff[[#This Row],[PRODUCER]])</f>
        <v>Domaine Michel Briday</v>
      </c>
      <c r="C2624" s="1178" t="s">
        <v>21270</v>
      </c>
      <c r="D2624" s="1178" t="s">
        <v>897</v>
      </c>
      <c r="E2624" s="1179">
        <v>2017</v>
      </c>
      <c r="F2624" s="1282" t="s">
        <v>20220</v>
      </c>
      <c r="G2624" s="1368">
        <v>23.5</v>
      </c>
      <c r="H2624" s="1178" t="s">
        <v>20221</v>
      </c>
      <c r="I2624" s="1178" t="s">
        <v>8115</v>
      </c>
      <c r="J2624" s="1178" t="s">
        <v>662</v>
      </c>
      <c r="K2624" s="1178" t="s">
        <v>267</v>
      </c>
      <c r="L2624" s="1178" t="s">
        <v>268</v>
      </c>
      <c r="M2624" s="1369" t="s">
        <v>23297</v>
      </c>
      <c r="N2624" s="1178"/>
      <c r="O2624" s="1178">
        <v>12</v>
      </c>
      <c r="P2624" s="1178">
        <v>13.5</v>
      </c>
    </row>
    <row r="2625" spans="1:16">
      <c r="A2625" s="1178" t="s">
        <v>21260</v>
      </c>
      <c r="B2625" s="1371" t="str">
        <f>HYPERLINK(IFERROR("#Main_Tariff!A"&amp;MATCH(Raeburn_Main_Tariff[[#This Row],[Product Code]],Main_Tariff!I:I,0),"#Main_Tariff!A"&amp;MATCH("*"&amp;RIGHT(A2625,8)&amp;"*",Main_Tariff!A:A,0)),Raeburn_Main_Tariff[[#This Row],[PRODUCER]])</f>
        <v>Domaine Michel Briday</v>
      </c>
      <c r="C2625" s="1178" t="s">
        <v>21270</v>
      </c>
      <c r="D2625" s="1178" t="s">
        <v>897</v>
      </c>
      <c r="E2625" s="1179">
        <v>2016</v>
      </c>
      <c r="F2625" s="1282" t="s">
        <v>20220</v>
      </c>
      <c r="G2625" s="1368">
        <v>23.5</v>
      </c>
      <c r="H2625" s="1178" t="s">
        <v>20221</v>
      </c>
      <c r="I2625" s="1178" t="s">
        <v>8116</v>
      </c>
      <c r="J2625" s="1178" t="s">
        <v>662</v>
      </c>
      <c r="K2625" s="1178" t="s">
        <v>267</v>
      </c>
      <c r="L2625" s="1178" t="s">
        <v>268</v>
      </c>
      <c r="M2625" s="1369" t="s">
        <v>23297</v>
      </c>
      <c r="N2625" s="1178"/>
      <c r="O2625" s="1178">
        <v>12</v>
      </c>
      <c r="P2625" s="1178">
        <v>13</v>
      </c>
    </row>
    <row r="2626" spans="1:16">
      <c r="A2626" s="1178" t="s">
        <v>21260</v>
      </c>
      <c r="B2626" s="1371" t="str">
        <f>HYPERLINK(IFERROR("#Main_Tariff!A"&amp;MATCH(Raeburn_Main_Tariff[[#This Row],[Product Code]],Main_Tariff!I:I,0),"#Main_Tariff!A"&amp;MATCH("*"&amp;RIGHT(A2626,8)&amp;"*",Main_Tariff!A:A,0)),Raeburn_Main_Tariff[[#This Row],[PRODUCER]])</f>
        <v>Domaine Michel Briday</v>
      </c>
      <c r="C2626" s="1178" t="s">
        <v>21270</v>
      </c>
      <c r="D2626" s="1178" t="s">
        <v>897</v>
      </c>
      <c r="E2626" s="1179">
        <v>2015</v>
      </c>
      <c r="F2626" s="1282" t="s">
        <v>20220</v>
      </c>
      <c r="G2626" s="1368">
        <v>23.5</v>
      </c>
      <c r="H2626" s="1178" t="s">
        <v>20221</v>
      </c>
      <c r="I2626" s="1178" t="s">
        <v>8117</v>
      </c>
      <c r="J2626" s="1178" t="s">
        <v>662</v>
      </c>
      <c r="K2626" s="1178" t="s">
        <v>267</v>
      </c>
      <c r="L2626" s="1178" t="s">
        <v>268</v>
      </c>
      <c r="M2626" s="1369" t="s">
        <v>23297</v>
      </c>
      <c r="N2626" s="1178"/>
      <c r="O2626" s="1178">
        <v>12</v>
      </c>
      <c r="P2626" s="1178">
        <v>13</v>
      </c>
    </row>
    <row r="2627" spans="1:16">
      <c r="A2627" s="1178" t="s">
        <v>21260</v>
      </c>
      <c r="B2627" s="1371" t="str">
        <f>HYPERLINK(IFERROR("#Main_Tariff!A"&amp;MATCH(Raeburn_Main_Tariff[[#This Row],[Product Code]],Main_Tariff!I:I,0),"#Main_Tariff!A"&amp;MATCH("*"&amp;RIGHT(A2627,8)&amp;"*",Main_Tariff!A:A,0)),Raeburn_Main_Tariff[[#This Row],[PRODUCER]])</f>
        <v>Domaine Michel Briday</v>
      </c>
      <c r="C2627" s="1178" t="s">
        <v>21270</v>
      </c>
      <c r="D2627" s="1178" t="s">
        <v>897</v>
      </c>
      <c r="E2627" s="1179">
        <v>2014</v>
      </c>
      <c r="F2627" s="1282" t="s">
        <v>20220</v>
      </c>
      <c r="G2627" s="1368">
        <v>23.5</v>
      </c>
      <c r="H2627" s="1178" t="s">
        <v>20221</v>
      </c>
      <c r="I2627" s="1178" t="s">
        <v>8118</v>
      </c>
      <c r="J2627" s="1178" t="s">
        <v>662</v>
      </c>
      <c r="K2627" s="1178" t="s">
        <v>267</v>
      </c>
      <c r="L2627" s="1178" t="s">
        <v>268</v>
      </c>
      <c r="M2627" s="1369" t="s">
        <v>23297</v>
      </c>
      <c r="N2627" s="1178"/>
      <c r="O2627" s="1178">
        <v>12</v>
      </c>
      <c r="P2627" s="1178">
        <v>13.5</v>
      </c>
    </row>
    <row r="2628" spans="1:16">
      <c r="A2628" s="1178" t="s">
        <v>21260</v>
      </c>
      <c r="B2628" s="1371" t="str">
        <f>HYPERLINK(IFERROR("#Main_Tariff!A"&amp;MATCH(Raeburn_Main_Tariff[[#This Row],[Product Code]],Main_Tariff!I:I,0),"#Main_Tariff!A"&amp;MATCH("*"&amp;RIGHT(A2628,8)&amp;"*",Main_Tariff!A:A,0)),Raeburn_Main_Tariff[[#This Row],[PRODUCER]])</f>
        <v>Domaine Michel Briday</v>
      </c>
      <c r="C2628" s="1178" t="s">
        <v>21271</v>
      </c>
      <c r="D2628" s="1178" t="s">
        <v>897</v>
      </c>
      <c r="E2628" s="1179">
        <v>2012</v>
      </c>
      <c r="F2628" s="1282" t="s">
        <v>20240</v>
      </c>
      <c r="G2628" s="1368">
        <v>51.5</v>
      </c>
      <c r="H2628" s="1178" t="s">
        <v>20221</v>
      </c>
      <c r="I2628" s="1178" t="s">
        <v>8119</v>
      </c>
      <c r="J2628" s="1178" t="s">
        <v>662</v>
      </c>
      <c r="K2628" s="1178" t="s">
        <v>267</v>
      </c>
      <c r="L2628" s="1178" t="s">
        <v>268</v>
      </c>
      <c r="M2628" s="1369" t="s">
        <v>23297</v>
      </c>
      <c r="N2628" s="1178"/>
      <c r="O2628" s="1178">
        <v>6</v>
      </c>
      <c r="P2628" s="1178">
        <v>13</v>
      </c>
    </row>
    <row r="2629" spans="1:16">
      <c r="A2629" s="1178" t="s">
        <v>21260</v>
      </c>
      <c r="B2629" s="1371" t="str">
        <f>HYPERLINK(IFERROR("#Main_Tariff!A"&amp;MATCH(Raeburn_Main_Tariff[[#This Row],[Product Code]],Main_Tariff!I:I,0),"#Main_Tariff!A"&amp;MATCH("*"&amp;RIGHT(A2629,8)&amp;"*",Main_Tariff!A:A,0)),Raeburn_Main_Tariff[[#This Row],[PRODUCER]])</f>
        <v>Domaine Michel Briday</v>
      </c>
      <c r="C2629" s="1178" t="s">
        <v>21272</v>
      </c>
      <c r="D2629" s="1178" t="s">
        <v>897</v>
      </c>
      <c r="E2629" s="1179">
        <v>2015</v>
      </c>
      <c r="F2629" s="1282" t="s">
        <v>20220</v>
      </c>
      <c r="G2629" s="1368">
        <v>24.75</v>
      </c>
      <c r="H2629" s="1178" t="s">
        <v>20221</v>
      </c>
      <c r="I2629" s="1178" t="s">
        <v>8121</v>
      </c>
      <c r="J2629" s="1178" t="s">
        <v>662</v>
      </c>
      <c r="K2629" s="1178" t="s">
        <v>267</v>
      </c>
      <c r="L2629" s="1178" t="s">
        <v>268</v>
      </c>
      <c r="M2629" s="1369" t="s">
        <v>23297</v>
      </c>
      <c r="N2629" s="1178"/>
      <c r="O2629" s="1178">
        <v>12</v>
      </c>
      <c r="P2629" s="1178">
        <v>13</v>
      </c>
    </row>
    <row r="2630" spans="1:16">
      <c r="A2630" s="1178" t="s">
        <v>21260</v>
      </c>
      <c r="B2630" s="1371" t="str">
        <f>HYPERLINK(IFERROR("#Main_Tariff!A"&amp;MATCH(Raeburn_Main_Tariff[[#This Row],[Product Code]],Main_Tariff!I:I,0),"#Main_Tariff!A"&amp;MATCH("*"&amp;RIGHT(A2630,8)&amp;"*",Main_Tariff!A:A,0)),Raeburn_Main_Tariff[[#This Row],[PRODUCER]])</f>
        <v>Domaine Michel Briday</v>
      </c>
      <c r="C2630" s="1178" t="s">
        <v>21272</v>
      </c>
      <c r="D2630" s="1178" t="s">
        <v>897</v>
      </c>
      <c r="E2630" s="1179">
        <v>2013</v>
      </c>
      <c r="F2630" s="1282" t="s">
        <v>20220</v>
      </c>
      <c r="G2630" s="1368">
        <v>24.75</v>
      </c>
      <c r="H2630" s="1178" t="s">
        <v>20221</v>
      </c>
      <c r="I2630" s="1178" t="s">
        <v>8122</v>
      </c>
      <c r="J2630" s="1178" t="s">
        <v>662</v>
      </c>
      <c r="K2630" s="1178" t="s">
        <v>267</v>
      </c>
      <c r="L2630" s="1178" t="s">
        <v>268</v>
      </c>
      <c r="M2630" s="1369" t="s">
        <v>23297</v>
      </c>
      <c r="N2630" s="1178"/>
      <c r="O2630" s="1178">
        <v>12</v>
      </c>
      <c r="P2630" s="1178">
        <v>13.5</v>
      </c>
    </row>
    <row r="2631" spans="1:16">
      <c r="A2631" s="1178" t="s">
        <v>21260</v>
      </c>
      <c r="B2631" s="1371" t="str">
        <f>HYPERLINK(IFERROR("#Main_Tariff!A"&amp;MATCH(Raeburn_Main_Tariff[[#This Row],[Product Code]],Main_Tariff!I:I,0),"#Main_Tariff!A"&amp;MATCH("*"&amp;RIGHT(A2631,8)&amp;"*",Main_Tariff!A:A,0)),Raeburn_Main_Tariff[[#This Row],[PRODUCER]])</f>
        <v>Domaine Michel Briday</v>
      </c>
      <c r="C2631" s="1178" t="s">
        <v>21272</v>
      </c>
      <c r="D2631" s="1178" t="s">
        <v>897</v>
      </c>
      <c r="E2631" s="1179">
        <v>2010</v>
      </c>
      <c r="F2631" s="1282" t="s">
        <v>20220</v>
      </c>
      <c r="G2631" s="1368">
        <v>24.75</v>
      </c>
      <c r="H2631" s="1178" t="s">
        <v>20221</v>
      </c>
      <c r="I2631" s="1178" t="s">
        <v>8123</v>
      </c>
      <c r="J2631" s="1178" t="s">
        <v>662</v>
      </c>
      <c r="K2631" s="1178" t="s">
        <v>267</v>
      </c>
      <c r="L2631" s="1178" t="s">
        <v>268</v>
      </c>
      <c r="M2631" s="1369" t="s">
        <v>23297</v>
      </c>
      <c r="N2631" s="1178"/>
      <c r="O2631" s="1178">
        <v>12</v>
      </c>
      <c r="P2631" s="1178">
        <v>15</v>
      </c>
    </row>
    <row r="2632" spans="1:16">
      <c r="A2632" s="1178" t="s">
        <v>21273</v>
      </c>
      <c r="B2632" s="1371" t="str">
        <f>HYPERLINK(IFERROR("#Main_Tariff!A"&amp;MATCH(Raeburn_Main_Tariff[[#This Row],[Product Code]],Main_Tariff!I:I,0),"#Main_Tariff!A"&amp;MATCH("*"&amp;RIGHT(A2632,8)&amp;"*",Main_Tariff!A:A,0)),Raeburn_Main_Tariff[[#This Row],[PRODUCER]])</f>
        <v>A&amp;I Hasard Les Champs de L'Abbaye</v>
      </c>
      <c r="C2632" s="1178" t="s">
        <v>21274</v>
      </c>
      <c r="D2632" s="1178" t="s">
        <v>884</v>
      </c>
      <c r="E2632" s="1179">
        <v>2021</v>
      </c>
      <c r="F2632" s="1282" t="s">
        <v>20220</v>
      </c>
      <c r="G2632" s="1368">
        <v>22.5</v>
      </c>
      <c r="H2632" s="1178" t="s">
        <v>20221</v>
      </c>
      <c r="I2632" s="1178" t="s">
        <v>8141</v>
      </c>
      <c r="J2632" s="1178" t="s">
        <v>662</v>
      </c>
      <c r="K2632" s="1178" t="s">
        <v>267</v>
      </c>
      <c r="L2632" s="1178" t="s">
        <v>268</v>
      </c>
      <c r="M2632" s="1369"/>
      <c r="N2632" s="1178"/>
      <c r="O2632" s="1178">
        <v>6</v>
      </c>
      <c r="P2632" s="1178">
        <v>13</v>
      </c>
    </row>
    <row r="2633" spans="1:16">
      <c r="A2633" s="1178" t="s">
        <v>21273</v>
      </c>
      <c r="B2633" s="1371" t="str">
        <f>HYPERLINK(IFERROR("#Main_Tariff!A"&amp;MATCH(Raeburn_Main_Tariff[[#This Row],[Product Code]],Main_Tariff!I:I,0),"#Main_Tariff!A"&amp;MATCH("*"&amp;RIGHT(A2633,8)&amp;"*",Main_Tariff!A:A,0)),Raeburn_Main_Tariff[[#This Row],[PRODUCER]])</f>
        <v>A&amp;I Hasard Les Champs de L'Abbaye</v>
      </c>
      <c r="C2633" s="1178" t="s">
        <v>21275</v>
      </c>
      <c r="D2633" s="1178" t="s">
        <v>1129</v>
      </c>
      <c r="E2633" s="1179">
        <v>2023</v>
      </c>
      <c r="F2633" s="1282" t="s">
        <v>20220</v>
      </c>
      <c r="G2633" s="1368">
        <v>23.5</v>
      </c>
      <c r="H2633" s="1178" t="s">
        <v>20221</v>
      </c>
      <c r="I2633" s="1178" t="s">
        <v>8144</v>
      </c>
      <c r="J2633" s="1178" t="s">
        <v>662</v>
      </c>
      <c r="K2633" s="1178" t="s">
        <v>267</v>
      </c>
      <c r="L2633" s="1178" t="s">
        <v>268</v>
      </c>
      <c r="M2633" s="1369"/>
      <c r="N2633" s="1178" t="s">
        <v>20244</v>
      </c>
      <c r="O2633" s="1178">
        <v>6</v>
      </c>
      <c r="P2633" s="1178">
        <v>13.5</v>
      </c>
    </row>
    <row r="2634" spans="1:16">
      <c r="A2634" s="1178" t="s">
        <v>21273</v>
      </c>
      <c r="B2634" s="1371" t="str">
        <f>HYPERLINK(IFERROR("#Main_Tariff!A"&amp;MATCH(Raeburn_Main_Tariff[[#This Row],[Product Code]],Main_Tariff!I:I,0),"#Main_Tariff!A"&amp;MATCH("*"&amp;RIGHT(A2634,8)&amp;"*",Main_Tariff!A:A,0)),Raeburn_Main_Tariff[[#This Row],[PRODUCER]])</f>
        <v>A&amp;I Hasard Les Champs de L'Abbaye</v>
      </c>
      <c r="C2634" s="1178" t="s">
        <v>21275</v>
      </c>
      <c r="D2634" s="1178" t="s">
        <v>1129</v>
      </c>
      <c r="E2634" s="1179">
        <v>2022</v>
      </c>
      <c r="F2634" s="1282" t="s">
        <v>20220</v>
      </c>
      <c r="G2634" s="1368">
        <v>23.5</v>
      </c>
      <c r="H2634" s="1178" t="s">
        <v>20221</v>
      </c>
      <c r="I2634" s="1178" t="s">
        <v>8146</v>
      </c>
      <c r="J2634" s="1178" t="s">
        <v>662</v>
      </c>
      <c r="K2634" s="1178" t="s">
        <v>267</v>
      </c>
      <c r="L2634" s="1178" t="s">
        <v>268</v>
      </c>
      <c r="M2634" s="1369"/>
      <c r="N2634" s="1178" t="s">
        <v>20244</v>
      </c>
      <c r="O2634" s="1178">
        <v>6</v>
      </c>
      <c r="P2634" s="1178">
        <v>12.5</v>
      </c>
    </row>
    <row r="2635" spans="1:16">
      <c r="A2635" s="1178" t="s">
        <v>21273</v>
      </c>
      <c r="B2635" s="1371" t="str">
        <f>HYPERLINK(IFERROR("#Main_Tariff!A"&amp;MATCH(Raeburn_Main_Tariff[[#This Row],[Product Code]],Main_Tariff!I:I,0),"#Main_Tariff!A"&amp;MATCH("*"&amp;RIGHT(A2635,8)&amp;"*",Main_Tariff!A:A,0)),Raeburn_Main_Tariff[[#This Row],[PRODUCER]])</f>
        <v>A&amp;I Hasard Les Champs de L'Abbaye</v>
      </c>
      <c r="C2635" s="1178" t="s">
        <v>21244</v>
      </c>
      <c r="D2635" s="1178" t="s">
        <v>1129</v>
      </c>
      <c r="E2635" s="1179">
        <v>2020</v>
      </c>
      <c r="F2635" s="1282" t="s">
        <v>20220</v>
      </c>
      <c r="G2635" s="1368">
        <v>21.5</v>
      </c>
      <c r="H2635" s="1178" t="s">
        <v>20221</v>
      </c>
      <c r="I2635" s="1178" t="s">
        <v>8148</v>
      </c>
      <c r="J2635" s="1178" t="s">
        <v>662</v>
      </c>
      <c r="K2635" s="1178" t="s">
        <v>267</v>
      </c>
      <c r="L2635" s="1178" t="s">
        <v>268</v>
      </c>
      <c r="M2635" s="1369"/>
      <c r="N2635" s="1178" t="s">
        <v>20244</v>
      </c>
      <c r="O2635" s="1178">
        <v>6</v>
      </c>
      <c r="P2635" s="1178">
        <v>15</v>
      </c>
    </row>
    <row r="2636" spans="1:16">
      <c r="A2636" s="1178" t="s">
        <v>21273</v>
      </c>
      <c r="B2636" s="1371" t="str">
        <f>HYPERLINK(IFERROR("#Main_Tariff!A"&amp;MATCH(Raeburn_Main_Tariff[[#This Row],[Product Code]],Main_Tariff!I:I,0),"#Main_Tariff!A"&amp;MATCH("*"&amp;RIGHT(A2636,8)&amp;"*",Main_Tariff!A:A,0)),Raeburn_Main_Tariff[[#This Row],[PRODUCER]])</f>
        <v>A&amp;I Hasard Les Champs de L'Abbaye</v>
      </c>
      <c r="C2636" s="1178" t="s">
        <v>21276</v>
      </c>
      <c r="D2636" s="1178" t="s">
        <v>1129</v>
      </c>
      <c r="E2636" s="1179">
        <v>2019</v>
      </c>
      <c r="F2636" s="1282" t="s">
        <v>20220</v>
      </c>
      <c r="G2636" s="1368">
        <v>22.5</v>
      </c>
      <c r="H2636" s="1178" t="s">
        <v>20221</v>
      </c>
      <c r="I2636" s="1178" t="s">
        <v>8150</v>
      </c>
      <c r="J2636" s="1178" t="s">
        <v>662</v>
      </c>
      <c r="K2636" s="1178" t="s">
        <v>267</v>
      </c>
      <c r="L2636" s="1178" t="s">
        <v>268</v>
      </c>
      <c r="M2636" s="1369"/>
      <c r="N2636" s="1178" t="s">
        <v>20244</v>
      </c>
      <c r="O2636" s="1178">
        <v>6</v>
      </c>
      <c r="P2636" s="1178">
        <v>13.5</v>
      </c>
    </row>
    <row r="2637" spans="1:16">
      <c r="A2637" s="1178" t="s">
        <v>21273</v>
      </c>
      <c r="B2637" s="1371" t="str">
        <f>HYPERLINK(IFERROR("#Main_Tariff!A"&amp;MATCH(Raeburn_Main_Tariff[[#This Row],[Product Code]],Main_Tariff!I:I,0),"#Main_Tariff!A"&amp;MATCH("*"&amp;RIGHT(A2637,8)&amp;"*",Main_Tariff!A:A,0)),Raeburn_Main_Tariff[[#This Row],[PRODUCER]])</f>
        <v>A&amp;I Hasard Les Champs de L'Abbaye</v>
      </c>
      <c r="C2637" s="1178" t="s">
        <v>21277</v>
      </c>
      <c r="D2637" s="1178" t="s">
        <v>1129</v>
      </c>
      <c r="E2637" s="1179">
        <v>2023</v>
      </c>
      <c r="F2637" s="1282" t="s">
        <v>20220</v>
      </c>
      <c r="G2637" s="1368">
        <v>30</v>
      </c>
      <c r="H2637" s="1178" t="s">
        <v>20221</v>
      </c>
      <c r="I2637" s="1178" t="s">
        <v>8154</v>
      </c>
      <c r="J2637" s="1178" t="s">
        <v>662</v>
      </c>
      <c r="K2637" s="1178" t="s">
        <v>267</v>
      </c>
      <c r="L2637" s="1178" t="s">
        <v>268</v>
      </c>
      <c r="M2637" s="1369"/>
      <c r="N2637" s="1178" t="s">
        <v>20244</v>
      </c>
      <c r="O2637" s="1178">
        <v>6</v>
      </c>
      <c r="P2637" s="1178">
        <v>13.5</v>
      </c>
    </row>
    <row r="2638" spans="1:16">
      <c r="A2638" s="1178" t="s">
        <v>21273</v>
      </c>
      <c r="B2638" s="1371" t="str">
        <f>HYPERLINK(IFERROR("#Main_Tariff!A"&amp;MATCH(Raeburn_Main_Tariff[[#This Row],[Product Code]],Main_Tariff!I:I,0),"#Main_Tariff!A"&amp;MATCH("*"&amp;RIGHT(A2638,8)&amp;"*",Main_Tariff!A:A,0)),Raeburn_Main_Tariff[[#This Row],[PRODUCER]])</f>
        <v>A&amp;I Hasard Les Champs de L'Abbaye</v>
      </c>
      <c r="C2638" s="1178" t="s">
        <v>21277</v>
      </c>
      <c r="D2638" s="1178" t="s">
        <v>1129</v>
      </c>
      <c r="E2638" s="1179">
        <v>2022</v>
      </c>
      <c r="F2638" s="1282" t="s">
        <v>20220</v>
      </c>
      <c r="G2638" s="1368">
        <v>30</v>
      </c>
      <c r="H2638" s="1178" t="s">
        <v>20221</v>
      </c>
      <c r="I2638" s="1178" t="s">
        <v>8156</v>
      </c>
      <c r="J2638" s="1178" t="s">
        <v>662</v>
      </c>
      <c r="K2638" s="1178" t="s">
        <v>267</v>
      </c>
      <c r="L2638" s="1178" t="s">
        <v>268</v>
      </c>
      <c r="M2638" s="1369"/>
      <c r="N2638" s="1178" t="s">
        <v>20244</v>
      </c>
      <c r="O2638" s="1178">
        <v>6</v>
      </c>
      <c r="P2638" s="1178">
        <v>12.5</v>
      </c>
    </row>
    <row r="2639" spans="1:16">
      <c r="A2639" s="1178" t="s">
        <v>21273</v>
      </c>
      <c r="B2639" s="1371" t="str">
        <f>HYPERLINK(IFERROR("#Main_Tariff!A"&amp;MATCH(Raeburn_Main_Tariff[[#This Row],[Product Code]],Main_Tariff!I:I,0),"#Main_Tariff!A"&amp;MATCH("*"&amp;RIGHT(A2639,8)&amp;"*",Main_Tariff!A:A,0)),Raeburn_Main_Tariff[[#This Row],[PRODUCER]])</f>
        <v>A&amp;I Hasard Les Champs de L'Abbaye</v>
      </c>
      <c r="C2639" s="1178" t="s">
        <v>21277</v>
      </c>
      <c r="D2639" s="1178" t="s">
        <v>1129</v>
      </c>
      <c r="E2639" s="1179">
        <v>2017</v>
      </c>
      <c r="F2639" s="1282" t="s">
        <v>20220</v>
      </c>
      <c r="G2639" s="1368">
        <v>29.5</v>
      </c>
      <c r="H2639" s="1178" t="s">
        <v>20224</v>
      </c>
      <c r="I2639" s="1178" t="s">
        <v>8157</v>
      </c>
      <c r="J2639" s="1178" t="s">
        <v>662</v>
      </c>
      <c r="K2639" s="1178" t="s">
        <v>267</v>
      </c>
      <c r="L2639" s="1178" t="s">
        <v>268</v>
      </c>
      <c r="M2639" s="1369"/>
      <c r="N2639" s="1178"/>
      <c r="O2639" s="1178">
        <v>12</v>
      </c>
      <c r="P2639" s="1178">
        <v>13.5</v>
      </c>
    </row>
    <row r="2640" spans="1:16">
      <c r="A2640" s="1178" t="s">
        <v>21273</v>
      </c>
      <c r="B2640" s="1371" t="str">
        <f>HYPERLINK(IFERROR("#Main_Tariff!A"&amp;MATCH(Raeburn_Main_Tariff[[#This Row],[Product Code]],Main_Tariff!I:I,0),"#Main_Tariff!A"&amp;MATCH("*"&amp;RIGHT(A2640,8)&amp;"*",Main_Tariff!A:A,0)),Raeburn_Main_Tariff[[#This Row],[PRODUCER]])</f>
        <v>A&amp;I Hasard Les Champs de L'Abbaye</v>
      </c>
      <c r="C2640" s="1178" t="s">
        <v>21278</v>
      </c>
      <c r="D2640" s="1178" t="s">
        <v>1129</v>
      </c>
      <c r="E2640" s="1179">
        <v>2023</v>
      </c>
      <c r="F2640" s="1282" t="s">
        <v>20220</v>
      </c>
      <c r="G2640" s="1368">
        <v>30</v>
      </c>
      <c r="H2640" s="1178" t="s">
        <v>20221</v>
      </c>
      <c r="I2640" s="1178" t="s">
        <v>8158</v>
      </c>
      <c r="J2640" s="1178" t="s">
        <v>662</v>
      </c>
      <c r="K2640" s="1178" t="s">
        <v>267</v>
      </c>
      <c r="L2640" s="1178" t="s">
        <v>268</v>
      </c>
      <c r="M2640" s="1369"/>
      <c r="N2640" s="1178"/>
      <c r="O2640" s="1178">
        <v>6</v>
      </c>
      <c r="P2640" s="1178">
        <v>13.5</v>
      </c>
    </row>
    <row r="2641" spans="1:16">
      <c r="A2641" s="1178" t="s">
        <v>21273</v>
      </c>
      <c r="B2641" s="1371" t="str">
        <f>HYPERLINK(IFERROR("#Main_Tariff!A"&amp;MATCH(Raeburn_Main_Tariff[[#This Row],[Product Code]],Main_Tariff!I:I,0),"#Main_Tariff!A"&amp;MATCH("*"&amp;RIGHT(A2641,8)&amp;"*",Main_Tariff!A:A,0)),Raeburn_Main_Tariff[[#This Row],[PRODUCER]])</f>
        <v>A&amp;I Hasard Les Champs de L'Abbaye</v>
      </c>
      <c r="C2641" s="1178" t="s">
        <v>21278</v>
      </c>
      <c r="D2641" s="1178" t="s">
        <v>1129</v>
      </c>
      <c r="E2641" s="1179">
        <v>2012</v>
      </c>
      <c r="F2641" s="1282" t="s">
        <v>20220</v>
      </c>
      <c r="G2641" s="1368">
        <v>29.5</v>
      </c>
      <c r="H2641" s="1178" t="s">
        <v>20221</v>
      </c>
      <c r="I2641" s="1178" t="s">
        <v>8159</v>
      </c>
      <c r="J2641" s="1178" t="s">
        <v>662</v>
      </c>
      <c r="K2641" s="1178" t="s">
        <v>267</v>
      </c>
      <c r="L2641" s="1178" t="s">
        <v>268</v>
      </c>
      <c r="M2641" s="1369"/>
      <c r="N2641" s="1178"/>
      <c r="O2641" s="1178">
        <v>12</v>
      </c>
      <c r="P2641" s="1178">
        <v>15</v>
      </c>
    </row>
    <row r="2642" spans="1:16">
      <c r="A2642" s="1178" t="s">
        <v>21273</v>
      </c>
      <c r="B2642" s="1371" t="str">
        <f>HYPERLINK(IFERROR("#Main_Tariff!A"&amp;MATCH(Raeburn_Main_Tariff[[#This Row],[Product Code]],Main_Tariff!I:I,0),"#Main_Tariff!A"&amp;MATCH("*"&amp;RIGHT(A2642,8)&amp;"*",Main_Tariff!A:A,0)),Raeburn_Main_Tariff[[#This Row],[PRODUCER]])</f>
        <v>A&amp;I Hasard Les Champs de L'Abbaye</v>
      </c>
      <c r="C2642" s="1178" t="s">
        <v>21279</v>
      </c>
      <c r="D2642" s="1178" t="s">
        <v>1129</v>
      </c>
      <c r="E2642" s="1179">
        <v>2020</v>
      </c>
      <c r="F2642" s="1282" t="s">
        <v>20220</v>
      </c>
      <c r="G2642" s="1368">
        <v>30.5</v>
      </c>
      <c r="H2642" s="1178" t="s">
        <v>20221</v>
      </c>
      <c r="I2642" s="1178" t="s">
        <v>8161</v>
      </c>
      <c r="J2642" s="1178" t="s">
        <v>662</v>
      </c>
      <c r="K2642" s="1178" t="s">
        <v>267</v>
      </c>
      <c r="L2642" s="1178" t="s">
        <v>268</v>
      </c>
      <c r="M2642" s="1369"/>
      <c r="N2642" s="1178" t="s">
        <v>20244</v>
      </c>
      <c r="O2642" s="1178">
        <v>6</v>
      </c>
      <c r="P2642" s="1178">
        <v>15</v>
      </c>
    </row>
    <row r="2643" spans="1:16">
      <c r="A2643" s="1178" t="s">
        <v>21273</v>
      </c>
      <c r="B2643" s="1371" t="str">
        <f>HYPERLINK(IFERROR("#Main_Tariff!A"&amp;MATCH(Raeburn_Main_Tariff[[#This Row],[Product Code]],Main_Tariff!I:I,0),"#Main_Tariff!A"&amp;MATCH("*"&amp;RIGHT(A2643,8)&amp;"*",Main_Tariff!A:A,0)),Raeburn_Main_Tariff[[#This Row],[PRODUCER]])</f>
        <v>A&amp;I Hasard Les Champs de L'Abbaye</v>
      </c>
      <c r="C2643" s="1178" t="s">
        <v>21280</v>
      </c>
      <c r="D2643" s="1178" t="s">
        <v>897</v>
      </c>
      <c r="E2643" s="1179">
        <v>2020</v>
      </c>
      <c r="F2643" s="1282" t="s">
        <v>20220</v>
      </c>
      <c r="G2643" s="1368">
        <v>20</v>
      </c>
      <c r="H2643" s="1178" t="s">
        <v>20221</v>
      </c>
      <c r="I2643" s="1178" t="s">
        <v>8162</v>
      </c>
      <c r="J2643" s="1178" t="s">
        <v>662</v>
      </c>
      <c r="K2643" s="1178" t="s">
        <v>267</v>
      </c>
      <c r="L2643" s="1178" t="s">
        <v>268</v>
      </c>
      <c r="M2643" s="1369"/>
      <c r="N2643" s="1178" t="s">
        <v>20244</v>
      </c>
      <c r="O2643" s="1178">
        <v>6</v>
      </c>
      <c r="P2643" s="1178">
        <v>13.5</v>
      </c>
    </row>
    <row r="2644" spans="1:16">
      <c r="A2644" s="1178" t="s">
        <v>21273</v>
      </c>
      <c r="B2644" s="1371" t="str">
        <f>HYPERLINK(IFERROR("#Main_Tariff!A"&amp;MATCH(Raeburn_Main_Tariff[[#This Row],[Product Code]],Main_Tariff!I:I,0),"#Main_Tariff!A"&amp;MATCH("*"&amp;RIGHT(A2644,8)&amp;"*",Main_Tariff!A:A,0)),Raeburn_Main_Tariff[[#This Row],[PRODUCER]])</f>
        <v>A&amp;I Hasard Les Champs de L'Abbaye</v>
      </c>
      <c r="C2644" s="1178" t="s">
        <v>21281</v>
      </c>
      <c r="D2644" s="1178" t="s">
        <v>897</v>
      </c>
      <c r="E2644" s="1179">
        <v>2023</v>
      </c>
      <c r="F2644" s="1282" t="s">
        <v>20220</v>
      </c>
      <c r="G2644" s="1368">
        <v>23</v>
      </c>
      <c r="H2644" s="1178" t="s">
        <v>20221</v>
      </c>
      <c r="I2644" s="1178" t="s">
        <v>8163</v>
      </c>
      <c r="J2644" s="1178" t="s">
        <v>662</v>
      </c>
      <c r="K2644" s="1178" t="s">
        <v>267</v>
      </c>
      <c r="L2644" s="1178" t="s">
        <v>268</v>
      </c>
      <c r="M2644" s="1369"/>
      <c r="N2644" s="1178" t="s">
        <v>20244</v>
      </c>
      <c r="O2644" s="1178">
        <v>6</v>
      </c>
      <c r="P2644" s="1178">
        <v>13.5</v>
      </c>
    </row>
    <row r="2645" spans="1:16">
      <c r="A2645" s="1178" t="s">
        <v>21273</v>
      </c>
      <c r="B2645" s="1371" t="str">
        <f>HYPERLINK(IFERROR("#Main_Tariff!A"&amp;MATCH(Raeburn_Main_Tariff[[#This Row],[Product Code]],Main_Tariff!I:I,0),"#Main_Tariff!A"&amp;MATCH("*"&amp;RIGHT(A2645,8)&amp;"*",Main_Tariff!A:A,0)),Raeburn_Main_Tariff[[#This Row],[PRODUCER]])</f>
        <v>A&amp;I Hasard Les Champs de L'Abbaye</v>
      </c>
      <c r="C2645" s="1178" t="s">
        <v>21281</v>
      </c>
      <c r="D2645" s="1178" t="s">
        <v>897</v>
      </c>
      <c r="E2645" s="1179">
        <v>2022</v>
      </c>
      <c r="F2645" s="1282" t="s">
        <v>20220</v>
      </c>
      <c r="G2645" s="1368">
        <v>23</v>
      </c>
      <c r="H2645" s="1178" t="s">
        <v>20221</v>
      </c>
      <c r="I2645" s="1178" t="s">
        <v>8164</v>
      </c>
      <c r="J2645" s="1178" t="s">
        <v>662</v>
      </c>
      <c r="K2645" s="1178" t="s">
        <v>267</v>
      </c>
      <c r="L2645" s="1178" t="s">
        <v>268</v>
      </c>
      <c r="M2645" s="1369"/>
      <c r="N2645" s="1178" t="s">
        <v>20244</v>
      </c>
      <c r="O2645" s="1178">
        <v>6</v>
      </c>
      <c r="P2645" s="1178">
        <v>13</v>
      </c>
    </row>
    <row r="2646" spans="1:16">
      <c r="A2646" s="1178" t="s">
        <v>21273</v>
      </c>
      <c r="B2646" s="1371" t="str">
        <f>HYPERLINK(IFERROR("#Main_Tariff!A"&amp;MATCH(Raeburn_Main_Tariff[[#This Row],[Product Code]],Main_Tariff!I:I,0),"#Main_Tariff!A"&amp;MATCH("*"&amp;RIGHT(A2646,8)&amp;"*",Main_Tariff!A:A,0)),Raeburn_Main_Tariff[[#This Row],[PRODUCER]])</f>
        <v>A&amp;I Hasard Les Champs de L'Abbaye</v>
      </c>
      <c r="C2646" s="1178" t="s">
        <v>21281</v>
      </c>
      <c r="D2646" s="1178" t="s">
        <v>897</v>
      </c>
      <c r="E2646" s="1179">
        <v>2020</v>
      </c>
      <c r="F2646" s="1282" t="s">
        <v>20220</v>
      </c>
      <c r="G2646" s="1368">
        <v>23</v>
      </c>
      <c r="H2646" s="1178" t="s">
        <v>20221</v>
      </c>
      <c r="I2646" s="1178" t="s">
        <v>8165</v>
      </c>
      <c r="J2646" s="1178" t="s">
        <v>662</v>
      </c>
      <c r="K2646" s="1178" t="s">
        <v>267</v>
      </c>
      <c r="L2646" s="1178" t="s">
        <v>268</v>
      </c>
      <c r="M2646" s="1369"/>
      <c r="N2646" s="1178" t="s">
        <v>20244</v>
      </c>
      <c r="O2646" s="1178">
        <v>6</v>
      </c>
      <c r="P2646" s="1178">
        <v>13.5</v>
      </c>
    </row>
    <row r="2647" spans="1:16">
      <c r="A2647" s="1178" t="s">
        <v>21273</v>
      </c>
      <c r="B2647" s="1371" t="str">
        <f>HYPERLINK(IFERROR("#Main_Tariff!A"&amp;MATCH(Raeburn_Main_Tariff[[#This Row],[Product Code]],Main_Tariff!I:I,0),"#Main_Tariff!A"&amp;MATCH("*"&amp;RIGHT(A2647,8)&amp;"*",Main_Tariff!A:A,0)),Raeburn_Main_Tariff[[#This Row],[PRODUCER]])</f>
        <v>A&amp;I Hasard Les Champs de L'Abbaye</v>
      </c>
      <c r="C2647" s="1178" t="s">
        <v>21281</v>
      </c>
      <c r="D2647" s="1178" t="s">
        <v>897</v>
      </c>
      <c r="E2647" s="1179">
        <v>2019</v>
      </c>
      <c r="F2647" s="1282" t="s">
        <v>20220</v>
      </c>
      <c r="G2647" s="1368">
        <v>23</v>
      </c>
      <c r="H2647" s="1178" t="s">
        <v>20221</v>
      </c>
      <c r="I2647" s="1178" t="s">
        <v>8166</v>
      </c>
      <c r="J2647" s="1178" t="s">
        <v>662</v>
      </c>
      <c r="K2647" s="1178" t="s">
        <v>267</v>
      </c>
      <c r="L2647" s="1178" t="s">
        <v>268</v>
      </c>
      <c r="M2647" s="1369"/>
      <c r="N2647" s="1178" t="s">
        <v>20244</v>
      </c>
      <c r="O2647" s="1178">
        <v>12</v>
      </c>
      <c r="P2647" s="1178">
        <v>13.5</v>
      </c>
    </row>
    <row r="2648" spans="1:16">
      <c r="A2648" s="1178" t="s">
        <v>21273</v>
      </c>
      <c r="B2648" s="1371" t="str">
        <f>HYPERLINK(IFERROR("#Main_Tariff!A"&amp;MATCH(Raeburn_Main_Tariff[[#This Row],[Product Code]],Main_Tariff!I:I,0),"#Main_Tariff!A"&amp;MATCH("*"&amp;RIGHT(A2648,8)&amp;"*",Main_Tariff!A:A,0)),Raeburn_Main_Tariff[[#This Row],[PRODUCER]])</f>
        <v>A&amp;I Hasard Les Champs de L'Abbaye</v>
      </c>
      <c r="C2648" s="1178" t="s">
        <v>21282</v>
      </c>
      <c r="D2648" s="1178" t="s">
        <v>897</v>
      </c>
      <c r="E2648" s="1179">
        <v>2021</v>
      </c>
      <c r="F2648" s="1282" t="s">
        <v>20220</v>
      </c>
      <c r="G2648" s="1368">
        <v>22</v>
      </c>
      <c r="H2648" s="1178" t="s">
        <v>20221</v>
      </c>
      <c r="I2648" s="1178" t="s">
        <v>8167</v>
      </c>
      <c r="J2648" s="1178" t="s">
        <v>662</v>
      </c>
      <c r="K2648" s="1178" t="s">
        <v>267</v>
      </c>
      <c r="L2648" s="1178" t="s">
        <v>268</v>
      </c>
      <c r="M2648" s="1369"/>
      <c r="N2648" s="1178" t="s">
        <v>20244</v>
      </c>
      <c r="O2648" s="1178">
        <v>12</v>
      </c>
      <c r="P2648" s="1178">
        <v>13</v>
      </c>
    </row>
    <row r="2649" spans="1:16">
      <c r="A2649" s="1178" t="s">
        <v>21273</v>
      </c>
      <c r="B2649" s="1371" t="str">
        <f>HYPERLINK(IFERROR("#Main_Tariff!A"&amp;MATCH(Raeburn_Main_Tariff[[#This Row],[Product Code]],Main_Tariff!I:I,0),"#Main_Tariff!A"&amp;MATCH("*"&amp;RIGHT(A2649,8)&amp;"*",Main_Tariff!A:A,0)),Raeburn_Main_Tariff[[#This Row],[PRODUCER]])</f>
        <v>A&amp;I Hasard Les Champs de L'Abbaye</v>
      </c>
      <c r="C2649" s="1178" t="s">
        <v>21282</v>
      </c>
      <c r="D2649" s="1178" t="s">
        <v>897</v>
      </c>
      <c r="E2649" s="1179">
        <v>2016</v>
      </c>
      <c r="F2649" s="1282" t="s">
        <v>20220</v>
      </c>
      <c r="G2649" s="1368">
        <v>22</v>
      </c>
      <c r="H2649" s="1178" t="s">
        <v>20221</v>
      </c>
      <c r="I2649" s="1178" t="s">
        <v>8168</v>
      </c>
      <c r="J2649" s="1178" t="s">
        <v>662</v>
      </c>
      <c r="K2649" s="1178" t="s">
        <v>267</v>
      </c>
      <c r="L2649" s="1178" t="s">
        <v>268</v>
      </c>
      <c r="M2649" s="1369"/>
      <c r="N2649" s="1178"/>
      <c r="O2649" s="1178">
        <v>12</v>
      </c>
      <c r="P2649" s="1178">
        <v>12.5</v>
      </c>
    </row>
    <row r="2650" spans="1:16">
      <c r="A2650" s="1178" t="s">
        <v>21273</v>
      </c>
      <c r="B2650" s="1371" t="str">
        <f>HYPERLINK(IFERROR("#Main_Tariff!A"&amp;MATCH(Raeburn_Main_Tariff[[#This Row],[Product Code]],Main_Tariff!I:I,0),"#Main_Tariff!A"&amp;MATCH("*"&amp;RIGHT(A2650,8)&amp;"*",Main_Tariff!A:A,0)),Raeburn_Main_Tariff[[#This Row],[PRODUCER]])</f>
        <v>A&amp;I Hasard Les Champs de L'Abbaye</v>
      </c>
      <c r="C2650" s="1178" t="s">
        <v>21283</v>
      </c>
      <c r="D2650" s="1178" t="s">
        <v>897</v>
      </c>
      <c r="E2650" s="1179">
        <v>2021</v>
      </c>
      <c r="F2650" s="1282" t="s">
        <v>20220</v>
      </c>
      <c r="G2650" s="1368">
        <v>29</v>
      </c>
      <c r="H2650" s="1178" t="s">
        <v>20221</v>
      </c>
      <c r="I2650" s="1178" t="s">
        <v>8170</v>
      </c>
      <c r="J2650" s="1178" t="s">
        <v>662</v>
      </c>
      <c r="K2650" s="1178" t="s">
        <v>267</v>
      </c>
      <c r="L2650" s="1178" t="s">
        <v>268</v>
      </c>
      <c r="M2650" s="1369"/>
      <c r="N2650" s="1178" t="s">
        <v>20244</v>
      </c>
      <c r="O2650" s="1178">
        <v>12</v>
      </c>
      <c r="P2650" s="1178">
        <v>13</v>
      </c>
    </row>
    <row r="2651" spans="1:16">
      <c r="A2651" s="1178" t="s">
        <v>21273</v>
      </c>
      <c r="B2651" s="1371" t="str">
        <f>HYPERLINK(IFERROR("#Main_Tariff!A"&amp;MATCH(Raeburn_Main_Tariff[[#This Row],[Product Code]],Main_Tariff!I:I,0),"#Main_Tariff!A"&amp;MATCH("*"&amp;RIGHT(A2651,8)&amp;"*",Main_Tariff!A:A,0)),Raeburn_Main_Tariff[[#This Row],[PRODUCER]])</f>
        <v>A&amp;I Hasard Les Champs de L'Abbaye</v>
      </c>
      <c r="C2651" s="1178" t="s">
        <v>21283</v>
      </c>
      <c r="D2651" s="1178" t="s">
        <v>897</v>
      </c>
      <c r="E2651" s="1179">
        <v>2020</v>
      </c>
      <c r="F2651" s="1282" t="s">
        <v>20220</v>
      </c>
      <c r="G2651" s="1368">
        <v>29</v>
      </c>
      <c r="H2651" s="1178" t="s">
        <v>20221</v>
      </c>
      <c r="I2651" s="1178" t="s">
        <v>8171</v>
      </c>
      <c r="J2651" s="1178" t="s">
        <v>662</v>
      </c>
      <c r="K2651" s="1178" t="s">
        <v>267</v>
      </c>
      <c r="L2651" s="1178" t="s">
        <v>268</v>
      </c>
      <c r="M2651" s="1369"/>
      <c r="N2651" s="1178" t="s">
        <v>20244</v>
      </c>
      <c r="O2651" s="1178">
        <v>6</v>
      </c>
      <c r="P2651" s="1178">
        <v>13.5</v>
      </c>
    </row>
    <row r="2652" spans="1:16">
      <c r="A2652" s="1178" t="s">
        <v>21273</v>
      </c>
      <c r="B2652" s="1371" t="str">
        <f>HYPERLINK(IFERROR("#Main_Tariff!A"&amp;MATCH(Raeburn_Main_Tariff[[#This Row],[Product Code]],Main_Tariff!I:I,0),"#Main_Tariff!A"&amp;MATCH("*"&amp;RIGHT(A2652,8)&amp;"*",Main_Tariff!A:A,0)),Raeburn_Main_Tariff[[#This Row],[PRODUCER]])</f>
        <v>A&amp;I Hasard Les Champs de L'Abbaye</v>
      </c>
      <c r="C2652" s="1178" t="s">
        <v>21283</v>
      </c>
      <c r="D2652" s="1178" t="s">
        <v>897</v>
      </c>
      <c r="E2652" s="1179">
        <v>2019</v>
      </c>
      <c r="F2652" s="1282" t="s">
        <v>20220</v>
      </c>
      <c r="G2652" s="1368">
        <v>29</v>
      </c>
      <c r="H2652" s="1178" t="s">
        <v>20221</v>
      </c>
      <c r="I2652" s="1178" t="s">
        <v>8172</v>
      </c>
      <c r="J2652" s="1178" t="s">
        <v>662</v>
      </c>
      <c r="K2652" s="1178" t="s">
        <v>267</v>
      </c>
      <c r="L2652" s="1178" t="s">
        <v>268</v>
      </c>
      <c r="M2652" s="1369"/>
      <c r="N2652" s="1178" t="s">
        <v>20244</v>
      </c>
      <c r="O2652" s="1178">
        <v>6</v>
      </c>
      <c r="P2652" s="1178">
        <v>13.5</v>
      </c>
    </row>
    <row r="2653" spans="1:16">
      <c r="A2653" s="1178" t="s">
        <v>21273</v>
      </c>
      <c r="B2653" s="1371" t="str">
        <f>HYPERLINK(IFERROR("#Main_Tariff!A"&amp;MATCH(Raeburn_Main_Tariff[[#This Row],[Product Code]],Main_Tariff!I:I,0),"#Main_Tariff!A"&amp;MATCH("*"&amp;RIGHT(A2653,8)&amp;"*",Main_Tariff!A:A,0)),Raeburn_Main_Tariff[[#This Row],[PRODUCER]])</f>
        <v>A&amp;I Hasard Les Champs de L'Abbaye</v>
      </c>
      <c r="C2653" s="1178" t="s">
        <v>21283</v>
      </c>
      <c r="D2653" s="1178" t="s">
        <v>897</v>
      </c>
      <c r="E2653" s="1179">
        <v>2018</v>
      </c>
      <c r="F2653" s="1282" t="s">
        <v>20220</v>
      </c>
      <c r="G2653" s="1368">
        <v>24.5</v>
      </c>
      <c r="H2653" s="1178" t="s">
        <v>20221</v>
      </c>
      <c r="I2653" s="1178" t="s">
        <v>8173</v>
      </c>
      <c r="J2653" s="1178" t="s">
        <v>662</v>
      </c>
      <c r="K2653" s="1178" t="s">
        <v>267</v>
      </c>
      <c r="L2653" s="1178" t="s">
        <v>268</v>
      </c>
      <c r="M2653" s="1369"/>
      <c r="N2653" s="1178"/>
      <c r="O2653" s="1178">
        <v>6</v>
      </c>
      <c r="P2653" s="1178">
        <v>13.5</v>
      </c>
    </row>
    <row r="2654" spans="1:16">
      <c r="A2654" s="1178" t="s">
        <v>21273</v>
      </c>
      <c r="B2654" s="1371" t="str">
        <f>HYPERLINK(IFERROR("#Main_Tariff!A"&amp;MATCH(Raeburn_Main_Tariff[[#This Row],[Product Code]],Main_Tariff!I:I,0),"#Main_Tariff!A"&amp;MATCH("*"&amp;RIGHT(A2654,8)&amp;"*",Main_Tariff!A:A,0)),Raeburn_Main_Tariff[[#This Row],[PRODUCER]])</f>
        <v>A&amp;I Hasard Les Champs de L'Abbaye</v>
      </c>
      <c r="C2654" s="1178" t="s">
        <v>21283</v>
      </c>
      <c r="D2654" s="1178" t="s">
        <v>897</v>
      </c>
      <c r="E2654" s="1179">
        <v>2017</v>
      </c>
      <c r="F2654" s="1282" t="s">
        <v>20220</v>
      </c>
      <c r="G2654" s="1368">
        <v>24.5</v>
      </c>
      <c r="H2654" s="1178" t="s">
        <v>20221</v>
      </c>
      <c r="I2654" s="1178" t="s">
        <v>8174</v>
      </c>
      <c r="J2654" s="1178" t="s">
        <v>662</v>
      </c>
      <c r="K2654" s="1178" t="s">
        <v>267</v>
      </c>
      <c r="L2654" s="1178" t="s">
        <v>268</v>
      </c>
      <c r="M2654" s="1369"/>
      <c r="N2654" s="1178"/>
      <c r="O2654" s="1178">
        <v>12</v>
      </c>
      <c r="P2654" s="1178">
        <v>13</v>
      </c>
    </row>
    <row r="2655" spans="1:16">
      <c r="A2655" s="1178" t="s">
        <v>21273</v>
      </c>
      <c r="B2655" s="1371" t="str">
        <f>HYPERLINK(IFERROR("#Main_Tariff!A"&amp;MATCH(Raeburn_Main_Tariff[[#This Row],[Product Code]],Main_Tariff!I:I,0),"#Main_Tariff!A"&amp;MATCH("*"&amp;RIGHT(A2655,8)&amp;"*",Main_Tariff!A:A,0)),Raeburn_Main_Tariff[[#This Row],[PRODUCER]])</f>
        <v>A&amp;I Hasard Les Champs de L'Abbaye</v>
      </c>
      <c r="C2655" s="1178" t="s">
        <v>21283</v>
      </c>
      <c r="D2655" s="1178" t="s">
        <v>897</v>
      </c>
      <c r="E2655" s="1179">
        <v>2016</v>
      </c>
      <c r="F2655" s="1282" t="s">
        <v>20220</v>
      </c>
      <c r="G2655" s="1368">
        <v>24.5</v>
      </c>
      <c r="H2655" s="1178" t="s">
        <v>20221</v>
      </c>
      <c r="I2655" s="1178" t="s">
        <v>8175</v>
      </c>
      <c r="J2655" s="1178" t="s">
        <v>662</v>
      </c>
      <c r="K2655" s="1178" t="s">
        <v>267</v>
      </c>
      <c r="L2655" s="1178" t="s">
        <v>268</v>
      </c>
      <c r="M2655" s="1369"/>
      <c r="N2655" s="1178"/>
      <c r="O2655" s="1178">
        <v>12</v>
      </c>
      <c r="P2655" s="1178">
        <v>12.5</v>
      </c>
    </row>
    <row r="2656" spans="1:16">
      <c r="A2656" s="1178" t="s">
        <v>21273</v>
      </c>
      <c r="B2656" s="1371" t="str">
        <f>HYPERLINK(IFERROR("#Main_Tariff!A"&amp;MATCH(Raeburn_Main_Tariff[[#This Row],[Product Code]],Main_Tariff!I:I,0),"#Main_Tariff!A"&amp;MATCH("*"&amp;RIGHT(A2656,8)&amp;"*",Main_Tariff!A:A,0)),Raeburn_Main_Tariff[[#This Row],[PRODUCER]])</f>
        <v>A&amp;I Hasard Les Champs de L'Abbaye</v>
      </c>
      <c r="C2656" s="1178" t="s">
        <v>21283</v>
      </c>
      <c r="D2656" s="1178" t="s">
        <v>897</v>
      </c>
      <c r="E2656" s="1179">
        <v>2015</v>
      </c>
      <c r="F2656" s="1282" t="s">
        <v>20220</v>
      </c>
      <c r="G2656" s="1368">
        <v>24.5</v>
      </c>
      <c r="H2656" s="1178" t="s">
        <v>20224</v>
      </c>
      <c r="I2656" s="1178" t="s">
        <v>8176</v>
      </c>
      <c r="J2656" s="1178" t="s">
        <v>662</v>
      </c>
      <c r="K2656" s="1178" t="s">
        <v>267</v>
      </c>
      <c r="L2656" s="1178" t="s">
        <v>268</v>
      </c>
      <c r="M2656" s="1369"/>
      <c r="N2656" s="1178"/>
      <c r="O2656" s="1178">
        <v>6</v>
      </c>
      <c r="P2656" s="1178">
        <v>13</v>
      </c>
    </row>
    <row r="2657" spans="1:16">
      <c r="A2657" s="1178" t="s">
        <v>21273</v>
      </c>
      <c r="B2657" s="1371" t="str">
        <f>HYPERLINK(IFERROR("#Main_Tariff!A"&amp;MATCH(Raeburn_Main_Tariff[[#This Row],[Product Code]],Main_Tariff!I:I,0),"#Main_Tariff!A"&amp;MATCH("*"&amp;RIGHT(A2657,8)&amp;"*",Main_Tariff!A:A,0)),Raeburn_Main_Tariff[[#This Row],[PRODUCER]])</f>
        <v>A&amp;I Hasard Les Champs de L'Abbaye</v>
      </c>
      <c r="C2657" s="1178" t="s">
        <v>21283</v>
      </c>
      <c r="D2657" s="1178" t="s">
        <v>897</v>
      </c>
      <c r="E2657" s="1179">
        <v>2013</v>
      </c>
      <c r="F2657" s="1282" t="s">
        <v>20220</v>
      </c>
      <c r="G2657" s="1368">
        <v>24.5</v>
      </c>
      <c r="H2657" s="1178" t="s">
        <v>20221</v>
      </c>
      <c r="I2657" s="1178" t="s">
        <v>8177</v>
      </c>
      <c r="J2657" s="1178" t="s">
        <v>662</v>
      </c>
      <c r="K2657" s="1178" t="s">
        <v>267</v>
      </c>
      <c r="L2657" s="1178" t="s">
        <v>268</v>
      </c>
      <c r="M2657" s="1369"/>
      <c r="N2657" s="1178"/>
      <c r="O2657" s="1178">
        <v>12</v>
      </c>
      <c r="P2657" s="1178">
        <v>12</v>
      </c>
    </row>
    <row r="2658" spans="1:16">
      <c r="A2658" s="1178" t="s">
        <v>21273</v>
      </c>
      <c r="B2658" s="1371" t="str">
        <f>HYPERLINK(IFERROR("#Main_Tariff!A"&amp;MATCH(Raeburn_Main_Tariff[[#This Row],[Product Code]],Main_Tariff!I:I,0),"#Main_Tariff!A"&amp;MATCH("*"&amp;RIGHT(A2658,8)&amp;"*",Main_Tariff!A:A,0)),Raeburn_Main_Tariff[[#This Row],[PRODUCER]])</f>
        <v>A&amp;I Hasard Les Champs de L'Abbaye</v>
      </c>
      <c r="C2658" s="1178" t="s">
        <v>21283</v>
      </c>
      <c r="D2658" s="1178" t="s">
        <v>897</v>
      </c>
      <c r="E2658" s="1179">
        <v>2012</v>
      </c>
      <c r="F2658" s="1282" t="s">
        <v>20220</v>
      </c>
      <c r="G2658" s="1368">
        <v>24.5</v>
      </c>
      <c r="H2658" s="1178" t="s">
        <v>20221</v>
      </c>
      <c r="I2658" s="1178" t="s">
        <v>8178</v>
      </c>
      <c r="J2658" s="1178" t="s">
        <v>662</v>
      </c>
      <c r="K2658" s="1178" t="s">
        <v>267</v>
      </c>
      <c r="L2658" s="1178" t="s">
        <v>268</v>
      </c>
      <c r="M2658" s="1369"/>
      <c r="N2658" s="1178"/>
      <c r="O2658" s="1178">
        <v>12</v>
      </c>
      <c r="P2658" s="1178">
        <v>12.5</v>
      </c>
    </row>
    <row r="2659" spans="1:16">
      <c r="A2659" s="1178" t="s">
        <v>21273</v>
      </c>
      <c r="B2659" s="1371" t="str">
        <f>HYPERLINK(IFERROR("#Main_Tariff!A"&amp;MATCH(Raeburn_Main_Tariff[[#This Row],[Product Code]],Main_Tariff!I:I,0),"#Main_Tariff!A"&amp;MATCH("*"&amp;RIGHT(A2659,8)&amp;"*",Main_Tariff!A:A,0)),Raeburn_Main_Tariff[[#This Row],[PRODUCER]])</f>
        <v>A&amp;I Hasard Les Champs de L'Abbaye</v>
      </c>
      <c r="C2659" s="1178" t="s">
        <v>21284</v>
      </c>
      <c r="D2659" s="1178" t="s">
        <v>897</v>
      </c>
      <c r="E2659" s="1179">
        <v>2023</v>
      </c>
      <c r="F2659" s="1282" t="s">
        <v>20220</v>
      </c>
      <c r="G2659" s="1368">
        <v>30</v>
      </c>
      <c r="H2659" s="1178" t="s">
        <v>20221</v>
      </c>
      <c r="I2659" s="1178" t="s">
        <v>8179</v>
      </c>
      <c r="J2659" s="1178" t="s">
        <v>662</v>
      </c>
      <c r="K2659" s="1178" t="s">
        <v>267</v>
      </c>
      <c r="L2659" s="1178" t="s">
        <v>268</v>
      </c>
      <c r="M2659" s="1369"/>
      <c r="N2659" s="1178" t="s">
        <v>20244</v>
      </c>
      <c r="O2659" s="1178">
        <v>6</v>
      </c>
      <c r="P2659" s="1178">
        <v>13</v>
      </c>
    </row>
    <row r="2660" spans="1:16">
      <c r="A2660" s="1178" t="s">
        <v>21273</v>
      </c>
      <c r="B2660" s="1371" t="str">
        <f>HYPERLINK(IFERROR("#Main_Tariff!A"&amp;MATCH(Raeburn_Main_Tariff[[#This Row],[Product Code]],Main_Tariff!I:I,0),"#Main_Tariff!A"&amp;MATCH("*"&amp;RIGHT(A2660,8)&amp;"*",Main_Tariff!A:A,0)),Raeburn_Main_Tariff[[#This Row],[PRODUCER]])</f>
        <v>A&amp;I Hasard Les Champs de L'Abbaye</v>
      </c>
      <c r="C2660" s="1178" t="s">
        <v>21284</v>
      </c>
      <c r="D2660" s="1178" t="s">
        <v>897</v>
      </c>
      <c r="E2660" s="1179">
        <v>2022</v>
      </c>
      <c r="F2660" s="1282" t="s">
        <v>20220</v>
      </c>
      <c r="G2660" s="1368">
        <v>30</v>
      </c>
      <c r="H2660" s="1178" t="s">
        <v>20221</v>
      </c>
      <c r="I2660" s="1178" t="s">
        <v>8180</v>
      </c>
      <c r="J2660" s="1178" t="s">
        <v>662</v>
      </c>
      <c r="K2660" s="1178" t="s">
        <v>267</v>
      </c>
      <c r="L2660" s="1178" t="s">
        <v>268</v>
      </c>
      <c r="M2660" s="1369"/>
      <c r="N2660" s="1178" t="s">
        <v>20244</v>
      </c>
      <c r="O2660" s="1178">
        <v>6</v>
      </c>
      <c r="P2660" s="1178">
        <v>13</v>
      </c>
    </row>
    <row r="2661" spans="1:16">
      <c r="A2661" s="1178" t="s">
        <v>21273</v>
      </c>
      <c r="B2661" s="1371" t="str">
        <f>HYPERLINK(IFERROR("#Main_Tariff!A"&amp;MATCH(Raeburn_Main_Tariff[[#This Row],[Product Code]],Main_Tariff!I:I,0),"#Main_Tariff!A"&amp;MATCH("*"&amp;RIGHT(A2661,8)&amp;"*",Main_Tariff!A:A,0)),Raeburn_Main_Tariff[[#This Row],[PRODUCER]])</f>
        <v>A&amp;I Hasard Les Champs de L'Abbaye</v>
      </c>
      <c r="C2661" s="1178" t="s">
        <v>21284</v>
      </c>
      <c r="D2661" s="1178" t="s">
        <v>897</v>
      </c>
      <c r="E2661" s="1179">
        <v>2021</v>
      </c>
      <c r="F2661" s="1282" t="s">
        <v>20220</v>
      </c>
      <c r="G2661" s="1368">
        <v>30</v>
      </c>
      <c r="H2661" s="1178" t="s">
        <v>20221</v>
      </c>
      <c r="I2661" s="1178" t="s">
        <v>8181</v>
      </c>
      <c r="J2661" s="1178" t="s">
        <v>662</v>
      </c>
      <c r="K2661" s="1178" t="s">
        <v>267</v>
      </c>
      <c r="L2661" s="1178" t="s">
        <v>268</v>
      </c>
      <c r="M2661" s="1369"/>
      <c r="N2661" s="1178" t="s">
        <v>20244</v>
      </c>
      <c r="O2661" s="1178">
        <v>12</v>
      </c>
      <c r="P2661" s="1178">
        <v>13</v>
      </c>
    </row>
    <row r="2662" spans="1:16">
      <c r="A2662" s="1178" t="s">
        <v>21273</v>
      </c>
      <c r="B2662" s="1371" t="str">
        <f>HYPERLINK(IFERROR("#Main_Tariff!A"&amp;MATCH(Raeburn_Main_Tariff[[#This Row],[Product Code]],Main_Tariff!I:I,0),"#Main_Tariff!A"&amp;MATCH("*"&amp;RIGHT(A2662,8)&amp;"*",Main_Tariff!A:A,0)),Raeburn_Main_Tariff[[#This Row],[PRODUCER]])</f>
        <v>A&amp;I Hasard Les Champs de L'Abbaye</v>
      </c>
      <c r="C2662" s="1178" t="s">
        <v>21284</v>
      </c>
      <c r="D2662" s="1178" t="s">
        <v>897</v>
      </c>
      <c r="E2662" s="1179">
        <v>2020</v>
      </c>
      <c r="F2662" s="1282" t="s">
        <v>20220</v>
      </c>
      <c r="G2662" s="1368">
        <v>30</v>
      </c>
      <c r="H2662" s="1178" t="s">
        <v>20221</v>
      </c>
      <c r="I2662" s="1178" t="s">
        <v>8182</v>
      </c>
      <c r="J2662" s="1178" t="s">
        <v>662</v>
      </c>
      <c r="K2662" s="1178" t="s">
        <v>267</v>
      </c>
      <c r="L2662" s="1178" t="s">
        <v>268</v>
      </c>
      <c r="M2662" s="1369"/>
      <c r="N2662" s="1178" t="s">
        <v>20244</v>
      </c>
      <c r="O2662" s="1178">
        <v>6</v>
      </c>
      <c r="P2662" s="1178">
        <v>13.5</v>
      </c>
    </row>
    <row r="2663" spans="1:16">
      <c r="A2663" s="1178" t="s">
        <v>21273</v>
      </c>
      <c r="B2663" s="1371" t="str">
        <f>HYPERLINK(IFERROR("#Main_Tariff!A"&amp;MATCH(Raeburn_Main_Tariff[[#This Row],[Product Code]],Main_Tariff!I:I,0),"#Main_Tariff!A"&amp;MATCH("*"&amp;RIGHT(A2663,8)&amp;"*",Main_Tariff!A:A,0)),Raeburn_Main_Tariff[[#This Row],[PRODUCER]])</f>
        <v>A&amp;I Hasard Les Champs de L'Abbaye</v>
      </c>
      <c r="C2663" s="1178" t="s">
        <v>21284</v>
      </c>
      <c r="D2663" s="1178" t="s">
        <v>897</v>
      </c>
      <c r="E2663" s="1179">
        <v>2019</v>
      </c>
      <c r="F2663" s="1282" t="s">
        <v>20220</v>
      </c>
      <c r="G2663" s="1368">
        <v>30</v>
      </c>
      <c r="H2663" s="1178" t="s">
        <v>20221</v>
      </c>
      <c r="I2663" s="1178" t="s">
        <v>8183</v>
      </c>
      <c r="J2663" s="1178" t="s">
        <v>662</v>
      </c>
      <c r="K2663" s="1178" t="s">
        <v>267</v>
      </c>
      <c r="L2663" s="1178" t="s">
        <v>268</v>
      </c>
      <c r="M2663" s="1369"/>
      <c r="N2663" s="1178" t="s">
        <v>20244</v>
      </c>
      <c r="O2663" s="1178">
        <v>6</v>
      </c>
      <c r="P2663" s="1178">
        <v>13.5</v>
      </c>
    </row>
    <row r="2664" spans="1:16">
      <c r="A2664" s="1178" t="s">
        <v>21273</v>
      </c>
      <c r="B2664" s="1371" t="str">
        <f>HYPERLINK(IFERROR("#Main_Tariff!A"&amp;MATCH(Raeburn_Main_Tariff[[#This Row],[Product Code]],Main_Tariff!I:I,0),"#Main_Tariff!A"&amp;MATCH("*"&amp;RIGHT(A2664,8)&amp;"*",Main_Tariff!A:A,0)),Raeburn_Main_Tariff[[#This Row],[PRODUCER]])</f>
        <v>A&amp;I Hasard Les Champs de L'Abbaye</v>
      </c>
      <c r="C2664" s="1178" t="s">
        <v>21284</v>
      </c>
      <c r="D2664" s="1178" t="s">
        <v>897</v>
      </c>
      <c r="E2664" s="1179">
        <v>2018</v>
      </c>
      <c r="F2664" s="1282" t="s">
        <v>20220</v>
      </c>
      <c r="G2664" s="1368">
        <v>24.5</v>
      </c>
      <c r="H2664" s="1178" t="s">
        <v>20277</v>
      </c>
      <c r="I2664" s="1178" t="s">
        <v>8184</v>
      </c>
      <c r="J2664" s="1178" t="s">
        <v>662</v>
      </c>
      <c r="K2664" s="1178" t="s">
        <v>267</v>
      </c>
      <c r="L2664" s="1178" t="s">
        <v>268</v>
      </c>
      <c r="M2664" s="1369"/>
      <c r="N2664" s="1178"/>
      <c r="O2664" s="1178">
        <v>12</v>
      </c>
      <c r="P2664" s="1178">
        <v>13.5</v>
      </c>
    </row>
    <row r="2665" spans="1:16">
      <c r="A2665" s="1178" t="s">
        <v>21273</v>
      </c>
      <c r="B2665" s="1371" t="str">
        <f>HYPERLINK(IFERROR("#Main_Tariff!A"&amp;MATCH(Raeburn_Main_Tariff[[#This Row],[Product Code]],Main_Tariff!I:I,0),"#Main_Tariff!A"&amp;MATCH("*"&amp;RIGHT(A2665,8)&amp;"*",Main_Tariff!A:A,0)),Raeburn_Main_Tariff[[#This Row],[PRODUCER]])</f>
        <v>A&amp;I Hasard Les Champs de L'Abbaye</v>
      </c>
      <c r="C2665" s="1178" t="s">
        <v>21284</v>
      </c>
      <c r="D2665" s="1178" t="s">
        <v>897</v>
      </c>
      <c r="E2665" s="1179">
        <v>2017</v>
      </c>
      <c r="F2665" s="1282" t="s">
        <v>20220</v>
      </c>
      <c r="G2665" s="1368">
        <v>24.5</v>
      </c>
      <c r="H2665" s="1178" t="s">
        <v>20221</v>
      </c>
      <c r="I2665" s="1178" t="s">
        <v>8185</v>
      </c>
      <c r="J2665" s="1178" t="s">
        <v>662</v>
      </c>
      <c r="K2665" s="1178" t="s">
        <v>267</v>
      </c>
      <c r="L2665" s="1178" t="s">
        <v>268</v>
      </c>
      <c r="M2665" s="1369"/>
      <c r="N2665" s="1178"/>
      <c r="O2665" s="1178">
        <v>12</v>
      </c>
      <c r="P2665" s="1178">
        <v>13</v>
      </c>
    </row>
    <row r="2666" spans="1:16">
      <c r="A2666" s="1178" t="s">
        <v>21273</v>
      </c>
      <c r="B2666" s="1371" t="str">
        <f>HYPERLINK(IFERROR("#Main_Tariff!A"&amp;MATCH(Raeburn_Main_Tariff[[#This Row],[Product Code]],Main_Tariff!I:I,0),"#Main_Tariff!A"&amp;MATCH("*"&amp;RIGHT(A2666,8)&amp;"*",Main_Tariff!A:A,0)),Raeburn_Main_Tariff[[#This Row],[PRODUCER]])</f>
        <v>A&amp;I Hasard Les Champs de L'Abbaye</v>
      </c>
      <c r="C2666" s="1178" t="s">
        <v>21284</v>
      </c>
      <c r="D2666" s="1178" t="s">
        <v>897</v>
      </c>
      <c r="E2666" s="1179">
        <v>2016</v>
      </c>
      <c r="F2666" s="1282" t="s">
        <v>20220</v>
      </c>
      <c r="G2666" s="1368">
        <v>24.5</v>
      </c>
      <c r="H2666" s="1178" t="s">
        <v>20221</v>
      </c>
      <c r="I2666" s="1178" t="s">
        <v>8186</v>
      </c>
      <c r="J2666" s="1178" t="s">
        <v>662</v>
      </c>
      <c r="K2666" s="1178" t="s">
        <v>267</v>
      </c>
      <c r="L2666" s="1178" t="s">
        <v>268</v>
      </c>
      <c r="M2666" s="1369"/>
      <c r="N2666" s="1178"/>
      <c r="O2666" s="1178">
        <v>12</v>
      </c>
      <c r="P2666" s="1178">
        <v>12.5</v>
      </c>
    </row>
    <row r="2667" spans="1:16">
      <c r="A2667" s="1178" t="s">
        <v>21273</v>
      </c>
      <c r="B2667" s="1371" t="str">
        <f>HYPERLINK(IFERROR("#Main_Tariff!A"&amp;MATCH(Raeburn_Main_Tariff[[#This Row],[Product Code]],Main_Tariff!I:I,0),"#Main_Tariff!A"&amp;MATCH("*"&amp;RIGHT(A2667,8)&amp;"*",Main_Tariff!A:A,0)),Raeburn_Main_Tariff[[#This Row],[PRODUCER]])</f>
        <v>A&amp;I Hasard Les Champs de L'Abbaye</v>
      </c>
      <c r="C2667" s="1178" t="s">
        <v>21284</v>
      </c>
      <c r="D2667" s="1178" t="s">
        <v>897</v>
      </c>
      <c r="E2667" s="1179">
        <v>2013</v>
      </c>
      <c r="F2667" s="1282" t="s">
        <v>20220</v>
      </c>
      <c r="G2667" s="1368">
        <v>24.5</v>
      </c>
      <c r="H2667" s="1178" t="s">
        <v>20224</v>
      </c>
      <c r="I2667" s="1178" t="s">
        <v>8187</v>
      </c>
      <c r="J2667" s="1178" t="s">
        <v>662</v>
      </c>
      <c r="K2667" s="1178" t="s">
        <v>267</v>
      </c>
      <c r="L2667" s="1178" t="s">
        <v>268</v>
      </c>
      <c r="M2667" s="1369"/>
      <c r="N2667" s="1178"/>
      <c r="O2667" s="1178">
        <v>12</v>
      </c>
      <c r="P2667" s="1178">
        <v>12</v>
      </c>
    </row>
    <row r="2668" spans="1:16">
      <c r="A2668" s="1178" t="s">
        <v>21273</v>
      </c>
      <c r="B2668" s="1371" t="str">
        <f>HYPERLINK(IFERROR("#Main_Tariff!A"&amp;MATCH(Raeburn_Main_Tariff[[#This Row],[Product Code]],Main_Tariff!I:I,0),"#Main_Tariff!A"&amp;MATCH("*"&amp;RIGHT(A2668,8)&amp;"*",Main_Tariff!A:A,0)),Raeburn_Main_Tariff[[#This Row],[PRODUCER]])</f>
        <v>A&amp;I Hasard Les Champs de L'Abbaye</v>
      </c>
      <c r="C2668" s="1178" t="s">
        <v>21285</v>
      </c>
      <c r="D2668" s="1178" t="s">
        <v>897</v>
      </c>
      <c r="E2668" s="1179">
        <v>2021</v>
      </c>
      <c r="F2668" s="1282" t="s">
        <v>20220</v>
      </c>
      <c r="G2668" s="1368">
        <v>30.5</v>
      </c>
      <c r="H2668" s="1178" t="s">
        <v>20221</v>
      </c>
      <c r="I2668" s="1178" t="s">
        <v>8189</v>
      </c>
      <c r="J2668" s="1178" t="s">
        <v>662</v>
      </c>
      <c r="K2668" s="1178" t="s">
        <v>267</v>
      </c>
      <c r="L2668" s="1178" t="s">
        <v>268</v>
      </c>
      <c r="M2668" s="1369"/>
      <c r="N2668" s="1178" t="s">
        <v>20244</v>
      </c>
      <c r="O2668" s="1178">
        <v>12</v>
      </c>
      <c r="P2668" s="1178">
        <v>13</v>
      </c>
    </row>
    <row r="2669" spans="1:16">
      <c r="A2669" s="1178" t="s">
        <v>21273</v>
      </c>
      <c r="B2669" s="1371" t="str">
        <f>HYPERLINK(IFERROR("#Main_Tariff!A"&amp;MATCH(Raeburn_Main_Tariff[[#This Row],[Product Code]],Main_Tariff!I:I,0),"#Main_Tariff!A"&amp;MATCH("*"&amp;RIGHT(A2669,8)&amp;"*",Main_Tariff!A:A,0)),Raeburn_Main_Tariff[[#This Row],[PRODUCER]])</f>
        <v>A&amp;I Hasard Les Champs de L'Abbaye</v>
      </c>
      <c r="C2669" s="1178" t="s">
        <v>21285</v>
      </c>
      <c r="D2669" s="1178" t="s">
        <v>897</v>
      </c>
      <c r="E2669" s="1179">
        <v>2019</v>
      </c>
      <c r="F2669" s="1282" t="s">
        <v>20220</v>
      </c>
      <c r="G2669" s="1368">
        <v>30.5</v>
      </c>
      <c r="H2669" s="1178" t="s">
        <v>20221</v>
      </c>
      <c r="I2669" s="1178" t="s">
        <v>8190</v>
      </c>
      <c r="J2669" s="1178" t="s">
        <v>662</v>
      </c>
      <c r="K2669" s="1178" t="s">
        <v>267</v>
      </c>
      <c r="L2669" s="1178" t="s">
        <v>268</v>
      </c>
      <c r="M2669" s="1369"/>
      <c r="N2669" s="1178" t="s">
        <v>20244</v>
      </c>
      <c r="O2669" s="1178">
        <v>6</v>
      </c>
      <c r="P2669" s="1178">
        <v>13.5</v>
      </c>
    </row>
    <row r="2670" spans="1:16">
      <c r="A2670" s="1178" t="s">
        <v>21273</v>
      </c>
      <c r="B2670" s="1371" t="str">
        <f>HYPERLINK(IFERROR("#Main_Tariff!A"&amp;MATCH(Raeburn_Main_Tariff[[#This Row],[Product Code]],Main_Tariff!I:I,0),"#Main_Tariff!A"&amp;MATCH("*"&amp;RIGHT(A2670,8)&amp;"*",Main_Tariff!A:A,0)),Raeburn_Main_Tariff[[#This Row],[PRODUCER]])</f>
        <v>A&amp;I Hasard Les Champs de L'Abbaye</v>
      </c>
      <c r="C2670" s="1178" t="s">
        <v>21285</v>
      </c>
      <c r="D2670" s="1178" t="s">
        <v>897</v>
      </c>
      <c r="E2670" s="1179">
        <v>2017</v>
      </c>
      <c r="F2670" s="1282" t="s">
        <v>20220</v>
      </c>
      <c r="G2670" s="1368">
        <v>28</v>
      </c>
      <c r="H2670" s="1178" t="s">
        <v>20221</v>
      </c>
      <c r="I2670" s="1178" t="s">
        <v>8191</v>
      </c>
      <c r="J2670" s="1178" t="s">
        <v>662</v>
      </c>
      <c r="K2670" s="1178" t="s">
        <v>267</v>
      </c>
      <c r="L2670" s="1178" t="s">
        <v>268</v>
      </c>
      <c r="M2670" s="1369"/>
      <c r="N2670" s="1178"/>
      <c r="O2670" s="1178">
        <v>12</v>
      </c>
      <c r="P2670" s="1178">
        <v>13</v>
      </c>
    </row>
    <row r="2671" spans="1:16">
      <c r="A2671" s="1178" t="s">
        <v>21273</v>
      </c>
      <c r="B2671" s="1371" t="str">
        <f>HYPERLINK(IFERROR("#Main_Tariff!A"&amp;MATCH(Raeburn_Main_Tariff[[#This Row],[Product Code]],Main_Tariff!I:I,0),"#Main_Tariff!A"&amp;MATCH("*"&amp;RIGHT(A2671,8)&amp;"*",Main_Tariff!A:A,0)),Raeburn_Main_Tariff[[#This Row],[PRODUCER]])</f>
        <v>A&amp;I Hasard Les Champs de L'Abbaye</v>
      </c>
      <c r="C2671" s="1178" t="s">
        <v>21285</v>
      </c>
      <c r="D2671" s="1178" t="s">
        <v>897</v>
      </c>
      <c r="E2671" s="1179">
        <v>2016</v>
      </c>
      <c r="F2671" s="1282" t="s">
        <v>20220</v>
      </c>
      <c r="G2671" s="1368">
        <v>28</v>
      </c>
      <c r="H2671" s="1178" t="s">
        <v>20221</v>
      </c>
      <c r="I2671" s="1178" t="s">
        <v>8192</v>
      </c>
      <c r="J2671" s="1178" t="s">
        <v>662</v>
      </c>
      <c r="K2671" s="1178" t="s">
        <v>267</v>
      </c>
      <c r="L2671" s="1178" t="s">
        <v>268</v>
      </c>
      <c r="M2671" s="1369"/>
      <c r="N2671" s="1178"/>
      <c r="O2671" s="1178">
        <v>12</v>
      </c>
      <c r="P2671" s="1178">
        <v>12.5</v>
      </c>
    </row>
    <row r="2672" spans="1:16">
      <c r="A2672" s="1178" t="s">
        <v>21273</v>
      </c>
      <c r="B2672" s="1371" t="str">
        <f>HYPERLINK(IFERROR("#Main_Tariff!A"&amp;MATCH(Raeburn_Main_Tariff[[#This Row],[Product Code]],Main_Tariff!I:I,0),"#Main_Tariff!A"&amp;MATCH("*"&amp;RIGHT(A2672,8)&amp;"*",Main_Tariff!A:A,0)),Raeburn_Main_Tariff[[#This Row],[PRODUCER]])</f>
        <v>A&amp;I Hasard Les Champs de L'Abbaye</v>
      </c>
      <c r="C2672" s="1178" t="s">
        <v>21285</v>
      </c>
      <c r="D2672" s="1178" t="s">
        <v>897</v>
      </c>
      <c r="E2672" s="1179">
        <v>2015</v>
      </c>
      <c r="F2672" s="1282" t="s">
        <v>20220</v>
      </c>
      <c r="G2672" s="1368">
        <v>28</v>
      </c>
      <c r="H2672" s="1178" t="s">
        <v>20221</v>
      </c>
      <c r="I2672" s="1178" t="s">
        <v>8193</v>
      </c>
      <c r="J2672" s="1178" t="s">
        <v>662</v>
      </c>
      <c r="K2672" s="1178" t="s">
        <v>267</v>
      </c>
      <c r="L2672" s="1178" t="s">
        <v>268</v>
      </c>
      <c r="M2672" s="1369"/>
      <c r="N2672" s="1178"/>
      <c r="O2672" s="1178">
        <v>6</v>
      </c>
      <c r="P2672" s="1178">
        <v>13</v>
      </c>
    </row>
    <row r="2673" spans="1:16">
      <c r="A2673" s="1178" t="s">
        <v>21273</v>
      </c>
      <c r="B2673" s="1371" t="str">
        <f>HYPERLINK(IFERROR("#Main_Tariff!A"&amp;MATCH(Raeburn_Main_Tariff[[#This Row],[Product Code]],Main_Tariff!I:I,0),"#Main_Tariff!A"&amp;MATCH("*"&amp;RIGHT(A2673,8)&amp;"*",Main_Tariff!A:A,0)),Raeburn_Main_Tariff[[#This Row],[PRODUCER]])</f>
        <v>A&amp;I Hasard Les Champs de L'Abbaye</v>
      </c>
      <c r="C2673" s="1178" t="s">
        <v>21285</v>
      </c>
      <c r="D2673" s="1178" t="s">
        <v>897</v>
      </c>
      <c r="E2673" s="1179">
        <v>2013</v>
      </c>
      <c r="F2673" s="1282" t="s">
        <v>20220</v>
      </c>
      <c r="G2673" s="1368">
        <v>27</v>
      </c>
      <c r="H2673" s="1178" t="s">
        <v>20277</v>
      </c>
      <c r="I2673" s="1178" t="s">
        <v>8194</v>
      </c>
      <c r="J2673" s="1178" t="s">
        <v>662</v>
      </c>
      <c r="K2673" s="1178" t="s">
        <v>267</v>
      </c>
      <c r="L2673" s="1178" t="s">
        <v>268</v>
      </c>
      <c r="M2673" s="1369"/>
      <c r="N2673" s="1178"/>
      <c r="O2673" s="1178">
        <v>12</v>
      </c>
      <c r="P2673" s="1178">
        <v>12</v>
      </c>
    </row>
    <row r="2674" spans="1:16">
      <c r="A2674" s="1178" t="s">
        <v>21273</v>
      </c>
      <c r="B2674" s="1371" t="str">
        <f>HYPERLINK(IFERROR("#Main_Tariff!A"&amp;MATCH(Raeburn_Main_Tariff[[#This Row],[Product Code]],Main_Tariff!I:I,0),"#Main_Tariff!A"&amp;MATCH("*"&amp;RIGHT(A2674,8)&amp;"*",Main_Tariff!A:A,0)),Raeburn_Main_Tariff[[#This Row],[PRODUCER]])</f>
        <v>A&amp;I Hasard Les Champs de L'Abbaye</v>
      </c>
      <c r="C2674" s="1178" t="s">
        <v>21285</v>
      </c>
      <c r="D2674" s="1178" t="s">
        <v>897</v>
      </c>
      <c r="E2674" s="1179">
        <v>2009</v>
      </c>
      <c r="F2674" s="1282" t="s">
        <v>20220</v>
      </c>
      <c r="G2674" s="1368">
        <v>25.5</v>
      </c>
      <c r="H2674" s="1178" t="s">
        <v>20221</v>
      </c>
      <c r="I2674" s="1178" t="s">
        <v>8195</v>
      </c>
      <c r="J2674" s="1178" t="s">
        <v>662</v>
      </c>
      <c r="K2674" s="1178" t="s">
        <v>267</v>
      </c>
      <c r="L2674" s="1178" t="s">
        <v>268</v>
      </c>
      <c r="M2674" s="1369"/>
      <c r="N2674" s="1178"/>
      <c r="O2674" s="1178">
        <v>12</v>
      </c>
      <c r="P2674" s="1178">
        <v>13.5</v>
      </c>
    </row>
    <row r="2675" spans="1:16">
      <c r="A2675" s="1178" t="s">
        <v>21286</v>
      </c>
      <c r="B2675" s="1371" t="str">
        <f>HYPERLINK(IFERROR("#Main_Tariff!A"&amp;MATCH(Raeburn_Main_Tariff[[#This Row],[Product Code]],Main_Tariff!I:I,0),"#Main_Tariff!A"&amp;MATCH("*"&amp;RIGHT(A2675,8)&amp;"*",Main_Tariff!A:A,0)),Raeburn_Main_Tariff[[#This Row],[PRODUCER]])</f>
        <v>Domaine de l'Échelette</v>
      </c>
      <c r="C2675" s="1178" t="s">
        <v>21287</v>
      </c>
      <c r="D2675" s="1178" t="s">
        <v>1129</v>
      </c>
      <c r="E2675" s="1179">
        <v>2018</v>
      </c>
      <c r="F2675" s="1282" t="s">
        <v>20220</v>
      </c>
      <c r="G2675" s="1368">
        <v>13.75</v>
      </c>
      <c r="H2675" s="1178" t="s">
        <v>20221</v>
      </c>
      <c r="I2675" s="1178" t="s">
        <v>8198</v>
      </c>
      <c r="J2675" s="1178" t="s">
        <v>662</v>
      </c>
      <c r="K2675" s="1178" t="s">
        <v>267</v>
      </c>
      <c r="L2675" s="1178" t="s">
        <v>272</v>
      </c>
      <c r="M2675" s="1369"/>
      <c r="N2675" s="1178"/>
      <c r="O2675" s="1178">
        <v>12</v>
      </c>
      <c r="P2675" s="1178">
        <v>12.5</v>
      </c>
    </row>
    <row r="2676" spans="1:16">
      <c r="A2676" s="1178" t="s">
        <v>21286</v>
      </c>
      <c r="B2676" s="1371" t="str">
        <f>HYPERLINK(IFERROR("#Main_Tariff!A"&amp;MATCH(Raeburn_Main_Tariff[[#This Row],[Product Code]],Main_Tariff!I:I,0),"#Main_Tariff!A"&amp;MATCH("*"&amp;RIGHT(A2676,8)&amp;"*",Main_Tariff!A:A,0)),Raeburn_Main_Tariff[[#This Row],[PRODUCER]])</f>
        <v>Domaine de l'Échelette</v>
      </c>
      <c r="C2676" s="1178" t="s">
        <v>21287</v>
      </c>
      <c r="D2676" s="1178" t="s">
        <v>1129</v>
      </c>
      <c r="E2676" s="1179">
        <v>2016</v>
      </c>
      <c r="F2676" s="1282" t="s">
        <v>20220</v>
      </c>
      <c r="G2676" s="1368">
        <v>13</v>
      </c>
      <c r="H2676" s="1178" t="s">
        <v>20221</v>
      </c>
      <c r="I2676" s="1178" t="s">
        <v>8200</v>
      </c>
      <c r="J2676" s="1178" t="s">
        <v>662</v>
      </c>
      <c r="K2676" s="1178" t="s">
        <v>267</v>
      </c>
      <c r="L2676" s="1178" t="s">
        <v>272</v>
      </c>
      <c r="M2676" s="1369"/>
      <c r="N2676" s="1178"/>
      <c r="O2676" s="1178">
        <v>12</v>
      </c>
      <c r="P2676" s="1178">
        <v>12.5</v>
      </c>
    </row>
    <row r="2677" spans="1:16">
      <c r="A2677" s="1178" t="s">
        <v>21286</v>
      </c>
      <c r="B2677" s="1371" t="str">
        <f>HYPERLINK(IFERROR("#Main_Tariff!A"&amp;MATCH(Raeburn_Main_Tariff[[#This Row],[Product Code]],Main_Tariff!I:I,0),"#Main_Tariff!A"&amp;MATCH("*"&amp;RIGHT(A2677,8)&amp;"*",Main_Tariff!A:A,0)),Raeburn_Main_Tariff[[#This Row],[PRODUCER]])</f>
        <v>Domaine de l'Échelette</v>
      </c>
      <c r="C2677" s="1178" t="s">
        <v>21288</v>
      </c>
      <c r="D2677" s="1178" t="s">
        <v>1129</v>
      </c>
      <c r="E2677" s="1179">
        <v>2018</v>
      </c>
      <c r="F2677" s="1282" t="s">
        <v>20220</v>
      </c>
      <c r="G2677" s="1368">
        <v>15</v>
      </c>
      <c r="H2677" s="1178" t="s">
        <v>20221</v>
      </c>
      <c r="I2677" s="1178" t="s">
        <v>8202</v>
      </c>
      <c r="J2677" s="1178" t="s">
        <v>662</v>
      </c>
      <c r="K2677" s="1178" t="s">
        <v>267</v>
      </c>
      <c r="L2677" s="1178" t="s">
        <v>272</v>
      </c>
      <c r="M2677" s="1369"/>
      <c r="N2677" s="1178"/>
      <c r="O2677" s="1178">
        <v>12</v>
      </c>
      <c r="P2677" s="1178">
        <v>12.5</v>
      </c>
    </row>
    <row r="2678" spans="1:16">
      <c r="A2678" s="1178" t="s">
        <v>21286</v>
      </c>
      <c r="B2678" s="1371" t="str">
        <f>HYPERLINK(IFERROR("#Main_Tariff!A"&amp;MATCH(Raeburn_Main_Tariff[[#This Row],[Product Code]],Main_Tariff!I:I,0),"#Main_Tariff!A"&amp;MATCH("*"&amp;RIGHT(A2678,8)&amp;"*",Main_Tariff!A:A,0)),Raeburn_Main_Tariff[[#This Row],[PRODUCER]])</f>
        <v>Domaine de l'Échelette</v>
      </c>
      <c r="C2678" s="1178" t="s">
        <v>21288</v>
      </c>
      <c r="D2678" s="1178" t="s">
        <v>1129</v>
      </c>
      <c r="E2678" s="1179">
        <v>2016</v>
      </c>
      <c r="F2678" s="1282" t="s">
        <v>20220</v>
      </c>
      <c r="G2678" s="1368">
        <v>15.5</v>
      </c>
      <c r="H2678" s="1178" t="s">
        <v>20221</v>
      </c>
      <c r="I2678" s="1178" t="s">
        <v>8204</v>
      </c>
      <c r="J2678" s="1178" t="s">
        <v>662</v>
      </c>
      <c r="K2678" s="1178" t="s">
        <v>267</v>
      </c>
      <c r="L2678" s="1178" t="s">
        <v>272</v>
      </c>
      <c r="M2678" s="1369"/>
      <c r="N2678" s="1178"/>
      <c r="O2678" s="1178">
        <v>12</v>
      </c>
      <c r="P2678" s="1178">
        <v>12.5</v>
      </c>
    </row>
    <row r="2679" spans="1:16">
      <c r="A2679" s="1178" t="s">
        <v>21289</v>
      </c>
      <c r="B2679" s="1371" t="str">
        <f>HYPERLINK(IFERROR("#Main_Tariff!A"&amp;MATCH(Raeburn_Main_Tariff[[#This Row],[Product Code]],Main_Tariff!I:I,0),"#Main_Tariff!A"&amp;MATCH("*"&amp;RIGHT(A2679,8)&amp;"*",Main_Tariff!A:A,0)),Raeburn_Main_Tariff[[#This Row],[PRODUCER]])</f>
        <v>Domaine Réné Michel</v>
      </c>
      <c r="C2679" s="1178" t="s">
        <v>21290</v>
      </c>
      <c r="D2679" s="1178" t="s">
        <v>1129</v>
      </c>
      <c r="E2679" s="1179">
        <v>2021</v>
      </c>
      <c r="F2679" s="1282" t="s">
        <v>20220</v>
      </c>
      <c r="G2679" s="1368">
        <v>16</v>
      </c>
      <c r="H2679" s="1178" t="s">
        <v>20221</v>
      </c>
      <c r="I2679" s="1178" t="s">
        <v>8216</v>
      </c>
      <c r="J2679" s="1178" t="s">
        <v>662</v>
      </c>
      <c r="K2679" s="1178" t="s">
        <v>267</v>
      </c>
      <c r="L2679" s="1178" t="s">
        <v>272</v>
      </c>
      <c r="M2679" s="1369"/>
      <c r="N2679" s="1178"/>
      <c r="O2679" s="1178">
        <v>12</v>
      </c>
      <c r="P2679" s="1178">
        <v>13</v>
      </c>
    </row>
    <row r="2680" spans="1:16">
      <c r="A2680" s="1178" t="s">
        <v>21289</v>
      </c>
      <c r="B2680" s="1371" t="str">
        <f>HYPERLINK(IFERROR("#Main_Tariff!A"&amp;MATCH(Raeburn_Main_Tariff[[#This Row],[Product Code]],Main_Tariff!I:I,0),"#Main_Tariff!A"&amp;MATCH("*"&amp;RIGHT(A2680,8)&amp;"*",Main_Tariff!A:A,0)),Raeburn_Main_Tariff[[#This Row],[PRODUCER]])</f>
        <v>Domaine Réné Michel</v>
      </c>
      <c r="C2680" s="1178" t="s">
        <v>21291</v>
      </c>
      <c r="D2680" s="1178" t="s">
        <v>1129</v>
      </c>
      <c r="E2680" s="1179">
        <v>2021</v>
      </c>
      <c r="F2680" s="1282" t="s">
        <v>20280</v>
      </c>
      <c r="G2680" s="1368">
        <v>9.75</v>
      </c>
      <c r="H2680" s="1178" t="s">
        <v>20221</v>
      </c>
      <c r="I2680" s="1178" t="s">
        <v>8220</v>
      </c>
      <c r="J2680" s="1178" t="s">
        <v>662</v>
      </c>
      <c r="K2680" s="1178" t="s">
        <v>267</v>
      </c>
      <c r="L2680" s="1178" t="s">
        <v>272</v>
      </c>
      <c r="M2680" s="1369"/>
      <c r="N2680" s="1178"/>
      <c r="O2680" s="1178">
        <v>12</v>
      </c>
      <c r="P2680" s="1178">
        <v>13</v>
      </c>
    </row>
    <row r="2681" spans="1:16">
      <c r="A2681" s="1178" t="s">
        <v>21289</v>
      </c>
      <c r="B2681" s="1371" t="str">
        <f>HYPERLINK(IFERROR("#Main_Tariff!A"&amp;MATCH(Raeburn_Main_Tariff[[#This Row],[Product Code]],Main_Tariff!I:I,0),"#Main_Tariff!A"&amp;MATCH("*"&amp;RIGHT(A2681,8)&amp;"*",Main_Tariff!A:A,0)),Raeburn_Main_Tariff[[#This Row],[PRODUCER]])</f>
        <v>Domaine Réné Michel</v>
      </c>
      <c r="C2681" s="1178" t="s">
        <v>21292</v>
      </c>
      <c r="D2681" s="1178" t="s">
        <v>1129</v>
      </c>
      <c r="E2681" s="1179">
        <v>2021</v>
      </c>
      <c r="F2681" s="1282" t="s">
        <v>20220</v>
      </c>
      <c r="G2681" s="1368">
        <v>18</v>
      </c>
      <c r="H2681" s="1178" t="s">
        <v>20221</v>
      </c>
      <c r="I2681" s="1178" t="s">
        <v>8223</v>
      </c>
      <c r="J2681" s="1178" t="s">
        <v>662</v>
      </c>
      <c r="K2681" s="1178" t="s">
        <v>267</v>
      </c>
      <c r="L2681" s="1178" t="s">
        <v>272</v>
      </c>
      <c r="M2681" s="1369"/>
      <c r="N2681" s="1178"/>
      <c r="O2681" s="1178">
        <v>12</v>
      </c>
      <c r="P2681" s="1178">
        <v>13</v>
      </c>
    </row>
    <row r="2682" spans="1:16">
      <c r="A2682" s="1178" t="s">
        <v>21289</v>
      </c>
      <c r="B2682" s="1371" t="str">
        <f>HYPERLINK(IFERROR("#Main_Tariff!A"&amp;MATCH(Raeburn_Main_Tariff[[#This Row],[Product Code]],Main_Tariff!I:I,0),"#Main_Tariff!A"&amp;MATCH("*"&amp;RIGHT(A2682,8)&amp;"*",Main_Tariff!A:A,0)),Raeburn_Main_Tariff[[#This Row],[PRODUCER]])</f>
        <v>Domaine Réné Michel</v>
      </c>
      <c r="C2682" s="1178" t="s">
        <v>21292</v>
      </c>
      <c r="D2682" s="1178" t="s">
        <v>1129</v>
      </c>
      <c r="E2682" s="1179">
        <v>2019</v>
      </c>
      <c r="F2682" s="1282" t="s">
        <v>20220</v>
      </c>
      <c r="G2682" s="1368">
        <v>17</v>
      </c>
      <c r="H2682" s="1178" t="s">
        <v>20221</v>
      </c>
      <c r="I2682" s="1178" t="s">
        <v>8225</v>
      </c>
      <c r="J2682" s="1178" t="s">
        <v>662</v>
      </c>
      <c r="K2682" s="1178" t="s">
        <v>267</v>
      </c>
      <c r="L2682" s="1178" t="s">
        <v>272</v>
      </c>
      <c r="M2682" s="1369"/>
      <c r="N2682" s="1178"/>
      <c r="O2682" s="1178">
        <v>12</v>
      </c>
      <c r="P2682" s="1178">
        <v>14.5</v>
      </c>
    </row>
    <row r="2683" spans="1:16">
      <c r="A2683" s="1178" t="s">
        <v>21289</v>
      </c>
      <c r="B2683" s="1371" t="str">
        <f>HYPERLINK(IFERROR("#Main_Tariff!A"&amp;MATCH(Raeburn_Main_Tariff[[#This Row],[Product Code]],Main_Tariff!I:I,0),"#Main_Tariff!A"&amp;MATCH("*"&amp;RIGHT(A2683,8)&amp;"*",Main_Tariff!A:A,0)),Raeburn_Main_Tariff[[#This Row],[PRODUCER]])</f>
        <v>Domaine Réné Michel</v>
      </c>
      <c r="C2683" s="1178" t="s">
        <v>21293</v>
      </c>
      <c r="D2683" s="1178" t="s">
        <v>1129</v>
      </c>
      <c r="E2683" s="1179">
        <v>2014</v>
      </c>
      <c r="F2683" s="1282" t="s">
        <v>20240</v>
      </c>
      <c r="G2683" s="1368">
        <v>41</v>
      </c>
      <c r="H2683" s="1178" t="s">
        <v>20277</v>
      </c>
      <c r="I2683" s="1178" t="s">
        <v>8228</v>
      </c>
      <c r="J2683" s="1178" t="s">
        <v>662</v>
      </c>
      <c r="K2683" s="1178" t="s">
        <v>267</v>
      </c>
      <c r="L2683" s="1178" t="s">
        <v>272</v>
      </c>
      <c r="M2683" s="1369"/>
      <c r="N2683" s="1178"/>
      <c r="O2683" s="1178">
        <v>3</v>
      </c>
      <c r="P2683" s="1178">
        <v>14</v>
      </c>
    </row>
    <row r="2684" spans="1:16">
      <c r="A2684" s="1178" t="s">
        <v>21289</v>
      </c>
      <c r="B2684" s="1371" t="str">
        <f>HYPERLINK(IFERROR("#Main_Tariff!A"&amp;MATCH(Raeburn_Main_Tariff[[#This Row],[Product Code]],Main_Tariff!I:I,0),"#Main_Tariff!A"&amp;MATCH("*"&amp;RIGHT(A2684,8)&amp;"*",Main_Tariff!A:A,0)),Raeburn_Main_Tariff[[#This Row],[PRODUCER]])</f>
        <v>Domaine Réné Michel</v>
      </c>
      <c r="C2684" s="1178" t="s">
        <v>21294</v>
      </c>
      <c r="D2684" s="1178" t="s">
        <v>897</v>
      </c>
      <c r="E2684" s="1179">
        <v>2003</v>
      </c>
      <c r="F2684" s="1282" t="s">
        <v>20220</v>
      </c>
      <c r="G2684" s="1368">
        <v>14</v>
      </c>
      <c r="H2684" s="1178" t="s">
        <v>20277</v>
      </c>
      <c r="I2684" s="1178" t="s">
        <v>8231</v>
      </c>
      <c r="J2684" s="1178" t="s">
        <v>662</v>
      </c>
      <c r="K2684" s="1178" t="s">
        <v>267</v>
      </c>
      <c r="L2684" s="1178" t="s">
        <v>272</v>
      </c>
      <c r="M2684" s="1369"/>
      <c r="N2684" s="1178"/>
      <c r="O2684" s="1178">
        <v>12</v>
      </c>
      <c r="P2684" s="1178">
        <v>0</v>
      </c>
    </row>
    <row r="2685" spans="1:16">
      <c r="A2685" s="1178" t="s">
        <v>21295</v>
      </c>
      <c r="B2685" s="1371" t="str">
        <f>HYPERLINK(IFERROR("#Main_Tariff!A"&amp;MATCH(Raeburn_Main_Tariff[[#This Row],[Product Code]],Main_Tariff!I:I,0),"#Main_Tariff!A"&amp;MATCH("*"&amp;RIGHT(A2685,8)&amp;"*",Main_Tariff!A:A,0)),Raeburn_Main_Tariff[[#This Row],[PRODUCER]])</f>
        <v>Domaine Cornin</v>
      </c>
      <c r="C2685" s="1178" t="s">
        <v>21296</v>
      </c>
      <c r="D2685" s="1178" t="s">
        <v>1129</v>
      </c>
      <c r="E2685" s="1179">
        <v>2014</v>
      </c>
      <c r="F2685" s="1282" t="s">
        <v>20220</v>
      </c>
      <c r="G2685" s="1368">
        <v>20.5</v>
      </c>
      <c r="H2685" s="1178" t="s">
        <v>20221</v>
      </c>
      <c r="I2685" s="1178" t="s">
        <v>8240</v>
      </c>
      <c r="J2685" s="1178" t="s">
        <v>662</v>
      </c>
      <c r="K2685" s="1178" t="s">
        <v>267</v>
      </c>
      <c r="L2685" s="1178" t="s">
        <v>272</v>
      </c>
      <c r="M2685" s="1369"/>
      <c r="N2685" s="1178"/>
      <c r="O2685" s="1178">
        <v>12</v>
      </c>
      <c r="P2685" s="1178">
        <v>13</v>
      </c>
    </row>
    <row r="2686" spans="1:16">
      <c r="A2686" s="1178" t="s">
        <v>21295</v>
      </c>
      <c r="B2686" s="1371" t="str">
        <f>HYPERLINK(IFERROR("#Main_Tariff!A"&amp;MATCH(Raeburn_Main_Tariff[[#This Row],[Product Code]],Main_Tariff!I:I,0),"#Main_Tariff!A"&amp;MATCH("*"&amp;RIGHT(A2686,8)&amp;"*",Main_Tariff!A:A,0)),Raeburn_Main_Tariff[[#This Row],[PRODUCER]])</f>
        <v>Domaine Cornin</v>
      </c>
      <c r="C2686" s="1178" t="s">
        <v>21297</v>
      </c>
      <c r="D2686" s="1178" t="s">
        <v>1129</v>
      </c>
      <c r="E2686" s="1179">
        <v>2013</v>
      </c>
      <c r="F2686" s="1282" t="s">
        <v>20220</v>
      </c>
      <c r="G2686" s="1368">
        <v>25</v>
      </c>
      <c r="H2686" s="1178" t="s">
        <v>20221</v>
      </c>
      <c r="I2686" s="1178" t="s">
        <v>8238</v>
      </c>
      <c r="J2686" s="1178" t="s">
        <v>662</v>
      </c>
      <c r="K2686" s="1178" t="s">
        <v>267</v>
      </c>
      <c r="L2686" s="1178" t="s">
        <v>272</v>
      </c>
      <c r="M2686" s="1369"/>
      <c r="N2686" s="1178"/>
      <c r="O2686" s="1178">
        <v>12</v>
      </c>
      <c r="P2686" s="1178">
        <v>13</v>
      </c>
    </row>
    <row r="2687" spans="1:16">
      <c r="A2687" s="1178" t="s">
        <v>276</v>
      </c>
      <c r="B2687" s="1371" t="str">
        <f>HYPERLINK(IFERROR("#Main_Tariff!A"&amp;MATCH(Raeburn_Main_Tariff[[#This Row],[Product Code]],Main_Tariff!I:I,0),"#Main_Tariff!A"&amp;MATCH("*"&amp;RIGHT(A2687,8)&amp;"*",Main_Tariff!A:A,0)),Raeburn_Main_Tariff[[#This Row],[PRODUCER]])</f>
        <v>Saumaize-Michelin</v>
      </c>
      <c r="C2687" s="1178" t="s">
        <v>21298</v>
      </c>
      <c r="D2687" s="1178" t="s">
        <v>1129</v>
      </c>
      <c r="E2687" s="1179">
        <v>2023</v>
      </c>
      <c r="F2687" s="1282" t="s">
        <v>20220</v>
      </c>
      <c r="G2687" s="1368">
        <v>21.25</v>
      </c>
      <c r="H2687" s="1178" t="s">
        <v>20221</v>
      </c>
      <c r="I2687" s="1178" t="s">
        <v>8258</v>
      </c>
      <c r="J2687" s="1178" t="s">
        <v>662</v>
      </c>
      <c r="K2687" s="1178" t="s">
        <v>267</v>
      </c>
      <c r="L2687" s="1178" t="s">
        <v>272</v>
      </c>
      <c r="M2687" s="1369"/>
      <c r="N2687" s="1178"/>
      <c r="O2687" s="1178">
        <v>6</v>
      </c>
      <c r="P2687" s="1178">
        <v>13.5</v>
      </c>
    </row>
    <row r="2688" spans="1:16">
      <c r="A2688" s="1178" t="s">
        <v>276</v>
      </c>
      <c r="B2688" s="1371" t="str">
        <f>HYPERLINK(IFERROR("#Main_Tariff!A"&amp;MATCH(Raeburn_Main_Tariff[[#This Row],[Product Code]],Main_Tariff!I:I,0),"#Main_Tariff!A"&amp;MATCH("*"&amp;RIGHT(A2688,8)&amp;"*",Main_Tariff!A:A,0)),Raeburn_Main_Tariff[[#This Row],[PRODUCER]])</f>
        <v>Saumaize-Michelin</v>
      </c>
      <c r="C2688" s="1178" t="s">
        <v>21299</v>
      </c>
      <c r="D2688" s="1178" t="s">
        <v>1129</v>
      </c>
      <c r="E2688" s="1179">
        <v>2023</v>
      </c>
      <c r="F2688" s="1282" t="s">
        <v>20220</v>
      </c>
      <c r="G2688" s="1368">
        <v>18.75</v>
      </c>
      <c r="H2688" s="1178" t="s">
        <v>20221</v>
      </c>
      <c r="I2688" s="1178" t="s">
        <v>8262</v>
      </c>
      <c r="J2688" s="1178" t="s">
        <v>662</v>
      </c>
      <c r="K2688" s="1178" t="s">
        <v>267</v>
      </c>
      <c r="L2688" s="1178" t="s">
        <v>272</v>
      </c>
      <c r="M2688" s="1369"/>
      <c r="N2688" s="1178"/>
      <c r="O2688" s="1178">
        <v>6</v>
      </c>
      <c r="P2688" s="1178">
        <v>13.5</v>
      </c>
    </row>
    <row r="2689" spans="1:16">
      <c r="A2689" s="1178" t="s">
        <v>276</v>
      </c>
      <c r="B2689" s="1371" t="str">
        <f>HYPERLINK(IFERROR("#Main_Tariff!A"&amp;MATCH(Raeburn_Main_Tariff[[#This Row],[Product Code]],Main_Tariff!I:I,0),"#Main_Tariff!A"&amp;MATCH("*"&amp;RIGHT(A2689,8)&amp;"*",Main_Tariff!A:A,0)),Raeburn_Main_Tariff[[#This Row],[PRODUCER]])</f>
        <v>Saumaize-Michelin</v>
      </c>
      <c r="C2689" s="1178" t="s">
        <v>21300</v>
      </c>
      <c r="D2689" s="1178" t="s">
        <v>1129</v>
      </c>
      <c r="E2689" s="1179">
        <v>2023</v>
      </c>
      <c r="F2689" s="1282" t="s">
        <v>20220</v>
      </c>
      <c r="G2689" s="1368">
        <v>21.25</v>
      </c>
      <c r="H2689" s="1178" t="s">
        <v>20221</v>
      </c>
      <c r="I2689" s="1178" t="s">
        <v>8264</v>
      </c>
      <c r="J2689" s="1178" t="s">
        <v>662</v>
      </c>
      <c r="K2689" s="1178" t="s">
        <v>267</v>
      </c>
      <c r="L2689" s="1178" t="s">
        <v>272</v>
      </c>
      <c r="M2689" s="1369"/>
      <c r="N2689" s="1178"/>
      <c r="O2689" s="1178">
        <v>6</v>
      </c>
      <c r="P2689" s="1178">
        <v>13.5</v>
      </c>
    </row>
    <row r="2690" spans="1:16">
      <c r="A2690" s="1178" t="s">
        <v>276</v>
      </c>
      <c r="B2690" s="1371" t="str">
        <f>HYPERLINK(IFERROR("#Main_Tariff!A"&amp;MATCH(Raeburn_Main_Tariff[[#This Row],[Product Code]],Main_Tariff!I:I,0),"#Main_Tariff!A"&amp;MATCH("*"&amp;RIGHT(A2690,8)&amp;"*",Main_Tariff!A:A,0)),Raeburn_Main_Tariff[[#This Row],[PRODUCER]])</f>
        <v>Saumaize-Michelin</v>
      </c>
      <c r="C2690" s="1178" t="s">
        <v>21300</v>
      </c>
      <c r="D2690" s="1178" t="s">
        <v>1129</v>
      </c>
      <c r="E2690" s="1179">
        <v>2022</v>
      </c>
      <c r="F2690" s="1282" t="s">
        <v>20220</v>
      </c>
      <c r="G2690" s="1368">
        <v>21.25</v>
      </c>
      <c r="H2690" s="1178" t="s">
        <v>20221</v>
      </c>
      <c r="I2690" s="1178" t="s">
        <v>8266</v>
      </c>
      <c r="J2690" s="1178" t="s">
        <v>662</v>
      </c>
      <c r="K2690" s="1178" t="s">
        <v>267</v>
      </c>
      <c r="L2690" s="1178" t="s">
        <v>272</v>
      </c>
      <c r="M2690" s="1369"/>
      <c r="N2690" s="1178"/>
      <c r="O2690" s="1178">
        <v>6</v>
      </c>
      <c r="P2690" s="1178">
        <v>13.5</v>
      </c>
    </row>
    <row r="2691" spans="1:16">
      <c r="A2691" s="1178" t="s">
        <v>276</v>
      </c>
      <c r="B2691" s="1371" t="str">
        <f>HYPERLINK(IFERROR("#Main_Tariff!A"&amp;MATCH(Raeburn_Main_Tariff[[#This Row],[Product Code]],Main_Tariff!I:I,0),"#Main_Tariff!A"&amp;MATCH("*"&amp;RIGHT(A2691,8)&amp;"*",Main_Tariff!A:A,0)),Raeburn_Main_Tariff[[#This Row],[PRODUCER]])</f>
        <v>Saumaize-Michelin</v>
      </c>
      <c r="C2691" s="1178" t="s">
        <v>21301</v>
      </c>
      <c r="D2691" s="1178" t="s">
        <v>1129</v>
      </c>
      <c r="E2691" s="1179">
        <v>2021</v>
      </c>
      <c r="F2691" s="1282" t="s">
        <v>20220</v>
      </c>
      <c r="G2691" s="1368">
        <v>24.5</v>
      </c>
      <c r="H2691" s="1178" t="s">
        <v>20221</v>
      </c>
      <c r="I2691" s="1178" t="s">
        <v>8269</v>
      </c>
      <c r="J2691" s="1178" t="s">
        <v>662</v>
      </c>
      <c r="K2691" s="1178" t="s">
        <v>267</v>
      </c>
      <c r="L2691" s="1178" t="s">
        <v>272</v>
      </c>
      <c r="M2691" s="1369"/>
      <c r="N2691" s="1178"/>
      <c r="O2691" s="1178">
        <v>12</v>
      </c>
      <c r="P2691" s="1178">
        <v>13.5</v>
      </c>
    </row>
    <row r="2692" spans="1:16">
      <c r="A2692" s="1178" t="s">
        <v>276</v>
      </c>
      <c r="B2692" s="1371" t="str">
        <f>HYPERLINK(IFERROR("#Main_Tariff!A"&amp;MATCH(Raeburn_Main_Tariff[[#This Row],[Product Code]],Main_Tariff!I:I,0),"#Main_Tariff!A"&amp;MATCH("*"&amp;RIGHT(A2692,8)&amp;"*",Main_Tariff!A:A,0)),Raeburn_Main_Tariff[[#This Row],[PRODUCER]])</f>
        <v>Saumaize-Michelin</v>
      </c>
      <c r="C2692" s="1178" t="s">
        <v>21302</v>
      </c>
      <c r="D2692" s="1178" t="s">
        <v>1129</v>
      </c>
      <c r="E2692" s="1179">
        <v>2023</v>
      </c>
      <c r="F2692" s="1282" t="s">
        <v>20220</v>
      </c>
      <c r="G2692" s="1368">
        <v>27</v>
      </c>
      <c r="H2692" s="1178" t="s">
        <v>20221</v>
      </c>
      <c r="I2692" s="1178" t="s">
        <v>8271</v>
      </c>
      <c r="J2692" s="1178" t="s">
        <v>662</v>
      </c>
      <c r="K2692" s="1178" t="s">
        <v>267</v>
      </c>
      <c r="L2692" s="1178" t="s">
        <v>272</v>
      </c>
      <c r="M2692" s="1369"/>
      <c r="N2692" s="1178"/>
      <c r="O2692" s="1178">
        <v>6</v>
      </c>
      <c r="P2692" s="1178">
        <v>13.5</v>
      </c>
    </row>
    <row r="2693" spans="1:16">
      <c r="A2693" s="1178" t="s">
        <v>276</v>
      </c>
      <c r="B2693" s="1371" t="str">
        <f>HYPERLINK(IFERROR("#Main_Tariff!A"&amp;MATCH(Raeburn_Main_Tariff[[#This Row],[Product Code]],Main_Tariff!I:I,0),"#Main_Tariff!A"&amp;MATCH("*"&amp;RIGHT(A2693,8)&amp;"*",Main_Tariff!A:A,0)),Raeburn_Main_Tariff[[#This Row],[PRODUCER]])</f>
        <v>Saumaize-Michelin</v>
      </c>
      <c r="C2693" s="1178" t="s">
        <v>21303</v>
      </c>
      <c r="D2693" s="1178" t="s">
        <v>1129</v>
      </c>
      <c r="E2693" s="1179"/>
      <c r="F2693" s="1282" t="s">
        <v>20220</v>
      </c>
      <c r="G2693" s="1368"/>
      <c r="H2693" s="1178" t="s">
        <v>3907</v>
      </c>
      <c r="I2693" s="1178" t="s">
        <v>8273</v>
      </c>
      <c r="J2693" s="1178" t="s">
        <v>662</v>
      </c>
      <c r="K2693" s="1178" t="s">
        <v>267</v>
      </c>
      <c r="L2693" s="1178" t="s">
        <v>272</v>
      </c>
      <c r="M2693" s="1369"/>
      <c r="N2693" s="1178"/>
      <c r="O2693" s="1178">
        <v>12</v>
      </c>
      <c r="P2693" s="1178">
        <v>13.5</v>
      </c>
    </row>
    <row r="2694" spans="1:16">
      <c r="A2694" s="1178" t="s">
        <v>276</v>
      </c>
      <c r="B2694" s="1371" t="str">
        <f>HYPERLINK(IFERROR("#Main_Tariff!A"&amp;MATCH(Raeburn_Main_Tariff[[#This Row],[Product Code]],Main_Tariff!I:I,0),"#Main_Tariff!A"&amp;MATCH("*"&amp;RIGHT(A2694,8)&amp;"*",Main_Tariff!A:A,0)),Raeburn_Main_Tariff[[#This Row],[PRODUCER]])</f>
        <v>Saumaize-Michelin</v>
      </c>
      <c r="C2694" s="1178" t="s">
        <v>21304</v>
      </c>
      <c r="D2694" s="1178" t="s">
        <v>1129</v>
      </c>
      <c r="E2694" s="1179"/>
      <c r="F2694" s="1282" t="s">
        <v>20220</v>
      </c>
      <c r="G2694" s="1368"/>
      <c r="H2694" s="1178" t="s">
        <v>3907</v>
      </c>
      <c r="I2694" s="1178" t="s">
        <v>8277</v>
      </c>
      <c r="J2694" s="1178" t="s">
        <v>662</v>
      </c>
      <c r="K2694" s="1178" t="s">
        <v>267</v>
      </c>
      <c r="L2694" s="1178" t="s">
        <v>272</v>
      </c>
      <c r="M2694" s="1369" t="s">
        <v>23297</v>
      </c>
      <c r="N2694" s="1178"/>
      <c r="O2694" s="1178">
        <v>12</v>
      </c>
      <c r="P2694" s="1178">
        <v>13.5</v>
      </c>
    </row>
    <row r="2695" spans="1:16">
      <c r="A2695" s="1178" t="s">
        <v>276</v>
      </c>
      <c r="B2695" s="1371" t="str">
        <f>HYPERLINK(IFERROR("#Main_Tariff!A"&amp;MATCH(Raeburn_Main_Tariff[[#This Row],[Product Code]],Main_Tariff!I:I,0),"#Main_Tariff!A"&amp;MATCH("*"&amp;RIGHT(A2695,8)&amp;"*",Main_Tariff!A:A,0)),Raeburn_Main_Tariff[[#This Row],[PRODUCER]])</f>
        <v>Saumaize-Michelin</v>
      </c>
      <c r="C2695" s="1178" t="s">
        <v>21305</v>
      </c>
      <c r="D2695" s="1178" t="s">
        <v>1129</v>
      </c>
      <c r="E2695" s="1179">
        <v>2023</v>
      </c>
      <c r="F2695" s="1282" t="s">
        <v>20220</v>
      </c>
      <c r="G2695" s="1368">
        <v>32.25</v>
      </c>
      <c r="H2695" s="1178" t="s">
        <v>20221</v>
      </c>
      <c r="I2695" s="1178" t="s">
        <v>8279</v>
      </c>
      <c r="J2695" s="1178" t="s">
        <v>662</v>
      </c>
      <c r="K2695" s="1178" t="s">
        <v>267</v>
      </c>
      <c r="L2695" s="1178" t="s">
        <v>272</v>
      </c>
      <c r="M2695" s="1369" t="s">
        <v>23297</v>
      </c>
      <c r="N2695" s="1178"/>
      <c r="O2695" s="1178">
        <v>6</v>
      </c>
      <c r="P2695" s="1178">
        <v>13.5</v>
      </c>
    </row>
    <row r="2696" spans="1:16">
      <c r="A2696" s="1178" t="s">
        <v>276</v>
      </c>
      <c r="B2696" s="1371" t="str">
        <f>HYPERLINK(IFERROR("#Main_Tariff!A"&amp;MATCH(Raeburn_Main_Tariff[[#This Row],[Product Code]],Main_Tariff!I:I,0),"#Main_Tariff!A"&amp;MATCH("*"&amp;RIGHT(A2696,8)&amp;"*",Main_Tariff!A:A,0)),Raeburn_Main_Tariff[[#This Row],[PRODUCER]])</f>
        <v>Saumaize-Michelin</v>
      </c>
      <c r="C2696" s="1178" t="s">
        <v>21306</v>
      </c>
      <c r="D2696" s="1178" t="s">
        <v>1129</v>
      </c>
      <c r="E2696" s="1179">
        <v>2023</v>
      </c>
      <c r="F2696" s="1282" t="s">
        <v>20220</v>
      </c>
      <c r="G2696" s="1368">
        <v>32.25</v>
      </c>
      <c r="H2696" s="1178" t="s">
        <v>20221</v>
      </c>
      <c r="I2696" s="1178" t="s">
        <v>8281</v>
      </c>
      <c r="J2696" s="1178" t="s">
        <v>662</v>
      </c>
      <c r="K2696" s="1178" t="s">
        <v>267</v>
      </c>
      <c r="L2696" s="1178" t="s">
        <v>272</v>
      </c>
      <c r="M2696" s="1369" t="s">
        <v>23297</v>
      </c>
      <c r="N2696" s="1178"/>
      <c r="O2696" s="1178">
        <v>6</v>
      </c>
      <c r="P2696" s="1178">
        <v>13.5</v>
      </c>
    </row>
    <row r="2697" spans="1:16">
      <c r="A2697" s="1178" t="s">
        <v>276</v>
      </c>
      <c r="B2697" s="1371" t="str">
        <f>HYPERLINK(IFERROR("#Main_Tariff!A"&amp;MATCH(Raeburn_Main_Tariff[[#This Row],[Product Code]],Main_Tariff!I:I,0),"#Main_Tariff!A"&amp;MATCH("*"&amp;RIGHT(A2697,8)&amp;"*",Main_Tariff!A:A,0)),Raeburn_Main_Tariff[[#This Row],[PRODUCER]])</f>
        <v>Saumaize-Michelin</v>
      </c>
      <c r="C2697" s="1178" t="s">
        <v>21307</v>
      </c>
      <c r="D2697" s="1178" t="s">
        <v>1129</v>
      </c>
      <c r="E2697" s="1179">
        <v>2022</v>
      </c>
      <c r="F2697" s="1282" t="s">
        <v>20220</v>
      </c>
      <c r="G2697" s="1368">
        <v>33.5</v>
      </c>
      <c r="H2697" s="1178" t="s">
        <v>20221</v>
      </c>
      <c r="I2697" s="1178" t="s">
        <v>8285</v>
      </c>
      <c r="J2697" s="1178" t="s">
        <v>662</v>
      </c>
      <c r="K2697" s="1178" t="s">
        <v>267</v>
      </c>
      <c r="L2697" s="1178" t="s">
        <v>272</v>
      </c>
      <c r="M2697" s="1369"/>
      <c r="N2697" s="1178"/>
      <c r="O2697" s="1178">
        <v>6</v>
      </c>
      <c r="P2697" s="1178">
        <v>13.5</v>
      </c>
    </row>
    <row r="2698" spans="1:16">
      <c r="A2698" s="1178" t="s">
        <v>276</v>
      </c>
      <c r="B2698" s="1371" t="str">
        <f>HYPERLINK(IFERROR("#Main_Tariff!A"&amp;MATCH(Raeburn_Main_Tariff[[#This Row],[Product Code]],Main_Tariff!I:I,0),"#Main_Tariff!A"&amp;MATCH("*"&amp;RIGHT(A2698,8)&amp;"*",Main_Tariff!A:A,0)),Raeburn_Main_Tariff[[#This Row],[PRODUCER]])</f>
        <v>Saumaize-Michelin</v>
      </c>
      <c r="C2698" s="1178" t="s">
        <v>21307</v>
      </c>
      <c r="D2698" s="1178" t="s">
        <v>1129</v>
      </c>
      <c r="E2698" s="1179">
        <v>2019</v>
      </c>
      <c r="F2698" s="1282" t="s">
        <v>20220</v>
      </c>
      <c r="G2698" s="1368">
        <v>34</v>
      </c>
      <c r="H2698" s="1178" t="s">
        <v>20277</v>
      </c>
      <c r="I2698" s="1178" t="s">
        <v>8287</v>
      </c>
      <c r="J2698" s="1178" t="s">
        <v>662</v>
      </c>
      <c r="K2698" s="1178" t="s">
        <v>267</v>
      </c>
      <c r="L2698" s="1178" t="s">
        <v>272</v>
      </c>
      <c r="M2698" s="1369"/>
      <c r="N2698" s="1178"/>
      <c r="O2698" s="1178">
        <v>12</v>
      </c>
      <c r="P2698" s="1178">
        <v>14</v>
      </c>
    </row>
    <row r="2699" spans="1:16">
      <c r="A2699" s="1178" t="s">
        <v>276</v>
      </c>
      <c r="B2699" s="1371" t="str">
        <f>HYPERLINK(IFERROR("#Main_Tariff!A"&amp;MATCH(Raeburn_Main_Tariff[[#This Row],[Product Code]],Main_Tariff!I:I,0),"#Main_Tariff!A"&amp;MATCH("*"&amp;RIGHT(A2699,8)&amp;"*",Main_Tariff!A:A,0)),Raeburn_Main_Tariff[[#This Row],[PRODUCER]])</f>
        <v>Saumaize-Michelin</v>
      </c>
      <c r="C2699" s="1178" t="s">
        <v>21308</v>
      </c>
      <c r="D2699" s="1178" t="s">
        <v>897</v>
      </c>
      <c r="E2699" s="1179">
        <v>2018</v>
      </c>
      <c r="F2699" s="1282" t="s">
        <v>20220</v>
      </c>
      <c r="G2699" s="1368">
        <v>18.5</v>
      </c>
      <c r="H2699" s="1178" t="s">
        <v>20221</v>
      </c>
      <c r="I2699" s="1178" t="s">
        <v>8291</v>
      </c>
      <c r="J2699" s="1178" t="s">
        <v>662</v>
      </c>
      <c r="K2699" s="1178" t="s">
        <v>267</v>
      </c>
      <c r="L2699" s="1178" t="s">
        <v>272</v>
      </c>
      <c r="M2699" s="1369"/>
      <c r="N2699" s="1178"/>
      <c r="O2699" s="1178">
        <v>12</v>
      </c>
      <c r="P2699" s="1178">
        <v>13</v>
      </c>
    </row>
    <row r="2700" spans="1:16">
      <c r="A2700" s="1178" t="s">
        <v>278</v>
      </c>
      <c r="B2700" s="1371" t="str">
        <f>HYPERLINK(IFERROR("#Main_Tariff!A"&amp;MATCH(Raeburn_Main_Tariff[[#This Row],[Product Code]],Main_Tariff!I:I,0),"#Main_Tariff!A"&amp;MATCH("*"&amp;RIGHT(A2700,8)&amp;"*",Main_Tariff!A:A,0)),Raeburn_Main_Tariff[[#This Row],[PRODUCER]])</f>
        <v>Boillot-Barthod</v>
      </c>
      <c r="C2700" s="1178" t="s">
        <v>21309</v>
      </c>
      <c r="D2700" s="1178" t="s">
        <v>897</v>
      </c>
      <c r="E2700" s="1179">
        <v>2022</v>
      </c>
      <c r="F2700" s="1282" t="s">
        <v>20220</v>
      </c>
      <c r="G2700" s="1368">
        <v>25.75</v>
      </c>
      <c r="H2700" s="1178" t="s">
        <v>20221</v>
      </c>
      <c r="I2700" s="1178" t="s">
        <v>8325</v>
      </c>
      <c r="J2700" s="1178" t="s">
        <v>662</v>
      </c>
      <c r="K2700" s="1178" t="s">
        <v>267</v>
      </c>
      <c r="L2700" s="1178" t="s">
        <v>277</v>
      </c>
      <c r="M2700" s="1369"/>
      <c r="N2700" s="1178"/>
      <c r="O2700" s="1178">
        <v>6</v>
      </c>
      <c r="P2700" s="1178">
        <v>13</v>
      </c>
    </row>
    <row r="2701" spans="1:16">
      <c r="A2701" s="1178" t="s">
        <v>278</v>
      </c>
      <c r="B2701" s="1371" t="str">
        <f>HYPERLINK(IFERROR("#Main_Tariff!A"&amp;MATCH(Raeburn_Main_Tariff[[#This Row],[Product Code]],Main_Tariff!I:I,0),"#Main_Tariff!A"&amp;MATCH("*"&amp;RIGHT(A2701,8)&amp;"*",Main_Tariff!A:A,0)),Raeburn_Main_Tariff[[#This Row],[PRODUCER]])</f>
        <v>Boillot-Barthod</v>
      </c>
      <c r="C2701" s="1178" t="s">
        <v>21309</v>
      </c>
      <c r="D2701" s="1178" t="s">
        <v>897</v>
      </c>
      <c r="E2701" s="1179">
        <v>2021</v>
      </c>
      <c r="F2701" s="1282" t="s">
        <v>20220</v>
      </c>
      <c r="G2701" s="1368">
        <v>25.75</v>
      </c>
      <c r="H2701" s="1178" t="s">
        <v>20224</v>
      </c>
      <c r="I2701" s="1178" t="s">
        <v>8327</v>
      </c>
      <c r="J2701" s="1178" t="s">
        <v>662</v>
      </c>
      <c r="K2701" s="1178" t="s">
        <v>267</v>
      </c>
      <c r="L2701" s="1178" t="s">
        <v>277</v>
      </c>
      <c r="M2701" s="1369"/>
      <c r="N2701" s="1178"/>
      <c r="O2701" s="1178">
        <v>6</v>
      </c>
      <c r="P2701" s="1178">
        <v>13</v>
      </c>
    </row>
    <row r="2702" spans="1:16">
      <c r="A2702" s="1178" t="s">
        <v>278</v>
      </c>
      <c r="B2702" s="1371" t="str">
        <f>HYPERLINK(IFERROR("#Main_Tariff!A"&amp;MATCH(Raeburn_Main_Tariff[[#This Row],[Product Code]],Main_Tariff!I:I,0),"#Main_Tariff!A"&amp;MATCH("*"&amp;RIGHT(A2702,8)&amp;"*",Main_Tariff!A:A,0)),Raeburn_Main_Tariff[[#This Row],[PRODUCER]])</f>
        <v>Boillot-Barthod</v>
      </c>
      <c r="C2702" s="1178" t="s">
        <v>21309</v>
      </c>
      <c r="D2702" s="1178" t="s">
        <v>897</v>
      </c>
      <c r="E2702" s="1179">
        <v>2020</v>
      </c>
      <c r="F2702" s="1282" t="s">
        <v>20220</v>
      </c>
      <c r="G2702" s="1368">
        <v>23.5</v>
      </c>
      <c r="H2702" s="1178" t="s">
        <v>20221</v>
      </c>
      <c r="I2702" s="1178" t="s">
        <v>8329</v>
      </c>
      <c r="J2702" s="1178" t="s">
        <v>662</v>
      </c>
      <c r="K2702" s="1178" t="s">
        <v>267</v>
      </c>
      <c r="L2702" s="1178" t="s">
        <v>277</v>
      </c>
      <c r="M2702" s="1369"/>
      <c r="N2702" s="1178"/>
      <c r="O2702" s="1178">
        <v>6</v>
      </c>
      <c r="P2702" s="1178">
        <v>13.5</v>
      </c>
    </row>
    <row r="2703" spans="1:16">
      <c r="A2703" s="1178" t="s">
        <v>278</v>
      </c>
      <c r="B2703" s="1371" t="str">
        <f>HYPERLINK(IFERROR("#Main_Tariff!A"&amp;MATCH(Raeburn_Main_Tariff[[#This Row],[Product Code]],Main_Tariff!I:I,0),"#Main_Tariff!A"&amp;MATCH("*"&amp;RIGHT(A2703,8)&amp;"*",Main_Tariff!A:A,0)),Raeburn_Main_Tariff[[#This Row],[PRODUCER]])</f>
        <v>Boillot-Barthod</v>
      </c>
      <c r="C2703" s="1178" t="s">
        <v>21310</v>
      </c>
      <c r="D2703" s="1178" t="s">
        <v>897</v>
      </c>
      <c r="E2703" s="1179">
        <v>2022</v>
      </c>
      <c r="F2703" s="1282" t="s">
        <v>20220</v>
      </c>
      <c r="G2703" s="1368">
        <v>19</v>
      </c>
      <c r="H2703" s="1178" t="s">
        <v>20221</v>
      </c>
      <c r="I2703" s="1178" t="s">
        <v>8333</v>
      </c>
      <c r="J2703" s="1178" t="s">
        <v>662</v>
      </c>
      <c r="K2703" s="1178" t="s">
        <v>267</v>
      </c>
      <c r="L2703" s="1178" t="s">
        <v>277</v>
      </c>
      <c r="M2703" s="1369"/>
      <c r="N2703" s="1178"/>
      <c r="O2703" s="1178">
        <v>6</v>
      </c>
      <c r="P2703" s="1178">
        <v>13</v>
      </c>
    </row>
    <row r="2704" spans="1:16">
      <c r="A2704" s="1178" t="s">
        <v>278</v>
      </c>
      <c r="B2704" s="1371" t="str">
        <f>HYPERLINK(IFERROR("#Main_Tariff!A"&amp;MATCH(Raeburn_Main_Tariff[[#This Row],[Product Code]],Main_Tariff!I:I,0),"#Main_Tariff!A"&amp;MATCH("*"&amp;RIGHT(A2704,8)&amp;"*",Main_Tariff!A:A,0)),Raeburn_Main_Tariff[[#This Row],[PRODUCER]])</f>
        <v>Boillot-Barthod</v>
      </c>
      <c r="C2704" s="1178" t="s">
        <v>21310</v>
      </c>
      <c r="D2704" s="1178" t="s">
        <v>897</v>
      </c>
      <c r="E2704" s="1179">
        <v>2021</v>
      </c>
      <c r="F2704" s="1282" t="s">
        <v>20220</v>
      </c>
      <c r="G2704" s="1368">
        <v>19</v>
      </c>
      <c r="H2704" s="1178" t="s">
        <v>20221</v>
      </c>
      <c r="I2704" s="1178" t="s">
        <v>8335</v>
      </c>
      <c r="J2704" s="1178" t="s">
        <v>662</v>
      </c>
      <c r="K2704" s="1178" t="s">
        <v>267</v>
      </c>
      <c r="L2704" s="1178" t="s">
        <v>277</v>
      </c>
      <c r="M2704" s="1369"/>
      <c r="N2704" s="1178"/>
      <c r="O2704" s="1178">
        <v>6</v>
      </c>
      <c r="P2704" s="1178">
        <v>13</v>
      </c>
    </row>
    <row r="2705" spans="1:16">
      <c r="A2705" s="1178" t="s">
        <v>278</v>
      </c>
      <c r="B2705" s="1371" t="str">
        <f>HYPERLINK(IFERROR("#Main_Tariff!A"&amp;MATCH(Raeburn_Main_Tariff[[#This Row],[Product Code]],Main_Tariff!I:I,0),"#Main_Tariff!A"&amp;MATCH("*"&amp;RIGHT(A2705,8)&amp;"*",Main_Tariff!A:A,0)),Raeburn_Main_Tariff[[#This Row],[PRODUCER]])</f>
        <v>Boillot-Barthod</v>
      </c>
      <c r="C2705" s="1178" t="s">
        <v>21310</v>
      </c>
      <c r="D2705" s="1178" t="s">
        <v>897</v>
      </c>
      <c r="E2705" s="1179">
        <v>2020</v>
      </c>
      <c r="F2705" s="1282" t="s">
        <v>20220</v>
      </c>
      <c r="G2705" s="1368">
        <v>18</v>
      </c>
      <c r="H2705" s="1178" t="s">
        <v>20221</v>
      </c>
      <c r="I2705" s="1178" t="s">
        <v>8337</v>
      </c>
      <c r="J2705" s="1178" t="s">
        <v>662</v>
      </c>
      <c r="K2705" s="1178" t="s">
        <v>267</v>
      </c>
      <c r="L2705" s="1178" t="s">
        <v>277</v>
      </c>
      <c r="M2705" s="1369"/>
      <c r="N2705" s="1178"/>
      <c r="O2705" s="1178">
        <v>6</v>
      </c>
      <c r="P2705" s="1178">
        <v>13</v>
      </c>
    </row>
    <row r="2706" spans="1:16">
      <c r="A2706" s="1178" t="s">
        <v>278</v>
      </c>
      <c r="B2706" s="1371" t="str">
        <f>HYPERLINK(IFERROR("#Main_Tariff!A"&amp;MATCH(Raeburn_Main_Tariff[[#This Row],[Product Code]],Main_Tariff!I:I,0),"#Main_Tariff!A"&amp;MATCH("*"&amp;RIGHT(A2706,8)&amp;"*",Main_Tariff!A:A,0)),Raeburn_Main_Tariff[[#This Row],[PRODUCER]])</f>
        <v>Boillot-Barthod</v>
      </c>
      <c r="C2706" s="1178" t="s">
        <v>21310</v>
      </c>
      <c r="D2706" s="1178" t="s">
        <v>897</v>
      </c>
      <c r="E2706" s="1179">
        <v>2018</v>
      </c>
      <c r="F2706" s="1282" t="s">
        <v>20220</v>
      </c>
      <c r="G2706" s="1368">
        <v>17.5</v>
      </c>
      <c r="H2706" s="1178" t="s">
        <v>20221</v>
      </c>
      <c r="I2706" s="1178" t="s">
        <v>8339</v>
      </c>
      <c r="J2706" s="1178" t="s">
        <v>662</v>
      </c>
      <c r="K2706" s="1178" t="s">
        <v>267</v>
      </c>
      <c r="L2706" s="1178" t="s">
        <v>277</v>
      </c>
      <c r="M2706" s="1369"/>
      <c r="N2706" s="1178"/>
      <c r="O2706" s="1178">
        <v>6</v>
      </c>
      <c r="P2706" s="1178">
        <v>13</v>
      </c>
    </row>
    <row r="2707" spans="1:16">
      <c r="A2707" s="1178" t="s">
        <v>278</v>
      </c>
      <c r="B2707" s="1371" t="str">
        <f>HYPERLINK(IFERROR("#Main_Tariff!A"&amp;MATCH(Raeburn_Main_Tariff[[#This Row],[Product Code]],Main_Tariff!I:I,0),"#Main_Tariff!A"&amp;MATCH("*"&amp;RIGHT(A2707,8)&amp;"*",Main_Tariff!A:A,0)),Raeburn_Main_Tariff[[#This Row],[PRODUCER]])</f>
        <v>Boillot-Barthod</v>
      </c>
      <c r="C2707" s="1178" t="s">
        <v>21311</v>
      </c>
      <c r="D2707" s="1178" t="s">
        <v>897</v>
      </c>
      <c r="E2707" s="1179">
        <v>2022</v>
      </c>
      <c r="F2707" s="1282" t="s">
        <v>20220</v>
      </c>
      <c r="G2707" s="1368">
        <v>21</v>
      </c>
      <c r="H2707" s="1178" t="s">
        <v>20221</v>
      </c>
      <c r="I2707" s="1178" t="s">
        <v>8341</v>
      </c>
      <c r="J2707" s="1178" t="s">
        <v>662</v>
      </c>
      <c r="K2707" s="1178" t="s">
        <v>267</v>
      </c>
      <c r="L2707" s="1178" t="s">
        <v>277</v>
      </c>
      <c r="M2707" s="1369"/>
      <c r="N2707" s="1178"/>
      <c r="O2707" s="1178">
        <v>6</v>
      </c>
      <c r="P2707" s="1178">
        <v>13</v>
      </c>
    </row>
    <row r="2708" spans="1:16">
      <c r="A2708" s="1178" t="s">
        <v>278</v>
      </c>
      <c r="B2708" s="1371" t="str">
        <f>HYPERLINK(IFERROR("#Main_Tariff!A"&amp;MATCH(Raeburn_Main_Tariff[[#This Row],[Product Code]],Main_Tariff!I:I,0),"#Main_Tariff!A"&amp;MATCH("*"&amp;RIGHT(A2708,8)&amp;"*",Main_Tariff!A:A,0)),Raeburn_Main_Tariff[[#This Row],[PRODUCER]])</f>
        <v>Boillot-Barthod</v>
      </c>
      <c r="C2708" s="1178" t="s">
        <v>21311</v>
      </c>
      <c r="D2708" s="1178" t="s">
        <v>897</v>
      </c>
      <c r="E2708" s="1179">
        <v>2021</v>
      </c>
      <c r="F2708" s="1282" t="s">
        <v>20220</v>
      </c>
      <c r="G2708" s="1368">
        <v>21</v>
      </c>
      <c r="H2708" s="1178" t="s">
        <v>20221</v>
      </c>
      <c r="I2708" s="1178" t="s">
        <v>8343</v>
      </c>
      <c r="J2708" s="1178" t="s">
        <v>662</v>
      </c>
      <c r="K2708" s="1178" t="s">
        <v>267</v>
      </c>
      <c r="L2708" s="1178" t="s">
        <v>277</v>
      </c>
      <c r="M2708" s="1369"/>
      <c r="N2708" s="1178"/>
      <c r="O2708" s="1178">
        <v>6</v>
      </c>
      <c r="P2708" s="1178">
        <v>13</v>
      </c>
    </row>
    <row r="2709" spans="1:16">
      <c r="A2709" s="1178" t="s">
        <v>278</v>
      </c>
      <c r="B2709" s="1371" t="str">
        <f>HYPERLINK(IFERROR("#Main_Tariff!A"&amp;MATCH(Raeburn_Main_Tariff[[#This Row],[Product Code]],Main_Tariff!I:I,0),"#Main_Tariff!A"&amp;MATCH("*"&amp;RIGHT(A2709,8)&amp;"*",Main_Tariff!A:A,0)),Raeburn_Main_Tariff[[#This Row],[PRODUCER]])</f>
        <v>Boillot-Barthod</v>
      </c>
      <c r="C2709" s="1178" t="s">
        <v>21311</v>
      </c>
      <c r="D2709" s="1178" t="s">
        <v>897</v>
      </c>
      <c r="E2709" s="1179">
        <v>2020</v>
      </c>
      <c r="F2709" s="1282" t="s">
        <v>20220</v>
      </c>
      <c r="G2709" s="1368">
        <v>20</v>
      </c>
      <c r="H2709" s="1178" t="s">
        <v>20221</v>
      </c>
      <c r="I2709" s="1178" t="s">
        <v>8345</v>
      </c>
      <c r="J2709" s="1178" t="s">
        <v>662</v>
      </c>
      <c r="K2709" s="1178" t="s">
        <v>267</v>
      </c>
      <c r="L2709" s="1178" t="s">
        <v>277</v>
      </c>
      <c r="M2709" s="1369"/>
      <c r="N2709" s="1178"/>
      <c r="O2709" s="1178">
        <v>6</v>
      </c>
      <c r="P2709" s="1178">
        <v>13</v>
      </c>
    </row>
    <row r="2710" spans="1:16">
      <c r="A2710" s="1178" t="s">
        <v>278</v>
      </c>
      <c r="B2710" s="1371" t="str">
        <f>HYPERLINK(IFERROR("#Main_Tariff!A"&amp;MATCH(Raeburn_Main_Tariff[[#This Row],[Product Code]],Main_Tariff!I:I,0),"#Main_Tariff!A"&amp;MATCH("*"&amp;RIGHT(A2710,8)&amp;"*",Main_Tariff!A:A,0)),Raeburn_Main_Tariff[[#This Row],[PRODUCER]])</f>
        <v>Boillot-Barthod</v>
      </c>
      <c r="C2710" s="1178" t="s">
        <v>21311</v>
      </c>
      <c r="D2710" s="1178" t="s">
        <v>897</v>
      </c>
      <c r="E2710" s="1179">
        <v>2016</v>
      </c>
      <c r="F2710" s="1282" t="s">
        <v>20220</v>
      </c>
      <c r="G2710" s="1368">
        <v>23.25</v>
      </c>
      <c r="H2710" s="1178" t="s">
        <v>20221</v>
      </c>
      <c r="I2710" s="1178" t="s">
        <v>8347</v>
      </c>
      <c r="J2710" s="1178" t="s">
        <v>662</v>
      </c>
      <c r="K2710" s="1178" t="s">
        <v>267</v>
      </c>
      <c r="L2710" s="1178" t="s">
        <v>277</v>
      </c>
      <c r="M2710" s="1369"/>
      <c r="N2710" s="1178"/>
      <c r="O2710" s="1178">
        <v>6</v>
      </c>
      <c r="P2710" s="1178">
        <v>13</v>
      </c>
    </row>
    <row r="2711" spans="1:16">
      <c r="A2711" s="1178" t="s">
        <v>278</v>
      </c>
      <c r="B2711" s="1371" t="str">
        <f>HYPERLINK(IFERROR("#Main_Tariff!A"&amp;MATCH(Raeburn_Main_Tariff[[#This Row],[Product Code]],Main_Tariff!I:I,0),"#Main_Tariff!A"&amp;MATCH("*"&amp;RIGHT(A2711,8)&amp;"*",Main_Tariff!A:A,0)),Raeburn_Main_Tariff[[#This Row],[PRODUCER]])</f>
        <v>Boillot-Barthod</v>
      </c>
      <c r="C2711" s="1178" t="s">
        <v>21311</v>
      </c>
      <c r="D2711" s="1178" t="s">
        <v>897</v>
      </c>
      <c r="E2711" s="1179">
        <v>2014</v>
      </c>
      <c r="F2711" s="1282" t="s">
        <v>20220</v>
      </c>
      <c r="G2711" s="1368">
        <v>22</v>
      </c>
      <c r="H2711" s="1178" t="s">
        <v>20221</v>
      </c>
      <c r="I2711" s="1178" t="s">
        <v>8349</v>
      </c>
      <c r="J2711" s="1178" t="s">
        <v>662</v>
      </c>
      <c r="K2711" s="1178" t="s">
        <v>267</v>
      </c>
      <c r="L2711" s="1178" t="s">
        <v>277</v>
      </c>
      <c r="M2711" s="1369"/>
      <c r="N2711" s="1178"/>
      <c r="O2711" s="1178">
        <v>6</v>
      </c>
      <c r="P2711" s="1178">
        <v>12.5</v>
      </c>
    </row>
    <row r="2712" spans="1:16">
      <c r="A2712" s="1178" t="s">
        <v>278</v>
      </c>
      <c r="B2712" s="1371" t="str">
        <f>HYPERLINK(IFERROR("#Main_Tariff!A"&amp;MATCH(Raeburn_Main_Tariff[[#This Row],[Product Code]],Main_Tariff!I:I,0),"#Main_Tariff!A"&amp;MATCH("*"&amp;RIGHT(A2712,8)&amp;"*",Main_Tariff!A:A,0)),Raeburn_Main_Tariff[[#This Row],[PRODUCER]])</f>
        <v>Boillot-Barthod</v>
      </c>
      <c r="C2712" s="1178" t="s">
        <v>21312</v>
      </c>
      <c r="D2712" s="1178" t="s">
        <v>897</v>
      </c>
      <c r="E2712" s="1179">
        <v>2020</v>
      </c>
      <c r="F2712" s="1282" t="s">
        <v>20220</v>
      </c>
      <c r="G2712" s="1368">
        <v>23</v>
      </c>
      <c r="H2712" s="1178" t="s">
        <v>20221</v>
      </c>
      <c r="I2712" s="1178" t="s">
        <v>8350</v>
      </c>
      <c r="J2712" s="1178" t="s">
        <v>662</v>
      </c>
      <c r="K2712" s="1178" t="s">
        <v>267</v>
      </c>
      <c r="L2712" s="1178" t="s">
        <v>277</v>
      </c>
      <c r="M2712" s="1369"/>
      <c r="N2712" s="1178"/>
      <c r="O2712" s="1178">
        <v>6</v>
      </c>
      <c r="P2712" s="1178">
        <v>13</v>
      </c>
    </row>
    <row r="2713" spans="1:16">
      <c r="A2713" s="1178" t="s">
        <v>278</v>
      </c>
      <c r="B2713" s="1371" t="str">
        <f>HYPERLINK(IFERROR("#Main_Tariff!A"&amp;MATCH(Raeburn_Main_Tariff[[#This Row],[Product Code]],Main_Tariff!I:I,0),"#Main_Tariff!A"&amp;MATCH("*"&amp;RIGHT(A2713,8)&amp;"*",Main_Tariff!A:A,0)),Raeburn_Main_Tariff[[#This Row],[PRODUCER]])</f>
        <v>Boillot-Barthod</v>
      </c>
      <c r="C2713" s="1178" t="s">
        <v>21312</v>
      </c>
      <c r="D2713" s="1178" t="s">
        <v>897</v>
      </c>
      <c r="E2713" s="1179">
        <v>2018</v>
      </c>
      <c r="F2713" s="1282" t="s">
        <v>20220</v>
      </c>
      <c r="G2713" s="1368">
        <v>23</v>
      </c>
      <c r="H2713" s="1178" t="s">
        <v>20221</v>
      </c>
      <c r="I2713" s="1178" t="s">
        <v>8352</v>
      </c>
      <c r="J2713" s="1178" t="s">
        <v>662</v>
      </c>
      <c r="K2713" s="1178" t="s">
        <v>267</v>
      </c>
      <c r="L2713" s="1178" t="s">
        <v>277</v>
      </c>
      <c r="M2713" s="1369"/>
      <c r="N2713" s="1178"/>
      <c r="O2713" s="1178">
        <v>6</v>
      </c>
      <c r="P2713" s="1178">
        <v>13</v>
      </c>
    </row>
    <row r="2714" spans="1:16">
      <c r="A2714" s="1178" t="s">
        <v>278</v>
      </c>
      <c r="B2714" s="1371" t="str">
        <f>HYPERLINK(IFERROR("#Main_Tariff!A"&amp;MATCH(Raeburn_Main_Tariff[[#This Row],[Product Code]],Main_Tariff!I:I,0),"#Main_Tariff!A"&amp;MATCH("*"&amp;RIGHT(A2714,8)&amp;"*",Main_Tariff!A:A,0)),Raeburn_Main_Tariff[[#This Row],[PRODUCER]])</f>
        <v>Boillot-Barthod</v>
      </c>
      <c r="C2714" s="1178" t="s">
        <v>21313</v>
      </c>
      <c r="D2714" s="1178" t="s">
        <v>897</v>
      </c>
      <c r="E2714" s="1179">
        <v>2021</v>
      </c>
      <c r="F2714" s="1282" t="s">
        <v>20220</v>
      </c>
      <c r="G2714" s="1368">
        <v>25.75</v>
      </c>
      <c r="H2714" s="1178" t="s">
        <v>20224</v>
      </c>
      <c r="I2714" s="1178" t="s">
        <v>8354</v>
      </c>
      <c r="J2714" s="1178" t="s">
        <v>662</v>
      </c>
      <c r="K2714" s="1178" t="s">
        <v>267</v>
      </c>
      <c r="L2714" s="1178" t="s">
        <v>277</v>
      </c>
      <c r="M2714" s="1369"/>
      <c r="N2714" s="1178"/>
      <c r="O2714" s="1178">
        <v>6</v>
      </c>
      <c r="P2714" s="1178">
        <v>13</v>
      </c>
    </row>
    <row r="2715" spans="1:16">
      <c r="A2715" s="1178" t="s">
        <v>278</v>
      </c>
      <c r="B2715" s="1371" t="str">
        <f>HYPERLINK(IFERROR("#Main_Tariff!A"&amp;MATCH(Raeburn_Main_Tariff[[#This Row],[Product Code]],Main_Tariff!I:I,0),"#Main_Tariff!A"&amp;MATCH("*"&amp;RIGHT(A2715,8)&amp;"*",Main_Tariff!A:A,0)),Raeburn_Main_Tariff[[#This Row],[PRODUCER]])</f>
        <v>Boillot-Barthod</v>
      </c>
      <c r="C2715" s="1178" t="s">
        <v>21313</v>
      </c>
      <c r="D2715" s="1178" t="s">
        <v>897</v>
      </c>
      <c r="E2715" s="1179">
        <v>2017</v>
      </c>
      <c r="F2715" s="1282" t="s">
        <v>20220</v>
      </c>
      <c r="G2715" s="1368">
        <v>23.5</v>
      </c>
      <c r="H2715" s="1178" t="s">
        <v>20221</v>
      </c>
      <c r="I2715" s="1178" t="s">
        <v>8356</v>
      </c>
      <c r="J2715" s="1178" t="s">
        <v>662</v>
      </c>
      <c r="K2715" s="1178" t="s">
        <v>267</v>
      </c>
      <c r="L2715" s="1178" t="s">
        <v>277</v>
      </c>
      <c r="M2715" s="1369"/>
      <c r="N2715" s="1178"/>
      <c r="O2715" s="1178">
        <v>6</v>
      </c>
      <c r="P2715" s="1178">
        <v>13</v>
      </c>
    </row>
    <row r="2716" spans="1:16">
      <c r="A2716" s="1178" t="s">
        <v>278</v>
      </c>
      <c r="B2716" s="1371" t="str">
        <f>HYPERLINK(IFERROR("#Main_Tariff!A"&amp;MATCH(Raeburn_Main_Tariff[[#This Row],[Product Code]],Main_Tariff!I:I,0),"#Main_Tariff!A"&amp;MATCH("*"&amp;RIGHT(A2716,8)&amp;"*",Main_Tariff!A:A,0)),Raeburn_Main_Tariff[[#This Row],[PRODUCER]])</f>
        <v>Boillot-Barthod</v>
      </c>
      <c r="C2716" s="1178" t="s">
        <v>21313</v>
      </c>
      <c r="D2716" s="1178" t="s">
        <v>897</v>
      </c>
      <c r="E2716" s="1179">
        <v>2015</v>
      </c>
      <c r="F2716" s="1282" t="s">
        <v>20220</v>
      </c>
      <c r="G2716" s="1368">
        <v>24.5</v>
      </c>
      <c r="H2716" s="1178" t="s">
        <v>20221</v>
      </c>
      <c r="I2716" s="1178" t="s">
        <v>8358</v>
      </c>
      <c r="J2716" s="1178" t="s">
        <v>662</v>
      </c>
      <c r="K2716" s="1178" t="s">
        <v>267</v>
      </c>
      <c r="L2716" s="1178" t="s">
        <v>277</v>
      </c>
      <c r="M2716" s="1369"/>
      <c r="N2716" s="1178"/>
      <c r="O2716" s="1178">
        <v>6</v>
      </c>
      <c r="P2716" s="1178">
        <v>13</v>
      </c>
    </row>
    <row r="2717" spans="1:16">
      <c r="A2717" s="1178" t="s">
        <v>278</v>
      </c>
      <c r="B2717" s="1371" t="str">
        <f>HYPERLINK(IFERROR("#Main_Tariff!A"&amp;MATCH(Raeburn_Main_Tariff[[#This Row],[Product Code]],Main_Tariff!I:I,0),"#Main_Tariff!A"&amp;MATCH("*"&amp;RIGHT(A2717,8)&amp;"*",Main_Tariff!A:A,0)),Raeburn_Main_Tariff[[#This Row],[PRODUCER]])</f>
        <v>Boillot-Barthod</v>
      </c>
      <c r="C2717" s="1178" t="s">
        <v>21314</v>
      </c>
      <c r="D2717" s="1178" t="s">
        <v>897</v>
      </c>
      <c r="E2717" s="1179">
        <v>2022</v>
      </c>
      <c r="F2717" s="1282" t="s">
        <v>20220</v>
      </c>
      <c r="G2717" s="1368">
        <v>25.75</v>
      </c>
      <c r="H2717" s="1178" t="s">
        <v>20221</v>
      </c>
      <c r="I2717" s="1178" t="s">
        <v>8360</v>
      </c>
      <c r="J2717" s="1178" t="s">
        <v>662</v>
      </c>
      <c r="K2717" s="1178" t="s">
        <v>267</v>
      </c>
      <c r="L2717" s="1178" t="s">
        <v>277</v>
      </c>
      <c r="M2717" s="1369"/>
      <c r="N2717" s="1178"/>
      <c r="O2717" s="1178">
        <v>6</v>
      </c>
      <c r="P2717" s="1178">
        <v>13</v>
      </c>
    </row>
    <row r="2718" spans="1:16">
      <c r="A2718" s="1178" t="s">
        <v>278</v>
      </c>
      <c r="B2718" s="1371" t="str">
        <f>HYPERLINK(IFERROR("#Main_Tariff!A"&amp;MATCH(Raeburn_Main_Tariff[[#This Row],[Product Code]],Main_Tariff!I:I,0),"#Main_Tariff!A"&amp;MATCH("*"&amp;RIGHT(A2718,8)&amp;"*",Main_Tariff!A:A,0)),Raeburn_Main_Tariff[[#This Row],[PRODUCER]])</f>
        <v>Boillot-Barthod</v>
      </c>
      <c r="C2718" s="1178" t="s">
        <v>21315</v>
      </c>
      <c r="D2718" s="1178" t="s">
        <v>897</v>
      </c>
      <c r="E2718" s="1179">
        <v>2014</v>
      </c>
      <c r="F2718" s="1282" t="s">
        <v>20240</v>
      </c>
      <c r="G2718" s="1368">
        <v>46</v>
      </c>
      <c r="H2718" s="1178" t="s">
        <v>20224</v>
      </c>
      <c r="I2718" s="1178" t="s">
        <v>8364</v>
      </c>
      <c r="J2718" s="1178" t="s">
        <v>662</v>
      </c>
      <c r="K2718" s="1178" t="s">
        <v>267</v>
      </c>
      <c r="L2718" s="1178" t="s">
        <v>277</v>
      </c>
      <c r="M2718" s="1369"/>
      <c r="N2718" s="1178"/>
      <c r="O2718" s="1178">
        <v>6</v>
      </c>
      <c r="P2718" s="1178">
        <v>12.5</v>
      </c>
    </row>
    <row r="2719" spans="1:16">
      <c r="A2719" s="1178" t="s">
        <v>21316</v>
      </c>
      <c r="B2719" s="1371" t="str">
        <f>HYPERLINK(IFERROR("#Main_Tariff!A"&amp;MATCH(Raeburn_Main_Tariff[[#This Row],[Product Code]],Main_Tariff!I:I,0),"#Main_Tariff!A"&amp;MATCH("*"&amp;RIGHT(A2719,8)&amp;"*",Main_Tariff!A:A,0)),Raeburn_Main_Tariff[[#This Row],[PRODUCER]])</f>
        <v>JP Brun Domaine Terres Dorées</v>
      </c>
      <c r="C2719" s="1178" t="s">
        <v>21317</v>
      </c>
      <c r="D2719" s="1178" t="s">
        <v>1129</v>
      </c>
      <c r="E2719" s="1179">
        <v>2023</v>
      </c>
      <c r="F2719" s="1282" t="s">
        <v>20220</v>
      </c>
      <c r="G2719" s="1368">
        <v>15</v>
      </c>
      <c r="H2719" s="1178" t="s">
        <v>20221</v>
      </c>
      <c r="I2719" s="1178" t="s">
        <v>8368</v>
      </c>
      <c r="J2719" s="1178" t="s">
        <v>662</v>
      </c>
      <c r="K2719" s="1178" t="s">
        <v>267</v>
      </c>
      <c r="L2719" s="1178" t="s">
        <v>277</v>
      </c>
      <c r="M2719" s="1369"/>
      <c r="N2719" s="1178"/>
      <c r="O2719" s="1178">
        <v>6</v>
      </c>
      <c r="P2719" s="1178">
        <v>12.5</v>
      </c>
    </row>
    <row r="2720" spans="1:16">
      <c r="A2720" s="1178" t="s">
        <v>21318</v>
      </c>
      <c r="B2720" s="1371" t="str">
        <f>HYPERLINK(IFERROR("#Main_Tariff!A"&amp;MATCH(Raeburn_Main_Tariff[[#This Row],[Product Code]],Main_Tariff!I:I,0),"#Main_Tariff!A"&amp;MATCH("*"&amp;RIGHT(A2720,8)&amp;"*",Main_Tariff!A:A,0)),Raeburn_Main_Tariff[[#This Row],[PRODUCER]])</f>
        <v>Domaine Marc Delienne</v>
      </c>
      <c r="C2720" s="1178" t="s">
        <v>21319</v>
      </c>
      <c r="D2720" s="1178" t="s">
        <v>897</v>
      </c>
      <c r="E2720" s="1179">
        <v>2016</v>
      </c>
      <c r="F2720" s="1282" t="s">
        <v>20220</v>
      </c>
      <c r="G2720" s="1368">
        <v>21.5</v>
      </c>
      <c r="H2720" s="1178" t="s">
        <v>20221</v>
      </c>
      <c r="I2720" s="1178" t="s">
        <v>8375</v>
      </c>
      <c r="J2720" s="1178" t="s">
        <v>662</v>
      </c>
      <c r="K2720" s="1178" t="s">
        <v>267</v>
      </c>
      <c r="L2720" s="1178" t="s">
        <v>277</v>
      </c>
      <c r="M2720" s="1369"/>
      <c r="N2720" s="1178"/>
      <c r="O2720" s="1178">
        <v>12</v>
      </c>
      <c r="P2720" s="1178">
        <v>12.5</v>
      </c>
    </row>
    <row r="2721" spans="1:16">
      <c r="A2721" s="1178" t="s">
        <v>21318</v>
      </c>
      <c r="B2721" s="1371" t="str">
        <f>HYPERLINK(IFERROR("#Main_Tariff!A"&amp;MATCH(Raeburn_Main_Tariff[[#This Row],[Product Code]],Main_Tariff!I:I,0),"#Main_Tariff!A"&amp;MATCH("*"&amp;RIGHT(A2721,8)&amp;"*",Main_Tariff!A:A,0)),Raeburn_Main_Tariff[[#This Row],[PRODUCER]])</f>
        <v>Domaine Marc Delienne</v>
      </c>
      <c r="C2721" s="1178" t="s">
        <v>21320</v>
      </c>
      <c r="D2721" s="1178" t="s">
        <v>897</v>
      </c>
      <c r="E2721" s="1179">
        <v>2016</v>
      </c>
      <c r="F2721" s="1282" t="s">
        <v>20220</v>
      </c>
      <c r="G2721" s="1368">
        <v>23.5</v>
      </c>
      <c r="H2721" s="1178" t="s">
        <v>20224</v>
      </c>
      <c r="I2721" s="1178" t="s">
        <v>8377</v>
      </c>
      <c r="J2721" s="1178" t="s">
        <v>662</v>
      </c>
      <c r="K2721" s="1178" t="s">
        <v>267</v>
      </c>
      <c r="L2721" s="1178" t="s">
        <v>277</v>
      </c>
      <c r="M2721" s="1369"/>
      <c r="N2721" s="1178"/>
      <c r="O2721" s="1178">
        <v>12</v>
      </c>
      <c r="P2721" s="1178">
        <v>12.5</v>
      </c>
    </row>
    <row r="2722" spans="1:16">
      <c r="A2722" s="1178" t="s">
        <v>21318</v>
      </c>
      <c r="B2722" s="1371" t="str">
        <f>HYPERLINK(IFERROR("#Main_Tariff!A"&amp;MATCH(Raeburn_Main_Tariff[[#This Row],[Product Code]],Main_Tariff!I:I,0),"#Main_Tariff!A"&amp;MATCH("*"&amp;RIGHT(A2722,8)&amp;"*",Main_Tariff!A:A,0)),Raeburn_Main_Tariff[[#This Row],[PRODUCER]])</f>
        <v>Domaine Marc Delienne</v>
      </c>
      <c r="C2722" s="1178" t="s">
        <v>21320</v>
      </c>
      <c r="D2722" s="1178" t="s">
        <v>897</v>
      </c>
      <c r="E2722" s="1179">
        <v>2015</v>
      </c>
      <c r="F2722" s="1282" t="s">
        <v>20220</v>
      </c>
      <c r="G2722" s="1368">
        <v>23.5</v>
      </c>
      <c r="H2722" s="1178" t="s">
        <v>20221</v>
      </c>
      <c r="I2722" s="1178" t="s">
        <v>8379</v>
      </c>
      <c r="J2722" s="1178" t="s">
        <v>662</v>
      </c>
      <c r="K2722" s="1178" t="s">
        <v>267</v>
      </c>
      <c r="L2722" s="1178" t="s">
        <v>277</v>
      </c>
      <c r="M2722" s="1369"/>
      <c r="N2722" s="1178"/>
      <c r="O2722" s="1178">
        <v>12</v>
      </c>
      <c r="P2722" s="1178">
        <v>13.5</v>
      </c>
    </row>
    <row r="2723" spans="1:16">
      <c r="A2723" s="1178" t="s">
        <v>21318</v>
      </c>
      <c r="B2723" s="1371" t="str">
        <f>HYPERLINK(IFERROR("#Main_Tariff!A"&amp;MATCH(Raeburn_Main_Tariff[[#This Row],[Product Code]],Main_Tariff!I:I,0),"#Main_Tariff!A"&amp;MATCH("*"&amp;RIGHT(A2723,8)&amp;"*",Main_Tariff!A:A,0)),Raeburn_Main_Tariff[[#This Row],[PRODUCER]])</f>
        <v>Domaine Marc Delienne</v>
      </c>
      <c r="C2723" s="1178" t="s">
        <v>21321</v>
      </c>
      <c r="D2723" s="1178" t="s">
        <v>897</v>
      </c>
      <c r="E2723" s="1179">
        <v>2016</v>
      </c>
      <c r="F2723" s="1282" t="s">
        <v>20240</v>
      </c>
      <c r="G2723" s="1368">
        <v>44</v>
      </c>
      <c r="H2723" s="1178" t="s">
        <v>20224</v>
      </c>
      <c r="I2723" s="1178" t="s">
        <v>8382</v>
      </c>
      <c r="J2723" s="1178" t="s">
        <v>662</v>
      </c>
      <c r="K2723" s="1178" t="s">
        <v>267</v>
      </c>
      <c r="L2723" s="1178" t="s">
        <v>277</v>
      </c>
      <c r="M2723" s="1369"/>
      <c r="N2723" s="1178"/>
      <c r="O2723" s="1178">
        <v>6</v>
      </c>
      <c r="P2723" s="1178">
        <v>12.5</v>
      </c>
    </row>
    <row r="2724" spans="1:16">
      <c r="A2724" s="1178" t="s">
        <v>21318</v>
      </c>
      <c r="B2724" s="1371" t="str">
        <f>HYPERLINK(IFERROR("#Main_Tariff!A"&amp;MATCH(Raeburn_Main_Tariff[[#This Row],[Product Code]],Main_Tariff!I:I,0),"#Main_Tariff!A"&amp;MATCH("*"&amp;RIGHT(A2724,8)&amp;"*",Main_Tariff!A:A,0)),Raeburn_Main_Tariff[[#This Row],[PRODUCER]])</f>
        <v>Domaine Marc Delienne</v>
      </c>
      <c r="C2724" s="1178" t="s">
        <v>21322</v>
      </c>
      <c r="D2724" s="1178" t="s">
        <v>897</v>
      </c>
      <c r="E2724" s="1179">
        <v>2015</v>
      </c>
      <c r="F2724" s="1282" t="s">
        <v>20240</v>
      </c>
      <c r="G2724" s="1368">
        <v>51.5</v>
      </c>
      <c r="H2724" s="1178" t="s">
        <v>20224</v>
      </c>
      <c r="I2724" s="1178" t="s">
        <v>8384</v>
      </c>
      <c r="J2724" s="1178" t="s">
        <v>662</v>
      </c>
      <c r="K2724" s="1178" t="s">
        <v>267</v>
      </c>
      <c r="L2724" s="1178" t="s">
        <v>277</v>
      </c>
      <c r="M2724" s="1369"/>
      <c r="N2724" s="1178"/>
      <c r="O2724" s="1178">
        <v>6</v>
      </c>
      <c r="P2724" s="1178">
        <v>13.5</v>
      </c>
    </row>
    <row r="2725" spans="1:16">
      <c r="A2725" s="1178" t="s">
        <v>21318</v>
      </c>
      <c r="B2725" s="1371" t="str">
        <f>HYPERLINK(IFERROR("#Main_Tariff!A"&amp;MATCH(Raeburn_Main_Tariff[[#This Row],[Product Code]],Main_Tariff!I:I,0),"#Main_Tariff!A"&amp;MATCH("*"&amp;RIGHT(A2725,8)&amp;"*",Main_Tariff!A:A,0)),Raeburn_Main_Tariff[[#This Row],[PRODUCER]])</f>
        <v>Domaine Marc Delienne</v>
      </c>
      <c r="C2725" s="1178" t="s">
        <v>21323</v>
      </c>
      <c r="D2725" s="1178" t="s">
        <v>897</v>
      </c>
      <c r="E2725" s="1179">
        <v>2016</v>
      </c>
      <c r="F2725" s="1282" t="s">
        <v>20288</v>
      </c>
      <c r="G2725" s="1368">
        <v>89</v>
      </c>
      <c r="H2725" s="1178" t="s">
        <v>20224</v>
      </c>
      <c r="I2725" s="1178" t="s">
        <v>8386</v>
      </c>
      <c r="J2725" s="1178" t="s">
        <v>662</v>
      </c>
      <c r="K2725" s="1178" t="s">
        <v>267</v>
      </c>
      <c r="L2725" s="1178" t="s">
        <v>277</v>
      </c>
      <c r="M2725" s="1369"/>
      <c r="N2725" s="1178"/>
      <c r="O2725" s="1178">
        <v>1</v>
      </c>
      <c r="P2725" s="1178">
        <v>12.5</v>
      </c>
    </row>
    <row r="2726" spans="1:16">
      <c r="A2726" s="1178" t="s">
        <v>21324</v>
      </c>
      <c r="B2726" s="1371" t="str">
        <f>HYPERLINK(IFERROR("#Main_Tariff!A"&amp;MATCH(Raeburn_Main_Tariff[[#This Row],[Product Code]],Main_Tariff!I:I,0),"#Main_Tariff!A"&amp;MATCH("*"&amp;RIGHT(A2726,8)&amp;"*",Main_Tariff!A:A,0)),Raeburn_Main_Tariff[[#This Row],[PRODUCER]])</f>
        <v>Famille Dutraive Domaine de la Grand'Cour</v>
      </c>
      <c r="C2726" s="1178" t="s">
        <v>21325</v>
      </c>
      <c r="D2726" s="1178" t="s">
        <v>897</v>
      </c>
      <c r="E2726" s="1179">
        <v>2017</v>
      </c>
      <c r="F2726" s="1282" t="s">
        <v>20240</v>
      </c>
      <c r="G2726" s="1368">
        <v>40.25</v>
      </c>
      <c r="H2726" s="1178" t="s">
        <v>20224</v>
      </c>
      <c r="I2726" s="1178" t="s">
        <v>8407</v>
      </c>
      <c r="J2726" s="1178" t="s">
        <v>662</v>
      </c>
      <c r="K2726" s="1178" t="s">
        <v>267</v>
      </c>
      <c r="L2726" s="1178" t="s">
        <v>277</v>
      </c>
      <c r="M2726" s="1369"/>
      <c r="N2726" s="1178"/>
      <c r="O2726" s="1178">
        <v>6</v>
      </c>
      <c r="P2726" s="1178">
        <v>13.5</v>
      </c>
    </row>
    <row r="2727" spans="1:16">
      <c r="A2727" s="1178" t="s">
        <v>21324</v>
      </c>
      <c r="B2727" s="1371" t="str">
        <f>HYPERLINK(IFERROR("#Main_Tariff!A"&amp;MATCH(Raeburn_Main_Tariff[[#This Row],[Product Code]],Main_Tariff!I:I,0),"#Main_Tariff!A"&amp;MATCH("*"&amp;RIGHT(A2727,8)&amp;"*",Main_Tariff!A:A,0)),Raeburn_Main_Tariff[[#This Row],[PRODUCER]])</f>
        <v>Famille Dutraive Domaine de la Grand'Cour</v>
      </c>
      <c r="C2727" s="1178" t="s">
        <v>21326</v>
      </c>
      <c r="D2727" s="1178" t="s">
        <v>897</v>
      </c>
      <c r="E2727" s="1179">
        <v>2019</v>
      </c>
      <c r="F2727" s="1282" t="s">
        <v>20220</v>
      </c>
      <c r="G2727" s="1368">
        <v>22</v>
      </c>
      <c r="H2727" s="1178" t="s">
        <v>20221</v>
      </c>
      <c r="I2727" s="1178" t="s">
        <v>8411</v>
      </c>
      <c r="J2727" s="1178" t="s">
        <v>662</v>
      </c>
      <c r="K2727" s="1178" t="s">
        <v>267</v>
      </c>
      <c r="L2727" s="1178" t="s">
        <v>277</v>
      </c>
      <c r="M2727" s="1369"/>
      <c r="N2727" s="1178"/>
      <c r="O2727" s="1178">
        <v>12</v>
      </c>
      <c r="P2727" s="1178">
        <v>12.5</v>
      </c>
    </row>
    <row r="2728" spans="1:16">
      <c r="A2728" s="1178" t="s">
        <v>21324</v>
      </c>
      <c r="B2728" s="1371" t="str">
        <f>HYPERLINK(IFERROR("#Main_Tariff!A"&amp;MATCH(Raeburn_Main_Tariff[[#This Row],[Product Code]],Main_Tariff!I:I,0),"#Main_Tariff!A"&amp;MATCH("*"&amp;RIGHT(A2728,8)&amp;"*",Main_Tariff!A:A,0)),Raeburn_Main_Tariff[[#This Row],[PRODUCER]])</f>
        <v>Famille Dutraive Domaine de la Grand'Cour</v>
      </c>
      <c r="C2728" s="1178" t="s">
        <v>21327</v>
      </c>
      <c r="D2728" s="1178" t="s">
        <v>897</v>
      </c>
      <c r="E2728" s="1179">
        <v>2018</v>
      </c>
      <c r="F2728" s="1282" t="s">
        <v>20220</v>
      </c>
      <c r="G2728" s="1368">
        <v>21.5</v>
      </c>
      <c r="H2728" s="1178" t="s">
        <v>20221</v>
      </c>
      <c r="I2728" s="1178" t="s">
        <v>8413</v>
      </c>
      <c r="J2728" s="1178" t="s">
        <v>662</v>
      </c>
      <c r="K2728" s="1178" t="s">
        <v>267</v>
      </c>
      <c r="L2728" s="1178" t="s">
        <v>277</v>
      </c>
      <c r="M2728" s="1369"/>
      <c r="N2728" s="1178"/>
      <c r="O2728" s="1178">
        <v>12</v>
      </c>
      <c r="P2728" s="1178">
        <v>12.5</v>
      </c>
    </row>
    <row r="2729" spans="1:16">
      <c r="A2729" s="1178" t="s">
        <v>21324</v>
      </c>
      <c r="B2729" s="1371" t="str">
        <f>HYPERLINK(IFERROR("#Main_Tariff!A"&amp;MATCH(Raeburn_Main_Tariff[[#This Row],[Product Code]],Main_Tariff!I:I,0),"#Main_Tariff!A"&amp;MATCH("*"&amp;RIGHT(A2729,8)&amp;"*",Main_Tariff!A:A,0)),Raeburn_Main_Tariff[[#This Row],[PRODUCER]])</f>
        <v>Famille Dutraive Domaine de la Grand'Cour</v>
      </c>
      <c r="C2729" s="1178" t="s">
        <v>21328</v>
      </c>
      <c r="D2729" s="1178" t="s">
        <v>897</v>
      </c>
      <c r="E2729" s="1179">
        <v>2018</v>
      </c>
      <c r="F2729" s="1282" t="s">
        <v>20220</v>
      </c>
      <c r="G2729" s="1368">
        <v>23</v>
      </c>
      <c r="H2729" s="1178" t="s">
        <v>20221</v>
      </c>
      <c r="I2729" s="1178" t="s">
        <v>8415</v>
      </c>
      <c r="J2729" s="1178" t="s">
        <v>662</v>
      </c>
      <c r="K2729" s="1178" t="s">
        <v>267</v>
      </c>
      <c r="L2729" s="1178" t="s">
        <v>277</v>
      </c>
      <c r="M2729" s="1369"/>
      <c r="N2729" s="1178"/>
      <c r="O2729" s="1178">
        <v>12</v>
      </c>
      <c r="P2729" s="1178">
        <v>14</v>
      </c>
    </row>
    <row r="2730" spans="1:16">
      <c r="A2730" s="1178" t="s">
        <v>21324</v>
      </c>
      <c r="B2730" s="1371" t="str">
        <f>HYPERLINK(IFERROR("#Main_Tariff!A"&amp;MATCH(Raeburn_Main_Tariff[[#This Row],[Product Code]],Main_Tariff!I:I,0),"#Main_Tariff!A"&amp;MATCH("*"&amp;RIGHT(A2730,8)&amp;"*",Main_Tariff!A:A,0)),Raeburn_Main_Tariff[[#This Row],[PRODUCER]])</f>
        <v>Famille Dutraive Domaine de la Grand'Cour</v>
      </c>
      <c r="C2730" s="1178" t="s">
        <v>21329</v>
      </c>
      <c r="D2730" s="1178" t="s">
        <v>897</v>
      </c>
      <c r="E2730" s="1179">
        <v>2022</v>
      </c>
      <c r="F2730" s="1282" t="s">
        <v>20220</v>
      </c>
      <c r="G2730" s="1368">
        <v>26</v>
      </c>
      <c r="H2730" s="1178" t="s">
        <v>20221</v>
      </c>
      <c r="I2730" s="1178" t="s">
        <v>8417</v>
      </c>
      <c r="J2730" s="1178" t="s">
        <v>662</v>
      </c>
      <c r="K2730" s="1178" t="s">
        <v>267</v>
      </c>
      <c r="L2730" s="1178" t="s">
        <v>277</v>
      </c>
      <c r="M2730" s="1369"/>
      <c r="N2730" s="1178" t="s">
        <v>20244</v>
      </c>
      <c r="O2730" s="1178">
        <v>12</v>
      </c>
      <c r="P2730" s="1178">
        <v>13</v>
      </c>
    </row>
    <row r="2731" spans="1:16">
      <c r="A2731" s="1178" t="s">
        <v>21324</v>
      </c>
      <c r="B2731" s="1371" t="str">
        <f>HYPERLINK(IFERROR("#Main_Tariff!A"&amp;MATCH(Raeburn_Main_Tariff[[#This Row],[Product Code]],Main_Tariff!I:I,0),"#Main_Tariff!A"&amp;MATCH("*"&amp;RIGHT(A2731,8)&amp;"*",Main_Tariff!A:A,0)),Raeburn_Main_Tariff[[#This Row],[PRODUCER]])</f>
        <v>Famille Dutraive Domaine de la Grand'Cour</v>
      </c>
      <c r="C2731" s="1178" t="s">
        <v>21329</v>
      </c>
      <c r="D2731" s="1178" t="s">
        <v>897</v>
      </c>
      <c r="E2731" s="1179">
        <v>2020</v>
      </c>
      <c r="F2731" s="1282" t="s">
        <v>20220</v>
      </c>
      <c r="G2731" s="1368">
        <v>25</v>
      </c>
      <c r="H2731" s="1178" t="s">
        <v>20221</v>
      </c>
      <c r="I2731" s="1178" t="s">
        <v>8419</v>
      </c>
      <c r="J2731" s="1178" t="s">
        <v>662</v>
      </c>
      <c r="K2731" s="1178" t="s">
        <v>267</v>
      </c>
      <c r="L2731" s="1178" t="s">
        <v>277</v>
      </c>
      <c r="M2731" s="1369"/>
      <c r="N2731" s="1178" t="s">
        <v>20244</v>
      </c>
      <c r="O2731" s="1178">
        <v>12</v>
      </c>
      <c r="P2731" s="1178">
        <v>14.5</v>
      </c>
    </row>
    <row r="2732" spans="1:16">
      <c r="A2732" s="1178" t="s">
        <v>21324</v>
      </c>
      <c r="B2732" s="1371" t="str">
        <f>HYPERLINK(IFERROR("#Main_Tariff!A"&amp;MATCH(Raeburn_Main_Tariff[[#This Row],[Product Code]],Main_Tariff!I:I,0),"#Main_Tariff!A"&amp;MATCH("*"&amp;RIGHT(A2732,8)&amp;"*",Main_Tariff!A:A,0)),Raeburn_Main_Tariff[[#This Row],[PRODUCER]])</f>
        <v>Famille Dutraive Domaine de la Grand'Cour</v>
      </c>
      <c r="C2732" s="1178" t="s">
        <v>21329</v>
      </c>
      <c r="D2732" s="1178" t="s">
        <v>897</v>
      </c>
      <c r="E2732" s="1179">
        <v>2019</v>
      </c>
      <c r="F2732" s="1282" t="s">
        <v>20220</v>
      </c>
      <c r="G2732" s="1368">
        <v>23</v>
      </c>
      <c r="H2732" s="1178" t="s">
        <v>20277</v>
      </c>
      <c r="I2732" s="1178" t="s">
        <v>8421</v>
      </c>
      <c r="J2732" s="1178" t="s">
        <v>662</v>
      </c>
      <c r="K2732" s="1178" t="s">
        <v>267</v>
      </c>
      <c r="L2732" s="1178" t="s">
        <v>277</v>
      </c>
      <c r="M2732" s="1369"/>
      <c r="N2732" s="1178" t="s">
        <v>20244</v>
      </c>
      <c r="O2732" s="1178">
        <v>12</v>
      </c>
      <c r="P2732" s="1178">
        <v>13.5</v>
      </c>
    </row>
    <row r="2733" spans="1:16">
      <c r="A2733" s="1178" t="s">
        <v>21324</v>
      </c>
      <c r="B2733" s="1371" t="str">
        <f>HYPERLINK(IFERROR("#Main_Tariff!A"&amp;MATCH(Raeburn_Main_Tariff[[#This Row],[Product Code]],Main_Tariff!I:I,0),"#Main_Tariff!A"&amp;MATCH("*"&amp;RIGHT(A2733,8)&amp;"*",Main_Tariff!A:A,0)),Raeburn_Main_Tariff[[#This Row],[PRODUCER]])</f>
        <v>Famille Dutraive Domaine de la Grand'Cour</v>
      </c>
      <c r="C2733" s="1178" t="s">
        <v>21330</v>
      </c>
      <c r="D2733" s="1178" t="s">
        <v>897</v>
      </c>
      <c r="E2733" s="1179">
        <v>2017</v>
      </c>
      <c r="F2733" s="1282" t="s">
        <v>20240</v>
      </c>
      <c r="G2733" s="1368">
        <v>43</v>
      </c>
      <c r="H2733" s="1178" t="s">
        <v>20224</v>
      </c>
      <c r="I2733" s="1178" t="s">
        <v>8425</v>
      </c>
      <c r="J2733" s="1178" t="s">
        <v>662</v>
      </c>
      <c r="K2733" s="1178" t="s">
        <v>267</v>
      </c>
      <c r="L2733" s="1178" t="s">
        <v>277</v>
      </c>
      <c r="M2733" s="1369"/>
      <c r="N2733" s="1178"/>
      <c r="O2733" s="1178">
        <v>6</v>
      </c>
      <c r="P2733" s="1178">
        <v>12.5</v>
      </c>
    </row>
    <row r="2734" spans="1:16">
      <c r="A2734" s="1178" t="s">
        <v>21324</v>
      </c>
      <c r="B2734" s="1371" t="str">
        <f>HYPERLINK(IFERROR("#Main_Tariff!A"&amp;MATCH(Raeburn_Main_Tariff[[#This Row],[Product Code]],Main_Tariff!I:I,0),"#Main_Tariff!A"&amp;MATCH("*"&amp;RIGHT(A2734,8)&amp;"*",Main_Tariff!A:A,0)),Raeburn_Main_Tariff[[#This Row],[PRODUCER]])</f>
        <v>Famille Dutraive Domaine de la Grand'Cour</v>
      </c>
      <c r="C2734" s="1178" t="s">
        <v>21331</v>
      </c>
      <c r="D2734" s="1178" t="s">
        <v>897</v>
      </c>
      <c r="E2734" s="1179">
        <v>2018</v>
      </c>
      <c r="F2734" s="1282" t="s">
        <v>20240</v>
      </c>
      <c r="G2734" s="1368">
        <v>46</v>
      </c>
      <c r="H2734" s="1178" t="s">
        <v>20224</v>
      </c>
      <c r="I2734" s="1178" t="s">
        <v>8427</v>
      </c>
      <c r="J2734" s="1178" t="s">
        <v>662</v>
      </c>
      <c r="K2734" s="1178" t="s">
        <v>267</v>
      </c>
      <c r="L2734" s="1178" t="s">
        <v>277</v>
      </c>
      <c r="M2734" s="1369"/>
      <c r="N2734" s="1178"/>
      <c r="O2734" s="1178">
        <v>6</v>
      </c>
      <c r="P2734" s="1178">
        <v>12.5</v>
      </c>
    </row>
    <row r="2735" spans="1:16">
      <c r="A2735" s="1178" t="s">
        <v>21324</v>
      </c>
      <c r="B2735" s="1371" t="str">
        <f>HYPERLINK(IFERROR("#Main_Tariff!A"&amp;MATCH(Raeburn_Main_Tariff[[#This Row],[Product Code]],Main_Tariff!I:I,0),"#Main_Tariff!A"&amp;MATCH("*"&amp;RIGHT(A2735,8)&amp;"*",Main_Tariff!A:A,0)),Raeburn_Main_Tariff[[#This Row],[PRODUCER]])</f>
        <v>Famille Dutraive Domaine de la Grand'Cour</v>
      </c>
      <c r="C2735" s="1178" t="s">
        <v>21332</v>
      </c>
      <c r="D2735" s="1178" t="s">
        <v>897</v>
      </c>
      <c r="E2735" s="1179">
        <v>2018</v>
      </c>
      <c r="F2735" s="1282" t="s">
        <v>20240</v>
      </c>
      <c r="G2735" s="1368">
        <v>48</v>
      </c>
      <c r="H2735" s="1178" t="s">
        <v>20224</v>
      </c>
      <c r="I2735" s="1178" t="s">
        <v>8429</v>
      </c>
      <c r="J2735" s="1178" t="s">
        <v>662</v>
      </c>
      <c r="K2735" s="1178" t="s">
        <v>267</v>
      </c>
      <c r="L2735" s="1178" t="s">
        <v>277</v>
      </c>
      <c r="M2735" s="1369"/>
      <c r="N2735" s="1178"/>
      <c r="O2735" s="1178">
        <v>6</v>
      </c>
      <c r="P2735" s="1178">
        <v>14</v>
      </c>
    </row>
    <row r="2736" spans="1:16">
      <c r="A2736" s="1178" t="s">
        <v>21324</v>
      </c>
      <c r="B2736" s="1371" t="str">
        <f>HYPERLINK(IFERROR("#Main_Tariff!A"&amp;MATCH(Raeburn_Main_Tariff[[#This Row],[Product Code]],Main_Tariff!I:I,0),"#Main_Tariff!A"&amp;MATCH("*"&amp;RIGHT(A2736,8)&amp;"*",Main_Tariff!A:A,0)),Raeburn_Main_Tariff[[#This Row],[PRODUCER]])</f>
        <v>Famille Dutraive Domaine de la Grand'Cour</v>
      </c>
      <c r="C2736" s="1178" t="s">
        <v>21333</v>
      </c>
      <c r="D2736" s="1178" t="s">
        <v>897</v>
      </c>
      <c r="E2736" s="1179">
        <v>2020</v>
      </c>
      <c r="F2736" s="1282" t="s">
        <v>20240</v>
      </c>
      <c r="G2736" s="1368">
        <v>52</v>
      </c>
      <c r="H2736" s="1178" t="s">
        <v>20224</v>
      </c>
      <c r="I2736" s="1178" t="s">
        <v>8431</v>
      </c>
      <c r="J2736" s="1178" t="s">
        <v>662</v>
      </c>
      <c r="K2736" s="1178" t="s">
        <v>267</v>
      </c>
      <c r="L2736" s="1178" t="s">
        <v>277</v>
      </c>
      <c r="M2736" s="1369"/>
      <c r="N2736" s="1178" t="s">
        <v>20244</v>
      </c>
      <c r="O2736" s="1178">
        <v>6</v>
      </c>
      <c r="P2736" s="1178">
        <v>14.5</v>
      </c>
    </row>
    <row r="2737" spans="1:16">
      <c r="A2737" s="1178" t="s">
        <v>21324</v>
      </c>
      <c r="B2737" s="1371" t="str">
        <f>HYPERLINK(IFERROR("#Main_Tariff!A"&amp;MATCH(Raeburn_Main_Tariff[[#This Row],[Product Code]],Main_Tariff!I:I,0),"#Main_Tariff!A"&amp;MATCH("*"&amp;RIGHT(A2737,8)&amp;"*",Main_Tariff!A:A,0)),Raeburn_Main_Tariff[[#This Row],[PRODUCER]])</f>
        <v>Famille Dutraive Domaine de la Grand'Cour</v>
      </c>
      <c r="C2737" s="1178" t="s">
        <v>21333</v>
      </c>
      <c r="D2737" s="1178" t="s">
        <v>897</v>
      </c>
      <c r="E2737" s="1179">
        <v>2019</v>
      </c>
      <c r="F2737" s="1282" t="s">
        <v>20240</v>
      </c>
      <c r="G2737" s="1368">
        <v>50</v>
      </c>
      <c r="H2737" s="1178" t="s">
        <v>20224</v>
      </c>
      <c r="I2737" s="1178" t="s">
        <v>8433</v>
      </c>
      <c r="J2737" s="1178" t="s">
        <v>662</v>
      </c>
      <c r="K2737" s="1178" t="s">
        <v>267</v>
      </c>
      <c r="L2737" s="1178" t="s">
        <v>277</v>
      </c>
      <c r="M2737" s="1369"/>
      <c r="N2737" s="1178" t="s">
        <v>20244</v>
      </c>
      <c r="O2737" s="1178">
        <v>6</v>
      </c>
      <c r="P2737" s="1178">
        <v>13.5</v>
      </c>
    </row>
    <row r="2738" spans="1:16">
      <c r="A2738" s="1178" t="s">
        <v>21324</v>
      </c>
      <c r="B2738" s="1371" t="str">
        <f>HYPERLINK(IFERROR("#Main_Tariff!A"&amp;MATCH(Raeburn_Main_Tariff[[#This Row],[Product Code]],Main_Tariff!I:I,0),"#Main_Tariff!A"&amp;MATCH("*"&amp;RIGHT(A2738,8)&amp;"*",Main_Tariff!A:A,0)),Raeburn_Main_Tariff[[#This Row],[PRODUCER]])</f>
        <v>Famille Dutraive Domaine de la Grand'Cour</v>
      </c>
      <c r="C2738" s="1178" t="s">
        <v>21334</v>
      </c>
      <c r="D2738" s="1178" t="s">
        <v>897</v>
      </c>
      <c r="E2738" s="1179">
        <v>2018</v>
      </c>
      <c r="F2738" s="1282" t="s">
        <v>20220</v>
      </c>
      <c r="G2738" s="1368">
        <v>21.5</v>
      </c>
      <c r="H2738" s="1178" t="s">
        <v>20221</v>
      </c>
      <c r="I2738" s="1178" t="s">
        <v>8437</v>
      </c>
      <c r="J2738" s="1178" t="s">
        <v>662</v>
      </c>
      <c r="K2738" s="1178" t="s">
        <v>267</v>
      </c>
      <c r="L2738" s="1178" t="s">
        <v>277</v>
      </c>
      <c r="M2738" s="1369"/>
      <c r="N2738" s="1178" t="s">
        <v>20244</v>
      </c>
      <c r="O2738" s="1178">
        <v>12</v>
      </c>
      <c r="P2738" s="1178">
        <v>14</v>
      </c>
    </row>
    <row r="2739" spans="1:16">
      <c r="A2739" s="1178" t="s">
        <v>21324</v>
      </c>
      <c r="B2739" s="1371" t="str">
        <f>HYPERLINK(IFERROR("#Main_Tariff!A"&amp;MATCH(Raeburn_Main_Tariff[[#This Row],[Product Code]],Main_Tariff!I:I,0),"#Main_Tariff!A"&amp;MATCH("*"&amp;RIGHT(A2739,8)&amp;"*",Main_Tariff!A:A,0)),Raeburn_Main_Tariff[[#This Row],[PRODUCER]])</f>
        <v>Famille Dutraive Domaine de la Grand'Cour</v>
      </c>
      <c r="C2739" s="1178" t="s">
        <v>21335</v>
      </c>
      <c r="D2739" s="1178" t="s">
        <v>897</v>
      </c>
      <c r="E2739" s="1179">
        <v>2018</v>
      </c>
      <c r="F2739" s="1282" t="s">
        <v>20220</v>
      </c>
      <c r="G2739" s="1368">
        <v>22.5</v>
      </c>
      <c r="H2739" s="1178" t="s">
        <v>20221</v>
      </c>
      <c r="I2739" s="1178" t="s">
        <v>8439</v>
      </c>
      <c r="J2739" s="1178" t="s">
        <v>662</v>
      </c>
      <c r="K2739" s="1178" t="s">
        <v>267</v>
      </c>
      <c r="L2739" s="1178" t="s">
        <v>277</v>
      </c>
      <c r="M2739" s="1369"/>
      <c r="N2739" s="1178" t="s">
        <v>20244</v>
      </c>
      <c r="O2739" s="1178">
        <v>12</v>
      </c>
      <c r="P2739" s="1178">
        <v>13.5</v>
      </c>
    </row>
    <row r="2740" spans="1:16">
      <c r="A2740" s="1178" t="s">
        <v>21324</v>
      </c>
      <c r="B2740" s="1371" t="str">
        <f>HYPERLINK(IFERROR("#Main_Tariff!A"&amp;MATCH(Raeburn_Main_Tariff[[#This Row],[Product Code]],Main_Tariff!I:I,0),"#Main_Tariff!A"&amp;MATCH("*"&amp;RIGHT(A2740,8)&amp;"*",Main_Tariff!A:A,0)),Raeburn_Main_Tariff[[#This Row],[PRODUCER]])</f>
        <v>Famille Dutraive Domaine de la Grand'Cour</v>
      </c>
      <c r="C2740" s="1178" t="s">
        <v>21336</v>
      </c>
      <c r="D2740" s="1178" t="s">
        <v>897</v>
      </c>
      <c r="E2740" s="1179">
        <v>2022</v>
      </c>
      <c r="F2740" s="1282" t="s">
        <v>20220</v>
      </c>
      <c r="G2740" s="1368">
        <v>26</v>
      </c>
      <c r="H2740" s="1178" t="s">
        <v>20221</v>
      </c>
      <c r="I2740" s="1178" t="s">
        <v>8441</v>
      </c>
      <c r="J2740" s="1178" t="s">
        <v>662</v>
      </c>
      <c r="K2740" s="1178" t="s">
        <v>267</v>
      </c>
      <c r="L2740" s="1178" t="s">
        <v>277</v>
      </c>
      <c r="M2740" s="1369"/>
      <c r="N2740" s="1178" t="s">
        <v>20244</v>
      </c>
      <c r="O2740" s="1178">
        <v>12</v>
      </c>
      <c r="P2740" s="1178">
        <v>13.5</v>
      </c>
    </row>
    <row r="2741" spans="1:16">
      <c r="A2741" s="1178" t="s">
        <v>21324</v>
      </c>
      <c r="B2741" s="1371" t="str">
        <f>HYPERLINK(IFERROR("#Main_Tariff!A"&amp;MATCH(Raeburn_Main_Tariff[[#This Row],[Product Code]],Main_Tariff!I:I,0),"#Main_Tariff!A"&amp;MATCH("*"&amp;RIGHT(A2741,8)&amp;"*",Main_Tariff!A:A,0)),Raeburn_Main_Tariff[[#This Row],[PRODUCER]])</f>
        <v>Famille Dutraive Domaine de la Grand'Cour</v>
      </c>
      <c r="C2741" s="1178" t="s">
        <v>21336</v>
      </c>
      <c r="D2741" s="1178" t="s">
        <v>897</v>
      </c>
      <c r="E2741" s="1179">
        <v>2020</v>
      </c>
      <c r="F2741" s="1282" t="s">
        <v>20220</v>
      </c>
      <c r="G2741" s="1368">
        <v>23.5</v>
      </c>
      <c r="H2741" s="1178" t="s">
        <v>20224</v>
      </c>
      <c r="I2741" s="1178" t="s">
        <v>8443</v>
      </c>
      <c r="J2741" s="1178" t="s">
        <v>662</v>
      </c>
      <c r="K2741" s="1178" t="s">
        <v>267</v>
      </c>
      <c r="L2741" s="1178" t="s">
        <v>277</v>
      </c>
      <c r="M2741" s="1369"/>
      <c r="N2741" s="1178" t="s">
        <v>20244</v>
      </c>
      <c r="O2741" s="1178">
        <v>12</v>
      </c>
      <c r="P2741" s="1178">
        <v>14.5</v>
      </c>
    </row>
    <row r="2742" spans="1:16">
      <c r="A2742" s="1178" t="s">
        <v>21324</v>
      </c>
      <c r="B2742" s="1371" t="str">
        <f>HYPERLINK(IFERROR("#Main_Tariff!A"&amp;MATCH(Raeburn_Main_Tariff[[#This Row],[Product Code]],Main_Tariff!I:I,0),"#Main_Tariff!A"&amp;MATCH("*"&amp;RIGHT(A2742,8)&amp;"*",Main_Tariff!A:A,0)),Raeburn_Main_Tariff[[#This Row],[PRODUCER]])</f>
        <v>Famille Dutraive Domaine de la Grand'Cour</v>
      </c>
      <c r="C2742" s="1178" t="s">
        <v>21337</v>
      </c>
      <c r="D2742" s="1178" t="s">
        <v>897</v>
      </c>
      <c r="E2742" s="1179">
        <v>2022</v>
      </c>
      <c r="F2742" s="1282" t="s">
        <v>20220</v>
      </c>
      <c r="G2742" s="1368">
        <v>26</v>
      </c>
      <c r="H2742" s="1178" t="s">
        <v>20224</v>
      </c>
      <c r="I2742" s="1178" t="s">
        <v>8445</v>
      </c>
      <c r="J2742" s="1178" t="s">
        <v>662</v>
      </c>
      <c r="K2742" s="1178" t="s">
        <v>267</v>
      </c>
      <c r="L2742" s="1178" t="s">
        <v>277</v>
      </c>
      <c r="M2742" s="1369"/>
      <c r="N2742" s="1178" t="s">
        <v>20244</v>
      </c>
      <c r="O2742" s="1178">
        <v>12</v>
      </c>
      <c r="P2742" s="1178">
        <v>14</v>
      </c>
    </row>
    <row r="2743" spans="1:16">
      <c r="A2743" s="1178" t="s">
        <v>21324</v>
      </c>
      <c r="B2743" s="1371" t="str">
        <f>HYPERLINK(IFERROR("#Main_Tariff!A"&amp;MATCH(Raeburn_Main_Tariff[[#This Row],[Product Code]],Main_Tariff!I:I,0),"#Main_Tariff!A"&amp;MATCH("*"&amp;RIGHT(A2743,8)&amp;"*",Main_Tariff!A:A,0)),Raeburn_Main_Tariff[[#This Row],[PRODUCER]])</f>
        <v>Famille Dutraive Domaine de la Grand'Cour</v>
      </c>
      <c r="C2743" s="1178" t="s">
        <v>21337</v>
      </c>
      <c r="D2743" s="1178" t="s">
        <v>897</v>
      </c>
      <c r="E2743" s="1179">
        <v>2018</v>
      </c>
      <c r="F2743" s="1282" t="s">
        <v>20220</v>
      </c>
      <c r="G2743" s="1368">
        <v>22.5</v>
      </c>
      <c r="H2743" s="1178" t="s">
        <v>20221</v>
      </c>
      <c r="I2743" s="1178" t="s">
        <v>8447</v>
      </c>
      <c r="J2743" s="1178" t="s">
        <v>662</v>
      </c>
      <c r="K2743" s="1178" t="s">
        <v>267</v>
      </c>
      <c r="L2743" s="1178" t="s">
        <v>277</v>
      </c>
      <c r="M2743" s="1369"/>
      <c r="N2743" s="1178" t="s">
        <v>20244</v>
      </c>
      <c r="O2743" s="1178">
        <v>12</v>
      </c>
      <c r="P2743" s="1178">
        <v>13</v>
      </c>
    </row>
    <row r="2744" spans="1:16">
      <c r="A2744" s="1178" t="s">
        <v>21324</v>
      </c>
      <c r="B2744" s="1371" t="str">
        <f>HYPERLINK(IFERROR("#Main_Tariff!A"&amp;MATCH(Raeburn_Main_Tariff[[#This Row],[Product Code]],Main_Tariff!I:I,0),"#Main_Tariff!A"&amp;MATCH("*"&amp;RIGHT(A2744,8)&amp;"*",Main_Tariff!A:A,0)),Raeburn_Main_Tariff[[#This Row],[PRODUCER]])</f>
        <v>Famille Dutraive Domaine de la Grand'Cour</v>
      </c>
      <c r="C2744" s="1178" t="s">
        <v>21338</v>
      </c>
      <c r="D2744" s="1178" t="s">
        <v>897</v>
      </c>
      <c r="E2744" s="1179">
        <v>2018</v>
      </c>
      <c r="F2744" s="1282" t="s">
        <v>20220</v>
      </c>
      <c r="G2744" s="1368" t="s">
        <v>5258</v>
      </c>
      <c r="H2744" s="1178" t="s">
        <v>20277</v>
      </c>
      <c r="I2744" s="1178" t="s">
        <v>8448</v>
      </c>
      <c r="J2744" s="1178" t="s">
        <v>662</v>
      </c>
      <c r="K2744" s="1178" t="s">
        <v>267</v>
      </c>
      <c r="L2744" s="1178" t="s">
        <v>277</v>
      </c>
      <c r="M2744" s="1369"/>
      <c r="N2744" s="1178"/>
      <c r="O2744" s="1178">
        <v>12</v>
      </c>
      <c r="P2744" s="1178">
        <v>13.5</v>
      </c>
    </row>
    <row r="2745" spans="1:16">
      <c r="A2745" s="1178" t="s">
        <v>21324</v>
      </c>
      <c r="B2745" s="1371" t="str">
        <f>HYPERLINK(IFERROR("#Main_Tariff!A"&amp;MATCH(Raeburn_Main_Tariff[[#This Row],[Product Code]],Main_Tariff!I:I,0),"#Main_Tariff!A"&amp;MATCH("*"&amp;RIGHT(A2745,8)&amp;"*",Main_Tariff!A:A,0)),Raeburn_Main_Tariff[[#This Row],[PRODUCER]])</f>
        <v>Famille Dutraive Domaine de la Grand'Cour</v>
      </c>
      <c r="C2745" s="1178" t="s">
        <v>21339</v>
      </c>
      <c r="D2745" s="1178" t="s">
        <v>897</v>
      </c>
      <c r="E2745" s="1179">
        <v>2018</v>
      </c>
      <c r="F2745" s="1282" t="s">
        <v>20240</v>
      </c>
      <c r="G2745" s="1368">
        <v>43</v>
      </c>
      <c r="H2745" s="1178" t="s">
        <v>20224</v>
      </c>
      <c r="I2745" s="1178" t="s">
        <v>8452</v>
      </c>
      <c r="J2745" s="1178" t="s">
        <v>662</v>
      </c>
      <c r="K2745" s="1178" t="s">
        <v>267</v>
      </c>
      <c r="L2745" s="1178" t="s">
        <v>277</v>
      </c>
      <c r="M2745" s="1369"/>
      <c r="N2745" s="1178" t="s">
        <v>20244</v>
      </c>
      <c r="O2745" s="1178">
        <v>6</v>
      </c>
      <c r="P2745" s="1178">
        <v>14</v>
      </c>
    </row>
    <row r="2746" spans="1:16">
      <c r="A2746" s="1178" t="s">
        <v>21324</v>
      </c>
      <c r="B2746" s="1371" t="str">
        <f>HYPERLINK(IFERROR("#Main_Tariff!A"&amp;MATCH(Raeburn_Main_Tariff[[#This Row],[Product Code]],Main_Tariff!I:I,0),"#Main_Tariff!A"&amp;MATCH("*"&amp;RIGHT(A2746,8)&amp;"*",Main_Tariff!A:A,0)),Raeburn_Main_Tariff[[#This Row],[PRODUCER]])</f>
        <v>Famille Dutraive Domaine de la Grand'Cour</v>
      </c>
      <c r="C2746" s="1178" t="s">
        <v>21340</v>
      </c>
      <c r="D2746" s="1178" t="s">
        <v>897</v>
      </c>
      <c r="E2746" s="1179">
        <v>2018</v>
      </c>
      <c r="F2746" s="1282" t="s">
        <v>20240</v>
      </c>
      <c r="G2746" s="1368">
        <v>47</v>
      </c>
      <c r="H2746" s="1178" t="s">
        <v>20224</v>
      </c>
      <c r="I2746" s="1178" t="s">
        <v>8454</v>
      </c>
      <c r="J2746" s="1178" t="s">
        <v>662</v>
      </c>
      <c r="K2746" s="1178" t="s">
        <v>267</v>
      </c>
      <c r="L2746" s="1178" t="s">
        <v>277</v>
      </c>
      <c r="M2746" s="1369"/>
      <c r="N2746" s="1178" t="s">
        <v>20244</v>
      </c>
      <c r="O2746" s="1178">
        <v>6</v>
      </c>
      <c r="P2746" s="1178">
        <v>13.5</v>
      </c>
    </row>
    <row r="2747" spans="1:16">
      <c r="A2747" s="1178" t="s">
        <v>21324</v>
      </c>
      <c r="B2747" s="1371" t="str">
        <f>HYPERLINK(IFERROR("#Main_Tariff!A"&amp;MATCH(Raeburn_Main_Tariff[[#This Row],[Product Code]],Main_Tariff!I:I,0),"#Main_Tariff!A"&amp;MATCH("*"&amp;RIGHT(A2747,8)&amp;"*",Main_Tariff!A:A,0)),Raeburn_Main_Tariff[[#This Row],[PRODUCER]])</f>
        <v>Famille Dutraive Domaine de la Grand'Cour</v>
      </c>
      <c r="C2747" s="1178" t="s">
        <v>21341</v>
      </c>
      <c r="D2747" s="1178" t="s">
        <v>897</v>
      </c>
      <c r="E2747" s="1179">
        <v>2022</v>
      </c>
      <c r="F2747" s="1282" t="s">
        <v>20240</v>
      </c>
      <c r="G2747" s="1368">
        <v>54.5</v>
      </c>
      <c r="H2747" s="1178" t="s">
        <v>20224</v>
      </c>
      <c r="I2747" s="1178" t="s">
        <v>8456</v>
      </c>
      <c r="J2747" s="1178" t="s">
        <v>662</v>
      </c>
      <c r="K2747" s="1178" t="s">
        <v>267</v>
      </c>
      <c r="L2747" s="1178" t="s">
        <v>277</v>
      </c>
      <c r="M2747" s="1369"/>
      <c r="N2747" s="1178" t="s">
        <v>20244</v>
      </c>
      <c r="O2747" s="1178">
        <v>6</v>
      </c>
      <c r="P2747" s="1178">
        <v>14</v>
      </c>
    </row>
    <row r="2748" spans="1:16">
      <c r="A2748" s="1178" t="s">
        <v>21324</v>
      </c>
      <c r="B2748" s="1371" t="str">
        <f>HYPERLINK(IFERROR("#Main_Tariff!A"&amp;MATCH(Raeburn_Main_Tariff[[#This Row],[Product Code]],Main_Tariff!I:I,0),"#Main_Tariff!A"&amp;MATCH("*"&amp;RIGHT(A2748,8)&amp;"*",Main_Tariff!A:A,0)),Raeburn_Main_Tariff[[#This Row],[PRODUCER]])</f>
        <v>Famille Dutraive Domaine de la Grand'Cour</v>
      </c>
      <c r="C2748" s="1178" t="s">
        <v>21341</v>
      </c>
      <c r="D2748" s="1178" t="s">
        <v>897</v>
      </c>
      <c r="E2748" s="1179">
        <v>2020</v>
      </c>
      <c r="F2748" s="1282" t="s">
        <v>20240</v>
      </c>
      <c r="G2748" s="1368">
        <v>52</v>
      </c>
      <c r="H2748" s="1178" t="s">
        <v>20224</v>
      </c>
      <c r="I2748" s="1178" t="s">
        <v>8458</v>
      </c>
      <c r="J2748" s="1178" t="s">
        <v>662</v>
      </c>
      <c r="K2748" s="1178" t="s">
        <v>267</v>
      </c>
      <c r="L2748" s="1178" t="s">
        <v>277</v>
      </c>
      <c r="M2748" s="1369"/>
      <c r="N2748" s="1178" t="s">
        <v>20244</v>
      </c>
      <c r="O2748" s="1178">
        <v>6</v>
      </c>
      <c r="P2748" s="1178">
        <v>14.5</v>
      </c>
    </row>
    <row r="2749" spans="1:16">
      <c r="A2749" s="1178" t="s">
        <v>21324</v>
      </c>
      <c r="B2749" s="1371" t="str">
        <f>HYPERLINK(IFERROR("#Main_Tariff!A"&amp;MATCH(Raeburn_Main_Tariff[[#This Row],[Product Code]],Main_Tariff!I:I,0),"#Main_Tariff!A"&amp;MATCH("*"&amp;RIGHT(A2749,8)&amp;"*",Main_Tariff!A:A,0)),Raeburn_Main_Tariff[[#This Row],[PRODUCER]])</f>
        <v>Famille Dutraive Domaine de la Grand'Cour</v>
      </c>
      <c r="C2749" s="1178" t="s">
        <v>21342</v>
      </c>
      <c r="D2749" s="1178" t="s">
        <v>897</v>
      </c>
      <c r="E2749" s="1179">
        <v>2022</v>
      </c>
      <c r="F2749" s="1282" t="s">
        <v>20240</v>
      </c>
      <c r="G2749" s="1368">
        <v>54.5</v>
      </c>
      <c r="H2749" s="1178" t="s">
        <v>20224</v>
      </c>
      <c r="I2749" s="1178" t="s">
        <v>8460</v>
      </c>
      <c r="J2749" s="1178" t="s">
        <v>662</v>
      </c>
      <c r="K2749" s="1178" t="s">
        <v>267</v>
      </c>
      <c r="L2749" s="1178" t="s">
        <v>277</v>
      </c>
      <c r="M2749" s="1369"/>
      <c r="N2749" s="1178" t="s">
        <v>20244</v>
      </c>
      <c r="O2749" s="1178">
        <v>6</v>
      </c>
      <c r="P2749" s="1178">
        <v>14</v>
      </c>
    </row>
    <row r="2750" spans="1:16">
      <c r="A2750" s="1178" t="s">
        <v>23380</v>
      </c>
      <c r="B2750" s="1371" t="str">
        <f>HYPERLINK(IFERROR("#Main_Tariff!A"&amp;MATCH(Raeburn_Main_Tariff[[#This Row],[Product Code]],Main_Tariff!I:I,0),"#Main_Tariff!A"&amp;MATCH("*"&amp;RIGHT(A2750,8)&amp;"*",Main_Tariff!A:A,0)),Raeburn_Main_Tariff[[#This Row],[PRODUCER]])</f>
        <v>Mee Godard</v>
      </c>
      <c r="C2750" s="1178" t="s">
        <v>21343</v>
      </c>
      <c r="D2750" s="1178" t="s">
        <v>1129</v>
      </c>
      <c r="E2750" s="1179">
        <v>2022</v>
      </c>
      <c r="F2750" s="1282" t="s">
        <v>20220</v>
      </c>
      <c r="G2750" s="1368">
        <v>18.5</v>
      </c>
      <c r="H2750" s="1178" t="s">
        <v>20221</v>
      </c>
      <c r="I2750" s="1178" t="s">
        <v>8511</v>
      </c>
      <c r="J2750" s="1178" t="s">
        <v>662</v>
      </c>
      <c r="K2750" s="1178" t="s">
        <v>267</v>
      </c>
      <c r="L2750" s="1178" t="s">
        <v>277</v>
      </c>
      <c r="M2750" s="1369"/>
      <c r="N2750" s="1178"/>
      <c r="O2750" s="1178">
        <v>12</v>
      </c>
      <c r="P2750" s="1178">
        <v>12.5</v>
      </c>
    </row>
    <row r="2751" spans="1:16">
      <c r="A2751" s="1178" t="s">
        <v>23380</v>
      </c>
      <c r="B2751" s="1371" t="str">
        <f>HYPERLINK(IFERROR("#Main_Tariff!A"&amp;MATCH(Raeburn_Main_Tariff[[#This Row],[Product Code]],Main_Tariff!I:I,0),"#Main_Tariff!A"&amp;MATCH("*"&amp;RIGHT(A2751,8)&amp;"*",Main_Tariff!A:A,0)),Raeburn_Main_Tariff[[#This Row],[PRODUCER]])</f>
        <v>Mee Godard</v>
      </c>
      <c r="C2751" s="1178" t="s">
        <v>21344</v>
      </c>
      <c r="D2751" s="1178" t="s">
        <v>897</v>
      </c>
      <c r="E2751" s="1179">
        <v>2023</v>
      </c>
      <c r="F2751" s="1282" t="s">
        <v>20220</v>
      </c>
      <c r="G2751" s="1368">
        <v>17.25</v>
      </c>
      <c r="H2751" s="1178" t="s">
        <v>20224</v>
      </c>
      <c r="I2751" s="1178" t="s">
        <v>8515</v>
      </c>
      <c r="J2751" s="1178" t="s">
        <v>662</v>
      </c>
      <c r="K2751" s="1178" t="s">
        <v>267</v>
      </c>
      <c r="L2751" s="1178" t="s">
        <v>277</v>
      </c>
      <c r="M2751" s="1369"/>
      <c r="N2751" s="1178" t="s">
        <v>20244</v>
      </c>
      <c r="O2751" s="1178">
        <v>12</v>
      </c>
      <c r="P2751" s="1178">
        <v>13</v>
      </c>
    </row>
    <row r="2752" spans="1:16">
      <c r="A2752" s="1178" t="s">
        <v>23380</v>
      </c>
      <c r="B2752" s="1371" t="str">
        <f>HYPERLINK(IFERROR("#Main_Tariff!A"&amp;MATCH(Raeburn_Main_Tariff[[#This Row],[Product Code]],Main_Tariff!I:I,0),"#Main_Tariff!A"&amp;MATCH("*"&amp;RIGHT(A2752,8)&amp;"*",Main_Tariff!A:A,0)),Raeburn_Main_Tariff[[#This Row],[PRODUCER]])</f>
        <v>Mee Godard</v>
      </c>
      <c r="C2752" s="1178" t="s">
        <v>21344</v>
      </c>
      <c r="D2752" s="1178" t="s">
        <v>897</v>
      </c>
      <c r="E2752" s="1179">
        <v>2021</v>
      </c>
      <c r="F2752" s="1282" t="s">
        <v>20220</v>
      </c>
      <c r="G2752" s="1368">
        <v>17</v>
      </c>
      <c r="H2752" s="1178" t="s">
        <v>20221</v>
      </c>
      <c r="I2752" s="1178" t="s">
        <v>8517</v>
      </c>
      <c r="J2752" s="1178" t="s">
        <v>662</v>
      </c>
      <c r="K2752" s="1178" t="s">
        <v>267</v>
      </c>
      <c r="L2752" s="1178" t="s">
        <v>277</v>
      </c>
      <c r="M2752" s="1369"/>
      <c r="N2752" s="1178"/>
      <c r="O2752" s="1178">
        <v>6</v>
      </c>
      <c r="P2752" s="1178">
        <v>13</v>
      </c>
    </row>
    <row r="2753" spans="1:16">
      <c r="A2753" s="1178" t="s">
        <v>23380</v>
      </c>
      <c r="B2753" s="1371" t="str">
        <f>HYPERLINK(IFERROR("#Main_Tariff!A"&amp;MATCH(Raeburn_Main_Tariff[[#This Row],[Product Code]],Main_Tariff!I:I,0),"#Main_Tariff!A"&amp;MATCH("*"&amp;RIGHT(A2753,8)&amp;"*",Main_Tariff!A:A,0)),Raeburn_Main_Tariff[[#This Row],[PRODUCER]])</f>
        <v>Mee Godard</v>
      </c>
      <c r="C2753" s="1178" t="s">
        <v>21344</v>
      </c>
      <c r="D2753" s="1178" t="s">
        <v>897</v>
      </c>
      <c r="E2753" s="1179">
        <v>2018</v>
      </c>
      <c r="F2753" s="1282" t="s">
        <v>20220</v>
      </c>
      <c r="G2753" s="1368">
        <v>15</v>
      </c>
      <c r="H2753" s="1178" t="s">
        <v>20224</v>
      </c>
      <c r="I2753" s="1178" t="s">
        <v>8519</v>
      </c>
      <c r="J2753" s="1178" t="s">
        <v>662</v>
      </c>
      <c r="K2753" s="1178" t="s">
        <v>267</v>
      </c>
      <c r="L2753" s="1178" t="s">
        <v>277</v>
      </c>
      <c r="M2753" s="1369"/>
      <c r="N2753" s="1178"/>
      <c r="O2753" s="1178">
        <v>12</v>
      </c>
      <c r="P2753" s="1178">
        <v>13</v>
      </c>
    </row>
    <row r="2754" spans="1:16">
      <c r="A2754" s="1178" t="s">
        <v>23380</v>
      </c>
      <c r="B2754" s="1371" t="str">
        <f>HYPERLINK(IFERROR("#Main_Tariff!A"&amp;MATCH(Raeburn_Main_Tariff[[#This Row],[Product Code]],Main_Tariff!I:I,0),"#Main_Tariff!A"&amp;MATCH("*"&amp;RIGHT(A2754,8)&amp;"*",Main_Tariff!A:A,0)),Raeburn_Main_Tariff[[#This Row],[PRODUCER]])</f>
        <v>Mee Godard</v>
      </c>
      <c r="C2754" s="1178" t="s">
        <v>21345</v>
      </c>
      <c r="D2754" s="1178" t="s">
        <v>897</v>
      </c>
      <c r="E2754" s="1179">
        <v>2021</v>
      </c>
      <c r="F2754" s="1282" t="s">
        <v>20240</v>
      </c>
      <c r="G2754" s="1368">
        <v>35.5</v>
      </c>
      <c r="H2754" s="1178" t="s">
        <v>20221</v>
      </c>
      <c r="I2754" s="1178" t="s">
        <v>8521</v>
      </c>
      <c r="J2754" s="1178" t="s">
        <v>662</v>
      </c>
      <c r="K2754" s="1178" t="s">
        <v>267</v>
      </c>
      <c r="L2754" s="1178" t="s">
        <v>277</v>
      </c>
      <c r="M2754" s="1369"/>
      <c r="N2754" s="1178"/>
      <c r="O2754" s="1178">
        <v>6</v>
      </c>
      <c r="P2754" s="1178">
        <v>13</v>
      </c>
    </row>
    <row r="2755" spans="1:16">
      <c r="A2755" s="1178" t="s">
        <v>23380</v>
      </c>
      <c r="B2755" s="1371" t="str">
        <f>HYPERLINK(IFERROR("#Main_Tariff!A"&amp;MATCH(Raeburn_Main_Tariff[[#This Row],[Product Code]],Main_Tariff!I:I,0),"#Main_Tariff!A"&amp;MATCH("*"&amp;RIGHT(A2755,8)&amp;"*",Main_Tariff!A:A,0)),Raeburn_Main_Tariff[[#This Row],[PRODUCER]])</f>
        <v>Mee Godard</v>
      </c>
      <c r="C2755" s="1178" t="s">
        <v>21346</v>
      </c>
      <c r="D2755" s="1178" t="s">
        <v>897</v>
      </c>
      <c r="E2755" s="1179">
        <v>2022</v>
      </c>
      <c r="F2755" s="1282" t="s">
        <v>20220</v>
      </c>
      <c r="G2755" s="1368">
        <v>19.5</v>
      </c>
      <c r="H2755" s="1178" t="s">
        <v>20221</v>
      </c>
      <c r="I2755" s="1178" t="s">
        <v>8524</v>
      </c>
      <c r="J2755" s="1178" t="s">
        <v>662</v>
      </c>
      <c r="K2755" s="1178" t="s">
        <v>267</v>
      </c>
      <c r="L2755" s="1178" t="s">
        <v>277</v>
      </c>
      <c r="M2755" s="1369"/>
      <c r="N2755" s="1178"/>
      <c r="O2755" s="1178">
        <v>12</v>
      </c>
      <c r="P2755" s="1178">
        <v>13.5</v>
      </c>
    </row>
    <row r="2756" spans="1:16">
      <c r="A2756" s="1178" t="s">
        <v>23380</v>
      </c>
      <c r="B2756" s="1371" t="str">
        <f>HYPERLINK(IFERROR("#Main_Tariff!A"&amp;MATCH(Raeburn_Main_Tariff[[#This Row],[Product Code]],Main_Tariff!I:I,0),"#Main_Tariff!A"&amp;MATCH("*"&amp;RIGHT(A2756,8)&amp;"*",Main_Tariff!A:A,0)),Raeburn_Main_Tariff[[#This Row],[PRODUCER]])</f>
        <v>Mee Godard</v>
      </c>
      <c r="C2756" s="1178" t="s">
        <v>21347</v>
      </c>
      <c r="D2756" s="1178" t="s">
        <v>897</v>
      </c>
      <c r="E2756" s="1179">
        <v>2016</v>
      </c>
      <c r="F2756" s="1282" t="s">
        <v>20220</v>
      </c>
      <c r="G2756" s="1368">
        <v>20</v>
      </c>
      <c r="H2756" s="1178" t="s">
        <v>20221</v>
      </c>
      <c r="I2756" s="1178" t="s">
        <v>8528</v>
      </c>
      <c r="J2756" s="1178" t="s">
        <v>662</v>
      </c>
      <c r="K2756" s="1178" t="s">
        <v>267</v>
      </c>
      <c r="L2756" s="1178" t="s">
        <v>277</v>
      </c>
      <c r="M2756" s="1369"/>
      <c r="N2756" s="1178"/>
      <c r="O2756" s="1178">
        <v>12</v>
      </c>
      <c r="P2756" s="1178">
        <v>13.1</v>
      </c>
    </row>
    <row r="2757" spans="1:16">
      <c r="A2757" s="1178" t="s">
        <v>23380</v>
      </c>
      <c r="B2757" s="1371" t="str">
        <f>HYPERLINK(IFERROR("#Main_Tariff!A"&amp;MATCH(Raeburn_Main_Tariff[[#This Row],[Product Code]],Main_Tariff!I:I,0),"#Main_Tariff!A"&amp;MATCH("*"&amp;RIGHT(A2757,8)&amp;"*",Main_Tariff!A:A,0)),Raeburn_Main_Tariff[[#This Row],[PRODUCER]])</f>
        <v>Mee Godard</v>
      </c>
      <c r="C2757" s="1178" t="s">
        <v>21347</v>
      </c>
      <c r="D2757" s="1178" t="s">
        <v>897</v>
      </c>
      <c r="E2757" s="1179">
        <v>2015</v>
      </c>
      <c r="F2757" s="1282" t="s">
        <v>20220</v>
      </c>
      <c r="G2757" s="1368">
        <v>20</v>
      </c>
      <c r="H2757" s="1178" t="s">
        <v>20221</v>
      </c>
      <c r="I2757" s="1178" t="s">
        <v>8530</v>
      </c>
      <c r="J2757" s="1178" t="s">
        <v>662</v>
      </c>
      <c r="K2757" s="1178" t="s">
        <v>267</v>
      </c>
      <c r="L2757" s="1178" t="s">
        <v>277</v>
      </c>
      <c r="M2757" s="1369"/>
      <c r="N2757" s="1178"/>
      <c r="O2757" s="1178">
        <v>12</v>
      </c>
      <c r="P2757" s="1178">
        <v>14.3</v>
      </c>
    </row>
    <row r="2758" spans="1:16">
      <c r="A2758" s="1178" t="s">
        <v>23380</v>
      </c>
      <c r="B2758" s="1371" t="str">
        <f>HYPERLINK(IFERROR("#Main_Tariff!A"&amp;MATCH(Raeburn_Main_Tariff[[#This Row],[Product Code]],Main_Tariff!I:I,0),"#Main_Tariff!A"&amp;MATCH("*"&amp;RIGHT(A2758,8)&amp;"*",Main_Tariff!A:A,0)),Raeburn_Main_Tariff[[#This Row],[PRODUCER]])</f>
        <v>Mee Godard</v>
      </c>
      <c r="C2758" s="1178" t="s">
        <v>21348</v>
      </c>
      <c r="D2758" s="1178" t="s">
        <v>897</v>
      </c>
      <c r="E2758" s="1179">
        <v>2022</v>
      </c>
      <c r="F2758" s="1282" t="s">
        <v>20220</v>
      </c>
      <c r="G2758" s="1368">
        <v>24.5</v>
      </c>
      <c r="H2758" s="1178" t="s">
        <v>20221</v>
      </c>
      <c r="I2758" s="1178" t="s">
        <v>8532</v>
      </c>
      <c r="J2758" s="1178" t="s">
        <v>662</v>
      </c>
      <c r="K2758" s="1178" t="s">
        <v>267</v>
      </c>
      <c r="L2758" s="1178" t="s">
        <v>277</v>
      </c>
      <c r="M2758" s="1369"/>
      <c r="N2758" s="1178"/>
      <c r="O2758" s="1178">
        <v>12</v>
      </c>
      <c r="P2758" s="1178">
        <v>14</v>
      </c>
    </row>
    <row r="2759" spans="1:16">
      <c r="A2759" s="1178" t="s">
        <v>23380</v>
      </c>
      <c r="B2759" s="1371" t="str">
        <f>HYPERLINK(IFERROR("#Main_Tariff!A"&amp;MATCH(Raeburn_Main_Tariff[[#This Row],[Product Code]],Main_Tariff!I:I,0),"#Main_Tariff!A"&amp;MATCH("*"&amp;RIGHT(A2759,8)&amp;"*",Main_Tariff!A:A,0)),Raeburn_Main_Tariff[[#This Row],[PRODUCER]])</f>
        <v>Mee Godard</v>
      </c>
      <c r="C2759" s="1178" t="s">
        <v>21348</v>
      </c>
      <c r="D2759" s="1178" t="s">
        <v>897</v>
      </c>
      <c r="E2759" s="1179">
        <v>2021</v>
      </c>
      <c r="F2759" s="1282" t="s">
        <v>20220</v>
      </c>
      <c r="G2759" s="1368">
        <v>23.75</v>
      </c>
      <c r="H2759" s="1178" t="s">
        <v>20221</v>
      </c>
      <c r="I2759" s="1178" t="s">
        <v>8534</v>
      </c>
      <c r="J2759" s="1178" t="s">
        <v>662</v>
      </c>
      <c r="K2759" s="1178" t="s">
        <v>267</v>
      </c>
      <c r="L2759" s="1178" t="s">
        <v>277</v>
      </c>
      <c r="M2759" s="1369"/>
      <c r="N2759" s="1178"/>
      <c r="O2759" s="1178">
        <v>12</v>
      </c>
      <c r="P2759" s="1178">
        <v>12.5</v>
      </c>
    </row>
    <row r="2760" spans="1:16">
      <c r="A2760" s="1178" t="s">
        <v>23380</v>
      </c>
      <c r="B2760" s="1371" t="str">
        <f>HYPERLINK(IFERROR("#Main_Tariff!A"&amp;MATCH(Raeburn_Main_Tariff[[#This Row],[Product Code]],Main_Tariff!I:I,0),"#Main_Tariff!A"&amp;MATCH("*"&amp;RIGHT(A2760,8)&amp;"*",Main_Tariff!A:A,0)),Raeburn_Main_Tariff[[#This Row],[PRODUCER]])</f>
        <v>Mee Godard</v>
      </c>
      <c r="C2760" s="1178" t="s">
        <v>21348</v>
      </c>
      <c r="D2760" s="1178" t="s">
        <v>897</v>
      </c>
      <c r="E2760" s="1179">
        <v>2020</v>
      </c>
      <c r="F2760" s="1282" t="s">
        <v>20220</v>
      </c>
      <c r="G2760" s="1368">
        <v>22</v>
      </c>
      <c r="H2760" s="1178" t="s">
        <v>20221</v>
      </c>
      <c r="I2760" s="1178" t="s">
        <v>8536</v>
      </c>
      <c r="J2760" s="1178" t="s">
        <v>662</v>
      </c>
      <c r="K2760" s="1178" t="s">
        <v>267</v>
      </c>
      <c r="L2760" s="1178" t="s">
        <v>277</v>
      </c>
      <c r="M2760" s="1369"/>
      <c r="N2760" s="1178"/>
      <c r="O2760" s="1178">
        <v>12</v>
      </c>
      <c r="P2760" s="1178">
        <v>13.5</v>
      </c>
    </row>
    <row r="2761" spans="1:16">
      <c r="A2761" s="1178" t="s">
        <v>23380</v>
      </c>
      <c r="B2761" s="1371" t="str">
        <f>HYPERLINK(IFERROR("#Main_Tariff!A"&amp;MATCH(Raeburn_Main_Tariff[[#This Row],[Product Code]],Main_Tariff!I:I,0),"#Main_Tariff!A"&amp;MATCH("*"&amp;RIGHT(A2761,8)&amp;"*",Main_Tariff!A:A,0)),Raeburn_Main_Tariff[[#This Row],[PRODUCER]])</f>
        <v>Mee Godard</v>
      </c>
      <c r="C2761" s="1178" t="s">
        <v>21348</v>
      </c>
      <c r="D2761" s="1178" t="s">
        <v>897</v>
      </c>
      <c r="E2761" s="1179">
        <v>2019</v>
      </c>
      <c r="F2761" s="1282" t="s">
        <v>20220</v>
      </c>
      <c r="G2761" s="1368">
        <v>22</v>
      </c>
      <c r="H2761" s="1178" t="s">
        <v>20221</v>
      </c>
      <c r="I2761" s="1178" t="s">
        <v>8538</v>
      </c>
      <c r="J2761" s="1178" t="s">
        <v>662</v>
      </c>
      <c r="K2761" s="1178" t="s">
        <v>267</v>
      </c>
      <c r="L2761" s="1178" t="s">
        <v>277</v>
      </c>
      <c r="M2761" s="1369"/>
      <c r="N2761" s="1178"/>
      <c r="O2761" s="1178">
        <v>12</v>
      </c>
      <c r="P2761" s="1178">
        <v>13.5</v>
      </c>
    </row>
    <row r="2762" spans="1:16">
      <c r="A2762" s="1178" t="s">
        <v>23380</v>
      </c>
      <c r="B2762" s="1371" t="str">
        <f>HYPERLINK(IFERROR("#Main_Tariff!A"&amp;MATCH(Raeburn_Main_Tariff[[#This Row],[Product Code]],Main_Tariff!I:I,0),"#Main_Tariff!A"&amp;MATCH("*"&amp;RIGHT(A2762,8)&amp;"*",Main_Tariff!A:A,0)),Raeburn_Main_Tariff[[#This Row],[PRODUCER]])</f>
        <v>Mee Godard</v>
      </c>
      <c r="C2762" s="1178" t="s">
        <v>21348</v>
      </c>
      <c r="D2762" s="1178" t="s">
        <v>897</v>
      </c>
      <c r="E2762" s="1179">
        <v>2018</v>
      </c>
      <c r="F2762" s="1282" t="s">
        <v>20220</v>
      </c>
      <c r="G2762" s="1368">
        <v>22</v>
      </c>
      <c r="H2762" s="1178" t="s">
        <v>20221</v>
      </c>
      <c r="I2762" s="1178" t="s">
        <v>8540</v>
      </c>
      <c r="J2762" s="1178" t="s">
        <v>662</v>
      </c>
      <c r="K2762" s="1178" t="s">
        <v>267</v>
      </c>
      <c r="L2762" s="1178" t="s">
        <v>277</v>
      </c>
      <c r="M2762" s="1369"/>
      <c r="N2762" s="1178"/>
      <c r="O2762" s="1178">
        <v>12</v>
      </c>
      <c r="P2762" s="1178">
        <v>13</v>
      </c>
    </row>
    <row r="2763" spans="1:16">
      <c r="A2763" s="1178" t="s">
        <v>23380</v>
      </c>
      <c r="B2763" s="1371" t="str">
        <f>HYPERLINK(IFERROR("#Main_Tariff!A"&amp;MATCH(Raeburn_Main_Tariff[[#This Row],[Product Code]],Main_Tariff!I:I,0),"#Main_Tariff!A"&amp;MATCH("*"&amp;RIGHT(A2763,8)&amp;"*",Main_Tariff!A:A,0)),Raeburn_Main_Tariff[[#This Row],[PRODUCER]])</f>
        <v>Mee Godard</v>
      </c>
      <c r="C2763" s="1178" t="s">
        <v>21348</v>
      </c>
      <c r="D2763" s="1178" t="s">
        <v>897</v>
      </c>
      <c r="E2763" s="1179">
        <v>2017</v>
      </c>
      <c r="F2763" s="1282" t="s">
        <v>20220</v>
      </c>
      <c r="G2763" s="1368">
        <v>22</v>
      </c>
      <c r="H2763" s="1178" t="s">
        <v>20277</v>
      </c>
      <c r="I2763" s="1178" t="s">
        <v>8542</v>
      </c>
      <c r="J2763" s="1178" t="s">
        <v>662</v>
      </c>
      <c r="K2763" s="1178" t="s">
        <v>267</v>
      </c>
      <c r="L2763" s="1178" t="s">
        <v>277</v>
      </c>
      <c r="M2763" s="1369"/>
      <c r="N2763" s="1178"/>
      <c r="O2763" s="1178">
        <v>12</v>
      </c>
      <c r="P2763" s="1178">
        <v>13</v>
      </c>
    </row>
    <row r="2764" spans="1:16">
      <c r="A2764" s="1178" t="s">
        <v>23380</v>
      </c>
      <c r="B2764" s="1371" t="str">
        <f>HYPERLINK(IFERROR("#Main_Tariff!A"&amp;MATCH(Raeburn_Main_Tariff[[#This Row],[Product Code]],Main_Tariff!I:I,0),"#Main_Tariff!A"&amp;MATCH("*"&amp;RIGHT(A2764,8)&amp;"*",Main_Tariff!A:A,0)),Raeburn_Main_Tariff[[#This Row],[PRODUCER]])</f>
        <v>Mee Godard</v>
      </c>
      <c r="C2764" s="1178" t="s">
        <v>21349</v>
      </c>
      <c r="D2764" s="1178" t="s">
        <v>897</v>
      </c>
      <c r="E2764" s="1179">
        <v>2022</v>
      </c>
      <c r="F2764" s="1282" t="s">
        <v>20220</v>
      </c>
      <c r="G2764" s="1368">
        <v>29</v>
      </c>
      <c r="H2764" s="1178" t="s">
        <v>20221</v>
      </c>
      <c r="I2764" s="1178" t="s">
        <v>8544</v>
      </c>
      <c r="J2764" s="1178" t="s">
        <v>662</v>
      </c>
      <c r="K2764" s="1178" t="s">
        <v>267</v>
      </c>
      <c r="L2764" s="1178" t="s">
        <v>277</v>
      </c>
      <c r="M2764" s="1369"/>
      <c r="N2764" s="1178"/>
      <c r="O2764" s="1178">
        <v>12</v>
      </c>
      <c r="P2764" s="1178">
        <v>13.5</v>
      </c>
    </row>
    <row r="2765" spans="1:16">
      <c r="A2765" s="1178" t="s">
        <v>23380</v>
      </c>
      <c r="B2765" s="1371" t="str">
        <f>HYPERLINK(IFERROR("#Main_Tariff!A"&amp;MATCH(Raeburn_Main_Tariff[[#This Row],[Product Code]],Main_Tariff!I:I,0),"#Main_Tariff!A"&amp;MATCH("*"&amp;RIGHT(A2765,8)&amp;"*",Main_Tariff!A:A,0)),Raeburn_Main_Tariff[[#This Row],[PRODUCER]])</f>
        <v>Mee Godard</v>
      </c>
      <c r="C2765" s="1178" t="s">
        <v>21349</v>
      </c>
      <c r="D2765" s="1178" t="s">
        <v>897</v>
      </c>
      <c r="E2765" s="1179">
        <v>2021</v>
      </c>
      <c r="F2765" s="1282" t="s">
        <v>20220</v>
      </c>
      <c r="G2765" s="1368">
        <v>28.5</v>
      </c>
      <c r="H2765" s="1178" t="s">
        <v>20221</v>
      </c>
      <c r="I2765" s="1178" t="s">
        <v>8546</v>
      </c>
      <c r="J2765" s="1178" t="s">
        <v>662</v>
      </c>
      <c r="K2765" s="1178" t="s">
        <v>267</v>
      </c>
      <c r="L2765" s="1178" t="s">
        <v>277</v>
      </c>
      <c r="M2765" s="1369"/>
      <c r="N2765" s="1178"/>
      <c r="O2765" s="1178">
        <v>12</v>
      </c>
      <c r="P2765" s="1178">
        <v>12.5</v>
      </c>
    </row>
    <row r="2766" spans="1:16">
      <c r="A2766" s="1178" t="s">
        <v>23380</v>
      </c>
      <c r="B2766" s="1371" t="str">
        <f>HYPERLINK(IFERROR("#Main_Tariff!A"&amp;MATCH(Raeburn_Main_Tariff[[#This Row],[Product Code]],Main_Tariff!I:I,0),"#Main_Tariff!A"&amp;MATCH("*"&amp;RIGHT(A2766,8)&amp;"*",Main_Tariff!A:A,0)),Raeburn_Main_Tariff[[#This Row],[PRODUCER]])</f>
        <v>Mee Godard</v>
      </c>
      <c r="C2766" s="1178" t="s">
        <v>21349</v>
      </c>
      <c r="D2766" s="1178" t="s">
        <v>897</v>
      </c>
      <c r="E2766" s="1179">
        <v>2020</v>
      </c>
      <c r="F2766" s="1282" t="s">
        <v>20220</v>
      </c>
      <c r="G2766" s="1368">
        <v>28</v>
      </c>
      <c r="H2766" s="1178" t="s">
        <v>20221</v>
      </c>
      <c r="I2766" s="1178" t="s">
        <v>8548</v>
      </c>
      <c r="J2766" s="1178" t="s">
        <v>662</v>
      </c>
      <c r="K2766" s="1178" t="s">
        <v>267</v>
      </c>
      <c r="L2766" s="1178" t="s">
        <v>277</v>
      </c>
      <c r="M2766" s="1369"/>
      <c r="N2766" s="1178"/>
      <c r="O2766" s="1178">
        <v>12</v>
      </c>
      <c r="P2766" s="1178">
        <v>14</v>
      </c>
    </row>
    <row r="2767" spans="1:16">
      <c r="A2767" s="1178" t="s">
        <v>23380</v>
      </c>
      <c r="B2767" s="1371" t="str">
        <f>HYPERLINK(IFERROR("#Main_Tariff!A"&amp;MATCH(Raeburn_Main_Tariff[[#This Row],[Product Code]],Main_Tariff!I:I,0),"#Main_Tariff!A"&amp;MATCH("*"&amp;RIGHT(A2767,8)&amp;"*",Main_Tariff!A:A,0)),Raeburn_Main_Tariff[[#This Row],[PRODUCER]])</f>
        <v>Mee Godard</v>
      </c>
      <c r="C2767" s="1178" t="s">
        <v>21350</v>
      </c>
      <c r="D2767" s="1178" t="s">
        <v>897</v>
      </c>
      <c r="E2767" s="1179">
        <v>2022</v>
      </c>
      <c r="F2767" s="1282" t="s">
        <v>20220</v>
      </c>
      <c r="G2767" s="1368">
        <v>46</v>
      </c>
      <c r="H2767" s="1178" t="s">
        <v>20221</v>
      </c>
      <c r="I2767" s="1178" t="s">
        <v>8550</v>
      </c>
      <c r="J2767" s="1178" t="s">
        <v>662</v>
      </c>
      <c r="K2767" s="1178" t="s">
        <v>267</v>
      </c>
      <c r="L2767" s="1178" t="s">
        <v>277</v>
      </c>
      <c r="M2767" s="1369"/>
      <c r="N2767" s="1178"/>
      <c r="O2767" s="1178">
        <v>12</v>
      </c>
      <c r="P2767" s="1178">
        <v>13.5</v>
      </c>
    </row>
    <row r="2768" spans="1:16">
      <c r="A2768" s="1178" t="s">
        <v>23380</v>
      </c>
      <c r="B2768" s="1371" t="str">
        <f>HYPERLINK(IFERROR("#Main_Tariff!A"&amp;MATCH(Raeburn_Main_Tariff[[#This Row],[Product Code]],Main_Tariff!I:I,0),"#Main_Tariff!A"&amp;MATCH("*"&amp;RIGHT(A2768,8)&amp;"*",Main_Tariff!A:A,0)),Raeburn_Main_Tariff[[#This Row],[PRODUCER]])</f>
        <v>Mee Godard</v>
      </c>
      <c r="C2768" s="1178" t="s">
        <v>21350</v>
      </c>
      <c r="D2768" s="1178" t="s">
        <v>897</v>
      </c>
      <c r="E2768" s="1179">
        <v>2021</v>
      </c>
      <c r="F2768" s="1282" t="s">
        <v>20220</v>
      </c>
      <c r="G2768" s="1368">
        <v>39</v>
      </c>
      <c r="H2768" s="1178" t="s">
        <v>20221</v>
      </c>
      <c r="I2768" s="1178" t="s">
        <v>8552</v>
      </c>
      <c r="J2768" s="1178" t="s">
        <v>662</v>
      </c>
      <c r="K2768" s="1178" t="s">
        <v>267</v>
      </c>
      <c r="L2768" s="1178" t="s">
        <v>277</v>
      </c>
      <c r="M2768" s="1369"/>
      <c r="N2768" s="1178"/>
      <c r="O2768" s="1178">
        <v>6</v>
      </c>
      <c r="P2768" s="1178">
        <v>12.5</v>
      </c>
    </row>
    <row r="2769" spans="1:16">
      <c r="A2769" s="1178" t="s">
        <v>23380</v>
      </c>
      <c r="B2769" s="1371" t="str">
        <f>HYPERLINK(IFERROR("#Main_Tariff!A"&amp;MATCH(Raeburn_Main_Tariff[[#This Row],[Product Code]],Main_Tariff!I:I,0),"#Main_Tariff!A"&amp;MATCH("*"&amp;RIGHT(A2769,8)&amp;"*",Main_Tariff!A:A,0)),Raeburn_Main_Tariff[[#This Row],[PRODUCER]])</f>
        <v>Mee Godard</v>
      </c>
      <c r="C2769" s="1178" t="s">
        <v>21350</v>
      </c>
      <c r="D2769" s="1178" t="s">
        <v>897</v>
      </c>
      <c r="E2769" s="1179">
        <v>2020</v>
      </c>
      <c r="F2769" s="1282" t="s">
        <v>20220</v>
      </c>
      <c r="G2769" s="1368">
        <v>38</v>
      </c>
      <c r="H2769" s="1178" t="s">
        <v>20221</v>
      </c>
      <c r="I2769" s="1178" t="s">
        <v>8554</v>
      </c>
      <c r="J2769" s="1178" t="s">
        <v>662</v>
      </c>
      <c r="K2769" s="1178" t="s">
        <v>267</v>
      </c>
      <c r="L2769" s="1178" t="s">
        <v>277</v>
      </c>
      <c r="M2769" s="1369"/>
      <c r="N2769" s="1178"/>
      <c r="O2769" s="1178">
        <v>12</v>
      </c>
      <c r="P2769" s="1178">
        <v>14</v>
      </c>
    </row>
    <row r="2770" spans="1:16">
      <c r="A2770" s="1178" t="s">
        <v>23380</v>
      </c>
      <c r="B2770" s="1371" t="str">
        <f>HYPERLINK(IFERROR("#Main_Tariff!A"&amp;MATCH(Raeburn_Main_Tariff[[#This Row],[Product Code]],Main_Tariff!I:I,0),"#Main_Tariff!A"&amp;MATCH("*"&amp;RIGHT(A2770,8)&amp;"*",Main_Tariff!A:A,0)),Raeburn_Main_Tariff[[#This Row],[PRODUCER]])</f>
        <v>Mee Godard</v>
      </c>
      <c r="C2770" s="1178" t="s">
        <v>21351</v>
      </c>
      <c r="D2770" s="1178" t="s">
        <v>897</v>
      </c>
      <c r="E2770" s="1179">
        <v>2022</v>
      </c>
      <c r="F2770" s="1282" t="s">
        <v>20220</v>
      </c>
      <c r="G2770" s="1368">
        <v>28.5</v>
      </c>
      <c r="H2770" s="1178" t="s">
        <v>20221</v>
      </c>
      <c r="I2770" s="1178" t="s">
        <v>8558</v>
      </c>
      <c r="J2770" s="1178" t="s">
        <v>662</v>
      </c>
      <c r="K2770" s="1178" t="s">
        <v>267</v>
      </c>
      <c r="L2770" s="1178" t="s">
        <v>277</v>
      </c>
      <c r="M2770" s="1369"/>
      <c r="N2770" s="1178"/>
      <c r="O2770" s="1178">
        <v>12</v>
      </c>
      <c r="P2770" s="1178">
        <v>13</v>
      </c>
    </row>
    <row r="2771" spans="1:16">
      <c r="A2771" s="1178" t="s">
        <v>23380</v>
      </c>
      <c r="B2771" s="1371" t="str">
        <f>HYPERLINK(IFERROR("#Main_Tariff!A"&amp;MATCH(Raeburn_Main_Tariff[[#This Row],[Product Code]],Main_Tariff!I:I,0),"#Main_Tariff!A"&amp;MATCH("*"&amp;RIGHT(A2771,8)&amp;"*",Main_Tariff!A:A,0)),Raeburn_Main_Tariff[[#This Row],[PRODUCER]])</f>
        <v>Mee Godard</v>
      </c>
      <c r="C2771" s="1178" t="s">
        <v>21351</v>
      </c>
      <c r="D2771" s="1178" t="s">
        <v>897</v>
      </c>
      <c r="E2771" s="1179">
        <v>2021</v>
      </c>
      <c r="F2771" s="1282" t="s">
        <v>20220</v>
      </c>
      <c r="G2771" s="1368">
        <v>27.5</v>
      </c>
      <c r="H2771" s="1178" t="s">
        <v>20221</v>
      </c>
      <c r="I2771" s="1178" t="s">
        <v>8560</v>
      </c>
      <c r="J2771" s="1178" t="s">
        <v>662</v>
      </c>
      <c r="K2771" s="1178" t="s">
        <v>267</v>
      </c>
      <c r="L2771" s="1178" t="s">
        <v>277</v>
      </c>
      <c r="M2771" s="1369"/>
      <c r="N2771" s="1178"/>
      <c r="O2771" s="1178">
        <v>12</v>
      </c>
      <c r="P2771" s="1178">
        <v>12.5</v>
      </c>
    </row>
    <row r="2772" spans="1:16">
      <c r="A2772" s="1178" t="s">
        <v>23380</v>
      </c>
      <c r="B2772" s="1371" t="str">
        <f>HYPERLINK(IFERROR("#Main_Tariff!A"&amp;MATCH(Raeburn_Main_Tariff[[#This Row],[Product Code]],Main_Tariff!I:I,0),"#Main_Tariff!A"&amp;MATCH("*"&amp;RIGHT(A2772,8)&amp;"*",Main_Tariff!A:A,0)),Raeburn_Main_Tariff[[#This Row],[PRODUCER]])</f>
        <v>Mee Godard</v>
      </c>
      <c r="C2772" s="1178" t="s">
        <v>21351</v>
      </c>
      <c r="D2772" s="1178" t="s">
        <v>897</v>
      </c>
      <c r="E2772" s="1179">
        <v>2020</v>
      </c>
      <c r="F2772" s="1282" t="s">
        <v>20220</v>
      </c>
      <c r="G2772" s="1368">
        <v>26</v>
      </c>
      <c r="H2772" s="1178" t="s">
        <v>20221</v>
      </c>
      <c r="I2772" s="1178" t="s">
        <v>8562</v>
      </c>
      <c r="J2772" s="1178" t="s">
        <v>662</v>
      </c>
      <c r="K2772" s="1178" t="s">
        <v>267</v>
      </c>
      <c r="L2772" s="1178" t="s">
        <v>277</v>
      </c>
      <c r="M2772" s="1369"/>
      <c r="N2772" s="1178"/>
      <c r="O2772" s="1178">
        <v>12</v>
      </c>
      <c r="P2772" s="1178">
        <v>14</v>
      </c>
    </row>
    <row r="2773" spans="1:16">
      <c r="A2773" s="1178" t="s">
        <v>23380</v>
      </c>
      <c r="B2773" s="1371" t="str">
        <f>HYPERLINK(IFERROR("#Main_Tariff!A"&amp;MATCH(Raeburn_Main_Tariff[[#This Row],[Product Code]],Main_Tariff!I:I,0),"#Main_Tariff!A"&amp;MATCH("*"&amp;RIGHT(A2773,8)&amp;"*",Main_Tariff!A:A,0)),Raeburn_Main_Tariff[[#This Row],[PRODUCER]])</f>
        <v>Mee Godard</v>
      </c>
      <c r="C2773" s="1178" t="s">
        <v>21351</v>
      </c>
      <c r="D2773" s="1178" t="s">
        <v>897</v>
      </c>
      <c r="E2773" s="1179">
        <v>2019</v>
      </c>
      <c r="F2773" s="1282" t="s">
        <v>20220</v>
      </c>
      <c r="G2773" s="1368">
        <v>25</v>
      </c>
      <c r="H2773" s="1178" t="s">
        <v>20221</v>
      </c>
      <c r="I2773" s="1178" t="s">
        <v>8563</v>
      </c>
      <c r="J2773" s="1178" t="s">
        <v>662</v>
      </c>
      <c r="K2773" s="1178" t="s">
        <v>267</v>
      </c>
      <c r="L2773" s="1178" t="s">
        <v>277</v>
      </c>
      <c r="M2773" s="1369"/>
      <c r="N2773" s="1178"/>
      <c r="O2773" s="1178">
        <v>12</v>
      </c>
      <c r="P2773" s="1178">
        <v>14</v>
      </c>
    </row>
    <row r="2774" spans="1:16">
      <c r="A2774" s="1178" t="s">
        <v>23380</v>
      </c>
      <c r="B2774" s="1371" t="str">
        <f>HYPERLINK(IFERROR("#Main_Tariff!A"&amp;MATCH(Raeburn_Main_Tariff[[#This Row],[Product Code]],Main_Tariff!I:I,0),"#Main_Tariff!A"&amp;MATCH("*"&amp;RIGHT(A2774,8)&amp;"*",Main_Tariff!A:A,0)),Raeburn_Main_Tariff[[#This Row],[PRODUCER]])</f>
        <v>Mee Godard</v>
      </c>
      <c r="C2774" s="1178" t="s">
        <v>21351</v>
      </c>
      <c r="D2774" s="1178" t="s">
        <v>897</v>
      </c>
      <c r="E2774" s="1179">
        <v>2018</v>
      </c>
      <c r="F2774" s="1282" t="s">
        <v>20220</v>
      </c>
      <c r="G2774" s="1368">
        <v>25</v>
      </c>
      <c r="H2774" s="1178" t="s">
        <v>20221</v>
      </c>
      <c r="I2774" s="1178" t="s">
        <v>8565</v>
      </c>
      <c r="J2774" s="1178" t="s">
        <v>662</v>
      </c>
      <c r="K2774" s="1178" t="s">
        <v>267</v>
      </c>
      <c r="L2774" s="1178" t="s">
        <v>277</v>
      </c>
      <c r="M2774" s="1369"/>
      <c r="N2774" s="1178"/>
      <c r="O2774" s="1178">
        <v>12</v>
      </c>
      <c r="P2774" s="1178">
        <v>13.5</v>
      </c>
    </row>
    <row r="2775" spans="1:16">
      <c r="A2775" s="1178" t="s">
        <v>23380</v>
      </c>
      <c r="B2775" s="1371" t="str">
        <f>HYPERLINK(IFERROR("#Main_Tariff!A"&amp;MATCH(Raeburn_Main_Tariff[[#This Row],[Product Code]],Main_Tariff!I:I,0),"#Main_Tariff!A"&amp;MATCH("*"&amp;RIGHT(A2775,8)&amp;"*",Main_Tariff!A:A,0)),Raeburn_Main_Tariff[[#This Row],[PRODUCER]])</f>
        <v>Mee Godard</v>
      </c>
      <c r="C2775" s="1178" t="s">
        <v>21351</v>
      </c>
      <c r="D2775" s="1178" t="s">
        <v>897</v>
      </c>
      <c r="E2775" s="1179">
        <v>2017</v>
      </c>
      <c r="F2775" s="1282" t="s">
        <v>20220</v>
      </c>
      <c r="G2775" s="1368">
        <v>25</v>
      </c>
      <c r="H2775" s="1178" t="s">
        <v>20221</v>
      </c>
      <c r="I2775" s="1178" t="s">
        <v>8567</v>
      </c>
      <c r="J2775" s="1178" t="s">
        <v>662</v>
      </c>
      <c r="K2775" s="1178" t="s">
        <v>267</v>
      </c>
      <c r="L2775" s="1178" t="s">
        <v>277</v>
      </c>
      <c r="M2775" s="1369"/>
      <c r="N2775" s="1178"/>
      <c r="O2775" s="1178">
        <v>12</v>
      </c>
      <c r="P2775" s="1178">
        <v>13</v>
      </c>
    </row>
    <row r="2776" spans="1:16">
      <c r="A2776" s="1178" t="s">
        <v>23380</v>
      </c>
      <c r="B2776" s="1371" t="str">
        <f>HYPERLINK(IFERROR("#Main_Tariff!A"&amp;MATCH(Raeburn_Main_Tariff[[#This Row],[Product Code]],Main_Tariff!I:I,0),"#Main_Tariff!A"&amp;MATCH("*"&amp;RIGHT(A2776,8)&amp;"*",Main_Tariff!A:A,0)),Raeburn_Main_Tariff[[#This Row],[PRODUCER]])</f>
        <v>Mee Godard</v>
      </c>
      <c r="C2776" s="1178" t="s">
        <v>21351</v>
      </c>
      <c r="D2776" s="1178" t="s">
        <v>897</v>
      </c>
      <c r="E2776" s="1179">
        <v>2016</v>
      </c>
      <c r="F2776" s="1282" t="s">
        <v>20220</v>
      </c>
      <c r="G2776" s="1368">
        <v>24.5</v>
      </c>
      <c r="H2776" s="1178" t="s">
        <v>20277</v>
      </c>
      <c r="I2776" s="1178" t="s">
        <v>8569</v>
      </c>
      <c r="J2776" s="1178" t="s">
        <v>662</v>
      </c>
      <c r="K2776" s="1178" t="s">
        <v>267</v>
      </c>
      <c r="L2776" s="1178" t="s">
        <v>277</v>
      </c>
      <c r="M2776" s="1369"/>
      <c r="N2776" s="1178"/>
      <c r="O2776" s="1178">
        <v>12</v>
      </c>
      <c r="P2776" s="1178">
        <v>13.1</v>
      </c>
    </row>
    <row r="2777" spans="1:16">
      <c r="A2777" s="1178" t="s">
        <v>23380</v>
      </c>
      <c r="B2777" s="1371" t="str">
        <f>HYPERLINK(IFERROR("#Main_Tariff!A"&amp;MATCH(Raeburn_Main_Tariff[[#This Row],[Product Code]],Main_Tariff!I:I,0),"#Main_Tariff!A"&amp;MATCH("*"&amp;RIGHT(A2777,8)&amp;"*",Main_Tariff!A:A,0)),Raeburn_Main_Tariff[[#This Row],[PRODUCER]])</f>
        <v>Mee Godard</v>
      </c>
      <c r="C2777" s="1178" t="s">
        <v>21352</v>
      </c>
      <c r="D2777" s="1178" t="s">
        <v>897</v>
      </c>
      <c r="E2777" s="1179">
        <v>2016</v>
      </c>
      <c r="F2777" s="1282" t="s">
        <v>20240</v>
      </c>
      <c r="G2777" s="1368">
        <v>42</v>
      </c>
      <c r="H2777" s="1178" t="s">
        <v>20224</v>
      </c>
      <c r="I2777" s="1178" t="s">
        <v>8572</v>
      </c>
      <c r="J2777" s="1178" t="s">
        <v>662</v>
      </c>
      <c r="K2777" s="1178" t="s">
        <v>267</v>
      </c>
      <c r="L2777" s="1178" t="s">
        <v>277</v>
      </c>
      <c r="M2777" s="1369"/>
      <c r="N2777" s="1178"/>
      <c r="O2777" s="1178">
        <v>6</v>
      </c>
      <c r="P2777" s="1178">
        <v>13.1</v>
      </c>
    </row>
    <row r="2778" spans="1:16">
      <c r="A2778" s="1178" t="s">
        <v>23380</v>
      </c>
      <c r="B2778" s="1371" t="str">
        <f>HYPERLINK(IFERROR("#Main_Tariff!A"&amp;MATCH(Raeburn_Main_Tariff[[#This Row],[Product Code]],Main_Tariff!I:I,0),"#Main_Tariff!A"&amp;MATCH("*"&amp;RIGHT(A2778,8)&amp;"*",Main_Tariff!A:A,0)),Raeburn_Main_Tariff[[#This Row],[PRODUCER]])</f>
        <v>Mee Godard</v>
      </c>
      <c r="C2778" s="1178" t="s">
        <v>21353</v>
      </c>
      <c r="D2778" s="1178" t="s">
        <v>897</v>
      </c>
      <c r="E2778" s="1179">
        <v>2022</v>
      </c>
      <c r="F2778" s="1282" t="s">
        <v>20240</v>
      </c>
      <c r="G2778" s="1368">
        <v>51.5</v>
      </c>
      <c r="H2778" s="1178" t="s">
        <v>20224</v>
      </c>
      <c r="I2778" s="1178" t="s">
        <v>8575</v>
      </c>
      <c r="J2778" s="1178" t="s">
        <v>662</v>
      </c>
      <c r="K2778" s="1178" t="s">
        <v>267</v>
      </c>
      <c r="L2778" s="1178" t="s">
        <v>277</v>
      </c>
      <c r="M2778" s="1369"/>
      <c r="N2778" s="1178"/>
      <c r="O2778" s="1178">
        <v>3</v>
      </c>
      <c r="P2778" s="1178">
        <v>14</v>
      </c>
    </row>
    <row r="2779" spans="1:16">
      <c r="A2779" s="1178" t="s">
        <v>23380</v>
      </c>
      <c r="B2779" s="1371" t="str">
        <f>HYPERLINK(IFERROR("#Main_Tariff!A"&amp;MATCH(Raeburn_Main_Tariff[[#This Row],[Product Code]],Main_Tariff!I:I,0),"#Main_Tariff!A"&amp;MATCH("*"&amp;RIGHT(A2779,8)&amp;"*",Main_Tariff!A:A,0)),Raeburn_Main_Tariff[[#This Row],[PRODUCER]])</f>
        <v>Mee Godard</v>
      </c>
      <c r="C2779" s="1178" t="s">
        <v>21353</v>
      </c>
      <c r="D2779" s="1178" t="s">
        <v>897</v>
      </c>
      <c r="E2779" s="1179">
        <v>2021</v>
      </c>
      <c r="F2779" s="1282" t="s">
        <v>20240</v>
      </c>
      <c r="G2779" s="1368">
        <v>50</v>
      </c>
      <c r="H2779" s="1178" t="s">
        <v>20221</v>
      </c>
      <c r="I2779" s="1178" t="s">
        <v>8577</v>
      </c>
      <c r="J2779" s="1178" t="s">
        <v>662</v>
      </c>
      <c r="K2779" s="1178" t="s">
        <v>267</v>
      </c>
      <c r="L2779" s="1178" t="s">
        <v>277</v>
      </c>
      <c r="M2779" s="1369"/>
      <c r="N2779" s="1178"/>
      <c r="O2779" s="1178">
        <v>6</v>
      </c>
      <c r="P2779" s="1178">
        <v>12.5</v>
      </c>
    </row>
    <row r="2780" spans="1:16">
      <c r="A2780" s="1178" t="s">
        <v>23380</v>
      </c>
      <c r="B2780" s="1371" t="str">
        <f>HYPERLINK(IFERROR("#Main_Tariff!A"&amp;MATCH(Raeburn_Main_Tariff[[#This Row],[Product Code]],Main_Tariff!I:I,0),"#Main_Tariff!A"&amp;MATCH("*"&amp;RIGHT(A2780,8)&amp;"*",Main_Tariff!A:A,0)),Raeburn_Main_Tariff[[#This Row],[PRODUCER]])</f>
        <v>Mee Godard</v>
      </c>
      <c r="C2780" s="1178" t="s">
        <v>21353</v>
      </c>
      <c r="D2780" s="1178" t="s">
        <v>897</v>
      </c>
      <c r="E2780" s="1179">
        <v>2020</v>
      </c>
      <c r="F2780" s="1282" t="s">
        <v>20240</v>
      </c>
      <c r="G2780" s="1368">
        <v>46.5</v>
      </c>
      <c r="H2780" s="1178" t="s">
        <v>20224</v>
      </c>
      <c r="I2780" s="1178" t="s">
        <v>8579</v>
      </c>
      <c r="J2780" s="1178" t="s">
        <v>662</v>
      </c>
      <c r="K2780" s="1178" t="s">
        <v>267</v>
      </c>
      <c r="L2780" s="1178" t="s">
        <v>277</v>
      </c>
      <c r="M2780" s="1369"/>
      <c r="N2780" s="1178"/>
      <c r="O2780" s="1178">
        <v>6</v>
      </c>
      <c r="P2780" s="1178">
        <v>13</v>
      </c>
    </row>
    <row r="2781" spans="1:16">
      <c r="A2781" s="1178" t="s">
        <v>23380</v>
      </c>
      <c r="B2781" s="1371" t="str">
        <f>HYPERLINK(IFERROR("#Main_Tariff!A"&amp;MATCH(Raeburn_Main_Tariff[[#This Row],[Product Code]],Main_Tariff!I:I,0),"#Main_Tariff!A"&amp;MATCH("*"&amp;RIGHT(A2781,8)&amp;"*",Main_Tariff!A:A,0)),Raeburn_Main_Tariff[[#This Row],[PRODUCER]])</f>
        <v>Mee Godard</v>
      </c>
      <c r="C2781" s="1178" t="s">
        <v>21353</v>
      </c>
      <c r="D2781" s="1178" t="s">
        <v>897</v>
      </c>
      <c r="E2781" s="1179">
        <v>2017</v>
      </c>
      <c r="F2781" s="1282" t="s">
        <v>20240</v>
      </c>
      <c r="G2781" s="1368">
        <v>46.5</v>
      </c>
      <c r="H2781" s="1178" t="s">
        <v>20224</v>
      </c>
      <c r="I2781" s="1178" t="s">
        <v>8581</v>
      </c>
      <c r="J2781" s="1178" t="s">
        <v>662</v>
      </c>
      <c r="K2781" s="1178" t="s">
        <v>267</v>
      </c>
      <c r="L2781" s="1178" t="s">
        <v>277</v>
      </c>
      <c r="M2781" s="1369"/>
      <c r="N2781" s="1178"/>
      <c r="O2781" s="1178">
        <v>6</v>
      </c>
      <c r="P2781" s="1178">
        <v>13</v>
      </c>
    </row>
    <row r="2782" spans="1:16">
      <c r="A2782" s="1178" t="s">
        <v>23380</v>
      </c>
      <c r="B2782" s="1371" t="str">
        <f>HYPERLINK(IFERROR("#Main_Tariff!A"&amp;MATCH(Raeburn_Main_Tariff[[#This Row],[Product Code]],Main_Tariff!I:I,0),"#Main_Tariff!A"&amp;MATCH("*"&amp;RIGHT(A2782,8)&amp;"*",Main_Tariff!A:A,0)),Raeburn_Main_Tariff[[#This Row],[PRODUCER]])</f>
        <v>Mee Godard</v>
      </c>
      <c r="C2782" s="1178" t="s">
        <v>21353</v>
      </c>
      <c r="D2782" s="1178" t="s">
        <v>897</v>
      </c>
      <c r="E2782" s="1179">
        <v>2015</v>
      </c>
      <c r="F2782" s="1282" t="s">
        <v>20240</v>
      </c>
      <c r="G2782" s="1368">
        <v>44</v>
      </c>
      <c r="H2782" s="1178" t="s">
        <v>20224</v>
      </c>
      <c r="I2782" s="1178" t="s">
        <v>8583</v>
      </c>
      <c r="J2782" s="1178" t="s">
        <v>662</v>
      </c>
      <c r="K2782" s="1178" t="s">
        <v>267</v>
      </c>
      <c r="L2782" s="1178" t="s">
        <v>277</v>
      </c>
      <c r="M2782" s="1369"/>
      <c r="N2782" s="1178"/>
      <c r="O2782" s="1178">
        <v>6</v>
      </c>
      <c r="P2782" s="1178">
        <v>13.8</v>
      </c>
    </row>
    <row r="2783" spans="1:16">
      <c r="A2783" s="1178" t="s">
        <v>23380</v>
      </c>
      <c r="B2783" s="1371" t="str">
        <f>HYPERLINK(IFERROR("#Main_Tariff!A"&amp;MATCH(Raeburn_Main_Tariff[[#This Row],[Product Code]],Main_Tariff!I:I,0),"#Main_Tariff!A"&amp;MATCH("*"&amp;RIGHT(A2783,8)&amp;"*",Main_Tariff!A:A,0)),Raeburn_Main_Tariff[[#This Row],[PRODUCER]])</f>
        <v>Mee Godard</v>
      </c>
      <c r="C2783" s="1178" t="s">
        <v>21354</v>
      </c>
      <c r="D2783" s="1178" t="s">
        <v>897</v>
      </c>
      <c r="E2783" s="1179">
        <v>2021</v>
      </c>
      <c r="F2783" s="1282" t="s">
        <v>20240</v>
      </c>
      <c r="G2783" s="1368">
        <v>60</v>
      </c>
      <c r="H2783" s="1178" t="s">
        <v>20221</v>
      </c>
      <c r="I2783" s="1178" t="s">
        <v>8584</v>
      </c>
      <c r="J2783" s="1178" t="s">
        <v>662</v>
      </c>
      <c r="K2783" s="1178" t="s">
        <v>267</v>
      </c>
      <c r="L2783" s="1178" t="s">
        <v>277</v>
      </c>
      <c r="M2783" s="1369"/>
      <c r="N2783" s="1178"/>
      <c r="O2783" s="1178">
        <v>6</v>
      </c>
      <c r="P2783" s="1178">
        <v>12.5</v>
      </c>
    </row>
    <row r="2784" spans="1:16">
      <c r="A2784" s="1178" t="s">
        <v>23380</v>
      </c>
      <c r="B2784" s="1371" t="str">
        <f>HYPERLINK(IFERROR("#Main_Tariff!A"&amp;MATCH(Raeburn_Main_Tariff[[#This Row],[Product Code]],Main_Tariff!I:I,0),"#Main_Tariff!A"&amp;MATCH("*"&amp;RIGHT(A2784,8)&amp;"*",Main_Tariff!A:A,0)),Raeburn_Main_Tariff[[#This Row],[PRODUCER]])</f>
        <v>Mee Godard</v>
      </c>
      <c r="C2784" s="1178" t="s">
        <v>21354</v>
      </c>
      <c r="D2784" s="1178" t="s">
        <v>897</v>
      </c>
      <c r="E2784" s="1179">
        <v>2016</v>
      </c>
      <c r="F2784" s="1282" t="s">
        <v>20240</v>
      </c>
      <c r="G2784" s="1368">
        <v>58</v>
      </c>
      <c r="H2784" s="1178" t="s">
        <v>20224</v>
      </c>
      <c r="I2784" s="1178" t="s">
        <v>8586</v>
      </c>
      <c r="J2784" s="1178" t="s">
        <v>662</v>
      </c>
      <c r="K2784" s="1178" t="s">
        <v>267</v>
      </c>
      <c r="L2784" s="1178" t="s">
        <v>277</v>
      </c>
      <c r="M2784" s="1369"/>
      <c r="N2784" s="1178"/>
      <c r="O2784" s="1178">
        <v>6</v>
      </c>
      <c r="P2784" s="1178">
        <v>13.1</v>
      </c>
    </row>
    <row r="2785" spans="1:16">
      <c r="A2785" s="1178" t="s">
        <v>23380</v>
      </c>
      <c r="B2785" s="1371" t="str">
        <f>HYPERLINK(IFERROR("#Main_Tariff!A"&amp;MATCH(Raeburn_Main_Tariff[[#This Row],[Product Code]],Main_Tariff!I:I,0),"#Main_Tariff!A"&amp;MATCH("*"&amp;RIGHT(A2785,8)&amp;"*",Main_Tariff!A:A,0)),Raeburn_Main_Tariff[[#This Row],[PRODUCER]])</f>
        <v>Mee Godard</v>
      </c>
      <c r="C2785" s="1178" t="s">
        <v>21354</v>
      </c>
      <c r="D2785" s="1178" t="s">
        <v>897</v>
      </c>
      <c r="E2785" s="1179">
        <v>2015</v>
      </c>
      <c r="F2785" s="1282" t="s">
        <v>20240</v>
      </c>
      <c r="G2785" s="1368">
        <v>58</v>
      </c>
      <c r="H2785" s="1178" t="s">
        <v>20224</v>
      </c>
      <c r="I2785" s="1178" t="s">
        <v>8588</v>
      </c>
      <c r="J2785" s="1178" t="s">
        <v>662</v>
      </c>
      <c r="K2785" s="1178" t="s">
        <v>267</v>
      </c>
      <c r="L2785" s="1178" t="s">
        <v>277</v>
      </c>
      <c r="M2785" s="1369"/>
      <c r="N2785" s="1178"/>
      <c r="O2785" s="1178">
        <v>6</v>
      </c>
      <c r="P2785" s="1178">
        <v>14.2</v>
      </c>
    </row>
    <row r="2786" spans="1:16">
      <c r="A2786" s="1178" t="s">
        <v>23380</v>
      </c>
      <c r="B2786" s="1371" t="str">
        <f>HYPERLINK(IFERROR("#Main_Tariff!A"&amp;MATCH(Raeburn_Main_Tariff[[#This Row],[Product Code]],Main_Tariff!I:I,0),"#Main_Tariff!A"&amp;MATCH("*"&amp;RIGHT(A2786,8)&amp;"*",Main_Tariff!A:A,0)),Raeburn_Main_Tariff[[#This Row],[PRODUCER]])</f>
        <v>Mee Godard</v>
      </c>
      <c r="C2786" s="1178" t="s">
        <v>21355</v>
      </c>
      <c r="D2786" s="1178" t="s">
        <v>897</v>
      </c>
      <c r="E2786" s="1179">
        <v>2021</v>
      </c>
      <c r="F2786" s="1282" t="s">
        <v>20240</v>
      </c>
      <c r="G2786" s="1368">
        <v>81</v>
      </c>
      <c r="H2786" s="1178" t="s">
        <v>20224</v>
      </c>
      <c r="I2786" s="1178" t="s">
        <v>8590</v>
      </c>
      <c r="J2786" s="1178" t="s">
        <v>662</v>
      </c>
      <c r="K2786" s="1178" t="s">
        <v>267</v>
      </c>
      <c r="L2786" s="1178" t="s">
        <v>277</v>
      </c>
      <c r="M2786" s="1369"/>
      <c r="N2786" s="1178"/>
      <c r="O2786" s="1178">
        <v>6</v>
      </c>
      <c r="P2786" s="1178">
        <v>12.5</v>
      </c>
    </row>
    <row r="2787" spans="1:16">
      <c r="A2787" s="1178" t="s">
        <v>23380</v>
      </c>
      <c r="B2787" s="1371" t="str">
        <f>HYPERLINK(IFERROR("#Main_Tariff!A"&amp;MATCH(Raeburn_Main_Tariff[[#This Row],[Product Code]],Main_Tariff!I:I,0),"#Main_Tariff!A"&amp;MATCH("*"&amp;RIGHT(A2787,8)&amp;"*",Main_Tariff!A:A,0)),Raeburn_Main_Tariff[[#This Row],[PRODUCER]])</f>
        <v>Mee Godard</v>
      </c>
      <c r="C2787" s="1178" t="s">
        <v>21355</v>
      </c>
      <c r="D2787" s="1178" t="s">
        <v>897</v>
      </c>
      <c r="E2787" s="1179">
        <v>2020</v>
      </c>
      <c r="F2787" s="1282" t="s">
        <v>20240</v>
      </c>
      <c r="G2787" s="1368">
        <v>79</v>
      </c>
      <c r="H2787" s="1178" t="s">
        <v>20224</v>
      </c>
      <c r="I2787" s="1178" t="s">
        <v>8592</v>
      </c>
      <c r="J2787" s="1178" t="s">
        <v>662</v>
      </c>
      <c r="K2787" s="1178" t="s">
        <v>267</v>
      </c>
      <c r="L2787" s="1178" t="s">
        <v>277</v>
      </c>
      <c r="M2787" s="1369"/>
      <c r="N2787" s="1178"/>
      <c r="O2787" s="1178">
        <v>6</v>
      </c>
      <c r="P2787" s="1178">
        <v>14</v>
      </c>
    </row>
    <row r="2788" spans="1:16">
      <c r="A2788" s="1178" t="s">
        <v>23380</v>
      </c>
      <c r="B2788" s="1371" t="str">
        <f>HYPERLINK(IFERROR("#Main_Tariff!A"&amp;MATCH(Raeburn_Main_Tariff[[#This Row],[Product Code]],Main_Tariff!I:I,0),"#Main_Tariff!A"&amp;MATCH("*"&amp;RIGHT(A2788,8)&amp;"*",Main_Tariff!A:A,0)),Raeburn_Main_Tariff[[#This Row],[PRODUCER]])</f>
        <v>Mee Godard</v>
      </c>
      <c r="C2788" s="1178" t="s">
        <v>21356</v>
      </c>
      <c r="D2788" s="1178" t="s">
        <v>897</v>
      </c>
      <c r="E2788" s="1179">
        <v>2021</v>
      </c>
      <c r="F2788" s="1282" t="s">
        <v>20240</v>
      </c>
      <c r="G2788" s="1368">
        <v>57.5</v>
      </c>
      <c r="H2788" s="1178" t="s">
        <v>20224</v>
      </c>
      <c r="I2788" s="1178" t="s">
        <v>8596</v>
      </c>
      <c r="J2788" s="1178" t="s">
        <v>662</v>
      </c>
      <c r="K2788" s="1178" t="s">
        <v>267</v>
      </c>
      <c r="L2788" s="1178" t="s">
        <v>277</v>
      </c>
      <c r="M2788" s="1369"/>
      <c r="N2788" s="1178"/>
      <c r="O2788" s="1178">
        <v>3</v>
      </c>
      <c r="P2788" s="1178">
        <v>12.5</v>
      </c>
    </row>
    <row r="2789" spans="1:16">
      <c r="A2789" s="1178" t="s">
        <v>23380</v>
      </c>
      <c r="B2789" s="1371" t="str">
        <f>HYPERLINK(IFERROR("#Main_Tariff!A"&amp;MATCH(Raeburn_Main_Tariff[[#This Row],[Product Code]],Main_Tariff!I:I,0),"#Main_Tariff!A"&amp;MATCH("*"&amp;RIGHT(A2789,8)&amp;"*",Main_Tariff!A:A,0)),Raeburn_Main_Tariff[[#This Row],[PRODUCER]])</f>
        <v>Mee Godard</v>
      </c>
      <c r="C2789" s="1178" t="s">
        <v>21356</v>
      </c>
      <c r="D2789" s="1178" t="s">
        <v>897</v>
      </c>
      <c r="E2789" s="1179">
        <v>2020</v>
      </c>
      <c r="F2789" s="1282" t="s">
        <v>20240</v>
      </c>
      <c r="G2789" s="1368">
        <v>55</v>
      </c>
      <c r="H2789" s="1178" t="s">
        <v>20221</v>
      </c>
      <c r="I2789" s="1178" t="s">
        <v>8598</v>
      </c>
      <c r="J2789" s="1178" t="s">
        <v>662</v>
      </c>
      <c r="K2789" s="1178" t="s">
        <v>267</v>
      </c>
      <c r="L2789" s="1178" t="s">
        <v>277</v>
      </c>
      <c r="M2789" s="1369"/>
      <c r="N2789" s="1178"/>
      <c r="O2789" s="1178">
        <v>6</v>
      </c>
      <c r="P2789" s="1178">
        <v>14</v>
      </c>
    </row>
    <row r="2790" spans="1:16">
      <c r="A2790" s="1178" t="s">
        <v>23380</v>
      </c>
      <c r="B2790" s="1371" t="str">
        <f>HYPERLINK(IFERROR("#Main_Tariff!A"&amp;MATCH(Raeburn_Main_Tariff[[#This Row],[Product Code]],Main_Tariff!I:I,0),"#Main_Tariff!A"&amp;MATCH("*"&amp;RIGHT(A2790,8)&amp;"*",Main_Tariff!A:A,0)),Raeburn_Main_Tariff[[#This Row],[PRODUCER]])</f>
        <v>Mee Godard</v>
      </c>
      <c r="C2790" s="1178" t="s">
        <v>21356</v>
      </c>
      <c r="D2790" s="1178" t="s">
        <v>897</v>
      </c>
      <c r="E2790" s="1179">
        <v>2019</v>
      </c>
      <c r="F2790" s="1282" t="s">
        <v>20240</v>
      </c>
      <c r="G2790" s="1368">
        <v>52</v>
      </c>
      <c r="H2790" s="1178" t="s">
        <v>20224</v>
      </c>
      <c r="I2790" s="1178" t="s">
        <v>8600</v>
      </c>
      <c r="J2790" s="1178" t="s">
        <v>662</v>
      </c>
      <c r="K2790" s="1178" t="s">
        <v>267</v>
      </c>
      <c r="L2790" s="1178" t="s">
        <v>277</v>
      </c>
      <c r="M2790" s="1369"/>
      <c r="N2790" s="1178"/>
      <c r="O2790" s="1178">
        <v>6</v>
      </c>
      <c r="P2790" s="1178">
        <v>14</v>
      </c>
    </row>
    <row r="2791" spans="1:16">
      <c r="A2791" s="1178" t="s">
        <v>23380</v>
      </c>
      <c r="B2791" s="1371" t="str">
        <f>HYPERLINK(IFERROR("#Main_Tariff!A"&amp;MATCH(Raeburn_Main_Tariff[[#This Row],[Product Code]],Main_Tariff!I:I,0),"#Main_Tariff!A"&amp;MATCH("*"&amp;RIGHT(A2791,8)&amp;"*",Main_Tariff!A:A,0)),Raeburn_Main_Tariff[[#This Row],[PRODUCER]])</f>
        <v>Mee Godard</v>
      </c>
      <c r="C2791" s="1178" t="s">
        <v>21356</v>
      </c>
      <c r="D2791" s="1178" t="s">
        <v>897</v>
      </c>
      <c r="E2791" s="1179">
        <v>2018</v>
      </c>
      <c r="F2791" s="1282" t="s">
        <v>20240</v>
      </c>
      <c r="G2791" s="1368">
        <v>52</v>
      </c>
      <c r="H2791" s="1178" t="s">
        <v>20224</v>
      </c>
      <c r="I2791" s="1178" t="s">
        <v>8602</v>
      </c>
      <c r="J2791" s="1178" t="s">
        <v>662</v>
      </c>
      <c r="K2791" s="1178" t="s">
        <v>267</v>
      </c>
      <c r="L2791" s="1178" t="s">
        <v>277</v>
      </c>
      <c r="M2791" s="1369"/>
      <c r="N2791" s="1178"/>
      <c r="O2791" s="1178">
        <v>6</v>
      </c>
      <c r="P2791" s="1178">
        <v>13.5</v>
      </c>
    </row>
    <row r="2792" spans="1:16">
      <c r="A2792" s="1178" t="s">
        <v>23380</v>
      </c>
      <c r="B2792" s="1371" t="str">
        <f>HYPERLINK(IFERROR("#Main_Tariff!A"&amp;MATCH(Raeburn_Main_Tariff[[#This Row],[Product Code]],Main_Tariff!I:I,0),"#Main_Tariff!A"&amp;MATCH("*"&amp;RIGHT(A2792,8)&amp;"*",Main_Tariff!A:A,0)),Raeburn_Main_Tariff[[#This Row],[PRODUCER]])</f>
        <v>Mee Godard</v>
      </c>
      <c r="C2792" s="1178" t="s">
        <v>21356</v>
      </c>
      <c r="D2792" s="1178" t="s">
        <v>897</v>
      </c>
      <c r="E2792" s="1179">
        <v>2017</v>
      </c>
      <c r="F2792" s="1282" t="s">
        <v>20240</v>
      </c>
      <c r="G2792" s="1368">
        <v>52</v>
      </c>
      <c r="H2792" s="1178" t="s">
        <v>20224</v>
      </c>
      <c r="I2792" s="1178" t="s">
        <v>8604</v>
      </c>
      <c r="J2792" s="1178" t="s">
        <v>662</v>
      </c>
      <c r="K2792" s="1178" t="s">
        <v>267</v>
      </c>
      <c r="L2792" s="1178" t="s">
        <v>277</v>
      </c>
      <c r="M2792" s="1369"/>
      <c r="N2792" s="1178"/>
      <c r="O2792" s="1178">
        <v>6</v>
      </c>
      <c r="P2792" s="1178">
        <v>13</v>
      </c>
    </row>
    <row r="2793" spans="1:16">
      <c r="A2793" s="1178" t="s">
        <v>21357</v>
      </c>
      <c r="B2793" s="1371" t="str">
        <f>HYPERLINK(IFERROR("#Main_Tariff!A"&amp;MATCH(Raeburn_Main_Tariff[[#This Row],[Product Code]],Main_Tariff!I:I,0),"#Main_Tariff!A"&amp;MATCH("*"&amp;RIGHT(A2793,8)&amp;"*",Main_Tariff!A:A,0)),Raeburn_Main_Tariff[[#This Row],[PRODUCER]])</f>
        <v>Chateau la Grange Cochard</v>
      </c>
      <c r="C2793" s="1178" t="s">
        <v>21358</v>
      </c>
      <c r="D2793" s="1178" t="s">
        <v>897</v>
      </c>
      <c r="E2793" s="1179">
        <v>2014</v>
      </c>
      <c r="F2793" s="1282" t="s">
        <v>20220</v>
      </c>
      <c r="G2793" s="1368">
        <v>17.75</v>
      </c>
      <c r="H2793" s="1178" t="s">
        <v>20221</v>
      </c>
      <c r="I2793" s="1178" t="s">
        <v>8613</v>
      </c>
      <c r="J2793" s="1178" t="s">
        <v>662</v>
      </c>
      <c r="K2793" s="1178" t="s">
        <v>267</v>
      </c>
      <c r="L2793" s="1178" t="s">
        <v>277</v>
      </c>
      <c r="M2793" s="1369"/>
      <c r="N2793" s="1178"/>
      <c r="O2793" s="1178">
        <v>12</v>
      </c>
      <c r="P2793" s="1178">
        <v>13</v>
      </c>
    </row>
    <row r="2794" spans="1:16">
      <c r="A2794" s="1178" t="s">
        <v>21357</v>
      </c>
      <c r="B2794" s="1371" t="str">
        <f>HYPERLINK(IFERROR("#Main_Tariff!A"&amp;MATCH(Raeburn_Main_Tariff[[#This Row],[Product Code]],Main_Tariff!I:I,0),"#Main_Tariff!A"&amp;MATCH("*"&amp;RIGHT(A2794,8)&amp;"*",Main_Tariff!A:A,0)),Raeburn_Main_Tariff[[#This Row],[PRODUCER]])</f>
        <v>Chateau la Grange Cochard</v>
      </c>
      <c r="C2794" s="1178" t="s">
        <v>21359</v>
      </c>
      <c r="D2794" s="1178" t="s">
        <v>897</v>
      </c>
      <c r="E2794" s="1179">
        <v>2013</v>
      </c>
      <c r="F2794" s="1282" t="s">
        <v>20220</v>
      </c>
      <c r="G2794" s="1368">
        <v>19.5</v>
      </c>
      <c r="H2794" s="1178" t="s">
        <v>20221</v>
      </c>
      <c r="I2794" s="1178" t="s">
        <v>8615</v>
      </c>
      <c r="J2794" s="1178" t="s">
        <v>662</v>
      </c>
      <c r="K2794" s="1178" t="s">
        <v>267</v>
      </c>
      <c r="L2794" s="1178" t="s">
        <v>277</v>
      </c>
      <c r="M2794" s="1369"/>
      <c r="N2794" s="1178"/>
      <c r="O2794" s="1178">
        <v>12</v>
      </c>
      <c r="P2794" s="1178">
        <v>13</v>
      </c>
    </row>
    <row r="2795" spans="1:16">
      <c r="A2795" s="1178" t="s">
        <v>283</v>
      </c>
      <c r="B2795" s="1371" t="str">
        <f>HYPERLINK(IFERROR("#Main_Tariff!A"&amp;MATCH(Raeburn_Main_Tariff[[#This Row],[Product Code]],Main_Tariff!I:I,0),"#Main_Tariff!A"&amp;MATCH("*"&amp;RIGHT(A2795,8)&amp;"*",Main_Tariff!A:A,0)),Raeburn_Main_Tariff[[#This Row],[PRODUCER]])</f>
        <v>Paul Janin</v>
      </c>
      <c r="C2795" s="1178" t="s">
        <v>21360</v>
      </c>
      <c r="D2795" s="1178" t="s">
        <v>897</v>
      </c>
      <c r="E2795" s="1179">
        <v>2018</v>
      </c>
      <c r="F2795" s="1282" t="s">
        <v>20220</v>
      </c>
      <c r="G2795" s="1368">
        <v>15</v>
      </c>
      <c r="H2795" s="1178" t="s">
        <v>20221</v>
      </c>
      <c r="I2795" s="1178" t="s">
        <v>8654</v>
      </c>
      <c r="J2795" s="1178" t="s">
        <v>662</v>
      </c>
      <c r="K2795" s="1178" t="s">
        <v>267</v>
      </c>
      <c r="L2795" s="1178" t="s">
        <v>277</v>
      </c>
      <c r="M2795" s="1369"/>
      <c r="N2795" s="1178"/>
      <c r="O2795" s="1178">
        <v>6</v>
      </c>
      <c r="P2795" s="1178">
        <v>13</v>
      </c>
    </row>
    <row r="2796" spans="1:16">
      <c r="A2796" s="1178" t="s">
        <v>283</v>
      </c>
      <c r="B2796" s="1371" t="str">
        <f>HYPERLINK(IFERROR("#Main_Tariff!A"&amp;MATCH(Raeburn_Main_Tariff[[#This Row],[Product Code]],Main_Tariff!I:I,0),"#Main_Tariff!A"&amp;MATCH("*"&amp;RIGHT(A2796,8)&amp;"*",Main_Tariff!A:A,0)),Raeburn_Main_Tariff[[#This Row],[PRODUCER]])</f>
        <v>Paul Janin</v>
      </c>
      <c r="C2796" s="1178" t="s">
        <v>21360</v>
      </c>
      <c r="D2796" s="1178" t="s">
        <v>897</v>
      </c>
      <c r="E2796" s="1179">
        <v>2017</v>
      </c>
      <c r="F2796" s="1282" t="s">
        <v>20220</v>
      </c>
      <c r="G2796" s="1368">
        <v>16</v>
      </c>
      <c r="H2796" s="1178" t="s">
        <v>20221</v>
      </c>
      <c r="I2796" s="1178" t="s">
        <v>8656</v>
      </c>
      <c r="J2796" s="1178" t="s">
        <v>662</v>
      </c>
      <c r="K2796" s="1178" t="s">
        <v>267</v>
      </c>
      <c r="L2796" s="1178" t="s">
        <v>277</v>
      </c>
      <c r="M2796" s="1369"/>
      <c r="N2796" s="1178"/>
      <c r="O2796" s="1178">
        <v>6</v>
      </c>
      <c r="P2796" s="1178">
        <v>13.5</v>
      </c>
    </row>
    <row r="2797" spans="1:16">
      <c r="A2797" s="1178" t="s">
        <v>283</v>
      </c>
      <c r="B2797" s="1371" t="str">
        <f>HYPERLINK(IFERROR("#Main_Tariff!A"&amp;MATCH(Raeburn_Main_Tariff[[#This Row],[Product Code]],Main_Tariff!I:I,0),"#Main_Tariff!A"&amp;MATCH("*"&amp;RIGHT(A2797,8)&amp;"*",Main_Tariff!A:A,0)),Raeburn_Main_Tariff[[#This Row],[PRODUCER]])</f>
        <v>Paul Janin</v>
      </c>
      <c r="C2797" s="1178" t="s">
        <v>21361</v>
      </c>
      <c r="D2797" s="1178" t="s">
        <v>897</v>
      </c>
      <c r="E2797" s="1179">
        <v>2014</v>
      </c>
      <c r="F2797" s="1282" t="s">
        <v>20220</v>
      </c>
      <c r="G2797" s="1368">
        <v>14.5</v>
      </c>
      <c r="H2797" s="1178" t="s">
        <v>20224</v>
      </c>
      <c r="I2797" s="1178" t="s">
        <v>8658</v>
      </c>
      <c r="J2797" s="1178" t="s">
        <v>662</v>
      </c>
      <c r="K2797" s="1178" t="s">
        <v>267</v>
      </c>
      <c r="L2797" s="1178" t="s">
        <v>277</v>
      </c>
      <c r="M2797" s="1369"/>
      <c r="N2797" s="1178"/>
      <c r="O2797" s="1178">
        <v>6</v>
      </c>
      <c r="P2797" s="1178">
        <v>13</v>
      </c>
    </row>
    <row r="2798" spans="1:16">
      <c r="A2798" s="1178" t="s">
        <v>283</v>
      </c>
      <c r="B2798" s="1371" t="str">
        <f>HYPERLINK(IFERROR("#Main_Tariff!A"&amp;MATCH(Raeburn_Main_Tariff[[#This Row],[Product Code]],Main_Tariff!I:I,0),"#Main_Tariff!A"&amp;MATCH("*"&amp;RIGHT(A2798,8)&amp;"*",Main_Tariff!A:A,0)),Raeburn_Main_Tariff[[#This Row],[PRODUCER]])</f>
        <v>Paul Janin</v>
      </c>
      <c r="C2798" s="1178" t="s">
        <v>21362</v>
      </c>
      <c r="D2798" s="1178" t="s">
        <v>897</v>
      </c>
      <c r="E2798" s="1179">
        <v>2017</v>
      </c>
      <c r="F2798" s="1282" t="s">
        <v>20220</v>
      </c>
      <c r="G2798" s="1368">
        <v>18.5</v>
      </c>
      <c r="H2798" s="1178" t="s">
        <v>20221</v>
      </c>
      <c r="I2798" s="1178" t="s">
        <v>8662</v>
      </c>
      <c r="J2798" s="1178" t="s">
        <v>662</v>
      </c>
      <c r="K2798" s="1178" t="s">
        <v>267</v>
      </c>
      <c r="L2798" s="1178" t="s">
        <v>277</v>
      </c>
      <c r="M2798" s="1369"/>
      <c r="N2798" s="1178"/>
      <c r="O2798" s="1178">
        <v>6</v>
      </c>
      <c r="P2798" s="1178">
        <v>12.5</v>
      </c>
    </row>
    <row r="2799" spans="1:16">
      <c r="A2799" s="1178" t="s">
        <v>283</v>
      </c>
      <c r="B2799" s="1371" t="str">
        <f>HYPERLINK(IFERROR("#Main_Tariff!A"&amp;MATCH(Raeburn_Main_Tariff[[#This Row],[Product Code]],Main_Tariff!I:I,0),"#Main_Tariff!A"&amp;MATCH("*"&amp;RIGHT(A2799,8)&amp;"*",Main_Tariff!A:A,0)),Raeburn_Main_Tariff[[#This Row],[PRODUCER]])</f>
        <v>Paul Janin</v>
      </c>
      <c r="C2799" s="1178" t="s">
        <v>21363</v>
      </c>
      <c r="D2799" s="1178" t="s">
        <v>897</v>
      </c>
      <c r="E2799" s="1179">
        <v>2021</v>
      </c>
      <c r="F2799" s="1282" t="s">
        <v>20220</v>
      </c>
      <c r="G2799" s="1368">
        <v>18.5</v>
      </c>
      <c r="H2799" s="1178" t="s">
        <v>20221</v>
      </c>
      <c r="I2799" s="1178" t="s">
        <v>8666</v>
      </c>
      <c r="J2799" s="1178" t="s">
        <v>662</v>
      </c>
      <c r="K2799" s="1178" t="s">
        <v>267</v>
      </c>
      <c r="L2799" s="1178" t="s">
        <v>277</v>
      </c>
      <c r="M2799" s="1369"/>
      <c r="N2799" s="1178"/>
      <c r="O2799" s="1178">
        <v>6</v>
      </c>
      <c r="P2799" s="1178">
        <v>13</v>
      </c>
    </row>
    <row r="2800" spans="1:16">
      <c r="A2800" s="1178" t="s">
        <v>283</v>
      </c>
      <c r="B2800" s="1371" t="str">
        <f>HYPERLINK(IFERROR("#Main_Tariff!A"&amp;MATCH(Raeburn_Main_Tariff[[#This Row],[Product Code]],Main_Tariff!I:I,0),"#Main_Tariff!A"&amp;MATCH("*"&amp;RIGHT(A2800,8)&amp;"*",Main_Tariff!A:A,0)),Raeburn_Main_Tariff[[#This Row],[PRODUCER]])</f>
        <v>Paul Janin</v>
      </c>
      <c r="C2800" s="1178" t="s">
        <v>21364</v>
      </c>
      <c r="D2800" s="1178" t="s">
        <v>897</v>
      </c>
      <c r="E2800" s="1179">
        <v>2022</v>
      </c>
      <c r="F2800" s="1282" t="s">
        <v>20220</v>
      </c>
      <c r="G2800" s="1368">
        <v>19</v>
      </c>
      <c r="H2800" s="1178" t="s">
        <v>20221</v>
      </c>
      <c r="I2800" s="1178" t="s">
        <v>8669</v>
      </c>
      <c r="J2800" s="1178" t="s">
        <v>662</v>
      </c>
      <c r="K2800" s="1178" t="s">
        <v>267</v>
      </c>
      <c r="L2800" s="1178" t="s">
        <v>277</v>
      </c>
      <c r="M2800" s="1369"/>
      <c r="N2800" s="1178"/>
      <c r="O2800" s="1178">
        <v>6</v>
      </c>
      <c r="P2800" s="1178">
        <v>13.5</v>
      </c>
    </row>
    <row r="2801" spans="1:16">
      <c r="A2801" s="1178" t="s">
        <v>283</v>
      </c>
      <c r="B2801" s="1371" t="str">
        <f>HYPERLINK(IFERROR("#Main_Tariff!A"&amp;MATCH(Raeburn_Main_Tariff[[#This Row],[Product Code]],Main_Tariff!I:I,0),"#Main_Tariff!A"&amp;MATCH("*"&amp;RIGHT(A2801,8)&amp;"*",Main_Tariff!A:A,0)),Raeburn_Main_Tariff[[#This Row],[PRODUCER]])</f>
        <v>Paul Janin</v>
      </c>
      <c r="C2801" s="1178" t="s">
        <v>21364</v>
      </c>
      <c r="D2801" s="1178" t="s">
        <v>897</v>
      </c>
      <c r="E2801" s="1179">
        <v>2021</v>
      </c>
      <c r="F2801" s="1282" t="s">
        <v>20220</v>
      </c>
      <c r="G2801" s="1368">
        <v>19.5</v>
      </c>
      <c r="H2801" s="1178" t="s">
        <v>20221</v>
      </c>
      <c r="I2801" s="1178" t="s">
        <v>8671</v>
      </c>
      <c r="J2801" s="1178" t="s">
        <v>662</v>
      </c>
      <c r="K2801" s="1178" t="s">
        <v>267</v>
      </c>
      <c r="L2801" s="1178" t="s">
        <v>277</v>
      </c>
      <c r="M2801" s="1369"/>
      <c r="N2801" s="1178"/>
      <c r="O2801" s="1178">
        <v>6</v>
      </c>
      <c r="P2801" s="1178">
        <v>13</v>
      </c>
    </row>
    <row r="2802" spans="1:16">
      <c r="A2802" s="1178" t="s">
        <v>283</v>
      </c>
      <c r="B2802" s="1371" t="str">
        <f>HYPERLINK(IFERROR("#Main_Tariff!A"&amp;MATCH(Raeburn_Main_Tariff[[#This Row],[Product Code]],Main_Tariff!I:I,0),"#Main_Tariff!A"&amp;MATCH("*"&amp;RIGHT(A2802,8)&amp;"*",Main_Tariff!A:A,0)),Raeburn_Main_Tariff[[#This Row],[PRODUCER]])</f>
        <v>Paul Janin</v>
      </c>
      <c r="C2802" s="1178" t="s">
        <v>21364</v>
      </c>
      <c r="D2802" s="1178" t="s">
        <v>897</v>
      </c>
      <c r="E2802" s="1179">
        <v>2016</v>
      </c>
      <c r="F2802" s="1282" t="s">
        <v>20220</v>
      </c>
      <c r="G2802" s="1368">
        <v>19.5</v>
      </c>
      <c r="H2802" s="1178" t="s">
        <v>20221</v>
      </c>
      <c r="I2802" s="1178" t="s">
        <v>8673</v>
      </c>
      <c r="J2802" s="1178" t="s">
        <v>662</v>
      </c>
      <c r="K2802" s="1178" t="s">
        <v>267</v>
      </c>
      <c r="L2802" s="1178" t="s">
        <v>277</v>
      </c>
      <c r="M2802" s="1369"/>
      <c r="N2802" s="1178"/>
      <c r="O2802" s="1178">
        <v>6</v>
      </c>
      <c r="P2802" s="1178">
        <v>13</v>
      </c>
    </row>
    <row r="2803" spans="1:16">
      <c r="A2803" s="1178" t="s">
        <v>283</v>
      </c>
      <c r="B2803" s="1371" t="str">
        <f>HYPERLINK(IFERROR("#Main_Tariff!A"&amp;MATCH(Raeburn_Main_Tariff[[#This Row],[Product Code]],Main_Tariff!I:I,0),"#Main_Tariff!A"&amp;MATCH("*"&amp;RIGHT(A2803,8)&amp;"*",Main_Tariff!A:A,0)),Raeburn_Main_Tariff[[#This Row],[PRODUCER]])</f>
        <v>Paul Janin</v>
      </c>
      <c r="C2803" s="1178" t="s">
        <v>21364</v>
      </c>
      <c r="D2803" s="1178" t="s">
        <v>897</v>
      </c>
      <c r="E2803" s="1179">
        <v>2015</v>
      </c>
      <c r="F2803" s="1282" t="s">
        <v>20220</v>
      </c>
      <c r="G2803" s="1368">
        <v>19.5</v>
      </c>
      <c r="H2803" s="1178" t="s">
        <v>20221</v>
      </c>
      <c r="I2803" s="1178" t="s">
        <v>8675</v>
      </c>
      <c r="J2803" s="1178" t="s">
        <v>662</v>
      </c>
      <c r="K2803" s="1178" t="s">
        <v>267</v>
      </c>
      <c r="L2803" s="1178" t="s">
        <v>277</v>
      </c>
      <c r="M2803" s="1369"/>
      <c r="N2803" s="1178"/>
      <c r="O2803" s="1178">
        <v>6</v>
      </c>
      <c r="P2803" s="1178">
        <v>13.5</v>
      </c>
    </row>
    <row r="2804" spans="1:16">
      <c r="A2804" s="1178" t="s">
        <v>283</v>
      </c>
      <c r="B2804" s="1371" t="str">
        <f>HYPERLINK(IFERROR("#Main_Tariff!A"&amp;MATCH(Raeburn_Main_Tariff[[#This Row],[Product Code]],Main_Tariff!I:I,0),"#Main_Tariff!A"&amp;MATCH("*"&amp;RIGHT(A2804,8)&amp;"*",Main_Tariff!A:A,0)),Raeburn_Main_Tariff[[#This Row],[PRODUCER]])</f>
        <v>Paul Janin</v>
      </c>
      <c r="C2804" s="1178" t="s">
        <v>21364</v>
      </c>
      <c r="D2804" s="1178" t="s">
        <v>897</v>
      </c>
      <c r="E2804" s="1179">
        <v>2011</v>
      </c>
      <c r="F2804" s="1282" t="s">
        <v>20220</v>
      </c>
      <c r="G2804" s="1368">
        <v>19</v>
      </c>
      <c r="H2804" s="1178" t="s">
        <v>20277</v>
      </c>
      <c r="I2804" s="1178" t="s">
        <v>8677</v>
      </c>
      <c r="J2804" s="1178" t="s">
        <v>662</v>
      </c>
      <c r="K2804" s="1178" t="s">
        <v>267</v>
      </c>
      <c r="L2804" s="1178" t="s">
        <v>277</v>
      </c>
      <c r="M2804" s="1369"/>
      <c r="N2804" s="1178"/>
      <c r="O2804" s="1178">
        <v>12</v>
      </c>
      <c r="P2804" s="1178">
        <v>0</v>
      </c>
    </row>
    <row r="2805" spans="1:16">
      <c r="A2805" s="1178" t="s">
        <v>283</v>
      </c>
      <c r="B2805" s="1371" t="str">
        <f>HYPERLINK(IFERROR("#Main_Tariff!A"&amp;MATCH(Raeburn_Main_Tariff[[#This Row],[Product Code]],Main_Tariff!I:I,0),"#Main_Tariff!A"&amp;MATCH("*"&amp;RIGHT(A2805,8)&amp;"*",Main_Tariff!A:A,0)),Raeburn_Main_Tariff[[#This Row],[PRODUCER]])</f>
        <v>Paul Janin</v>
      </c>
      <c r="C2805" s="1178" t="s">
        <v>21365</v>
      </c>
      <c r="D2805" s="1178" t="s">
        <v>897</v>
      </c>
      <c r="E2805" s="1179">
        <v>2018</v>
      </c>
      <c r="F2805" s="1282" t="s">
        <v>20220</v>
      </c>
      <c r="G2805" s="1368">
        <v>21.5</v>
      </c>
      <c r="H2805" s="1178" t="s">
        <v>20221</v>
      </c>
      <c r="I2805" s="1178" t="s">
        <v>8681</v>
      </c>
      <c r="J2805" s="1178" t="s">
        <v>662</v>
      </c>
      <c r="K2805" s="1178" t="s">
        <v>267</v>
      </c>
      <c r="L2805" s="1178" t="s">
        <v>277</v>
      </c>
      <c r="M2805" s="1369"/>
      <c r="N2805" s="1178"/>
      <c r="O2805" s="1178">
        <v>6</v>
      </c>
      <c r="P2805" s="1178">
        <v>14</v>
      </c>
    </row>
    <row r="2806" spans="1:16">
      <c r="A2806" s="1178" t="s">
        <v>283</v>
      </c>
      <c r="B2806" s="1371" t="str">
        <f>HYPERLINK(IFERROR("#Main_Tariff!A"&amp;MATCH(Raeburn_Main_Tariff[[#This Row],[Product Code]],Main_Tariff!I:I,0),"#Main_Tariff!A"&amp;MATCH("*"&amp;RIGHT(A2806,8)&amp;"*",Main_Tariff!A:A,0)),Raeburn_Main_Tariff[[#This Row],[PRODUCER]])</f>
        <v>Paul Janin</v>
      </c>
      <c r="C2806" s="1178" t="s">
        <v>21366</v>
      </c>
      <c r="D2806" s="1178" t="s">
        <v>897</v>
      </c>
      <c r="E2806" s="1179">
        <v>2018</v>
      </c>
      <c r="F2806" s="1282" t="s">
        <v>20240</v>
      </c>
      <c r="G2806" s="1368">
        <v>46</v>
      </c>
      <c r="H2806" s="1178" t="s">
        <v>20224</v>
      </c>
      <c r="I2806" s="1178" t="s">
        <v>8683</v>
      </c>
      <c r="J2806" s="1178" t="s">
        <v>662</v>
      </c>
      <c r="K2806" s="1178" t="s">
        <v>267</v>
      </c>
      <c r="L2806" s="1178" t="s">
        <v>277</v>
      </c>
      <c r="M2806" s="1369"/>
      <c r="N2806" s="1178"/>
      <c r="O2806" s="1178">
        <v>3</v>
      </c>
      <c r="P2806" s="1178">
        <v>14</v>
      </c>
    </row>
    <row r="2807" spans="1:16">
      <c r="A2807" s="1178" t="s">
        <v>283</v>
      </c>
      <c r="B2807" s="1371" t="str">
        <f>HYPERLINK(IFERROR("#Main_Tariff!A"&amp;MATCH(Raeburn_Main_Tariff[[#This Row],[Product Code]],Main_Tariff!I:I,0),"#Main_Tariff!A"&amp;MATCH("*"&amp;RIGHT(A2807,8)&amp;"*",Main_Tariff!A:A,0)),Raeburn_Main_Tariff[[#This Row],[PRODUCER]])</f>
        <v>Paul Janin</v>
      </c>
      <c r="C2807" s="1178" t="s">
        <v>21367</v>
      </c>
      <c r="D2807" s="1178" t="s">
        <v>897</v>
      </c>
      <c r="E2807" s="1179">
        <v>2022</v>
      </c>
      <c r="F2807" s="1282" t="s">
        <v>20220</v>
      </c>
      <c r="G2807" s="1368">
        <v>23.5</v>
      </c>
      <c r="H2807" s="1178" t="s">
        <v>20221</v>
      </c>
      <c r="I2807" s="1178" t="s">
        <v>8687</v>
      </c>
      <c r="J2807" s="1178" t="s">
        <v>662</v>
      </c>
      <c r="K2807" s="1178" t="s">
        <v>267</v>
      </c>
      <c r="L2807" s="1178" t="s">
        <v>277</v>
      </c>
      <c r="M2807" s="1369"/>
      <c r="N2807" s="1178"/>
      <c r="O2807" s="1178">
        <v>6</v>
      </c>
      <c r="P2807" s="1178">
        <v>13.5</v>
      </c>
    </row>
    <row r="2808" spans="1:16">
      <c r="A2808" s="1178" t="s">
        <v>283</v>
      </c>
      <c r="B2808" s="1371" t="str">
        <f>HYPERLINK(IFERROR("#Main_Tariff!A"&amp;MATCH(Raeburn_Main_Tariff[[#This Row],[Product Code]],Main_Tariff!I:I,0),"#Main_Tariff!A"&amp;MATCH("*"&amp;RIGHT(A2808,8)&amp;"*",Main_Tariff!A:A,0)),Raeburn_Main_Tariff[[#This Row],[PRODUCER]])</f>
        <v>Paul Janin</v>
      </c>
      <c r="C2808" s="1178" t="s">
        <v>21367</v>
      </c>
      <c r="D2808" s="1178" t="s">
        <v>897</v>
      </c>
      <c r="E2808" s="1179">
        <v>2021</v>
      </c>
      <c r="F2808" s="1282" t="s">
        <v>20220</v>
      </c>
      <c r="G2808" s="1368">
        <v>24</v>
      </c>
      <c r="H2808" s="1178" t="s">
        <v>20221</v>
      </c>
      <c r="I2808" s="1178" t="s">
        <v>8689</v>
      </c>
      <c r="J2808" s="1178" t="s">
        <v>662</v>
      </c>
      <c r="K2808" s="1178" t="s">
        <v>267</v>
      </c>
      <c r="L2808" s="1178" t="s">
        <v>277</v>
      </c>
      <c r="M2808" s="1369"/>
      <c r="N2808" s="1178"/>
      <c r="O2808" s="1178">
        <v>6</v>
      </c>
      <c r="P2808" s="1178">
        <v>13</v>
      </c>
    </row>
    <row r="2809" spans="1:16">
      <c r="A2809" s="1178" t="s">
        <v>283</v>
      </c>
      <c r="B2809" s="1371" t="str">
        <f>HYPERLINK(IFERROR("#Main_Tariff!A"&amp;MATCH(Raeburn_Main_Tariff[[#This Row],[Product Code]],Main_Tariff!I:I,0),"#Main_Tariff!A"&amp;MATCH("*"&amp;RIGHT(A2809,8)&amp;"*",Main_Tariff!A:A,0)),Raeburn_Main_Tariff[[#This Row],[PRODUCER]])</f>
        <v>Paul Janin</v>
      </c>
      <c r="C2809" s="1178" t="s">
        <v>21367</v>
      </c>
      <c r="D2809" s="1178" t="s">
        <v>897</v>
      </c>
      <c r="E2809" s="1179">
        <v>2018</v>
      </c>
      <c r="F2809" s="1282" t="s">
        <v>20220</v>
      </c>
      <c r="G2809" s="1368">
        <v>23.5</v>
      </c>
      <c r="H2809" s="1178" t="s">
        <v>20221</v>
      </c>
      <c r="I2809" s="1178" t="s">
        <v>8691</v>
      </c>
      <c r="J2809" s="1178" t="s">
        <v>662</v>
      </c>
      <c r="K2809" s="1178" t="s">
        <v>267</v>
      </c>
      <c r="L2809" s="1178" t="s">
        <v>277</v>
      </c>
      <c r="M2809" s="1369"/>
      <c r="N2809" s="1178"/>
      <c r="O2809" s="1178">
        <v>6</v>
      </c>
      <c r="P2809" s="1178">
        <v>14</v>
      </c>
    </row>
    <row r="2810" spans="1:16">
      <c r="A2810" s="1178" t="s">
        <v>283</v>
      </c>
      <c r="B2810" s="1371" t="str">
        <f>HYPERLINK(IFERROR("#Main_Tariff!A"&amp;MATCH(Raeburn_Main_Tariff[[#This Row],[Product Code]],Main_Tariff!I:I,0),"#Main_Tariff!A"&amp;MATCH("*"&amp;RIGHT(A2810,8)&amp;"*",Main_Tariff!A:A,0)),Raeburn_Main_Tariff[[#This Row],[PRODUCER]])</f>
        <v>Paul Janin</v>
      </c>
      <c r="C2810" s="1178" t="s">
        <v>21367</v>
      </c>
      <c r="D2810" s="1178" t="s">
        <v>897</v>
      </c>
      <c r="E2810" s="1179">
        <v>2016</v>
      </c>
      <c r="F2810" s="1282" t="s">
        <v>20220</v>
      </c>
      <c r="G2810" s="1368">
        <v>23.5</v>
      </c>
      <c r="H2810" s="1178" t="s">
        <v>20221</v>
      </c>
      <c r="I2810" s="1178" t="s">
        <v>8693</v>
      </c>
      <c r="J2810" s="1178" t="s">
        <v>662</v>
      </c>
      <c r="K2810" s="1178" t="s">
        <v>267</v>
      </c>
      <c r="L2810" s="1178" t="s">
        <v>277</v>
      </c>
      <c r="M2810" s="1369"/>
      <c r="N2810" s="1178"/>
      <c r="O2810" s="1178">
        <v>6</v>
      </c>
      <c r="P2810" s="1178">
        <v>13</v>
      </c>
    </row>
    <row r="2811" spans="1:16">
      <c r="A2811" s="1178" t="s">
        <v>283</v>
      </c>
      <c r="B2811" s="1371" t="str">
        <f>HYPERLINK(IFERROR("#Main_Tariff!A"&amp;MATCH(Raeburn_Main_Tariff[[#This Row],[Product Code]],Main_Tariff!I:I,0),"#Main_Tariff!A"&amp;MATCH("*"&amp;RIGHT(A2811,8)&amp;"*",Main_Tariff!A:A,0)),Raeburn_Main_Tariff[[#This Row],[PRODUCER]])</f>
        <v>Paul Janin</v>
      </c>
      <c r="C2811" s="1178" t="s">
        <v>21367</v>
      </c>
      <c r="D2811" s="1178" t="s">
        <v>897</v>
      </c>
      <c r="E2811" s="1179">
        <v>2015</v>
      </c>
      <c r="F2811" s="1282" t="s">
        <v>20220</v>
      </c>
      <c r="G2811" s="1368">
        <v>23.5</v>
      </c>
      <c r="H2811" s="1178" t="s">
        <v>20221</v>
      </c>
      <c r="I2811" s="1178" t="s">
        <v>8695</v>
      </c>
      <c r="J2811" s="1178" t="s">
        <v>662</v>
      </c>
      <c r="K2811" s="1178" t="s">
        <v>267</v>
      </c>
      <c r="L2811" s="1178" t="s">
        <v>277</v>
      </c>
      <c r="M2811" s="1369"/>
      <c r="N2811" s="1178"/>
      <c r="O2811" s="1178">
        <v>6</v>
      </c>
      <c r="P2811" s="1178">
        <v>14</v>
      </c>
    </row>
    <row r="2812" spans="1:16">
      <c r="A2812" s="1178" t="s">
        <v>283</v>
      </c>
      <c r="B2812" s="1371" t="str">
        <f>HYPERLINK(IFERROR("#Main_Tariff!A"&amp;MATCH(Raeburn_Main_Tariff[[#This Row],[Product Code]],Main_Tariff!I:I,0),"#Main_Tariff!A"&amp;MATCH("*"&amp;RIGHT(A2812,8)&amp;"*",Main_Tariff!A:A,0)),Raeburn_Main_Tariff[[#This Row],[PRODUCER]])</f>
        <v>Paul Janin</v>
      </c>
      <c r="C2812" s="1178" t="s">
        <v>21367</v>
      </c>
      <c r="D2812" s="1178" t="s">
        <v>897</v>
      </c>
      <c r="E2812" s="1179">
        <v>2014</v>
      </c>
      <c r="F2812" s="1282" t="s">
        <v>20220</v>
      </c>
      <c r="G2812" s="1368">
        <v>23.5</v>
      </c>
      <c r="H2812" s="1178" t="s">
        <v>20465</v>
      </c>
      <c r="I2812" s="1178" t="s">
        <v>8697</v>
      </c>
      <c r="J2812" s="1178" t="s">
        <v>662</v>
      </c>
      <c r="K2812" s="1178" t="s">
        <v>267</v>
      </c>
      <c r="L2812" s="1178" t="s">
        <v>277</v>
      </c>
      <c r="M2812" s="1369"/>
      <c r="N2812" s="1178"/>
      <c r="O2812" s="1178">
        <v>6</v>
      </c>
      <c r="P2812" s="1178">
        <v>0</v>
      </c>
    </row>
    <row r="2813" spans="1:16">
      <c r="A2813" s="1178" t="s">
        <v>283</v>
      </c>
      <c r="B2813" s="1371" t="str">
        <f>HYPERLINK(IFERROR("#Main_Tariff!A"&amp;MATCH(Raeburn_Main_Tariff[[#This Row],[Product Code]],Main_Tariff!I:I,0),"#Main_Tariff!A"&amp;MATCH("*"&amp;RIGHT(A2813,8)&amp;"*",Main_Tariff!A:A,0)),Raeburn_Main_Tariff[[#This Row],[PRODUCER]])</f>
        <v>Paul Janin</v>
      </c>
      <c r="C2813" s="1178" t="s">
        <v>21368</v>
      </c>
      <c r="D2813" s="1178" t="s">
        <v>897</v>
      </c>
      <c r="E2813" s="1179">
        <v>2022</v>
      </c>
      <c r="F2813" s="1282" t="s">
        <v>20240</v>
      </c>
      <c r="G2813" s="1368">
        <v>55.5</v>
      </c>
      <c r="H2813" s="1178" t="s">
        <v>20221</v>
      </c>
      <c r="I2813" s="1178" t="s">
        <v>8699</v>
      </c>
      <c r="J2813" s="1178" t="s">
        <v>662</v>
      </c>
      <c r="K2813" s="1178" t="s">
        <v>267</v>
      </c>
      <c r="L2813" s="1178" t="s">
        <v>277</v>
      </c>
      <c r="M2813" s="1369"/>
      <c r="N2813" s="1178"/>
      <c r="O2813" s="1178">
        <v>6</v>
      </c>
      <c r="P2813" s="1178">
        <v>13.5</v>
      </c>
    </row>
    <row r="2814" spans="1:16">
      <c r="A2814" s="1178" t="s">
        <v>283</v>
      </c>
      <c r="B2814" s="1371" t="str">
        <f>HYPERLINK(IFERROR("#Main_Tariff!A"&amp;MATCH(Raeburn_Main_Tariff[[#This Row],[Product Code]],Main_Tariff!I:I,0),"#Main_Tariff!A"&amp;MATCH("*"&amp;RIGHT(A2814,8)&amp;"*",Main_Tariff!A:A,0)),Raeburn_Main_Tariff[[#This Row],[PRODUCER]])</f>
        <v>Paul Janin</v>
      </c>
      <c r="C2814" s="1178" t="s">
        <v>21368</v>
      </c>
      <c r="D2814" s="1178" t="s">
        <v>897</v>
      </c>
      <c r="E2814" s="1179">
        <v>2018</v>
      </c>
      <c r="F2814" s="1282" t="s">
        <v>20240</v>
      </c>
      <c r="G2814" s="1368">
        <v>50</v>
      </c>
      <c r="H2814" s="1178" t="s">
        <v>20224</v>
      </c>
      <c r="I2814" s="1178" t="s">
        <v>8701</v>
      </c>
      <c r="J2814" s="1178" t="s">
        <v>662</v>
      </c>
      <c r="K2814" s="1178" t="s">
        <v>267</v>
      </c>
      <c r="L2814" s="1178" t="s">
        <v>277</v>
      </c>
      <c r="M2814" s="1369"/>
      <c r="N2814" s="1178"/>
      <c r="O2814" s="1178">
        <v>3</v>
      </c>
      <c r="P2814" s="1178">
        <v>12.5</v>
      </c>
    </row>
    <row r="2815" spans="1:16">
      <c r="A2815" s="1178" t="s">
        <v>283</v>
      </c>
      <c r="B2815" s="1371" t="str">
        <f>HYPERLINK(IFERROR("#Main_Tariff!A"&amp;MATCH(Raeburn_Main_Tariff[[#This Row],[Product Code]],Main_Tariff!I:I,0),"#Main_Tariff!A"&amp;MATCH("*"&amp;RIGHT(A2815,8)&amp;"*",Main_Tariff!A:A,0)),Raeburn_Main_Tariff[[#This Row],[PRODUCER]])</f>
        <v>Paul Janin</v>
      </c>
      <c r="C2815" s="1178" t="s">
        <v>21369</v>
      </c>
      <c r="D2815" s="1178" t="s">
        <v>897</v>
      </c>
      <c r="E2815" s="1179">
        <v>2011</v>
      </c>
      <c r="F2815" s="1282" t="s">
        <v>20220</v>
      </c>
      <c r="G2815" s="1368">
        <v>23</v>
      </c>
      <c r="H2815" s="1178" t="s">
        <v>20221</v>
      </c>
      <c r="I2815" s="1178" t="s">
        <v>8705</v>
      </c>
      <c r="J2815" s="1178" t="s">
        <v>662</v>
      </c>
      <c r="K2815" s="1178" t="s">
        <v>267</v>
      </c>
      <c r="L2815" s="1178" t="s">
        <v>277</v>
      </c>
      <c r="M2815" s="1369"/>
      <c r="N2815" s="1178"/>
      <c r="O2815" s="1178">
        <v>12</v>
      </c>
      <c r="P2815" s="1178">
        <v>13</v>
      </c>
    </row>
    <row r="2816" spans="1:16">
      <c r="A2816" s="1178" t="s">
        <v>283</v>
      </c>
      <c r="B2816" s="1371" t="str">
        <f>HYPERLINK(IFERROR("#Main_Tariff!A"&amp;MATCH(Raeburn_Main_Tariff[[#This Row],[Product Code]],Main_Tariff!I:I,0),"#Main_Tariff!A"&amp;MATCH("*"&amp;RIGHT(A2816,8)&amp;"*",Main_Tariff!A:A,0)),Raeburn_Main_Tariff[[#This Row],[PRODUCER]])</f>
        <v>Paul Janin</v>
      </c>
      <c r="C2816" s="1178" t="s">
        <v>21369</v>
      </c>
      <c r="D2816" s="1178" t="s">
        <v>897</v>
      </c>
      <c r="E2816" s="1179">
        <v>2009</v>
      </c>
      <c r="F2816" s="1282" t="s">
        <v>20220</v>
      </c>
      <c r="G2816" s="1368">
        <v>23</v>
      </c>
      <c r="H2816" s="1178" t="s">
        <v>20224</v>
      </c>
      <c r="I2816" s="1178" t="s">
        <v>8707</v>
      </c>
      <c r="J2816" s="1178" t="s">
        <v>662</v>
      </c>
      <c r="K2816" s="1178" t="s">
        <v>267</v>
      </c>
      <c r="L2816" s="1178" t="s">
        <v>277</v>
      </c>
      <c r="M2816" s="1369"/>
      <c r="N2816" s="1178"/>
      <c r="O2816" s="1178">
        <v>12</v>
      </c>
      <c r="P2816" s="1178">
        <v>13.5</v>
      </c>
    </row>
    <row r="2817" spans="1:16">
      <c r="A2817" s="1178" t="s">
        <v>21370</v>
      </c>
      <c r="B2817" s="1371" t="str">
        <f>HYPERLINK(IFERROR("#Main_Tariff!A"&amp;MATCH(Raeburn_Main_Tariff[[#This Row],[Product Code]],Main_Tariff!I:I,0),"#Main_Tariff!A"&amp;MATCH("*"&amp;RIGHT(A2817,8)&amp;"*",Main_Tariff!A:A,0)),Raeburn_Main_Tariff[[#This Row],[PRODUCER]])</f>
        <v>Christophe Pacalet Chateau les Labourons</v>
      </c>
      <c r="C2817" s="1178" t="s">
        <v>21371</v>
      </c>
      <c r="D2817" s="1178" t="s">
        <v>897</v>
      </c>
      <c r="E2817" s="1179">
        <v>2017</v>
      </c>
      <c r="F2817" s="1282" t="s">
        <v>20220</v>
      </c>
      <c r="G2817" s="1368">
        <v>13.5</v>
      </c>
      <c r="H2817" s="1178" t="s">
        <v>20221</v>
      </c>
      <c r="I2817" s="1178" t="s">
        <v>8731</v>
      </c>
      <c r="J2817" s="1178" t="s">
        <v>662</v>
      </c>
      <c r="K2817" s="1178" t="s">
        <v>267</v>
      </c>
      <c r="L2817" s="1178" t="s">
        <v>277</v>
      </c>
      <c r="M2817" s="1369"/>
      <c r="N2817" s="1178"/>
      <c r="O2817" s="1178">
        <v>6</v>
      </c>
      <c r="P2817" s="1178">
        <v>13</v>
      </c>
    </row>
    <row r="2818" spans="1:16">
      <c r="A2818" s="1178" t="s">
        <v>21370</v>
      </c>
      <c r="B2818" s="1371" t="str">
        <f>HYPERLINK(IFERROR("#Main_Tariff!A"&amp;MATCH(Raeburn_Main_Tariff[[#This Row],[Product Code]],Main_Tariff!I:I,0),"#Main_Tariff!A"&amp;MATCH("*"&amp;RIGHT(A2818,8)&amp;"*",Main_Tariff!A:A,0)),Raeburn_Main_Tariff[[#This Row],[PRODUCER]])</f>
        <v>Christophe Pacalet Chateau les Labourons</v>
      </c>
      <c r="C2818" s="1178" t="s">
        <v>21372</v>
      </c>
      <c r="D2818" s="1178" t="s">
        <v>897</v>
      </c>
      <c r="E2818" s="1179">
        <v>2018</v>
      </c>
      <c r="F2818" s="1282" t="s">
        <v>20220</v>
      </c>
      <c r="G2818" s="1368">
        <v>16.5</v>
      </c>
      <c r="H2818" s="1178" t="s">
        <v>20221</v>
      </c>
      <c r="I2818" s="1178" t="s">
        <v>8735</v>
      </c>
      <c r="J2818" s="1178" t="s">
        <v>662</v>
      </c>
      <c r="K2818" s="1178" t="s">
        <v>267</v>
      </c>
      <c r="L2818" s="1178" t="s">
        <v>277</v>
      </c>
      <c r="M2818" s="1369"/>
      <c r="N2818" s="1178"/>
      <c r="O2818" s="1178">
        <v>6</v>
      </c>
      <c r="P2818" s="1178">
        <v>12.5</v>
      </c>
    </row>
    <row r="2819" spans="1:16">
      <c r="A2819" s="1178" t="s">
        <v>21370</v>
      </c>
      <c r="B2819" s="1371" t="str">
        <f>HYPERLINK(IFERROR("#Main_Tariff!A"&amp;MATCH(Raeburn_Main_Tariff[[#This Row],[Product Code]],Main_Tariff!I:I,0),"#Main_Tariff!A"&amp;MATCH("*"&amp;RIGHT(A2819,8)&amp;"*",Main_Tariff!A:A,0)),Raeburn_Main_Tariff[[#This Row],[PRODUCER]])</f>
        <v>Christophe Pacalet Chateau les Labourons</v>
      </c>
      <c r="C2819" s="1178" t="s">
        <v>21373</v>
      </c>
      <c r="D2819" s="1178" t="s">
        <v>897</v>
      </c>
      <c r="E2819" s="1179">
        <v>2016</v>
      </c>
      <c r="F2819" s="1282" t="s">
        <v>20220</v>
      </c>
      <c r="G2819" s="1368">
        <v>18</v>
      </c>
      <c r="H2819" s="1178" t="s">
        <v>20224</v>
      </c>
      <c r="I2819" s="1178" t="s">
        <v>8737</v>
      </c>
      <c r="J2819" s="1178" t="s">
        <v>662</v>
      </c>
      <c r="K2819" s="1178" t="s">
        <v>267</v>
      </c>
      <c r="L2819" s="1178" t="s">
        <v>277</v>
      </c>
      <c r="M2819" s="1369"/>
      <c r="N2819" s="1178"/>
      <c r="O2819" s="1178">
        <v>12</v>
      </c>
      <c r="P2819" s="1178">
        <v>12.5</v>
      </c>
    </row>
    <row r="2820" spans="1:16">
      <c r="A2820" s="1178" t="s">
        <v>21370</v>
      </c>
      <c r="B2820" s="1371" t="str">
        <f>HYPERLINK(IFERROR("#Main_Tariff!A"&amp;MATCH(Raeburn_Main_Tariff[[#This Row],[Product Code]],Main_Tariff!I:I,0),"#Main_Tariff!A"&amp;MATCH("*"&amp;RIGHT(A2820,8)&amp;"*",Main_Tariff!A:A,0)),Raeburn_Main_Tariff[[#This Row],[PRODUCER]])</f>
        <v>Christophe Pacalet Chateau les Labourons</v>
      </c>
      <c r="C2820" s="1178" t="s">
        <v>21374</v>
      </c>
      <c r="D2820" s="1178" t="s">
        <v>897</v>
      </c>
      <c r="E2820" s="1179">
        <v>2017</v>
      </c>
      <c r="F2820" s="1282" t="s">
        <v>20220</v>
      </c>
      <c r="G2820" s="1368">
        <v>16.5</v>
      </c>
      <c r="H2820" s="1178" t="s">
        <v>20221</v>
      </c>
      <c r="I2820" s="1178" t="s">
        <v>8739</v>
      </c>
      <c r="J2820" s="1178" t="s">
        <v>662</v>
      </c>
      <c r="K2820" s="1178" t="s">
        <v>267</v>
      </c>
      <c r="L2820" s="1178" t="s">
        <v>277</v>
      </c>
      <c r="M2820" s="1369"/>
      <c r="N2820" s="1178"/>
      <c r="O2820" s="1178">
        <v>6</v>
      </c>
      <c r="P2820" s="1178">
        <v>13.5</v>
      </c>
    </row>
    <row r="2821" spans="1:16">
      <c r="A2821" s="1178" t="s">
        <v>21370</v>
      </c>
      <c r="B2821" s="1371" t="str">
        <f>HYPERLINK(IFERROR("#Main_Tariff!A"&amp;MATCH(Raeburn_Main_Tariff[[#This Row],[Product Code]],Main_Tariff!I:I,0),"#Main_Tariff!A"&amp;MATCH("*"&amp;RIGHT(A2821,8)&amp;"*",Main_Tariff!A:A,0)),Raeburn_Main_Tariff[[#This Row],[PRODUCER]])</f>
        <v>Christophe Pacalet Chateau les Labourons</v>
      </c>
      <c r="C2821" s="1178" t="s">
        <v>21375</v>
      </c>
      <c r="D2821" s="1178" t="s">
        <v>897</v>
      </c>
      <c r="E2821" s="1179">
        <v>2018</v>
      </c>
      <c r="F2821" s="1282" t="s">
        <v>20220</v>
      </c>
      <c r="G2821" s="1368">
        <v>17.5</v>
      </c>
      <c r="H2821" s="1178" t="s">
        <v>20221</v>
      </c>
      <c r="I2821" s="1178" t="s">
        <v>8741</v>
      </c>
      <c r="J2821" s="1178" t="s">
        <v>662</v>
      </c>
      <c r="K2821" s="1178" t="s">
        <v>267</v>
      </c>
      <c r="L2821" s="1178" t="s">
        <v>277</v>
      </c>
      <c r="M2821" s="1369"/>
      <c r="N2821" s="1178"/>
      <c r="O2821" s="1178">
        <v>6</v>
      </c>
      <c r="P2821" s="1178">
        <v>13.5</v>
      </c>
    </row>
    <row r="2822" spans="1:16">
      <c r="A2822" s="1178" t="s">
        <v>21370</v>
      </c>
      <c r="B2822" s="1371" t="str">
        <f>HYPERLINK(IFERROR("#Main_Tariff!A"&amp;MATCH(Raeburn_Main_Tariff[[#This Row],[Product Code]],Main_Tariff!I:I,0),"#Main_Tariff!A"&amp;MATCH("*"&amp;RIGHT(A2822,8)&amp;"*",Main_Tariff!A:A,0)),Raeburn_Main_Tariff[[#This Row],[PRODUCER]])</f>
        <v>Christophe Pacalet Chateau les Labourons</v>
      </c>
      <c r="C2822" s="1178" t="s">
        <v>21376</v>
      </c>
      <c r="D2822" s="1178" t="s">
        <v>897</v>
      </c>
      <c r="E2822" s="1179">
        <v>2018</v>
      </c>
      <c r="F2822" s="1282" t="s">
        <v>20220</v>
      </c>
      <c r="G2822" s="1368">
        <v>18</v>
      </c>
      <c r="H2822" s="1178" t="s">
        <v>20221</v>
      </c>
      <c r="I2822" s="1178" t="s">
        <v>8743</v>
      </c>
      <c r="J2822" s="1178" t="s">
        <v>662</v>
      </c>
      <c r="K2822" s="1178" t="s">
        <v>267</v>
      </c>
      <c r="L2822" s="1178" t="s">
        <v>277</v>
      </c>
      <c r="M2822" s="1369"/>
      <c r="N2822" s="1178"/>
      <c r="O2822" s="1178">
        <v>6</v>
      </c>
      <c r="P2822" s="1178">
        <v>14</v>
      </c>
    </row>
    <row r="2823" spans="1:16">
      <c r="A2823" s="1178" t="s">
        <v>21370</v>
      </c>
      <c r="B2823" s="1371" t="str">
        <f>HYPERLINK(IFERROR("#Main_Tariff!A"&amp;MATCH(Raeburn_Main_Tariff[[#This Row],[Product Code]],Main_Tariff!I:I,0),"#Main_Tariff!A"&amp;MATCH("*"&amp;RIGHT(A2823,8)&amp;"*",Main_Tariff!A:A,0)),Raeburn_Main_Tariff[[#This Row],[PRODUCER]])</f>
        <v>Christophe Pacalet Chateau les Labourons</v>
      </c>
      <c r="C2823" s="1178" t="s">
        <v>21377</v>
      </c>
      <c r="D2823" s="1178" t="s">
        <v>897</v>
      </c>
      <c r="E2823" s="1179">
        <v>2015</v>
      </c>
      <c r="F2823" s="1282" t="s">
        <v>20220</v>
      </c>
      <c r="G2823" s="1368">
        <v>17</v>
      </c>
      <c r="H2823" s="1178" t="s">
        <v>20465</v>
      </c>
      <c r="I2823" s="1178" t="s">
        <v>8745</v>
      </c>
      <c r="J2823" s="1178" t="s">
        <v>662</v>
      </c>
      <c r="K2823" s="1178" t="s">
        <v>267</v>
      </c>
      <c r="L2823" s="1178" t="s">
        <v>277</v>
      </c>
      <c r="M2823" s="1369"/>
      <c r="N2823" s="1178"/>
      <c r="O2823" s="1178">
        <v>12</v>
      </c>
      <c r="P2823" s="1178">
        <v>14.9</v>
      </c>
    </row>
    <row r="2824" spans="1:16">
      <c r="A2824" s="1178" t="s">
        <v>286</v>
      </c>
      <c r="B2824" s="1371" t="str">
        <f>HYPERLINK(IFERROR("#Main_Tariff!A"&amp;MATCH(Raeburn_Main_Tariff[[#This Row],[Product Code]],Main_Tariff!I:I,0),"#Main_Tariff!A"&amp;MATCH("*"&amp;RIGHT(A2824,8)&amp;"*",Main_Tariff!A:A,0)),Raeburn_Main_Tariff[[#This Row],[PRODUCER]])</f>
        <v>Buronfosse</v>
      </c>
      <c r="C2824" s="1178" t="s">
        <v>21378</v>
      </c>
      <c r="D2824" s="1178" t="s">
        <v>1129</v>
      </c>
      <c r="E2824" s="1179">
        <v>2023</v>
      </c>
      <c r="F2824" s="1282" t="s">
        <v>20220</v>
      </c>
      <c r="G2824" s="1368">
        <v>24.95</v>
      </c>
      <c r="H2824" s="1178" t="s">
        <v>20221</v>
      </c>
      <c r="I2824" s="1178" t="s">
        <v>8762</v>
      </c>
      <c r="J2824" s="1178" t="s">
        <v>662</v>
      </c>
      <c r="K2824" s="1178" t="s">
        <v>285</v>
      </c>
      <c r="L2824" s="1178"/>
      <c r="M2824" s="1369"/>
      <c r="N2824" s="1178" t="s">
        <v>20244</v>
      </c>
      <c r="O2824" s="1178">
        <v>6</v>
      </c>
      <c r="P2824" s="1178">
        <v>12</v>
      </c>
    </row>
    <row r="2825" spans="1:16">
      <c r="A2825" s="1178" t="s">
        <v>286</v>
      </c>
      <c r="B2825" s="1371" t="str">
        <f>HYPERLINK(IFERROR("#Main_Tariff!A"&amp;MATCH(Raeburn_Main_Tariff[[#This Row],[Product Code]],Main_Tariff!I:I,0),"#Main_Tariff!A"&amp;MATCH("*"&amp;RIGHT(A2825,8)&amp;"*",Main_Tariff!A:A,0)),Raeburn_Main_Tariff[[#This Row],[PRODUCER]])</f>
        <v>Buronfosse</v>
      </c>
      <c r="C2825" s="1178" t="s">
        <v>21379</v>
      </c>
      <c r="D2825" s="1178" t="s">
        <v>1129</v>
      </c>
      <c r="E2825" s="1179">
        <v>2023</v>
      </c>
      <c r="F2825" s="1282" t="s">
        <v>20220</v>
      </c>
      <c r="G2825" s="1368">
        <v>24.95</v>
      </c>
      <c r="H2825" s="1178" t="s">
        <v>20224</v>
      </c>
      <c r="I2825" s="1178" t="s">
        <v>8764</v>
      </c>
      <c r="J2825" s="1178" t="s">
        <v>662</v>
      </c>
      <c r="K2825" s="1178" t="s">
        <v>285</v>
      </c>
      <c r="L2825" s="1178"/>
      <c r="M2825" s="1369"/>
      <c r="N2825" s="1178" t="s">
        <v>20244</v>
      </c>
      <c r="O2825" s="1178">
        <v>6</v>
      </c>
      <c r="P2825" s="1178">
        <v>13</v>
      </c>
    </row>
    <row r="2826" spans="1:16">
      <c r="A2826" s="1178" t="s">
        <v>286</v>
      </c>
      <c r="B2826" s="1371" t="str">
        <f>HYPERLINK(IFERROR("#Main_Tariff!A"&amp;MATCH(Raeburn_Main_Tariff[[#This Row],[Product Code]],Main_Tariff!I:I,0),"#Main_Tariff!A"&amp;MATCH("*"&amp;RIGHT(A2826,8)&amp;"*",Main_Tariff!A:A,0)),Raeburn_Main_Tariff[[#This Row],[PRODUCER]])</f>
        <v>Buronfosse</v>
      </c>
      <c r="C2826" s="1178" t="s">
        <v>21380</v>
      </c>
      <c r="D2826" s="1178" t="s">
        <v>1129</v>
      </c>
      <c r="E2826" s="1179">
        <v>2022</v>
      </c>
      <c r="F2826" s="1282" t="s">
        <v>20220</v>
      </c>
      <c r="G2826" s="1368">
        <v>24.95</v>
      </c>
      <c r="H2826" s="1178" t="s">
        <v>20221</v>
      </c>
      <c r="I2826" s="1178" t="s">
        <v>8766</v>
      </c>
      <c r="J2826" s="1178" t="s">
        <v>662</v>
      </c>
      <c r="K2826" s="1178" t="s">
        <v>285</v>
      </c>
      <c r="L2826" s="1178"/>
      <c r="M2826" s="1369"/>
      <c r="N2826" s="1178" t="s">
        <v>20244</v>
      </c>
      <c r="O2826" s="1178">
        <v>6</v>
      </c>
      <c r="P2826" s="1178">
        <v>12</v>
      </c>
    </row>
    <row r="2827" spans="1:16">
      <c r="A2827" s="1178" t="s">
        <v>286</v>
      </c>
      <c r="B2827" s="1371" t="str">
        <f>HYPERLINK(IFERROR("#Main_Tariff!A"&amp;MATCH(Raeburn_Main_Tariff[[#This Row],[Product Code]],Main_Tariff!I:I,0),"#Main_Tariff!A"&amp;MATCH("*"&amp;RIGHT(A2827,8)&amp;"*",Main_Tariff!A:A,0)),Raeburn_Main_Tariff[[#This Row],[PRODUCER]])</f>
        <v>Buronfosse</v>
      </c>
      <c r="C2827" s="1178" t="s">
        <v>21381</v>
      </c>
      <c r="D2827" s="1178" t="s">
        <v>1129</v>
      </c>
      <c r="E2827" s="1179">
        <v>2022</v>
      </c>
      <c r="F2827" s="1282" t="s">
        <v>20220</v>
      </c>
      <c r="G2827" s="1368">
        <v>24.95</v>
      </c>
      <c r="H2827" s="1178" t="s">
        <v>20224</v>
      </c>
      <c r="I2827" s="1178" t="s">
        <v>8768</v>
      </c>
      <c r="J2827" s="1178" t="s">
        <v>662</v>
      </c>
      <c r="K2827" s="1178" t="s">
        <v>285</v>
      </c>
      <c r="L2827" s="1178"/>
      <c r="M2827" s="1369"/>
      <c r="N2827" s="1178" t="s">
        <v>20244</v>
      </c>
      <c r="O2827" s="1178">
        <v>6</v>
      </c>
      <c r="P2827" s="1178">
        <v>13</v>
      </c>
    </row>
    <row r="2828" spans="1:16">
      <c r="A2828" s="1178" t="s">
        <v>286</v>
      </c>
      <c r="B2828" s="1371" t="str">
        <f>HYPERLINK(IFERROR("#Main_Tariff!A"&amp;MATCH(Raeburn_Main_Tariff[[#This Row],[Product Code]],Main_Tariff!I:I,0),"#Main_Tariff!A"&amp;MATCH("*"&amp;RIGHT(A2828,8)&amp;"*",Main_Tariff!A:A,0)),Raeburn_Main_Tariff[[#This Row],[PRODUCER]])</f>
        <v>Buronfosse</v>
      </c>
      <c r="C2828" s="1178" t="s">
        <v>21382</v>
      </c>
      <c r="D2828" s="1178" t="s">
        <v>1129</v>
      </c>
      <c r="E2828" s="1179">
        <v>2022</v>
      </c>
      <c r="F2828" s="1282" t="s">
        <v>20240</v>
      </c>
      <c r="G2828" s="1368">
        <v>55</v>
      </c>
      <c r="H2828" s="1178" t="s">
        <v>20224</v>
      </c>
      <c r="I2828" s="1178" t="s">
        <v>8770</v>
      </c>
      <c r="J2828" s="1178" t="s">
        <v>662</v>
      </c>
      <c r="K2828" s="1178" t="s">
        <v>285</v>
      </c>
      <c r="L2828" s="1178"/>
      <c r="M2828" s="1369"/>
      <c r="N2828" s="1178" t="s">
        <v>20244</v>
      </c>
      <c r="O2828" s="1178">
        <v>6</v>
      </c>
      <c r="P2828" s="1178">
        <v>13</v>
      </c>
    </row>
    <row r="2829" spans="1:16">
      <c r="A2829" s="1178" t="s">
        <v>286</v>
      </c>
      <c r="B2829" s="1371" t="str">
        <f>HYPERLINK(IFERROR("#Main_Tariff!A"&amp;MATCH(Raeburn_Main_Tariff[[#This Row],[Product Code]],Main_Tariff!I:I,0),"#Main_Tariff!A"&amp;MATCH("*"&amp;RIGHT(A2829,8)&amp;"*",Main_Tariff!A:A,0)),Raeburn_Main_Tariff[[#This Row],[PRODUCER]])</f>
        <v>Buronfosse</v>
      </c>
      <c r="C2829" s="1178" t="s">
        <v>21383</v>
      </c>
      <c r="D2829" s="1178" t="s">
        <v>1129</v>
      </c>
      <c r="E2829" s="1179">
        <v>2022</v>
      </c>
      <c r="F2829" s="1282" t="s">
        <v>20220</v>
      </c>
      <c r="G2829" s="1368">
        <v>27.95</v>
      </c>
      <c r="H2829" s="1178" t="s">
        <v>20221</v>
      </c>
      <c r="I2829" s="1178" t="s">
        <v>8772</v>
      </c>
      <c r="J2829" s="1178" t="s">
        <v>662</v>
      </c>
      <c r="K2829" s="1178" t="s">
        <v>285</v>
      </c>
      <c r="L2829" s="1178"/>
      <c r="M2829" s="1369"/>
      <c r="N2829" s="1178" t="s">
        <v>20244</v>
      </c>
      <c r="O2829" s="1178">
        <v>6</v>
      </c>
      <c r="P2829" s="1178">
        <v>12.9</v>
      </c>
    </row>
    <row r="2830" spans="1:16">
      <c r="A2830" s="1178" t="s">
        <v>286</v>
      </c>
      <c r="B2830" s="1371" t="str">
        <f>HYPERLINK(IFERROR("#Main_Tariff!A"&amp;MATCH(Raeburn_Main_Tariff[[#This Row],[Product Code]],Main_Tariff!I:I,0),"#Main_Tariff!A"&amp;MATCH("*"&amp;RIGHT(A2830,8)&amp;"*",Main_Tariff!A:A,0)),Raeburn_Main_Tariff[[#This Row],[PRODUCER]])</f>
        <v>Buronfosse</v>
      </c>
      <c r="C2830" s="1178" t="s">
        <v>21384</v>
      </c>
      <c r="D2830" s="1178" t="s">
        <v>1129</v>
      </c>
      <c r="E2830" s="1179">
        <v>2022</v>
      </c>
      <c r="F2830" s="1282" t="s">
        <v>20220</v>
      </c>
      <c r="G2830" s="1368">
        <v>27.95</v>
      </c>
      <c r="H2830" s="1178" t="s">
        <v>20221</v>
      </c>
      <c r="I2830" s="1178" t="s">
        <v>8774</v>
      </c>
      <c r="J2830" s="1178" t="s">
        <v>662</v>
      </c>
      <c r="K2830" s="1178" t="s">
        <v>285</v>
      </c>
      <c r="L2830" s="1178"/>
      <c r="M2830" s="1369"/>
      <c r="N2830" s="1178" t="s">
        <v>20244</v>
      </c>
      <c r="O2830" s="1178">
        <v>6</v>
      </c>
      <c r="P2830" s="1178">
        <v>13</v>
      </c>
    </row>
    <row r="2831" spans="1:16">
      <c r="A2831" s="1178" t="s">
        <v>286</v>
      </c>
      <c r="B2831" s="1371" t="str">
        <f>HYPERLINK(IFERROR("#Main_Tariff!A"&amp;MATCH(Raeburn_Main_Tariff[[#This Row],[Product Code]],Main_Tariff!I:I,0),"#Main_Tariff!A"&amp;MATCH("*"&amp;RIGHT(A2831,8)&amp;"*",Main_Tariff!A:A,0)),Raeburn_Main_Tariff[[#This Row],[PRODUCER]])</f>
        <v>Buronfosse</v>
      </c>
      <c r="C2831" s="1178" t="s">
        <v>21385</v>
      </c>
      <c r="D2831" s="1178" t="s">
        <v>1129</v>
      </c>
      <c r="E2831" s="1179">
        <v>2022</v>
      </c>
      <c r="F2831" s="1282" t="s">
        <v>20240</v>
      </c>
      <c r="G2831" s="1368">
        <v>66</v>
      </c>
      <c r="H2831" s="1178" t="s">
        <v>20277</v>
      </c>
      <c r="I2831" s="1178" t="s">
        <v>8776</v>
      </c>
      <c r="J2831" s="1178" t="s">
        <v>662</v>
      </c>
      <c r="K2831" s="1178" t="s">
        <v>285</v>
      </c>
      <c r="L2831" s="1178"/>
      <c r="M2831" s="1369"/>
      <c r="N2831" s="1178" t="s">
        <v>20244</v>
      </c>
      <c r="O2831" s="1178">
        <v>6</v>
      </c>
      <c r="P2831" s="1178">
        <v>13</v>
      </c>
    </row>
    <row r="2832" spans="1:16">
      <c r="A2832" s="1178" t="s">
        <v>286</v>
      </c>
      <c r="B2832" s="1371" t="str">
        <f>HYPERLINK(IFERROR("#Main_Tariff!A"&amp;MATCH(Raeburn_Main_Tariff[[#This Row],[Product Code]],Main_Tariff!I:I,0),"#Main_Tariff!A"&amp;MATCH("*"&amp;RIGHT(A2832,8)&amp;"*",Main_Tariff!A:A,0)),Raeburn_Main_Tariff[[#This Row],[PRODUCER]])</f>
        <v>Buronfosse</v>
      </c>
      <c r="C2832" s="1178" t="s">
        <v>21386</v>
      </c>
      <c r="D2832" s="1178" t="s">
        <v>897</v>
      </c>
      <c r="E2832" s="1179">
        <v>2023</v>
      </c>
      <c r="F2832" s="1282" t="s">
        <v>20220</v>
      </c>
      <c r="G2832" s="1368">
        <v>23.95</v>
      </c>
      <c r="H2832" s="1178" t="s">
        <v>20221</v>
      </c>
      <c r="I2832" s="1178" t="s">
        <v>8779</v>
      </c>
      <c r="J2832" s="1178" t="s">
        <v>662</v>
      </c>
      <c r="K2832" s="1178" t="s">
        <v>285</v>
      </c>
      <c r="L2832" s="1178"/>
      <c r="M2832" s="1369"/>
      <c r="N2832" s="1178" t="s">
        <v>20244</v>
      </c>
      <c r="O2832" s="1178">
        <v>6</v>
      </c>
      <c r="P2832" s="1178">
        <v>11</v>
      </c>
    </row>
    <row r="2833" spans="1:16">
      <c r="A2833" s="1178" t="s">
        <v>286</v>
      </c>
      <c r="B2833" s="1371" t="str">
        <f>HYPERLINK(IFERROR("#Main_Tariff!A"&amp;MATCH(Raeburn_Main_Tariff[[#This Row],[Product Code]],Main_Tariff!I:I,0),"#Main_Tariff!A"&amp;MATCH("*"&amp;RIGHT(A2833,8)&amp;"*",Main_Tariff!A:A,0)),Raeburn_Main_Tariff[[#This Row],[PRODUCER]])</f>
        <v>Buronfosse</v>
      </c>
      <c r="C2833" s="1178" t="s">
        <v>21386</v>
      </c>
      <c r="D2833" s="1178" t="s">
        <v>897</v>
      </c>
      <c r="E2833" s="1179">
        <v>2022</v>
      </c>
      <c r="F2833" s="1282" t="s">
        <v>20220</v>
      </c>
      <c r="G2833" s="1368">
        <v>23.5</v>
      </c>
      <c r="H2833" s="1178" t="s">
        <v>20221</v>
      </c>
      <c r="I2833" s="1178" t="s">
        <v>8781</v>
      </c>
      <c r="J2833" s="1178" t="s">
        <v>662</v>
      </c>
      <c r="K2833" s="1178" t="s">
        <v>285</v>
      </c>
      <c r="L2833" s="1178"/>
      <c r="M2833" s="1369"/>
      <c r="N2833" s="1178" t="s">
        <v>20244</v>
      </c>
      <c r="O2833" s="1178">
        <v>6</v>
      </c>
      <c r="P2833" s="1178">
        <v>14</v>
      </c>
    </row>
    <row r="2834" spans="1:16">
      <c r="A2834" s="1178" t="s">
        <v>286</v>
      </c>
      <c r="B2834" s="1371" t="str">
        <f>HYPERLINK(IFERROR("#Main_Tariff!A"&amp;MATCH(Raeburn_Main_Tariff[[#This Row],[Product Code]],Main_Tariff!I:I,0),"#Main_Tariff!A"&amp;MATCH("*"&amp;RIGHT(A2834,8)&amp;"*",Main_Tariff!A:A,0)),Raeburn_Main_Tariff[[#This Row],[PRODUCER]])</f>
        <v>Buronfosse</v>
      </c>
      <c r="C2834" s="1178" t="s">
        <v>21387</v>
      </c>
      <c r="D2834" s="1178" t="s">
        <v>897</v>
      </c>
      <c r="E2834" s="1179">
        <v>2023</v>
      </c>
      <c r="F2834" s="1282" t="s">
        <v>20220</v>
      </c>
      <c r="G2834" s="1368">
        <v>23.95</v>
      </c>
      <c r="H2834" s="1178" t="s">
        <v>20221</v>
      </c>
      <c r="I2834" s="1178" t="s">
        <v>8783</v>
      </c>
      <c r="J2834" s="1178" t="s">
        <v>662</v>
      </c>
      <c r="K2834" s="1178" t="s">
        <v>285</v>
      </c>
      <c r="L2834" s="1178"/>
      <c r="M2834" s="1369"/>
      <c r="N2834" s="1178" t="s">
        <v>20244</v>
      </c>
      <c r="O2834" s="1178">
        <v>6</v>
      </c>
      <c r="P2834" s="1178">
        <v>10.5</v>
      </c>
    </row>
    <row r="2835" spans="1:16">
      <c r="A2835" s="1178" t="s">
        <v>286</v>
      </c>
      <c r="B2835" s="1371" t="str">
        <f>HYPERLINK(IFERROR("#Main_Tariff!A"&amp;MATCH(Raeburn_Main_Tariff[[#This Row],[Product Code]],Main_Tariff!I:I,0),"#Main_Tariff!A"&amp;MATCH("*"&amp;RIGHT(A2835,8)&amp;"*",Main_Tariff!A:A,0)),Raeburn_Main_Tariff[[#This Row],[PRODUCER]])</f>
        <v>Buronfosse</v>
      </c>
      <c r="C2835" s="1178" t="s">
        <v>21387</v>
      </c>
      <c r="D2835" s="1178" t="s">
        <v>897</v>
      </c>
      <c r="E2835" s="1179">
        <v>2022</v>
      </c>
      <c r="F2835" s="1282" t="s">
        <v>20220</v>
      </c>
      <c r="G2835" s="1368">
        <v>23.5</v>
      </c>
      <c r="H2835" s="1178" t="s">
        <v>20224</v>
      </c>
      <c r="I2835" s="1178" t="s">
        <v>8785</v>
      </c>
      <c r="J2835" s="1178" t="s">
        <v>662</v>
      </c>
      <c r="K2835" s="1178" t="s">
        <v>285</v>
      </c>
      <c r="L2835" s="1178"/>
      <c r="M2835" s="1369"/>
      <c r="N2835" s="1178" t="s">
        <v>20244</v>
      </c>
      <c r="O2835" s="1178">
        <v>6</v>
      </c>
      <c r="P2835" s="1178">
        <v>10.5</v>
      </c>
    </row>
    <row r="2836" spans="1:16">
      <c r="A2836" s="1178" t="s">
        <v>286</v>
      </c>
      <c r="B2836" s="1371" t="str">
        <f>HYPERLINK(IFERROR("#Main_Tariff!A"&amp;MATCH(Raeburn_Main_Tariff[[#This Row],[Product Code]],Main_Tariff!I:I,0),"#Main_Tariff!A"&amp;MATCH("*"&amp;RIGHT(A2836,8)&amp;"*",Main_Tariff!A:A,0)),Raeburn_Main_Tariff[[#This Row],[PRODUCER]])</f>
        <v>Buronfosse</v>
      </c>
      <c r="C2836" s="1178" t="s">
        <v>21388</v>
      </c>
      <c r="D2836" s="1178" t="s">
        <v>897</v>
      </c>
      <c r="E2836" s="1179">
        <v>2023</v>
      </c>
      <c r="F2836" s="1282" t="s">
        <v>20220</v>
      </c>
      <c r="G2836" s="1368">
        <v>23.95</v>
      </c>
      <c r="H2836" s="1178" t="s">
        <v>20221</v>
      </c>
      <c r="I2836" s="1178" t="s">
        <v>8787</v>
      </c>
      <c r="J2836" s="1178" t="s">
        <v>662</v>
      </c>
      <c r="K2836" s="1178" t="s">
        <v>285</v>
      </c>
      <c r="L2836" s="1178"/>
      <c r="M2836" s="1369"/>
      <c r="N2836" s="1178" t="s">
        <v>20244</v>
      </c>
      <c r="O2836" s="1178">
        <v>6</v>
      </c>
      <c r="P2836" s="1178">
        <v>10</v>
      </c>
    </row>
    <row r="2837" spans="1:16">
      <c r="A2837" s="1178" t="s">
        <v>286</v>
      </c>
      <c r="B2837" s="1371" t="str">
        <f>HYPERLINK(IFERROR("#Main_Tariff!A"&amp;MATCH(Raeburn_Main_Tariff[[#This Row],[Product Code]],Main_Tariff!I:I,0),"#Main_Tariff!A"&amp;MATCH("*"&amp;RIGHT(A2837,8)&amp;"*",Main_Tariff!A:A,0)),Raeburn_Main_Tariff[[#This Row],[PRODUCER]])</f>
        <v>Buronfosse</v>
      </c>
      <c r="C2837" s="1178" t="s">
        <v>21388</v>
      </c>
      <c r="D2837" s="1178" t="s">
        <v>897</v>
      </c>
      <c r="E2837" s="1179">
        <v>2022</v>
      </c>
      <c r="F2837" s="1282" t="s">
        <v>20220</v>
      </c>
      <c r="G2837" s="1368">
        <v>23.5</v>
      </c>
      <c r="H2837" s="1178" t="s">
        <v>20221</v>
      </c>
      <c r="I2837" s="1178" t="s">
        <v>8789</v>
      </c>
      <c r="J2837" s="1178" t="s">
        <v>662</v>
      </c>
      <c r="K2837" s="1178" t="s">
        <v>285</v>
      </c>
      <c r="L2837" s="1178"/>
      <c r="M2837" s="1369"/>
      <c r="N2837" s="1178" t="s">
        <v>20244</v>
      </c>
      <c r="O2837" s="1178">
        <v>6</v>
      </c>
      <c r="P2837" s="1178">
        <v>12</v>
      </c>
    </row>
    <row r="2838" spans="1:16">
      <c r="A2838" s="1178" t="s">
        <v>286</v>
      </c>
      <c r="B2838" s="1371" t="str">
        <f>HYPERLINK(IFERROR("#Main_Tariff!A"&amp;MATCH(Raeburn_Main_Tariff[[#This Row],[Product Code]],Main_Tariff!I:I,0),"#Main_Tariff!A"&amp;MATCH("*"&amp;RIGHT(A2838,8)&amp;"*",Main_Tariff!A:A,0)),Raeburn_Main_Tariff[[#This Row],[PRODUCER]])</f>
        <v>Buronfosse</v>
      </c>
      <c r="C2838" s="1178" t="s">
        <v>21389</v>
      </c>
      <c r="D2838" s="1178" t="s">
        <v>897</v>
      </c>
      <c r="E2838" s="1179">
        <v>2023</v>
      </c>
      <c r="F2838" s="1282" t="s">
        <v>20220</v>
      </c>
      <c r="G2838" s="1368">
        <v>24.95</v>
      </c>
      <c r="H2838" s="1178" t="s">
        <v>20221</v>
      </c>
      <c r="I2838" s="1178" t="s">
        <v>8791</v>
      </c>
      <c r="J2838" s="1178" t="s">
        <v>662</v>
      </c>
      <c r="K2838" s="1178" t="s">
        <v>285</v>
      </c>
      <c r="L2838" s="1178"/>
      <c r="M2838" s="1369"/>
      <c r="N2838" s="1178" t="s">
        <v>20244</v>
      </c>
      <c r="O2838" s="1178">
        <v>6</v>
      </c>
      <c r="P2838" s="1178">
        <v>11.5</v>
      </c>
    </row>
    <row r="2839" spans="1:16">
      <c r="A2839" s="1178" t="s">
        <v>286</v>
      </c>
      <c r="B2839" s="1371" t="str">
        <f>HYPERLINK(IFERROR("#Main_Tariff!A"&amp;MATCH(Raeburn_Main_Tariff[[#This Row],[Product Code]],Main_Tariff!I:I,0),"#Main_Tariff!A"&amp;MATCH("*"&amp;RIGHT(A2839,8)&amp;"*",Main_Tariff!A:A,0)),Raeburn_Main_Tariff[[#This Row],[PRODUCER]])</f>
        <v>Buronfosse</v>
      </c>
      <c r="C2839" s="1178" t="s">
        <v>21389</v>
      </c>
      <c r="D2839" s="1178" t="s">
        <v>897</v>
      </c>
      <c r="E2839" s="1179">
        <v>2022</v>
      </c>
      <c r="F2839" s="1282" t="s">
        <v>20220</v>
      </c>
      <c r="G2839" s="1368">
        <v>24.5</v>
      </c>
      <c r="H2839" s="1178" t="s">
        <v>20221</v>
      </c>
      <c r="I2839" s="1178" t="s">
        <v>8793</v>
      </c>
      <c r="J2839" s="1178" t="s">
        <v>662</v>
      </c>
      <c r="K2839" s="1178" t="s">
        <v>285</v>
      </c>
      <c r="L2839" s="1178"/>
      <c r="M2839" s="1369"/>
      <c r="N2839" s="1178" t="s">
        <v>20244</v>
      </c>
      <c r="O2839" s="1178">
        <v>6</v>
      </c>
      <c r="P2839" s="1178">
        <v>12</v>
      </c>
    </row>
    <row r="2840" spans="1:16">
      <c r="A2840" s="1178" t="s">
        <v>286</v>
      </c>
      <c r="B2840" s="1371" t="str">
        <f>HYPERLINK(IFERROR("#Main_Tariff!A"&amp;MATCH(Raeburn_Main_Tariff[[#This Row],[Product Code]],Main_Tariff!I:I,0),"#Main_Tariff!A"&amp;MATCH("*"&amp;RIGHT(A2840,8)&amp;"*",Main_Tariff!A:A,0)),Raeburn_Main_Tariff[[#This Row],[PRODUCER]])</f>
        <v>Buronfosse</v>
      </c>
      <c r="C2840" s="1178" t="s">
        <v>21390</v>
      </c>
      <c r="D2840" s="1178" t="s">
        <v>1410</v>
      </c>
      <c r="E2840" s="1179">
        <v>2018</v>
      </c>
      <c r="F2840" s="1282" t="s">
        <v>20280</v>
      </c>
      <c r="G2840" s="1368">
        <v>22.25</v>
      </c>
      <c r="H2840" s="1178" t="s">
        <v>20277</v>
      </c>
      <c r="I2840" s="1178" t="s">
        <v>8797</v>
      </c>
      <c r="J2840" s="1178" t="s">
        <v>662</v>
      </c>
      <c r="K2840" s="1178" t="s">
        <v>285</v>
      </c>
      <c r="L2840" s="1178"/>
      <c r="M2840" s="1369"/>
      <c r="N2840" s="1178" t="s">
        <v>20244</v>
      </c>
      <c r="O2840" s="1178">
        <v>12</v>
      </c>
      <c r="P2840" s="1178">
        <v>13.7</v>
      </c>
    </row>
    <row r="2841" spans="1:16">
      <c r="A2841" s="1178" t="s">
        <v>286</v>
      </c>
      <c r="B2841" s="1371" t="str">
        <f>HYPERLINK(IFERROR("#Main_Tariff!A"&amp;MATCH(Raeburn_Main_Tariff[[#This Row],[Product Code]],Main_Tariff!I:I,0),"#Main_Tariff!A"&amp;MATCH("*"&amp;RIGHT(A2841,8)&amp;"*",Main_Tariff!A:A,0)),Raeburn_Main_Tariff[[#This Row],[PRODUCER]])</f>
        <v>Buronfosse</v>
      </c>
      <c r="C2841" s="1178" t="s">
        <v>21391</v>
      </c>
      <c r="D2841" s="1178" t="s">
        <v>6904</v>
      </c>
      <c r="E2841" s="1179"/>
      <c r="F2841" s="1282" t="s">
        <v>21392</v>
      </c>
      <c r="G2841" s="1368">
        <v>36</v>
      </c>
      <c r="H2841" s="1178" t="s">
        <v>20277</v>
      </c>
      <c r="I2841" s="1178" t="s">
        <v>8801</v>
      </c>
      <c r="J2841" s="1178" t="s">
        <v>662</v>
      </c>
      <c r="K2841" s="1178" t="s">
        <v>285</v>
      </c>
      <c r="L2841" s="1178"/>
      <c r="M2841" s="1369"/>
      <c r="N2841" s="1178" t="s">
        <v>20244</v>
      </c>
      <c r="O2841" s="1178">
        <v>6</v>
      </c>
      <c r="P2841" s="1178">
        <v>45</v>
      </c>
    </row>
    <row r="2842" spans="1:16">
      <c r="A2842" s="1178" t="s">
        <v>21393</v>
      </c>
      <c r="B2842" s="1371" t="str">
        <f>HYPERLINK(IFERROR("#Main_Tariff!A"&amp;MATCH(Raeburn_Main_Tariff[[#This Row],[Product Code]],Main_Tariff!I:I,0),"#Main_Tariff!A"&amp;MATCH("*"&amp;RIGHT(A2842,8)&amp;"*",Main_Tariff!A:A,0)),Raeburn_Main_Tariff[[#This Row],[PRODUCER]])</f>
        <v>Domaine Pignier</v>
      </c>
      <c r="C2842" s="1178" t="s">
        <v>21394</v>
      </c>
      <c r="D2842" s="1178" t="s">
        <v>884</v>
      </c>
      <c r="E2842" s="1179" t="s">
        <v>19060</v>
      </c>
      <c r="F2842" s="1282" t="s">
        <v>20220</v>
      </c>
      <c r="G2842" s="1368">
        <v>20</v>
      </c>
      <c r="H2842" s="1178" t="s">
        <v>20221</v>
      </c>
      <c r="I2842" s="1178" t="s">
        <v>8813</v>
      </c>
      <c r="J2842" s="1178" t="s">
        <v>662</v>
      </c>
      <c r="K2842" s="1178" t="s">
        <v>285</v>
      </c>
      <c r="L2842" s="1178"/>
      <c r="M2842" s="1369"/>
      <c r="N2842" s="1178" t="s">
        <v>20244</v>
      </c>
      <c r="O2842" s="1178">
        <v>6</v>
      </c>
      <c r="P2842" s="1178">
        <v>12.5</v>
      </c>
    </row>
    <row r="2843" spans="1:16">
      <c r="A2843" s="1178" t="s">
        <v>21393</v>
      </c>
      <c r="B2843" s="1371" t="str">
        <f>HYPERLINK(IFERROR("#Main_Tariff!A"&amp;MATCH(Raeburn_Main_Tariff[[#This Row],[Product Code]],Main_Tariff!I:I,0),"#Main_Tariff!A"&amp;MATCH("*"&amp;RIGHT(A2843,8)&amp;"*",Main_Tariff!A:A,0)),Raeburn_Main_Tariff[[#This Row],[PRODUCER]])</f>
        <v>Domaine Pignier</v>
      </c>
      <c r="C2843" s="1178" t="s">
        <v>21395</v>
      </c>
      <c r="D2843" s="1178" t="s">
        <v>884</v>
      </c>
      <c r="E2843" s="1179">
        <v>2020</v>
      </c>
      <c r="F2843" s="1282" t="s">
        <v>20220</v>
      </c>
      <c r="G2843" s="1368">
        <v>25</v>
      </c>
      <c r="H2843" s="1178" t="s">
        <v>20221</v>
      </c>
      <c r="I2843" s="1178" t="s">
        <v>8815</v>
      </c>
      <c r="J2843" s="1178" t="s">
        <v>662</v>
      </c>
      <c r="K2843" s="1178" t="s">
        <v>285</v>
      </c>
      <c r="L2843" s="1178"/>
      <c r="M2843" s="1369"/>
      <c r="N2843" s="1178" t="s">
        <v>20244</v>
      </c>
      <c r="O2843" s="1178">
        <v>6</v>
      </c>
      <c r="P2843" s="1178">
        <v>13.5</v>
      </c>
    </row>
    <row r="2844" spans="1:16">
      <c r="A2844" s="1178" t="s">
        <v>21393</v>
      </c>
      <c r="B2844" s="1371" t="str">
        <f>HYPERLINK(IFERROR("#Main_Tariff!A"&amp;MATCH(Raeburn_Main_Tariff[[#This Row],[Product Code]],Main_Tariff!I:I,0),"#Main_Tariff!A"&amp;MATCH("*"&amp;RIGHT(A2844,8)&amp;"*",Main_Tariff!A:A,0)),Raeburn_Main_Tariff[[#This Row],[PRODUCER]])</f>
        <v>Domaine Pignier</v>
      </c>
      <c r="C2844" s="1178" t="s">
        <v>21396</v>
      </c>
      <c r="D2844" s="1178" t="s">
        <v>1129</v>
      </c>
      <c r="E2844" s="1179">
        <v>2023</v>
      </c>
      <c r="F2844" s="1282" t="s">
        <v>20220</v>
      </c>
      <c r="G2844" s="1368">
        <v>21.5</v>
      </c>
      <c r="H2844" s="1178" t="s">
        <v>20221</v>
      </c>
      <c r="I2844" s="1178" t="s">
        <v>8819</v>
      </c>
      <c r="J2844" s="1178" t="s">
        <v>662</v>
      </c>
      <c r="K2844" s="1178" t="s">
        <v>285</v>
      </c>
      <c r="L2844" s="1178"/>
      <c r="M2844" s="1369"/>
      <c r="N2844" s="1178" t="s">
        <v>20244</v>
      </c>
      <c r="O2844" s="1178">
        <v>6</v>
      </c>
      <c r="P2844" s="1178">
        <v>12.5</v>
      </c>
    </row>
    <row r="2845" spans="1:16">
      <c r="A2845" s="1178" t="s">
        <v>21393</v>
      </c>
      <c r="B2845" s="1371" t="str">
        <f>HYPERLINK(IFERROR("#Main_Tariff!A"&amp;MATCH(Raeburn_Main_Tariff[[#This Row],[Product Code]],Main_Tariff!I:I,0),"#Main_Tariff!A"&amp;MATCH("*"&amp;RIGHT(A2845,8)&amp;"*",Main_Tariff!A:A,0)),Raeburn_Main_Tariff[[#This Row],[PRODUCER]])</f>
        <v>Domaine Pignier</v>
      </c>
      <c r="C2845" s="1178" t="s">
        <v>21396</v>
      </c>
      <c r="D2845" s="1178" t="s">
        <v>1129</v>
      </c>
      <c r="E2845" s="1179">
        <v>2022</v>
      </c>
      <c r="F2845" s="1282" t="s">
        <v>20220</v>
      </c>
      <c r="G2845" s="1368">
        <v>22.5</v>
      </c>
      <c r="H2845" s="1178" t="s">
        <v>20221</v>
      </c>
      <c r="I2845" s="1178" t="s">
        <v>8821</v>
      </c>
      <c r="J2845" s="1178" t="s">
        <v>662</v>
      </c>
      <c r="K2845" s="1178" t="s">
        <v>285</v>
      </c>
      <c r="L2845" s="1178"/>
      <c r="M2845" s="1369"/>
      <c r="N2845" s="1178" t="s">
        <v>20244</v>
      </c>
      <c r="O2845" s="1178">
        <v>6</v>
      </c>
      <c r="P2845" s="1178">
        <v>12.5</v>
      </c>
    </row>
    <row r="2846" spans="1:16">
      <c r="A2846" s="1178" t="s">
        <v>21393</v>
      </c>
      <c r="B2846" s="1371" t="str">
        <f>HYPERLINK(IFERROR("#Main_Tariff!A"&amp;MATCH(Raeburn_Main_Tariff[[#This Row],[Product Code]],Main_Tariff!I:I,0),"#Main_Tariff!A"&amp;MATCH("*"&amp;RIGHT(A2846,8)&amp;"*",Main_Tariff!A:A,0)),Raeburn_Main_Tariff[[#This Row],[PRODUCER]])</f>
        <v>Domaine Pignier</v>
      </c>
      <c r="C2846" s="1178" t="s">
        <v>21397</v>
      </c>
      <c r="D2846" s="1178" t="s">
        <v>1129</v>
      </c>
      <c r="E2846" s="1179">
        <v>2022</v>
      </c>
      <c r="F2846" s="1282" t="s">
        <v>20220</v>
      </c>
      <c r="G2846" s="1368">
        <v>30</v>
      </c>
      <c r="H2846" s="1178" t="s">
        <v>20221</v>
      </c>
      <c r="I2846" s="1178" t="s">
        <v>8824</v>
      </c>
      <c r="J2846" s="1178" t="s">
        <v>662</v>
      </c>
      <c r="K2846" s="1178" t="s">
        <v>285</v>
      </c>
      <c r="L2846" s="1178"/>
      <c r="M2846" s="1369"/>
      <c r="N2846" s="1178" t="s">
        <v>20244</v>
      </c>
      <c r="O2846" s="1178">
        <v>6</v>
      </c>
      <c r="P2846" s="1178">
        <v>13.5</v>
      </c>
    </row>
    <row r="2847" spans="1:16">
      <c r="A2847" s="1178" t="s">
        <v>21393</v>
      </c>
      <c r="B2847" s="1371" t="str">
        <f>HYPERLINK(IFERROR("#Main_Tariff!A"&amp;MATCH(Raeburn_Main_Tariff[[#This Row],[Product Code]],Main_Tariff!I:I,0),"#Main_Tariff!A"&amp;MATCH("*"&amp;RIGHT(A2847,8)&amp;"*",Main_Tariff!A:A,0)),Raeburn_Main_Tariff[[#This Row],[PRODUCER]])</f>
        <v>Domaine Pignier</v>
      </c>
      <c r="C2847" s="1178" t="s">
        <v>21397</v>
      </c>
      <c r="D2847" s="1178" t="s">
        <v>1129</v>
      </c>
      <c r="E2847" s="1179">
        <v>2019</v>
      </c>
      <c r="F2847" s="1282" t="s">
        <v>20220</v>
      </c>
      <c r="G2847" s="1368">
        <v>27</v>
      </c>
      <c r="H2847" s="1178" t="s">
        <v>20224</v>
      </c>
      <c r="I2847" s="1178" t="s">
        <v>8826</v>
      </c>
      <c r="J2847" s="1178" t="s">
        <v>662</v>
      </c>
      <c r="K2847" s="1178" t="s">
        <v>285</v>
      </c>
      <c r="L2847" s="1178"/>
      <c r="M2847" s="1369"/>
      <c r="N2847" s="1178" t="s">
        <v>20244</v>
      </c>
      <c r="O2847" s="1178">
        <v>6</v>
      </c>
      <c r="P2847" s="1178">
        <v>13</v>
      </c>
    </row>
    <row r="2848" spans="1:16">
      <c r="A2848" s="1178" t="s">
        <v>21393</v>
      </c>
      <c r="B2848" s="1371" t="str">
        <f>HYPERLINK(IFERROR("#Main_Tariff!A"&amp;MATCH(Raeburn_Main_Tariff[[#This Row],[Product Code]],Main_Tariff!I:I,0),"#Main_Tariff!A"&amp;MATCH("*"&amp;RIGHT(A2848,8)&amp;"*",Main_Tariff!A:A,0)),Raeburn_Main_Tariff[[#This Row],[PRODUCER]])</f>
        <v>Domaine Pignier</v>
      </c>
      <c r="C2848" s="1178" t="s">
        <v>21398</v>
      </c>
      <c r="D2848" s="1178" t="s">
        <v>1129</v>
      </c>
      <c r="E2848" s="1179">
        <v>2022</v>
      </c>
      <c r="F2848" s="1282" t="s">
        <v>20220</v>
      </c>
      <c r="G2848" s="1368">
        <v>25.5</v>
      </c>
      <c r="H2848" s="1178" t="s">
        <v>20221</v>
      </c>
      <c r="I2848" s="1178" t="s">
        <v>8828</v>
      </c>
      <c r="J2848" s="1178" t="s">
        <v>662</v>
      </c>
      <c r="K2848" s="1178" t="s">
        <v>285</v>
      </c>
      <c r="L2848" s="1178"/>
      <c r="M2848" s="1369"/>
      <c r="N2848" s="1178" t="s">
        <v>20244</v>
      </c>
      <c r="O2848" s="1178">
        <v>6</v>
      </c>
      <c r="P2848" s="1178">
        <v>13.5</v>
      </c>
    </row>
    <row r="2849" spans="1:16">
      <c r="A2849" s="1178" t="s">
        <v>21393</v>
      </c>
      <c r="B2849" s="1371" t="str">
        <f>HYPERLINK(IFERROR("#Main_Tariff!A"&amp;MATCH(Raeburn_Main_Tariff[[#This Row],[Product Code]],Main_Tariff!I:I,0),"#Main_Tariff!A"&amp;MATCH("*"&amp;RIGHT(A2849,8)&amp;"*",Main_Tariff!A:A,0)),Raeburn_Main_Tariff[[#This Row],[PRODUCER]])</f>
        <v>Domaine Pignier</v>
      </c>
      <c r="C2849" s="1178" t="s">
        <v>21398</v>
      </c>
      <c r="D2849" s="1178" t="s">
        <v>1129</v>
      </c>
      <c r="E2849" s="1179">
        <v>2020</v>
      </c>
      <c r="F2849" s="1282" t="s">
        <v>20220</v>
      </c>
      <c r="G2849" s="1368">
        <v>25.5</v>
      </c>
      <c r="H2849" s="1178" t="s">
        <v>20221</v>
      </c>
      <c r="I2849" s="1178" t="s">
        <v>8830</v>
      </c>
      <c r="J2849" s="1178" t="s">
        <v>662</v>
      </c>
      <c r="K2849" s="1178" t="s">
        <v>285</v>
      </c>
      <c r="L2849" s="1178"/>
      <c r="M2849" s="1369"/>
      <c r="N2849" s="1178" t="s">
        <v>20244</v>
      </c>
      <c r="O2849" s="1178">
        <v>6</v>
      </c>
      <c r="P2849" s="1178">
        <v>13.5</v>
      </c>
    </row>
    <row r="2850" spans="1:16">
      <c r="A2850" s="1178" t="s">
        <v>21393</v>
      </c>
      <c r="B2850" s="1371" t="str">
        <f>HYPERLINK(IFERROR("#Main_Tariff!A"&amp;MATCH(Raeburn_Main_Tariff[[#This Row],[Product Code]],Main_Tariff!I:I,0),"#Main_Tariff!A"&amp;MATCH("*"&amp;RIGHT(A2850,8)&amp;"*",Main_Tariff!A:A,0)),Raeburn_Main_Tariff[[#This Row],[PRODUCER]])</f>
        <v>Domaine Pignier</v>
      </c>
      <c r="C2850" s="1178" t="s">
        <v>21399</v>
      </c>
      <c r="D2850" s="1178" t="s">
        <v>1129</v>
      </c>
      <c r="E2850" s="1179">
        <v>2022</v>
      </c>
      <c r="F2850" s="1282" t="s">
        <v>20240</v>
      </c>
      <c r="G2850" s="1368">
        <v>53</v>
      </c>
      <c r="H2850" s="1178" t="s">
        <v>20221</v>
      </c>
      <c r="I2850" s="1178" t="s">
        <v>8832</v>
      </c>
      <c r="J2850" s="1178" t="s">
        <v>662</v>
      </c>
      <c r="K2850" s="1178" t="s">
        <v>285</v>
      </c>
      <c r="L2850" s="1178"/>
      <c r="M2850" s="1369"/>
      <c r="N2850" s="1178" t="s">
        <v>20244</v>
      </c>
      <c r="O2850" s="1178">
        <v>3</v>
      </c>
      <c r="P2850" s="1178">
        <v>13.5</v>
      </c>
    </row>
    <row r="2851" spans="1:16">
      <c r="A2851" s="1178" t="s">
        <v>21393</v>
      </c>
      <c r="B2851" s="1371" t="str">
        <f>HYPERLINK(IFERROR("#Main_Tariff!A"&amp;MATCH(Raeburn_Main_Tariff[[#This Row],[Product Code]],Main_Tariff!I:I,0),"#Main_Tariff!A"&amp;MATCH("*"&amp;RIGHT(A2851,8)&amp;"*",Main_Tariff!A:A,0)),Raeburn_Main_Tariff[[#This Row],[PRODUCER]])</f>
        <v>Domaine Pignier</v>
      </c>
      <c r="C2851" s="1178" t="s">
        <v>21400</v>
      </c>
      <c r="D2851" s="1178" t="s">
        <v>1129</v>
      </c>
      <c r="E2851" s="1179">
        <v>2022</v>
      </c>
      <c r="F2851" s="1282" t="s">
        <v>20220</v>
      </c>
      <c r="G2851" s="1368">
        <v>31.5</v>
      </c>
      <c r="H2851" s="1178" t="s">
        <v>20221</v>
      </c>
      <c r="I2851" s="1178" t="s">
        <v>8834</v>
      </c>
      <c r="J2851" s="1178" t="s">
        <v>662</v>
      </c>
      <c r="K2851" s="1178" t="s">
        <v>285</v>
      </c>
      <c r="L2851" s="1178"/>
      <c r="M2851" s="1369"/>
      <c r="N2851" s="1178" t="s">
        <v>20244</v>
      </c>
      <c r="O2851" s="1178">
        <v>6</v>
      </c>
      <c r="P2851" s="1178">
        <v>14</v>
      </c>
    </row>
    <row r="2852" spans="1:16">
      <c r="A2852" s="1178" t="s">
        <v>21393</v>
      </c>
      <c r="B2852" s="1371" t="str">
        <f>HYPERLINK(IFERROR("#Main_Tariff!A"&amp;MATCH(Raeburn_Main_Tariff[[#This Row],[Product Code]],Main_Tariff!I:I,0),"#Main_Tariff!A"&amp;MATCH("*"&amp;RIGHT(A2852,8)&amp;"*",Main_Tariff!A:A,0)),Raeburn_Main_Tariff[[#This Row],[PRODUCER]])</f>
        <v>Domaine Pignier</v>
      </c>
      <c r="C2852" s="1178" t="s">
        <v>21400</v>
      </c>
      <c r="D2852" s="1178" t="s">
        <v>1129</v>
      </c>
      <c r="E2852" s="1179">
        <v>2020</v>
      </c>
      <c r="F2852" s="1282" t="s">
        <v>20220</v>
      </c>
      <c r="G2852" s="1368">
        <v>31.5</v>
      </c>
      <c r="H2852" s="1178" t="s">
        <v>20221</v>
      </c>
      <c r="I2852" s="1178" t="s">
        <v>8836</v>
      </c>
      <c r="J2852" s="1178" t="s">
        <v>662</v>
      </c>
      <c r="K2852" s="1178" t="s">
        <v>285</v>
      </c>
      <c r="L2852" s="1178"/>
      <c r="M2852" s="1369"/>
      <c r="N2852" s="1178" t="s">
        <v>20244</v>
      </c>
      <c r="O2852" s="1178">
        <v>6</v>
      </c>
      <c r="P2852" s="1178">
        <v>13.5</v>
      </c>
    </row>
    <row r="2853" spans="1:16">
      <c r="A2853" s="1178" t="s">
        <v>21393</v>
      </c>
      <c r="B2853" s="1371" t="str">
        <f>HYPERLINK(IFERROR("#Main_Tariff!A"&amp;MATCH(Raeburn_Main_Tariff[[#This Row],[Product Code]],Main_Tariff!I:I,0),"#Main_Tariff!A"&amp;MATCH("*"&amp;RIGHT(A2853,8)&amp;"*",Main_Tariff!A:A,0)),Raeburn_Main_Tariff[[#This Row],[PRODUCER]])</f>
        <v>Domaine Pignier</v>
      </c>
      <c r="C2853" s="1178" t="s">
        <v>21401</v>
      </c>
      <c r="D2853" s="1178" t="s">
        <v>1129</v>
      </c>
      <c r="E2853" s="1179"/>
      <c r="F2853" s="1282" t="s">
        <v>20220</v>
      </c>
      <c r="G2853" s="1368"/>
      <c r="H2853" s="1178" t="s">
        <v>3907</v>
      </c>
      <c r="I2853" s="1178" t="s">
        <v>8840</v>
      </c>
      <c r="J2853" s="1178" t="s">
        <v>662</v>
      </c>
      <c r="K2853" s="1178" t="s">
        <v>285</v>
      </c>
      <c r="L2853" s="1178"/>
      <c r="M2853" s="1369"/>
      <c r="N2853" s="1178" t="s">
        <v>20244</v>
      </c>
      <c r="O2853" s="1178">
        <v>6</v>
      </c>
      <c r="P2853" s="1178">
        <v>14</v>
      </c>
    </row>
    <row r="2854" spans="1:16">
      <c r="A2854" s="1178" t="s">
        <v>21393</v>
      </c>
      <c r="B2854" s="1371" t="str">
        <f>HYPERLINK(IFERROR("#Main_Tariff!A"&amp;MATCH(Raeburn_Main_Tariff[[#This Row],[Product Code]],Main_Tariff!I:I,0),"#Main_Tariff!A"&amp;MATCH("*"&amp;RIGHT(A2854,8)&amp;"*",Main_Tariff!A:A,0)),Raeburn_Main_Tariff[[#This Row],[PRODUCER]])</f>
        <v>Domaine Pignier</v>
      </c>
      <c r="C2854" s="1178" t="s">
        <v>21402</v>
      </c>
      <c r="D2854" s="1178" t="s">
        <v>1129</v>
      </c>
      <c r="E2854" s="1179">
        <v>2018</v>
      </c>
      <c r="F2854" s="1282" t="s">
        <v>20220</v>
      </c>
      <c r="G2854" s="1368">
        <v>34.5</v>
      </c>
      <c r="H2854" s="1178" t="s">
        <v>20221</v>
      </c>
      <c r="I2854" s="1178" t="s">
        <v>8842</v>
      </c>
      <c r="J2854" s="1178" t="s">
        <v>662</v>
      </c>
      <c r="K2854" s="1178" t="s">
        <v>285</v>
      </c>
      <c r="L2854" s="1178"/>
      <c r="M2854" s="1369"/>
      <c r="N2854" s="1178" t="s">
        <v>20244</v>
      </c>
      <c r="O2854" s="1178">
        <v>6</v>
      </c>
      <c r="P2854" s="1178">
        <v>13</v>
      </c>
    </row>
    <row r="2855" spans="1:16">
      <c r="A2855" s="1178" t="s">
        <v>21393</v>
      </c>
      <c r="B2855" s="1371" t="str">
        <f>HYPERLINK(IFERROR("#Main_Tariff!A"&amp;MATCH(Raeburn_Main_Tariff[[#This Row],[Product Code]],Main_Tariff!I:I,0),"#Main_Tariff!A"&amp;MATCH("*"&amp;RIGHT(A2855,8)&amp;"*",Main_Tariff!A:A,0)),Raeburn_Main_Tariff[[#This Row],[PRODUCER]])</f>
        <v>Domaine Pignier</v>
      </c>
      <c r="C2855" s="1178" t="s">
        <v>21403</v>
      </c>
      <c r="D2855" s="1178" t="s">
        <v>1129</v>
      </c>
      <c r="E2855" s="1179">
        <v>2016</v>
      </c>
      <c r="F2855" s="1282" t="s">
        <v>21404</v>
      </c>
      <c r="G2855" s="1368">
        <v>54</v>
      </c>
      <c r="H2855" s="1178" t="s">
        <v>20224</v>
      </c>
      <c r="I2855" s="1178" t="s">
        <v>8843</v>
      </c>
      <c r="J2855" s="1178" t="s">
        <v>662</v>
      </c>
      <c r="K2855" s="1178" t="s">
        <v>285</v>
      </c>
      <c r="L2855" s="1178"/>
      <c r="M2855" s="1369"/>
      <c r="N2855" s="1178" t="s">
        <v>20244</v>
      </c>
      <c r="O2855" s="1178">
        <v>6</v>
      </c>
      <c r="P2855" s="1178">
        <v>13</v>
      </c>
    </row>
    <row r="2856" spans="1:16">
      <c r="A2856" s="1178" t="s">
        <v>21393</v>
      </c>
      <c r="B2856" s="1371" t="str">
        <f>HYPERLINK(IFERROR("#Main_Tariff!A"&amp;MATCH(Raeburn_Main_Tariff[[#This Row],[Product Code]],Main_Tariff!I:I,0),"#Main_Tariff!A"&amp;MATCH("*"&amp;RIGHT(A2856,8)&amp;"*",Main_Tariff!A:A,0)),Raeburn_Main_Tariff[[#This Row],[PRODUCER]])</f>
        <v>Domaine Pignier</v>
      </c>
      <c r="C2856" s="1178" t="s">
        <v>21405</v>
      </c>
      <c r="D2856" s="1178" t="s">
        <v>897</v>
      </c>
      <c r="E2856" s="1179">
        <v>2020</v>
      </c>
      <c r="F2856" s="1282" t="s">
        <v>20220</v>
      </c>
      <c r="G2856" s="1368">
        <v>26.5</v>
      </c>
      <c r="H2856" s="1178" t="s">
        <v>20221</v>
      </c>
      <c r="I2856" s="1178" t="s">
        <v>8845</v>
      </c>
      <c r="J2856" s="1178" t="s">
        <v>662</v>
      </c>
      <c r="K2856" s="1178" t="s">
        <v>285</v>
      </c>
      <c r="L2856" s="1178"/>
      <c r="M2856" s="1369"/>
      <c r="N2856" s="1178" t="s">
        <v>20244</v>
      </c>
      <c r="O2856" s="1178">
        <v>6</v>
      </c>
      <c r="P2856" s="1178">
        <v>13</v>
      </c>
    </row>
    <row r="2857" spans="1:16">
      <c r="A2857" s="1178" t="s">
        <v>21393</v>
      </c>
      <c r="B2857" s="1371" t="str">
        <f>HYPERLINK(IFERROR("#Main_Tariff!A"&amp;MATCH(Raeburn_Main_Tariff[[#This Row],[Product Code]],Main_Tariff!I:I,0),"#Main_Tariff!A"&amp;MATCH("*"&amp;RIGHT(A2857,8)&amp;"*",Main_Tariff!A:A,0)),Raeburn_Main_Tariff[[#This Row],[PRODUCER]])</f>
        <v>Domaine Pignier</v>
      </c>
      <c r="C2857" s="1178" t="s">
        <v>21405</v>
      </c>
      <c r="D2857" s="1178" t="s">
        <v>897</v>
      </c>
      <c r="E2857" s="1179">
        <v>2018</v>
      </c>
      <c r="F2857" s="1282" t="s">
        <v>20220</v>
      </c>
      <c r="G2857" s="1368">
        <v>26.5</v>
      </c>
      <c r="H2857" s="1178" t="s">
        <v>20221</v>
      </c>
      <c r="I2857" s="1178" t="s">
        <v>8847</v>
      </c>
      <c r="J2857" s="1178" t="s">
        <v>662</v>
      </c>
      <c r="K2857" s="1178" t="s">
        <v>285</v>
      </c>
      <c r="L2857" s="1178"/>
      <c r="M2857" s="1369"/>
      <c r="N2857" s="1178" t="s">
        <v>20244</v>
      </c>
      <c r="O2857" s="1178">
        <v>6</v>
      </c>
      <c r="P2857" s="1178">
        <v>13</v>
      </c>
    </row>
    <row r="2858" spans="1:16">
      <c r="A2858" s="1178" t="s">
        <v>21393</v>
      </c>
      <c r="B2858" s="1371" t="str">
        <f>HYPERLINK(IFERROR("#Main_Tariff!A"&amp;MATCH(Raeburn_Main_Tariff[[#This Row],[Product Code]],Main_Tariff!I:I,0),"#Main_Tariff!A"&amp;MATCH("*"&amp;RIGHT(A2858,8)&amp;"*",Main_Tariff!A:A,0)),Raeburn_Main_Tariff[[#This Row],[PRODUCER]])</f>
        <v>Domaine Pignier</v>
      </c>
      <c r="C2858" s="1178" t="s">
        <v>21405</v>
      </c>
      <c r="D2858" s="1178" t="s">
        <v>897</v>
      </c>
      <c r="E2858" s="1179">
        <v>2016</v>
      </c>
      <c r="F2858" s="1282" t="s">
        <v>20220</v>
      </c>
      <c r="G2858" s="1368">
        <v>26.5</v>
      </c>
      <c r="H2858" s="1178" t="s">
        <v>20221</v>
      </c>
      <c r="I2858" s="1178" t="s">
        <v>8849</v>
      </c>
      <c r="J2858" s="1178" t="s">
        <v>662</v>
      </c>
      <c r="K2858" s="1178" t="s">
        <v>285</v>
      </c>
      <c r="L2858" s="1178"/>
      <c r="M2858" s="1369"/>
      <c r="N2858" s="1178" t="s">
        <v>20244</v>
      </c>
      <c r="O2858" s="1178">
        <v>6</v>
      </c>
      <c r="P2858" s="1178">
        <v>11.7</v>
      </c>
    </row>
    <row r="2859" spans="1:16">
      <c r="A2859" s="1178" t="s">
        <v>21393</v>
      </c>
      <c r="B2859" s="1371" t="str">
        <f>HYPERLINK(IFERROR("#Main_Tariff!A"&amp;MATCH(Raeburn_Main_Tariff[[#This Row],[Product Code]],Main_Tariff!I:I,0),"#Main_Tariff!A"&amp;MATCH("*"&amp;RIGHT(A2859,8)&amp;"*",Main_Tariff!A:A,0)),Raeburn_Main_Tariff[[#This Row],[PRODUCER]])</f>
        <v>Domaine Pignier</v>
      </c>
      <c r="C2859" s="1178" t="s">
        <v>21405</v>
      </c>
      <c r="D2859" s="1178" t="s">
        <v>897</v>
      </c>
      <c r="E2859" s="1179">
        <v>2015</v>
      </c>
      <c r="F2859" s="1282" t="s">
        <v>20220</v>
      </c>
      <c r="G2859" s="1368">
        <v>26.5</v>
      </c>
      <c r="H2859" s="1178" t="s">
        <v>20277</v>
      </c>
      <c r="I2859" s="1178" t="s">
        <v>8851</v>
      </c>
      <c r="J2859" s="1178" t="s">
        <v>662</v>
      </c>
      <c r="K2859" s="1178" t="s">
        <v>285</v>
      </c>
      <c r="L2859" s="1178"/>
      <c r="M2859" s="1369"/>
      <c r="N2859" s="1178" t="s">
        <v>20244</v>
      </c>
      <c r="O2859" s="1178">
        <v>6</v>
      </c>
      <c r="P2859" s="1178">
        <v>13</v>
      </c>
    </row>
    <row r="2860" spans="1:16">
      <c r="A2860" s="1178" t="s">
        <v>21393</v>
      </c>
      <c r="B2860" s="1371" t="str">
        <f>HYPERLINK(IFERROR("#Main_Tariff!A"&amp;MATCH(Raeburn_Main_Tariff[[#This Row],[Product Code]],Main_Tariff!I:I,0),"#Main_Tariff!A"&amp;MATCH("*"&amp;RIGHT(A2860,8)&amp;"*",Main_Tariff!A:A,0)),Raeburn_Main_Tariff[[#This Row],[PRODUCER]])</f>
        <v>Domaine Pignier</v>
      </c>
      <c r="C2860" s="1178" t="s">
        <v>21388</v>
      </c>
      <c r="D2860" s="1178" t="s">
        <v>897</v>
      </c>
      <c r="E2860" s="1179">
        <v>2023</v>
      </c>
      <c r="F2860" s="1282" t="s">
        <v>20220</v>
      </c>
      <c r="G2860" s="1368">
        <v>24.5</v>
      </c>
      <c r="H2860" s="1178" t="s">
        <v>20221</v>
      </c>
      <c r="I2860" s="1178" t="s">
        <v>8855</v>
      </c>
      <c r="J2860" s="1178" t="s">
        <v>662</v>
      </c>
      <c r="K2860" s="1178" t="s">
        <v>285</v>
      </c>
      <c r="L2860" s="1178"/>
      <c r="M2860" s="1369"/>
      <c r="N2860" s="1178" t="s">
        <v>20244</v>
      </c>
      <c r="O2860" s="1178">
        <v>6</v>
      </c>
      <c r="P2860" s="1178">
        <v>12</v>
      </c>
    </row>
    <row r="2861" spans="1:16">
      <c r="A2861" s="1178" t="s">
        <v>21393</v>
      </c>
      <c r="B2861" s="1371" t="str">
        <f>HYPERLINK(IFERROR("#Main_Tariff!A"&amp;MATCH(Raeburn_Main_Tariff[[#This Row],[Product Code]],Main_Tariff!I:I,0),"#Main_Tariff!A"&amp;MATCH("*"&amp;RIGHT(A2861,8)&amp;"*",Main_Tariff!A:A,0)),Raeburn_Main_Tariff[[#This Row],[PRODUCER]])</f>
        <v>Domaine Pignier</v>
      </c>
      <c r="C2861" s="1178" t="s">
        <v>21388</v>
      </c>
      <c r="D2861" s="1178" t="s">
        <v>897</v>
      </c>
      <c r="E2861" s="1179">
        <v>2022</v>
      </c>
      <c r="F2861" s="1282" t="s">
        <v>20220</v>
      </c>
      <c r="G2861" s="1368">
        <v>24.5</v>
      </c>
      <c r="H2861" s="1178" t="s">
        <v>20224</v>
      </c>
      <c r="I2861" s="1178" t="s">
        <v>8857</v>
      </c>
      <c r="J2861" s="1178" t="s">
        <v>662</v>
      </c>
      <c r="K2861" s="1178" t="s">
        <v>285</v>
      </c>
      <c r="L2861" s="1178"/>
      <c r="M2861" s="1369"/>
      <c r="N2861" s="1178" t="s">
        <v>20244</v>
      </c>
      <c r="O2861" s="1178">
        <v>6</v>
      </c>
      <c r="P2861" s="1178">
        <v>11.5</v>
      </c>
    </row>
    <row r="2862" spans="1:16">
      <c r="A2862" s="1178" t="s">
        <v>21393</v>
      </c>
      <c r="B2862" s="1371" t="str">
        <f>HYPERLINK(IFERROR("#Main_Tariff!A"&amp;MATCH(Raeburn_Main_Tariff[[#This Row],[Product Code]],Main_Tariff!I:I,0),"#Main_Tariff!A"&amp;MATCH("*"&amp;RIGHT(A2862,8)&amp;"*",Main_Tariff!A:A,0)),Raeburn_Main_Tariff[[#This Row],[PRODUCER]])</f>
        <v>Domaine Pignier</v>
      </c>
      <c r="C2862" s="1178" t="s">
        <v>21406</v>
      </c>
      <c r="D2862" s="1178" t="s">
        <v>897</v>
      </c>
      <c r="E2862" s="1179">
        <v>2018</v>
      </c>
      <c r="F2862" s="1282" t="s">
        <v>20280</v>
      </c>
      <c r="G2862" s="1368">
        <v>13.25</v>
      </c>
      <c r="H2862" s="1178" t="s">
        <v>20221</v>
      </c>
      <c r="I2862" s="1178" t="s">
        <v>8861</v>
      </c>
      <c r="J2862" s="1178" t="s">
        <v>662</v>
      </c>
      <c r="K2862" s="1178" t="s">
        <v>285</v>
      </c>
      <c r="L2862" s="1178"/>
      <c r="M2862" s="1369"/>
      <c r="N2862" s="1178" t="s">
        <v>20244</v>
      </c>
      <c r="O2862" s="1178">
        <v>12</v>
      </c>
      <c r="P2862" s="1178">
        <v>12.5</v>
      </c>
    </row>
    <row r="2863" spans="1:16">
      <c r="A2863" s="1178" t="s">
        <v>21393</v>
      </c>
      <c r="B2863" s="1371" t="str">
        <f>HYPERLINK(IFERROR("#Main_Tariff!A"&amp;MATCH(Raeburn_Main_Tariff[[#This Row],[Product Code]],Main_Tariff!I:I,0),"#Main_Tariff!A"&amp;MATCH("*"&amp;RIGHT(A2863,8)&amp;"*",Main_Tariff!A:A,0)),Raeburn_Main_Tariff[[#This Row],[PRODUCER]])</f>
        <v>Domaine Pignier</v>
      </c>
      <c r="C2863" s="1178" t="s">
        <v>21407</v>
      </c>
      <c r="D2863" s="1178" t="s">
        <v>897</v>
      </c>
      <c r="E2863" s="1179">
        <v>2022</v>
      </c>
      <c r="F2863" s="1282" t="s">
        <v>20220</v>
      </c>
      <c r="G2863" s="1368">
        <v>30</v>
      </c>
      <c r="H2863" s="1178" t="s">
        <v>20221</v>
      </c>
      <c r="I2863" s="1178" t="s">
        <v>8863</v>
      </c>
      <c r="J2863" s="1178" t="s">
        <v>662</v>
      </c>
      <c r="K2863" s="1178" t="s">
        <v>285</v>
      </c>
      <c r="L2863" s="1178"/>
      <c r="M2863" s="1369"/>
      <c r="N2863" s="1178" t="s">
        <v>20244</v>
      </c>
      <c r="O2863" s="1178">
        <v>6</v>
      </c>
      <c r="P2863" s="1178">
        <v>14</v>
      </c>
    </row>
    <row r="2864" spans="1:16">
      <c r="A2864" s="1178" t="s">
        <v>21393</v>
      </c>
      <c r="B2864" s="1371" t="str">
        <f>HYPERLINK(IFERROR("#Main_Tariff!A"&amp;MATCH(Raeburn_Main_Tariff[[#This Row],[Product Code]],Main_Tariff!I:I,0),"#Main_Tariff!A"&amp;MATCH("*"&amp;RIGHT(A2864,8)&amp;"*",Main_Tariff!A:A,0)),Raeburn_Main_Tariff[[#This Row],[PRODUCER]])</f>
        <v>Domaine Pignier</v>
      </c>
      <c r="C2864" s="1178" t="s">
        <v>21407</v>
      </c>
      <c r="D2864" s="1178" t="s">
        <v>897</v>
      </c>
      <c r="E2864" s="1179">
        <v>2018</v>
      </c>
      <c r="F2864" s="1282" t="s">
        <v>20220</v>
      </c>
      <c r="G2864" s="1368">
        <v>27</v>
      </c>
      <c r="H2864" s="1178" t="s">
        <v>20221</v>
      </c>
      <c r="I2864" s="1178" t="s">
        <v>8865</v>
      </c>
      <c r="J2864" s="1178" t="s">
        <v>662</v>
      </c>
      <c r="K2864" s="1178" t="s">
        <v>285</v>
      </c>
      <c r="L2864" s="1178"/>
      <c r="M2864" s="1369"/>
      <c r="N2864" s="1178" t="s">
        <v>20244</v>
      </c>
      <c r="O2864" s="1178">
        <v>6</v>
      </c>
      <c r="P2864" s="1178">
        <v>14</v>
      </c>
    </row>
    <row r="2865" spans="1:16">
      <c r="A2865" s="1178" t="s">
        <v>21393</v>
      </c>
      <c r="B2865" s="1371" t="str">
        <f>HYPERLINK(IFERROR("#Main_Tariff!A"&amp;MATCH(Raeburn_Main_Tariff[[#This Row],[Product Code]],Main_Tariff!I:I,0),"#Main_Tariff!A"&amp;MATCH("*"&amp;RIGHT(A2865,8)&amp;"*",Main_Tariff!A:A,0)),Raeburn_Main_Tariff[[#This Row],[PRODUCER]])</f>
        <v>Domaine Pignier</v>
      </c>
      <c r="C2865" s="1178" t="s">
        <v>21407</v>
      </c>
      <c r="D2865" s="1178" t="s">
        <v>897</v>
      </c>
      <c r="E2865" s="1179">
        <v>2016</v>
      </c>
      <c r="F2865" s="1282" t="s">
        <v>20220</v>
      </c>
      <c r="G2865" s="1368">
        <v>27</v>
      </c>
      <c r="H2865" s="1178" t="s">
        <v>20221</v>
      </c>
      <c r="I2865" s="1178" t="s">
        <v>8867</v>
      </c>
      <c r="J2865" s="1178" t="s">
        <v>662</v>
      </c>
      <c r="K2865" s="1178" t="s">
        <v>285</v>
      </c>
      <c r="L2865" s="1178"/>
      <c r="M2865" s="1369"/>
      <c r="N2865" s="1178" t="s">
        <v>20244</v>
      </c>
      <c r="O2865" s="1178">
        <v>6</v>
      </c>
      <c r="P2865" s="1178">
        <v>12</v>
      </c>
    </row>
    <row r="2866" spans="1:16">
      <c r="A2866" s="1178" t="s">
        <v>21393</v>
      </c>
      <c r="B2866" s="1371" t="str">
        <f>HYPERLINK(IFERROR("#Main_Tariff!A"&amp;MATCH(Raeburn_Main_Tariff[[#This Row],[Product Code]],Main_Tariff!I:I,0),"#Main_Tariff!A"&amp;MATCH("*"&amp;RIGHT(A2866,8)&amp;"*",Main_Tariff!A:A,0)),Raeburn_Main_Tariff[[#This Row],[PRODUCER]])</f>
        <v>Domaine Pignier</v>
      </c>
      <c r="C2866" s="1178" t="s">
        <v>21408</v>
      </c>
      <c r="D2866" s="1178" t="s">
        <v>897</v>
      </c>
      <c r="E2866" s="1179"/>
      <c r="F2866" s="1282" t="s">
        <v>20240</v>
      </c>
      <c r="G2866" s="1368"/>
      <c r="H2866" s="1178" t="s">
        <v>3907</v>
      </c>
      <c r="I2866" s="1178" t="s">
        <v>8869</v>
      </c>
      <c r="J2866" s="1178" t="s">
        <v>662</v>
      </c>
      <c r="K2866" s="1178" t="s">
        <v>285</v>
      </c>
      <c r="L2866" s="1178"/>
      <c r="M2866" s="1369"/>
      <c r="N2866" s="1178" t="s">
        <v>20244</v>
      </c>
      <c r="O2866" s="1178">
        <v>3</v>
      </c>
      <c r="P2866" s="1178">
        <v>12.5</v>
      </c>
    </row>
    <row r="2867" spans="1:16">
      <c r="A2867" s="1178" t="s">
        <v>21393</v>
      </c>
      <c r="B2867" s="1371" t="str">
        <f>HYPERLINK(IFERROR("#Main_Tariff!A"&amp;MATCH(Raeburn_Main_Tariff[[#This Row],[Product Code]],Main_Tariff!I:I,0),"#Main_Tariff!A"&amp;MATCH("*"&amp;RIGHT(A2867,8)&amp;"*",Main_Tariff!A:A,0)),Raeburn_Main_Tariff[[#This Row],[PRODUCER]])</f>
        <v>Domaine Pignier</v>
      </c>
      <c r="C2867" s="1178" t="s">
        <v>21409</v>
      </c>
      <c r="D2867" s="1178" t="s">
        <v>897</v>
      </c>
      <c r="E2867" s="1179">
        <v>2022</v>
      </c>
      <c r="F2867" s="1282" t="s">
        <v>20220</v>
      </c>
      <c r="G2867" s="1368">
        <v>35.25</v>
      </c>
      <c r="H2867" s="1178" t="s">
        <v>20221</v>
      </c>
      <c r="I2867" s="1178" t="s">
        <v>8871</v>
      </c>
      <c r="J2867" s="1178" t="s">
        <v>662</v>
      </c>
      <c r="K2867" s="1178" t="s">
        <v>285</v>
      </c>
      <c r="L2867" s="1178"/>
      <c r="M2867" s="1369"/>
      <c r="N2867" s="1178" t="s">
        <v>20244</v>
      </c>
      <c r="O2867" s="1178">
        <v>6</v>
      </c>
      <c r="P2867" s="1178">
        <v>14</v>
      </c>
    </row>
    <row r="2868" spans="1:16">
      <c r="A2868" s="1178" t="s">
        <v>21393</v>
      </c>
      <c r="B2868" s="1371" t="str">
        <f>HYPERLINK(IFERROR("#Main_Tariff!A"&amp;MATCH(Raeburn_Main_Tariff[[#This Row],[Product Code]],Main_Tariff!I:I,0),"#Main_Tariff!A"&amp;MATCH("*"&amp;RIGHT(A2868,8)&amp;"*",Main_Tariff!A:A,0)),Raeburn_Main_Tariff[[#This Row],[PRODUCER]])</f>
        <v>Domaine Pignier</v>
      </c>
      <c r="C2868" s="1178" t="s">
        <v>21409</v>
      </c>
      <c r="D2868" s="1178" t="s">
        <v>897</v>
      </c>
      <c r="E2868" s="1179">
        <v>2018</v>
      </c>
      <c r="F2868" s="1282" t="s">
        <v>20220</v>
      </c>
      <c r="G2868" s="1368">
        <v>33</v>
      </c>
      <c r="H2868" s="1178" t="s">
        <v>20224</v>
      </c>
      <c r="I2868" s="1178" t="s">
        <v>8873</v>
      </c>
      <c r="J2868" s="1178" t="s">
        <v>662</v>
      </c>
      <c r="K2868" s="1178" t="s">
        <v>285</v>
      </c>
      <c r="L2868" s="1178"/>
      <c r="M2868" s="1369"/>
      <c r="N2868" s="1178" t="s">
        <v>20244</v>
      </c>
      <c r="O2868" s="1178">
        <v>6</v>
      </c>
      <c r="P2868" s="1178">
        <v>15</v>
      </c>
    </row>
    <row r="2869" spans="1:16">
      <c r="A2869" s="1178" t="s">
        <v>21393</v>
      </c>
      <c r="B2869" s="1371" t="str">
        <f>HYPERLINK(IFERROR("#Main_Tariff!A"&amp;MATCH(Raeburn_Main_Tariff[[#This Row],[Product Code]],Main_Tariff!I:I,0),"#Main_Tariff!A"&amp;MATCH("*"&amp;RIGHT(A2869,8)&amp;"*",Main_Tariff!A:A,0)),Raeburn_Main_Tariff[[#This Row],[PRODUCER]])</f>
        <v>Domaine Pignier</v>
      </c>
      <c r="C2869" s="1178" t="s">
        <v>21409</v>
      </c>
      <c r="D2869" s="1178" t="s">
        <v>897</v>
      </c>
      <c r="E2869" s="1179">
        <v>2016</v>
      </c>
      <c r="F2869" s="1282" t="s">
        <v>20220</v>
      </c>
      <c r="G2869" s="1368">
        <v>30</v>
      </c>
      <c r="H2869" s="1178" t="s">
        <v>20277</v>
      </c>
      <c r="I2869" s="1178" t="s">
        <v>8875</v>
      </c>
      <c r="J2869" s="1178" t="s">
        <v>662</v>
      </c>
      <c r="K2869" s="1178" t="s">
        <v>285</v>
      </c>
      <c r="L2869" s="1178"/>
      <c r="M2869" s="1369"/>
      <c r="N2869" s="1178" t="s">
        <v>20244</v>
      </c>
      <c r="O2869" s="1178">
        <v>6</v>
      </c>
      <c r="P2869" s="1178">
        <v>12</v>
      </c>
    </row>
    <row r="2870" spans="1:16">
      <c r="A2870" s="1178" t="s">
        <v>21393</v>
      </c>
      <c r="B2870" s="1371" t="str">
        <f>HYPERLINK(IFERROR("#Main_Tariff!A"&amp;MATCH(Raeburn_Main_Tariff[[#This Row],[Product Code]],Main_Tariff!I:I,0),"#Main_Tariff!A"&amp;MATCH("*"&amp;RIGHT(A2870,8)&amp;"*",Main_Tariff!A:A,0)),Raeburn_Main_Tariff[[#This Row],[PRODUCER]])</f>
        <v>Domaine Pignier</v>
      </c>
      <c r="C2870" s="1178" t="s">
        <v>21410</v>
      </c>
      <c r="D2870" s="1178" t="s">
        <v>1410</v>
      </c>
      <c r="E2870" s="1179">
        <v>2018</v>
      </c>
      <c r="F2870" s="1282" t="s">
        <v>20280</v>
      </c>
      <c r="G2870" s="1368">
        <v>37.5</v>
      </c>
      <c r="H2870" s="1178" t="s">
        <v>20221</v>
      </c>
      <c r="I2870" s="1178" t="s">
        <v>8876</v>
      </c>
      <c r="J2870" s="1178" t="s">
        <v>662</v>
      </c>
      <c r="K2870" s="1178" t="s">
        <v>285</v>
      </c>
      <c r="L2870" s="1178"/>
      <c r="M2870" s="1369"/>
      <c r="N2870" s="1178" t="s">
        <v>20244</v>
      </c>
      <c r="O2870" s="1178">
        <v>6</v>
      </c>
      <c r="P2870" s="1178">
        <v>14</v>
      </c>
    </row>
    <row r="2871" spans="1:16">
      <c r="A2871" s="1178" t="s">
        <v>21393</v>
      </c>
      <c r="B2871" s="1371" t="str">
        <f>HYPERLINK(IFERROR("#Main_Tariff!A"&amp;MATCH(Raeburn_Main_Tariff[[#This Row],[Product Code]],Main_Tariff!I:I,0),"#Main_Tariff!A"&amp;MATCH("*"&amp;RIGHT(A2871,8)&amp;"*",Main_Tariff!A:A,0)),Raeburn_Main_Tariff[[#This Row],[PRODUCER]])</f>
        <v>Domaine Pignier</v>
      </c>
      <c r="C2871" s="1178" t="s">
        <v>21410</v>
      </c>
      <c r="D2871" s="1178" t="s">
        <v>1410</v>
      </c>
      <c r="E2871" s="1179">
        <v>2012</v>
      </c>
      <c r="F2871" s="1282" t="s">
        <v>20280</v>
      </c>
      <c r="G2871" s="1368">
        <v>33</v>
      </c>
      <c r="H2871" s="1178" t="s">
        <v>20221</v>
      </c>
      <c r="I2871" s="1178" t="s">
        <v>8877</v>
      </c>
      <c r="J2871" s="1178" t="s">
        <v>662</v>
      </c>
      <c r="K2871" s="1178" t="s">
        <v>285</v>
      </c>
      <c r="L2871" s="1178"/>
      <c r="M2871" s="1369"/>
      <c r="N2871" s="1178" t="s">
        <v>20244</v>
      </c>
      <c r="O2871" s="1178">
        <v>6</v>
      </c>
      <c r="P2871" s="1178">
        <v>15</v>
      </c>
    </row>
    <row r="2872" spans="1:16">
      <c r="A2872" s="1178" t="s">
        <v>288</v>
      </c>
      <c r="B2872" s="1371" t="str">
        <f>HYPERLINK(IFERROR("#Main_Tariff!A"&amp;MATCH(Raeburn_Main_Tariff[[#This Row],[Product Code]],Main_Tariff!I:I,0),"#Main_Tariff!A"&amp;MATCH("*"&amp;RIGHT(A2872,8)&amp;"*",Main_Tariff!A:A,0)),Raeburn_Main_Tariff[[#This Row],[PRODUCER]])</f>
        <v>Rolet P&amp;F</v>
      </c>
      <c r="C2872" s="1178" t="s">
        <v>21411</v>
      </c>
      <c r="D2872" s="1178" t="s">
        <v>897</v>
      </c>
      <c r="E2872" s="1179">
        <v>1987</v>
      </c>
      <c r="F2872" s="1282" t="s">
        <v>20240</v>
      </c>
      <c r="G2872" s="1368">
        <v>60</v>
      </c>
      <c r="H2872" s="1178" t="s">
        <v>20224</v>
      </c>
      <c r="I2872" s="1178" t="s">
        <v>8891</v>
      </c>
      <c r="J2872" s="1178" t="s">
        <v>662</v>
      </c>
      <c r="K2872" s="1178" t="s">
        <v>285</v>
      </c>
      <c r="L2872" s="1178"/>
      <c r="M2872" s="1369"/>
      <c r="N2872" s="1178"/>
      <c r="O2872" s="1178">
        <v>3</v>
      </c>
      <c r="P2872" s="1178">
        <v>13</v>
      </c>
    </row>
    <row r="2873" spans="1:16">
      <c r="A2873" s="1178" t="s">
        <v>288</v>
      </c>
      <c r="B2873" s="1371" t="str">
        <f>HYPERLINK(IFERROR("#Main_Tariff!A"&amp;MATCH(Raeburn_Main_Tariff[[#This Row],[Product Code]],Main_Tariff!I:I,0),"#Main_Tariff!A"&amp;MATCH("*"&amp;RIGHT(A2873,8)&amp;"*",Main_Tariff!A:A,0)),Raeburn_Main_Tariff[[#This Row],[PRODUCER]])</f>
        <v>Rolet P&amp;F</v>
      </c>
      <c r="C2873" s="1178" t="s">
        <v>21411</v>
      </c>
      <c r="D2873" s="1178" t="s">
        <v>897</v>
      </c>
      <c r="E2873" s="1179">
        <v>1982</v>
      </c>
      <c r="F2873" s="1282" t="s">
        <v>20240</v>
      </c>
      <c r="G2873" s="1368">
        <v>64</v>
      </c>
      <c r="H2873" s="1178" t="s">
        <v>20221</v>
      </c>
      <c r="I2873" s="1178" t="s">
        <v>8893</v>
      </c>
      <c r="J2873" s="1178" t="s">
        <v>662</v>
      </c>
      <c r="K2873" s="1178" t="s">
        <v>285</v>
      </c>
      <c r="L2873" s="1178"/>
      <c r="M2873" s="1369"/>
      <c r="N2873" s="1178"/>
      <c r="O2873" s="1178">
        <v>3</v>
      </c>
      <c r="P2873" s="1178">
        <v>15</v>
      </c>
    </row>
    <row r="2874" spans="1:16">
      <c r="A2874" s="1178" t="s">
        <v>21412</v>
      </c>
      <c r="B2874" s="1371" t="str">
        <f>HYPERLINK(IFERROR("#Main_Tariff!A"&amp;MATCH(Raeburn_Main_Tariff[[#This Row],[Product Code]],Main_Tariff!I:I,0),"#Main_Tariff!A"&amp;MATCH("*"&amp;RIGHT(A2874,8)&amp;"*",Main_Tariff!A:A,0)),Raeburn_Main_Tariff[[#This Row],[PRODUCER]])</f>
        <v>Renardat-Fâche</v>
      </c>
      <c r="C2874" s="1178" t="s">
        <v>21413</v>
      </c>
      <c r="D2874" s="1178" t="s">
        <v>884</v>
      </c>
      <c r="E2874" s="1179">
        <v>2022</v>
      </c>
      <c r="F2874" s="1282" t="s">
        <v>20220</v>
      </c>
      <c r="G2874" s="1368">
        <v>16.5</v>
      </c>
      <c r="H2874" s="1178" t="s">
        <v>20221</v>
      </c>
      <c r="I2874" s="1178" t="s">
        <v>8901</v>
      </c>
      <c r="J2874" s="1178" t="s">
        <v>662</v>
      </c>
      <c r="K2874" s="1178" t="s">
        <v>289</v>
      </c>
      <c r="L2874" s="1178"/>
      <c r="M2874" s="1369"/>
      <c r="N2874" s="1178" t="s">
        <v>20244</v>
      </c>
      <c r="O2874" s="1178">
        <v>12</v>
      </c>
      <c r="P2874" s="1178">
        <v>10.5</v>
      </c>
    </row>
    <row r="2875" spans="1:16">
      <c r="A2875" s="1178" t="s">
        <v>21412</v>
      </c>
      <c r="B2875" s="1371" t="str">
        <f>HYPERLINK(IFERROR("#Main_Tariff!A"&amp;MATCH(Raeburn_Main_Tariff[[#This Row],[Product Code]],Main_Tariff!I:I,0),"#Main_Tariff!A"&amp;MATCH("*"&amp;RIGHT(A2875,8)&amp;"*",Main_Tariff!A:A,0)),Raeburn_Main_Tariff[[#This Row],[PRODUCER]])</f>
        <v>Renardat-Fâche</v>
      </c>
      <c r="C2875" s="1178" t="s">
        <v>21414</v>
      </c>
      <c r="D2875" s="1178" t="s">
        <v>8904</v>
      </c>
      <c r="E2875" s="1179">
        <v>2024</v>
      </c>
      <c r="F2875" s="1282" t="s">
        <v>20220</v>
      </c>
      <c r="G2875" s="1368">
        <v>16</v>
      </c>
      <c r="H2875" s="1178" t="s">
        <v>20221</v>
      </c>
      <c r="I2875" s="1178" t="s">
        <v>8905</v>
      </c>
      <c r="J2875" s="1178" t="s">
        <v>662</v>
      </c>
      <c r="K2875" s="1178" t="s">
        <v>289</v>
      </c>
      <c r="L2875" s="1178"/>
      <c r="M2875" s="1369"/>
      <c r="N2875" s="1178" t="s">
        <v>20244</v>
      </c>
      <c r="O2875" s="1178">
        <v>12</v>
      </c>
      <c r="P2875" s="1178">
        <v>7.5</v>
      </c>
    </row>
    <row r="2876" spans="1:16">
      <c r="A2876" s="1178" t="s">
        <v>21415</v>
      </c>
      <c r="B2876" s="1371" t="str">
        <f>HYPERLINK(IFERROR("#Main_Tariff!A"&amp;MATCH(Raeburn_Main_Tariff[[#This Row],[Product Code]],Main_Tariff!I:I,0),"#Main_Tariff!A"&amp;MATCH("*"&amp;RIGHT(A2876,8)&amp;"*",Main_Tariff!A:A,0)),Raeburn_Main_Tariff[[#This Row],[PRODUCER]])</f>
        <v>Domaine Bizet</v>
      </c>
      <c r="C2876" s="1178" t="s">
        <v>21416</v>
      </c>
      <c r="D2876" s="1178" t="s">
        <v>1129</v>
      </c>
      <c r="E2876" s="1179">
        <v>2016</v>
      </c>
      <c r="F2876" s="1282" t="s">
        <v>20280</v>
      </c>
      <c r="G2876" s="1368">
        <v>8.25</v>
      </c>
      <c r="H2876" s="1178" t="s">
        <v>20221</v>
      </c>
      <c r="I2876" s="1178" t="s">
        <v>8922</v>
      </c>
      <c r="J2876" s="1178" t="s">
        <v>662</v>
      </c>
      <c r="K2876" s="1178" t="s">
        <v>291</v>
      </c>
      <c r="L2876" s="1178" t="s">
        <v>292</v>
      </c>
      <c r="M2876" s="1369"/>
      <c r="N2876" s="1178"/>
      <c r="O2876" s="1178">
        <v>12</v>
      </c>
      <c r="P2876" s="1178">
        <v>12.5</v>
      </c>
    </row>
    <row r="2877" spans="1:16">
      <c r="A2877" s="1178" t="s">
        <v>21415</v>
      </c>
      <c r="B2877" s="1371" t="str">
        <f>HYPERLINK(IFERROR("#Main_Tariff!A"&amp;MATCH(Raeburn_Main_Tariff[[#This Row],[Product Code]],Main_Tariff!I:I,0),"#Main_Tariff!A"&amp;MATCH("*"&amp;RIGHT(A2877,8)&amp;"*",Main_Tariff!A:A,0)),Raeburn_Main_Tariff[[#This Row],[PRODUCER]])</f>
        <v>Domaine Bizet</v>
      </c>
      <c r="C2877" s="1178" t="s">
        <v>21417</v>
      </c>
      <c r="D2877" s="1178" t="s">
        <v>1129</v>
      </c>
      <c r="E2877" s="1179">
        <v>2024</v>
      </c>
      <c r="F2877" s="1282" t="s">
        <v>20220</v>
      </c>
      <c r="G2877" s="1368">
        <v>17</v>
      </c>
      <c r="H2877" s="1178" t="s">
        <v>20221</v>
      </c>
      <c r="I2877" s="1178" t="s">
        <v>23352</v>
      </c>
      <c r="J2877" s="1178" t="s">
        <v>662</v>
      </c>
      <c r="K2877" s="1178" t="s">
        <v>291</v>
      </c>
      <c r="L2877" s="1178" t="s">
        <v>292</v>
      </c>
      <c r="M2877" s="1369"/>
      <c r="N2877" s="1178"/>
      <c r="O2877" s="1178">
        <v>6</v>
      </c>
      <c r="P2877" s="1178">
        <v>12.5</v>
      </c>
    </row>
    <row r="2878" spans="1:16">
      <c r="A2878" s="1178" t="s">
        <v>21415</v>
      </c>
      <c r="B2878" s="1371" t="str">
        <f>HYPERLINK(IFERROR("#Main_Tariff!A"&amp;MATCH(Raeburn_Main_Tariff[[#This Row],[Product Code]],Main_Tariff!I:I,0),"#Main_Tariff!A"&amp;MATCH("*"&amp;RIGHT(A2878,8)&amp;"*",Main_Tariff!A:A,0)),Raeburn_Main_Tariff[[#This Row],[PRODUCER]])</f>
        <v>Domaine Bizet</v>
      </c>
      <c r="C2878" s="1178" t="s">
        <v>21417</v>
      </c>
      <c r="D2878" s="1178" t="s">
        <v>1129</v>
      </c>
      <c r="E2878" s="1179">
        <v>2023</v>
      </c>
      <c r="F2878" s="1282" t="s">
        <v>20220</v>
      </c>
      <c r="G2878" s="1368">
        <v>17</v>
      </c>
      <c r="H2878" s="1178" t="s">
        <v>20465</v>
      </c>
      <c r="I2878" s="1178" t="s">
        <v>8926</v>
      </c>
      <c r="J2878" s="1178" t="s">
        <v>662</v>
      </c>
      <c r="K2878" s="1178" t="s">
        <v>291</v>
      </c>
      <c r="L2878" s="1178" t="s">
        <v>292</v>
      </c>
      <c r="M2878" s="1369"/>
      <c r="N2878" s="1178"/>
      <c r="O2878" s="1178">
        <v>6</v>
      </c>
      <c r="P2878" s="1178">
        <v>12.5</v>
      </c>
    </row>
    <row r="2879" spans="1:16">
      <c r="A2879" s="1178" t="s">
        <v>21415</v>
      </c>
      <c r="B2879" s="1371" t="str">
        <f>HYPERLINK(IFERROR("#Main_Tariff!A"&amp;MATCH(Raeburn_Main_Tariff[[#This Row],[Product Code]],Main_Tariff!I:I,0),"#Main_Tariff!A"&amp;MATCH("*"&amp;RIGHT(A2879,8)&amp;"*",Main_Tariff!A:A,0)),Raeburn_Main_Tariff[[#This Row],[PRODUCER]])</f>
        <v>Domaine Bizet</v>
      </c>
      <c r="C2879" s="1178" t="s">
        <v>21418</v>
      </c>
      <c r="D2879" s="1178" t="s">
        <v>1129</v>
      </c>
      <c r="E2879" s="1179">
        <v>2024</v>
      </c>
      <c r="F2879" s="1282" t="s">
        <v>20220</v>
      </c>
      <c r="G2879" s="1368">
        <v>18</v>
      </c>
      <c r="H2879" s="1178" t="s">
        <v>20221</v>
      </c>
      <c r="I2879" s="1178" t="s">
        <v>23353</v>
      </c>
      <c r="J2879" s="1178" t="s">
        <v>662</v>
      </c>
      <c r="K2879" s="1178" t="s">
        <v>291</v>
      </c>
      <c r="L2879" s="1178" t="s">
        <v>292</v>
      </c>
      <c r="M2879" s="1369"/>
      <c r="N2879" s="1178"/>
      <c r="O2879" s="1178">
        <v>6</v>
      </c>
      <c r="P2879" s="1178">
        <v>12.5</v>
      </c>
    </row>
    <row r="2880" spans="1:16">
      <c r="A2880" s="1178" t="s">
        <v>21415</v>
      </c>
      <c r="B2880" s="1371" t="str">
        <f>HYPERLINK(IFERROR("#Main_Tariff!A"&amp;MATCH(Raeburn_Main_Tariff[[#This Row],[Product Code]],Main_Tariff!I:I,0),"#Main_Tariff!A"&amp;MATCH("*"&amp;RIGHT(A2880,8)&amp;"*",Main_Tariff!A:A,0)),Raeburn_Main_Tariff[[#This Row],[PRODUCER]])</f>
        <v>Domaine Bizet</v>
      </c>
      <c r="C2880" s="1178" t="s">
        <v>21418</v>
      </c>
      <c r="D2880" s="1178" t="s">
        <v>1129</v>
      </c>
      <c r="E2880" s="1179">
        <v>2023</v>
      </c>
      <c r="F2880" s="1282" t="s">
        <v>20220</v>
      </c>
      <c r="G2880" s="1368">
        <v>18</v>
      </c>
      <c r="H2880" s="1178" t="s">
        <v>20221</v>
      </c>
      <c r="I2880" s="1178" t="s">
        <v>8928</v>
      </c>
      <c r="J2880" s="1178" t="s">
        <v>662</v>
      </c>
      <c r="K2880" s="1178" t="s">
        <v>291</v>
      </c>
      <c r="L2880" s="1178" t="s">
        <v>292</v>
      </c>
      <c r="M2880" s="1369"/>
      <c r="N2880" s="1178"/>
      <c r="O2880" s="1178">
        <v>6</v>
      </c>
      <c r="P2880" s="1178">
        <v>12.5</v>
      </c>
    </row>
    <row r="2881" spans="1:16">
      <c r="A2881" s="1178" t="s">
        <v>21415</v>
      </c>
      <c r="B2881" s="1371" t="str">
        <f>HYPERLINK(IFERROR("#Main_Tariff!A"&amp;MATCH(Raeburn_Main_Tariff[[#This Row],[Product Code]],Main_Tariff!I:I,0),"#Main_Tariff!A"&amp;MATCH("*"&amp;RIGHT(A2881,8)&amp;"*",Main_Tariff!A:A,0)),Raeburn_Main_Tariff[[#This Row],[PRODUCER]])</f>
        <v>Domaine Bizet</v>
      </c>
      <c r="C2881" s="1178" t="s">
        <v>21419</v>
      </c>
      <c r="D2881" s="1178" t="s">
        <v>2573</v>
      </c>
      <c r="E2881" s="1179">
        <v>2023</v>
      </c>
      <c r="F2881" s="1282" t="s">
        <v>20220</v>
      </c>
      <c r="G2881" s="1368">
        <v>16.5</v>
      </c>
      <c r="H2881" s="1178" t="s">
        <v>20221</v>
      </c>
      <c r="I2881" s="1178" t="s">
        <v>8931</v>
      </c>
      <c r="J2881" s="1178" t="s">
        <v>662</v>
      </c>
      <c r="K2881" s="1178" t="s">
        <v>291</v>
      </c>
      <c r="L2881" s="1178" t="s">
        <v>292</v>
      </c>
      <c r="M2881" s="1369"/>
      <c r="N2881" s="1178"/>
      <c r="O2881" s="1178">
        <v>6</v>
      </c>
      <c r="P2881" s="1178">
        <v>12.5</v>
      </c>
    </row>
    <row r="2882" spans="1:16">
      <c r="A2882" s="1178" t="s">
        <v>21415</v>
      </c>
      <c r="B2882" s="1371" t="str">
        <f>HYPERLINK(IFERROR("#Main_Tariff!A"&amp;MATCH(Raeburn_Main_Tariff[[#This Row],[Product Code]],Main_Tariff!I:I,0),"#Main_Tariff!A"&amp;MATCH("*"&amp;RIGHT(A2882,8)&amp;"*",Main_Tariff!A:A,0)),Raeburn_Main_Tariff[[#This Row],[PRODUCER]])</f>
        <v>Domaine Bizet</v>
      </c>
      <c r="C2882" s="1178" t="s">
        <v>21420</v>
      </c>
      <c r="D2882" s="1178" t="s">
        <v>897</v>
      </c>
      <c r="E2882" s="1179">
        <v>2020</v>
      </c>
      <c r="F2882" s="1282" t="s">
        <v>20220</v>
      </c>
      <c r="G2882" s="1368">
        <v>15</v>
      </c>
      <c r="H2882" s="1178" t="s">
        <v>20221</v>
      </c>
      <c r="I2882" s="1178" t="s">
        <v>8933</v>
      </c>
      <c r="J2882" s="1178" t="s">
        <v>662</v>
      </c>
      <c r="K2882" s="1178" t="s">
        <v>291</v>
      </c>
      <c r="L2882" s="1178" t="s">
        <v>292</v>
      </c>
      <c r="M2882" s="1369"/>
      <c r="N2882" s="1178"/>
      <c r="O2882" s="1178">
        <v>6</v>
      </c>
      <c r="P2882" s="1178">
        <v>12.5</v>
      </c>
    </row>
    <row r="2883" spans="1:16">
      <c r="A2883" s="1178" t="s">
        <v>21415</v>
      </c>
      <c r="B2883" s="1371" t="str">
        <f>HYPERLINK(IFERROR("#Main_Tariff!A"&amp;MATCH(Raeburn_Main_Tariff[[#This Row],[Product Code]],Main_Tariff!I:I,0),"#Main_Tariff!A"&amp;MATCH("*"&amp;RIGHT(A2883,8)&amp;"*",Main_Tariff!A:A,0)),Raeburn_Main_Tariff[[#This Row],[PRODUCER]])</f>
        <v>Domaine Bizet</v>
      </c>
      <c r="C2883" s="1178" t="s">
        <v>21420</v>
      </c>
      <c r="D2883" s="1178" t="s">
        <v>897</v>
      </c>
      <c r="E2883" s="1179">
        <v>2013</v>
      </c>
      <c r="F2883" s="1282" t="s">
        <v>20220</v>
      </c>
      <c r="G2883" s="1368">
        <v>14.5</v>
      </c>
      <c r="H2883" s="1178" t="s">
        <v>20465</v>
      </c>
      <c r="I2883" s="1178" t="s">
        <v>8934</v>
      </c>
      <c r="J2883" s="1178" t="s">
        <v>662</v>
      </c>
      <c r="K2883" s="1178" t="s">
        <v>291</v>
      </c>
      <c r="L2883" s="1178" t="s">
        <v>292</v>
      </c>
      <c r="M2883" s="1369"/>
      <c r="N2883" s="1178"/>
      <c r="O2883" s="1178">
        <v>6</v>
      </c>
      <c r="P2883" s="1178">
        <v>13</v>
      </c>
    </row>
    <row r="2884" spans="1:16">
      <c r="A2884" s="1178" t="s">
        <v>21415</v>
      </c>
      <c r="B2884" s="1371" t="str">
        <f>HYPERLINK(IFERROR("#Main_Tariff!A"&amp;MATCH(Raeburn_Main_Tariff[[#This Row],[Product Code]],Main_Tariff!I:I,0),"#Main_Tariff!A"&amp;MATCH("*"&amp;RIGHT(A2884,8)&amp;"*",Main_Tariff!A:A,0)),Raeburn_Main_Tariff[[#This Row],[PRODUCER]])</f>
        <v>Domaine Bizet</v>
      </c>
      <c r="C2884" s="1178" t="s">
        <v>21421</v>
      </c>
      <c r="D2884" s="1178" t="s">
        <v>897</v>
      </c>
      <c r="E2884" s="1179">
        <v>2019</v>
      </c>
      <c r="F2884" s="1282" t="s">
        <v>20220</v>
      </c>
      <c r="G2884" s="1368">
        <v>16</v>
      </c>
      <c r="H2884" s="1178" t="s">
        <v>20221</v>
      </c>
      <c r="I2884" s="1178" t="s">
        <v>8935</v>
      </c>
      <c r="J2884" s="1178" t="s">
        <v>662</v>
      </c>
      <c r="K2884" s="1178" t="s">
        <v>291</v>
      </c>
      <c r="L2884" s="1178" t="s">
        <v>292</v>
      </c>
      <c r="M2884" s="1369"/>
      <c r="N2884" s="1178"/>
      <c r="O2884" s="1178">
        <v>6</v>
      </c>
      <c r="P2884" s="1178">
        <v>12.5</v>
      </c>
    </row>
    <row r="2885" spans="1:16">
      <c r="A2885" s="1178" t="s">
        <v>21415</v>
      </c>
      <c r="B2885" s="1371" t="str">
        <f>HYPERLINK(IFERROR("#Main_Tariff!A"&amp;MATCH(Raeburn_Main_Tariff[[#This Row],[Product Code]],Main_Tariff!I:I,0),"#Main_Tariff!A"&amp;MATCH("*"&amp;RIGHT(A2885,8)&amp;"*",Main_Tariff!A:A,0)),Raeburn_Main_Tariff[[#This Row],[PRODUCER]])</f>
        <v>Domaine Bizet</v>
      </c>
      <c r="C2885" s="1178" t="s">
        <v>21421</v>
      </c>
      <c r="D2885" s="1178" t="s">
        <v>897</v>
      </c>
      <c r="E2885" s="1179">
        <v>2014</v>
      </c>
      <c r="F2885" s="1282" t="s">
        <v>20220</v>
      </c>
      <c r="G2885" s="1368">
        <v>16</v>
      </c>
      <c r="H2885" s="1178" t="s">
        <v>20465</v>
      </c>
      <c r="I2885" s="1178" t="s">
        <v>8936</v>
      </c>
      <c r="J2885" s="1178" t="s">
        <v>662</v>
      </c>
      <c r="K2885" s="1178" t="s">
        <v>291</v>
      </c>
      <c r="L2885" s="1178" t="s">
        <v>292</v>
      </c>
      <c r="M2885" s="1369"/>
      <c r="N2885" s="1178"/>
      <c r="O2885" s="1178">
        <v>6</v>
      </c>
      <c r="P2885" s="1178">
        <v>0</v>
      </c>
    </row>
    <row r="2886" spans="1:16">
      <c r="A2886" s="1178" t="s">
        <v>21415</v>
      </c>
      <c r="B2886" s="1371" t="str">
        <f>HYPERLINK(IFERROR("#Main_Tariff!A"&amp;MATCH(Raeburn_Main_Tariff[[#This Row],[Product Code]],Main_Tariff!I:I,0),"#Main_Tariff!A"&amp;MATCH("*"&amp;RIGHT(A2886,8)&amp;"*",Main_Tariff!A:A,0)),Raeburn_Main_Tariff[[#This Row],[PRODUCER]])</f>
        <v>Domaine Bizet</v>
      </c>
      <c r="C2886" s="1178" t="s">
        <v>21421</v>
      </c>
      <c r="D2886" s="1178" t="s">
        <v>897</v>
      </c>
      <c r="E2886" s="1179">
        <v>2012</v>
      </c>
      <c r="F2886" s="1282" t="s">
        <v>20220</v>
      </c>
      <c r="G2886" s="1368">
        <v>16</v>
      </c>
      <c r="H2886" s="1178" t="s">
        <v>20277</v>
      </c>
      <c r="I2886" s="1178" t="s">
        <v>8937</v>
      </c>
      <c r="J2886" s="1178" t="s">
        <v>662</v>
      </c>
      <c r="K2886" s="1178" t="s">
        <v>291</v>
      </c>
      <c r="L2886" s="1178" t="s">
        <v>292</v>
      </c>
      <c r="M2886" s="1369"/>
      <c r="N2886" s="1178"/>
      <c r="O2886" s="1178">
        <v>6</v>
      </c>
      <c r="P2886" s="1178">
        <v>12.5</v>
      </c>
    </row>
    <row r="2887" spans="1:16">
      <c r="A2887" s="1178" t="s">
        <v>294</v>
      </c>
      <c r="B2887" s="1371" t="str">
        <f>HYPERLINK(IFERROR("#Main_Tariff!A"&amp;MATCH(Raeburn_Main_Tariff[[#This Row],[Product Code]],Main_Tariff!I:I,0),"#Main_Tariff!A"&amp;MATCH("*"&amp;RIGHT(A2887,8)&amp;"*",Main_Tariff!A:A,0)),Raeburn_Main_Tariff[[#This Row],[PRODUCER]])</f>
        <v>Francois Cotat</v>
      </c>
      <c r="C2887" s="1178" t="s">
        <v>21419</v>
      </c>
      <c r="D2887" s="1178" t="s">
        <v>2573</v>
      </c>
      <c r="E2887" s="1179">
        <v>2022</v>
      </c>
      <c r="F2887" s="1282" t="s">
        <v>20220</v>
      </c>
      <c r="G2887" s="1368" t="s">
        <v>5258</v>
      </c>
      <c r="H2887" s="1178" t="s">
        <v>20221</v>
      </c>
      <c r="I2887" s="1178" t="s">
        <v>8939</v>
      </c>
      <c r="J2887" s="1178" t="s">
        <v>662</v>
      </c>
      <c r="K2887" s="1178" t="s">
        <v>291</v>
      </c>
      <c r="L2887" s="1178" t="s">
        <v>292</v>
      </c>
      <c r="M2887" s="1369"/>
      <c r="N2887" s="1178"/>
      <c r="O2887" s="1178">
        <v>6</v>
      </c>
      <c r="P2887" s="1178">
        <v>13.5</v>
      </c>
    </row>
    <row r="2888" spans="1:16">
      <c r="A2888" s="1178" t="s">
        <v>294</v>
      </c>
      <c r="B2888" s="1371" t="str">
        <f>HYPERLINK(IFERROR("#Main_Tariff!A"&amp;MATCH(Raeburn_Main_Tariff[[#This Row],[Product Code]],Main_Tariff!I:I,0),"#Main_Tariff!A"&amp;MATCH("*"&amp;RIGHT(A2888,8)&amp;"*",Main_Tariff!A:A,0)),Raeburn_Main_Tariff[[#This Row],[PRODUCER]])</f>
        <v>Francois Cotat</v>
      </c>
      <c r="C2888" s="1178" t="s">
        <v>21422</v>
      </c>
      <c r="D2888" s="1178" t="s">
        <v>1129</v>
      </c>
      <c r="E2888" s="1179">
        <v>2023</v>
      </c>
      <c r="F2888" s="1282" t="s">
        <v>20220</v>
      </c>
      <c r="G2888" s="1368" t="s">
        <v>5258</v>
      </c>
      <c r="H2888" s="1178" t="s">
        <v>20221</v>
      </c>
      <c r="I2888" s="1178" t="s">
        <v>8941</v>
      </c>
      <c r="J2888" s="1178" t="s">
        <v>662</v>
      </c>
      <c r="K2888" s="1178" t="s">
        <v>291</v>
      </c>
      <c r="L2888" s="1178" t="s">
        <v>292</v>
      </c>
      <c r="M2888" s="1369"/>
      <c r="N2888" s="1178"/>
      <c r="O2888" s="1178">
        <v>6</v>
      </c>
      <c r="P2888" s="1178">
        <v>12.5</v>
      </c>
    </row>
    <row r="2889" spans="1:16">
      <c r="A2889" s="1178" t="s">
        <v>294</v>
      </c>
      <c r="B2889" s="1371" t="str">
        <f>HYPERLINK(IFERROR("#Main_Tariff!A"&amp;MATCH(Raeburn_Main_Tariff[[#This Row],[Product Code]],Main_Tariff!I:I,0),"#Main_Tariff!A"&amp;MATCH("*"&amp;RIGHT(A2889,8)&amp;"*",Main_Tariff!A:A,0)),Raeburn_Main_Tariff[[#This Row],[PRODUCER]])</f>
        <v>Francois Cotat</v>
      </c>
      <c r="C2889" s="1178" t="s">
        <v>21423</v>
      </c>
      <c r="D2889" s="1178" t="s">
        <v>1129</v>
      </c>
      <c r="E2889" s="1179">
        <v>2023</v>
      </c>
      <c r="F2889" s="1282" t="s">
        <v>20220</v>
      </c>
      <c r="G2889" s="1368" t="s">
        <v>5258</v>
      </c>
      <c r="H2889" s="1178" t="s">
        <v>20221</v>
      </c>
      <c r="I2889" s="1178" t="s">
        <v>8943</v>
      </c>
      <c r="J2889" s="1178" t="s">
        <v>662</v>
      </c>
      <c r="K2889" s="1178" t="s">
        <v>291</v>
      </c>
      <c r="L2889" s="1178" t="s">
        <v>292</v>
      </c>
      <c r="M2889" s="1369"/>
      <c r="N2889" s="1178"/>
      <c r="O2889" s="1178">
        <v>6</v>
      </c>
      <c r="P2889" s="1178">
        <v>13.5</v>
      </c>
    </row>
    <row r="2890" spans="1:16">
      <c r="A2890" s="1178" t="s">
        <v>294</v>
      </c>
      <c r="B2890" s="1371" t="str">
        <f>HYPERLINK(IFERROR("#Main_Tariff!A"&amp;MATCH(Raeburn_Main_Tariff[[#This Row],[Product Code]],Main_Tariff!I:I,0),"#Main_Tariff!A"&amp;MATCH("*"&amp;RIGHT(A2890,8)&amp;"*",Main_Tariff!A:A,0)),Raeburn_Main_Tariff[[#This Row],[PRODUCER]])</f>
        <v>Francois Cotat</v>
      </c>
      <c r="C2890" s="1178" t="s">
        <v>21424</v>
      </c>
      <c r="D2890" s="1178" t="s">
        <v>1129</v>
      </c>
      <c r="E2890" s="1179"/>
      <c r="F2890" s="1282" t="s">
        <v>20220</v>
      </c>
      <c r="G2890" s="1368"/>
      <c r="H2890" s="1178" t="s">
        <v>3907</v>
      </c>
      <c r="I2890" s="1178" t="s">
        <v>8945</v>
      </c>
      <c r="J2890" s="1178" t="s">
        <v>662</v>
      </c>
      <c r="K2890" s="1178" t="s">
        <v>291</v>
      </c>
      <c r="L2890" s="1178" t="s">
        <v>292</v>
      </c>
      <c r="M2890" s="1369"/>
      <c r="N2890" s="1178"/>
      <c r="O2890" s="1178">
        <v>6</v>
      </c>
      <c r="P2890" s="1178">
        <v>13</v>
      </c>
    </row>
    <row r="2891" spans="1:16">
      <c r="A2891" s="1178" t="s">
        <v>294</v>
      </c>
      <c r="B2891" s="1371" t="str">
        <f>HYPERLINK(IFERROR("#Main_Tariff!A"&amp;MATCH(Raeburn_Main_Tariff[[#This Row],[Product Code]],Main_Tariff!I:I,0),"#Main_Tariff!A"&amp;MATCH("*"&amp;RIGHT(A2891,8)&amp;"*",Main_Tariff!A:A,0)),Raeburn_Main_Tariff[[#This Row],[PRODUCER]])</f>
        <v>Francois Cotat</v>
      </c>
      <c r="C2891" s="1178" t="s">
        <v>21425</v>
      </c>
      <c r="D2891" s="1178" t="s">
        <v>1129</v>
      </c>
      <c r="E2891" s="1179">
        <v>2022</v>
      </c>
      <c r="F2891" s="1282" t="s">
        <v>20220</v>
      </c>
      <c r="G2891" s="1368" t="s">
        <v>5258</v>
      </c>
      <c r="H2891" s="1178" t="s">
        <v>20221</v>
      </c>
      <c r="I2891" s="1178" t="s">
        <v>8946</v>
      </c>
      <c r="J2891" s="1178" t="s">
        <v>662</v>
      </c>
      <c r="K2891" s="1178" t="s">
        <v>291</v>
      </c>
      <c r="L2891" s="1178" t="s">
        <v>292</v>
      </c>
      <c r="M2891" s="1369"/>
      <c r="N2891" s="1178"/>
      <c r="O2891" s="1178">
        <v>6</v>
      </c>
      <c r="P2891" s="1178">
        <v>13</v>
      </c>
    </row>
    <row r="2892" spans="1:16">
      <c r="A2892" s="1178" t="s">
        <v>294</v>
      </c>
      <c r="B2892" s="1371" t="str">
        <f>HYPERLINK(IFERROR("#Main_Tariff!A"&amp;MATCH(Raeburn_Main_Tariff[[#This Row],[Product Code]],Main_Tariff!I:I,0),"#Main_Tariff!A"&amp;MATCH("*"&amp;RIGHT(A2892,8)&amp;"*",Main_Tariff!A:A,0)),Raeburn_Main_Tariff[[#This Row],[PRODUCER]])</f>
        <v>Francois Cotat</v>
      </c>
      <c r="C2892" s="1178" t="s">
        <v>21426</v>
      </c>
      <c r="D2892" s="1178" t="s">
        <v>1129</v>
      </c>
      <c r="E2892" s="1179">
        <v>2017</v>
      </c>
      <c r="F2892" s="1282" t="s">
        <v>20220</v>
      </c>
      <c r="G2892" s="1368" t="s">
        <v>5258</v>
      </c>
      <c r="H2892" s="1178" t="s">
        <v>20224</v>
      </c>
      <c r="I2892" s="1178" t="s">
        <v>8948</v>
      </c>
      <c r="J2892" s="1178" t="s">
        <v>662</v>
      </c>
      <c r="K2892" s="1178" t="s">
        <v>291</v>
      </c>
      <c r="L2892" s="1178" t="s">
        <v>292</v>
      </c>
      <c r="M2892" s="1369"/>
      <c r="N2892" s="1178"/>
      <c r="O2892" s="1178">
        <v>6</v>
      </c>
      <c r="P2892" s="1178">
        <v>13.5</v>
      </c>
    </row>
    <row r="2893" spans="1:16">
      <c r="A2893" s="1178" t="s">
        <v>21427</v>
      </c>
      <c r="B2893" s="1371" t="str">
        <f>HYPERLINK(IFERROR("#Main_Tariff!A"&amp;MATCH(Raeburn_Main_Tariff[[#This Row],[Product Code]],Main_Tariff!I:I,0),"#Main_Tariff!A"&amp;MATCH("*"&amp;RIGHT(A2893,8)&amp;"*",Main_Tariff!A:A,0)),Raeburn_Main_Tariff[[#This Row],[PRODUCER]])</f>
        <v>D&amp;E Millet Domaine De La Loge</v>
      </c>
      <c r="C2893" s="1178" t="s">
        <v>21428</v>
      </c>
      <c r="D2893" s="1178" t="s">
        <v>1129</v>
      </c>
      <c r="E2893" s="1179">
        <v>2024</v>
      </c>
      <c r="F2893" s="1282" t="s">
        <v>20220</v>
      </c>
      <c r="G2893" s="1368">
        <v>16</v>
      </c>
      <c r="H2893" s="1178" t="s">
        <v>20221</v>
      </c>
      <c r="I2893" s="1178" t="s">
        <v>23303</v>
      </c>
      <c r="J2893" s="1178" t="s">
        <v>662</v>
      </c>
      <c r="K2893" s="1178" t="s">
        <v>291</v>
      </c>
      <c r="L2893" s="1178" t="s">
        <v>21429</v>
      </c>
      <c r="M2893" s="1369"/>
      <c r="N2893" s="1178"/>
      <c r="O2893" s="1178">
        <v>6</v>
      </c>
      <c r="P2893" s="1178">
        <v>12.5</v>
      </c>
    </row>
    <row r="2894" spans="1:16">
      <c r="A2894" s="1178" t="s">
        <v>21427</v>
      </c>
      <c r="B2894" s="1371" t="str">
        <f>HYPERLINK(IFERROR("#Main_Tariff!A"&amp;MATCH(Raeburn_Main_Tariff[[#This Row],[Product Code]],Main_Tariff!I:I,0),"#Main_Tariff!A"&amp;MATCH("*"&amp;RIGHT(A2894,8)&amp;"*",Main_Tariff!A:A,0)),Raeburn_Main_Tariff[[#This Row],[PRODUCER]])</f>
        <v>D&amp;E Millet Domaine De La Loge</v>
      </c>
      <c r="C2894" s="1178" t="s">
        <v>21430</v>
      </c>
      <c r="D2894" s="1178" t="s">
        <v>1129</v>
      </c>
      <c r="E2894" s="1179">
        <v>2023</v>
      </c>
      <c r="F2894" s="1282" t="s">
        <v>20220</v>
      </c>
      <c r="G2894" s="1368">
        <v>17</v>
      </c>
      <c r="H2894" s="1178" t="s">
        <v>20221</v>
      </c>
      <c r="I2894" s="1178" t="s">
        <v>8960</v>
      </c>
      <c r="J2894" s="1178" t="s">
        <v>662</v>
      </c>
      <c r="K2894" s="1178" t="s">
        <v>291</v>
      </c>
      <c r="L2894" s="1178" t="s">
        <v>21429</v>
      </c>
      <c r="M2894" s="1369"/>
      <c r="N2894" s="1178"/>
      <c r="O2894" s="1178">
        <v>6</v>
      </c>
      <c r="P2894" s="1178">
        <v>12.7</v>
      </c>
    </row>
    <row r="2895" spans="1:16">
      <c r="A2895" s="1178" t="s">
        <v>21427</v>
      </c>
      <c r="B2895" s="1371" t="str">
        <f>HYPERLINK(IFERROR("#Main_Tariff!A"&amp;MATCH(Raeburn_Main_Tariff[[#This Row],[Product Code]],Main_Tariff!I:I,0),"#Main_Tariff!A"&amp;MATCH("*"&amp;RIGHT(A2895,8)&amp;"*",Main_Tariff!A:A,0)),Raeburn_Main_Tariff[[#This Row],[PRODUCER]])</f>
        <v>D&amp;E Millet Domaine De La Loge</v>
      </c>
      <c r="C2895" s="1178" t="s">
        <v>21431</v>
      </c>
      <c r="D2895" s="1178" t="s">
        <v>1129</v>
      </c>
      <c r="E2895" s="1179">
        <v>2023</v>
      </c>
      <c r="F2895" s="1282" t="s">
        <v>20220</v>
      </c>
      <c r="G2895" s="1368">
        <v>18</v>
      </c>
      <c r="H2895" s="1178" t="s">
        <v>20221</v>
      </c>
      <c r="I2895" s="1178" t="s">
        <v>8962</v>
      </c>
      <c r="J2895" s="1178" t="s">
        <v>662</v>
      </c>
      <c r="K2895" s="1178" t="s">
        <v>291</v>
      </c>
      <c r="L2895" s="1178" t="s">
        <v>21429</v>
      </c>
      <c r="M2895" s="1369"/>
      <c r="N2895" s="1178"/>
      <c r="O2895" s="1178">
        <v>6</v>
      </c>
      <c r="P2895" s="1178">
        <v>13</v>
      </c>
    </row>
    <row r="2896" spans="1:16">
      <c r="A2896" s="1178" t="s">
        <v>21427</v>
      </c>
      <c r="B2896" s="1371" t="str">
        <f>HYPERLINK(IFERROR("#Main_Tariff!A"&amp;MATCH(Raeburn_Main_Tariff[[#This Row],[Product Code]],Main_Tariff!I:I,0),"#Main_Tariff!A"&amp;MATCH("*"&amp;RIGHT(A2896,8)&amp;"*",Main_Tariff!A:A,0)),Raeburn_Main_Tariff[[#This Row],[PRODUCER]])</f>
        <v>D&amp;E Millet Domaine De La Loge</v>
      </c>
      <c r="C2896" s="1178" t="s">
        <v>21432</v>
      </c>
      <c r="D2896" s="1178" t="s">
        <v>1129</v>
      </c>
      <c r="E2896" s="1179"/>
      <c r="F2896" s="1282" t="s">
        <v>20220</v>
      </c>
      <c r="G2896" s="1368"/>
      <c r="H2896" s="1178" t="s">
        <v>3907</v>
      </c>
      <c r="I2896" s="1178" t="s">
        <v>8964</v>
      </c>
      <c r="J2896" s="1178" t="s">
        <v>662</v>
      </c>
      <c r="K2896" s="1178" t="s">
        <v>291</v>
      </c>
      <c r="L2896" s="1178" t="s">
        <v>21429</v>
      </c>
      <c r="M2896" s="1369"/>
      <c r="N2896" s="1178"/>
      <c r="O2896" s="1178">
        <v>6</v>
      </c>
      <c r="P2896" s="1178">
        <v>13</v>
      </c>
    </row>
    <row r="2897" spans="1:16">
      <c r="A2897" s="1178" t="s">
        <v>21427</v>
      </c>
      <c r="B2897" s="1371" t="str">
        <f>HYPERLINK(IFERROR("#Main_Tariff!A"&amp;MATCH(Raeburn_Main_Tariff[[#This Row],[Product Code]],Main_Tariff!I:I,0),"#Main_Tariff!A"&amp;MATCH("*"&amp;RIGHT(A2897,8)&amp;"*",Main_Tariff!A:A,0)),Raeburn_Main_Tariff[[#This Row],[PRODUCER]])</f>
        <v>D&amp;E Millet Domaine De La Loge</v>
      </c>
      <c r="C2897" s="1178" t="s">
        <v>21433</v>
      </c>
      <c r="D2897" s="1178" t="s">
        <v>1129</v>
      </c>
      <c r="E2897" s="1179">
        <v>2013</v>
      </c>
      <c r="F2897" s="1282" t="s">
        <v>20240</v>
      </c>
      <c r="G2897" s="1368">
        <v>48</v>
      </c>
      <c r="H2897" s="1178" t="s">
        <v>20277</v>
      </c>
      <c r="I2897" s="1178" t="s">
        <v>8967</v>
      </c>
      <c r="J2897" s="1178" t="s">
        <v>662</v>
      </c>
      <c r="K2897" s="1178" t="s">
        <v>291</v>
      </c>
      <c r="L2897" s="1178" t="s">
        <v>21429</v>
      </c>
      <c r="M2897" s="1369"/>
      <c r="N2897" s="1178"/>
      <c r="O2897" s="1178">
        <v>6</v>
      </c>
      <c r="P2897" s="1178">
        <v>12.5</v>
      </c>
    </row>
    <row r="2898" spans="1:16">
      <c r="A2898" s="1178" t="s">
        <v>21434</v>
      </c>
      <c r="B2898" s="1371" t="str">
        <f>HYPERLINK(IFERROR("#Main_Tariff!A"&amp;MATCH(Raeburn_Main_Tariff[[#This Row],[Product Code]],Main_Tariff!I:I,0),"#Main_Tariff!A"&amp;MATCH("*"&amp;RIGHT(A2898,8)&amp;"*",Main_Tariff!A:A,0)),Raeburn_Main_Tariff[[#This Row],[PRODUCER]])</f>
        <v>Sancerre Noël</v>
      </c>
      <c r="C2898" s="1178" t="s">
        <v>21435</v>
      </c>
      <c r="D2898" s="1178" t="s">
        <v>2573</v>
      </c>
      <c r="E2898" s="1179">
        <v>2022</v>
      </c>
      <c r="F2898" s="1282" t="s">
        <v>20220</v>
      </c>
      <c r="G2898" s="1368">
        <v>19.25</v>
      </c>
      <c r="H2898" s="1178" t="s">
        <v>20221</v>
      </c>
      <c r="I2898" s="1178" t="s">
        <v>8974</v>
      </c>
      <c r="J2898" s="1178" t="s">
        <v>662</v>
      </c>
      <c r="K2898" s="1178" t="s">
        <v>291</v>
      </c>
      <c r="L2898" s="1178" t="s">
        <v>292</v>
      </c>
      <c r="M2898" s="1369"/>
      <c r="N2898" s="1178"/>
      <c r="O2898" s="1178">
        <v>6</v>
      </c>
      <c r="P2898" s="1178">
        <v>13.5</v>
      </c>
    </row>
    <row r="2899" spans="1:16">
      <c r="A2899" s="1178" t="s">
        <v>21434</v>
      </c>
      <c r="B2899" s="1371" t="str">
        <f>HYPERLINK(IFERROR("#Main_Tariff!A"&amp;MATCH(Raeburn_Main_Tariff[[#This Row],[Product Code]],Main_Tariff!I:I,0),"#Main_Tariff!A"&amp;MATCH("*"&amp;RIGHT(A2899,8)&amp;"*",Main_Tariff!A:A,0)),Raeburn_Main_Tariff[[#This Row],[PRODUCER]])</f>
        <v>Sancerre Noël</v>
      </c>
      <c r="C2899" s="1178" t="s">
        <v>292</v>
      </c>
      <c r="D2899" s="1178" t="s">
        <v>1129</v>
      </c>
      <c r="E2899" s="1179">
        <v>2023</v>
      </c>
      <c r="F2899" s="1282" t="s">
        <v>20220</v>
      </c>
      <c r="G2899" s="1368">
        <v>19.95</v>
      </c>
      <c r="H2899" s="1178" t="s">
        <v>20221</v>
      </c>
      <c r="I2899" s="1178" t="s">
        <v>8976</v>
      </c>
      <c r="J2899" s="1178" t="s">
        <v>662</v>
      </c>
      <c r="K2899" s="1178" t="s">
        <v>291</v>
      </c>
      <c r="L2899" s="1178" t="s">
        <v>292</v>
      </c>
      <c r="M2899" s="1369"/>
      <c r="N2899" s="1178"/>
      <c r="O2899" s="1178">
        <v>6</v>
      </c>
      <c r="P2899" s="1178">
        <v>13.5</v>
      </c>
    </row>
    <row r="2900" spans="1:16">
      <c r="A2900" s="1178" t="s">
        <v>21434</v>
      </c>
      <c r="B2900" s="1371" t="str">
        <f>HYPERLINK(IFERROR("#Main_Tariff!A"&amp;MATCH(Raeburn_Main_Tariff[[#This Row],[Product Code]],Main_Tariff!I:I,0),"#Main_Tariff!A"&amp;MATCH("*"&amp;RIGHT(A2900,8)&amp;"*",Main_Tariff!A:A,0)),Raeburn_Main_Tariff[[#This Row],[PRODUCER]])</f>
        <v>Sancerre Noël</v>
      </c>
      <c r="C2900" s="1178" t="s">
        <v>21436</v>
      </c>
      <c r="D2900" s="1178" t="s">
        <v>1129</v>
      </c>
      <c r="E2900" s="1179">
        <v>2020</v>
      </c>
      <c r="F2900" s="1282" t="s">
        <v>20220</v>
      </c>
      <c r="G2900" s="1368">
        <v>35.5</v>
      </c>
      <c r="H2900" s="1178" t="s">
        <v>20221</v>
      </c>
      <c r="I2900" s="1178" t="s">
        <v>8978</v>
      </c>
      <c r="J2900" s="1178" t="s">
        <v>662</v>
      </c>
      <c r="K2900" s="1178" t="s">
        <v>291</v>
      </c>
      <c r="L2900" s="1178" t="s">
        <v>292</v>
      </c>
      <c r="M2900" s="1369"/>
      <c r="N2900" s="1178"/>
      <c r="O2900" s="1178">
        <v>6</v>
      </c>
      <c r="P2900" s="1178">
        <v>13.5</v>
      </c>
    </row>
    <row r="2901" spans="1:16">
      <c r="A2901" s="1178" t="s">
        <v>21434</v>
      </c>
      <c r="B2901" s="1371" t="str">
        <f>HYPERLINK(IFERROR("#Main_Tariff!A"&amp;MATCH(Raeburn_Main_Tariff[[#This Row],[Product Code]],Main_Tariff!I:I,0),"#Main_Tariff!A"&amp;MATCH("*"&amp;RIGHT(A2901,8)&amp;"*",Main_Tariff!A:A,0)),Raeburn_Main_Tariff[[#This Row],[PRODUCER]])</f>
        <v>Sancerre Noël</v>
      </c>
      <c r="C2901" s="1178" t="s">
        <v>21436</v>
      </c>
      <c r="D2901" s="1178" t="s">
        <v>1129</v>
      </c>
      <c r="E2901" s="1179">
        <v>2019</v>
      </c>
      <c r="F2901" s="1282" t="s">
        <v>20220</v>
      </c>
      <c r="G2901" s="1368">
        <v>33.5</v>
      </c>
      <c r="H2901" s="1178" t="s">
        <v>20224</v>
      </c>
      <c r="I2901" s="1178" t="s">
        <v>8980</v>
      </c>
      <c r="J2901" s="1178" t="s">
        <v>662</v>
      </c>
      <c r="K2901" s="1178" t="s">
        <v>291</v>
      </c>
      <c r="L2901" s="1178" t="s">
        <v>292</v>
      </c>
      <c r="M2901" s="1369"/>
      <c r="N2901" s="1178"/>
      <c r="O2901" s="1178">
        <v>6</v>
      </c>
      <c r="P2901" s="1178">
        <v>13</v>
      </c>
    </row>
    <row r="2902" spans="1:16">
      <c r="A2902" s="1178" t="s">
        <v>21434</v>
      </c>
      <c r="B2902" s="1371" t="str">
        <f>HYPERLINK(IFERROR("#Main_Tariff!A"&amp;MATCH(Raeburn_Main_Tariff[[#This Row],[Product Code]],Main_Tariff!I:I,0),"#Main_Tariff!A"&amp;MATCH("*"&amp;RIGHT(A2902,8)&amp;"*",Main_Tariff!A:A,0)),Raeburn_Main_Tariff[[#This Row],[PRODUCER]])</f>
        <v>Sancerre Noël</v>
      </c>
      <c r="C2902" s="1178" t="s">
        <v>21437</v>
      </c>
      <c r="D2902" s="1178" t="s">
        <v>897</v>
      </c>
      <c r="E2902" s="1179">
        <v>2021</v>
      </c>
      <c r="F2902" s="1282" t="s">
        <v>20220</v>
      </c>
      <c r="G2902" s="1368">
        <v>18.75</v>
      </c>
      <c r="H2902" s="1178" t="s">
        <v>20221</v>
      </c>
      <c r="I2902" s="1178" t="s">
        <v>8982</v>
      </c>
      <c r="J2902" s="1178" t="s">
        <v>662</v>
      </c>
      <c r="K2902" s="1178" t="s">
        <v>291</v>
      </c>
      <c r="L2902" s="1178" t="s">
        <v>292</v>
      </c>
      <c r="M2902" s="1369"/>
      <c r="N2902" s="1178"/>
      <c r="O2902" s="1178">
        <v>6</v>
      </c>
      <c r="P2902" s="1178">
        <v>13</v>
      </c>
    </row>
    <row r="2903" spans="1:16">
      <c r="A2903" s="1178" t="s">
        <v>21438</v>
      </c>
      <c r="B2903" s="1371" t="str">
        <f>HYPERLINK(IFERROR("#Main_Tariff!A"&amp;MATCH(Raeburn_Main_Tariff[[#This Row],[Product Code]],Main_Tariff!I:I,0),"#Main_Tariff!A"&amp;MATCH("*"&amp;RIGHT(A2903,8)&amp;"*",Main_Tariff!A:A,0)),Raeburn_Main_Tariff[[#This Row],[PRODUCER]])</f>
        <v>Sebastien Riffault</v>
      </c>
      <c r="C2903" s="1178" t="s">
        <v>21439</v>
      </c>
      <c r="D2903" s="1178" t="s">
        <v>897</v>
      </c>
      <c r="E2903" s="1179">
        <v>2013</v>
      </c>
      <c r="F2903" s="1282" t="s">
        <v>20220</v>
      </c>
      <c r="G2903" s="1368">
        <v>22.5</v>
      </c>
      <c r="H2903" s="1178" t="s">
        <v>20221</v>
      </c>
      <c r="I2903" s="1178" t="s">
        <v>8999</v>
      </c>
      <c r="J2903" s="1178" t="s">
        <v>662</v>
      </c>
      <c r="K2903" s="1178" t="s">
        <v>291</v>
      </c>
      <c r="L2903" s="1178" t="s">
        <v>292</v>
      </c>
      <c r="M2903" s="1369"/>
      <c r="N2903" s="1178"/>
      <c r="O2903" s="1178">
        <v>12</v>
      </c>
      <c r="P2903" s="1178">
        <v>13</v>
      </c>
    </row>
    <row r="2904" spans="1:16">
      <c r="A2904" s="1178" t="s">
        <v>299</v>
      </c>
      <c r="B2904" s="1371" t="str">
        <f>HYPERLINK(IFERROR("#Main_Tariff!A"&amp;MATCH(Raeburn_Main_Tariff[[#This Row],[Product Code]],Main_Tariff!I:I,0),"#Main_Tariff!A"&amp;MATCH("*"&amp;RIGHT(A2904,8)&amp;"*",Main_Tariff!A:A,0)),Raeburn_Main_Tariff[[#This Row],[PRODUCER]])</f>
        <v>Bruno Dubois</v>
      </c>
      <c r="C2904" s="1178" t="s">
        <v>21440</v>
      </c>
      <c r="D2904" s="1178" t="s">
        <v>1129</v>
      </c>
      <c r="E2904" s="1179">
        <v>2021</v>
      </c>
      <c r="F2904" s="1282" t="s">
        <v>20220</v>
      </c>
      <c r="G2904" s="1368">
        <v>20.75</v>
      </c>
      <c r="H2904" s="1178" t="s">
        <v>20221</v>
      </c>
      <c r="I2904" s="1178" t="s">
        <v>9016</v>
      </c>
      <c r="J2904" s="1178" t="s">
        <v>662</v>
      </c>
      <c r="K2904" s="1178" t="s">
        <v>291</v>
      </c>
      <c r="L2904" s="1178" t="s">
        <v>298</v>
      </c>
      <c r="M2904" s="1369"/>
      <c r="N2904" s="1178" t="s">
        <v>20244</v>
      </c>
      <c r="O2904" s="1178">
        <v>6</v>
      </c>
      <c r="P2904" s="1178">
        <v>12.5</v>
      </c>
    </row>
    <row r="2905" spans="1:16">
      <c r="A2905" s="1178" t="s">
        <v>299</v>
      </c>
      <c r="B2905" s="1371" t="str">
        <f>HYPERLINK(IFERROR("#Main_Tariff!A"&amp;MATCH(Raeburn_Main_Tariff[[#This Row],[Product Code]],Main_Tariff!I:I,0),"#Main_Tariff!A"&amp;MATCH("*"&amp;RIGHT(A2905,8)&amp;"*",Main_Tariff!A:A,0)),Raeburn_Main_Tariff[[#This Row],[PRODUCER]])</f>
        <v>Bruno Dubois</v>
      </c>
      <c r="C2905" s="1178" t="s">
        <v>21441</v>
      </c>
      <c r="D2905" s="1178" t="s">
        <v>897</v>
      </c>
      <c r="E2905" s="1179">
        <v>2021</v>
      </c>
      <c r="F2905" s="1282" t="s">
        <v>20220</v>
      </c>
      <c r="G2905" s="1368">
        <v>16</v>
      </c>
      <c r="H2905" s="1178" t="s">
        <v>20221</v>
      </c>
      <c r="I2905" s="1178" t="s">
        <v>9020</v>
      </c>
      <c r="J2905" s="1178" t="s">
        <v>662</v>
      </c>
      <c r="K2905" s="1178" t="s">
        <v>291</v>
      </c>
      <c r="L2905" s="1178" t="s">
        <v>298</v>
      </c>
      <c r="M2905" s="1369"/>
      <c r="N2905" s="1178" t="s">
        <v>20244</v>
      </c>
      <c r="O2905" s="1178">
        <v>6</v>
      </c>
      <c r="P2905" s="1178">
        <v>12</v>
      </c>
    </row>
    <row r="2906" spans="1:16">
      <c r="A2906" s="1178" t="s">
        <v>299</v>
      </c>
      <c r="B2906" s="1371" t="str">
        <f>HYPERLINK(IFERROR("#Main_Tariff!A"&amp;MATCH(Raeburn_Main_Tariff[[#This Row],[Product Code]],Main_Tariff!I:I,0),"#Main_Tariff!A"&amp;MATCH("*"&amp;RIGHT(A2906,8)&amp;"*",Main_Tariff!A:A,0)),Raeburn_Main_Tariff[[#This Row],[PRODUCER]])</f>
        <v>Bruno Dubois</v>
      </c>
      <c r="C2906" s="1178" t="s">
        <v>21442</v>
      </c>
      <c r="D2906" s="1178" t="s">
        <v>897</v>
      </c>
      <c r="E2906" s="1179">
        <v>2021</v>
      </c>
      <c r="F2906" s="1282" t="s">
        <v>20220</v>
      </c>
      <c r="G2906" s="1368">
        <v>18.5</v>
      </c>
      <c r="H2906" s="1178" t="s">
        <v>20221</v>
      </c>
      <c r="I2906" s="1178" t="s">
        <v>9022</v>
      </c>
      <c r="J2906" s="1178" t="s">
        <v>662</v>
      </c>
      <c r="K2906" s="1178" t="s">
        <v>291</v>
      </c>
      <c r="L2906" s="1178" t="s">
        <v>298</v>
      </c>
      <c r="M2906" s="1369"/>
      <c r="N2906" s="1178" t="s">
        <v>20244</v>
      </c>
      <c r="O2906" s="1178">
        <v>6</v>
      </c>
      <c r="P2906" s="1178">
        <v>12.5</v>
      </c>
    </row>
    <row r="2907" spans="1:16">
      <c r="A2907" s="1178" t="s">
        <v>299</v>
      </c>
      <c r="B2907" s="1371" t="str">
        <f>HYPERLINK(IFERROR("#Main_Tariff!A"&amp;MATCH(Raeburn_Main_Tariff[[#This Row],[Product Code]],Main_Tariff!I:I,0),"#Main_Tariff!A"&amp;MATCH("*"&amp;RIGHT(A2907,8)&amp;"*",Main_Tariff!A:A,0)),Raeburn_Main_Tariff[[#This Row],[PRODUCER]])</f>
        <v>Bruno Dubois</v>
      </c>
      <c r="C2907" s="1178" t="s">
        <v>21443</v>
      </c>
      <c r="D2907" s="1178" t="s">
        <v>897</v>
      </c>
      <c r="E2907" s="1179">
        <v>2018</v>
      </c>
      <c r="F2907" s="1282" t="s">
        <v>20220</v>
      </c>
      <c r="G2907" s="1368">
        <v>22</v>
      </c>
      <c r="H2907" s="1178" t="s">
        <v>20221</v>
      </c>
      <c r="I2907" s="1178" t="s">
        <v>9024</v>
      </c>
      <c r="J2907" s="1178" t="s">
        <v>662</v>
      </c>
      <c r="K2907" s="1178" t="s">
        <v>291</v>
      </c>
      <c r="L2907" s="1178" t="s">
        <v>298</v>
      </c>
      <c r="M2907" s="1369"/>
      <c r="N2907" s="1178" t="s">
        <v>20244</v>
      </c>
      <c r="O2907" s="1178">
        <v>6</v>
      </c>
      <c r="P2907" s="1178">
        <v>14</v>
      </c>
    </row>
    <row r="2908" spans="1:16">
      <c r="A2908" s="1178" t="s">
        <v>21444</v>
      </c>
      <c r="B2908" s="1371" t="str">
        <f>HYPERLINK(IFERROR("#Main_Tariff!A"&amp;MATCH(Raeburn_Main_Tariff[[#This Row],[Product Code]],Main_Tariff!I:I,0),"#Main_Tariff!A"&amp;MATCH("*"&amp;RIGHT(A2908,8)&amp;"*",Main_Tariff!A:A,0)),Raeburn_Main_Tariff[[#This Row],[PRODUCER]])</f>
        <v>Domaine Arnaud Lambert</v>
      </c>
      <c r="C2908" s="1178" t="s">
        <v>21445</v>
      </c>
      <c r="D2908" s="1178" t="s">
        <v>897</v>
      </c>
      <c r="E2908" s="1179">
        <v>2011</v>
      </c>
      <c r="F2908" s="1282" t="s">
        <v>20220</v>
      </c>
      <c r="G2908" s="1368">
        <v>26</v>
      </c>
      <c r="H2908" s="1178" t="s">
        <v>20224</v>
      </c>
      <c r="I2908" s="1178" t="s">
        <v>9072</v>
      </c>
      <c r="J2908" s="1178" t="s">
        <v>662</v>
      </c>
      <c r="K2908" s="1178" t="s">
        <v>291</v>
      </c>
      <c r="L2908" s="1178" t="s">
        <v>298</v>
      </c>
      <c r="M2908" s="1369"/>
      <c r="N2908" s="1178"/>
      <c r="O2908" s="1178">
        <v>6</v>
      </c>
      <c r="P2908" s="1178">
        <v>13</v>
      </c>
    </row>
    <row r="2909" spans="1:16">
      <c r="A2909" s="1178" t="s">
        <v>21446</v>
      </c>
      <c r="B2909" s="1371" t="str">
        <f>HYPERLINK(IFERROR("#Main_Tariff!A"&amp;MATCH(Raeburn_Main_Tariff[[#This Row],[Product Code]],Main_Tariff!I:I,0),"#Main_Tariff!A"&amp;MATCH("*"&amp;RIGHT(A2909,8)&amp;"*",Main_Tariff!A:A,0)),Raeburn_Main_Tariff[[#This Row],[PRODUCER]])</f>
        <v>Domaine Pichot</v>
      </c>
      <c r="C2909" s="1178" t="s">
        <v>21447</v>
      </c>
      <c r="D2909" s="1178" t="s">
        <v>1129</v>
      </c>
      <c r="E2909" s="1179"/>
      <c r="F2909" s="1282" t="s">
        <v>20220</v>
      </c>
      <c r="G2909" s="1368"/>
      <c r="H2909" s="1178" t="s">
        <v>3907</v>
      </c>
      <c r="I2909" s="1178" t="s">
        <v>9088</v>
      </c>
      <c r="J2909" s="1178" t="s">
        <v>662</v>
      </c>
      <c r="K2909" s="1178" t="s">
        <v>291</v>
      </c>
      <c r="L2909" s="1178" t="s">
        <v>301</v>
      </c>
      <c r="M2909" s="1369"/>
      <c r="N2909" s="1178"/>
      <c r="O2909" s="1178">
        <v>6</v>
      </c>
      <c r="P2909" s="1178">
        <v>12</v>
      </c>
    </row>
    <row r="2910" spans="1:16">
      <c r="A2910" s="1178" t="s">
        <v>21446</v>
      </c>
      <c r="B2910" s="1371" t="str">
        <f>HYPERLINK(IFERROR("#Main_Tariff!A"&amp;MATCH(Raeburn_Main_Tariff[[#This Row],[Product Code]],Main_Tariff!I:I,0),"#Main_Tariff!A"&amp;MATCH("*"&amp;RIGHT(A2910,8)&amp;"*",Main_Tariff!A:A,0)),Raeburn_Main_Tariff[[#This Row],[PRODUCER]])</f>
        <v>Domaine Pichot</v>
      </c>
      <c r="C2910" s="1178" t="s">
        <v>21448</v>
      </c>
      <c r="D2910" s="1178" t="s">
        <v>1129</v>
      </c>
      <c r="E2910" s="1179">
        <v>2022</v>
      </c>
      <c r="F2910" s="1282" t="s">
        <v>20220</v>
      </c>
      <c r="G2910" s="1368">
        <v>17.5</v>
      </c>
      <c r="H2910" s="1178" t="s">
        <v>20221</v>
      </c>
      <c r="I2910" s="1178" t="s">
        <v>9092</v>
      </c>
      <c r="J2910" s="1178" t="s">
        <v>662</v>
      </c>
      <c r="K2910" s="1178" t="s">
        <v>291</v>
      </c>
      <c r="L2910" s="1178" t="s">
        <v>301</v>
      </c>
      <c r="M2910" s="1369"/>
      <c r="N2910" s="1178"/>
      <c r="O2910" s="1178">
        <v>6</v>
      </c>
      <c r="P2910" s="1178">
        <v>12</v>
      </c>
    </row>
    <row r="2911" spans="1:16">
      <c r="A2911" s="1178" t="s">
        <v>21446</v>
      </c>
      <c r="B2911" s="1371" t="str">
        <f>HYPERLINK(IFERROR("#Main_Tariff!A"&amp;MATCH(Raeburn_Main_Tariff[[#This Row],[Product Code]],Main_Tariff!I:I,0),"#Main_Tariff!A"&amp;MATCH("*"&amp;RIGHT(A2911,8)&amp;"*",Main_Tariff!A:A,0)),Raeburn_Main_Tariff[[#This Row],[PRODUCER]])</f>
        <v>Domaine Pichot</v>
      </c>
      <c r="C2911" s="1178" t="s">
        <v>21448</v>
      </c>
      <c r="D2911" s="1178" t="s">
        <v>1129</v>
      </c>
      <c r="E2911" s="1179">
        <v>2015</v>
      </c>
      <c r="F2911" s="1282" t="s">
        <v>20220</v>
      </c>
      <c r="G2911" s="1368">
        <v>16.5</v>
      </c>
      <c r="H2911" s="1178" t="s">
        <v>20221</v>
      </c>
      <c r="I2911" s="1178" t="s">
        <v>9093</v>
      </c>
      <c r="J2911" s="1178" t="s">
        <v>662</v>
      </c>
      <c r="K2911" s="1178" t="s">
        <v>291</v>
      </c>
      <c r="L2911" s="1178" t="s">
        <v>301</v>
      </c>
      <c r="M2911" s="1369"/>
      <c r="N2911" s="1178"/>
      <c r="O2911" s="1178">
        <v>12</v>
      </c>
      <c r="P2911" s="1178">
        <v>12</v>
      </c>
    </row>
    <row r="2912" spans="1:16">
      <c r="A2912" s="1178" t="s">
        <v>21446</v>
      </c>
      <c r="B2912" s="1371" t="str">
        <f>HYPERLINK(IFERROR("#Main_Tariff!A"&amp;MATCH(Raeburn_Main_Tariff[[#This Row],[Product Code]],Main_Tariff!I:I,0),"#Main_Tariff!A"&amp;MATCH("*"&amp;RIGHT(A2912,8)&amp;"*",Main_Tariff!A:A,0)),Raeburn_Main_Tariff[[#This Row],[PRODUCER]])</f>
        <v>Domaine Pichot</v>
      </c>
      <c r="C2912" s="1178" t="s">
        <v>21448</v>
      </c>
      <c r="D2912" s="1178" t="s">
        <v>1129</v>
      </c>
      <c r="E2912" s="1179">
        <v>2012</v>
      </c>
      <c r="F2912" s="1282" t="s">
        <v>20220</v>
      </c>
      <c r="G2912" s="1368">
        <v>16.5</v>
      </c>
      <c r="H2912" s="1178" t="s">
        <v>20277</v>
      </c>
      <c r="I2912" s="1178" t="s">
        <v>9095</v>
      </c>
      <c r="J2912" s="1178" t="s">
        <v>662</v>
      </c>
      <c r="K2912" s="1178" t="s">
        <v>291</v>
      </c>
      <c r="L2912" s="1178" t="s">
        <v>301</v>
      </c>
      <c r="M2912" s="1369"/>
      <c r="N2912" s="1178"/>
      <c r="O2912" s="1178">
        <v>6</v>
      </c>
      <c r="P2912" s="1178">
        <v>12.5</v>
      </c>
    </row>
    <row r="2913" spans="1:16">
      <c r="A2913" s="1178" t="s">
        <v>21446</v>
      </c>
      <c r="B2913" s="1371" t="str">
        <f>HYPERLINK(IFERROR("#Main_Tariff!A"&amp;MATCH(Raeburn_Main_Tariff[[#This Row],[Product Code]],Main_Tariff!I:I,0),"#Main_Tariff!A"&amp;MATCH("*"&amp;RIGHT(A2913,8)&amp;"*",Main_Tariff!A:A,0)),Raeburn_Main_Tariff[[#This Row],[PRODUCER]])</f>
        <v>Domaine Pichot</v>
      </c>
      <c r="C2913" s="1178" t="s">
        <v>21449</v>
      </c>
      <c r="D2913" s="1178" t="s">
        <v>1129</v>
      </c>
      <c r="E2913" s="1179">
        <v>2021</v>
      </c>
      <c r="F2913" s="1282" t="s">
        <v>20220</v>
      </c>
      <c r="G2913" s="1368">
        <v>25.5</v>
      </c>
      <c r="H2913" s="1178" t="s">
        <v>20221</v>
      </c>
      <c r="I2913" s="1178" t="s">
        <v>9097</v>
      </c>
      <c r="J2913" s="1178" t="s">
        <v>662</v>
      </c>
      <c r="K2913" s="1178" t="s">
        <v>291</v>
      </c>
      <c r="L2913" s="1178" t="s">
        <v>301</v>
      </c>
      <c r="M2913" s="1369"/>
      <c r="N2913" s="1178"/>
      <c r="O2913" s="1178">
        <v>6</v>
      </c>
      <c r="P2913" s="1178">
        <v>12</v>
      </c>
    </row>
    <row r="2914" spans="1:16">
      <c r="A2914" s="1178" t="s">
        <v>21446</v>
      </c>
      <c r="B2914" s="1371" t="str">
        <f>HYPERLINK(IFERROR("#Main_Tariff!A"&amp;MATCH(Raeburn_Main_Tariff[[#This Row],[Product Code]],Main_Tariff!I:I,0),"#Main_Tariff!A"&amp;MATCH("*"&amp;RIGHT(A2914,8)&amp;"*",Main_Tariff!A:A,0)),Raeburn_Main_Tariff[[#This Row],[PRODUCER]])</f>
        <v>Domaine Pichot</v>
      </c>
      <c r="C2914" s="1178" t="s">
        <v>21450</v>
      </c>
      <c r="D2914" s="1178" t="s">
        <v>1129</v>
      </c>
      <c r="E2914" s="1179">
        <v>2019</v>
      </c>
      <c r="F2914" s="1282" t="s">
        <v>20220</v>
      </c>
      <c r="G2914" s="1368">
        <v>17.5</v>
      </c>
      <c r="H2914" s="1178" t="s">
        <v>20221</v>
      </c>
      <c r="I2914" s="1178" t="s">
        <v>9101</v>
      </c>
      <c r="J2914" s="1178" t="s">
        <v>662</v>
      </c>
      <c r="K2914" s="1178" t="s">
        <v>291</v>
      </c>
      <c r="L2914" s="1178" t="s">
        <v>301</v>
      </c>
      <c r="M2914" s="1369"/>
      <c r="N2914" s="1178"/>
      <c r="O2914" s="1178">
        <v>6</v>
      </c>
      <c r="P2914" s="1178">
        <v>12</v>
      </c>
    </row>
    <row r="2915" spans="1:16">
      <c r="A2915" s="1178" t="s">
        <v>21446</v>
      </c>
      <c r="B2915" s="1371" t="str">
        <f>HYPERLINK(IFERROR("#Main_Tariff!A"&amp;MATCH(Raeburn_Main_Tariff[[#This Row],[Product Code]],Main_Tariff!I:I,0),"#Main_Tariff!A"&amp;MATCH("*"&amp;RIGHT(A2915,8)&amp;"*",Main_Tariff!A:A,0)),Raeburn_Main_Tariff[[#This Row],[PRODUCER]])</f>
        <v>Domaine Pichot</v>
      </c>
      <c r="C2915" s="1178" t="s">
        <v>21450</v>
      </c>
      <c r="D2915" s="1178" t="s">
        <v>1129</v>
      </c>
      <c r="E2915" s="1179">
        <v>2010</v>
      </c>
      <c r="F2915" s="1282" t="s">
        <v>20220</v>
      </c>
      <c r="G2915" s="1368">
        <v>17.5</v>
      </c>
      <c r="H2915" s="1178" t="s">
        <v>20224</v>
      </c>
      <c r="I2915" s="1178" t="s">
        <v>9103</v>
      </c>
      <c r="J2915" s="1178" t="s">
        <v>662</v>
      </c>
      <c r="K2915" s="1178" t="s">
        <v>291</v>
      </c>
      <c r="L2915" s="1178" t="s">
        <v>301</v>
      </c>
      <c r="M2915" s="1369"/>
      <c r="N2915" s="1178"/>
      <c r="O2915" s="1178">
        <v>6</v>
      </c>
      <c r="P2915" s="1178">
        <v>12</v>
      </c>
    </row>
    <row r="2916" spans="1:16">
      <c r="A2916" s="1178" t="s">
        <v>21446</v>
      </c>
      <c r="B2916" s="1371" t="str">
        <f>HYPERLINK(IFERROR("#Main_Tariff!A"&amp;MATCH(Raeburn_Main_Tariff[[#This Row],[Product Code]],Main_Tariff!I:I,0),"#Main_Tariff!A"&amp;MATCH("*"&amp;RIGHT(A2916,8)&amp;"*",Main_Tariff!A:A,0)),Raeburn_Main_Tariff[[#This Row],[PRODUCER]])</f>
        <v>Domaine Pichot</v>
      </c>
      <c r="C2916" s="1178" t="s">
        <v>21450</v>
      </c>
      <c r="D2916" s="1178" t="s">
        <v>1129</v>
      </c>
      <c r="E2916" s="1179">
        <v>2009</v>
      </c>
      <c r="F2916" s="1282" t="s">
        <v>20220</v>
      </c>
      <c r="G2916" s="1368">
        <v>17.5</v>
      </c>
      <c r="H2916" s="1178" t="s">
        <v>20221</v>
      </c>
      <c r="I2916" s="1178" t="s">
        <v>9105</v>
      </c>
      <c r="J2916" s="1178" t="s">
        <v>662</v>
      </c>
      <c r="K2916" s="1178" t="s">
        <v>291</v>
      </c>
      <c r="L2916" s="1178" t="s">
        <v>301</v>
      </c>
      <c r="M2916" s="1369"/>
      <c r="N2916" s="1178"/>
      <c r="O2916" s="1178">
        <v>6</v>
      </c>
      <c r="P2916" s="1178">
        <v>12</v>
      </c>
    </row>
    <row r="2917" spans="1:16">
      <c r="A2917" s="1178" t="s">
        <v>21446</v>
      </c>
      <c r="B2917" s="1371" t="str">
        <f>HYPERLINK(IFERROR("#Main_Tariff!A"&amp;MATCH(Raeburn_Main_Tariff[[#This Row],[Product Code]],Main_Tariff!I:I,0),"#Main_Tariff!A"&amp;MATCH("*"&amp;RIGHT(A2917,8)&amp;"*",Main_Tariff!A:A,0)),Raeburn_Main_Tariff[[#This Row],[PRODUCER]])</f>
        <v>Domaine Pichot</v>
      </c>
      <c r="C2917" s="1178" t="s">
        <v>21450</v>
      </c>
      <c r="D2917" s="1178" t="s">
        <v>1129</v>
      </c>
      <c r="E2917" s="1179">
        <v>2005</v>
      </c>
      <c r="F2917" s="1282" t="s">
        <v>20220</v>
      </c>
      <c r="G2917" s="1368">
        <v>19</v>
      </c>
      <c r="H2917" s="1178" t="s">
        <v>20224</v>
      </c>
      <c r="I2917" s="1178" t="s">
        <v>9107</v>
      </c>
      <c r="J2917" s="1178" t="s">
        <v>662</v>
      </c>
      <c r="K2917" s="1178" t="s">
        <v>291</v>
      </c>
      <c r="L2917" s="1178" t="s">
        <v>301</v>
      </c>
      <c r="M2917" s="1369"/>
      <c r="N2917" s="1178"/>
      <c r="O2917" s="1178">
        <v>6</v>
      </c>
      <c r="P2917" s="1178">
        <v>12.5</v>
      </c>
    </row>
    <row r="2918" spans="1:16">
      <c r="A2918" s="1178" t="s">
        <v>21446</v>
      </c>
      <c r="B2918" s="1371" t="str">
        <f>HYPERLINK(IFERROR("#Main_Tariff!A"&amp;MATCH(Raeburn_Main_Tariff[[#This Row],[Product Code]],Main_Tariff!I:I,0),"#Main_Tariff!A"&amp;MATCH("*"&amp;RIGHT(A2918,8)&amp;"*",Main_Tariff!A:A,0)),Raeburn_Main_Tariff[[#This Row],[PRODUCER]])</f>
        <v>Domaine Pichot</v>
      </c>
      <c r="C2918" s="1178" t="s">
        <v>21451</v>
      </c>
      <c r="D2918" s="1178" t="s">
        <v>1410</v>
      </c>
      <c r="E2918" s="1179">
        <v>2020</v>
      </c>
      <c r="F2918" s="1282" t="s">
        <v>20220</v>
      </c>
      <c r="G2918" s="1368">
        <v>27</v>
      </c>
      <c r="H2918" s="1178" t="s">
        <v>20221</v>
      </c>
      <c r="I2918" s="1178" t="s">
        <v>9111</v>
      </c>
      <c r="J2918" s="1178" t="s">
        <v>662</v>
      </c>
      <c r="K2918" s="1178" t="s">
        <v>291</v>
      </c>
      <c r="L2918" s="1178" t="s">
        <v>301</v>
      </c>
      <c r="M2918" s="1369"/>
      <c r="N2918" s="1178"/>
      <c r="O2918" s="1178">
        <v>6</v>
      </c>
      <c r="P2918" s="1178">
        <v>12</v>
      </c>
    </row>
    <row r="2919" spans="1:16">
      <c r="A2919" s="1178" t="s">
        <v>21446</v>
      </c>
      <c r="B2919" s="1371" t="str">
        <f>HYPERLINK(IFERROR("#Main_Tariff!A"&amp;MATCH(Raeburn_Main_Tariff[[#This Row],[Product Code]],Main_Tariff!I:I,0),"#Main_Tariff!A"&amp;MATCH("*"&amp;RIGHT(A2919,8)&amp;"*",Main_Tariff!A:A,0)),Raeburn_Main_Tariff[[#This Row],[PRODUCER]])</f>
        <v>Domaine Pichot</v>
      </c>
      <c r="C2919" s="1178" t="s">
        <v>21452</v>
      </c>
      <c r="D2919" s="1178" t="s">
        <v>1410</v>
      </c>
      <c r="E2919" s="1179">
        <v>2009</v>
      </c>
      <c r="F2919" s="1282" t="s">
        <v>20220</v>
      </c>
      <c r="G2919" s="1368">
        <v>39.5</v>
      </c>
      <c r="H2919" s="1178" t="s">
        <v>20221</v>
      </c>
      <c r="I2919" s="1178" t="s">
        <v>9113</v>
      </c>
      <c r="J2919" s="1178" t="s">
        <v>662</v>
      </c>
      <c r="K2919" s="1178" t="s">
        <v>291</v>
      </c>
      <c r="L2919" s="1178" t="s">
        <v>301</v>
      </c>
      <c r="M2919" s="1369"/>
      <c r="N2919" s="1178"/>
      <c r="O2919" s="1178">
        <v>6</v>
      </c>
      <c r="P2919" s="1178">
        <v>12.5</v>
      </c>
    </row>
    <row r="2920" spans="1:16">
      <c r="A2920" s="1178" t="s">
        <v>21446</v>
      </c>
      <c r="B2920" s="1371" t="str">
        <f>HYPERLINK(IFERROR("#Main_Tariff!A"&amp;MATCH(Raeburn_Main_Tariff[[#This Row],[Product Code]],Main_Tariff!I:I,0),"#Main_Tariff!A"&amp;MATCH("*"&amp;RIGHT(A2920,8)&amp;"*",Main_Tariff!A:A,0)),Raeburn_Main_Tariff[[#This Row],[PRODUCER]])</f>
        <v>Domaine Pichot</v>
      </c>
      <c r="C2920" s="1178" t="s">
        <v>21452</v>
      </c>
      <c r="D2920" s="1178" t="s">
        <v>1410</v>
      </c>
      <c r="E2920" s="1179">
        <v>1995</v>
      </c>
      <c r="F2920" s="1282" t="s">
        <v>20220</v>
      </c>
      <c r="G2920" s="1368">
        <v>44.5</v>
      </c>
      <c r="H2920" s="1178" t="s">
        <v>20277</v>
      </c>
      <c r="I2920" s="1178" t="s">
        <v>9115</v>
      </c>
      <c r="J2920" s="1178" t="s">
        <v>662</v>
      </c>
      <c r="K2920" s="1178" t="s">
        <v>291</v>
      </c>
      <c r="L2920" s="1178" t="s">
        <v>301</v>
      </c>
      <c r="M2920" s="1369"/>
      <c r="N2920" s="1178"/>
      <c r="O2920" s="1178">
        <v>6</v>
      </c>
      <c r="P2920" s="1178">
        <v>12.5</v>
      </c>
    </row>
    <row r="2921" spans="1:16">
      <c r="A2921" s="1178" t="s">
        <v>21446</v>
      </c>
      <c r="B2921" s="1371" t="str">
        <f>HYPERLINK(IFERROR("#Main_Tariff!A"&amp;MATCH(Raeburn_Main_Tariff[[#This Row],[Product Code]],Main_Tariff!I:I,0),"#Main_Tariff!A"&amp;MATCH("*"&amp;RIGHT(A2921,8)&amp;"*",Main_Tariff!A:A,0)),Raeburn_Main_Tariff[[#This Row],[PRODUCER]])</f>
        <v>Domaine Pichot</v>
      </c>
      <c r="C2921" s="1178" t="s">
        <v>21453</v>
      </c>
      <c r="D2921" s="1178" t="s">
        <v>1410</v>
      </c>
      <c r="E2921" s="1179">
        <v>2009</v>
      </c>
      <c r="F2921" s="1282" t="s">
        <v>20220</v>
      </c>
      <c r="G2921" s="1368">
        <v>79.5</v>
      </c>
      <c r="H2921" s="1178" t="s">
        <v>20224</v>
      </c>
      <c r="I2921" s="1178" t="s">
        <v>9117</v>
      </c>
      <c r="J2921" s="1178" t="s">
        <v>662</v>
      </c>
      <c r="K2921" s="1178" t="s">
        <v>291</v>
      </c>
      <c r="L2921" s="1178" t="s">
        <v>301</v>
      </c>
      <c r="M2921" s="1369"/>
      <c r="N2921" s="1178"/>
      <c r="O2921" s="1178">
        <v>6</v>
      </c>
      <c r="P2921" s="1178">
        <v>12.5</v>
      </c>
    </row>
    <row r="2922" spans="1:16">
      <c r="A2922" s="1178" t="s">
        <v>21454</v>
      </c>
      <c r="B2922" s="1371" t="str">
        <f>HYPERLINK(IFERROR("#Main_Tariff!A"&amp;MATCH(Raeburn_Main_Tariff[[#This Row],[Product Code]],Main_Tariff!I:I,0),"#Main_Tariff!A"&amp;MATCH("*"&amp;RIGHT(A2922,8)&amp;"*",Main_Tariff!A:A,0)),Raeburn_Main_Tariff[[#This Row],[PRODUCER]])</f>
        <v>Johann Spelty Domaine du Caroi Portier</v>
      </c>
      <c r="C2922" s="1178" t="s">
        <v>21455</v>
      </c>
      <c r="D2922" s="1178" t="s">
        <v>1129</v>
      </c>
      <c r="E2922" s="1179">
        <v>2015</v>
      </c>
      <c r="F2922" s="1282" t="s">
        <v>20220</v>
      </c>
      <c r="G2922" s="1368">
        <v>16.5</v>
      </c>
      <c r="H2922" s="1178" t="s">
        <v>20221</v>
      </c>
      <c r="I2922" s="1178" t="s">
        <v>9146</v>
      </c>
      <c r="J2922" s="1178" t="s">
        <v>662</v>
      </c>
      <c r="K2922" s="1178" t="s">
        <v>291</v>
      </c>
      <c r="L2922" s="1178" t="s">
        <v>303</v>
      </c>
      <c r="M2922" s="1369"/>
      <c r="N2922" s="1178"/>
      <c r="O2922" s="1178">
        <v>12</v>
      </c>
      <c r="P2922" s="1178">
        <v>13.5</v>
      </c>
    </row>
    <row r="2923" spans="1:16">
      <c r="A2923" s="1178" t="s">
        <v>21454</v>
      </c>
      <c r="B2923" s="1371" t="str">
        <f>HYPERLINK(IFERROR("#Main_Tariff!A"&amp;MATCH(Raeburn_Main_Tariff[[#This Row],[Product Code]],Main_Tariff!I:I,0),"#Main_Tariff!A"&amp;MATCH("*"&amp;RIGHT(A2923,8)&amp;"*",Main_Tariff!A:A,0)),Raeburn_Main_Tariff[[#This Row],[PRODUCER]])</f>
        <v>Johann Spelty Domaine du Caroi Portier</v>
      </c>
      <c r="C2923" s="1178" t="s">
        <v>21456</v>
      </c>
      <c r="D2923" s="1178" t="s">
        <v>897</v>
      </c>
      <c r="E2923" s="1179">
        <v>2007</v>
      </c>
      <c r="F2923" s="1282" t="s">
        <v>20220</v>
      </c>
      <c r="G2923" s="1368">
        <v>23.5</v>
      </c>
      <c r="H2923" s="1178" t="s">
        <v>20224</v>
      </c>
      <c r="I2923" s="1178" t="s">
        <v>9149</v>
      </c>
      <c r="J2923" s="1178" t="s">
        <v>662</v>
      </c>
      <c r="K2923" s="1178" t="s">
        <v>291</v>
      </c>
      <c r="L2923" s="1178" t="s">
        <v>303</v>
      </c>
      <c r="M2923" s="1369"/>
      <c r="N2923" s="1178"/>
      <c r="O2923" s="1178">
        <v>12</v>
      </c>
      <c r="P2923" s="1178">
        <v>13</v>
      </c>
    </row>
    <row r="2924" spans="1:16">
      <c r="A2924" s="1178" t="s">
        <v>21454</v>
      </c>
      <c r="B2924" s="1371" t="str">
        <f>HYPERLINK(IFERROR("#Main_Tariff!A"&amp;MATCH(Raeburn_Main_Tariff[[#This Row],[Product Code]],Main_Tariff!I:I,0),"#Main_Tariff!A"&amp;MATCH("*"&amp;RIGHT(A2924,8)&amp;"*",Main_Tariff!A:A,0)),Raeburn_Main_Tariff[[#This Row],[PRODUCER]])</f>
        <v>Johann Spelty Domaine du Caroi Portier</v>
      </c>
      <c r="C2924" s="1178" t="s">
        <v>21457</v>
      </c>
      <c r="D2924" s="1178" t="s">
        <v>897</v>
      </c>
      <c r="E2924" s="1179">
        <v>2011</v>
      </c>
      <c r="F2924" s="1282" t="s">
        <v>20240</v>
      </c>
      <c r="G2924" s="1368">
        <v>35</v>
      </c>
      <c r="H2924" s="1178" t="s">
        <v>20221</v>
      </c>
      <c r="I2924" s="1178" t="s">
        <v>9153</v>
      </c>
      <c r="J2924" s="1178" t="s">
        <v>662</v>
      </c>
      <c r="K2924" s="1178" t="s">
        <v>291</v>
      </c>
      <c r="L2924" s="1178" t="s">
        <v>303</v>
      </c>
      <c r="M2924" s="1369"/>
      <c r="N2924" s="1178"/>
      <c r="O2924" s="1178">
        <v>6</v>
      </c>
      <c r="P2924" s="1178">
        <v>12.5</v>
      </c>
    </row>
    <row r="2925" spans="1:16">
      <c r="A2925" s="1178" t="s">
        <v>21454</v>
      </c>
      <c r="B2925" s="1371" t="str">
        <f>HYPERLINK(IFERROR("#Main_Tariff!A"&amp;MATCH(Raeburn_Main_Tariff[[#This Row],[Product Code]],Main_Tariff!I:I,0),"#Main_Tariff!A"&amp;MATCH("*"&amp;RIGHT(A2925,8)&amp;"*",Main_Tariff!A:A,0)),Raeburn_Main_Tariff[[#This Row],[PRODUCER]])</f>
        <v>Johann Spelty Domaine du Caroi Portier</v>
      </c>
      <c r="C2925" s="1178" t="s">
        <v>21457</v>
      </c>
      <c r="D2925" s="1178" t="s">
        <v>897</v>
      </c>
      <c r="E2925" s="1179">
        <v>2005</v>
      </c>
      <c r="F2925" s="1282" t="s">
        <v>20240</v>
      </c>
      <c r="G2925" s="1368">
        <v>40</v>
      </c>
      <c r="H2925" s="1178" t="s">
        <v>20224</v>
      </c>
      <c r="I2925" s="1178" t="s">
        <v>9155</v>
      </c>
      <c r="J2925" s="1178" t="s">
        <v>662</v>
      </c>
      <c r="K2925" s="1178" t="s">
        <v>291</v>
      </c>
      <c r="L2925" s="1178" t="s">
        <v>303</v>
      </c>
      <c r="M2925" s="1369"/>
      <c r="N2925" s="1178"/>
      <c r="O2925" s="1178">
        <v>6</v>
      </c>
      <c r="P2925" s="1178">
        <v>12.5</v>
      </c>
    </row>
    <row r="2926" spans="1:16">
      <c r="A2926" s="1178" t="s">
        <v>21454</v>
      </c>
      <c r="B2926" s="1371" t="str">
        <f>HYPERLINK(IFERROR("#Main_Tariff!A"&amp;MATCH(Raeburn_Main_Tariff[[#This Row],[Product Code]],Main_Tariff!I:I,0),"#Main_Tariff!A"&amp;MATCH("*"&amp;RIGHT(A2926,8)&amp;"*",Main_Tariff!A:A,0)),Raeburn_Main_Tariff[[#This Row],[PRODUCER]])</f>
        <v>Johann Spelty Domaine du Caroi Portier</v>
      </c>
      <c r="C2926" s="1178" t="s">
        <v>21458</v>
      </c>
      <c r="D2926" s="1178" t="s">
        <v>897</v>
      </c>
      <c r="E2926" s="1179">
        <v>2010</v>
      </c>
      <c r="F2926" s="1282" t="s">
        <v>20240</v>
      </c>
      <c r="G2926" s="1368">
        <v>42</v>
      </c>
      <c r="H2926" s="1178" t="s">
        <v>20221</v>
      </c>
      <c r="I2926" s="1178" t="s">
        <v>9157</v>
      </c>
      <c r="J2926" s="1178" t="s">
        <v>662</v>
      </c>
      <c r="K2926" s="1178" t="s">
        <v>291</v>
      </c>
      <c r="L2926" s="1178" t="s">
        <v>303</v>
      </c>
      <c r="M2926" s="1369"/>
      <c r="N2926" s="1178"/>
      <c r="O2926" s="1178">
        <v>6</v>
      </c>
      <c r="P2926" s="1178">
        <v>14</v>
      </c>
    </row>
    <row r="2927" spans="1:16">
      <c r="A2927" s="1178" t="s">
        <v>21454</v>
      </c>
      <c r="B2927" s="1371" t="str">
        <f>HYPERLINK(IFERROR("#Main_Tariff!A"&amp;MATCH(Raeburn_Main_Tariff[[#This Row],[Product Code]],Main_Tariff!I:I,0),"#Main_Tariff!A"&amp;MATCH("*"&amp;RIGHT(A2927,8)&amp;"*",Main_Tariff!A:A,0)),Raeburn_Main_Tariff[[#This Row],[PRODUCER]])</f>
        <v>Johann Spelty Domaine du Caroi Portier</v>
      </c>
      <c r="C2927" s="1178" t="s">
        <v>21458</v>
      </c>
      <c r="D2927" s="1178" t="s">
        <v>897</v>
      </c>
      <c r="E2927" s="1179">
        <v>2009</v>
      </c>
      <c r="F2927" s="1282" t="s">
        <v>20240</v>
      </c>
      <c r="G2927" s="1368">
        <v>42</v>
      </c>
      <c r="H2927" s="1178" t="s">
        <v>20221</v>
      </c>
      <c r="I2927" s="1178" t="s">
        <v>9159</v>
      </c>
      <c r="J2927" s="1178" t="s">
        <v>662</v>
      </c>
      <c r="K2927" s="1178" t="s">
        <v>291</v>
      </c>
      <c r="L2927" s="1178" t="s">
        <v>303</v>
      </c>
      <c r="M2927" s="1369"/>
      <c r="N2927" s="1178"/>
      <c r="O2927" s="1178">
        <v>6</v>
      </c>
      <c r="P2927" s="1178">
        <v>14</v>
      </c>
    </row>
    <row r="2928" spans="1:16">
      <c r="A2928" s="1178" t="s">
        <v>21454</v>
      </c>
      <c r="B2928" s="1371" t="str">
        <f>HYPERLINK(IFERROR("#Main_Tariff!A"&amp;MATCH(Raeburn_Main_Tariff[[#This Row],[Product Code]],Main_Tariff!I:I,0),"#Main_Tariff!A"&amp;MATCH("*"&amp;RIGHT(A2928,8)&amp;"*",Main_Tariff!A:A,0)),Raeburn_Main_Tariff[[#This Row],[PRODUCER]])</f>
        <v>Johann Spelty Domaine du Caroi Portier</v>
      </c>
      <c r="C2928" s="1178" t="s">
        <v>21458</v>
      </c>
      <c r="D2928" s="1178" t="s">
        <v>897</v>
      </c>
      <c r="E2928" s="1179">
        <v>2005</v>
      </c>
      <c r="F2928" s="1282" t="s">
        <v>20240</v>
      </c>
      <c r="G2928" s="1368">
        <v>44</v>
      </c>
      <c r="H2928" s="1178" t="s">
        <v>20221</v>
      </c>
      <c r="I2928" s="1178" t="s">
        <v>9161</v>
      </c>
      <c r="J2928" s="1178" t="s">
        <v>662</v>
      </c>
      <c r="K2928" s="1178" t="s">
        <v>291</v>
      </c>
      <c r="L2928" s="1178" t="s">
        <v>303</v>
      </c>
      <c r="M2928" s="1369"/>
      <c r="N2928" s="1178"/>
      <c r="O2928" s="1178">
        <v>6</v>
      </c>
      <c r="P2928" s="1178">
        <v>14</v>
      </c>
    </row>
    <row r="2929" spans="1:16">
      <c r="A2929" s="1178" t="s">
        <v>306</v>
      </c>
      <c r="B2929" s="1371" t="str">
        <f>HYPERLINK(IFERROR("#Main_Tariff!A"&amp;MATCH(Raeburn_Main_Tariff[[#This Row],[Product Code]],Main_Tariff!I:I,0),"#Main_Tariff!A"&amp;MATCH("*"&amp;RIGHT(A2929,8)&amp;"*",Main_Tariff!A:A,0)),Raeburn_Main_Tariff[[#This Row],[PRODUCER]])</f>
        <v>Bonnet-Huteau</v>
      </c>
      <c r="C2929" s="1178" t="s">
        <v>21459</v>
      </c>
      <c r="D2929" s="1178" t="s">
        <v>1129</v>
      </c>
      <c r="E2929" s="1179">
        <v>2023</v>
      </c>
      <c r="F2929" s="1282" t="s">
        <v>20220</v>
      </c>
      <c r="G2929" s="1368">
        <v>12.5</v>
      </c>
      <c r="H2929" s="1178" t="s">
        <v>20221</v>
      </c>
      <c r="I2929" s="1178" t="s">
        <v>9179</v>
      </c>
      <c r="J2929" s="1178" t="s">
        <v>662</v>
      </c>
      <c r="K2929" s="1178" t="s">
        <v>291</v>
      </c>
      <c r="L2929" s="1178" t="s">
        <v>305</v>
      </c>
      <c r="M2929" s="1369"/>
      <c r="N2929" s="1178" t="s">
        <v>20244</v>
      </c>
      <c r="O2929" s="1178">
        <v>12</v>
      </c>
      <c r="P2929" s="1178">
        <v>12</v>
      </c>
    </row>
    <row r="2930" spans="1:16">
      <c r="A2930" s="1178" t="s">
        <v>306</v>
      </c>
      <c r="B2930" s="1371" t="str">
        <f>HYPERLINK(IFERROR("#Main_Tariff!A"&amp;MATCH(Raeburn_Main_Tariff[[#This Row],[Product Code]],Main_Tariff!I:I,0),"#Main_Tariff!A"&amp;MATCH("*"&amp;RIGHT(A2930,8)&amp;"*",Main_Tariff!A:A,0)),Raeburn_Main_Tariff[[#This Row],[PRODUCER]])</f>
        <v>Bonnet-Huteau</v>
      </c>
      <c r="C2930" s="1178" t="s">
        <v>21460</v>
      </c>
      <c r="D2930" s="1178" t="s">
        <v>1129</v>
      </c>
      <c r="E2930" s="1179">
        <v>2022</v>
      </c>
      <c r="F2930" s="1282" t="s">
        <v>20220</v>
      </c>
      <c r="G2930" s="1368">
        <v>14.5</v>
      </c>
      <c r="H2930" s="1178" t="s">
        <v>20277</v>
      </c>
      <c r="I2930" s="1178" t="s">
        <v>9181</v>
      </c>
      <c r="J2930" s="1178" t="s">
        <v>662</v>
      </c>
      <c r="K2930" s="1178" t="s">
        <v>291</v>
      </c>
      <c r="L2930" s="1178" t="s">
        <v>305</v>
      </c>
      <c r="M2930" s="1369"/>
      <c r="N2930" s="1178" t="s">
        <v>20244</v>
      </c>
      <c r="O2930" s="1178">
        <v>6</v>
      </c>
      <c r="P2930" s="1178">
        <v>12</v>
      </c>
    </row>
    <row r="2931" spans="1:16">
      <c r="A2931" s="1178" t="s">
        <v>306</v>
      </c>
      <c r="B2931" s="1371" t="str">
        <f>HYPERLINK(IFERROR("#Main_Tariff!A"&amp;MATCH(Raeburn_Main_Tariff[[#This Row],[Product Code]],Main_Tariff!I:I,0),"#Main_Tariff!A"&amp;MATCH("*"&amp;RIGHT(A2931,8)&amp;"*",Main_Tariff!A:A,0)),Raeburn_Main_Tariff[[#This Row],[PRODUCER]])</f>
        <v>Bonnet-Huteau</v>
      </c>
      <c r="C2931" s="1178" t="s">
        <v>21461</v>
      </c>
      <c r="D2931" s="1178" t="s">
        <v>1129</v>
      </c>
      <c r="E2931" s="1179">
        <v>2020</v>
      </c>
      <c r="F2931" s="1282" t="s">
        <v>20220</v>
      </c>
      <c r="G2931" s="1368">
        <v>17.75</v>
      </c>
      <c r="H2931" s="1178" t="s">
        <v>20221</v>
      </c>
      <c r="I2931" s="1178" t="s">
        <v>9183</v>
      </c>
      <c r="J2931" s="1178" t="s">
        <v>662</v>
      </c>
      <c r="K2931" s="1178" t="s">
        <v>291</v>
      </c>
      <c r="L2931" s="1178" t="s">
        <v>305</v>
      </c>
      <c r="M2931" s="1369"/>
      <c r="N2931" s="1178" t="s">
        <v>20244</v>
      </c>
      <c r="O2931" s="1178">
        <v>6</v>
      </c>
      <c r="P2931" s="1178">
        <v>12.5</v>
      </c>
    </row>
    <row r="2932" spans="1:16">
      <c r="A2932" s="1178" t="s">
        <v>308</v>
      </c>
      <c r="B2932" s="1371" t="str">
        <f>HYPERLINK(IFERROR("#Main_Tariff!A"&amp;MATCH(Raeburn_Main_Tariff[[#This Row],[Product Code]],Main_Tariff!I:I,0),"#Main_Tariff!A"&amp;MATCH("*"&amp;RIGHT(A2932,8)&amp;"*",Main_Tariff!A:A,0)),Raeburn_Main_Tariff[[#This Row],[PRODUCER]])</f>
        <v>Thierry Allemand</v>
      </c>
      <c r="C2932" s="1178" t="s">
        <v>21462</v>
      </c>
      <c r="D2932" s="1178" t="s">
        <v>897</v>
      </c>
      <c r="E2932" s="1179"/>
      <c r="F2932" s="1282" t="s">
        <v>20220</v>
      </c>
      <c r="G2932" s="1368" t="s">
        <v>5258</v>
      </c>
      <c r="H2932" s="1178" t="s">
        <v>20221</v>
      </c>
      <c r="I2932" s="1178" t="s">
        <v>9202</v>
      </c>
      <c r="J2932" s="1178" t="s">
        <v>662</v>
      </c>
      <c r="K2932" s="1178" t="s">
        <v>307</v>
      </c>
      <c r="L2932" s="1178"/>
      <c r="M2932" s="1369"/>
      <c r="N2932" s="1178"/>
      <c r="O2932" s="1178">
        <v>6</v>
      </c>
      <c r="P2932" s="1178">
        <v>14.5</v>
      </c>
    </row>
    <row r="2933" spans="1:16">
      <c r="A2933" s="1178" t="s">
        <v>308</v>
      </c>
      <c r="B2933" s="1371" t="str">
        <f>HYPERLINK(IFERROR("#Main_Tariff!A"&amp;MATCH(Raeburn_Main_Tariff[[#This Row],[Product Code]],Main_Tariff!I:I,0),"#Main_Tariff!A"&amp;MATCH("*"&amp;RIGHT(A2933,8)&amp;"*",Main_Tariff!A:A,0)),Raeburn_Main_Tariff[[#This Row],[PRODUCER]])</f>
        <v>Thierry Allemand</v>
      </c>
      <c r="C2933" s="1178" t="s">
        <v>21463</v>
      </c>
      <c r="D2933" s="1178" t="s">
        <v>897</v>
      </c>
      <c r="E2933" s="1179"/>
      <c r="F2933" s="1282" t="s">
        <v>20220</v>
      </c>
      <c r="G2933" s="1368" t="s">
        <v>5258</v>
      </c>
      <c r="H2933" s="1178" t="s">
        <v>20221</v>
      </c>
      <c r="I2933" s="1178" t="s">
        <v>9204</v>
      </c>
      <c r="J2933" s="1178" t="s">
        <v>662</v>
      </c>
      <c r="K2933" s="1178" t="s">
        <v>307</v>
      </c>
      <c r="L2933" s="1178"/>
      <c r="M2933" s="1369"/>
      <c r="N2933" s="1178"/>
      <c r="O2933" s="1178">
        <v>6</v>
      </c>
      <c r="P2933" s="1178">
        <v>14.5</v>
      </c>
    </row>
    <row r="2934" spans="1:16">
      <c r="A2934" s="1178" t="s">
        <v>309</v>
      </c>
      <c r="B2934" s="1371" t="str">
        <f>HYPERLINK(IFERROR("#Main_Tariff!A"&amp;MATCH(Raeburn_Main_Tariff[[#This Row],[Product Code]],Main_Tariff!I:I,0),"#Main_Tariff!A"&amp;MATCH("*"&amp;RIGHT(A2934,8)&amp;"*",Main_Tariff!A:A,0)),Raeburn_Main_Tariff[[#This Row],[PRODUCER]])</f>
        <v>J.L. Chave Selection</v>
      </c>
      <c r="C2934" s="1178" t="s">
        <v>21464</v>
      </c>
      <c r="D2934" s="1178" t="s">
        <v>1129</v>
      </c>
      <c r="E2934" s="1179">
        <v>2023</v>
      </c>
      <c r="F2934" s="1282" t="s">
        <v>20220</v>
      </c>
      <c r="G2934" s="1368">
        <v>18.95</v>
      </c>
      <c r="H2934" s="1178" t="s">
        <v>20221</v>
      </c>
      <c r="I2934" s="1178" t="s">
        <v>9215</v>
      </c>
      <c r="J2934" s="1178" t="s">
        <v>662</v>
      </c>
      <c r="K2934" s="1178" t="s">
        <v>307</v>
      </c>
      <c r="L2934" s="1178"/>
      <c r="M2934" s="1369"/>
      <c r="N2934" s="1178"/>
      <c r="O2934" s="1178">
        <v>12</v>
      </c>
      <c r="P2934" s="1178">
        <v>13</v>
      </c>
    </row>
    <row r="2935" spans="1:16">
      <c r="A2935" s="1178" t="s">
        <v>309</v>
      </c>
      <c r="B2935" s="1371" t="str">
        <f>HYPERLINK(IFERROR("#Main_Tariff!A"&amp;MATCH(Raeburn_Main_Tariff[[#This Row],[Product Code]],Main_Tariff!I:I,0),"#Main_Tariff!A"&amp;MATCH("*"&amp;RIGHT(A2935,8)&amp;"*",Main_Tariff!A:A,0)),Raeburn_Main_Tariff[[#This Row],[PRODUCER]])</f>
        <v>J.L. Chave Selection</v>
      </c>
      <c r="C2935" s="1178" t="s">
        <v>21464</v>
      </c>
      <c r="D2935" s="1178" t="s">
        <v>1129</v>
      </c>
      <c r="E2935" s="1179">
        <v>2022</v>
      </c>
      <c r="F2935" s="1282" t="s">
        <v>20220</v>
      </c>
      <c r="G2935" s="1368">
        <v>17.75</v>
      </c>
      <c r="H2935" s="1178" t="s">
        <v>20221</v>
      </c>
      <c r="I2935" s="1178" t="s">
        <v>9217</v>
      </c>
      <c r="J2935" s="1178" t="s">
        <v>662</v>
      </c>
      <c r="K2935" s="1178" t="s">
        <v>307</v>
      </c>
      <c r="L2935" s="1178"/>
      <c r="M2935" s="1369"/>
      <c r="N2935" s="1178"/>
      <c r="O2935" s="1178">
        <v>12</v>
      </c>
      <c r="P2935" s="1178">
        <v>14</v>
      </c>
    </row>
    <row r="2936" spans="1:16">
      <c r="A2936" s="1178" t="s">
        <v>309</v>
      </c>
      <c r="B2936" s="1371" t="str">
        <f>HYPERLINK(IFERROR("#Main_Tariff!A"&amp;MATCH(Raeburn_Main_Tariff[[#This Row],[Product Code]],Main_Tariff!I:I,0),"#Main_Tariff!A"&amp;MATCH("*"&amp;RIGHT(A2936,8)&amp;"*",Main_Tariff!A:A,0)),Raeburn_Main_Tariff[[#This Row],[PRODUCER]])</f>
        <v>J.L. Chave Selection</v>
      </c>
      <c r="C2936" s="1178" t="s">
        <v>21464</v>
      </c>
      <c r="D2936" s="1178" t="s">
        <v>1129</v>
      </c>
      <c r="E2936" s="1179">
        <v>2021</v>
      </c>
      <c r="F2936" s="1282" t="s">
        <v>20220</v>
      </c>
      <c r="G2936" s="1368">
        <v>17.75</v>
      </c>
      <c r="H2936" s="1178" t="s">
        <v>20221</v>
      </c>
      <c r="I2936" s="1178" t="s">
        <v>9219</v>
      </c>
      <c r="J2936" s="1178" t="s">
        <v>662</v>
      </c>
      <c r="K2936" s="1178" t="s">
        <v>307</v>
      </c>
      <c r="L2936" s="1178"/>
      <c r="M2936" s="1369"/>
      <c r="N2936" s="1178"/>
      <c r="O2936" s="1178">
        <v>12</v>
      </c>
      <c r="P2936" s="1178">
        <v>13</v>
      </c>
    </row>
    <row r="2937" spans="1:16">
      <c r="A2937" s="1178" t="s">
        <v>309</v>
      </c>
      <c r="B2937" s="1371" t="str">
        <f>HYPERLINK(IFERROR("#Main_Tariff!A"&amp;MATCH(Raeburn_Main_Tariff[[#This Row],[Product Code]],Main_Tariff!I:I,0),"#Main_Tariff!A"&amp;MATCH("*"&amp;RIGHT(A2937,8)&amp;"*",Main_Tariff!A:A,0)),Raeburn_Main_Tariff[[#This Row],[PRODUCER]])</f>
        <v>J.L. Chave Selection</v>
      </c>
      <c r="C2937" s="1178" t="s">
        <v>21464</v>
      </c>
      <c r="D2937" s="1178" t="s">
        <v>1129</v>
      </c>
      <c r="E2937" s="1179">
        <v>2020</v>
      </c>
      <c r="F2937" s="1282" t="s">
        <v>20220</v>
      </c>
      <c r="G2937" s="1368">
        <v>17.5</v>
      </c>
      <c r="H2937" s="1178" t="s">
        <v>20221</v>
      </c>
      <c r="I2937" s="1178" t="s">
        <v>9221</v>
      </c>
      <c r="J2937" s="1178" t="s">
        <v>662</v>
      </c>
      <c r="K2937" s="1178" t="s">
        <v>307</v>
      </c>
      <c r="L2937" s="1178"/>
      <c r="M2937" s="1369"/>
      <c r="N2937" s="1178"/>
      <c r="O2937" s="1178">
        <v>12</v>
      </c>
      <c r="P2937" s="1178">
        <v>14.5</v>
      </c>
    </row>
    <row r="2938" spans="1:16">
      <c r="A2938" s="1178" t="s">
        <v>309</v>
      </c>
      <c r="B2938" s="1371" t="str">
        <f>HYPERLINK(IFERROR("#Main_Tariff!A"&amp;MATCH(Raeburn_Main_Tariff[[#This Row],[Product Code]],Main_Tariff!I:I,0),"#Main_Tariff!A"&amp;MATCH("*"&amp;RIGHT(A2938,8)&amp;"*",Main_Tariff!A:A,0)),Raeburn_Main_Tariff[[#This Row],[PRODUCER]])</f>
        <v>J.L. Chave Selection</v>
      </c>
      <c r="C2938" s="1178" t="s">
        <v>21465</v>
      </c>
      <c r="D2938" s="1178" t="s">
        <v>1129</v>
      </c>
      <c r="E2938" s="1179">
        <v>2023</v>
      </c>
      <c r="F2938" s="1282" t="s">
        <v>20220</v>
      </c>
      <c r="G2938" s="1368">
        <v>21.95</v>
      </c>
      <c r="H2938" s="1178" t="s">
        <v>20221</v>
      </c>
      <c r="I2938" s="1178" t="s">
        <v>9223</v>
      </c>
      <c r="J2938" s="1178" t="s">
        <v>662</v>
      </c>
      <c r="K2938" s="1178" t="s">
        <v>307</v>
      </c>
      <c r="L2938" s="1178"/>
      <c r="M2938" s="1369"/>
      <c r="N2938" s="1178"/>
      <c r="O2938" s="1178">
        <v>12</v>
      </c>
      <c r="P2938" s="1178">
        <v>13.5</v>
      </c>
    </row>
    <row r="2939" spans="1:16">
      <c r="A2939" s="1178" t="s">
        <v>309</v>
      </c>
      <c r="B2939" s="1371" t="str">
        <f>HYPERLINK(IFERROR("#Main_Tariff!A"&amp;MATCH(Raeburn_Main_Tariff[[#This Row],[Product Code]],Main_Tariff!I:I,0),"#Main_Tariff!A"&amp;MATCH("*"&amp;RIGHT(A2939,8)&amp;"*",Main_Tariff!A:A,0)),Raeburn_Main_Tariff[[#This Row],[PRODUCER]])</f>
        <v>J.L. Chave Selection</v>
      </c>
      <c r="C2939" s="1178" t="s">
        <v>21465</v>
      </c>
      <c r="D2939" s="1178" t="s">
        <v>1129</v>
      </c>
      <c r="E2939" s="1179">
        <v>2022</v>
      </c>
      <c r="F2939" s="1282" t="s">
        <v>20220</v>
      </c>
      <c r="G2939" s="1368">
        <v>21</v>
      </c>
      <c r="H2939" s="1178" t="s">
        <v>20221</v>
      </c>
      <c r="I2939" s="1178" t="s">
        <v>9225</v>
      </c>
      <c r="J2939" s="1178" t="s">
        <v>662</v>
      </c>
      <c r="K2939" s="1178" t="s">
        <v>307</v>
      </c>
      <c r="L2939" s="1178"/>
      <c r="M2939" s="1369"/>
      <c r="N2939" s="1178"/>
      <c r="O2939" s="1178">
        <v>12</v>
      </c>
      <c r="P2939" s="1178">
        <v>14.5</v>
      </c>
    </row>
    <row r="2940" spans="1:16">
      <c r="A2940" s="1178" t="s">
        <v>309</v>
      </c>
      <c r="B2940" s="1371" t="str">
        <f>HYPERLINK(IFERROR("#Main_Tariff!A"&amp;MATCH(Raeburn_Main_Tariff[[#This Row],[Product Code]],Main_Tariff!I:I,0),"#Main_Tariff!A"&amp;MATCH("*"&amp;RIGHT(A2940,8)&amp;"*",Main_Tariff!A:A,0)),Raeburn_Main_Tariff[[#This Row],[PRODUCER]])</f>
        <v>J.L. Chave Selection</v>
      </c>
      <c r="C2940" s="1178" t="s">
        <v>21465</v>
      </c>
      <c r="D2940" s="1178" t="s">
        <v>1129</v>
      </c>
      <c r="E2940" s="1179">
        <v>2021</v>
      </c>
      <c r="F2940" s="1282" t="s">
        <v>20220</v>
      </c>
      <c r="G2940" s="1368">
        <v>21</v>
      </c>
      <c r="H2940" s="1178" t="s">
        <v>20221</v>
      </c>
      <c r="I2940" s="1178" t="s">
        <v>9227</v>
      </c>
      <c r="J2940" s="1178" t="s">
        <v>662</v>
      </c>
      <c r="K2940" s="1178" t="s">
        <v>307</v>
      </c>
      <c r="L2940" s="1178"/>
      <c r="M2940" s="1369"/>
      <c r="N2940" s="1178"/>
      <c r="O2940" s="1178">
        <v>12</v>
      </c>
      <c r="P2940" s="1178">
        <v>13.5</v>
      </c>
    </row>
    <row r="2941" spans="1:16">
      <c r="A2941" s="1178" t="s">
        <v>309</v>
      </c>
      <c r="B2941" s="1371" t="str">
        <f>HYPERLINK(IFERROR("#Main_Tariff!A"&amp;MATCH(Raeburn_Main_Tariff[[#This Row],[Product Code]],Main_Tariff!I:I,0),"#Main_Tariff!A"&amp;MATCH("*"&amp;RIGHT(A2941,8)&amp;"*",Main_Tariff!A:A,0)),Raeburn_Main_Tariff[[#This Row],[PRODUCER]])</f>
        <v>J.L. Chave Selection</v>
      </c>
      <c r="C2941" s="1178" t="s">
        <v>21466</v>
      </c>
      <c r="D2941" s="1178" t="s">
        <v>1129</v>
      </c>
      <c r="E2941" s="1179">
        <v>2021</v>
      </c>
      <c r="F2941" s="1282" t="s">
        <v>20220</v>
      </c>
      <c r="G2941" s="1368">
        <v>39.5</v>
      </c>
      <c r="H2941" s="1178" t="s">
        <v>20221</v>
      </c>
      <c r="I2941" s="1178" t="s">
        <v>9230</v>
      </c>
      <c r="J2941" s="1178" t="s">
        <v>662</v>
      </c>
      <c r="K2941" s="1178" t="s">
        <v>307</v>
      </c>
      <c r="L2941" s="1178"/>
      <c r="M2941" s="1369"/>
      <c r="N2941" s="1178"/>
      <c r="O2941" s="1178">
        <v>12</v>
      </c>
      <c r="P2941" s="1178">
        <v>14.5</v>
      </c>
    </row>
    <row r="2942" spans="1:16">
      <c r="A2942" s="1178" t="s">
        <v>309</v>
      </c>
      <c r="B2942" s="1371" t="str">
        <f>HYPERLINK(IFERROR("#Main_Tariff!A"&amp;MATCH(Raeburn_Main_Tariff[[#This Row],[Product Code]],Main_Tariff!I:I,0),"#Main_Tariff!A"&amp;MATCH("*"&amp;RIGHT(A2942,8)&amp;"*",Main_Tariff!A:A,0)),Raeburn_Main_Tariff[[#This Row],[PRODUCER]])</f>
        <v>J.L. Chave Selection</v>
      </c>
      <c r="C2942" s="1178" t="s">
        <v>21466</v>
      </c>
      <c r="D2942" s="1178" t="s">
        <v>1129</v>
      </c>
      <c r="E2942" s="1179">
        <v>2020</v>
      </c>
      <c r="F2942" s="1282" t="s">
        <v>20220</v>
      </c>
      <c r="G2942" s="1368">
        <v>38.5</v>
      </c>
      <c r="H2942" s="1178" t="s">
        <v>20221</v>
      </c>
      <c r="I2942" s="1178" t="s">
        <v>9232</v>
      </c>
      <c r="J2942" s="1178" t="s">
        <v>662</v>
      </c>
      <c r="K2942" s="1178" t="s">
        <v>307</v>
      </c>
      <c r="L2942" s="1178"/>
      <c r="M2942" s="1369"/>
      <c r="N2942" s="1178"/>
      <c r="O2942" s="1178">
        <v>12</v>
      </c>
      <c r="P2942" s="1178">
        <v>15</v>
      </c>
    </row>
    <row r="2943" spans="1:16">
      <c r="A2943" s="1178" t="s">
        <v>309</v>
      </c>
      <c r="B2943" s="1371" t="str">
        <f>HYPERLINK(IFERROR("#Main_Tariff!A"&amp;MATCH(Raeburn_Main_Tariff[[#This Row],[Product Code]],Main_Tariff!I:I,0),"#Main_Tariff!A"&amp;MATCH("*"&amp;RIGHT(A2943,8)&amp;"*",Main_Tariff!A:A,0)),Raeburn_Main_Tariff[[#This Row],[PRODUCER]])</f>
        <v>J.L. Chave Selection</v>
      </c>
      <c r="C2943" s="1178" t="s">
        <v>21466</v>
      </c>
      <c r="D2943" s="1178" t="s">
        <v>1129</v>
      </c>
      <c r="E2943" s="1179">
        <v>2019</v>
      </c>
      <c r="F2943" s="1282" t="s">
        <v>20220</v>
      </c>
      <c r="G2943" s="1368">
        <v>37.25</v>
      </c>
      <c r="H2943" s="1178" t="s">
        <v>20277</v>
      </c>
      <c r="I2943" s="1178" t="s">
        <v>9234</v>
      </c>
      <c r="J2943" s="1178" t="s">
        <v>662</v>
      </c>
      <c r="K2943" s="1178" t="s">
        <v>307</v>
      </c>
      <c r="L2943" s="1178"/>
      <c r="M2943" s="1369"/>
      <c r="N2943" s="1178"/>
      <c r="O2943" s="1178">
        <v>12</v>
      </c>
      <c r="P2943" s="1178">
        <v>15</v>
      </c>
    </row>
    <row r="2944" spans="1:16">
      <c r="A2944" s="1178" t="s">
        <v>309</v>
      </c>
      <c r="B2944" s="1371" t="str">
        <f>HYPERLINK(IFERROR("#Main_Tariff!A"&amp;MATCH(Raeburn_Main_Tariff[[#This Row],[Product Code]],Main_Tariff!I:I,0),"#Main_Tariff!A"&amp;MATCH("*"&amp;RIGHT(A2944,8)&amp;"*",Main_Tariff!A:A,0)),Raeburn_Main_Tariff[[#This Row],[PRODUCER]])</f>
        <v>J.L. Chave Selection</v>
      </c>
      <c r="C2944" s="1178" t="s">
        <v>21467</v>
      </c>
      <c r="D2944" s="1178" t="s">
        <v>897</v>
      </c>
      <c r="E2944" s="1179">
        <v>2023</v>
      </c>
      <c r="F2944" s="1282" t="s">
        <v>20220</v>
      </c>
      <c r="G2944" s="1368">
        <v>15.75</v>
      </c>
      <c r="H2944" s="1178" t="s">
        <v>20221</v>
      </c>
      <c r="I2944" s="1178" t="s">
        <v>9238</v>
      </c>
      <c r="J2944" s="1178" t="s">
        <v>662</v>
      </c>
      <c r="K2944" s="1178" t="s">
        <v>307</v>
      </c>
      <c r="L2944" s="1178"/>
      <c r="M2944" s="1369"/>
      <c r="N2944" s="1178"/>
      <c r="O2944" s="1178">
        <v>12</v>
      </c>
      <c r="P2944" s="1178">
        <v>15</v>
      </c>
    </row>
    <row r="2945" spans="1:16">
      <c r="A2945" s="1178" t="s">
        <v>309</v>
      </c>
      <c r="B2945" s="1371" t="str">
        <f>HYPERLINK(IFERROR("#Main_Tariff!A"&amp;MATCH(Raeburn_Main_Tariff[[#This Row],[Product Code]],Main_Tariff!I:I,0),"#Main_Tariff!A"&amp;MATCH("*"&amp;RIGHT(A2945,8)&amp;"*",Main_Tariff!A:A,0)),Raeburn_Main_Tariff[[#This Row],[PRODUCER]])</f>
        <v>J.L. Chave Selection</v>
      </c>
      <c r="C2945" s="1178" t="s">
        <v>21467</v>
      </c>
      <c r="D2945" s="1178" t="s">
        <v>897</v>
      </c>
      <c r="E2945" s="1179">
        <v>2022</v>
      </c>
      <c r="F2945" s="1282" t="s">
        <v>20220</v>
      </c>
      <c r="G2945" s="1368">
        <v>15.25</v>
      </c>
      <c r="H2945" s="1178" t="s">
        <v>20221</v>
      </c>
      <c r="I2945" s="1178" t="s">
        <v>9240</v>
      </c>
      <c r="J2945" s="1178" t="s">
        <v>662</v>
      </c>
      <c r="K2945" s="1178" t="s">
        <v>307</v>
      </c>
      <c r="L2945" s="1178"/>
      <c r="M2945" s="1369"/>
      <c r="N2945" s="1178"/>
      <c r="O2945" s="1178">
        <v>12</v>
      </c>
      <c r="P2945" s="1178">
        <v>15</v>
      </c>
    </row>
    <row r="2946" spans="1:16">
      <c r="A2946" s="1178" t="s">
        <v>309</v>
      </c>
      <c r="B2946" s="1371" t="str">
        <f>HYPERLINK(IFERROR("#Main_Tariff!A"&amp;MATCH(Raeburn_Main_Tariff[[#This Row],[Product Code]],Main_Tariff!I:I,0),"#Main_Tariff!A"&amp;MATCH("*"&amp;RIGHT(A2946,8)&amp;"*",Main_Tariff!A:A,0)),Raeburn_Main_Tariff[[#This Row],[PRODUCER]])</f>
        <v>J.L. Chave Selection</v>
      </c>
      <c r="C2946" s="1178" t="s">
        <v>21467</v>
      </c>
      <c r="D2946" s="1178" t="s">
        <v>897</v>
      </c>
      <c r="E2946" s="1179">
        <v>2021</v>
      </c>
      <c r="F2946" s="1282" t="s">
        <v>20220</v>
      </c>
      <c r="G2946" s="1368">
        <v>15</v>
      </c>
      <c r="H2946" s="1178" t="s">
        <v>20221</v>
      </c>
      <c r="I2946" s="1178" t="s">
        <v>9242</v>
      </c>
      <c r="J2946" s="1178" t="s">
        <v>662</v>
      </c>
      <c r="K2946" s="1178" t="s">
        <v>307</v>
      </c>
      <c r="L2946" s="1178"/>
      <c r="M2946" s="1369"/>
      <c r="N2946" s="1178"/>
      <c r="O2946" s="1178">
        <v>12</v>
      </c>
      <c r="P2946" s="1178">
        <v>12</v>
      </c>
    </row>
    <row r="2947" spans="1:16">
      <c r="A2947" s="1178" t="s">
        <v>309</v>
      </c>
      <c r="B2947" s="1371" t="str">
        <f>HYPERLINK(IFERROR("#Main_Tariff!A"&amp;MATCH(Raeburn_Main_Tariff[[#This Row],[Product Code]],Main_Tariff!I:I,0),"#Main_Tariff!A"&amp;MATCH("*"&amp;RIGHT(A2947,8)&amp;"*",Main_Tariff!A:A,0)),Raeburn_Main_Tariff[[#This Row],[PRODUCER]])</f>
        <v>J.L. Chave Selection</v>
      </c>
      <c r="C2947" s="1178" t="s">
        <v>21467</v>
      </c>
      <c r="D2947" s="1178" t="s">
        <v>897</v>
      </c>
      <c r="E2947" s="1179">
        <v>2020</v>
      </c>
      <c r="F2947" s="1282" t="s">
        <v>20220</v>
      </c>
      <c r="G2947" s="1368">
        <v>14.5</v>
      </c>
      <c r="H2947" s="1178" t="s">
        <v>20221</v>
      </c>
      <c r="I2947" s="1178" t="s">
        <v>9244</v>
      </c>
      <c r="J2947" s="1178" t="s">
        <v>662</v>
      </c>
      <c r="K2947" s="1178" t="s">
        <v>307</v>
      </c>
      <c r="L2947" s="1178"/>
      <c r="M2947" s="1369"/>
      <c r="N2947" s="1178"/>
      <c r="O2947" s="1178">
        <v>12</v>
      </c>
      <c r="P2947" s="1178">
        <v>15</v>
      </c>
    </row>
    <row r="2948" spans="1:16">
      <c r="A2948" s="1178" t="s">
        <v>309</v>
      </c>
      <c r="B2948" s="1371" t="str">
        <f>HYPERLINK(IFERROR("#Main_Tariff!A"&amp;MATCH(Raeburn_Main_Tariff[[#This Row],[Product Code]],Main_Tariff!I:I,0),"#Main_Tariff!A"&amp;MATCH("*"&amp;RIGHT(A2948,8)&amp;"*",Main_Tariff!A:A,0)),Raeburn_Main_Tariff[[#This Row],[PRODUCER]])</f>
        <v>J.L. Chave Selection</v>
      </c>
      <c r="C2948" s="1178" t="s">
        <v>21467</v>
      </c>
      <c r="D2948" s="1178" t="s">
        <v>897</v>
      </c>
      <c r="E2948" s="1179">
        <v>2019</v>
      </c>
      <c r="F2948" s="1282" t="s">
        <v>20220</v>
      </c>
      <c r="G2948" s="1368">
        <v>14.25</v>
      </c>
      <c r="H2948" s="1178" t="s">
        <v>20221</v>
      </c>
      <c r="I2948" s="1178" t="s">
        <v>9245</v>
      </c>
      <c r="J2948" s="1178" t="s">
        <v>662</v>
      </c>
      <c r="K2948" s="1178" t="s">
        <v>307</v>
      </c>
      <c r="L2948" s="1178"/>
      <c r="M2948" s="1369"/>
      <c r="N2948" s="1178"/>
      <c r="O2948" s="1178">
        <v>12</v>
      </c>
      <c r="P2948" s="1178">
        <v>14.5</v>
      </c>
    </row>
    <row r="2949" spans="1:16">
      <c r="A2949" s="1178" t="s">
        <v>309</v>
      </c>
      <c r="B2949" s="1371" t="str">
        <f>HYPERLINK(IFERROR("#Main_Tariff!A"&amp;MATCH(Raeburn_Main_Tariff[[#This Row],[Product Code]],Main_Tariff!I:I,0),"#Main_Tariff!A"&amp;MATCH("*"&amp;RIGHT(A2949,8)&amp;"*",Main_Tariff!A:A,0)),Raeburn_Main_Tariff[[#This Row],[PRODUCER]])</f>
        <v>J.L. Chave Selection</v>
      </c>
      <c r="C2949" s="1178" t="s">
        <v>21467</v>
      </c>
      <c r="D2949" s="1178" t="s">
        <v>897</v>
      </c>
      <c r="E2949" s="1179">
        <v>2018</v>
      </c>
      <c r="F2949" s="1282" t="s">
        <v>20220</v>
      </c>
      <c r="G2949" s="1368">
        <v>14.25</v>
      </c>
      <c r="H2949" s="1178" t="s">
        <v>20277</v>
      </c>
      <c r="I2949" s="1178" t="s">
        <v>9246</v>
      </c>
      <c r="J2949" s="1178" t="s">
        <v>662</v>
      </c>
      <c r="K2949" s="1178" t="s">
        <v>307</v>
      </c>
      <c r="L2949" s="1178"/>
      <c r="M2949" s="1369"/>
      <c r="N2949" s="1178"/>
      <c r="O2949" s="1178">
        <v>12</v>
      </c>
      <c r="P2949" s="1178">
        <v>15</v>
      </c>
    </row>
    <row r="2950" spans="1:16">
      <c r="A2950" s="1178" t="s">
        <v>309</v>
      </c>
      <c r="B2950" s="1371" t="str">
        <f>HYPERLINK(IFERROR("#Main_Tariff!A"&amp;MATCH(Raeburn_Main_Tariff[[#This Row],[Product Code]],Main_Tariff!I:I,0),"#Main_Tariff!A"&amp;MATCH("*"&amp;RIGHT(A2950,8)&amp;"*",Main_Tariff!A:A,0)),Raeburn_Main_Tariff[[#This Row],[PRODUCER]])</f>
        <v>J.L. Chave Selection</v>
      </c>
      <c r="C2950" s="1178" t="s">
        <v>21468</v>
      </c>
      <c r="D2950" s="1178" t="s">
        <v>897</v>
      </c>
      <c r="E2950" s="1179">
        <v>2023</v>
      </c>
      <c r="F2950" s="1282" t="s">
        <v>20240</v>
      </c>
      <c r="G2950" s="1368">
        <v>33.5</v>
      </c>
      <c r="H2950" s="1178" t="s">
        <v>20224</v>
      </c>
      <c r="I2950" s="1178" t="s">
        <v>9247</v>
      </c>
      <c r="J2950" s="1178" t="s">
        <v>662</v>
      </c>
      <c r="K2950" s="1178" t="s">
        <v>307</v>
      </c>
      <c r="L2950" s="1178"/>
      <c r="M2950" s="1369"/>
      <c r="N2950" s="1178"/>
      <c r="O2950" s="1178">
        <v>6</v>
      </c>
      <c r="P2950" s="1178">
        <v>15</v>
      </c>
    </row>
    <row r="2951" spans="1:16">
      <c r="A2951" s="1178" t="s">
        <v>309</v>
      </c>
      <c r="B2951" s="1371" t="str">
        <f>HYPERLINK(IFERROR("#Main_Tariff!A"&amp;MATCH(Raeburn_Main_Tariff[[#This Row],[Product Code]],Main_Tariff!I:I,0),"#Main_Tariff!A"&amp;MATCH("*"&amp;RIGHT(A2951,8)&amp;"*",Main_Tariff!A:A,0)),Raeburn_Main_Tariff[[#This Row],[PRODUCER]])</f>
        <v>J.L. Chave Selection</v>
      </c>
      <c r="C2951" s="1178" t="s">
        <v>21468</v>
      </c>
      <c r="D2951" s="1178" t="s">
        <v>897</v>
      </c>
      <c r="E2951" s="1179">
        <v>2022</v>
      </c>
      <c r="F2951" s="1282" t="s">
        <v>20240</v>
      </c>
      <c r="G2951" s="1368">
        <v>32</v>
      </c>
      <c r="H2951" s="1178" t="s">
        <v>20221</v>
      </c>
      <c r="I2951" s="1178" t="s">
        <v>9248</v>
      </c>
      <c r="J2951" s="1178" t="s">
        <v>662</v>
      </c>
      <c r="K2951" s="1178" t="s">
        <v>307</v>
      </c>
      <c r="L2951" s="1178"/>
      <c r="M2951" s="1369"/>
      <c r="N2951" s="1178"/>
      <c r="O2951" s="1178">
        <v>6</v>
      </c>
      <c r="P2951" s="1178">
        <v>15</v>
      </c>
    </row>
    <row r="2952" spans="1:16">
      <c r="A2952" s="1178" t="s">
        <v>309</v>
      </c>
      <c r="B2952" s="1371" t="str">
        <f>HYPERLINK(IFERROR("#Main_Tariff!A"&amp;MATCH(Raeburn_Main_Tariff[[#This Row],[Product Code]],Main_Tariff!I:I,0),"#Main_Tariff!A"&amp;MATCH("*"&amp;RIGHT(A2952,8)&amp;"*",Main_Tariff!A:A,0)),Raeburn_Main_Tariff[[#This Row],[PRODUCER]])</f>
        <v>J.L. Chave Selection</v>
      </c>
      <c r="C2952" s="1178" t="s">
        <v>21468</v>
      </c>
      <c r="D2952" s="1178" t="s">
        <v>897</v>
      </c>
      <c r="E2952" s="1179">
        <v>2021</v>
      </c>
      <c r="F2952" s="1282" t="s">
        <v>20240</v>
      </c>
      <c r="G2952" s="1368">
        <v>31.5</v>
      </c>
      <c r="H2952" s="1178" t="s">
        <v>20221</v>
      </c>
      <c r="I2952" s="1178" t="s">
        <v>9249</v>
      </c>
      <c r="J2952" s="1178" t="s">
        <v>662</v>
      </c>
      <c r="K2952" s="1178" t="s">
        <v>307</v>
      </c>
      <c r="L2952" s="1178"/>
      <c r="M2952" s="1369"/>
      <c r="N2952" s="1178"/>
      <c r="O2952" s="1178">
        <v>6</v>
      </c>
      <c r="P2952" s="1178">
        <v>12</v>
      </c>
    </row>
    <row r="2953" spans="1:16">
      <c r="A2953" s="1178" t="s">
        <v>309</v>
      </c>
      <c r="B2953" s="1371" t="str">
        <f>HYPERLINK(IFERROR("#Main_Tariff!A"&amp;MATCH(Raeburn_Main_Tariff[[#This Row],[Product Code]],Main_Tariff!I:I,0),"#Main_Tariff!A"&amp;MATCH("*"&amp;RIGHT(A2953,8)&amp;"*",Main_Tariff!A:A,0)),Raeburn_Main_Tariff[[#This Row],[PRODUCER]])</f>
        <v>J.L. Chave Selection</v>
      </c>
      <c r="C2953" s="1178" t="s">
        <v>21468</v>
      </c>
      <c r="D2953" s="1178" t="s">
        <v>897</v>
      </c>
      <c r="E2953" s="1179">
        <v>2020</v>
      </c>
      <c r="F2953" s="1282" t="s">
        <v>20240</v>
      </c>
      <c r="G2953" s="1368">
        <v>31.5</v>
      </c>
      <c r="H2953" s="1178" t="s">
        <v>20224</v>
      </c>
      <c r="I2953" s="1178" t="s">
        <v>9250</v>
      </c>
      <c r="J2953" s="1178" t="s">
        <v>662</v>
      </c>
      <c r="K2953" s="1178" t="s">
        <v>307</v>
      </c>
      <c r="L2953" s="1178"/>
      <c r="M2953" s="1369"/>
      <c r="N2953" s="1178"/>
      <c r="O2953" s="1178">
        <v>6</v>
      </c>
      <c r="P2953" s="1178">
        <v>15</v>
      </c>
    </row>
    <row r="2954" spans="1:16">
      <c r="A2954" s="1178" t="s">
        <v>309</v>
      </c>
      <c r="B2954" s="1371" t="str">
        <f>HYPERLINK(IFERROR("#Main_Tariff!A"&amp;MATCH(Raeburn_Main_Tariff[[#This Row],[Product Code]],Main_Tariff!I:I,0),"#Main_Tariff!A"&amp;MATCH("*"&amp;RIGHT(A2954,8)&amp;"*",Main_Tariff!A:A,0)),Raeburn_Main_Tariff[[#This Row],[PRODUCER]])</f>
        <v>J.L. Chave Selection</v>
      </c>
      <c r="C2954" s="1178" t="s">
        <v>21469</v>
      </c>
      <c r="D2954" s="1178" t="s">
        <v>897</v>
      </c>
      <c r="E2954" s="1179">
        <v>2023</v>
      </c>
      <c r="F2954" s="1282" t="s">
        <v>20220</v>
      </c>
      <c r="G2954" s="1368">
        <v>18.95</v>
      </c>
      <c r="H2954" s="1178" t="s">
        <v>20221</v>
      </c>
      <c r="I2954" s="1178" t="s">
        <v>9252</v>
      </c>
      <c r="J2954" s="1178" t="s">
        <v>662</v>
      </c>
      <c r="K2954" s="1178" t="s">
        <v>307</v>
      </c>
      <c r="L2954" s="1178"/>
      <c r="M2954" s="1369"/>
      <c r="N2954" s="1178"/>
      <c r="O2954" s="1178">
        <v>12</v>
      </c>
      <c r="P2954" s="1178">
        <v>13</v>
      </c>
    </row>
    <row r="2955" spans="1:16">
      <c r="A2955" s="1178" t="s">
        <v>309</v>
      </c>
      <c r="B2955" s="1371" t="str">
        <f>HYPERLINK(IFERROR("#Main_Tariff!A"&amp;MATCH(Raeburn_Main_Tariff[[#This Row],[Product Code]],Main_Tariff!I:I,0),"#Main_Tariff!A"&amp;MATCH("*"&amp;RIGHT(A2955,8)&amp;"*",Main_Tariff!A:A,0)),Raeburn_Main_Tariff[[#This Row],[PRODUCER]])</f>
        <v>J.L. Chave Selection</v>
      </c>
      <c r="C2955" s="1178" t="s">
        <v>21469</v>
      </c>
      <c r="D2955" s="1178" t="s">
        <v>897</v>
      </c>
      <c r="E2955" s="1179">
        <v>2022</v>
      </c>
      <c r="F2955" s="1282" t="s">
        <v>20220</v>
      </c>
      <c r="G2955" s="1368">
        <v>17.75</v>
      </c>
      <c r="H2955" s="1178" t="s">
        <v>20221</v>
      </c>
      <c r="I2955" s="1178" t="s">
        <v>9253</v>
      </c>
      <c r="J2955" s="1178" t="s">
        <v>662</v>
      </c>
      <c r="K2955" s="1178" t="s">
        <v>307</v>
      </c>
      <c r="L2955" s="1178"/>
      <c r="M2955" s="1369"/>
      <c r="N2955" s="1178"/>
      <c r="O2955" s="1178">
        <v>12</v>
      </c>
      <c r="P2955" s="1178">
        <v>13</v>
      </c>
    </row>
    <row r="2956" spans="1:16">
      <c r="A2956" s="1178" t="s">
        <v>309</v>
      </c>
      <c r="B2956" s="1371" t="str">
        <f>HYPERLINK(IFERROR("#Main_Tariff!A"&amp;MATCH(Raeburn_Main_Tariff[[#This Row],[Product Code]],Main_Tariff!I:I,0),"#Main_Tariff!A"&amp;MATCH("*"&amp;RIGHT(A2956,8)&amp;"*",Main_Tariff!A:A,0)),Raeburn_Main_Tariff[[#This Row],[PRODUCER]])</f>
        <v>J.L. Chave Selection</v>
      </c>
      <c r="C2956" s="1178" t="s">
        <v>21469</v>
      </c>
      <c r="D2956" s="1178" t="s">
        <v>897</v>
      </c>
      <c r="E2956" s="1179">
        <v>2021</v>
      </c>
      <c r="F2956" s="1282" t="s">
        <v>20220</v>
      </c>
      <c r="G2956" s="1368">
        <v>17.75</v>
      </c>
      <c r="H2956" s="1178" t="s">
        <v>20221</v>
      </c>
      <c r="I2956" s="1178" t="s">
        <v>9254</v>
      </c>
      <c r="J2956" s="1178" t="s">
        <v>662</v>
      </c>
      <c r="K2956" s="1178" t="s">
        <v>307</v>
      </c>
      <c r="L2956" s="1178"/>
      <c r="M2956" s="1369"/>
      <c r="N2956" s="1178"/>
      <c r="O2956" s="1178">
        <v>12</v>
      </c>
      <c r="P2956" s="1178">
        <v>13</v>
      </c>
    </row>
    <row r="2957" spans="1:16">
      <c r="A2957" s="1178" t="s">
        <v>309</v>
      </c>
      <c r="B2957" s="1371" t="str">
        <f>HYPERLINK(IFERROR("#Main_Tariff!A"&amp;MATCH(Raeburn_Main_Tariff[[#This Row],[Product Code]],Main_Tariff!I:I,0),"#Main_Tariff!A"&amp;MATCH("*"&amp;RIGHT(A2957,8)&amp;"*",Main_Tariff!A:A,0)),Raeburn_Main_Tariff[[#This Row],[PRODUCER]])</f>
        <v>J.L. Chave Selection</v>
      </c>
      <c r="C2957" s="1178" t="s">
        <v>21469</v>
      </c>
      <c r="D2957" s="1178" t="s">
        <v>897</v>
      </c>
      <c r="E2957" s="1179">
        <v>2020</v>
      </c>
      <c r="F2957" s="1282" t="s">
        <v>20220</v>
      </c>
      <c r="G2957" s="1368">
        <v>17.5</v>
      </c>
      <c r="H2957" s="1178" t="s">
        <v>20277</v>
      </c>
      <c r="I2957" s="1178" t="s">
        <v>9255</v>
      </c>
      <c r="J2957" s="1178" t="s">
        <v>662</v>
      </c>
      <c r="K2957" s="1178" t="s">
        <v>307</v>
      </c>
      <c r="L2957" s="1178"/>
      <c r="M2957" s="1369"/>
      <c r="N2957" s="1178"/>
      <c r="O2957" s="1178">
        <v>12</v>
      </c>
      <c r="P2957" s="1178">
        <v>14</v>
      </c>
    </row>
    <row r="2958" spans="1:16">
      <c r="A2958" s="1178" t="s">
        <v>309</v>
      </c>
      <c r="B2958" s="1371" t="str">
        <f>HYPERLINK(IFERROR("#Main_Tariff!A"&amp;MATCH(Raeburn_Main_Tariff[[#This Row],[Product Code]],Main_Tariff!I:I,0),"#Main_Tariff!A"&amp;MATCH("*"&amp;RIGHT(A2958,8)&amp;"*",Main_Tariff!A:A,0)),Raeburn_Main_Tariff[[#This Row],[PRODUCER]])</f>
        <v>J.L. Chave Selection</v>
      </c>
      <c r="C2958" s="1178" t="s">
        <v>21470</v>
      </c>
      <c r="D2958" s="1178" t="s">
        <v>897</v>
      </c>
      <c r="E2958" s="1179">
        <v>2023</v>
      </c>
      <c r="F2958" s="1282" t="s">
        <v>20220</v>
      </c>
      <c r="G2958" s="1368">
        <v>21.95</v>
      </c>
      <c r="H2958" s="1178" t="s">
        <v>20221</v>
      </c>
      <c r="I2958" s="1178" t="s">
        <v>9256</v>
      </c>
      <c r="J2958" s="1178" t="s">
        <v>662</v>
      </c>
      <c r="K2958" s="1178" t="s">
        <v>307</v>
      </c>
      <c r="L2958" s="1178"/>
      <c r="M2958" s="1369"/>
      <c r="N2958" s="1178"/>
      <c r="O2958" s="1178">
        <v>12</v>
      </c>
      <c r="P2958" s="1178">
        <v>13.5</v>
      </c>
    </row>
    <row r="2959" spans="1:16">
      <c r="A2959" s="1178" t="s">
        <v>309</v>
      </c>
      <c r="B2959" s="1371" t="str">
        <f>HYPERLINK(IFERROR("#Main_Tariff!A"&amp;MATCH(Raeburn_Main_Tariff[[#This Row],[Product Code]],Main_Tariff!I:I,0),"#Main_Tariff!A"&amp;MATCH("*"&amp;RIGHT(A2959,8)&amp;"*",Main_Tariff!A:A,0)),Raeburn_Main_Tariff[[#This Row],[PRODUCER]])</f>
        <v>J.L. Chave Selection</v>
      </c>
      <c r="C2959" s="1178" t="s">
        <v>21470</v>
      </c>
      <c r="D2959" s="1178" t="s">
        <v>897</v>
      </c>
      <c r="E2959" s="1179">
        <v>2022</v>
      </c>
      <c r="F2959" s="1282" t="s">
        <v>20220</v>
      </c>
      <c r="G2959" s="1368">
        <v>21</v>
      </c>
      <c r="H2959" s="1178" t="s">
        <v>20221</v>
      </c>
      <c r="I2959" s="1178" t="s">
        <v>9257</v>
      </c>
      <c r="J2959" s="1178" t="s">
        <v>662</v>
      </c>
      <c r="K2959" s="1178" t="s">
        <v>307</v>
      </c>
      <c r="L2959" s="1178"/>
      <c r="M2959" s="1369"/>
      <c r="N2959" s="1178"/>
      <c r="O2959" s="1178">
        <v>12</v>
      </c>
      <c r="P2959" s="1178">
        <v>13.5</v>
      </c>
    </row>
    <row r="2960" spans="1:16">
      <c r="A2960" s="1178" t="s">
        <v>309</v>
      </c>
      <c r="B2960" s="1371" t="str">
        <f>HYPERLINK(IFERROR("#Main_Tariff!A"&amp;MATCH(Raeburn_Main_Tariff[[#This Row],[Product Code]],Main_Tariff!I:I,0),"#Main_Tariff!A"&amp;MATCH("*"&amp;RIGHT(A2960,8)&amp;"*",Main_Tariff!A:A,0)),Raeburn_Main_Tariff[[#This Row],[PRODUCER]])</f>
        <v>J.L. Chave Selection</v>
      </c>
      <c r="C2960" s="1178" t="s">
        <v>21470</v>
      </c>
      <c r="D2960" s="1178" t="s">
        <v>897</v>
      </c>
      <c r="E2960" s="1179">
        <v>2021</v>
      </c>
      <c r="F2960" s="1282" t="s">
        <v>20220</v>
      </c>
      <c r="G2960" s="1368">
        <v>21</v>
      </c>
      <c r="H2960" s="1178" t="s">
        <v>20221</v>
      </c>
      <c r="I2960" s="1178" t="s">
        <v>9258</v>
      </c>
      <c r="J2960" s="1178" t="s">
        <v>662</v>
      </c>
      <c r="K2960" s="1178" t="s">
        <v>307</v>
      </c>
      <c r="L2960" s="1178"/>
      <c r="M2960" s="1369"/>
      <c r="N2960" s="1178"/>
      <c r="O2960" s="1178">
        <v>12</v>
      </c>
      <c r="P2960" s="1178">
        <v>12.5</v>
      </c>
    </row>
    <row r="2961" spans="1:16">
      <c r="A2961" s="1178" t="s">
        <v>309</v>
      </c>
      <c r="B2961" s="1371" t="str">
        <f>HYPERLINK(IFERROR("#Main_Tariff!A"&amp;MATCH(Raeburn_Main_Tariff[[#This Row],[Product Code]],Main_Tariff!I:I,0),"#Main_Tariff!A"&amp;MATCH("*"&amp;RIGHT(A2961,8)&amp;"*",Main_Tariff!A:A,0)),Raeburn_Main_Tariff[[#This Row],[PRODUCER]])</f>
        <v>J.L. Chave Selection</v>
      </c>
      <c r="C2961" s="1178" t="s">
        <v>21470</v>
      </c>
      <c r="D2961" s="1178" t="s">
        <v>897</v>
      </c>
      <c r="E2961" s="1179">
        <v>2020</v>
      </c>
      <c r="F2961" s="1282" t="s">
        <v>20220</v>
      </c>
      <c r="G2961" s="1368">
        <v>20.75</v>
      </c>
      <c r="H2961" s="1178" t="s">
        <v>20221</v>
      </c>
      <c r="I2961" s="1178" t="s">
        <v>9259</v>
      </c>
      <c r="J2961" s="1178" t="s">
        <v>662</v>
      </c>
      <c r="K2961" s="1178" t="s">
        <v>307</v>
      </c>
      <c r="L2961" s="1178"/>
      <c r="M2961" s="1369"/>
      <c r="N2961" s="1178"/>
      <c r="O2961" s="1178">
        <v>12</v>
      </c>
      <c r="P2961" s="1178">
        <v>12.5</v>
      </c>
    </row>
    <row r="2962" spans="1:16">
      <c r="A2962" s="1178" t="s">
        <v>309</v>
      </c>
      <c r="B2962" s="1371" t="str">
        <f>HYPERLINK(IFERROR("#Main_Tariff!A"&amp;MATCH(Raeburn_Main_Tariff[[#This Row],[Product Code]],Main_Tariff!I:I,0),"#Main_Tariff!A"&amp;MATCH("*"&amp;RIGHT(A2962,8)&amp;"*",Main_Tariff!A:A,0)),Raeburn_Main_Tariff[[#This Row],[PRODUCER]])</f>
        <v>J.L. Chave Selection</v>
      </c>
      <c r="C2962" s="1178" t="s">
        <v>21470</v>
      </c>
      <c r="D2962" s="1178" t="s">
        <v>897</v>
      </c>
      <c r="E2962" s="1179">
        <v>2019</v>
      </c>
      <c r="F2962" s="1282" t="s">
        <v>20220</v>
      </c>
      <c r="G2962" s="1368">
        <v>20</v>
      </c>
      <c r="H2962" s="1178" t="s">
        <v>20221</v>
      </c>
      <c r="I2962" s="1178" t="s">
        <v>9260</v>
      </c>
      <c r="J2962" s="1178" t="s">
        <v>662</v>
      </c>
      <c r="K2962" s="1178" t="s">
        <v>307</v>
      </c>
      <c r="L2962" s="1178"/>
      <c r="M2962" s="1369"/>
      <c r="N2962" s="1178"/>
      <c r="O2962" s="1178">
        <v>12</v>
      </c>
      <c r="P2962" s="1178">
        <v>14.5</v>
      </c>
    </row>
    <row r="2963" spans="1:16">
      <c r="A2963" s="1178" t="s">
        <v>309</v>
      </c>
      <c r="B2963" s="1371" t="str">
        <f>HYPERLINK(IFERROR("#Main_Tariff!A"&amp;MATCH(Raeburn_Main_Tariff[[#This Row],[Product Code]],Main_Tariff!I:I,0),"#Main_Tariff!A"&amp;MATCH("*"&amp;RIGHT(A2963,8)&amp;"*",Main_Tariff!A:A,0)),Raeburn_Main_Tariff[[#This Row],[PRODUCER]])</f>
        <v>J.L. Chave Selection</v>
      </c>
      <c r="C2963" s="1178" t="s">
        <v>21470</v>
      </c>
      <c r="D2963" s="1178" t="s">
        <v>897</v>
      </c>
      <c r="E2963" s="1179">
        <v>2017</v>
      </c>
      <c r="F2963" s="1282" t="s">
        <v>20220</v>
      </c>
      <c r="G2963" s="1368">
        <v>20</v>
      </c>
      <c r="H2963" s="1178" t="s">
        <v>20277</v>
      </c>
      <c r="I2963" s="1178" t="s">
        <v>9261</v>
      </c>
      <c r="J2963" s="1178" t="s">
        <v>662</v>
      </c>
      <c r="K2963" s="1178" t="s">
        <v>307</v>
      </c>
      <c r="L2963" s="1178"/>
      <c r="M2963" s="1369"/>
      <c r="N2963" s="1178"/>
      <c r="O2963" s="1178">
        <v>12</v>
      </c>
      <c r="P2963" s="1178">
        <v>14</v>
      </c>
    </row>
    <row r="2964" spans="1:16">
      <c r="A2964" s="1178" t="s">
        <v>309</v>
      </c>
      <c r="B2964" s="1371" t="str">
        <f>HYPERLINK(IFERROR("#Main_Tariff!A"&amp;MATCH(Raeburn_Main_Tariff[[#This Row],[Product Code]],Main_Tariff!I:I,0),"#Main_Tariff!A"&amp;MATCH("*"&amp;RIGHT(A2964,8)&amp;"*",Main_Tariff!A:A,0)),Raeburn_Main_Tariff[[#This Row],[PRODUCER]])</f>
        <v>J.L. Chave Selection</v>
      </c>
      <c r="C2964" s="1178" t="s">
        <v>21471</v>
      </c>
      <c r="D2964" s="1178" t="s">
        <v>897</v>
      </c>
      <c r="E2964" s="1179">
        <v>2021</v>
      </c>
      <c r="F2964" s="1282" t="s">
        <v>20220</v>
      </c>
      <c r="G2964" s="1368">
        <v>39.5</v>
      </c>
      <c r="H2964" s="1178" t="s">
        <v>20221</v>
      </c>
      <c r="I2964" s="1178" t="s">
        <v>9262</v>
      </c>
      <c r="J2964" s="1178" t="s">
        <v>662</v>
      </c>
      <c r="K2964" s="1178" t="s">
        <v>307</v>
      </c>
      <c r="L2964" s="1178"/>
      <c r="M2964" s="1369"/>
      <c r="N2964" s="1178"/>
      <c r="O2964" s="1178">
        <v>12</v>
      </c>
      <c r="P2964" s="1178">
        <v>13.5</v>
      </c>
    </row>
    <row r="2965" spans="1:16">
      <c r="A2965" s="1178" t="s">
        <v>309</v>
      </c>
      <c r="B2965" s="1371" t="str">
        <f>HYPERLINK(IFERROR("#Main_Tariff!A"&amp;MATCH(Raeburn_Main_Tariff[[#This Row],[Product Code]],Main_Tariff!I:I,0),"#Main_Tariff!A"&amp;MATCH("*"&amp;RIGHT(A2965,8)&amp;"*",Main_Tariff!A:A,0)),Raeburn_Main_Tariff[[#This Row],[PRODUCER]])</f>
        <v>J.L. Chave Selection</v>
      </c>
      <c r="C2965" s="1178" t="s">
        <v>21471</v>
      </c>
      <c r="D2965" s="1178" t="s">
        <v>897</v>
      </c>
      <c r="E2965" s="1179">
        <v>2020</v>
      </c>
      <c r="F2965" s="1282" t="s">
        <v>20220</v>
      </c>
      <c r="G2965" s="1368">
        <v>38.5</v>
      </c>
      <c r="H2965" s="1178" t="s">
        <v>20221</v>
      </c>
      <c r="I2965" s="1178" t="s">
        <v>9263</v>
      </c>
      <c r="J2965" s="1178" t="s">
        <v>662</v>
      </c>
      <c r="K2965" s="1178" t="s">
        <v>307</v>
      </c>
      <c r="L2965" s="1178"/>
      <c r="M2965" s="1369"/>
      <c r="N2965" s="1178"/>
      <c r="O2965" s="1178">
        <v>12</v>
      </c>
      <c r="P2965" s="1178">
        <v>15</v>
      </c>
    </row>
    <row r="2966" spans="1:16">
      <c r="A2966" s="1178" t="s">
        <v>309</v>
      </c>
      <c r="B2966" s="1371" t="str">
        <f>HYPERLINK(IFERROR("#Main_Tariff!A"&amp;MATCH(Raeburn_Main_Tariff[[#This Row],[Product Code]],Main_Tariff!I:I,0),"#Main_Tariff!A"&amp;MATCH("*"&amp;RIGHT(A2966,8)&amp;"*",Main_Tariff!A:A,0)),Raeburn_Main_Tariff[[#This Row],[PRODUCER]])</f>
        <v>J.L. Chave Selection</v>
      </c>
      <c r="C2966" s="1178" t="s">
        <v>21471</v>
      </c>
      <c r="D2966" s="1178" t="s">
        <v>897</v>
      </c>
      <c r="E2966" s="1179">
        <v>2019</v>
      </c>
      <c r="F2966" s="1282" t="s">
        <v>20220</v>
      </c>
      <c r="G2966" s="1368">
        <v>37</v>
      </c>
      <c r="H2966" s="1178" t="s">
        <v>20277</v>
      </c>
      <c r="I2966" s="1178" t="s">
        <v>9264</v>
      </c>
      <c r="J2966" s="1178" t="s">
        <v>662</v>
      </c>
      <c r="K2966" s="1178" t="s">
        <v>307</v>
      </c>
      <c r="L2966" s="1178"/>
      <c r="M2966" s="1369"/>
      <c r="N2966" s="1178"/>
      <c r="O2966" s="1178">
        <v>12</v>
      </c>
      <c r="P2966" s="1178">
        <v>15</v>
      </c>
    </row>
    <row r="2967" spans="1:16">
      <c r="A2967" s="1178" t="s">
        <v>310</v>
      </c>
      <c r="B2967" s="1371" t="str">
        <f>HYPERLINK(IFERROR("#Main_Tariff!A"&amp;MATCH(Raeburn_Main_Tariff[[#This Row],[Product Code]],Main_Tariff!I:I,0),"#Main_Tariff!A"&amp;MATCH("*"&amp;RIGHT(A2967,8)&amp;"*",Main_Tariff!A:A,0)),Raeburn_Main_Tariff[[#This Row],[PRODUCER]])</f>
        <v>Domaine J.L. Chave</v>
      </c>
      <c r="C2967" s="1178" t="s">
        <v>21472</v>
      </c>
      <c r="D2967" s="1178" t="s">
        <v>1129</v>
      </c>
      <c r="E2967" s="1179"/>
      <c r="F2967" s="1282" t="s">
        <v>20220</v>
      </c>
      <c r="G2967" s="1368" t="s">
        <v>5258</v>
      </c>
      <c r="H2967" s="1178" t="s">
        <v>20221</v>
      </c>
      <c r="I2967" s="1178" t="s">
        <v>9265</v>
      </c>
      <c r="J2967" s="1178" t="s">
        <v>662</v>
      </c>
      <c r="K2967" s="1178" t="s">
        <v>307</v>
      </c>
      <c r="L2967" s="1178"/>
      <c r="M2967" s="1369"/>
      <c r="N2967" s="1178"/>
      <c r="O2967" s="1178">
        <v>6</v>
      </c>
      <c r="P2967" s="1178">
        <v>15</v>
      </c>
    </row>
    <row r="2968" spans="1:16">
      <c r="A2968" s="1178" t="s">
        <v>310</v>
      </c>
      <c r="B2968" s="1371" t="str">
        <f>HYPERLINK(IFERROR("#Main_Tariff!A"&amp;MATCH(Raeburn_Main_Tariff[[#This Row],[Product Code]],Main_Tariff!I:I,0),"#Main_Tariff!A"&amp;MATCH("*"&amp;RIGHT(A2968,8)&amp;"*",Main_Tariff!A:A,0)),Raeburn_Main_Tariff[[#This Row],[PRODUCER]])</f>
        <v>Domaine J.L. Chave</v>
      </c>
      <c r="C2968" s="1178" t="s">
        <v>21473</v>
      </c>
      <c r="D2968" s="1178" t="s">
        <v>897</v>
      </c>
      <c r="E2968" s="1179"/>
      <c r="F2968" s="1282" t="s">
        <v>20220</v>
      </c>
      <c r="G2968" s="1368" t="s">
        <v>5258</v>
      </c>
      <c r="H2968" s="1178" t="s">
        <v>20221</v>
      </c>
      <c r="I2968" s="1178" t="s">
        <v>9267</v>
      </c>
      <c r="J2968" s="1178" t="s">
        <v>662</v>
      </c>
      <c r="K2968" s="1178" t="s">
        <v>307</v>
      </c>
      <c r="L2968" s="1178"/>
      <c r="M2968" s="1369"/>
      <c r="N2968" s="1178"/>
      <c r="O2968" s="1178">
        <v>6</v>
      </c>
      <c r="P2968" s="1178">
        <v>13.5</v>
      </c>
    </row>
    <row r="2969" spans="1:16">
      <c r="A2969" s="1178" t="s">
        <v>310</v>
      </c>
      <c r="B2969" s="1371" t="str">
        <f>HYPERLINK(IFERROR("#Main_Tariff!A"&amp;MATCH(Raeburn_Main_Tariff[[#This Row],[Product Code]],Main_Tariff!I:I,0),"#Main_Tariff!A"&amp;MATCH("*"&amp;RIGHT(A2969,8)&amp;"*",Main_Tariff!A:A,0)),Raeburn_Main_Tariff[[#This Row],[PRODUCER]])</f>
        <v>Domaine J.L. Chave</v>
      </c>
      <c r="C2969" s="1178" t="s">
        <v>21474</v>
      </c>
      <c r="D2969" s="1178" t="s">
        <v>897</v>
      </c>
      <c r="E2969" s="1179"/>
      <c r="F2969" s="1282" t="s">
        <v>20220</v>
      </c>
      <c r="G2969" s="1368" t="s">
        <v>5258</v>
      </c>
      <c r="H2969" s="1178" t="s">
        <v>20224</v>
      </c>
      <c r="I2969" s="1178" t="s">
        <v>9269</v>
      </c>
      <c r="J2969" s="1178" t="s">
        <v>662</v>
      </c>
      <c r="K2969" s="1178" t="s">
        <v>307</v>
      </c>
      <c r="L2969" s="1178"/>
      <c r="M2969" s="1369"/>
      <c r="N2969" s="1178"/>
      <c r="O2969" s="1178">
        <v>6</v>
      </c>
      <c r="P2969" s="1178">
        <v>13</v>
      </c>
    </row>
    <row r="2970" spans="1:16">
      <c r="A2970" s="1178" t="s">
        <v>310</v>
      </c>
      <c r="B2970" s="1371" t="str">
        <f>HYPERLINK(IFERROR("#Main_Tariff!A"&amp;MATCH(Raeburn_Main_Tariff[[#This Row],[Product Code]],Main_Tariff!I:I,0),"#Main_Tariff!A"&amp;MATCH("*"&amp;RIGHT(A2970,8)&amp;"*",Main_Tariff!A:A,0)),Raeburn_Main_Tariff[[#This Row],[PRODUCER]])</f>
        <v>Domaine J.L. Chave</v>
      </c>
      <c r="C2970" s="1178" t="s">
        <v>21475</v>
      </c>
      <c r="D2970" s="1178" t="s">
        <v>897</v>
      </c>
      <c r="E2970" s="1179"/>
      <c r="F2970" s="1282" t="s">
        <v>20220</v>
      </c>
      <c r="G2970" s="1368" t="s">
        <v>5258</v>
      </c>
      <c r="H2970" s="1178" t="s">
        <v>20221</v>
      </c>
      <c r="I2970" s="1178" t="s">
        <v>9271</v>
      </c>
      <c r="J2970" s="1178" t="s">
        <v>662</v>
      </c>
      <c r="K2970" s="1178" t="s">
        <v>307</v>
      </c>
      <c r="L2970" s="1178"/>
      <c r="M2970" s="1369"/>
      <c r="N2970" s="1178"/>
      <c r="O2970" s="1178">
        <v>6</v>
      </c>
      <c r="P2970" s="1178">
        <v>13.5</v>
      </c>
    </row>
    <row r="2971" spans="1:16">
      <c r="A2971" s="1178" t="s">
        <v>311</v>
      </c>
      <c r="B2971" s="1371" t="str">
        <f>HYPERLINK(IFERROR("#Main_Tariff!A"&amp;MATCH(Raeburn_Main_Tariff[[#This Row],[Product Code]],Main_Tariff!I:I,0),"#Main_Tariff!A"&amp;MATCH("*"&amp;RIGHT(A2971,8)&amp;"*",Main_Tariff!A:A,0)),Raeburn_Main_Tariff[[#This Row],[PRODUCER]])</f>
        <v>Cuchet-Beliando</v>
      </c>
      <c r="C2971" s="1178" t="s">
        <v>18779</v>
      </c>
      <c r="D2971" s="1178" t="s">
        <v>897</v>
      </c>
      <c r="E2971" s="1179">
        <v>2018</v>
      </c>
      <c r="F2971" s="1282" t="s">
        <v>20220</v>
      </c>
      <c r="G2971" s="1368" t="s">
        <v>5258</v>
      </c>
      <c r="H2971" s="1178" t="s">
        <v>20221</v>
      </c>
      <c r="I2971" s="1178" t="s">
        <v>9345</v>
      </c>
      <c r="J2971" s="1178" t="s">
        <v>662</v>
      </c>
      <c r="K2971" s="1178" t="s">
        <v>307</v>
      </c>
      <c r="L2971" s="1178"/>
      <c r="M2971" s="1369"/>
      <c r="N2971" s="1178"/>
      <c r="O2971" s="1178">
        <v>6</v>
      </c>
      <c r="P2971" s="1178">
        <v>13.5</v>
      </c>
    </row>
    <row r="2972" spans="1:16">
      <c r="A2972" s="1178" t="s">
        <v>311</v>
      </c>
      <c r="B2972" s="1371" t="str">
        <f>HYPERLINK(IFERROR("#Main_Tariff!A"&amp;MATCH(Raeburn_Main_Tariff[[#This Row],[Product Code]],Main_Tariff!I:I,0),"#Main_Tariff!A"&amp;MATCH("*"&amp;RIGHT(A2972,8)&amp;"*",Main_Tariff!A:A,0)),Raeburn_Main_Tariff[[#This Row],[PRODUCER]])</f>
        <v>Cuchet-Beliando</v>
      </c>
      <c r="C2972" s="1178" t="s">
        <v>18779</v>
      </c>
      <c r="D2972" s="1178" t="s">
        <v>897</v>
      </c>
      <c r="E2972" s="1179">
        <v>2017</v>
      </c>
      <c r="F2972" s="1282" t="s">
        <v>20220</v>
      </c>
      <c r="G2972" s="1368" t="s">
        <v>5258</v>
      </c>
      <c r="H2972" s="1178" t="s">
        <v>20277</v>
      </c>
      <c r="I2972" s="1178" t="s">
        <v>9347</v>
      </c>
      <c r="J2972" s="1178" t="s">
        <v>662</v>
      </c>
      <c r="K2972" s="1178" t="s">
        <v>307</v>
      </c>
      <c r="L2972" s="1178"/>
      <c r="M2972" s="1369"/>
      <c r="N2972" s="1178"/>
      <c r="O2972" s="1178">
        <v>6</v>
      </c>
      <c r="P2972" s="1178">
        <v>13.5</v>
      </c>
    </row>
    <row r="2973" spans="1:16">
      <c r="A2973" s="1178" t="s">
        <v>311</v>
      </c>
      <c r="B2973" s="1371" t="str">
        <f>HYPERLINK(IFERROR("#Main_Tariff!A"&amp;MATCH(Raeburn_Main_Tariff[[#This Row],[Product Code]],Main_Tariff!I:I,0),"#Main_Tariff!A"&amp;MATCH("*"&amp;RIGHT(A2973,8)&amp;"*",Main_Tariff!A:A,0)),Raeburn_Main_Tariff[[#This Row],[PRODUCER]])</f>
        <v>Cuchet-Beliando</v>
      </c>
      <c r="C2973" s="1178" t="s">
        <v>18779</v>
      </c>
      <c r="D2973" s="1178" t="s">
        <v>897</v>
      </c>
      <c r="E2973" s="1179">
        <v>2016</v>
      </c>
      <c r="F2973" s="1282" t="s">
        <v>20220</v>
      </c>
      <c r="G2973" s="1368" t="s">
        <v>5258</v>
      </c>
      <c r="H2973" s="1178" t="s">
        <v>20221</v>
      </c>
      <c r="I2973" s="1178" t="s">
        <v>9349</v>
      </c>
      <c r="J2973" s="1178" t="s">
        <v>662</v>
      </c>
      <c r="K2973" s="1178" t="s">
        <v>307</v>
      </c>
      <c r="L2973" s="1178"/>
      <c r="M2973" s="1369"/>
      <c r="N2973" s="1178"/>
      <c r="O2973" s="1178">
        <v>1</v>
      </c>
      <c r="P2973" s="1178">
        <v>13.5</v>
      </c>
    </row>
    <row r="2974" spans="1:16">
      <c r="A2974" s="1178" t="s">
        <v>21476</v>
      </c>
      <c r="B2974" s="1371" t="str">
        <f>HYPERLINK(IFERROR("#Main_Tariff!A"&amp;MATCH(Raeburn_Main_Tariff[[#This Row],[Product Code]],Main_Tariff!I:I,0),"#Main_Tariff!A"&amp;MATCH("*"&amp;RIGHT(A2974,8)&amp;"*",Main_Tariff!A:A,0)),Raeburn_Main_Tariff[[#This Row],[PRODUCER]])</f>
        <v>Famille Tardieu</v>
      </c>
      <c r="C2974" s="1178" t="s">
        <v>21477</v>
      </c>
      <c r="D2974" s="1178" t="s">
        <v>1129</v>
      </c>
      <c r="E2974" s="1179">
        <v>2022</v>
      </c>
      <c r="F2974" s="1282" t="s">
        <v>20220</v>
      </c>
      <c r="G2974" s="1368">
        <v>24.5</v>
      </c>
      <c r="H2974" s="1178" t="s">
        <v>20221</v>
      </c>
      <c r="I2974" s="1178" t="s">
        <v>9372</v>
      </c>
      <c r="J2974" s="1178" t="s">
        <v>662</v>
      </c>
      <c r="K2974" s="1178" t="s">
        <v>307</v>
      </c>
      <c r="L2974" s="1178"/>
      <c r="M2974" s="1369"/>
      <c r="N2974" s="1178"/>
      <c r="O2974" s="1178">
        <v>6</v>
      </c>
      <c r="P2974" s="1178">
        <v>13.5</v>
      </c>
    </row>
    <row r="2975" spans="1:16">
      <c r="A2975" s="1178" t="s">
        <v>21476</v>
      </c>
      <c r="B2975" s="1371" t="str">
        <f>HYPERLINK(IFERROR("#Main_Tariff!A"&amp;MATCH(Raeburn_Main_Tariff[[#This Row],[Product Code]],Main_Tariff!I:I,0),"#Main_Tariff!A"&amp;MATCH("*"&amp;RIGHT(A2975,8)&amp;"*",Main_Tariff!A:A,0)),Raeburn_Main_Tariff[[#This Row],[PRODUCER]])</f>
        <v>Famille Tardieu</v>
      </c>
      <c r="C2975" s="1178" t="s">
        <v>21477</v>
      </c>
      <c r="D2975" s="1178" t="s">
        <v>1129</v>
      </c>
      <c r="E2975" s="1179">
        <v>2021</v>
      </c>
      <c r="F2975" s="1282" t="s">
        <v>20220</v>
      </c>
      <c r="G2975" s="1368">
        <v>23.5</v>
      </c>
      <c r="H2975" s="1178" t="s">
        <v>20221</v>
      </c>
      <c r="I2975" s="1178" t="s">
        <v>9374</v>
      </c>
      <c r="J2975" s="1178" t="s">
        <v>662</v>
      </c>
      <c r="K2975" s="1178" t="s">
        <v>307</v>
      </c>
      <c r="L2975" s="1178"/>
      <c r="M2975" s="1369"/>
      <c r="N2975" s="1178"/>
      <c r="O2975" s="1178">
        <v>6</v>
      </c>
      <c r="P2975" s="1178">
        <v>13</v>
      </c>
    </row>
    <row r="2976" spans="1:16">
      <c r="A2976" s="1178" t="s">
        <v>21476</v>
      </c>
      <c r="B2976" s="1371" t="str">
        <f>HYPERLINK(IFERROR("#Main_Tariff!A"&amp;MATCH(Raeburn_Main_Tariff[[#This Row],[Product Code]],Main_Tariff!I:I,0),"#Main_Tariff!A"&amp;MATCH("*"&amp;RIGHT(A2976,8)&amp;"*",Main_Tariff!A:A,0)),Raeburn_Main_Tariff[[#This Row],[PRODUCER]])</f>
        <v>Famille Tardieu</v>
      </c>
      <c r="C2976" s="1178" t="s">
        <v>21477</v>
      </c>
      <c r="D2976" s="1178" t="s">
        <v>1129</v>
      </c>
      <c r="E2976" s="1179">
        <v>2020</v>
      </c>
      <c r="F2976" s="1282" t="s">
        <v>20220</v>
      </c>
      <c r="G2976" s="1368">
        <v>21.75</v>
      </c>
      <c r="H2976" s="1178" t="s">
        <v>20221</v>
      </c>
      <c r="I2976" s="1178" t="s">
        <v>9376</v>
      </c>
      <c r="J2976" s="1178" t="s">
        <v>662</v>
      </c>
      <c r="K2976" s="1178" t="s">
        <v>307</v>
      </c>
      <c r="L2976" s="1178"/>
      <c r="M2976" s="1369"/>
      <c r="N2976" s="1178"/>
      <c r="O2976" s="1178">
        <v>6</v>
      </c>
      <c r="P2976" s="1178">
        <v>13.5</v>
      </c>
    </row>
    <row r="2977" spans="1:16">
      <c r="A2977" s="1178" t="s">
        <v>21476</v>
      </c>
      <c r="B2977" s="1371" t="str">
        <f>HYPERLINK(IFERROR("#Main_Tariff!A"&amp;MATCH(Raeburn_Main_Tariff[[#This Row],[Product Code]],Main_Tariff!I:I,0),"#Main_Tariff!A"&amp;MATCH("*"&amp;RIGHT(A2977,8)&amp;"*",Main_Tariff!A:A,0)),Raeburn_Main_Tariff[[#This Row],[PRODUCER]])</f>
        <v>Famille Tardieu</v>
      </c>
      <c r="C2977" s="1178" t="s">
        <v>21477</v>
      </c>
      <c r="D2977" s="1178" t="s">
        <v>1129</v>
      </c>
      <c r="E2977" s="1179">
        <v>2019</v>
      </c>
      <c r="F2977" s="1282" t="s">
        <v>20220</v>
      </c>
      <c r="G2977" s="1368">
        <v>21.75</v>
      </c>
      <c r="H2977" s="1178" t="s">
        <v>20221</v>
      </c>
      <c r="I2977" s="1178" t="s">
        <v>9377</v>
      </c>
      <c r="J2977" s="1178" t="s">
        <v>662</v>
      </c>
      <c r="K2977" s="1178" t="s">
        <v>307</v>
      </c>
      <c r="L2977" s="1178"/>
      <c r="M2977" s="1369"/>
      <c r="N2977" s="1178"/>
      <c r="O2977" s="1178">
        <v>12</v>
      </c>
      <c r="P2977" s="1178">
        <v>13.5</v>
      </c>
    </row>
    <row r="2978" spans="1:16">
      <c r="A2978" s="1178" t="s">
        <v>21476</v>
      </c>
      <c r="B2978" s="1371" t="str">
        <f>HYPERLINK(IFERROR("#Main_Tariff!A"&amp;MATCH(Raeburn_Main_Tariff[[#This Row],[Product Code]],Main_Tariff!I:I,0),"#Main_Tariff!A"&amp;MATCH("*"&amp;RIGHT(A2978,8)&amp;"*",Main_Tariff!A:A,0)),Raeburn_Main_Tariff[[#This Row],[PRODUCER]])</f>
        <v>Famille Tardieu</v>
      </c>
      <c r="C2978" s="1178" t="s">
        <v>21477</v>
      </c>
      <c r="D2978" s="1178" t="s">
        <v>1129</v>
      </c>
      <c r="E2978" s="1179">
        <v>2018</v>
      </c>
      <c r="F2978" s="1282" t="s">
        <v>20220</v>
      </c>
      <c r="G2978" s="1368">
        <v>21.75</v>
      </c>
      <c r="H2978" s="1178" t="s">
        <v>20221</v>
      </c>
      <c r="I2978" s="1178" t="s">
        <v>9379</v>
      </c>
      <c r="J2978" s="1178" t="s">
        <v>662</v>
      </c>
      <c r="K2978" s="1178" t="s">
        <v>307</v>
      </c>
      <c r="L2978" s="1178"/>
      <c r="M2978" s="1369"/>
      <c r="N2978" s="1178"/>
      <c r="O2978" s="1178">
        <v>6</v>
      </c>
      <c r="P2978" s="1178">
        <v>14</v>
      </c>
    </row>
    <row r="2979" spans="1:16">
      <c r="A2979" s="1178" t="s">
        <v>21476</v>
      </c>
      <c r="B2979" s="1371" t="str">
        <f>HYPERLINK(IFERROR("#Main_Tariff!A"&amp;MATCH(Raeburn_Main_Tariff[[#This Row],[Product Code]],Main_Tariff!I:I,0),"#Main_Tariff!A"&amp;MATCH("*"&amp;RIGHT(A2979,8)&amp;"*",Main_Tariff!A:A,0)),Raeburn_Main_Tariff[[#This Row],[PRODUCER]])</f>
        <v>Famille Tardieu</v>
      </c>
      <c r="C2979" s="1178" t="s">
        <v>21478</v>
      </c>
      <c r="D2979" s="1178" t="s">
        <v>1129</v>
      </c>
      <c r="E2979" s="1179">
        <v>2023</v>
      </c>
      <c r="F2979" s="1282" t="s">
        <v>20220</v>
      </c>
      <c r="G2979" s="1368">
        <v>26.5</v>
      </c>
      <c r="H2979" s="1178" t="s">
        <v>20221</v>
      </c>
      <c r="I2979" s="1178" t="s">
        <v>9383</v>
      </c>
      <c r="J2979" s="1178" t="s">
        <v>662</v>
      </c>
      <c r="K2979" s="1178" t="s">
        <v>307</v>
      </c>
      <c r="L2979" s="1178"/>
      <c r="M2979" s="1369"/>
      <c r="N2979" s="1178"/>
      <c r="O2979" s="1178">
        <v>6</v>
      </c>
      <c r="P2979" s="1178">
        <v>13.5</v>
      </c>
    </row>
    <row r="2980" spans="1:16">
      <c r="A2980" s="1178" t="s">
        <v>21476</v>
      </c>
      <c r="B2980" s="1371" t="str">
        <f>HYPERLINK(IFERROR("#Main_Tariff!A"&amp;MATCH(Raeburn_Main_Tariff[[#This Row],[Product Code]],Main_Tariff!I:I,0),"#Main_Tariff!A"&amp;MATCH("*"&amp;RIGHT(A2980,8)&amp;"*",Main_Tariff!A:A,0)),Raeburn_Main_Tariff[[#This Row],[PRODUCER]])</f>
        <v>Famille Tardieu</v>
      </c>
      <c r="C2980" s="1178" t="s">
        <v>21478</v>
      </c>
      <c r="D2980" s="1178" t="s">
        <v>1129</v>
      </c>
      <c r="E2980" s="1179">
        <v>2022</v>
      </c>
      <c r="F2980" s="1282" t="s">
        <v>20220</v>
      </c>
      <c r="G2980" s="1368">
        <v>26.5</v>
      </c>
      <c r="H2980" s="1178" t="s">
        <v>20221</v>
      </c>
      <c r="I2980" s="1178" t="s">
        <v>9385</v>
      </c>
      <c r="J2980" s="1178" t="s">
        <v>662</v>
      </c>
      <c r="K2980" s="1178" t="s">
        <v>307</v>
      </c>
      <c r="L2980" s="1178"/>
      <c r="M2980" s="1369"/>
      <c r="N2980" s="1178"/>
      <c r="O2980" s="1178">
        <v>6</v>
      </c>
      <c r="P2980" s="1178">
        <v>13.5</v>
      </c>
    </row>
    <row r="2981" spans="1:16">
      <c r="A2981" s="1178" t="s">
        <v>21476</v>
      </c>
      <c r="B2981" s="1371" t="str">
        <f>HYPERLINK(IFERROR("#Main_Tariff!A"&amp;MATCH(Raeburn_Main_Tariff[[#This Row],[Product Code]],Main_Tariff!I:I,0),"#Main_Tariff!A"&amp;MATCH("*"&amp;RIGHT(A2981,8)&amp;"*",Main_Tariff!A:A,0)),Raeburn_Main_Tariff[[#This Row],[PRODUCER]])</f>
        <v>Famille Tardieu</v>
      </c>
      <c r="C2981" s="1178" t="s">
        <v>21478</v>
      </c>
      <c r="D2981" s="1178" t="s">
        <v>1129</v>
      </c>
      <c r="E2981" s="1179">
        <v>2021</v>
      </c>
      <c r="F2981" s="1282" t="s">
        <v>20220</v>
      </c>
      <c r="G2981" s="1368">
        <v>24.5</v>
      </c>
      <c r="H2981" s="1178" t="s">
        <v>20221</v>
      </c>
      <c r="I2981" s="1178" t="s">
        <v>9387</v>
      </c>
      <c r="J2981" s="1178" t="s">
        <v>662</v>
      </c>
      <c r="K2981" s="1178" t="s">
        <v>307</v>
      </c>
      <c r="L2981" s="1178"/>
      <c r="M2981" s="1369"/>
      <c r="N2981" s="1178"/>
      <c r="O2981" s="1178">
        <v>6</v>
      </c>
      <c r="P2981" s="1178">
        <v>13.5</v>
      </c>
    </row>
    <row r="2982" spans="1:16">
      <c r="A2982" s="1178" t="s">
        <v>21476</v>
      </c>
      <c r="B2982" s="1371" t="str">
        <f>HYPERLINK(IFERROR("#Main_Tariff!A"&amp;MATCH(Raeburn_Main_Tariff[[#This Row],[Product Code]],Main_Tariff!I:I,0),"#Main_Tariff!A"&amp;MATCH("*"&amp;RIGHT(A2982,8)&amp;"*",Main_Tariff!A:A,0)),Raeburn_Main_Tariff[[#This Row],[PRODUCER]])</f>
        <v>Famille Tardieu</v>
      </c>
      <c r="C2982" s="1178" t="s">
        <v>21478</v>
      </c>
      <c r="D2982" s="1178" t="s">
        <v>1129</v>
      </c>
      <c r="E2982" s="1179">
        <v>2020</v>
      </c>
      <c r="F2982" s="1282" t="s">
        <v>20220</v>
      </c>
      <c r="G2982" s="1368">
        <v>23.5</v>
      </c>
      <c r="H2982" s="1178" t="s">
        <v>20221</v>
      </c>
      <c r="I2982" s="1178" t="s">
        <v>9388</v>
      </c>
      <c r="J2982" s="1178" t="s">
        <v>662</v>
      </c>
      <c r="K2982" s="1178" t="s">
        <v>307</v>
      </c>
      <c r="L2982" s="1178"/>
      <c r="M2982" s="1369"/>
      <c r="N2982" s="1178"/>
      <c r="O2982" s="1178">
        <v>6</v>
      </c>
      <c r="P2982" s="1178">
        <v>13.5</v>
      </c>
    </row>
    <row r="2983" spans="1:16">
      <c r="A2983" s="1178" t="s">
        <v>21476</v>
      </c>
      <c r="B2983" s="1371" t="str">
        <f>HYPERLINK(IFERROR("#Main_Tariff!A"&amp;MATCH(Raeburn_Main_Tariff[[#This Row],[Product Code]],Main_Tariff!I:I,0),"#Main_Tariff!A"&amp;MATCH("*"&amp;RIGHT(A2983,8)&amp;"*",Main_Tariff!A:A,0)),Raeburn_Main_Tariff[[#This Row],[PRODUCER]])</f>
        <v>Famille Tardieu</v>
      </c>
      <c r="C2983" s="1178" t="s">
        <v>21478</v>
      </c>
      <c r="D2983" s="1178" t="s">
        <v>1129</v>
      </c>
      <c r="E2983" s="1179">
        <v>2018</v>
      </c>
      <c r="F2983" s="1282" t="s">
        <v>20220</v>
      </c>
      <c r="G2983" s="1368">
        <v>23.5</v>
      </c>
      <c r="H2983" s="1178" t="s">
        <v>20221</v>
      </c>
      <c r="I2983" s="1178" t="s">
        <v>9390</v>
      </c>
      <c r="J2983" s="1178" t="s">
        <v>662</v>
      </c>
      <c r="K2983" s="1178" t="s">
        <v>307</v>
      </c>
      <c r="L2983" s="1178"/>
      <c r="M2983" s="1369"/>
      <c r="N2983" s="1178"/>
      <c r="O2983" s="1178">
        <v>6</v>
      </c>
      <c r="P2983" s="1178">
        <v>13.5</v>
      </c>
    </row>
    <row r="2984" spans="1:16">
      <c r="A2984" s="1178" t="s">
        <v>21476</v>
      </c>
      <c r="B2984" s="1371" t="str">
        <f>HYPERLINK(IFERROR("#Main_Tariff!A"&amp;MATCH(Raeburn_Main_Tariff[[#This Row],[Product Code]],Main_Tariff!I:I,0),"#Main_Tariff!A"&amp;MATCH("*"&amp;RIGHT(A2984,8)&amp;"*",Main_Tariff!A:A,0)),Raeburn_Main_Tariff[[#This Row],[PRODUCER]])</f>
        <v>Famille Tardieu</v>
      </c>
      <c r="C2984" s="1178" t="s">
        <v>21478</v>
      </c>
      <c r="D2984" s="1178" t="s">
        <v>1129</v>
      </c>
      <c r="E2984" s="1179">
        <v>2016</v>
      </c>
      <c r="F2984" s="1282" t="s">
        <v>20220</v>
      </c>
      <c r="G2984" s="1368">
        <v>24</v>
      </c>
      <c r="H2984" s="1178" t="s">
        <v>20221</v>
      </c>
      <c r="I2984" s="1178" t="s">
        <v>9392</v>
      </c>
      <c r="J2984" s="1178" t="s">
        <v>662</v>
      </c>
      <c r="K2984" s="1178" t="s">
        <v>307</v>
      </c>
      <c r="L2984" s="1178"/>
      <c r="M2984" s="1369"/>
      <c r="N2984" s="1178"/>
      <c r="O2984" s="1178">
        <v>6</v>
      </c>
      <c r="P2984" s="1178">
        <v>13</v>
      </c>
    </row>
    <row r="2985" spans="1:16">
      <c r="A2985" s="1178" t="s">
        <v>21476</v>
      </c>
      <c r="B2985" s="1371" t="str">
        <f>HYPERLINK(IFERROR("#Main_Tariff!A"&amp;MATCH(Raeburn_Main_Tariff[[#This Row],[Product Code]],Main_Tariff!I:I,0),"#Main_Tariff!A"&amp;MATCH("*"&amp;RIGHT(A2985,8)&amp;"*",Main_Tariff!A:A,0)),Raeburn_Main_Tariff[[#This Row],[PRODUCER]])</f>
        <v>Famille Tardieu</v>
      </c>
      <c r="C2985" s="1178" t="s">
        <v>21478</v>
      </c>
      <c r="D2985" s="1178" t="s">
        <v>1129</v>
      </c>
      <c r="E2985" s="1179">
        <v>2015</v>
      </c>
      <c r="F2985" s="1282" t="s">
        <v>20220</v>
      </c>
      <c r="G2985" s="1368">
        <v>24</v>
      </c>
      <c r="H2985" s="1178" t="s">
        <v>20221</v>
      </c>
      <c r="I2985" s="1178" t="s">
        <v>9394</v>
      </c>
      <c r="J2985" s="1178" t="s">
        <v>662</v>
      </c>
      <c r="K2985" s="1178" t="s">
        <v>307</v>
      </c>
      <c r="L2985" s="1178"/>
      <c r="M2985" s="1369"/>
      <c r="N2985" s="1178"/>
      <c r="O2985" s="1178">
        <v>12</v>
      </c>
      <c r="P2985" s="1178">
        <v>14</v>
      </c>
    </row>
    <row r="2986" spans="1:16">
      <c r="A2986" s="1178" t="s">
        <v>21476</v>
      </c>
      <c r="B2986" s="1371" t="str">
        <f>HYPERLINK(IFERROR("#Main_Tariff!A"&amp;MATCH(Raeburn_Main_Tariff[[#This Row],[Product Code]],Main_Tariff!I:I,0),"#Main_Tariff!A"&amp;MATCH("*"&amp;RIGHT(A2986,8)&amp;"*",Main_Tariff!A:A,0)),Raeburn_Main_Tariff[[#This Row],[PRODUCER]])</f>
        <v>Famille Tardieu</v>
      </c>
      <c r="C2986" s="1178" t="s">
        <v>21479</v>
      </c>
      <c r="D2986" s="1178" t="s">
        <v>1129</v>
      </c>
      <c r="E2986" s="1179">
        <v>2023</v>
      </c>
      <c r="F2986" s="1282" t="s">
        <v>20220</v>
      </c>
      <c r="G2986" s="1368">
        <v>26.75</v>
      </c>
      <c r="H2986" s="1178" t="s">
        <v>20221</v>
      </c>
      <c r="I2986" s="1178" t="s">
        <v>9398</v>
      </c>
      <c r="J2986" s="1178" t="s">
        <v>662</v>
      </c>
      <c r="K2986" s="1178" t="s">
        <v>307</v>
      </c>
      <c r="L2986" s="1178"/>
      <c r="M2986" s="1369"/>
      <c r="N2986" s="1178"/>
      <c r="O2986" s="1178">
        <v>6</v>
      </c>
      <c r="P2986" s="1178">
        <v>13.5</v>
      </c>
    </row>
    <row r="2987" spans="1:16">
      <c r="A2987" s="1178" t="s">
        <v>21476</v>
      </c>
      <c r="B2987" s="1371" t="str">
        <f>HYPERLINK(IFERROR("#Main_Tariff!A"&amp;MATCH(Raeburn_Main_Tariff[[#This Row],[Product Code]],Main_Tariff!I:I,0),"#Main_Tariff!A"&amp;MATCH("*"&amp;RIGHT(A2987,8)&amp;"*",Main_Tariff!A:A,0)),Raeburn_Main_Tariff[[#This Row],[PRODUCER]])</f>
        <v>Famille Tardieu</v>
      </c>
      <c r="C2987" s="1178" t="s">
        <v>21479</v>
      </c>
      <c r="D2987" s="1178" t="s">
        <v>1129</v>
      </c>
      <c r="E2987" s="1179">
        <v>2022</v>
      </c>
      <c r="F2987" s="1282" t="s">
        <v>20220</v>
      </c>
      <c r="G2987" s="1368">
        <v>26.75</v>
      </c>
      <c r="H2987" s="1178" t="s">
        <v>20221</v>
      </c>
      <c r="I2987" s="1178" t="s">
        <v>9400</v>
      </c>
      <c r="J2987" s="1178" t="s">
        <v>662</v>
      </c>
      <c r="K2987" s="1178" t="s">
        <v>307</v>
      </c>
      <c r="L2987" s="1178"/>
      <c r="M2987" s="1369"/>
      <c r="N2987" s="1178"/>
      <c r="O2987" s="1178">
        <v>6</v>
      </c>
      <c r="P2987" s="1178">
        <v>13.5</v>
      </c>
    </row>
    <row r="2988" spans="1:16">
      <c r="A2988" s="1178" t="s">
        <v>21476</v>
      </c>
      <c r="B2988" s="1371" t="str">
        <f>HYPERLINK(IFERROR("#Main_Tariff!A"&amp;MATCH(Raeburn_Main_Tariff[[#This Row],[Product Code]],Main_Tariff!I:I,0),"#Main_Tariff!A"&amp;MATCH("*"&amp;RIGHT(A2988,8)&amp;"*",Main_Tariff!A:A,0)),Raeburn_Main_Tariff[[#This Row],[PRODUCER]])</f>
        <v>Famille Tardieu</v>
      </c>
      <c r="C2988" s="1178" t="s">
        <v>21479</v>
      </c>
      <c r="D2988" s="1178" t="s">
        <v>1129</v>
      </c>
      <c r="E2988" s="1179">
        <v>2021</v>
      </c>
      <c r="F2988" s="1282" t="s">
        <v>20220</v>
      </c>
      <c r="G2988" s="1368">
        <v>25.5</v>
      </c>
      <c r="H2988" s="1178" t="s">
        <v>20221</v>
      </c>
      <c r="I2988" s="1178" t="s">
        <v>9402</v>
      </c>
      <c r="J2988" s="1178" t="s">
        <v>662</v>
      </c>
      <c r="K2988" s="1178" t="s">
        <v>307</v>
      </c>
      <c r="L2988" s="1178"/>
      <c r="M2988" s="1369"/>
      <c r="N2988" s="1178"/>
      <c r="O2988" s="1178">
        <v>6</v>
      </c>
      <c r="P2988" s="1178">
        <v>13.5</v>
      </c>
    </row>
    <row r="2989" spans="1:16">
      <c r="A2989" s="1178" t="s">
        <v>21476</v>
      </c>
      <c r="B2989" s="1371" t="str">
        <f>HYPERLINK(IFERROR("#Main_Tariff!A"&amp;MATCH(Raeburn_Main_Tariff[[#This Row],[Product Code]],Main_Tariff!I:I,0),"#Main_Tariff!A"&amp;MATCH("*"&amp;RIGHT(A2989,8)&amp;"*",Main_Tariff!A:A,0)),Raeburn_Main_Tariff[[#This Row],[PRODUCER]])</f>
        <v>Famille Tardieu</v>
      </c>
      <c r="C2989" s="1178" t="s">
        <v>21480</v>
      </c>
      <c r="D2989" s="1178" t="s">
        <v>1129</v>
      </c>
      <c r="E2989" s="1179">
        <v>2020</v>
      </c>
      <c r="F2989" s="1282" t="s">
        <v>20220</v>
      </c>
      <c r="G2989" s="1368">
        <v>25.5</v>
      </c>
      <c r="H2989" s="1178" t="s">
        <v>20221</v>
      </c>
      <c r="I2989" s="1178" t="s">
        <v>9404</v>
      </c>
      <c r="J2989" s="1178" t="s">
        <v>662</v>
      </c>
      <c r="K2989" s="1178" t="s">
        <v>307</v>
      </c>
      <c r="L2989" s="1178"/>
      <c r="M2989" s="1369"/>
      <c r="N2989" s="1178"/>
      <c r="O2989" s="1178">
        <v>6</v>
      </c>
      <c r="P2989" s="1178">
        <v>13.5</v>
      </c>
    </row>
    <row r="2990" spans="1:16">
      <c r="A2990" s="1178" t="s">
        <v>21476</v>
      </c>
      <c r="B2990" s="1371" t="str">
        <f>HYPERLINK(IFERROR("#Main_Tariff!A"&amp;MATCH(Raeburn_Main_Tariff[[#This Row],[Product Code]],Main_Tariff!I:I,0),"#Main_Tariff!A"&amp;MATCH("*"&amp;RIGHT(A2990,8)&amp;"*",Main_Tariff!A:A,0)),Raeburn_Main_Tariff[[#This Row],[PRODUCER]])</f>
        <v>Famille Tardieu</v>
      </c>
      <c r="C2990" s="1178" t="s">
        <v>21479</v>
      </c>
      <c r="D2990" s="1178" t="s">
        <v>1129</v>
      </c>
      <c r="E2990" s="1179">
        <v>2019</v>
      </c>
      <c r="F2990" s="1282" t="s">
        <v>20220</v>
      </c>
      <c r="G2990" s="1368">
        <v>25.5</v>
      </c>
      <c r="H2990" s="1178" t="s">
        <v>20221</v>
      </c>
      <c r="I2990" s="1178" t="s">
        <v>9406</v>
      </c>
      <c r="J2990" s="1178" t="s">
        <v>662</v>
      </c>
      <c r="K2990" s="1178" t="s">
        <v>307</v>
      </c>
      <c r="L2990" s="1178"/>
      <c r="M2990" s="1369"/>
      <c r="N2990" s="1178"/>
      <c r="O2990" s="1178">
        <v>12</v>
      </c>
      <c r="P2990" s="1178">
        <v>13.5</v>
      </c>
    </row>
    <row r="2991" spans="1:16">
      <c r="A2991" s="1178" t="s">
        <v>21476</v>
      </c>
      <c r="B2991" s="1371" t="str">
        <f>HYPERLINK(IFERROR("#Main_Tariff!A"&amp;MATCH(Raeburn_Main_Tariff[[#This Row],[Product Code]],Main_Tariff!I:I,0),"#Main_Tariff!A"&amp;MATCH("*"&amp;RIGHT(A2991,8)&amp;"*",Main_Tariff!A:A,0)),Raeburn_Main_Tariff[[#This Row],[PRODUCER]])</f>
        <v>Famille Tardieu</v>
      </c>
      <c r="C2991" s="1178" t="s">
        <v>21481</v>
      </c>
      <c r="D2991" s="1178" t="s">
        <v>1129</v>
      </c>
      <c r="E2991" s="1179">
        <v>2023</v>
      </c>
      <c r="F2991" s="1282" t="s">
        <v>20220</v>
      </c>
      <c r="G2991" s="1368">
        <v>34.5</v>
      </c>
      <c r="H2991" s="1178" t="s">
        <v>20221</v>
      </c>
      <c r="I2991" s="1178" t="s">
        <v>9410</v>
      </c>
      <c r="J2991" s="1178" t="s">
        <v>662</v>
      </c>
      <c r="K2991" s="1178" t="s">
        <v>307</v>
      </c>
      <c r="L2991" s="1178"/>
      <c r="M2991" s="1369"/>
      <c r="N2991" s="1178"/>
      <c r="O2991" s="1178">
        <v>6</v>
      </c>
      <c r="P2991" s="1178">
        <v>13.5</v>
      </c>
    </row>
    <row r="2992" spans="1:16">
      <c r="A2992" s="1178" t="s">
        <v>21476</v>
      </c>
      <c r="B2992" s="1371" t="str">
        <f>HYPERLINK(IFERROR("#Main_Tariff!A"&amp;MATCH(Raeburn_Main_Tariff[[#This Row],[Product Code]],Main_Tariff!I:I,0),"#Main_Tariff!A"&amp;MATCH("*"&amp;RIGHT(A2992,8)&amp;"*",Main_Tariff!A:A,0)),Raeburn_Main_Tariff[[#This Row],[PRODUCER]])</f>
        <v>Famille Tardieu</v>
      </c>
      <c r="C2992" s="1178" t="s">
        <v>21472</v>
      </c>
      <c r="D2992" s="1178" t="s">
        <v>1129</v>
      </c>
      <c r="E2992" s="1179">
        <v>2023</v>
      </c>
      <c r="F2992" s="1282" t="s">
        <v>20220</v>
      </c>
      <c r="G2992" s="1368" t="s">
        <v>20342</v>
      </c>
      <c r="H2992" s="1178" t="s">
        <v>20343</v>
      </c>
      <c r="I2992" s="1178" t="s">
        <v>9413</v>
      </c>
      <c r="J2992" s="1178" t="s">
        <v>662</v>
      </c>
      <c r="K2992" s="1178" t="s">
        <v>307</v>
      </c>
      <c r="L2992" s="1178"/>
      <c r="M2992" s="1369"/>
      <c r="N2992" s="1178"/>
      <c r="O2992" s="1178">
        <v>6</v>
      </c>
      <c r="P2992" s="1178">
        <v>13.5</v>
      </c>
    </row>
    <row r="2993" spans="1:16">
      <c r="A2993" s="1178" t="s">
        <v>21476</v>
      </c>
      <c r="B2993" s="1371" t="str">
        <f>HYPERLINK(IFERROR("#Main_Tariff!A"&amp;MATCH(Raeburn_Main_Tariff[[#This Row],[Product Code]],Main_Tariff!I:I,0),"#Main_Tariff!A"&amp;MATCH("*"&amp;RIGHT(A2993,8)&amp;"*",Main_Tariff!A:A,0)),Raeburn_Main_Tariff[[#This Row],[PRODUCER]])</f>
        <v>Famille Tardieu</v>
      </c>
      <c r="C2993" s="1178" t="s">
        <v>21472</v>
      </c>
      <c r="D2993" s="1178" t="s">
        <v>1129</v>
      </c>
      <c r="E2993" s="1179">
        <v>2022</v>
      </c>
      <c r="F2993" s="1282" t="s">
        <v>20220</v>
      </c>
      <c r="G2993" s="1368">
        <v>47</v>
      </c>
      <c r="H2993" s="1178" t="s">
        <v>20221</v>
      </c>
      <c r="I2993" s="1178" t="s">
        <v>9415</v>
      </c>
      <c r="J2993" s="1178" t="s">
        <v>662</v>
      </c>
      <c r="K2993" s="1178" t="s">
        <v>307</v>
      </c>
      <c r="L2993" s="1178"/>
      <c r="M2993" s="1369"/>
      <c r="N2993" s="1178"/>
      <c r="O2993" s="1178">
        <v>6</v>
      </c>
      <c r="P2993" s="1178">
        <v>14</v>
      </c>
    </row>
    <row r="2994" spans="1:16">
      <c r="A2994" s="1178" t="s">
        <v>21476</v>
      </c>
      <c r="B2994" s="1371" t="str">
        <f>HYPERLINK(IFERROR("#Main_Tariff!A"&amp;MATCH(Raeburn_Main_Tariff[[#This Row],[Product Code]],Main_Tariff!I:I,0),"#Main_Tariff!A"&amp;MATCH("*"&amp;RIGHT(A2994,8)&amp;"*",Main_Tariff!A:A,0)),Raeburn_Main_Tariff[[#This Row],[PRODUCER]])</f>
        <v>Famille Tardieu</v>
      </c>
      <c r="C2994" s="1178" t="s">
        <v>21472</v>
      </c>
      <c r="D2994" s="1178" t="s">
        <v>1129</v>
      </c>
      <c r="E2994" s="1179">
        <v>2021</v>
      </c>
      <c r="F2994" s="1282" t="s">
        <v>20220</v>
      </c>
      <c r="G2994" s="1368">
        <v>46.75</v>
      </c>
      <c r="H2994" s="1178" t="s">
        <v>20221</v>
      </c>
      <c r="I2994" s="1178" t="s">
        <v>9417</v>
      </c>
      <c r="J2994" s="1178" t="s">
        <v>662</v>
      </c>
      <c r="K2994" s="1178" t="s">
        <v>307</v>
      </c>
      <c r="L2994" s="1178"/>
      <c r="M2994" s="1369"/>
      <c r="N2994" s="1178"/>
      <c r="O2994" s="1178">
        <v>6</v>
      </c>
      <c r="P2994" s="1178">
        <v>13.5</v>
      </c>
    </row>
    <row r="2995" spans="1:16">
      <c r="A2995" s="1178" t="s">
        <v>21476</v>
      </c>
      <c r="B2995" s="1371" t="str">
        <f>HYPERLINK(IFERROR("#Main_Tariff!A"&amp;MATCH(Raeburn_Main_Tariff[[#This Row],[Product Code]],Main_Tariff!I:I,0),"#Main_Tariff!A"&amp;MATCH("*"&amp;RIGHT(A2995,8)&amp;"*",Main_Tariff!A:A,0)),Raeburn_Main_Tariff[[#This Row],[PRODUCER]])</f>
        <v>Famille Tardieu</v>
      </c>
      <c r="C2995" s="1178" t="s">
        <v>21482</v>
      </c>
      <c r="D2995" s="1178" t="s">
        <v>1129</v>
      </c>
      <c r="E2995" s="1179">
        <v>2020</v>
      </c>
      <c r="F2995" s="1282" t="s">
        <v>20240</v>
      </c>
      <c r="G2995" s="1368">
        <v>55</v>
      </c>
      <c r="H2995" s="1178" t="s">
        <v>20221</v>
      </c>
      <c r="I2995" s="1178" t="s">
        <v>9421</v>
      </c>
      <c r="J2995" s="1178" t="s">
        <v>662</v>
      </c>
      <c r="K2995" s="1178" t="s">
        <v>307</v>
      </c>
      <c r="L2995" s="1178"/>
      <c r="M2995" s="1369"/>
      <c r="N2995" s="1178"/>
      <c r="O2995" s="1178">
        <v>3</v>
      </c>
      <c r="P2995" s="1178">
        <v>13.5</v>
      </c>
    </row>
    <row r="2996" spans="1:16">
      <c r="A2996" s="1178" t="s">
        <v>21476</v>
      </c>
      <c r="B2996" s="1371" t="str">
        <f>HYPERLINK(IFERROR("#Main_Tariff!A"&amp;MATCH(Raeburn_Main_Tariff[[#This Row],[Product Code]],Main_Tariff!I:I,0),"#Main_Tariff!A"&amp;MATCH("*"&amp;RIGHT(A2996,8)&amp;"*",Main_Tariff!A:A,0)),Raeburn_Main_Tariff[[#This Row],[PRODUCER]])</f>
        <v>Famille Tardieu</v>
      </c>
      <c r="C2996" s="1178" t="s">
        <v>21483</v>
      </c>
      <c r="D2996" s="1178" t="s">
        <v>1129</v>
      </c>
      <c r="E2996" s="1179">
        <v>2018</v>
      </c>
      <c r="F2996" s="1282" t="s">
        <v>20240</v>
      </c>
      <c r="G2996" s="1368">
        <v>70</v>
      </c>
      <c r="H2996" s="1178" t="s">
        <v>20277</v>
      </c>
      <c r="I2996" s="1178" t="s">
        <v>9423</v>
      </c>
      <c r="J2996" s="1178" t="s">
        <v>662</v>
      </c>
      <c r="K2996" s="1178" t="s">
        <v>307</v>
      </c>
      <c r="L2996" s="1178"/>
      <c r="M2996" s="1369"/>
      <c r="N2996" s="1178" t="s">
        <v>20244</v>
      </c>
      <c r="O2996" s="1178">
        <v>3</v>
      </c>
      <c r="P2996" s="1178">
        <v>14</v>
      </c>
    </row>
    <row r="2997" spans="1:16">
      <c r="A2997" s="1178" t="s">
        <v>21476</v>
      </c>
      <c r="B2997" s="1371" t="str">
        <f>HYPERLINK(IFERROR("#Main_Tariff!A"&amp;MATCH(Raeburn_Main_Tariff[[#This Row],[Product Code]],Main_Tariff!I:I,0),"#Main_Tariff!A"&amp;MATCH("*"&amp;RIGHT(A2997,8)&amp;"*",Main_Tariff!A:A,0)),Raeburn_Main_Tariff[[#This Row],[PRODUCER]])</f>
        <v>Famille Tardieu</v>
      </c>
      <c r="C2997" s="1178" t="s">
        <v>21484</v>
      </c>
      <c r="D2997" s="1178" t="s">
        <v>1129</v>
      </c>
      <c r="E2997" s="1179">
        <v>2019</v>
      </c>
      <c r="F2997" s="1282" t="s">
        <v>20240</v>
      </c>
      <c r="G2997" s="1368">
        <v>94</v>
      </c>
      <c r="H2997" s="1178" t="s">
        <v>20277</v>
      </c>
      <c r="I2997" s="1178" t="s">
        <v>9425</v>
      </c>
      <c r="J2997" s="1178" t="s">
        <v>662</v>
      </c>
      <c r="K2997" s="1178" t="s">
        <v>307</v>
      </c>
      <c r="L2997" s="1178"/>
      <c r="M2997" s="1369"/>
      <c r="N2997" s="1178"/>
      <c r="O2997" s="1178">
        <v>3</v>
      </c>
      <c r="P2997" s="1178">
        <v>14</v>
      </c>
    </row>
    <row r="2998" spans="1:16">
      <c r="A2998" s="1178" t="s">
        <v>21476</v>
      </c>
      <c r="B2998" s="1371" t="str">
        <f>HYPERLINK(IFERROR("#Main_Tariff!A"&amp;MATCH(Raeburn_Main_Tariff[[#This Row],[Product Code]],Main_Tariff!I:I,0),"#Main_Tariff!A"&amp;MATCH("*"&amp;RIGHT(A2998,8)&amp;"*",Main_Tariff!A:A,0)),Raeburn_Main_Tariff[[#This Row],[PRODUCER]])</f>
        <v>Famille Tardieu</v>
      </c>
      <c r="C2998" s="1178" t="s">
        <v>21485</v>
      </c>
      <c r="D2998" s="1178"/>
      <c r="E2998" s="1179" t="s">
        <v>21486</v>
      </c>
      <c r="F2998" s="1282" t="s">
        <v>20220</v>
      </c>
      <c r="G2998" s="1368">
        <v>144.5</v>
      </c>
      <c r="H2998" s="1178" t="s">
        <v>20224</v>
      </c>
      <c r="I2998" s="1178" t="s">
        <v>9428</v>
      </c>
      <c r="J2998" s="1178" t="s">
        <v>662</v>
      </c>
      <c r="K2998" s="1178" t="s">
        <v>307</v>
      </c>
      <c r="L2998" s="1178"/>
      <c r="M2998" s="1369"/>
      <c r="N2998" s="1178"/>
      <c r="O2998" s="1178">
        <v>3</v>
      </c>
      <c r="P2998" s="1178">
        <v>13.5</v>
      </c>
    </row>
    <row r="2999" spans="1:16">
      <c r="A2999" s="1178" t="s">
        <v>21476</v>
      </c>
      <c r="B2999" s="1371" t="str">
        <f>HYPERLINK(IFERROR("#Main_Tariff!A"&amp;MATCH(Raeburn_Main_Tariff[[#This Row],[Product Code]],Main_Tariff!I:I,0),"#Main_Tariff!A"&amp;MATCH("*"&amp;RIGHT(A2999,8)&amp;"*",Main_Tariff!A:A,0)),Raeburn_Main_Tariff[[#This Row],[PRODUCER]])</f>
        <v>Famille Tardieu</v>
      </c>
      <c r="C2999" s="1178" t="s">
        <v>21487</v>
      </c>
      <c r="D2999" s="1178" t="s">
        <v>897</v>
      </c>
      <c r="E2999" s="1179">
        <v>2023</v>
      </c>
      <c r="F2999" s="1282" t="s">
        <v>20220</v>
      </c>
      <c r="G2999" s="1368" t="s">
        <v>20342</v>
      </c>
      <c r="H2999" s="1178" t="s">
        <v>20343</v>
      </c>
      <c r="I2999" s="1178" t="s">
        <v>9453</v>
      </c>
      <c r="J2999" s="1178" t="s">
        <v>662</v>
      </c>
      <c r="K2999" s="1178" t="s">
        <v>307</v>
      </c>
      <c r="L2999" s="1178"/>
      <c r="M2999" s="1369"/>
      <c r="N2999" s="1178" t="s">
        <v>20244</v>
      </c>
      <c r="O2999" s="1178">
        <v>6</v>
      </c>
      <c r="P2999" s="1178">
        <v>13</v>
      </c>
    </row>
    <row r="3000" spans="1:16">
      <c r="A3000" s="1178" t="s">
        <v>21476</v>
      </c>
      <c r="B3000" s="1371" t="str">
        <f>HYPERLINK(IFERROR("#Main_Tariff!A"&amp;MATCH(Raeburn_Main_Tariff[[#This Row],[Product Code]],Main_Tariff!I:I,0),"#Main_Tariff!A"&amp;MATCH("*"&amp;RIGHT(A3000,8)&amp;"*",Main_Tariff!A:A,0)),Raeburn_Main_Tariff[[#This Row],[PRODUCER]])</f>
        <v>Famille Tardieu</v>
      </c>
      <c r="C3000" s="1178" t="s">
        <v>21488</v>
      </c>
      <c r="D3000" s="1178" t="s">
        <v>897</v>
      </c>
      <c r="E3000" s="1179">
        <v>2022</v>
      </c>
      <c r="F3000" s="1282" t="s">
        <v>20220</v>
      </c>
      <c r="G3000" s="1368">
        <v>23.5</v>
      </c>
      <c r="H3000" s="1178" t="s">
        <v>20221</v>
      </c>
      <c r="I3000" s="1178" t="s">
        <v>9455</v>
      </c>
      <c r="J3000" s="1178" t="s">
        <v>662</v>
      </c>
      <c r="K3000" s="1178" t="s">
        <v>307</v>
      </c>
      <c r="L3000" s="1178"/>
      <c r="M3000" s="1369"/>
      <c r="N3000" s="1178" t="s">
        <v>20244</v>
      </c>
      <c r="O3000" s="1178">
        <v>6</v>
      </c>
      <c r="P3000" s="1178">
        <v>12.5</v>
      </c>
    </row>
    <row r="3001" spans="1:16">
      <c r="A3001" s="1178" t="s">
        <v>21476</v>
      </c>
      <c r="B3001" s="1371" t="str">
        <f>HYPERLINK(IFERROR("#Main_Tariff!A"&amp;MATCH(Raeburn_Main_Tariff[[#This Row],[Product Code]],Main_Tariff!I:I,0),"#Main_Tariff!A"&amp;MATCH("*"&amp;RIGHT(A3001,8)&amp;"*",Main_Tariff!A:A,0)),Raeburn_Main_Tariff[[#This Row],[PRODUCER]])</f>
        <v>Famille Tardieu</v>
      </c>
      <c r="C3001" s="1178" t="s">
        <v>21487</v>
      </c>
      <c r="D3001" s="1178" t="s">
        <v>897</v>
      </c>
      <c r="E3001" s="1179">
        <v>2021</v>
      </c>
      <c r="F3001" s="1282" t="s">
        <v>20220</v>
      </c>
      <c r="G3001" s="1368">
        <v>23.5</v>
      </c>
      <c r="H3001" s="1178" t="s">
        <v>20221</v>
      </c>
      <c r="I3001" s="1178" t="s">
        <v>9457</v>
      </c>
      <c r="J3001" s="1178" t="s">
        <v>662</v>
      </c>
      <c r="K3001" s="1178" t="s">
        <v>307</v>
      </c>
      <c r="L3001" s="1178"/>
      <c r="M3001" s="1369"/>
      <c r="N3001" s="1178"/>
      <c r="O3001" s="1178">
        <v>6</v>
      </c>
      <c r="P3001" s="1178">
        <v>13</v>
      </c>
    </row>
    <row r="3002" spans="1:16">
      <c r="A3002" s="1178" t="s">
        <v>21476</v>
      </c>
      <c r="B3002" s="1371" t="str">
        <f>HYPERLINK(IFERROR("#Main_Tariff!A"&amp;MATCH(Raeburn_Main_Tariff[[#This Row],[Product Code]],Main_Tariff!I:I,0),"#Main_Tariff!A"&amp;MATCH("*"&amp;RIGHT(A3002,8)&amp;"*",Main_Tariff!A:A,0)),Raeburn_Main_Tariff[[#This Row],[PRODUCER]])</f>
        <v>Famille Tardieu</v>
      </c>
      <c r="C3002" s="1178" t="s">
        <v>21489</v>
      </c>
      <c r="D3002" s="1178" t="s">
        <v>897</v>
      </c>
      <c r="E3002" s="1179">
        <v>2020</v>
      </c>
      <c r="F3002" s="1282" t="s">
        <v>20220</v>
      </c>
      <c r="G3002" s="1368">
        <v>22.5</v>
      </c>
      <c r="H3002" s="1178" t="s">
        <v>20221</v>
      </c>
      <c r="I3002" s="1178" t="s">
        <v>9459</v>
      </c>
      <c r="J3002" s="1178" t="s">
        <v>662</v>
      </c>
      <c r="K3002" s="1178" t="s">
        <v>307</v>
      </c>
      <c r="L3002" s="1178"/>
      <c r="M3002" s="1369"/>
      <c r="N3002" s="1178"/>
      <c r="O3002" s="1178">
        <v>6</v>
      </c>
      <c r="P3002" s="1178">
        <v>13.5</v>
      </c>
    </row>
    <row r="3003" spans="1:16">
      <c r="A3003" s="1178" t="s">
        <v>21476</v>
      </c>
      <c r="B3003" s="1371" t="str">
        <f>HYPERLINK(IFERROR("#Main_Tariff!A"&amp;MATCH(Raeburn_Main_Tariff[[#This Row],[Product Code]],Main_Tariff!I:I,0),"#Main_Tariff!A"&amp;MATCH("*"&amp;RIGHT(A3003,8)&amp;"*",Main_Tariff!A:A,0)),Raeburn_Main_Tariff[[#This Row],[PRODUCER]])</f>
        <v>Famille Tardieu</v>
      </c>
      <c r="C3003" s="1178" t="s">
        <v>21487</v>
      </c>
      <c r="D3003" s="1178" t="s">
        <v>897</v>
      </c>
      <c r="E3003" s="1179">
        <v>2019</v>
      </c>
      <c r="F3003" s="1282" t="s">
        <v>20220</v>
      </c>
      <c r="G3003" s="1368">
        <v>22.5</v>
      </c>
      <c r="H3003" s="1178" t="s">
        <v>20221</v>
      </c>
      <c r="I3003" s="1178" t="s">
        <v>9461</v>
      </c>
      <c r="J3003" s="1178" t="s">
        <v>662</v>
      </c>
      <c r="K3003" s="1178" t="s">
        <v>307</v>
      </c>
      <c r="L3003" s="1178"/>
      <c r="M3003" s="1369"/>
      <c r="N3003" s="1178"/>
      <c r="O3003" s="1178">
        <v>6</v>
      </c>
      <c r="P3003" s="1178">
        <v>13.5</v>
      </c>
    </row>
    <row r="3004" spans="1:16">
      <c r="A3004" s="1178" t="s">
        <v>21476</v>
      </c>
      <c r="B3004" s="1371" t="str">
        <f>HYPERLINK(IFERROR("#Main_Tariff!A"&amp;MATCH(Raeburn_Main_Tariff[[#This Row],[Product Code]],Main_Tariff!I:I,0),"#Main_Tariff!A"&amp;MATCH("*"&amp;RIGHT(A3004,8)&amp;"*",Main_Tariff!A:A,0)),Raeburn_Main_Tariff[[#This Row],[PRODUCER]])</f>
        <v>Famille Tardieu</v>
      </c>
      <c r="C3004" s="1178" t="s">
        <v>21490</v>
      </c>
      <c r="D3004" s="1178" t="s">
        <v>897</v>
      </c>
      <c r="E3004" s="1179">
        <v>2018</v>
      </c>
      <c r="F3004" s="1282" t="s">
        <v>20220</v>
      </c>
      <c r="G3004" s="1368">
        <v>22.5</v>
      </c>
      <c r="H3004" s="1178" t="s">
        <v>20221</v>
      </c>
      <c r="I3004" s="1178" t="s">
        <v>9463</v>
      </c>
      <c r="J3004" s="1178" t="s">
        <v>662</v>
      </c>
      <c r="K3004" s="1178" t="s">
        <v>307</v>
      </c>
      <c r="L3004" s="1178"/>
      <c r="M3004" s="1369"/>
      <c r="N3004" s="1178"/>
      <c r="O3004" s="1178">
        <v>6</v>
      </c>
      <c r="P3004" s="1178">
        <v>13.5</v>
      </c>
    </row>
    <row r="3005" spans="1:16">
      <c r="A3005" s="1178" t="s">
        <v>21476</v>
      </c>
      <c r="B3005" s="1371" t="str">
        <f>HYPERLINK(IFERROR("#Main_Tariff!A"&amp;MATCH(Raeburn_Main_Tariff[[#This Row],[Product Code]],Main_Tariff!I:I,0),"#Main_Tariff!A"&amp;MATCH("*"&amp;RIGHT(A3005,8)&amp;"*",Main_Tariff!A:A,0)),Raeburn_Main_Tariff[[#This Row],[PRODUCER]])</f>
        <v>Famille Tardieu</v>
      </c>
      <c r="C3005" s="1178" t="s">
        <v>21490</v>
      </c>
      <c r="D3005" s="1178" t="s">
        <v>897</v>
      </c>
      <c r="E3005" s="1179">
        <v>2017</v>
      </c>
      <c r="F3005" s="1282" t="s">
        <v>20220</v>
      </c>
      <c r="G3005" s="1368">
        <v>22.5</v>
      </c>
      <c r="H3005" s="1178" t="s">
        <v>20221</v>
      </c>
      <c r="I3005" s="1178" t="s">
        <v>9465</v>
      </c>
      <c r="J3005" s="1178" t="s">
        <v>662</v>
      </c>
      <c r="K3005" s="1178" t="s">
        <v>307</v>
      </c>
      <c r="L3005" s="1178"/>
      <c r="M3005" s="1369"/>
      <c r="N3005" s="1178"/>
      <c r="O3005" s="1178">
        <v>6</v>
      </c>
      <c r="P3005" s="1178">
        <v>13.5</v>
      </c>
    </row>
    <row r="3006" spans="1:16">
      <c r="A3006" s="1178" t="s">
        <v>21476</v>
      </c>
      <c r="B3006" s="1371" t="str">
        <f>HYPERLINK(IFERROR("#Main_Tariff!A"&amp;MATCH(Raeburn_Main_Tariff[[#This Row],[Product Code]],Main_Tariff!I:I,0),"#Main_Tariff!A"&amp;MATCH("*"&amp;RIGHT(A3006,8)&amp;"*",Main_Tariff!A:A,0)),Raeburn_Main_Tariff[[#This Row],[PRODUCER]])</f>
        <v>Famille Tardieu</v>
      </c>
      <c r="C3006" s="1178" t="s">
        <v>21490</v>
      </c>
      <c r="D3006" s="1178" t="s">
        <v>897</v>
      </c>
      <c r="E3006" s="1179">
        <v>2016</v>
      </c>
      <c r="F3006" s="1282" t="s">
        <v>20220</v>
      </c>
      <c r="G3006" s="1368">
        <v>22.5</v>
      </c>
      <c r="H3006" s="1178" t="s">
        <v>20221</v>
      </c>
      <c r="I3006" s="1178" t="s">
        <v>9467</v>
      </c>
      <c r="J3006" s="1178" t="s">
        <v>662</v>
      </c>
      <c r="K3006" s="1178" t="s">
        <v>307</v>
      </c>
      <c r="L3006" s="1178"/>
      <c r="M3006" s="1369"/>
      <c r="N3006" s="1178"/>
      <c r="O3006" s="1178">
        <v>6</v>
      </c>
      <c r="P3006" s="1178">
        <v>13</v>
      </c>
    </row>
    <row r="3007" spans="1:16">
      <c r="A3007" s="1178" t="s">
        <v>21476</v>
      </c>
      <c r="B3007" s="1371" t="str">
        <f>HYPERLINK(IFERROR("#Main_Tariff!A"&amp;MATCH(Raeburn_Main_Tariff[[#This Row],[Product Code]],Main_Tariff!I:I,0),"#Main_Tariff!A"&amp;MATCH("*"&amp;RIGHT(A3007,8)&amp;"*",Main_Tariff!A:A,0)),Raeburn_Main_Tariff[[#This Row],[PRODUCER]])</f>
        <v>Famille Tardieu</v>
      </c>
      <c r="C3007" s="1178" t="s">
        <v>21491</v>
      </c>
      <c r="D3007" s="1178" t="s">
        <v>897</v>
      </c>
      <c r="E3007" s="1179">
        <v>2023</v>
      </c>
      <c r="F3007" s="1282" t="s">
        <v>20220</v>
      </c>
      <c r="G3007" s="1368" t="s">
        <v>20342</v>
      </c>
      <c r="H3007" s="1178" t="s">
        <v>20343</v>
      </c>
      <c r="I3007" s="1178" t="s">
        <v>9471</v>
      </c>
      <c r="J3007" s="1178" t="s">
        <v>662</v>
      </c>
      <c r="K3007" s="1178" t="s">
        <v>307</v>
      </c>
      <c r="L3007" s="1178"/>
      <c r="M3007" s="1369"/>
      <c r="N3007" s="1178" t="s">
        <v>20244</v>
      </c>
      <c r="O3007" s="1178">
        <v>6</v>
      </c>
      <c r="P3007" s="1178">
        <v>13.5</v>
      </c>
    </row>
    <row r="3008" spans="1:16">
      <c r="A3008" s="1178" t="s">
        <v>21476</v>
      </c>
      <c r="B3008" s="1371" t="str">
        <f>HYPERLINK(IFERROR("#Main_Tariff!A"&amp;MATCH(Raeburn_Main_Tariff[[#This Row],[Product Code]],Main_Tariff!I:I,0),"#Main_Tariff!A"&amp;MATCH("*"&amp;RIGHT(A3008,8)&amp;"*",Main_Tariff!A:A,0)),Raeburn_Main_Tariff[[#This Row],[PRODUCER]])</f>
        <v>Famille Tardieu</v>
      </c>
      <c r="C3008" s="1178" t="s">
        <v>21491</v>
      </c>
      <c r="D3008" s="1178" t="s">
        <v>897</v>
      </c>
      <c r="E3008" s="1179">
        <v>2022</v>
      </c>
      <c r="F3008" s="1282" t="s">
        <v>20220</v>
      </c>
      <c r="G3008" s="1368">
        <v>26.5</v>
      </c>
      <c r="H3008" s="1178" t="s">
        <v>20221</v>
      </c>
      <c r="I3008" s="1178" t="s">
        <v>9473</v>
      </c>
      <c r="J3008" s="1178" t="s">
        <v>662</v>
      </c>
      <c r="K3008" s="1178" t="s">
        <v>307</v>
      </c>
      <c r="L3008" s="1178"/>
      <c r="M3008" s="1369"/>
      <c r="N3008" s="1178" t="s">
        <v>20244</v>
      </c>
      <c r="O3008" s="1178">
        <v>6</v>
      </c>
      <c r="P3008" s="1178">
        <v>13</v>
      </c>
    </row>
    <row r="3009" spans="1:16">
      <c r="A3009" s="1178" t="s">
        <v>21476</v>
      </c>
      <c r="B3009" s="1371" t="str">
        <f>HYPERLINK(IFERROR("#Main_Tariff!A"&amp;MATCH(Raeburn_Main_Tariff[[#This Row],[Product Code]],Main_Tariff!I:I,0),"#Main_Tariff!A"&amp;MATCH("*"&amp;RIGHT(A3009,8)&amp;"*",Main_Tariff!A:A,0)),Raeburn_Main_Tariff[[#This Row],[PRODUCER]])</f>
        <v>Famille Tardieu</v>
      </c>
      <c r="C3009" s="1178" t="s">
        <v>21491</v>
      </c>
      <c r="D3009" s="1178" t="s">
        <v>897</v>
      </c>
      <c r="E3009" s="1179">
        <v>2021</v>
      </c>
      <c r="F3009" s="1282" t="s">
        <v>20220</v>
      </c>
      <c r="G3009" s="1368">
        <v>26.5</v>
      </c>
      <c r="H3009" s="1178" t="s">
        <v>20221</v>
      </c>
      <c r="I3009" s="1178" t="s">
        <v>9475</v>
      </c>
      <c r="J3009" s="1178" t="s">
        <v>662</v>
      </c>
      <c r="K3009" s="1178" t="s">
        <v>307</v>
      </c>
      <c r="L3009" s="1178"/>
      <c r="M3009" s="1369"/>
      <c r="N3009" s="1178"/>
      <c r="O3009" s="1178">
        <v>6</v>
      </c>
      <c r="P3009" s="1178">
        <v>13</v>
      </c>
    </row>
    <row r="3010" spans="1:16">
      <c r="A3010" s="1178" t="s">
        <v>21476</v>
      </c>
      <c r="B3010" s="1371" t="str">
        <f>HYPERLINK(IFERROR("#Main_Tariff!A"&amp;MATCH(Raeburn_Main_Tariff[[#This Row],[Product Code]],Main_Tariff!I:I,0),"#Main_Tariff!A"&amp;MATCH("*"&amp;RIGHT(A3010,8)&amp;"*",Main_Tariff!A:A,0)),Raeburn_Main_Tariff[[#This Row],[PRODUCER]])</f>
        <v>Famille Tardieu</v>
      </c>
      <c r="C3010" s="1178" t="s">
        <v>21492</v>
      </c>
      <c r="D3010" s="1178" t="s">
        <v>897</v>
      </c>
      <c r="E3010" s="1179">
        <v>2020</v>
      </c>
      <c r="F3010" s="1282" t="s">
        <v>20220</v>
      </c>
      <c r="G3010" s="1368">
        <v>25.5</v>
      </c>
      <c r="H3010" s="1178" t="s">
        <v>20221</v>
      </c>
      <c r="I3010" s="1178" t="s">
        <v>9477</v>
      </c>
      <c r="J3010" s="1178" t="s">
        <v>662</v>
      </c>
      <c r="K3010" s="1178" t="s">
        <v>307</v>
      </c>
      <c r="L3010" s="1178"/>
      <c r="M3010" s="1369"/>
      <c r="N3010" s="1178" t="s">
        <v>20244</v>
      </c>
      <c r="O3010" s="1178">
        <v>6</v>
      </c>
      <c r="P3010" s="1178">
        <v>13.5</v>
      </c>
    </row>
    <row r="3011" spans="1:16">
      <c r="A3011" s="1178" t="s">
        <v>21476</v>
      </c>
      <c r="B3011" s="1371" t="str">
        <f>HYPERLINK(IFERROR("#Main_Tariff!A"&amp;MATCH(Raeburn_Main_Tariff[[#This Row],[Product Code]],Main_Tariff!I:I,0),"#Main_Tariff!A"&amp;MATCH("*"&amp;RIGHT(A3011,8)&amp;"*",Main_Tariff!A:A,0)),Raeburn_Main_Tariff[[#This Row],[PRODUCER]])</f>
        <v>Famille Tardieu</v>
      </c>
      <c r="C3011" s="1178" t="s">
        <v>21491</v>
      </c>
      <c r="D3011" s="1178" t="s">
        <v>897</v>
      </c>
      <c r="E3011" s="1179">
        <v>2019</v>
      </c>
      <c r="F3011" s="1282" t="s">
        <v>20220</v>
      </c>
      <c r="G3011" s="1368">
        <v>25.5</v>
      </c>
      <c r="H3011" s="1178" t="s">
        <v>20221</v>
      </c>
      <c r="I3011" s="1178" t="s">
        <v>9479</v>
      </c>
      <c r="J3011" s="1178" t="s">
        <v>662</v>
      </c>
      <c r="K3011" s="1178" t="s">
        <v>307</v>
      </c>
      <c r="L3011" s="1178"/>
      <c r="M3011" s="1369"/>
      <c r="N3011" s="1178"/>
      <c r="O3011" s="1178">
        <v>6</v>
      </c>
      <c r="P3011" s="1178">
        <v>14</v>
      </c>
    </row>
    <row r="3012" spans="1:16">
      <c r="A3012" s="1178" t="s">
        <v>21476</v>
      </c>
      <c r="B3012" s="1371" t="str">
        <f>HYPERLINK(IFERROR("#Main_Tariff!A"&amp;MATCH(Raeburn_Main_Tariff[[#This Row],[Product Code]],Main_Tariff!I:I,0),"#Main_Tariff!A"&amp;MATCH("*"&amp;RIGHT(A3012,8)&amp;"*",Main_Tariff!A:A,0)),Raeburn_Main_Tariff[[#This Row],[PRODUCER]])</f>
        <v>Famille Tardieu</v>
      </c>
      <c r="C3012" s="1178" t="s">
        <v>21492</v>
      </c>
      <c r="D3012" s="1178" t="s">
        <v>897</v>
      </c>
      <c r="E3012" s="1179">
        <v>2018</v>
      </c>
      <c r="F3012" s="1282" t="s">
        <v>20220</v>
      </c>
      <c r="G3012" s="1368">
        <v>25.5</v>
      </c>
      <c r="H3012" s="1178" t="s">
        <v>20221</v>
      </c>
      <c r="I3012" s="1178" t="s">
        <v>9481</v>
      </c>
      <c r="J3012" s="1178" t="s">
        <v>662</v>
      </c>
      <c r="K3012" s="1178" t="s">
        <v>307</v>
      </c>
      <c r="L3012" s="1178"/>
      <c r="M3012" s="1369"/>
      <c r="N3012" s="1178"/>
      <c r="O3012" s="1178">
        <v>6</v>
      </c>
      <c r="P3012" s="1178">
        <v>13.5</v>
      </c>
    </row>
    <row r="3013" spans="1:16">
      <c r="A3013" s="1178" t="s">
        <v>21476</v>
      </c>
      <c r="B3013" s="1371" t="str">
        <f>HYPERLINK(IFERROR("#Main_Tariff!A"&amp;MATCH(Raeburn_Main_Tariff[[#This Row],[Product Code]],Main_Tariff!I:I,0),"#Main_Tariff!A"&amp;MATCH("*"&amp;RIGHT(A3013,8)&amp;"*",Main_Tariff!A:A,0)),Raeburn_Main_Tariff[[#This Row],[PRODUCER]])</f>
        <v>Famille Tardieu</v>
      </c>
      <c r="C3013" s="1178" t="s">
        <v>21491</v>
      </c>
      <c r="D3013" s="1178" t="s">
        <v>897</v>
      </c>
      <c r="E3013" s="1179">
        <v>2017</v>
      </c>
      <c r="F3013" s="1282" t="s">
        <v>20220</v>
      </c>
      <c r="G3013" s="1368">
        <v>25.5</v>
      </c>
      <c r="H3013" s="1178" t="s">
        <v>20221</v>
      </c>
      <c r="I3013" s="1178" t="s">
        <v>9483</v>
      </c>
      <c r="J3013" s="1178" t="s">
        <v>662</v>
      </c>
      <c r="K3013" s="1178" t="s">
        <v>307</v>
      </c>
      <c r="L3013" s="1178"/>
      <c r="M3013" s="1369"/>
      <c r="N3013" s="1178"/>
      <c r="O3013" s="1178">
        <v>6</v>
      </c>
      <c r="P3013" s="1178">
        <v>13</v>
      </c>
    </row>
    <row r="3014" spans="1:16">
      <c r="A3014" s="1178" t="s">
        <v>21476</v>
      </c>
      <c r="B3014" s="1371" t="str">
        <f>HYPERLINK(IFERROR("#Main_Tariff!A"&amp;MATCH(Raeburn_Main_Tariff[[#This Row],[Product Code]],Main_Tariff!I:I,0),"#Main_Tariff!A"&amp;MATCH("*"&amp;RIGHT(A3014,8)&amp;"*",Main_Tariff!A:A,0)),Raeburn_Main_Tariff[[#This Row],[PRODUCER]])</f>
        <v>Famille Tardieu</v>
      </c>
      <c r="C3014" s="1178" t="s">
        <v>21493</v>
      </c>
      <c r="D3014" s="1178" t="s">
        <v>897</v>
      </c>
      <c r="E3014" s="1179">
        <v>2016</v>
      </c>
      <c r="F3014" s="1282" t="s">
        <v>20220</v>
      </c>
      <c r="G3014" s="1368">
        <v>25.5</v>
      </c>
      <c r="H3014" s="1178" t="s">
        <v>20277</v>
      </c>
      <c r="I3014" s="1178" t="s">
        <v>9485</v>
      </c>
      <c r="J3014" s="1178" t="s">
        <v>662</v>
      </c>
      <c r="K3014" s="1178" t="s">
        <v>307</v>
      </c>
      <c r="L3014" s="1178"/>
      <c r="M3014" s="1369"/>
      <c r="N3014" s="1178"/>
      <c r="O3014" s="1178">
        <v>6</v>
      </c>
      <c r="P3014" s="1178">
        <v>13</v>
      </c>
    </row>
    <row r="3015" spans="1:16">
      <c r="A3015" s="1178" t="s">
        <v>21476</v>
      </c>
      <c r="B3015" s="1371" t="str">
        <f>HYPERLINK(IFERROR("#Main_Tariff!A"&amp;MATCH(Raeburn_Main_Tariff[[#This Row],[Product Code]],Main_Tariff!I:I,0),"#Main_Tariff!A"&amp;MATCH("*"&amp;RIGHT(A3015,8)&amp;"*",Main_Tariff!A:A,0)),Raeburn_Main_Tariff[[#This Row],[PRODUCER]])</f>
        <v>Famille Tardieu</v>
      </c>
      <c r="C3015" s="1178" t="s">
        <v>21494</v>
      </c>
      <c r="D3015" s="1178" t="s">
        <v>897</v>
      </c>
      <c r="E3015" s="1179">
        <v>2021</v>
      </c>
      <c r="F3015" s="1282" t="s">
        <v>20220</v>
      </c>
      <c r="G3015" s="1368">
        <v>31.75</v>
      </c>
      <c r="H3015" s="1178" t="s">
        <v>20221</v>
      </c>
      <c r="I3015" s="1178" t="s">
        <v>9489</v>
      </c>
      <c r="J3015" s="1178" t="s">
        <v>662</v>
      </c>
      <c r="K3015" s="1178" t="s">
        <v>307</v>
      </c>
      <c r="L3015" s="1178"/>
      <c r="M3015" s="1369"/>
      <c r="N3015" s="1178"/>
      <c r="O3015" s="1178">
        <v>6</v>
      </c>
      <c r="P3015" s="1178">
        <v>13.5</v>
      </c>
    </row>
    <row r="3016" spans="1:16">
      <c r="A3016" s="1178" t="s">
        <v>21476</v>
      </c>
      <c r="B3016" s="1371" t="str">
        <f>HYPERLINK(IFERROR("#Main_Tariff!A"&amp;MATCH(Raeburn_Main_Tariff[[#This Row],[Product Code]],Main_Tariff!I:I,0),"#Main_Tariff!A"&amp;MATCH("*"&amp;RIGHT(A3016,8)&amp;"*",Main_Tariff!A:A,0)),Raeburn_Main_Tariff[[#This Row],[PRODUCER]])</f>
        <v>Famille Tardieu</v>
      </c>
      <c r="C3016" s="1178" t="s">
        <v>21494</v>
      </c>
      <c r="D3016" s="1178" t="s">
        <v>897</v>
      </c>
      <c r="E3016" s="1179">
        <v>2018</v>
      </c>
      <c r="F3016" s="1282" t="s">
        <v>20220</v>
      </c>
      <c r="G3016" s="1368">
        <v>29.5</v>
      </c>
      <c r="H3016" s="1178" t="s">
        <v>20221</v>
      </c>
      <c r="I3016" s="1178" t="s">
        <v>9491</v>
      </c>
      <c r="J3016" s="1178" t="s">
        <v>662</v>
      </c>
      <c r="K3016" s="1178" t="s">
        <v>307</v>
      </c>
      <c r="L3016" s="1178"/>
      <c r="M3016" s="1369"/>
      <c r="N3016" s="1178"/>
      <c r="O3016" s="1178">
        <v>6</v>
      </c>
      <c r="P3016" s="1178">
        <v>13.5</v>
      </c>
    </row>
    <row r="3017" spans="1:16">
      <c r="A3017" s="1178" t="s">
        <v>21476</v>
      </c>
      <c r="B3017" s="1371" t="str">
        <f>HYPERLINK(IFERROR("#Main_Tariff!A"&amp;MATCH(Raeburn_Main_Tariff[[#This Row],[Product Code]],Main_Tariff!I:I,0),"#Main_Tariff!A"&amp;MATCH("*"&amp;RIGHT(A3017,8)&amp;"*",Main_Tariff!A:A,0)),Raeburn_Main_Tariff[[#This Row],[PRODUCER]])</f>
        <v>Famille Tardieu</v>
      </c>
      <c r="C3017" s="1178" t="s">
        <v>21494</v>
      </c>
      <c r="D3017" s="1178" t="s">
        <v>897</v>
      </c>
      <c r="E3017" s="1179">
        <v>2017</v>
      </c>
      <c r="F3017" s="1282" t="s">
        <v>20220</v>
      </c>
      <c r="G3017" s="1368">
        <v>29.5</v>
      </c>
      <c r="H3017" s="1178" t="s">
        <v>20221</v>
      </c>
      <c r="I3017" s="1178" t="s">
        <v>9493</v>
      </c>
      <c r="J3017" s="1178" t="s">
        <v>662</v>
      </c>
      <c r="K3017" s="1178" t="s">
        <v>307</v>
      </c>
      <c r="L3017" s="1178"/>
      <c r="M3017" s="1369"/>
      <c r="N3017" s="1178"/>
      <c r="O3017" s="1178">
        <v>6</v>
      </c>
      <c r="P3017" s="1178">
        <v>13.5</v>
      </c>
    </row>
    <row r="3018" spans="1:16">
      <c r="A3018" s="1178" t="s">
        <v>21476</v>
      </c>
      <c r="B3018" s="1371" t="str">
        <f>HYPERLINK(IFERROR("#Main_Tariff!A"&amp;MATCH(Raeburn_Main_Tariff[[#This Row],[Product Code]],Main_Tariff!I:I,0),"#Main_Tariff!A"&amp;MATCH("*"&amp;RIGHT(A3018,8)&amp;"*",Main_Tariff!A:A,0)),Raeburn_Main_Tariff[[#This Row],[PRODUCER]])</f>
        <v>Famille Tardieu</v>
      </c>
      <c r="C3018" s="1178" t="s">
        <v>21494</v>
      </c>
      <c r="D3018" s="1178" t="s">
        <v>897</v>
      </c>
      <c r="E3018" s="1179">
        <v>2016</v>
      </c>
      <c r="F3018" s="1282" t="s">
        <v>20220</v>
      </c>
      <c r="G3018" s="1368">
        <v>29.5</v>
      </c>
      <c r="H3018" s="1178" t="s">
        <v>20221</v>
      </c>
      <c r="I3018" s="1178" t="s">
        <v>9495</v>
      </c>
      <c r="J3018" s="1178" t="s">
        <v>662</v>
      </c>
      <c r="K3018" s="1178" t="s">
        <v>307</v>
      </c>
      <c r="L3018" s="1178"/>
      <c r="M3018" s="1369"/>
      <c r="N3018" s="1178"/>
      <c r="O3018" s="1178">
        <v>6</v>
      </c>
      <c r="P3018" s="1178">
        <v>13.5</v>
      </c>
    </row>
    <row r="3019" spans="1:16">
      <c r="A3019" s="1178" t="s">
        <v>21476</v>
      </c>
      <c r="B3019" s="1371" t="str">
        <f>HYPERLINK(IFERROR("#Main_Tariff!A"&amp;MATCH(Raeburn_Main_Tariff[[#This Row],[Product Code]],Main_Tariff!I:I,0),"#Main_Tariff!A"&amp;MATCH("*"&amp;RIGHT(A3019,8)&amp;"*",Main_Tariff!A:A,0)),Raeburn_Main_Tariff[[#This Row],[PRODUCER]])</f>
        <v>Famille Tardieu</v>
      </c>
      <c r="C3019" s="1178" t="s">
        <v>21494</v>
      </c>
      <c r="D3019" s="1178" t="s">
        <v>897</v>
      </c>
      <c r="E3019" s="1179">
        <v>2013</v>
      </c>
      <c r="F3019" s="1282" t="s">
        <v>20220</v>
      </c>
      <c r="G3019" s="1368">
        <v>29.5</v>
      </c>
      <c r="H3019" s="1178" t="s">
        <v>20224</v>
      </c>
      <c r="I3019" s="1178" t="s">
        <v>9442</v>
      </c>
      <c r="J3019" s="1178" t="s">
        <v>662</v>
      </c>
      <c r="K3019" s="1178" t="s">
        <v>307</v>
      </c>
      <c r="L3019" s="1178"/>
      <c r="M3019" s="1369"/>
      <c r="N3019" s="1178"/>
      <c r="O3019" s="1178">
        <v>12</v>
      </c>
      <c r="P3019" s="1178">
        <v>13</v>
      </c>
    </row>
    <row r="3020" spans="1:16">
      <c r="A3020" s="1178" t="s">
        <v>21476</v>
      </c>
      <c r="B3020" s="1371" t="str">
        <f>HYPERLINK(IFERROR("#Main_Tariff!A"&amp;MATCH(Raeburn_Main_Tariff[[#This Row],[Product Code]],Main_Tariff!I:I,0),"#Main_Tariff!A"&amp;MATCH("*"&amp;RIGHT(A3020,8)&amp;"*",Main_Tariff!A:A,0)),Raeburn_Main_Tariff[[#This Row],[PRODUCER]])</f>
        <v>Famille Tardieu</v>
      </c>
      <c r="C3020" s="1178" t="s">
        <v>21495</v>
      </c>
      <c r="D3020" s="1178" t="s">
        <v>897</v>
      </c>
      <c r="E3020" s="1179">
        <v>2023</v>
      </c>
      <c r="F3020" s="1282" t="s">
        <v>20220</v>
      </c>
      <c r="G3020" s="1368" t="s">
        <v>20342</v>
      </c>
      <c r="H3020" s="1178" t="s">
        <v>20343</v>
      </c>
      <c r="I3020" s="1178" t="s">
        <v>9500</v>
      </c>
      <c r="J3020" s="1178" t="s">
        <v>662</v>
      </c>
      <c r="K3020" s="1178" t="s">
        <v>307</v>
      </c>
      <c r="L3020" s="1178"/>
      <c r="M3020" s="1369"/>
      <c r="N3020" s="1178"/>
      <c r="O3020" s="1178">
        <v>6</v>
      </c>
      <c r="P3020" s="1178">
        <v>13.5</v>
      </c>
    </row>
    <row r="3021" spans="1:16">
      <c r="A3021" s="1178" t="s">
        <v>21476</v>
      </c>
      <c r="B3021" s="1371" t="str">
        <f>HYPERLINK(IFERROR("#Main_Tariff!A"&amp;MATCH(Raeburn_Main_Tariff[[#This Row],[Product Code]],Main_Tariff!I:I,0),"#Main_Tariff!A"&amp;MATCH("*"&amp;RIGHT(A3021,8)&amp;"*",Main_Tariff!A:A,0)),Raeburn_Main_Tariff[[#This Row],[PRODUCER]])</f>
        <v>Famille Tardieu</v>
      </c>
      <c r="C3021" s="1178" t="s">
        <v>21495</v>
      </c>
      <c r="D3021" s="1178" t="s">
        <v>897</v>
      </c>
      <c r="E3021" s="1179">
        <v>2022</v>
      </c>
      <c r="F3021" s="1282" t="s">
        <v>20220</v>
      </c>
      <c r="G3021" s="1368">
        <v>49</v>
      </c>
      <c r="H3021" s="1178" t="s">
        <v>20221</v>
      </c>
      <c r="I3021" s="1178" t="s">
        <v>9502</v>
      </c>
      <c r="J3021" s="1178" t="s">
        <v>662</v>
      </c>
      <c r="K3021" s="1178" t="s">
        <v>307</v>
      </c>
      <c r="L3021" s="1178"/>
      <c r="M3021" s="1369"/>
      <c r="N3021" s="1178"/>
      <c r="O3021" s="1178">
        <v>6</v>
      </c>
      <c r="P3021" s="1178">
        <v>13</v>
      </c>
    </row>
    <row r="3022" spans="1:16">
      <c r="A3022" s="1178" t="s">
        <v>21476</v>
      </c>
      <c r="B3022" s="1371" t="str">
        <f>HYPERLINK(IFERROR("#Main_Tariff!A"&amp;MATCH(Raeburn_Main_Tariff[[#This Row],[Product Code]],Main_Tariff!I:I,0),"#Main_Tariff!A"&amp;MATCH("*"&amp;RIGHT(A3022,8)&amp;"*",Main_Tariff!A:A,0)),Raeburn_Main_Tariff[[#This Row],[PRODUCER]])</f>
        <v>Famille Tardieu</v>
      </c>
      <c r="C3022" s="1178" t="s">
        <v>21495</v>
      </c>
      <c r="D3022" s="1178" t="s">
        <v>897</v>
      </c>
      <c r="E3022" s="1179">
        <v>2020</v>
      </c>
      <c r="F3022" s="1282" t="s">
        <v>20220</v>
      </c>
      <c r="G3022" s="1368">
        <v>44.5</v>
      </c>
      <c r="H3022" s="1178" t="s">
        <v>20221</v>
      </c>
      <c r="I3022" s="1178" t="s">
        <v>9504</v>
      </c>
      <c r="J3022" s="1178" t="s">
        <v>662</v>
      </c>
      <c r="K3022" s="1178" t="s">
        <v>307</v>
      </c>
      <c r="L3022" s="1178"/>
      <c r="M3022" s="1369"/>
      <c r="N3022" s="1178"/>
      <c r="O3022" s="1178">
        <v>6</v>
      </c>
      <c r="P3022" s="1178">
        <v>13.5</v>
      </c>
    </row>
    <row r="3023" spans="1:16">
      <c r="A3023" s="1178" t="s">
        <v>21476</v>
      </c>
      <c r="B3023" s="1371" t="str">
        <f>HYPERLINK(IFERROR("#Main_Tariff!A"&amp;MATCH(Raeburn_Main_Tariff[[#This Row],[Product Code]],Main_Tariff!I:I,0),"#Main_Tariff!A"&amp;MATCH("*"&amp;RIGHT(A3023,8)&amp;"*",Main_Tariff!A:A,0)),Raeburn_Main_Tariff[[#This Row],[PRODUCER]])</f>
        <v>Famille Tardieu</v>
      </c>
      <c r="C3023" s="1178" t="s">
        <v>21495</v>
      </c>
      <c r="D3023" s="1178" t="s">
        <v>897</v>
      </c>
      <c r="E3023" s="1179">
        <v>2019</v>
      </c>
      <c r="F3023" s="1282" t="s">
        <v>20220</v>
      </c>
      <c r="G3023" s="1368">
        <v>44.5</v>
      </c>
      <c r="H3023" s="1178" t="s">
        <v>20221</v>
      </c>
      <c r="I3023" s="1178" t="s">
        <v>9506</v>
      </c>
      <c r="J3023" s="1178" t="s">
        <v>662</v>
      </c>
      <c r="K3023" s="1178" t="s">
        <v>307</v>
      </c>
      <c r="L3023" s="1178"/>
      <c r="M3023" s="1369"/>
      <c r="N3023" s="1178"/>
      <c r="O3023" s="1178">
        <v>6</v>
      </c>
      <c r="P3023" s="1178">
        <v>13.5</v>
      </c>
    </row>
    <row r="3024" spans="1:16">
      <c r="A3024" s="1178" t="s">
        <v>21476</v>
      </c>
      <c r="B3024" s="1371" t="str">
        <f>HYPERLINK(IFERROR("#Main_Tariff!A"&amp;MATCH(Raeburn_Main_Tariff[[#This Row],[Product Code]],Main_Tariff!I:I,0),"#Main_Tariff!A"&amp;MATCH("*"&amp;RIGHT(A3024,8)&amp;"*",Main_Tariff!A:A,0)),Raeburn_Main_Tariff[[#This Row],[PRODUCER]])</f>
        <v>Famille Tardieu</v>
      </c>
      <c r="C3024" s="1178" t="s">
        <v>21495</v>
      </c>
      <c r="D3024" s="1178" t="s">
        <v>897</v>
      </c>
      <c r="E3024" s="1179">
        <v>2018</v>
      </c>
      <c r="F3024" s="1282" t="s">
        <v>20220</v>
      </c>
      <c r="G3024" s="1368">
        <v>43.5</v>
      </c>
      <c r="H3024" s="1178" t="s">
        <v>20221</v>
      </c>
      <c r="I3024" s="1178" t="s">
        <v>9508</v>
      </c>
      <c r="J3024" s="1178" t="s">
        <v>662</v>
      </c>
      <c r="K3024" s="1178" t="s">
        <v>307</v>
      </c>
      <c r="L3024" s="1178"/>
      <c r="M3024" s="1369"/>
      <c r="N3024" s="1178"/>
      <c r="O3024" s="1178">
        <v>6</v>
      </c>
      <c r="P3024" s="1178">
        <v>13.5</v>
      </c>
    </row>
    <row r="3025" spans="1:16">
      <c r="A3025" s="1178" t="s">
        <v>21476</v>
      </c>
      <c r="B3025" s="1371" t="str">
        <f>HYPERLINK(IFERROR("#Main_Tariff!A"&amp;MATCH(Raeburn_Main_Tariff[[#This Row],[Product Code]],Main_Tariff!I:I,0),"#Main_Tariff!A"&amp;MATCH("*"&amp;RIGHT(A3025,8)&amp;"*",Main_Tariff!A:A,0)),Raeburn_Main_Tariff[[#This Row],[PRODUCER]])</f>
        <v>Famille Tardieu</v>
      </c>
      <c r="C3025" s="1178" t="s">
        <v>21495</v>
      </c>
      <c r="D3025" s="1178" t="s">
        <v>897</v>
      </c>
      <c r="E3025" s="1179">
        <v>2017</v>
      </c>
      <c r="F3025" s="1282" t="s">
        <v>20220</v>
      </c>
      <c r="G3025" s="1368">
        <v>43.5</v>
      </c>
      <c r="H3025" s="1178" t="s">
        <v>20221</v>
      </c>
      <c r="I3025" s="1178" t="s">
        <v>9510</v>
      </c>
      <c r="J3025" s="1178" t="s">
        <v>662</v>
      </c>
      <c r="K3025" s="1178" t="s">
        <v>307</v>
      </c>
      <c r="L3025" s="1178"/>
      <c r="M3025" s="1369"/>
      <c r="N3025" s="1178"/>
      <c r="O3025" s="1178">
        <v>6</v>
      </c>
      <c r="P3025" s="1178">
        <v>13.5</v>
      </c>
    </row>
    <row r="3026" spans="1:16">
      <c r="A3026" s="1178" t="s">
        <v>21476</v>
      </c>
      <c r="B3026" s="1371" t="str">
        <f>HYPERLINK(IFERROR("#Main_Tariff!A"&amp;MATCH(Raeburn_Main_Tariff[[#This Row],[Product Code]],Main_Tariff!I:I,0),"#Main_Tariff!A"&amp;MATCH("*"&amp;RIGHT(A3026,8)&amp;"*",Main_Tariff!A:A,0)),Raeburn_Main_Tariff[[#This Row],[PRODUCER]])</f>
        <v>Famille Tardieu</v>
      </c>
      <c r="C3026" s="1178" t="s">
        <v>21496</v>
      </c>
      <c r="D3026" s="1178" t="s">
        <v>897</v>
      </c>
      <c r="E3026" s="1179">
        <v>2016</v>
      </c>
      <c r="F3026" s="1282" t="s">
        <v>20220</v>
      </c>
      <c r="G3026" s="1368">
        <v>43.5</v>
      </c>
      <c r="H3026" s="1178" t="s">
        <v>20221</v>
      </c>
      <c r="I3026" s="1178" t="s">
        <v>9512</v>
      </c>
      <c r="J3026" s="1178" t="s">
        <v>662</v>
      </c>
      <c r="K3026" s="1178" t="s">
        <v>307</v>
      </c>
      <c r="L3026" s="1178"/>
      <c r="M3026" s="1369"/>
      <c r="N3026" s="1178"/>
      <c r="O3026" s="1178">
        <v>6</v>
      </c>
      <c r="P3026" s="1178">
        <v>13.5</v>
      </c>
    </row>
    <row r="3027" spans="1:16">
      <c r="A3027" s="1178" t="s">
        <v>21476</v>
      </c>
      <c r="B3027" s="1371" t="str">
        <f>HYPERLINK(IFERROR("#Main_Tariff!A"&amp;MATCH(Raeburn_Main_Tariff[[#This Row],[Product Code]],Main_Tariff!I:I,0),"#Main_Tariff!A"&amp;MATCH("*"&amp;RIGHT(A3027,8)&amp;"*",Main_Tariff!A:A,0)),Raeburn_Main_Tariff[[#This Row],[PRODUCER]])</f>
        <v>Famille Tardieu</v>
      </c>
      <c r="C3027" s="1178" t="s">
        <v>21497</v>
      </c>
      <c r="D3027" s="1178" t="s">
        <v>897</v>
      </c>
      <c r="E3027" s="1179">
        <v>2015</v>
      </c>
      <c r="F3027" s="1282" t="s">
        <v>20220</v>
      </c>
      <c r="G3027" s="1368">
        <v>43.5</v>
      </c>
      <c r="H3027" s="1178" t="s">
        <v>20221</v>
      </c>
      <c r="I3027" s="1178" t="s">
        <v>9444</v>
      </c>
      <c r="J3027" s="1178" t="s">
        <v>662</v>
      </c>
      <c r="K3027" s="1178" t="s">
        <v>307</v>
      </c>
      <c r="L3027" s="1178"/>
      <c r="M3027" s="1369"/>
      <c r="N3027" s="1178"/>
      <c r="O3027" s="1178">
        <v>6</v>
      </c>
      <c r="P3027" s="1178">
        <v>13.5</v>
      </c>
    </row>
    <row r="3028" spans="1:16">
      <c r="A3028" s="1178" t="s">
        <v>21476</v>
      </c>
      <c r="B3028" s="1371" t="str">
        <f>HYPERLINK(IFERROR("#Main_Tariff!A"&amp;MATCH(Raeburn_Main_Tariff[[#This Row],[Product Code]],Main_Tariff!I:I,0),"#Main_Tariff!A"&amp;MATCH("*"&amp;RIGHT(A3028,8)&amp;"*",Main_Tariff!A:A,0)),Raeburn_Main_Tariff[[#This Row],[PRODUCER]])</f>
        <v>Famille Tardieu</v>
      </c>
      <c r="C3028" s="1178" t="s">
        <v>21495</v>
      </c>
      <c r="D3028" s="1178" t="s">
        <v>897</v>
      </c>
      <c r="E3028" s="1179">
        <v>2011</v>
      </c>
      <c r="F3028" s="1282" t="s">
        <v>20220</v>
      </c>
      <c r="G3028" s="1368">
        <v>43.5</v>
      </c>
      <c r="H3028" s="1178" t="s">
        <v>20224</v>
      </c>
      <c r="I3028" s="1178" t="s">
        <v>9514</v>
      </c>
      <c r="J3028" s="1178" t="s">
        <v>662</v>
      </c>
      <c r="K3028" s="1178" t="s">
        <v>307</v>
      </c>
      <c r="L3028" s="1178"/>
      <c r="M3028" s="1369"/>
      <c r="N3028" s="1178"/>
      <c r="O3028" s="1178">
        <v>12</v>
      </c>
      <c r="P3028" s="1178">
        <v>15</v>
      </c>
    </row>
    <row r="3029" spans="1:16">
      <c r="A3029" s="1178" t="s">
        <v>21476</v>
      </c>
      <c r="B3029" s="1371" t="str">
        <f>HYPERLINK(IFERROR("#Main_Tariff!A"&amp;MATCH(Raeburn_Main_Tariff[[#This Row],[Product Code]],Main_Tariff!I:I,0),"#Main_Tariff!A"&amp;MATCH("*"&amp;RIGHT(A3029,8)&amp;"*",Main_Tariff!A:A,0)),Raeburn_Main_Tariff[[#This Row],[PRODUCER]])</f>
        <v>Famille Tardieu</v>
      </c>
      <c r="C3029" s="1178" t="s">
        <v>21498</v>
      </c>
      <c r="D3029" s="1178" t="s">
        <v>897</v>
      </c>
      <c r="E3029" s="1179">
        <v>2020</v>
      </c>
      <c r="F3029" s="1282" t="s">
        <v>20220</v>
      </c>
      <c r="G3029" s="1368">
        <v>40</v>
      </c>
      <c r="H3029" s="1178" t="s">
        <v>20221</v>
      </c>
      <c r="I3029" s="1178" t="s">
        <v>9516</v>
      </c>
      <c r="J3029" s="1178" t="s">
        <v>662</v>
      </c>
      <c r="K3029" s="1178" t="s">
        <v>307</v>
      </c>
      <c r="L3029" s="1178"/>
      <c r="M3029" s="1369"/>
      <c r="N3029" s="1178"/>
      <c r="O3029" s="1178">
        <v>6</v>
      </c>
      <c r="P3029" s="1178">
        <v>13.5</v>
      </c>
    </row>
    <row r="3030" spans="1:16">
      <c r="A3030" s="1178" t="s">
        <v>21476</v>
      </c>
      <c r="B3030" s="1371" t="str">
        <f>HYPERLINK(IFERROR("#Main_Tariff!A"&amp;MATCH(Raeburn_Main_Tariff[[#This Row],[Product Code]],Main_Tariff!I:I,0),"#Main_Tariff!A"&amp;MATCH("*"&amp;RIGHT(A3030,8)&amp;"*",Main_Tariff!A:A,0)),Raeburn_Main_Tariff[[#This Row],[PRODUCER]])</f>
        <v>Famille Tardieu</v>
      </c>
      <c r="C3030" s="1178" t="s">
        <v>21498</v>
      </c>
      <c r="D3030" s="1178" t="s">
        <v>897</v>
      </c>
      <c r="E3030" s="1179">
        <v>2018</v>
      </c>
      <c r="F3030" s="1282" t="s">
        <v>20220</v>
      </c>
      <c r="G3030" s="1368">
        <v>45.5</v>
      </c>
      <c r="H3030" s="1178" t="s">
        <v>20221</v>
      </c>
      <c r="I3030" s="1178" t="s">
        <v>9517</v>
      </c>
      <c r="J3030" s="1178" t="s">
        <v>662</v>
      </c>
      <c r="K3030" s="1178" t="s">
        <v>307</v>
      </c>
      <c r="L3030" s="1178"/>
      <c r="M3030" s="1369"/>
      <c r="N3030" s="1178"/>
      <c r="O3030" s="1178">
        <v>6</v>
      </c>
      <c r="P3030" s="1178">
        <v>13.5</v>
      </c>
    </row>
    <row r="3031" spans="1:16">
      <c r="A3031" s="1178" t="s">
        <v>21476</v>
      </c>
      <c r="B3031" s="1371" t="str">
        <f>HYPERLINK(IFERROR("#Main_Tariff!A"&amp;MATCH(Raeburn_Main_Tariff[[#This Row],[Product Code]],Main_Tariff!I:I,0),"#Main_Tariff!A"&amp;MATCH("*"&amp;RIGHT(A3031,8)&amp;"*",Main_Tariff!A:A,0)),Raeburn_Main_Tariff[[#This Row],[PRODUCER]])</f>
        <v>Famille Tardieu</v>
      </c>
      <c r="C3031" s="1178" t="s">
        <v>21498</v>
      </c>
      <c r="D3031" s="1178" t="s">
        <v>897</v>
      </c>
      <c r="E3031" s="1179">
        <v>2017</v>
      </c>
      <c r="F3031" s="1282" t="s">
        <v>20220</v>
      </c>
      <c r="G3031" s="1368">
        <v>40</v>
      </c>
      <c r="H3031" s="1178" t="s">
        <v>20221</v>
      </c>
      <c r="I3031" s="1178" t="s">
        <v>9518</v>
      </c>
      <c r="J3031" s="1178" t="s">
        <v>662</v>
      </c>
      <c r="K3031" s="1178" t="s">
        <v>307</v>
      </c>
      <c r="L3031" s="1178"/>
      <c r="M3031" s="1369"/>
      <c r="N3031" s="1178"/>
      <c r="O3031" s="1178">
        <v>6</v>
      </c>
      <c r="P3031" s="1178">
        <v>13</v>
      </c>
    </row>
    <row r="3032" spans="1:16">
      <c r="A3032" s="1178" t="s">
        <v>21476</v>
      </c>
      <c r="B3032" s="1371" t="str">
        <f>HYPERLINK(IFERROR("#Main_Tariff!A"&amp;MATCH(Raeburn_Main_Tariff[[#This Row],[Product Code]],Main_Tariff!I:I,0),"#Main_Tariff!A"&amp;MATCH("*"&amp;RIGHT(A3032,8)&amp;"*",Main_Tariff!A:A,0)),Raeburn_Main_Tariff[[#This Row],[PRODUCER]])</f>
        <v>Famille Tardieu</v>
      </c>
      <c r="C3032" s="1178" t="s">
        <v>21498</v>
      </c>
      <c r="D3032" s="1178" t="s">
        <v>897</v>
      </c>
      <c r="E3032" s="1179">
        <v>2016</v>
      </c>
      <c r="F3032" s="1282" t="s">
        <v>20220</v>
      </c>
      <c r="G3032" s="1368">
        <v>40</v>
      </c>
      <c r="H3032" s="1178" t="s">
        <v>20221</v>
      </c>
      <c r="I3032" s="1178" t="s">
        <v>9519</v>
      </c>
      <c r="J3032" s="1178" t="s">
        <v>662</v>
      </c>
      <c r="K3032" s="1178" t="s">
        <v>307</v>
      </c>
      <c r="L3032" s="1178"/>
      <c r="M3032" s="1369"/>
      <c r="N3032" s="1178"/>
      <c r="O3032" s="1178">
        <v>6</v>
      </c>
      <c r="P3032" s="1178">
        <v>12.5</v>
      </c>
    </row>
    <row r="3033" spans="1:16">
      <c r="A3033" s="1178" t="s">
        <v>21476</v>
      </c>
      <c r="B3033" s="1371" t="str">
        <f>HYPERLINK(IFERROR("#Main_Tariff!A"&amp;MATCH(Raeburn_Main_Tariff[[#This Row],[Product Code]],Main_Tariff!I:I,0),"#Main_Tariff!A"&amp;MATCH("*"&amp;RIGHT(A3033,8)&amp;"*",Main_Tariff!A:A,0)),Raeburn_Main_Tariff[[#This Row],[PRODUCER]])</f>
        <v>Famille Tardieu</v>
      </c>
      <c r="C3033" s="1178" t="s">
        <v>21499</v>
      </c>
      <c r="D3033" s="1178" t="s">
        <v>897</v>
      </c>
      <c r="E3033" s="1179">
        <v>2015</v>
      </c>
      <c r="F3033" s="1282" t="s">
        <v>20220</v>
      </c>
      <c r="G3033" s="1368">
        <v>40</v>
      </c>
      <c r="H3033" s="1178" t="s">
        <v>20221</v>
      </c>
      <c r="I3033" s="1178" t="s">
        <v>9446</v>
      </c>
      <c r="J3033" s="1178" t="s">
        <v>662</v>
      </c>
      <c r="K3033" s="1178" t="s">
        <v>307</v>
      </c>
      <c r="L3033" s="1178"/>
      <c r="M3033" s="1369"/>
      <c r="N3033" s="1178"/>
      <c r="O3033" s="1178">
        <v>6</v>
      </c>
      <c r="P3033" s="1178">
        <v>13.5</v>
      </c>
    </row>
    <row r="3034" spans="1:16">
      <c r="A3034" s="1178" t="s">
        <v>21476</v>
      </c>
      <c r="B3034" s="1371" t="str">
        <f>HYPERLINK(IFERROR("#Main_Tariff!A"&amp;MATCH(Raeburn_Main_Tariff[[#This Row],[Product Code]],Main_Tariff!I:I,0),"#Main_Tariff!A"&amp;MATCH("*"&amp;RIGHT(A3034,8)&amp;"*",Main_Tariff!A:A,0)),Raeburn_Main_Tariff[[#This Row],[PRODUCER]])</f>
        <v>Famille Tardieu</v>
      </c>
      <c r="C3034" s="1178" t="s">
        <v>21500</v>
      </c>
      <c r="D3034" s="1178" t="s">
        <v>897</v>
      </c>
      <c r="E3034" s="1179">
        <v>2011</v>
      </c>
      <c r="F3034" s="1282" t="s">
        <v>20220</v>
      </c>
      <c r="G3034" s="1368">
        <v>40</v>
      </c>
      <c r="H3034" s="1178" t="s">
        <v>20277</v>
      </c>
      <c r="I3034" s="1178" t="s">
        <v>9520</v>
      </c>
      <c r="J3034" s="1178" t="s">
        <v>662</v>
      </c>
      <c r="K3034" s="1178" t="s">
        <v>307</v>
      </c>
      <c r="L3034" s="1178"/>
      <c r="M3034" s="1369"/>
      <c r="N3034" s="1178"/>
      <c r="O3034" s="1178">
        <v>12</v>
      </c>
      <c r="P3034" s="1178">
        <v>12.5</v>
      </c>
    </row>
    <row r="3035" spans="1:16">
      <c r="A3035" s="1178" t="s">
        <v>21476</v>
      </c>
      <c r="B3035" s="1371" t="str">
        <f>HYPERLINK(IFERROR("#Main_Tariff!A"&amp;MATCH(Raeburn_Main_Tariff[[#This Row],[Product Code]],Main_Tariff!I:I,0),"#Main_Tariff!A"&amp;MATCH("*"&amp;RIGHT(A3035,8)&amp;"*",Main_Tariff!A:A,0)),Raeburn_Main_Tariff[[#This Row],[PRODUCER]])</f>
        <v>Famille Tardieu</v>
      </c>
      <c r="C3035" s="1178" t="s">
        <v>21501</v>
      </c>
      <c r="D3035" s="1178" t="s">
        <v>897</v>
      </c>
      <c r="E3035" s="1179">
        <v>2023</v>
      </c>
      <c r="F3035" s="1282" t="s">
        <v>20220</v>
      </c>
      <c r="G3035" s="1368" t="s">
        <v>20342</v>
      </c>
      <c r="H3035" s="1178" t="s">
        <v>20343</v>
      </c>
      <c r="I3035" s="1178" t="s">
        <v>9522</v>
      </c>
      <c r="J3035" s="1178" t="s">
        <v>662</v>
      </c>
      <c r="K3035" s="1178" t="s">
        <v>307</v>
      </c>
      <c r="L3035" s="1178"/>
      <c r="M3035" s="1369"/>
      <c r="N3035" s="1178"/>
      <c r="O3035" s="1178">
        <v>6</v>
      </c>
      <c r="P3035" s="1178">
        <v>13.5</v>
      </c>
    </row>
    <row r="3036" spans="1:16">
      <c r="A3036" s="1178" t="s">
        <v>21476</v>
      </c>
      <c r="B3036" s="1371" t="str">
        <f>HYPERLINK(IFERROR("#Main_Tariff!A"&amp;MATCH(Raeburn_Main_Tariff[[#This Row],[Product Code]],Main_Tariff!I:I,0),"#Main_Tariff!A"&amp;MATCH("*"&amp;RIGHT(A3036,8)&amp;"*",Main_Tariff!A:A,0)),Raeburn_Main_Tariff[[#This Row],[PRODUCER]])</f>
        <v>Famille Tardieu</v>
      </c>
      <c r="C3036" s="1178" t="s">
        <v>21501</v>
      </c>
      <c r="D3036" s="1178" t="s">
        <v>897</v>
      </c>
      <c r="E3036" s="1179">
        <v>2022</v>
      </c>
      <c r="F3036" s="1282" t="s">
        <v>20220</v>
      </c>
      <c r="G3036" s="1368">
        <v>54</v>
      </c>
      <c r="H3036" s="1178" t="s">
        <v>20221</v>
      </c>
      <c r="I3036" s="1178" t="s">
        <v>9523</v>
      </c>
      <c r="J3036" s="1178" t="s">
        <v>662</v>
      </c>
      <c r="K3036" s="1178" t="s">
        <v>307</v>
      </c>
      <c r="L3036" s="1178"/>
      <c r="M3036" s="1369"/>
      <c r="N3036" s="1178"/>
      <c r="O3036" s="1178">
        <v>6</v>
      </c>
      <c r="P3036" s="1178">
        <v>13</v>
      </c>
    </row>
    <row r="3037" spans="1:16">
      <c r="A3037" s="1178" t="s">
        <v>21476</v>
      </c>
      <c r="B3037" s="1371" t="str">
        <f>HYPERLINK(IFERROR("#Main_Tariff!A"&amp;MATCH(Raeburn_Main_Tariff[[#This Row],[Product Code]],Main_Tariff!I:I,0),"#Main_Tariff!A"&amp;MATCH("*"&amp;RIGHT(A3037,8)&amp;"*",Main_Tariff!A:A,0)),Raeburn_Main_Tariff[[#This Row],[PRODUCER]])</f>
        <v>Famille Tardieu</v>
      </c>
      <c r="C3037" s="1178" t="s">
        <v>21501</v>
      </c>
      <c r="D3037" s="1178" t="s">
        <v>897</v>
      </c>
      <c r="E3037" s="1179">
        <v>2021</v>
      </c>
      <c r="F3037" s="1282" t="s">
        <v>20220</v>
      </c>
      <c r="G3037" s="1368">
        <v>52.5</v>
      </c>
      <c r="H3037" s="1178" t="s">
        <v>20221</v>
      </c>
      <c r="I3037" s="1178" t="s">
        <v>9524</v>
      </c>
      <c r="J3037" s="1178" t="s">
        <v>662</v>
      </c>
      <c r="K3037" s="1178" t="s">
        <v>307</v>
      </c>
      <c r="L3037" s="1178"/>
      <c r="M3037" s="1369"/>
      <c r="N3037" s="1178"/>
      <c r="O3037" s="1178">
        <v>6</v>
      </c>
      <c r="P3037" s="1178">
        <v>13</v>
      </c>
    </row>
    <row r="3038" spans="1:16">
      <c r="A3038" s="1178" t="s">
        <v>21476</v>
      </c>
      <c r="B3038" s="1371" t="str">
        <f>HYPERLINK(IFERROR("#Main_Tariff!A"&amp;MATCH(Raeburn_Main_Tariff[[#This Row],[Product Code]],Main_Tariff!I:I,0),"#Main_Tariff!A"&amp;MATCH("*"&amp;RIGHT(A3038,8)&amp;"*",Main_Tariff!A:A,0)),Raeburn_Main_Tariff[[#This Row],[PRODUCER]])</f>
        <v>Famille Tardieu</v>
      </c>
      <c r="C3038" s="1178" t="s">
        <v>21501</v>
      </c>
      <c r="D3038" s="1178" t="s">
        <v>897</v>
      </c>
      <c r="E3038" s="1179">
        <v>2020</v>
      </c>
      <c r="F3038" s="1282" t="s">
        <v>20220</v>
      </c>
      <c r="G3038" s="1368">
        <v>51.5</v>
      </c>
      <c r="H3038" s="1178" t="s">
        <v>20221</v>
      </c>
      <c r="I3038" s="1178" t="s">
        <v>9525</v>
      </c>
      <c r="J3038" s="1178" t="s">
        <v>662</v>
      </c>
      <c r="K3038" s="1178" t="s">
        <v>307</v>
      </c>
      <c r="L3038" s="1178"/>
      <c r="M3038" s="1369"/>
      <c r="N3038" s="1178"/>
      <c r="O3038" s="1178">
        <v>6</v>
      </c>
      <c r="P3038" s="1178">
        <v>13.5</v>
      </c>
    </row>
    <row r="3039" spans="1:16">
      <c r="A3039" s="1178" t="s">
        <v>21476</v>
      </c>
      <c r="B3039" s="1371" t="str">
        <f>HYPERLINK(IFERROR("#Main_Tariff!A"&amp;MATCH(Raeburn_Main_Tariff[[#This Row],[Product Code]],Main_Tariff!I:I,0),"#Main_Tariff!A"&amp;MATCH("*"&amp;RIGHT(A3039,8)&amp;"*",Main_Tariff!A:A,0)),Raeburn_Main_Tariff[[#This Row],[PRODUCER]])</f>
        <v>Famille Tardieu</v>
      </c>
      <c r="C3039" s="1178" t="s">
        <v>21501</v>
      </c>
      <c r="D3039" s="1178" t="s">
        <v>897</v>
      </c>
      <c r="E3039" s="1179">
        <v>2019</v>
      </c>
      <c r="F3039" s="1282" t="s">
        <v>20220</v>
      </c>
      <c r="G3039" s="1368">
        <v>51.5</v>
      </c>
      <c r="H3039" s="1178" t="s">
        <v>20221</v>
      </c>
      <c r="I3039" s="1178" t="s">
        <v>9526</v>
      </c>
      <c r="J3039" s="1178" t="s">
        <v>662</v>
      </c>
      <c r="K3039" s="1178" t="s">
        <v>307</v>
      </c>
      <c r="L3039" s="1178"/>
      <c r="M3039" s="1369"/>
      <c r="N3039" s="1178"/>
      <c r="O3039" s="1178">
        <v>6</v>
      </c>
      <c r="P3039" s="1178">
        <v>14</v>
      </c>
    </row>
    <row r="3040" spans="1:16">
      <c r="A3040" s="1178" t="s">
        <v>21476</v>
      </c>
      <c r="B3040" s="1371" t="str">
        <f>HYPERLINK(IFERROR("#Main_Tariff!A"&amp;MATCH(Raeburn_Main_Tariff[[#This Row],[Product Code]],Main_Tariff!I:I,0),"#Main_Tariff!A"&amp;MATCH("*"&amp;RIGHT(A3040,8)&amp;"*",Main_Tariff!A:A,0)),Raeburn_Main_Tariff[[#This Row],[PRODUCER]])</f>
        <v>Famille Tardieu</v>
      </c>
      <c r="C3040" s="1178" t="s">
        <v>21501</v>
      </c>
      <c r="D3040" s="1178" t="s">
        <v>897</v>
      </c>
      <c r="E3040" s="1179">
        <v>2018</v>
      </c>
      <c r="F3040" s="1282" t="s">
        <v>20220</v>
      </c>
      <c r="G3040" s="1368">
        <v>51.5</v>
      </c>
      <c r="H3040" s="1178" t="s">
        <v>20221</v>
      </c>
      <c r="I3040" s="1178" t="s">
        <v>9527</v>
      </c>
      <c r="J3040" s="1178" t="s">
        <v>662</v>
      </c>
      <c r="K3040" s="1178" t="s">
        <v>307</v>
      </c>
      <c r="L3040" s="1178"/>
      <c r="M3040" s="1369"/>
      <c r="N3040" s="1178"/>
      <c r="O3040" s="1178">
        <v>6</v>
      </c>
      <c r="P3040" s="1178">
        <v>13.5</v>
      </c>
    </row>
    <row r="3041" spans="1:16">
      <c r="A3041" s="1178" t="s">
        <v>21476</v>
      </c>
      <c r="B3041" s="1371" t="str">
        <f>HYPERLINK(IFERROR("#Main_Tariff!A"&amp;MATCH(Raeburn_Main_Tariff[[#This Row],[Product Code]],Main_Tariff!I:I,0),"#Main_Tariff!A"&amp;MATCH("*"&amp;RIGHT(A3041,8)&amp;"*",Main_Tariff!A:A,0)),Raeburn_Main_Tariff[[#This Row],[PRODUCER]])</f>
        <v>Famille Tardieu</v>
      </c>
      <c r="C3041" s="1178" t="s">
        <v>21501</v>
      </c>
      <c r="D3041" s="1178" t="s">
        <v>897</v>
      </c>
      <c r="E3041" s="1179">
        <v>2017</v>
      </c>
      <c r="F3041" s="1282" t="s">
        <v>20220</v>
      </c>
      <c r="G3041" s="1368">
        <v>51.5</v>
      </c>
      <c r="H3041" s="1178" t="s">
        <v>20221</v>
      </c>
      <c r="I3041" s="1178" t="s">
        <v>9528</v>
      </c>
      <c r="J3041" s="1178" t="s">
        <v>662</v>
      </c>
      <c r="K3041" s="1178" t="s">
        <v>307</v>
      </c>
      <c r="L3041" s="1178"/>
      <c r="M3041" s="1369"/>
      <c r="N3041" s="1178"/>
      <c r="O3041" s="1178">
        <v>6</v>
      </c>
      <c r="P3041" s="1178">
        <v>13</v>
      </c>
    </row>
    <row r="3042" spans="1:16">
      <c r="A3042" s="1178" t="s">
        <v>21476</v>
      </c>
      <c r="B3042" s="1371" t="str">
        <f>HYPERLINK(IFERROR("#Main_Tariff!A"&amp;MATCH(Raeburn_Main_Tariff[[#This Row],[Product Code]],Main_Tariff!I:I,0),"#Main_Tariff!A"&amp;MATCH("*"&amp;RIGHT(A3042,8)&amp;"*",Main_Tariff!A:A,0)),Raeburn_Main_Tariff[[#This Row],[PRODUCER]])</f>
        <v>Famille Tardieu</v>
      </c>
      <c r="C3042" s="1178" t="s">
        <v>21502</v>
      </c>
      <c r="D3042" s="1178" t="s">
        <v>897</v>
      </c>
      <c r="E3042" s="1179">
        <v>2023</v>
      </c>
      <c r="F3042" s="1282" t="s">
        <v>20220</v>
      </c>
      <c r="G3042" s="1368" t="s">
        <v>20342</v>
      </c>
      <c r="H3042" s="1178" t="s">
        <v>20343</v>
      </c>
      <c r="I3042" s="1178" t="s">
        <v>9529</v>
      </c>
      <c r="J3042" s="1178" t="s">
        <v>662</v>
      </c>
      <c r="K3042" s="1178" t="s">
        <v>307</v>
      </c>
      <c r="L3042" s="1178"/>
      <c r="M3042" s="1369"/>
      <c r="N3042" s="1178"/>
      <c r="O3042" s="1178">
        <v>6</v>
      </c>
      <c r="P3042" s="1178">
        <v>13.5</v>
      </c>
    </row>
    <row r="3043" spans="1:16">
      <c r="A3043" s="1178" t="s">
        <v>21476</v>
      </c>
      <c r="B3043" s="1371" t="str">
        <f>HYPERLINK(IFERROR("#Main_Tariff!A"&amp;MATCH(Raeburn_Main_Tariff[[#This Row],[Product Code]],Main_Tariff!I:I,0),"#Main_Tariff!A"&amp;MATCH("*"&amp;RIGHT(A3043,8)&amp;"*",Main_Tariff!A:A,0)),Raeburn_Main_Tariff[[#This Row],[PRODUCER]])</f>
        <v>Famille Tardieu</v>
      </c>
      <c r="C3043" s="1178" t="s">
        <v>21502</v>
      </c>
      <c r="D3043" s="1178" t="s">
        <v>897</v>
      </c>
      <c r="E3043" s="1179">
        <v>2022</v>
      </c>
      <c r="F3043" s="1282" t="s">
        <v>20220</v>
      </c>
      <c r="G3043" s="1368">
        <v>54</v>
      </c>
      <c r="H3043" s="1178" t="s">
        <v>20221</v>
      </c>
      <c r="I3043" s="1178" t="s">
        <v>9530</v>
      </c>
      <c r="J3043" s="1178" t="s">
        <v>662</v>
      </c>
      <c r="K3043" s="1178" t="s">
        <v>307</v>
      </c>
      <c r="L3043" s="1178"/>
      <c r="M3043" s="1369"/>
      <c r="N3043" s="1178"/>
      <c r="O3043" s="1178">
        <v>6</v>
      </c>
      <c r="P3043" s="1178">
        <v>13.5</v>
      </c>
    </row>
    <row r="3044" spans="1:16">
      <c r="A3044" s="1178" t="s">
        <v>21476</v>
      </c>
      <c r="B3044" s="1371" t="str">
        <f>HYPERLINK(IFERROR("#Main_Tariff!A"&amp;MATCH(Raeburn_Main_Tariff[[#This Row],[Product Code]],Main_Tariff!I:I,0),"#Main_Tariff!A"&amp;MATCH("*"&amp;RIGHT(A3044,8)&amp;"*",Main_Tariff!A:A,0)),Raeburn_Main_Tariff[[#This Row],[PRODUCER]])</f>
        <v>Famille Tardieu</v>
      </c>
      <c r="C3044" s="1178" t="s">
        <v>21502</v>
      </c>
      <c r="D3044" s="1178" t="s">
        <v>897</v>
      </c>
      <c r="E3044" s="1179">
        <v>2021</v>
      </c>
      <c r="F3044" s="1282" t="s">
        <v>20220</v>
      </c>
      <c r="G3044" s="1368">
        <v>52.5</v>
      </c>
      <c r="H3044" s="1178" t="s">
        <v>20221</v>
      </c>
      <c r="I3044" s="1178" t="s">
        <v>9531</v>
      </c>
      <c r="J3044" s="1178" t="s">
        <v>662</v>
      </c>
      <c r="K3044" s="1178" t="s">
        <v>307</v>
      </c>
      <c r="L3044" s="1178"/>
      <c r="M3044" s="1369"/>
      <c r="N3044" s="1178"/>
      <c r="O3044" s="1178">
        <v>6</v>
      </c>
      <c r="P3044" s="1178">
        <v>13.5</v>
      </c>
    </row>
    <row r="3045" spans="1:16">
      <c r="A3045" s="1178" t="s">
        <v>21476</v>
      </c>
      <c r="B3045" s="1371" t="str">
        <f>HYPERLINK(IFERROR("#Main_Tariff!A"&amp;MATCH(Raeburn_Main_Tariff[[#This Row],[Product Code]],Main_Tariff!I:I,0),"#Main_Tariff!A"&amp;MATCH("*"&amp;RIGHT(A3045,8)&amp;"*",Main_Tariff!A:A,0)),Raeburn_Main_Tariff[[#This Row],[PRODUCER]])</f>
        <v>Famille Tardieu</v>
      </c>
      <c r="C3045" s="1178" t="s">
        <v>21502</v>
      </c>
      <c r="D3045" s="1178" t="s">
        <v>897</v>
      </c>
      <c r="E3045" s="1179">
        <v>2020</v>
      </c>
      <c r="F3045" s="1282" t="s">
        <v>20220</v>
      </c>
      <c r="G3045" s="1368">
        <v>47.5</v>
      </c>
      <c r="H3045" s="1178" t="s">
        <v>20221</v>
      </c>
      <c r="I3045" s="1178" t="s">
        <v>9532</v>
      </c>
      <c r="J3045" s="1178" t="s">
        <v>662</v>
      </c>
      <c r="K3045" s="1178" t="s">
        <v>307</v>
      </c>
      <c r="L3045" s="1178"/>
      <c r="M3045" s="1369"/>
      <c r="N3045" s="1178"/>
      <c r="O3045" s="1178">
        <v>6</v>
      </c>
      <c r="P3045" s="1178">
        <v>14</v>
      </c>
    </row>
    <row r="3046" spans="1:16">
      <c r="A3046" s="1178" t="s">
        <v>21476</v>
      </c>
      <c r="B3046" s="1371" t="str">
        <f>HYPERLINK(IFERROR("#Main_Tariff!A"&amp;MATCH(Raeburn_Main_Tariff[[#This Row],[Product Code]],Main_Tariff!I:I,0),"#Main_Tariff!A"&amp;MATCH("*"&amp;RIGHT(A3046,8)&amp;"*",Main_Tariff!A:A,0)),Raeburn_Main_Tariff[[#This Row],[PRODUCER]])</f>
        <v>Famille Tardieu</v>
      </c>
      <c r="C3046" s="1178" t="s">
        <v>21502</v>
      </c>
      <c r="D3046" s="1178" t="s">
        <v>897</v>
      </c>
      <c r="E3046" s="1179">
        <v>2019</v>
      </c>
      <c r="F3046" s="1282" t="s">
        <v>20220</v>
      </c>
      <c r="G3046" s="1368">
        <v>47.5</v>
      </c>
      <c r="H3046" s="1178" t="s">
        <v>20221</v>
      </c>
      <c r="I3046" s="1178" t="s">
        <v>9533</v>
      </c>
      <c r="J3046" s="1178" t="s">
        <v>662</v>
      </c>
      <c r="K3046" s="1178" t="s">
        <v>307</v>
      </c>
      <c r="L3046" s="1178"/>
      <c r="M3046" s="1369"/>
      <c r="N3046" s="1178"/>
      <c r="O3046" s="1178">
        <v>6</v>
      </c>
      <c r="P3046" s="1178">
        <v>14.5</v>
      </c>
    </row>
    <row r="3047" spans="1:16">
      <c r="A3047" s="1178" t="s">
        <v>21476</v>
      </c>
      <c r="B3047" s="1371" t="str">
        <f>HYPERLINK(IFERROR("#Main_Tariff!A"&amp;MATCH(Raeburn_Main_Tariff[[#This Row],[Product Code]],Main_Tariff!I:I,0),"#Main_Tariff!A"&amp;MATCH("*"&amp;RIGHT(A3047,8)&amp;"*",Main_Tariff!A:A,0)),Raeburn_Main_Tariff[[#This Row],[PRODUCER]])</f>
        <v>Famille Tardieu</v>
      </c>
      <c r="C3047" s="1178" t="s">
        <v>21502</v>
      </c>
      <c r="D3047" s="1178" t="s">
        <v>897</v>
      </c>
      <c r="E3047" s="1179">
        <v>2018</v>
      </c>
      <c r="F3047" s="1282" t="s">
        <v>20220</v>
      </c>
      <c r="G3047" s="1368">
        <v>45.5</v>
      </c>
      <c r="H3047" s="1178" t="s">
        <v>20221</v>
      </c>
      <c r="I3047" s="1178" t="s">
        <v>9534</v>
      </c>
      <c r="J3047" s="1178" t="s">
        <v>662</v>
      </c>
      <c r="K3047" s="1178" t="s">
        <v>307</v>
      </c>
      <c r="L3047" s="1178"/>
      <c r="M3047" s="1369"/>
      <c r="N3047" s="1178"/>
      <c r="O3047" s="1178">
        <v>6</v>
      </c>
      <c r="P3047" s="1178">
        <v>14</v>
      </c>
    </row>
    <row r="3048" spans="1:16">
      <c r="A3048" s="1178" t="s">
        <v>21476</v>
      </c>
      <c r="B3048" s="1371" t="str">
        <f>HYPERLINK(IFERROR("#Main_Tariff!A"&amp;MATCH(Raeburn_Main_Tariff[[#This Row],[Product Code]],Main_Tariff!I:I,0),"#Main_Tariff!A"&amp;MATCH("*"&amp;RIGHT(A3048,8)&amp;"*",Main_Tariff!A:A,0)),Raeburn_Main_Tariff[[#This Row],[PRODUCER]])</f>
        <v>Famille Tardieu</v>
      </c>
      <c r="C3048" s="1178" t="s">
        <v>21502</v>
      </c>
      <c r="D3048" s="1178" t="s">
        <v>897</v>
      </c>
      <c r="E3048" s="1179">
        <v>2017</v>
      </c>
      <c r="F3048" s="1282" t="s">
        <v>20220</v>
      </c>
      <c r="G3048" s="1368">
        <v>46</v>
      </c>
      <c r="H3048" s="1178" t="s">
        <v>20221</v>
      </c>
      <c r="I3048" s="1178" t="s">
        <v>9535</v>
      </c>
      <c r="J3048" s="1178" t="s">
        <v>662</v>
      </c>
      <c r="K3048" s="1178" t="s">
        <v>307</v>
      </c>
      <c r="L3048" s="1178"/>
      <c r="M3048" s="1369"/>
      <c r="N3048" s="1178"/>
      <c r="O3048" s="1178">
        <v>6</v>
      </c>
      <c r="P3048" s="1178">
        <v>13.5</v>
      </c>
    </row>
    <row r="3049" spans="1:16">
      <c r="A3049" s="1178" t="s">
        <v>21476</v>
      </c>
      <c r="B3049" s="1371" t="str">
        <f>HYPERLINK(IFERROR("#Main_Tariff!A"&amp;MATCH(Raeburn_Main_Tariff[[#This Row],[Product Code]],Main_Tariff!I:I,0),"#Main_Tariff!A"&amp;MATCH("*"&amp;RIGHT(A3049,8)&amp;"*",Main_Tariff!A:A,0)),Raeburn_Main_Tariff[[#This Row],[PRODUCER]])</f>
        <v>Famille Tardieu</v>
      </c>
      <c r="C3049" s="1178" t="s">
        <v>21502</v>
      </c>
      <c r="D3049" s="1178" t="s">
        <v>897</v>
      </c>
      <c r="E3049" s="1179">
        <v>2016</v>
      </c>
      <c r="F3049" s="1282" t="s">
        <v>20220</v>
      </c>
      <c r="G3049" s="1368">
        <v>44.5</v>
      </c>
      <c r="H3049" s="1178" t="s">
        <v>20221</v>
      </c>
      <c r="I3049" s="1178" t="s">
        <v>9536</v>
      </c>
      <c r="J3049" s="1178" t="s">
        <v>662</v>
      </c>
      <c r="K3049" s="1178" t="s">
        <v>307</v>
      </c>
      <c r="L3049" s="1178"/>
      <c r="M3049" s="1369"/>
      <c r="N3049" s="1178"/>
      <c r="O3049" s="1178">
        <v>6</v>
      </c>
      <c r="P3049" s="1178">
        <v>13.5</v>
      </c>
    </row>
    <row r="3050" spans="1:16">
      <c r="A3050" s="1178" t="s">
        <v>21476</v>
      </c>
      <c r="B3050" s="1371" t="str">
        <f>HYPERLINK(IFERROR("#Main_Tariff!A"&amp;MATCH(Raeburn_Main_Tariff[[#This Row],[Product Code]],Main_Tariff!I:I,0),"#Main_Tariff!A"&amp;MATCH("*"&amp;RIGHT(A3050,8)&amp;"*",Main_Tariff!A:A,0)),Raeburn_Main_Tariff[[#This Row],[PRODUCER]])</f>
        <v>Famille Tardieu</v>
      </c>
      <c r="C3050" s="1178" t="s">
        <v>21503</v>
      </c>
      <c r="D3050" s="1178" t="s">
        <v>897</v>
      </c>
      <c r="E3050" s="1179">
        <v>2015</v>
      </c>
      <c r="F3050" s="1282" t="s">
        <v>20220</v>
      </c>
      <c r="G3050" s="1368">
        <v>44.5</v>
      </c>
      <c r="H3050" s="1178" t="s">
        <v>20224</v>
      </c>
      <c r="I3050" s="1178" t="s">
        <v>9537</v>
      </c>
      <c r="J3050" s="1178" t="s">
        <v>662</v>
      </c>
      <c r="K3050" s="1178" t="s">
        <v>307</v>
      </c>
      <c r="L3050" s="1178"/>
      <c r="M3050" s="1369"/>
      <c r="N3050" s="1178"/>
      <c r="O3050" s="1178">
        <v>6</v>
      </c>
      <c r="P3050" s="1178">
        <v>13.5</v>
      </c>
    </row>
    <row r="3051" spans="1:16">
      <c r="A3051" s="1178" t="s">
        <v>21476</v>
      </c>
      <c r="B3051" s="1371" t="str">
        <f>HYPERLINK(IFERROR("#Main_Tariff!A"&amp;MATCH(Raeburn_Main_Tariff[[#This Row],[Product Code]],Main_Tariff!I:I,0),"#Main_Tariff!A"&amp;MATCH("*"&amp;RIGHT(A3051,8)&amp;"*",Main_Tariff!A:A,0)),Raeburn_Main_Tariff[[#This Row],[PRODUCER]])</f>
        <v>Famille Tardieu</v>
      </c>
      <c r="C3051" s="1178" t="s">
        <v>21504</v>
      </c>
      <c r="D3051" s="1178" t="s">
        <v>897</v>
      </c>
      <c r="E3051" s="1179">
        <v>2013</v>
      </c>
      <c r="F3051" s="1282" t="s">
        <v>20220</v>
      </c>
      <c r="G3051" s="1368">
        <v>44.5</v>
      </c>
      <c r="H3051" s="1178" t="s">
        <v>20221</v>
      </c>
      <c r="I3051" s="1178" t="s">
        <v>9538</v>
      </c>
      <c r="J3051" s="1178" t="s">
        <v>662</v>
      </c>
      <c r="K3051" s="1178" t="s">
        <v>307</v>
      </c>
      <c r="L3051" s="1178"/>
      <c r="M3051" s="1369"/>
      <c r="N3051" s="1178"/>
      <c r="O3051" s="1178">
        <v>12</v>
      </c>
      <c r="P3051" s="1178">
        <v>13</v>
      </c>
    </row>
    <row r="3052" spans="1:16">
      <c r="A3052" s="1178" t="s">
        <v>21476</v>
      </c>
      <c r="B3052" s="1371" t="str">
        <f>HYPERLINK(IFERROR("#Main_Tariff!A"&amp;MATCH(Raeburn_Main_Tariff[[#This Row],[Product Code]],Main_Tariff!I:I,0),"#Main_Tariff!A"&amp;MATCH("*"&amp;RIGHT(A3052,8)&amp;"*",Main_Tariff!A:A,0)),Raeburn_Main_Tariff[[#This Row],[PRODUCER]])</f>
        <v>Famille Tardieu</v>
      </c>
      <c r="C3052" s="1178" t="s">
        <v>21504</v>
      </c>
      <c r="D3052" s="1178" t="s">
        <v>897</v>
      </c>
      <c r="E3052" s="1179">
        <v>2012</v>
      </c>
      <c r="F3052" s="1282" t="s">
        <v>20220</v>
      </c>
      <c r="G3052" s="1368">
        <v>44.5</v>
      </c>
      <c r="H3052" s="1178" t="s">
        <v>20221</v>
      </c>
      <c r="I3052" s="1178" t="s">
        <v>9539</v>
      </c>
      <c r="J3052" s="1178" t="s">
        <v>662</v>
      </c>
      <c r="K3052" s="1178" t="s">
        <v>307</v>
      </c>
      <c r="L3052" s="1178"/>
      <c r="M3052" s="1369"/>
      <c r="N3052" s="1178"/>
      <c r="O3052" s="1178">
        <v>12</v>
      </c>
      <c r="P3052" s="1178">
        <v>13</v>
      </c>
    </row>
    <row r="3053" spans="1:16">
      <c r="A3053" s="1178" t="s">
        <v>21476</v>
      </c>
      <c r="B3053" s="1371" t="str">
        <f>HYPERLINK(IFERROR("#Main_Tariff!A"&amp;MATCH(Raeburn_Main_Tariff[[#This Row],[Product Code]],Main_Tariff!I:I,0),"#Main_Tariff!A"&amp;MATCH("*"&amp;RIGHT(A3053,8)&amp;"*",Main_Tariff!A:A,0)),Raeburn_Main_Tariff[[#This Row],[PRODUCER]])</f>
        <v>Famille Tardieu</v>
      </c>
      <c r="C3053" s="1178" t="s">
        <v>21504</v>
      </c>
      <c r="D3053" s="1178" t="s">
        <v>897</v>
      </c>
      <c r="E3053" s="1179">
        <v>2011</v>
      </c>
      <c r="F3053" s="1282" t="s">
        <v>20220</v>
      </c>
      <c r="G3053" s="1368">
        <v>44.5</v>
      </c>
      <c r="H3053" s="1178" t="s">
        <v>20224</v>
      </c>
      <c r="I3053" s="1178" t="s">
        <v>9540</v>
      </c>
      <c r="J3053" s="1178" t="s">
        <v>662</v>
      </c>
      <c r="K3053" s="1178" t="s">
        <v>307</v>
      </c>
      <c r="L3053" s="1178"/>
      <c r="M3053" s="1369"/>
      <c r="N3053" s="1178"/>
      <c r="O3053" s="1178">
        <v>12</v>
      </c>
      <c r="P3053" s="1178">
        <v>15</v>
      </c>
    </row>
    <row r="3054" spans="1:16">
      <c r="A3054" s="1178" t="s">
        <v>21476</v>
      </c>
      <c r="B3054" s="1371" t="str">
        <f>HYPERLINK(IFERROR("#Main_Tariff!A"&amp;MATCH(Raeburn_Main_Tariff[[#This Row],[Product Code]],Main_Tariff!I:I,0),"#Main_Tariff!A"&amp;MATCH("*"&amp;RIGHT(A3054,8)&amp;"*",Main_Tariff!A:A,0)),Raeburn_Main_Tariff[[#This Row],[PRODUCER]])</f>
        <v>Famille Tardieu</v>
      </c>
      <c r="C3054" s="1178" t="s">
        <v>21504</v>
      </c>
      <c r="D3054" s="1178" t="s">
        <v>897</v>
      </c>
      <c r="E3054" s="1179">
        <v>2008</v>
      </c>
      <c r="F3054" s="1282" t="s">
        <v>20220</v>
      </c>
      <c r="G3054" s="1368">
        <v>44.5</v>
      </c>
      <c r="H3054" s="1178" t="s">
        <v>20224</v>
      </c>
      <c r="I3054" s="1178" t="s">
        <v>9448</v>
      </c>
      <c r="J3054" s="1178" t="s">
        <v>662</v>
      </c>
      <c r="K3054" s="1178" t="s">
        <v>307</v>
      </c>
      <c r="L3054" s="1178"/>
      <c r="M3054" s="1369"/>
      <c r="N3054" s="1178"/>
      <c r="O3054" s="1178">
        <v>12</v>
      </c>
      <c r="P3054" s="1178">
        <v>12.5</v>
      </c>
    </row>
    <row r="3055" spans="1:16">
      <c r="A3055" s="1178" t="s">
        <v>21476</v>
      </c>
      <c r="B3055" s="1371" t="str">
        <f>HYPERLINK(IFERROR("#Main_Tariff!A"&amp;MATCH(Raeburn_Main_Tariff[[#This Row],[Product Code]],Main_Tariff!I:I,0),"#Main_Tariff!A"&amp;MATCH("*"&amp;RIGHT(A3055,8)&amp;"*",Main_Tariff!A:A,0)),Raeburn_Main_Tariff[[#This Row],[PRODUCER]])</f>
        <v>Famille Tardieu</v>
      </c>
      <c r="C3055" s="1178" t="s">
        <v>21505</v>
      </c>
      <c r="D3055" s="1178" t="s">
        <v>897</v>
      </c>
      <c r="E3055" s="1179">
        <v>2020</v>
      </c>
      <c r="F3055" s="1282" t="s">
        <v>20240</v>
      </c>
      <c r="G3055" s="1368">
        <v>49.5</v>
      </c>
      <c r="H3055" s="1178" t="s">
        <v>20221</v>
      </c>
      <c r="I3055" s="1178" t="s">
        <v>9542</v>
      </c>
      <c r="J3055" s="1178" t="s">
        <v>662</v>
      </c>
      <c r="K3055" s="1178" t="s">
        <v>307</v>
      </c>
      <c r="L3055" s="1178"/>
      <c r="M3055" s="1369"/>
      <c r="N3055" s="1178"/>
      <c r="O3055" s="1178">
        <v>3</v>
      </c>
      <c r="P3055" s="1178">
        <v>13.5</v>
      </c>
    </row>
    <row r="3056" spans="1:16">
      <c r="A3056" s="1178" t="s">
        <v>21476</v>
      </c>
      <c r="B3056" s="1371" t="str">
        <f>HYPERLINK(IFERROR("#Main_Tariff!A"&amp;MATCH(Raeburn_Main_Tariff[[#This Row],[Product Code]],Main_Tariff!I:I,0),"#Main_Tariff!A"&amp;MATCH("*"&amp;RIGHT(A3056,8)&amp;"*",Main_Tariff!A:A,0)),Raeburn_Main_Tariff[[#This Row],[PRODUCER]])</f>
        <v>Famille Tardieu</v>
      </c>
      <c r="C3056" s="1178" t="s">
        <v>21506</v>
      </c>
      <c r="D3056" s="1178" t="s">
        <v>897</v>
      </c>
      <c r="E3056" s="1179">
        <v>2018</v>
      </c>
      <c r="F3056" s="1282" t="s">
        <v>20240</v>
      </c>
      <c r="G3056" s="1368">
        <v>50</v>
      </c>
      <c r="H3056" s="1178" t="s">
        <v>20221</v>
      </c>
      <c r="I3056" s="1178" t="s">
        <v>9543</v>
      </c>
      <c r="J3056" s="1178" t="s">
        <v>662</v>
      </c>
      <c r="K3056" s="1178" t="s">
        <v>307</v>
      </c>
      <c r="L3056" s="1178"/>
      <c r="M3056" s="1369"/>
      <c r="N3056" s="1178"/>
      <c r="O3056" s="1178">
        <v>3</v>
      </c>
      <c r="P3056" s="1178">
        <v>15</v>
      </c>
    </row>
    <row r="3057" spans="1:16">
      <c r="A3057" s="1178" t="s">
        <v>21476</v>
      </c>
      <c r="B3057" s="1371" t="str">
        <f>HYPERLINK(IFERROR("#Main_Tariff!A"&amp;MATCH(Raeburn_Main_Tariff[[#This Row],[Product Code]],Main_Tariff!I:I,0),"#Main_Tariff!A"&amp;MATCH("*"&amp;RIGHT(A3057,8)&amp;"*",Main_Tariff!A:A,0)),Raeburn_Main_Tariff[[#This Row],[PRODUCER]])</f>
        <v>Famille Tardieu</v>
      </c>
      <c r="C3057" s="1178" t="s">
        <v>21506</v>
      </c>
      <c r="D3057" s="1178" t="s">
        <v>897</v>
      </c>
      <c r="E3057" s="1179">
        <v>2017</v>
      </c>
      <c r="F3057" s="1282" t="s">
        <v>20240</v>
      </c>
      <c r="G3057" s="1368">
        <v>51</v>
      </c>
      <c r="H3057" s="1178" t="s">
        <v>20221</v>
      </c>
      <c r="I3057" s="1178" t="s">
        <v>9544</v>
      </c>
      <c r="J3057" s="1178" t="s">
        <v>662</v>
      </c>
      <c r="K3057" s="1178" t="s">
        <v>307</v>
      </c>
      <c r="L3057" s="1178"/>
      <c r="M3057" s="1369"/>
      <c r="N3057" s="1178"/>
      <c r="O3057" s="1178">
        <v>3</v>
      </c>
      <c r="P3057" s="1178">
        <v>13.5</v>
      </c>
    </row>
    <row r="3058" spans="1:16">
      <c r="A3058" s="1178" t="s">
        <v>21476</v>
      </c>
      <c r="B3058" s="1371" t="str">
        <f>HYPERLINK(IFERROR("#Main_Tariff!A"&amp;MATCH(Raeburn_Main_Tariff[[#This Row],[Product Code]],Main_Tariff!I:I,0),"#Main_Tariff!A"&amp;MATCH("*"&amp;RIGHT(A3058,8)&amp;"*",Main_Tariff!A:A,0)),Raeburn_Main_Tariff[[#This Row],[PRODUCER]])</f>
        <v>Famille Tardieu</v>
      </c>
      <c r="C3058" s="1178" t="s">
        <v>21506</v>
      </c>
      <c r="D3058" s="1178" t="s">
        <v>897</v>
      </c>
      <c r="E3058" s="1179">
        <v>2016</v>
      </c>
      <c r="F3058" s="1282" t="s">
        <v>20240</v>
      </c>
      <c r="G3058" s="1368">
        <v>51</v>
      </c>
      <c r="H3058" s="1178" t="s">
        <v>20221</v>
      </c>
      <c r="I3058" s="1178" t="s">
        <v>9545</v>
      </c>
      <c r="J3058" s="1178" t="s">
        <v>662</v>
      </c>
      <c r="K3058" s="1178" t="s">
        <v>307</v>
      </c>
      <c r="L3058" s="1178"/>
      <c r="M3058" s="1369"/>
      <c r="N3058" s="1178"/>
      <c r="O3058" s="1178">
        <v>6</v>
      </c>
      <c r="P3058" s="1178">
        <v>13</v>
      </c>
    </row>
    <row r="3059" spans="1:16">
      <c r="A3059" s="1178" t="s">
        <v>21476</v>
      </c>
      <c r="B3059" s="1371" t="str">
        <f>HYPERLINK(IFERROR("#Main_Tariff!A"&amp;MATCH(Raeburn_Main_Tariff[[#This Row],[Product Code]],Main_Tariff!I:I,0),"#Main_Tariff!A"&amp;MATCH("*"&amp;RIGHT(A3059,8)&amp;"*",Main_Tariff!A:A,0)),Raeburn_Main_Tariff[[#This Row],[PRODUCER]])</f>
        <v>Famille Tardieu</v>
      </c>
      <c r="C3059" s="1178" t="s">
        <v>21506</v>
      </c>
      <c r="D3059" s="1178" t="s">
        <v>897</v>
      </c>
      <c r="E3059" s="1179">
        <v>2015</v>
      </c>
      <c r="F3059" s="1282" t="s">
        <v>20240</v>
      </c>
      <c r="G3059" s="1368">
        <v>51.5</v>
      </c>
      <c r="H3059" s="1178" t="s">
        <v>20221</v>
      </c>
      <c r="I3059" s="1178" t="s">
        <v>9546</v>
      </c>
      <c r="J3059" s="1178" t="s">
        <v>662</v>
      </c>
      <c r="K3059" s="1178" t="s">
        <v>307</v>
      </c>
      <c r="L3059" s="1178"/>
      <c r="M3059" s="1369"/>
      <c r="N3059" s="1178"/>
      <c r="O3059" s="1178">
        <v>6</v>
      </c>
      <c r="P3059" s="1178">
        <v>13.5</v>
      </c>
    </row>
    <row r="3060" spans="1:16">
      <c r="A3060" s="1178" t="s">
        <v>21476</v>
      </c>
      <c r="B3060" s="1371" t="str">
        <f>HYPERLINK(IFERROR("#Main_Tariff!A"&amp;MATCH(Raeburn_Main_Tariff[[#This Row],[Product Code]],Main_Tariff!I:I,0),"#Main_Tariff!A"&amp;MATCH("*"&amp;RIGHT(A3060,8)&amp;"*",Main_Tariff!A:A,0)),Raeburn_Main_Tariff[[#This Row],[PRODUCER]])</f>
        <v>Famille Tardieu</v>
      </c>
      <c r="C3060" s="1178" t="s">
        <v>21507</v>
      </c>
      <c r="D3060" s="1178" t="s">
        <v>897</v>
      </c>
      <c r="E3060" s="1179">
        <v>2014</v>
      </c>
      <c r="F3060" s="1282" t="s">
        <v>20240</v>
      </c>
      <c r="G3060" s="1368">
        <v>48.75</v>
      </c>
      <c r="H3060" s="1178" t="s">
        <v>20221</v>
      </c>
      <c r="I3060" s="1178" t="s">
        <v>9440</v>
      </c>
      <c r="J3060" s="1178" t="s">
        <v>662</v>
      </c>
      <c r="K3060" s="1178" t="s">
        <v>307</v>
      </c>
      <c r="L3060" s="1178"/>
      <c r="M3060" s="1369"/>
      <c r="N3060" s="1178"/>
      <c r="O3060" s="1178">
        <v>6</v>
      </c>
      <c r="P3060" s="1178">
        <v>13</v>
      </c>
    </row>
    <row r="3061" spans="1:16">
      <c r="A3061" s="1178" t="s">
        <v>21476</v>
      </c>
      <c r="B3061" s="1371" t="str">
        <f>HYPERLINK(IFERROR("#Main_Tariff!A"&amp;MATCH(Raeburn_Main_Tariff[[#This Row],[Product Code]],Main_Tariff!I:I,0),"#Main_Tariff!A"&amp;MATCH("*"&amp;RIGHT(A3061,8)&amp;"*",Main_Tariff!A:A,0)),Raeburn_Main_Tariff[[#This Row],[PRODUCER]])</f>
        <v>Famille Tardieu</v>
      </c>
      <c r="C3061" s="1178" t="s">
        <v>21508</v>
      </c>
      <c r="D3061" s="1178" t="s">
        <v>897</v>
      </c>
      <c r="E3061" s="1179">
        <v>2018</v>
      </c>
      <c r="F3061" s="1282" t="s">
        <v>20240</v>
      </c>
      <c r="G3061" s="1368">
        <v>57.5</v>
      </c>
      <c r="H3061" s="1178" t="s">
        <v>20221</v>
      </c>
      <c r="I3061" s="1178" t="s">
        <v>9547</v>
      </c>
      <c r="J3061" s="1178" t="s">
        <v>662</v>
      </c>
      <c r="K3061" s="1178" t="s">
        <v>307</v>
      </c>
      <c r="L3061" s="1178"/>
      <c r="M3061" s="1369"/>
      <c r="N3061" s="1178"/>
      <c r="O3061" s="1178">
        <v>3</v>
      </c>
      <c r="P3061" s="1178">
        <v>13.5</v>
      </c>
    </row>
    <row r="3062" spans="1:16">
      <c r="A3062" s="1178" t="s">
        <v>21476</v>
      </c>
      <c r="B3062" s="1371" t="str">
        <f>HYPERLINK(IFERROR("#Main_Tariff!A"&amp;MATCH(Raeburn_Main_Tariff[[#This Row],[Product Code]],Main_Tariff!I:I,0),"#Main_Tariff!A"&amp;MATCH("*"&amp;RIGHT(A3062,8)&amp;"*",Main_Tariff!A:A,0)),Raeburn_Main_Tariff[[#This Row],[PRODUCER]])</f>
        <v>Famille Tardieu</v>
      </c>
      <c r="C3062" s="1178" t="s">
        <v>21509</v>
      </c>
      <c r="D3062" s="1178" t="s">
        <v>897</v>
      </c>
      <c r="E3062" s="1179">
        <v>2016</v>
      </c>
      <c r="F3062" s="1282" t="s">
        <v>20240</v>
      </c>
      <c r="G3062" s="1368">
        <v>57</v>
      </c>
      <c r="H3062" s="1178" t="s">
        <v>20224</v>
      </c>
      <c r="I3062" s="1178" t="s">
        <v>9548</v>
      </c>
      <c r="J3062" s="1178" t="s">
        <v>662</v>
      </c>
      <c r="K3062" s="1178" t="s">
        <v>307</v>
      </c>
      <c r="L3062" s="1178"/>
      <c r="M3062" s="1369"/>
      <c r="N3062" s="1178"/>
      <c r="O3062" s="1178">
        <v>6</v>
      </c>
      <c r="P3062" s="1178">
        <v>13</v>
      </c>
    </row>
    <row r="3063" spans="1:16">
      <c r="A3063" s="1178" t="s">
        <v>21476</v>
      </c>
      <c r="B3063" s="1371" t="str">
        <f>HYPERLINK(IFERROR("#Main_Tariff!A"&amp;MATCH(Raeburn_Main_Tariff[[#This Row],[Product Code]],Main_Tariff!I:I,0),"#Main_Tariff!A"&amp;MATCH("*"&amp;RIGHT(A3063,8)&amp;"*",Main_Tariff!A:A,0)),Raeburn_Main_Tariff[[#This Row],[PRODUCER]])</f>
        <v>Famille Tardieu</v>
      </c>
      <c r="C3063" s="1178" t="s">
        <v>21510</v>
      </c>
      <c r="D3063" s="1178" t="s">
        <v>897</v>
      </c>
      <c r="E3063" s="1179">
        <v>2014</v>
      </c>
      <c r="F3063" s="1282" t="s">
        <v>20240</v>
      </c>
      <c r="G3063" s="1368">
        <v>57.5</v>
      </c>
      <c r="H3063" s="1178" t="s">
        <v>20224</v>
      </c>
      <c r="I3063" s="1178" t="s">
        <v>9549</v>
      </c>
      <c r="J3063" s="1178" t="s">
        <v>662</v>
      </c>
      <c r="K3063" s="1178" t="s">
        <v>307</v>
      </c>
      <c r="L3063" s="1178"/>
      <c r="M3063" s="1369"/>
      <c r="N3063" s="1178"/>
      <c r="O3063" s="1178">
        <v>6</v>
      </c>
      <c r="P3063" s="1178">
        <v>12.5</v>
      </c>
    </row>
    <row r="3064" spans="1:16">
      <c r="A3064" s="1178" t="s">
        <v>21476</v>
      </c>
      <c r="B3064" s="1371" t="str">
        <f>HYPERLINK(IFERROR("#Main_Tariff!A"&amp;MATCH(Raeburn_Main_Tariff[[#This Row],[Product Code]],Main_Tariff!I:I,0),"#Main_Tariff!A"&amp;MATCH("*"&amp;RIGHT(A3064,8)&amp;"*",Main_Tariff!A:A,0)),Raeburn_Main_Tariff[[#This Row],[PRODUCER]])</f>
        <v>Famille Tardieu</v>
      </c>
      <c r="C3064" s="1178" t="s">
        <v>21511</v>
      </c>
      <c r="D3064" s="1178" t="s">
        <v>897</v>
      </c>
      <c r="E3064" s="1179">
        <v>2014</v>
      </c>
      <c r="F3064" s="1282" t="s">
        <v>20240</v>
      </c>
      <c r="G3064" s="1368">
        <v>64</v>
      </c>
      <c r="H3064" s="1178" t="s">
        <v>20221</v>
      </c>
      <c r="I3064" s="1178" t="s">
        <v>9550</v>
      </c>
      <c r="J3064" s="1178" t="s">
        <v>662</v>
      </c>
      <c r="K3064" s="1178" t="s">
        <v>307</v>
      </c>
      <c r="L3064" s="1178"/>
      <c r="M3064" s="1369"/>
      <c r="N3064" s="1178"/>
      <c r="O3064" s="1178">
        <v>6</v>
      </c>
      <c r="P3064" s="1178">
        <v>13</v>
      </c>
    </row>
    <row r="3065" spans="1:16">
      <c r="A3065" s="1178" t="s">
        <v>21476</v>
      </c>
      <c r="B3065" s="1371" t="str">
        <f>HYPERLINK(IFERROR("#Main_Tariff!A"&amp;MATCH(Raeburn_Main_Tariff[[#This Row],[Product Code]],Main_Tariff!I:I,0),"#Main_Tariff!A"&amp;MATCH("*"&amp;RIGHT(A3065,8)&amp;"*",Main_Tariff!A:A,0)),Raeburn_Main_Tariff[[#This Row],[PRODUCER]])</f>
        <v>Famille Tardieu</v>
      </c>
      <c r="C3065" s="1178" t="s">
        <v>21512</v>
      </c>
      <c r="D3065" s="1178" t="s">
        <v>897</v>
      </c>
      <c r="E3065" s="1179">
        <v>2016</v>
      </c>
      <c r="F3065" s="1282" t="s">
        <v>20240</v>
      </c>
      <c r="G3065" s="1368">
        <v>89</v>
      </c>
      <c r="H3065" s="1178" t="s">
        <v>20221</v>
      </c>
      <c r="I3065" s="1178" t="s">
        <v>9551</v>
      </c>
      <c r="J3065" s="1178" t="s">
        <v>662</v>
      </c>
      <c r="K3065" s="1178" t="s">
        <v>307</v>
      </c>
      <c r="L3065" s="1178"/>
      <c r="M3065" s="1369"/>
      <c r="N3065" s="1178"/>
      <c r="O3065" s="1178">
        <v>6</v>
      </c>
      <c r="P3065" s="1178">
        <v>13.5</v>
      </c>
    </row>
    <row r="3066" spans="1:16">
      <c r="A3066" s="1178" t="s">
        <v>21476</v>
      </c>
      <c r="B3066" s="1371" t="str">
        <f>HYPERLINK(IFERROR("#Main_Tariff!A"&amp;MATCH(Raeburn_Main_Tariff[[#This Row],[Product Code]],Main_Tariff!I:I,0),"#Main_Tariff!A"&amp;MATCH("*"&amp;RIGHT(A3066,8)&amp;"*",Main_Tariff!A:A,0)),Raeburn_Main_Tariff[[#This Row],[PRODUCER]])</f>
        <v>Famille Tardieu</v>
      </c>
      <c r="C3066" s="1178" t="s">
        <v>21513</v>
      </c>
      <c r="D3066" s="1178" t="s">
        <v>897</v>
      </c>
      <c r="E3066" s="1179">
        <v>2015</v>
      </c>
      <c r="F3066" s="1282" t="s">
        <v>20240</v>
      </c>
      <c r="G3066" s="1368">
        <v>89</v>
      </c>
      <c r="H3066" s="1178" t="s">
        <v>20221</v>
      </c>
      <c r="I3066" s="1178" t="s">
        <v>9552</v>
      </c>
      <c r="J3066" s="1178" t="s">
        <v>662</v>
      </c>
      <c r="K3066" s="1178" t="s">
        <v>307</v>
      </c>
      <c r="L3066" s="1178"/>
      <c r="M3066" s="1369"/>
      <c r="N3066" s="1178"/>
      <c r="O3066" s="1178">
        <v>6</v>
      </c>
      <c r="P3066" s="1178">
        <v>13.5</v>
      </c>
    </row>
    <row r="3067" spans="1:16">
      <c r="A3067" s="1178" t="s">
        <v>21476</v>
      </c>
      <c r="B3067" s="1371" t="str">
        <f>HYPERLINK(IFERROR("#Main_Tariff!A"&amp;MATCH(Raeburn_Main_Tariff[[#This Row],[Product Code]],Main_Tariff!I:I,0),"#Main_Tariff!A"&amp;MATCH("*"&amp;RIGHT(A3067,8)&amp;"*",Main_Tariff!A:A,0)),Raeburn_Main_Tariff[[#This Row],[PRODUCER]])</f>
        <v>Famille Tardieu</v>
      </c>
      <c r="C3067" s="1178" t="s">
        <v>21514</v>
      </c>
      <c r="D3067" s="1178" t="s">
        <v>897</v>
      </c>
      <c r="E3067" s="1179">
        <v>2014</v>
      </c>
      <c r="F3067" s="1282" t="s">
        <v>20240</v>
      </c>
      <c r="G3067" s="1368">
        <v>89</v>
      </c>
      <c r="H3067" s="1178" t="s">
        <v>20221</v>
      </c>
      <c r="I3067" s="1178" t="s">
        <v>9553</v>
      </c>
      <c r="J3067" s="1178" t="s">
        <v>662</v>
      </c>
      <c r="K3067" s="1178" t="s">
        <v>307</v>
      </c>
      <c r="L3067" s="1178"/>
      <c r="M3067" s="1369"/>
      <c r="N3067" s="1178"/>
      <c r="O3067" s="1178">
        <v>6</v>
      </c>
      <c r="P3067" s="1178">
        <v>13.5</v>
      </c>
    </row>
    <row r="3068" spans="1:16">
      <c r="A3068" s="1178" t="s">
        <v>21476</v>
      </c>
      <c r="B3068" s="1371" t="str">
        <f>HYPERLINK(IFERROR("#Main_Tariff!A"&amp;MATCH(Raeburn_Main_Tariff[[#This Row],[Product Code]],Main_Tariff!I:I,0),"#Main_Tariff!A"&amp;MATCH("*"&amp;RIGHT(A3068,8)&amp;"*",Main_Tariff!A:A,0)),Raeburn_Main_Tariff[[#This Row],[PRODUCER]])</f>
        <v>Famille Tardieu</v>
      </c>
      <c r="C3068" s="1178" t="s">
        <v>21515</v>
      </c>
      <c r="D3068" s="1178" t="s">
        <v>897</v>
      </c>
      <c r="E3068" s="1179">
        <v>2018</v>
      </c>
      <c r="F3068" s="1282" t="s">
        <v>20240</v>
      </c>
      <c r="G3068" s="1368">
        <v>96.5</v>
      </c>
      <c r="H3068" s="1178" t="s">
        <v>20221</v>
      </c>
      <c r="I3068" s="1178" t="s">
        <v>9554</v>
      </c>
      <c r="J3068" s="1178" t="s">
        <v>662</v>
      </c>
      <c r="K3068" s="1178" t="s">
        <v>307</v>
      </c>
      <c r="L3068" s="1178"/>
      <c r="M3068" s="1369"/>
      <c r="N3068" s="1178"/>
      <c r="O3068" s="1178">
        <v>3</v>
      </c>
      <c r="P3068" s="1178">
        <v>13.5</v>
      </c>
    </row>
    <row r="3069" spans="1:16">
      <c r="A3069" s="1178" t="s">
        <v>21476</v>
      </c>
      <c r="B3069" s="1371" t="str">
        <f>HYPERLINK(IFERROR("#Main_Tariff!A"&amp;MATCH(Raeburn_Main_Tariff[[#This Row],[Product Code]],Main_Tariff!I:I,0),"#Main_Tariff!A"&amp;MATCH("*"&amp;RIGHT(A3069,8)&amp;"*",Main_Tariff!A:A,0)),Raeburn_Main_Tariff[[#This Row],[PRODUCER]])</f>
        <v>Famille Tardieu</v>
      </c>
      <c r="C3069" s="1178" t="s">
        <v>21515</v>
      </c>
      <c r="D3069" s="1178" t="s">
        <v>897</v>
      </c>
      <c r="E3069" s="1179">
        <v>2016</v>
      </c>
      <c r="F3069" s="1282" t="s">
        <v>20240</v>
      </c>
      <c r="G3069" s="1368">
        <v>86</v>
      </c>
      <c r="H3069" s="1178" t="s">
        <v>20221</v>
      </c>
      <c r="I3069" s="1178" t="s">
        <v>9555</v>
      </c>
      <c r="J3069" s="1178" t="s">
        <v>662</v>
      </c>
      <c r="K3069" s="1178" t="s">
        <v>307</v>
      </c>
      <c r="L3069" s="1178"/>
      <c r="M3069" s="1369"/>
      <c r="N3069" s="1178"/>
      <c r="O3069" s="1178">
        <v>6</v>
      </c>
      <c r="P3069" s="1178">
        <v>12.5</v>
      </c>
    </row>
    <row r="3070" spans="1:16">
      <c r="A3070" s="1178" t="s">
        <v>21476</v>
      </c>
      <c r="B3070" s="1371" t="str">
        <f>HYPERLINK(IFERROR("#Main_Tariff!A"&amp;MATCH(Raeburn_Main_Tariff[[#This Row],[Product Code]],Main_Tariff!I:I,0),"#Main_Tariff!A"&amp;MATCH("*"&amp;RIGHT(A3070,8)&amp;"*",Main_Tariff!A:A,0)),Raeburn_Main_Tariff[[#This Row],[PRODUCER]])</f>
        <v>Famille Tardieu</v>
      </c>
      <c r="C3070" s="1178" t="s">
        <v>21516</v>
      </c>
      <c r="D3070" s="1178" t="s">
        <v>897</v>
      </c>
      <c r="E3070" s="1179">
        <v>2015</v>
      </c>
      <c r="F3070" s="1282" t="s">
        <v>20240</v>
      </c>
      <c r="G3070" s="1368">
        <v>86</v>
      </c>
      <c r="H3070" s="1178" t="s">
        <v>20224</v>
      </c>
      <c r="I3070" s="1178" t="s">
        <v>9556</v>
      </c>
      <c r="J3070" s="1178" t="s">
        <v>662</v>
      </c>
      <c r="K3070" s="1178" t="s">
        <v>307</v>
      </c>
      <c r="L3070" s="1178"/>
      <c r="M3070" s="1369"/>
      <c r="N3070" s="1178"/>
      <c r="O3070" s="1178">
        <v>6</v>
      </c>
      <c r="P3070" s="1178">
        <v>13.5</v>
      </c>
    </row>
    <row r="3071" spans="1:16">
      <c r="A3071" s="1178" t="s">
        <v>21476</v>
      </c>
      <c r="B3071" s="1371" t="str">
        <f>HYPERLINK(IFERROR("#Main_Tariff!A"&amp;MATCH(Raeburn_Main_Tariff[[#This Row],[Product Code]],Main_Tariff!I:I,0),"#Main_Tariff!A"&amp;MATCH("*"&amp;RIGHT(A3071,8)&amp;"*",Main_Tariff!A:A,0)),Raeburn_Main_Tariff[[#This Row],[PRODUCER]])</f>
        <v>Famille Tardieu</v>
      </c>
      <c r="C3071" s="1178" t="s">
        <v>21517</v>
      </c>
      <c r="D3071" s="1178" t="s">
        <v>897</v>
      </c>
      <c r="E3071" s="1179">
        <v>2014</v>
      </c>
      <c r="F3071" s="1282" t="s">
        <v>20240</v>
      </c>
      <c r="G3071" s="1368">
        <v>86</v>
      </c>
      <c r="H3071" s="1178" t="s">
        <v>20221</v>
      </c>
      <c r="I3071" s="1178" t="s">
        <v>9557</v>
      </c>
      <c r="J3071" s="1178" t="s">
        <v>662</v>
      </c>
      <c r="K3071" s="1178" t="s">
        <v>307</v>
      </c>
      <c r="L3071" s="1178"/>
      <c r="M3071" s="1369"/>
      <c r="N3071" s="1178"/>
      <c r="O3071" s="1178">
        <v>6</v>
      </c>
      <c r="P3071" s="1178">
        <v>12.5</v>
      </c>
    </row>
    <row r="3072" spans="1:16">
      <c r="A3072" s="1178" t="s">
        <v>21476</v>
      </c>
      <c r="B3072" s="1371" t="str">
        <f>HYPERLINK(IFERROR("#Main_Tariff!A"&amp;MATCH(Raeburn_Main_Tariff[[#This Row],[Product Code]],Main_Tariff!I:I,0),"#Main_Tariff!A"&amp;MATCH("*"&amp;RIGHT(A3072,8)&amp;"*",Main_Tariff!A:A,0)),Raeburn_Main_Tariff[[#This Row],[PRODUCER]])</f>
        <v>Famille Tardieu</v>
      </c>
      <c r="C3072" s="1178" t="s">
        <v>21517</v>
      </c>
      <c r="D3072" s="1178" t="s">
        <v>897</v>
      </c>
      <c r="E3072" s="1179">
        <v>2012</v>
      </c>
      <c r="F3072" s="1282" t="s">
        <v>20240</v>
      </c>
      <c r="G3072" s="1368">
        <v>86</v>
      </c>
      <c r="H3072" s="1178" t="s">
        <v>20224</v>
      </c>
      <c r="I3072" s="1178" t="s">
        <v>9558</v>
      </c>
      <c r="J3072" s="1178" t="s">
        <v>662</v>
      </c>
      <c r="K3072" s="1178" t="s">
        <v>307</v>
      </c>
      <c r="L3072" s="1178"/>
      <c r="M3072" s="1369"/>
      <c r="N3072" s="1178"/>
      <c r="O3072" s="1178">
        <v>6</v>
      </c>
      <c r="P3072" s="1178">
        <v>12.5</v>
      </c>
    </row>
    <row r="3073" spans="1:16">
      <c r="A3073" s="1178" t="s">
        <v>21476</v>
      </c>
      <c r="B3073" s="1371" t="str">
        <f>HYPERLINK(IFERROR("#Main_Tariff!A"&amp;MATCH(Raeburn_Main_Tariff[[#This Row],[Product Code]],Main_Tariff!I:I,0),"#Main_Tariff!A"&amp;MATCH("*"&amp;RIGHT(A3073,8)&amp;"*",Main_Tariff!A:A,0)),Raeburn_Main_Tariff[[#This Row],[PRODUCER]])</f>
        <v>Famille Tardieu</v>
      </c>
      <c r="C3073" s="1178" t="s">
        <v>21518</v>
      </c>
      <c r="D3073" s="1178" t="s">
        <v>897</v>
      </c>
      <c r="E3073" s="1179">
        <v>2015</v>
      </c>
      <c r="F3073" s="1282" t="s">
        <v>20240</v>
      </c>
      <c r="G3073" s="1368">
        <v>92</v>
      </c>
      <c r="H3073" s="1178" t="s">
        <v>20224</v>
      </c>
      <c r="I3073" s="1178" t="s">
        <v>9559</v>
      </c>
      <c r="J3073" s="1178" t="s">
        <v>662</v>
      </c>
      <c r="K3073" s="1178" t="s">
        <v>307</v>
      </c>
      <c r="L3073" s="1178"/>
      <c r="M3073" s="1369"/>
      <c r="N3073" s="1178"/>
      <c r="O3073" s="1178">
        <v>6</v>
      </c>
      <c r="P3073" s="1178">
        <v>13.5</v>
      </c>
    </row>
    <row r="3074" spans="1:16">
      <c r="A3074" s="1178" t="s">
        <v>21476</v>
      </c>
      <c r="B3074" s="1371" t="str">
        <f>HYPERLINK(IFERROR("#Main_Tariff!A"&amp;MATCH(Raeburn_Main_Tariff[[#This Row],[Product Code]],Main_Tariff!I:I,0),"#Main_Tariff!A"&amp;MATCH("*"&amp;RIGHT(A3074,8)&amp;"*",Main_Tariff!A:A,0)),Raeburn_Main_Tariff[[#This Row],[PRODUCER]])</f>
        <v>Famille Tardieu</v>
      </c>
      <c r="C3074" s="1178" t="s">
        <v>21519</v>
      </c>
      <c r="D3074" s="1178" t="s">
        <v>897</v>
      </c>
      <c r="E3074" s="1179">
        <v>2014</v>
      </c>
      <c r="F3074" s="1282" t="s">
        <v>20240</v>
      </c>
      <c r="G3074" s="1368">
        <v>95</v>
      </c>
      <c r="H3074" s="1178" t="s">
        <v>20221</v>
      </c>
      <c r="I3074" s="1178" t="s">
        <v>9560</v>
      </c>
      <c r="J3074" s="1178" t="s">
        <v>662</v>
      </c>
      <c r="K3074" s="1178" t="s">
        <v>307</v>
      </c>
      <c r="L3074" s="1178"/>
      <c r="M3074" s="1369"/>
      <c r="N3074" s="1178"/>
      <c r="O3074" s="1178">
        <v>6</v>
      </c>
      <c r="P3074" s="1178">
        <v>13</v>
      </c>
    </row>
    <row r="3075" spans="1:16">
      <c r="A3075" s="1178" t="s">
        <v>21476</v>
      </c>
      <c r="B3075" s="1371" t="str">
        <f>HYPERLINK(IFERROR("#Main_Tariff!A"&amp;MATCH(Raeburn_Main_Tariff[[#This Row],[Product Code]],Main_Tariff!I:I,0),"#Main_Tariff!A"&amp;MATCH("*"&amp;RIGHT(A3075,8)&amp;"*",Main_Tariff!A:A,0)),Raeburn_Main_Tariff[[#This Row],[PRODUCER]])</f>
        <v>Famille Tardieu</v>
      </c>
      <c r="C3075" s="1178" t="s">
        <v>21519</v>
      </c>
      <c r="D3075" s="1178" t="s">
        <v>897</v>
      </c>
      <c r="E3075" s="1179">
        <v>2012</v>
      </c>
      <c r="F3075" s="1282" t="s">
        <v>20240</v>
      </c>
      <c r="G3075" s="1368">
        <v>92</v>
      </c>
      <c r="H3075" s="1178" t="s">
        <v>20224</v>
      </c>
      <c r="I3075" s="1178" t="s">
        <v>9561</v>
      </c>
      <c r="J3075" s="1178" t="s">
        <v>662</v>
      </c>
      <c r="K3075" s="1178" t="s">
        <v>307</v>
      </c>
      <c r="L3075" s="1178"/>
      <c r="M3075" s="1369"/>
      <c r="N3075" s="1178"/>
      <c r="O3075" s="1178">
        <v>6</v>
      </c>
      <c r="P3075" s="1178">
        <v>13</v>
      </c>
    </row>
    <row r="3076" spans="1:16">
      <c r="A3076" s="1178" t="s">
        <v>313</v>
      </c>
      <c r="B3076" s="1371" t="str">
        <f>HYPERLINK(IFERROR("#Main_Tariff!A"&amp;MATCH(Raeburn_Main_Tariff[[#This Row],[Product Code]],Main_Tariff!I:I,0),"#Main_Tariff!A"&amp;MATCH("*"&amp;RIGHT(A3076,8)&amp;"*",Main_Tariff!A:A,0)),Raeburn_Main_Tariff[[#This Row],[PRODUCER]])</f>
        <v>Yves Gangloff</v>
      </c>
      <c r="C3076" s="1178" t="s">
        <v>21520</v>
      </c>
      <c r="D3076" s="1178" t="s">
        <v>1129</v>
      </c>
      <c r="E3076" s="1179"/>
      <c r="F3076" s="1282" t="s">
        <v>20220</v>
      </c>
      <c r="G3076" s="1368" t="s">
        <v>5258</v>
      </c>
      <c r="H3076" s="1178" t="s">
        <v>20224</v>
      </c>
      <c r="I3076" s="1178" t="s">
        <v>9562</v>
      </c>
      <c r="J3076" s="1178" t="s">
        <v>662</v>
      </c>
      <c r="K3076" s="1178" t="s">
        <v>307</v>
      </c>
      <c r="L3076" s="1178"/>
      <c r="M3076" s="1369"/>
      <c r="N3076" s="1178"/>
      <c r="O3076" s="1178">
        <v>12</v>
      </c>
      <c r="P3076" s="1178">
        <v>13</v>
      </c>
    </row>
    <row r="3077" spans="1:16">
      <c r="A3077" s="1178" t="s">
        <v>313</v>
      </c>
      <c r="B3077" s="1371" t="str">
        <f>HYPERLINK(IFERROR("#Main_Tariff!A"&amp;MATCH(Raeburn_Main_Tariff[[#This Row],[Product Code]],Main_Tariff!I:I,0),"#Main_Tariff!A"&amp;MATCH("*"&amp;RIGHT(A3077,8)&amp;"*",Main_Tariff!A:A,0)),Raeburn_Main_Tariff[[#This Row],[PRODUCER]])</f>
        <v>Yves Gangloff</v>
      </c>
      <c r="C3077" s="1178" t="s">
        <v>21481</v>
      </c>
      <c r="D3077" s="1178" t="s">
        <v>1129</v>
      </c>
      <c r="E3077" s="1179"/>
      <c r="F3077" s="1282" t="s">
        <v>20220</v>
      </c>
      <c r="G3077" s="1368" t="s">
        <v>5258</v>
      </c>
      <c r="H3077" s="1178" t="s">
        <v>20221</v>
      </c>
      <c r="I3077" s="1178" t="s">
        <v>9564</v>
      </c>
      <c r="J3077" s="1178" t="s">
        <v>662</v>
      </c>
      <c r="K3077" s="1178" t="s">
        <v>307</v>
      </c>
      <c r="L3077" s="1178"/>
      <c r="M3077" s="1369"/>
      <c r="N3077" s="1178"/>
      <c r="O3077" s="1178">
        <v>12</v>
      </c>
      <c r="P3077" s="1178">
        <v>14.5</v>
      </c>
    </row>
    <row r="3078" spans="1:16">
      <c r="A3078" s="1178" t="s">
        <v>313</v>
      </c>
      <c r="B3078" s="1371" t="str">
        <f>HYPERLINK(IFERROR("#Main_Tariff!A"&amp;MATCH(Raeburn_Main_Tariff[[#This Row],[Product Code]],Main_Tariff!I:I,0),"#Main_Tariff!A"&amp;MATCH("*"&amp;RIGHT(A3078,8)&amp;"*",Main_Tariff!A:A,0)),Raeburn_Main_Tariff[[#This Row],[PRODUCER]])</f>
        <v>Yves Gangloff</v>
      </c>
      <c r="C3078" s="1178" t="s">
        <v>21521</v>
      </c>
      <c r="D3078" s="1178" t="s">
        <v>897</v>
      </c>
      <c r="E3078" s="1179"/>
      <c r="F3078" s="1282" t="s">
        <v>20220</v>
      </c>
      <c r="G3078" s="1368" t="s">
        <v>5258</v>
      </c>
      <c r="H3078" s="1178" t="s">
        <v>20221</v>
      </c>
      <c r="I3078" s="1178" t="s">
        <v>9566</v>
      </c>
      <c r="J3078" s="1178" t="s">
        <v>662</v>
      </c>
      <c r="K3078" s="1178" t="s">
        <v>307</v>
      </c>
      <c r="L3078" s="1178"/>
      <c r="M3078" s="1369"/>
      <c r="N3078" s="1178"/>
      <c r="O3078" s="1178">
        <v>12</v>
      </c>
      <c r="P3078" s="1178">
        <v>12.5</v>
      </c>
    </row>
    <row r="3079" spans="1:16">
      <c r="A3079" s="1178" t="s">
        <v>313</v>
      </c>
      <c r="B3079" s="1371" t="str">
        <f>HYPERLINK(IFERROR("#Main_Tariff!A"&amp;MATCH(Raeburn_Main_Tariff[[#This Row],[Product Code]],Main_Tariff!I:I,0),"#Main_Tariff!A"&amp;MATCH("*"&amp;RIGHT(A3079,8)&amp;"*",Main_Tariff!A:A,0)),Raeburn_Main_Tariff[[#This Row],[PRODUCER]])</f>
        <v>Yves Gangloff</v>
      </c>
      <c r="C3079" s="1178" t="s">
        <v>21522</v>
      </c>
      <c r="D3079" s="1178" t="s">
        <v>897</v>
      </c>
      <c r="E3079" s="1179"/>
      <c r="F3079" s="1282" t="s">
        <v>20220</v>
      </c>
      <c r="G3079" s="1368" t="s">
        <v>5258</v>
      </c>
      <c r="H3079" s="1178" t="s">
        <v>20221</v>
      </c>
      <c r="I3079" s="1178" t="s">
        <v>9568</v>
      </c>
      <c r="J3079" s="1178" t="s">
        <v>662</v>
      </c>
      <c r="K3079" s="1178" t="s">
        <v>307</v>
      </c>
      <c r="L3079" s="1178"/>
      <c r="M3079" s="1369"/>
      <c r="N3079" s="1178"/>
      <c r="O3079" s="1178">
        <v>12</v>
      </c>
      <c r="P3079" s="1178">
        <v>13.5</v>
      </c>
    </row>
    <row r="3080" spans="1:16">
      <c r="A3080" s="1178" t="s">
        <v>313</v>
      </c>
      <c r="B3080" s="1371" t="str">
        <f>HYPERLINK(IFERROR("#Main_Tariff!A"&amp;MATCH(Raeburn_Main_Tariff[[#This Row],[Product Code]],Main_Tariff!I:I,0),"#Main_Tariff!A"&amp;MATCH("*"&amp;RIGHT(A3080,8)&amp;"*",Main_Tariff!A:A,0)),Raeburn_Main_Tariff[[#This Row],[PRODUCER]])</f>
        <v>Yves Gangloff</v>
      </c>
      <c r="C3080" s="1178" t="s">
        <v>21523</v>
      </c>
      <c r="D3080" s="1178" t="s">
        <v>897</v>
      </c>
      <c r="E3080" s="1179"/>
      <c r="F3080" s="1282" t="s">
        <v>20220</v>
      </c>
      <c r="G3080" s="1368"/>
      <c r="H3080" s="1178" t="s">
        <v>3907</v>
      </c>
      <c r="I3080" s="1178" t="s">
        <v>9570</v>
      </c>
      <c r="J3080" s="1178" t="s">
        <v>662</v>
      </c>
      <c r="K3080" s="1178" t="s">
        <v>307</v>
      </c>
      <c r="L3080" s="1178"/>
      <c r="M3080" s="1369"/>
      <c r="N3080" s="1178"/>
      <c r="O3080" s="1178">
        <v>12</v>
      </c>
      <c r="P3080" s="1178">
        <v>13</v>
      </c>
    </row>
    <row r="3081" spans="1:16">
      <c r="A3081" s="1178" t="s">
        <v>314</v>
      </c>
      <c r="B3081" s="1371" t="str">
        <f>HYPERLINK(IFERROR("#Main_Tariff!A"&amp;MATCH(Raeburn_Main_Tariff[[#This Row],[Product Code]],Main_Tariff!I:I,0),"#Main_Tariff!A"&amp;MATCH("*"&amp;RIGHT(A3081,8)&amp;"*",Main_Tariff!A:A,0)),Raeburn_Main_Tariff[[#This Row],[PRODUCER]])</f>
        <v>Jean-Claude Marsanne</v>
      </c>
      <c r="C3081" s="1178" t="s">
        <v>21524</v>
      </c>
      <c r="D3081" s="1178" t="s">
        <v>1129</v>
      </c>
      <c r="E3081" s="1179">
        <v>2022</v>
      </c>
      <c r="F3081" s="1282" t="s">
        <v>20280</v>
      </c>
      <c r="G3081" s="1368">
        <v>15.25</v>
      </c>
      <c r="H3081" s="1178" t="s">
        <v>20221</v>
      </c>
      <c r="I3081" s="1178" t="s">
        <v>9580</v>
      </c>
      <c r="J3081" s="1178" t="s">
        <v>662</v>
      </c>
      <c r="K3081" s="1178" t="s">
        <v>307</v>
      </c>
      <c r="L3081" s="1178"/>
      <c r="M3081" s="1369"/>
      <c r="N3081" s="1178"/>
      <c r="O3081" s="1178">
        <v>12</v>
      </c>
      <c r="P3081" s="1178">
        <v>14.5</v>
      </c>
    </row>
    <row r="3082" spans="1:16">
      <c r="A3082" s="1178" t="s">
        <v>314</v>
      </c>
      <c r="B3082" s="1371" t="str">
        <f>HYPERLINK(IFERROR("#Main_Tariff!A"&amp;MATCH(Raeburn_Main_Tariff[[#This Row],[Product Code]],Main_Tariff!I:I,0),"#Main_Tariff!A"&amp;MATCH("*"&amp;RIGHT(A3082,8)&amp;"*",Main_Tariff!A:A,0)),Raeburn_Main_Tariff[[#This Row],[PRODUCER]])</f>
        <v>Jean-Claude Marsanne</v>
      </c>
      <c r="C3082" s="1178" t="s">
        <v>21524</v>
      </c>
      <c r="D3082" s="1178" t="s">
        <v>1129</v>
      </c>
      <c r="E3082" s="1179">
        <v>2019</v>
      </c>
      <c r="F3082" s="1282" t="s">
        <v>20280</v>
      </c>
      <c r="G3082" s="1368">
        <v>14.75</v>
      </c>
      <c r="H3082" s="1178" t="s">
        <v>20224</v>
      </c>
      <c r="I3082" s="1178" t="s">
        <v>9582</v>
      </c>
      <c r="J3082" s="1178" t="s">
        <v>662</v>
      </c>
      <c r="K3082" s="1178" t="s">
        <v>307</v>
      </c>
      <c r="L3082" s="1178"/>
      <c r="M3082" s="1369"/>
      <c r="N3082" s="1178"/>
      <c r="O3082" s="1178">
        <v>12</v>
      </c>
      <c r="P3082" s="1178">
        <v>14</v>
      </c>
    </row>
    <row r="3083" spans="1:16">
      <c r="A3083" s="1178" t="s">
        <v>314</v>
      </c>
      <c r="B3083" s="1371" t="str">
        <f>HYPERLINK(IFERROR("#Main_Tariff!A"&amp;MATCH(Raeburn_Main_Tariff[[#This Row],[Product Code]],Main_Tariff!I:I,0),"#Main_Tariff!A"&amp;MATCH("*"&amp;RIGHT(A3083,8)&amp;"*",Main_Tariff!A:A,0)),Raeburn_Main_Tariff[[#This Row],[PRODUCER]])</f>
        <v>Jean-Claude Marsanne</v>
      </c>
      <c r="C3083" s="1178" t="s">
        <v>21525</v>
      </c>
      <c r="D3083" s="1178" t="s">
        <v>1129</v>
      </c>
      <c r="E3083" s="1179">
        <v>2020</v>
      </c>
      <c r="F3083" s="1282" t="s">
        <v>20220</v>
      </c>
      <c r="G3083" s="1368">
        <v>15.5</v>
      </c>
      <c r="H3083" s="1178" t="s">
        <v>20221</v>
      </c>
      <c r="I3083" s="1178" t="s">
        <v>9584</v>
      </c>
      <c r="J3083" s="1178" t="s">
        <v>662</v>
      </c>
      <c r="K3083" s="1178" t="s">
        <v>307</v>
      </c>
      <c r="L3083" s="1178"/>
      <c r="M3083" s="1369"/>
      <c r="N3083" s="1178"/>
      <c r="O3083" s="1178">
        <v>6</v>
      </c>
      <c r="P3083" s="1178">
        <v>13.5</v>
      </c>
    </row>
    <row r="3084" spans="1:16">
      <c r="A3084" s="1178" t="s">
        <v>314</v>
      </c>
      <c r="B3084" s="1371" t="str">
        <f>HYPERLINK(IFERROR("#Main_Tariff!A"&amp;MATCH(Raeburn_Main_Tariff[[#This Row],[Product Code]],Main_Tariff!I:I,0),"#Main_Tariff!A"&amp;MATCH("*"&amp;RIGHT(A3084,8)&amp;"*",Main_Tariff!A:A,0)),Raeburn_Main_Tariff[[#This Row],[PRODUCER]])</f>
        <v>Jean-Claude Marsanne</v>
      </c>
      <c r="C3084" s="1178" t="s">
        <v>21520</v>
      </c>
      <c r="D3084" s="1178" t="s">
        <v>1129</v>
      </c>
      <c r="E3084" s="1179">
        <v>2022</v>
      </c>
      <c r="F3084" s="1282" t="s">
        <v>20220</v>
      </c>
      <c r="G3084" s="1368">
        <v>28.75</v>
      </c>
      <c r="H3084" s="1178" t="s">
        <v>20221</v>
      </c>
      <c r="I3084" s="1178" t="s">
        <v>9586</v>
      </c>
      <c r="J3084" s="1178" t="s">
        <v>662</v>
      </c>
      <c r="K3084" s="1178" t="s">
        <v>307</v>
      </c>
      <c r="L3084" s="1178"/>
      <c r="M3084" s="1369"/>
      <c r="N3084" s="1178"/>
      <c r="O3084" s="1178">
        <v>6</v>
      </c>
      <c r="P3084" s="1178">
        <v>14.5</v>
      </c>
    </row>
    <row r="3085" spans="1:16">
      <c r="A3085" s="1178" t="s">
        <v>314</v>
      </c>
      <c r="B3085" s="1371" t="str">
        <f>HYPERLINK(IFERROR("#Main_Tariff!A"&amp;MATCH(Raeburn_Main_Tariff[[#This Row],[Product Code]],Main_Tariff!I:I,0),"#Main_Tariff!A"&amp;MATCH("*"&amp;RIGHT(A3085,8)&amp;"*",Main_Tariff!A:A,0)),Raeburn_Main_Tariff[[#This Row],[PRODUCER]])</f>
        <v>Jean-Claude Marsanne</v>
      </c>
      <c r="C3085" s="1178" t="s">
        <v>21520</v>
      </c>
      <c r="D3085" s="1178" t="s">
        <v>1129</v>
      </c>
      <c r="E3085" s="1179">
        <v>2019</v>
      </c>
      <c r="F3085" s="1282" t="s">
        <v>20220</v>
      </c>
      <c r="G3085" s="1368">
        <v>27.5</v>
      </c>
      <c r="H3085" s="1178" t="s">
        <v>20221</v>
      </c>
      <c r="I3085" s="1178" t="s">
        <v>9587</v>
      </c>
      <c r="J3085" s="1178" t="s">
        <v>662</v>
      </c>
      <c r="K3085" s="1178" t="s">
        <v>307</v>
      </c>
      <c r="L3085" s="1178"/>
      <c r="M3085" s="1369"/>
      <c r="N3085" s="1178"/>
      <c r="O3085" s="1178">
        <v>6</v>
      </c>
      <c r="P3085" s="1178">
        <v>14</v>
      </c>
    </row>
    <row r="3086" spans="1:16">
      <c r="A3086" s="1178" t="s">
        <v>314</v>
      </c>
      <c r="B3086" s="1371" t="str">
        <f>HYPERLINK(IFERROR("#Main_Tariff!A"&amp;MATCH(Raeburn_Main_Tariff[[#This Row],[Product Code]],Main_Tariff!I:I,0),"#Main_Tariff!A"&amp;MATCH("*"&amp;RIGHT(A3086,8)&amp;"*",Main_Tariff!A:A,0)),Raeburn_Main_Tariff[[#This Row],[PRODUCER]])</f>
        <v>Jean-Claude Marsanne</v>
      </c>
      <c r="C3086" s="1178" t="s">
        <v>21526</v>
      </c>
      <c r="D3086" s="1178" t="s">
        <v>1129</v>
      </c>
      <c r="E3086" s="1179">
        <v>2020</v>
      </c>
      <c r="F3086" s="1282" t="s">
        <v>20240</v>
      </c>
      <c r="G3086" s="1368">
        <v>57</v>
      </c>
      <c r="H3086" s="1178" t="s">
        <v>20224</v>
      </c>
      <c r="I3086" s="1178" t="s">
        <v>9589</v>
      </c>
      <c r="J3086" s="1178" t="s">
        <v>662</v>
      </c>
      <c r="K3086" s="1178" t="s">
        <v>307</v>
      </c>
      <c r="L3086" s="1178"/>
      <c r="M3086" s="1369"/>
      <c r="N3086" s="1178"/>
      <c r="O3086" s="1178">
        <v>6</v>
      </c>
      <c r="P3086" s="1178">
        <v>14</v>
      </c>
    </row>
    <row r="3087" spans="1:16">
      <c r="A3087" s="1178" t="s">
        <v>314</v>
      </c>
      <c r="B3087" s="1371" t="str">
        <f>HYPERLINK(IFERROR("#Main_Tariff!A"&amp;MATCH(Raeburn_Main_Tariff[[#This Row],[Product Code]],Main_Tariff!I:I,0),"#Main_Tariff!A"&amp;MATCH("*"&amp;RIGHT(A3087,8)&amp;"*",Main_Tariff!A:A,0)),Raeburn_Main_Tariff[[#This Row],[PRODUCER]])</f>
        <v>Jean-Claude Marsanne</v>
      </c>
      <c r="C3087" s="1178" t="s">
        <v>21527</v>
      </c>
      <c r="D3087" s="1178" t="s">
        <v>897</v>
      </c>
      <c r="E3087" s="1179">
        <v>2018</v>
      </c>
      <c r="F3087" s="1282" t="s">
        <v>20280</v>
      </c>
      <c r="G3087" s="1368">
        <v>13.75</v>
      </c>
      <c r="H3087" s="1178" t="s">
        <v>20221</v>
      </c>
      <c r="I3087" s="1178" t="s">
        <v>9593</v>
      </c>
      <c r="J3087" s="1178" t="s">
        <v>662</v>
      </c>
      <c r="K3087" s="1178" t="s">
        <v>307</v>
      </c>
      <c r="L3087" s="1178"/>
      <c r="M3087" s="1369"/>
      <c r="N3087" s="1178"/>
      <c r="O3087" s="1178">
        <v>12</v>
      </c>
      <c r="P3087" s="1178">
        <v>14.5</v>
      </c>
    </row>
    <row r="3088" spans="1:16">
      <c r="A3088" s="1178" t="s">
        <v>314</v>
      </c>
      <c r="B3088" s="1371" t="str">
        <f>HYPERLINK(IFERROR("#Main_Tariff!A"&amp;MATCH(Raeburn_Main_Tariff[[#This Row],[Product Code]],Main_Tariff!I:I,0),"#Main_Tariff!A"&amp;MATCH("*"&amp;RIGHT(A3088,8)&amp;"*",Main_Tariff!A:A,0)),Raeburn_Main_Tariff[[#This Row],[PRODUCER]])</f>
        <v>Jean-Claude Marsanne</v>
      </c>
      <c r="C3088" s="1178" t="s">
        <v>21473</v>
      </c>
      <c r="D3088" s="1178" t="s">
        <v>897</v>
      </c>
      <c r="E3088" s="1179">
        <v>2021</v>
      </c>
      <c r="F3088" s="1282" t="s">
        <v>20220</v>
      </c>
      <c r="G3088" s="1368">
        <v>26.25</v>
      </c>
      <c r="H3088" s="1178" t="s">
        <v>20221</v>
      </c>
      <c r="I3088" s="1178" t="s">
        <v>9597</v>
      </c>
      <c r="J3088" s="1178" t="s">
        <v>662</v>
      </c>
      <c r="K3088" s="1178" t="s">
        <v>307</v>
      </c>
      <c r="L3088" s="1178"/>
      <c r="M3088" s="1369"/>
      <c r="N3088" s="1178"/>
      <c r="O3088" s="1178">
        <v>6</v>
      </c>
      <c r="P3088" s="1178">
        <v>12.5</v>
      </c>
    </row>
    <row r="3089" spans="1:16">
      <c r="A3089" s="1178" t="s">
        <v>314</v>
      </c>
      <c r="B3089" s="1371" t="str">
        <f>HYPERLINK(IFERROR("#Main_Tariff!A"&amp;MATCH(Raeburn_Main_Tariff[[#This Row],[Product Code]],Main_Tariff!I:I,0),"#Main_Tariff!A"&amp;MATCH("*"&amp;RIGHT(A3089,8)&amp;"*",Main_Tariff!A:A,0)),Raeburn_Main_Tariff[[#This Row],[PRODUCER]])</f>
        <v>Jean-Claude Marsanne</v>
      </c>
      <c r="C3089" s="1178" t="s">
        <v>21473</v>
      </c>
      <c r="D3089" s="1178" t="s">
        <v>897</v>
      </c>
      <c r="E3089" s="1179">
        <v>2020</v>
      </c>
      <c r="F3089" s="1282" t="s">
        <v>20220</v>
      </c>
      <c r="G3089" s="1368">
        <v>26.25</v>
      </c>
      <c r="H3089" s="1178" t="s">
        <v>20221</v>
      </c>
      <c r="I3089" s="1178" t="s">
        <v>9598</v>
      </c>
      <c r="J3089" s="1178" t="s">
        <v>662</v>
      </c>
      <c r="K3089" s="1178" t="s">
        <v>307</v>
      </c>
      <c r="L3089" s="1178"/>
      <c r="M3089" s="1369"/>
      <c r="N3089" s="1178"/>
      <c r="O3089" s="1178">
        <v>6</v>
      </c>
      <c r="P3089" s="1178">
        <v>14.5</v>
      </c>
    </row>
    <row r="3090" spans="1:16">
      <c r="A3090" s="1178" t="s">
        <v>314</v>
      </c>
      <c r="B3090" s="1371" t="str">
        <f>HYPERLINK(IFERROR("#Main_Tariff!A"&amp;MATCH(Raeburn_Main_Tariff[[#This Row],[Product Code]],Main_Tariff!I:I,0),"#Main_Tariff!A"&amp;MATCH("*"&amp;RIGHT(A3090,8)&amp;"*",Main_Tariff!A:A,0)),Raeburn_Main_Tariff[[#This Row],[PRODUCER]])</f>
        <v>Jean-Claude Marsanne</v>
      </c>
      <c r="C3090" s="1178" t="s">
        <v>21473</v>
      </c>
      <c r="D3090" s="1178" t="s">
        <v>897</v>
      </c>
      <c r="E3090" s="1179">
        <v>2019</v>
      </c>
      <c r="F3090" s="1282" t="s">
        <v>20220</v>
      </c>
      <c r="G3090" s="1368">
        <v>26.25</v>
      </c>
      <c r="H3090" s="1178" t="s">
        <v>20221</v>
      </c>
      <c r="I3090" s="1178" t="s">
        <v>9600</v>
      </c>
      <c r="J3090" s="1178" t="s">
        <v>662</v>
      </c>
      <c r="K3090" s="1178" t="s">
        <v>307</v>
      </c>
      <c r="L3090" s="1178"/>
      <c r="M3090" s="1369"/>
      <c r="N3090" s="1178"/>
      <c r="O3090" s="1178">
        <v>6</v>
      </c>
      <c r="P3090" s="1178">
        <v>15</v>
      </c>
    </row>
    <row r="3091" spans="1:16">
      <c r="A3091" s="1178" t="s">
        <v>314</v>
      </c>
      <c r="B3091" s="1371" t="str">
        <f>HYPERLINK(IFERROR("#Main_Tariff!A"&amp;MATCH(Raeburn_Main_Tariff[[#This Row],[Product Code]],Main_Tariff!I:I,0),"#Main_Tariff!A"&amp;MATCH("*"&amp;RIGHT(A3091,8)&amp;"*",Main_Tariff!A:A,0)),Raeburn_Main_Tariff[[#This Row],[PRODUCER]])</f>
        <v>Jean-Claude Marsanne</v>
      </c>
      <c r="C3091" s="1178" t="s">
        <v>21473</v>
      </c>
      <c r="D3091" s="1178" t="s">
        <v>897</v>
      </c>
      <c r="E3091" s="1179">
        <v>2018</v>
      </c>
      <c r="F3091" s="1282" t="s">
        <v>20220</v>
      </c>
      <c r="G3091" s="1368">
        <v>25.5</v>
      </c>
      <c r="H3091" s="1178" t="s">
        <v>20221</v>
      </c>
      <c r="I3091" s="1178" t="s">
        <v>9601</v>
      </c>
      <c r="J3091" s="1178" t="s">
        <v>662</v>
      </c>
      <c r="K3091" s="1178" t="s">
        <v>307</v>
      </c>
      <c r="L3091" s="1178"/>
      <c r="M3091" s="1369"/>
      <c r="N3091" s="1178"/>
      <c r="O3091" s="1178">
        <v>6</v>
      </c>
      <c r="P3091" s="1178">
        <v>14.5</v>
      </c>
    </row>
    <row r="3092" spans="1:16">
      <c r="A3092" s="1178" t="s">
        <v>314</v>
      </c>
      <c r="B3092" s="1371" t="str">
        <f>HYPERLINK(IFERROR("#Main_Tariff!A"&amp;MATCH(Raeburn_Main_Tariff[[#This Row],[Product Code]],Main_Tariff!I:I,0),"#Main_Tariff!A"&amp;MATCH("*"&amp;RIGHT(A3092,8)&amp;"*",Main_Tariff!A:A,0)),Raeburn_Main_Tariff[[#This Row],[PRODUCER]])</f>
        <v>Jean-Claude Marsanne</v>
      </c>
      <c r="C3092" s="1178" t="s">
        <v>21473</v>
      </c>
      <c r="D3092" s="1178" t="s">
        <v>897</v>
      </c>
      <c r="E3092" s="1179">
        <v>2017</v>
      </c>
      <c r="F3092" s="1282" t="s">
        <v>20220</v>
      </c>
      <c r="G3092" s="1368">
        <v>25.5</v>
      </c>
      <c r="H3092" s="1178" t="s">
        <v>20221</v>
      </c>
      <c r="I3092" s="1178" t="s">
        <v>9602</v>
      </c>
      <c r="J3092" s="1178" t="s">
        <v>662</v>
      </c>
      <c r="K3092" s="1178" t="s">
        <v>307</v>
      </c>
      <c r="L3092" s="1178"/>
      <c r="M3092" s="1369"/>
      <c r="N3092" s="1178"/>
      <c r="O3092" s="1178">
        <v>6</v>
      </c>
      <c r="P3092" s="1178">
        <v>13</v>
      </c>
    </row>
    <row r="3093" spans="1:16">
      <c r="A3093" s="1178" t="s">
        <v>314</v>
      </c>
      <c r="B3093" s="1371" t="str">
        <f>HYPERLINK(IFERROR("#Main_Tariff!A"&amp;MATCH(Raeburn_Main_Tariff[[#This Row],[Product Code]],Main_Tariff!I:I,0),"#Main_Tariff!A"&amp;MATCH("*"&amp;RIGHT(A3093,8)&amp;"*",Main_Tariff!A:A,0)),Raeburn_Main_Tariff[[#This Row],[PRODUCER]])</f>
        <v>Jean-Claude Marsanne</v>
      </c>
      <c r="C3093" s="1178" t="s">
        <v>21528</v>
      </c>
      <c r="D3093" s="1178" t="s">
        <v>897</v>
      </c>
      <c r="E3093" s="1179">
        <v>2021</v>
      </c>
      <c r="F3093" s="1282" t="s">
        <v>20240</v>
      </c>
      <c r="G3093" s="1368">
        <v>55</v>
      </c>
      <c r="H3093" s="1178" t="s">
        <v>20224</v>
      </c>
      <c r="I3093" s="1178" t="s">
        <v>9603</v>
      </c>
      <c r="J3093" s="1178" t="s">
        <v>662</v>
      </c>
      <c r="K3093" s="1178" t="s">
        <v>307</v>
      </c>
      <c r="L3093" s="1178"/>
      <c r="M3093" s="1369"/>
      <c r="N3093" s="1178"/>
      <c r="O3093" s="1178">
        <v>6</v>
      </c>
      <c r="P3093" s="1178">
        <v>12.5</v>
      </c>
    </row>
    <row r="3094" spans="1:16">
      <c r="A3094" s="1178" t="s">
        <v>314</v>
      </c>
      <c r="B3094" s="1371" t="str">
        <f>HYPERLINK(IFERROR("#Main_Tariff!A"&amp;MATCH(Raeburn_Main_Tariff[[#This Row],[Product Code]],Main_Tariff!I:I,0),"#Main_Tariff!A"&amp;MATCH("*"&amp;RIGHT(A3094,8)&amp;"*",Main_Tariff!A:A,0)),Raeburn_Main_Tariff[[#This Row],[PRODUCER]])</f>
        <v>Jean-Claude Marsanne</v>
      </c>
      <c r="C3094" s="1178" t="s">
        <v>21528</v>
      </c>
      <c r="D3094" s="1178" t="s">
        <v>897</v>
      </c>
      <c r="E3094" s="1179">
        <v>2019</v>
      </c>
      <c r="F3094" s="1282" t="s">
        <v>20240</v>
      </c>
      <c r="G3094" s="1368">
        <v>55</v>
      </c>
      <c r="H3094" s="1178" t="s">
        <v>20221</v>
      </c>
      <c r="I3094" s="1178" t="s">
        <v>9604</v>
      </c>
      <c r="J3094" s="1178" t="s">
        <v>662</v>
      </c>
      <c r="K3094" s="1178" t="s">
        <v>307</v>
      </c>
      <c r="L3094" s="1178"/>
      <c r="M3094" s="1369"/>
      <c r="N3094" s="1178"/>
      <c r="O3094" s="1178">
        <v>6</v>
      </c>
      <c r="P3094" s="1178">
        <v>14</v>
      </c>
    </row>
    <row r="3095" spans="1:16">
      <c r="A3095" s="1178" t="s">
        <v>314</v>
      </c>
      <c r="B3095" s="1371" t="str">
        <f>HYPERLINK(IFERROR("#Main_Tariff!A"&amp;MATCH(Raeburn_Main_Tariff[[#This Row],[Product Code]],Main_Tariff!I:I,0),"#Main_Tariff!A"&amp;MATCH("*"&amp;RIGHT(A3095,8)&amp;"*",Main_Tariff!A:A,0)),Raeburn_Main_Tariff[[#This Row],[PRODUCER]])</f>
        <v>Jean-Claude Marsanne</v>
      </c>
      <c r="C3095" s="1178" t="s">
        <v>21529</v>
      </c>
      <c r="D3095" s="1178" t="s">
        <v>897</v>
      </c>
      <c r="E3095" s="1179">
        <v>2019</v>
      </c>
      <c r="F3095" s="1282" t="s">
        <v>20288</v>
      </c>
      <c r="G3095" s="1368">
        <v>135</v>
      </c>
      <c r="H3095" s="1178" t="s">
        <v>20224</v>
      </c>
      <c r="I3095" s="1178" t="s">
        <v>9605</v>
      </c>
      <c r="J3095" s="1178" t="s">
        <v>662</v>
      </c>
      <c r="K3095" s="1178" t="s">
        <v>307</v>
      </c>
      <c r="L3095" s="1178"/>
      <c r="M3095" s="1369"/>
      <c r="N3095" s="1178"/>
      <c r="O3095" s="1178">
        <v>1</v>
      </c>
      <c r="P3095" s="1178">
        <v>15</v>
      </c>
    </row>
    <row r="3096" spans="1:16">
      <c r="A3096" s="1178" t="s">
        <v>315</v>
      </c>
      <c r="B3096" s="1371" t="str">
        <f>HYPERLINK(IFERROR("#Main_Tariff!A"&amp;MATCH(Raeburn_Main_Tariff[[#This Row],[Product Code]],Main_Tariff!I:I,0),"#Main_Tariff!A"&amp;MATCH("*"&amp;RIGHT(A3096,8)&amp;"*",Main_Tariff!A:A,0)),Raeburn_Main_Tariff[[#This Row],[PRODUCER]])</f>
        <v>M&amp;S Ogier d'Ampuis</v>
      </c>
      <c r="C3096" s="1178" t="s">
        <v>21530</v>
      </c>
      <c r="D3096" s="1178" t="s">
        <v>1129</v>
      </c>
      <c r="E3096" s="1179">
        <v>2023</v>
      </c>
      <c r="F3096" s="1282" t="s">
        <v>20220</v>
      </c>
      <c r="G3096" s="1368">
        <v>14.5</v>
      </c>
      <c r="H3096" s="1178" t="s">
        <v>20221</v>
      </c>
      <c r="I3096" s="1178" t="s">
        <v>9614</v>
      </c>
      <c r="J3096" s="1178" t="s">
        <v>662</v>
      </c>
      <c r="K3096" s="1178" t="s">
        <v>307</v>
      </c>
      <c r="L3096" s="1178"/>
      <c r="M3096" s="1369"/>
      <c r="N3096" s="1178"/>
      <c r="O3096" s="1178">
        <v>6</v>
      </c>
      <c r="P3096" s="1178">
        <v>13.5</v>
      </c>
    </row>
    <row r="3097" spans="1:16">
      <c r="A3097" s="1178" t="s">
        <v>315</v>
      </c>
      <c r="B3097" s="1371" t="str">
        <f>HYPERLINK(IFERROR("#Main_Tariff!A"&amp;MATCH(Raeburn_Main_Tariff[[#This Row],[Product Code]],Main_Tariff!I:I,0),"#Main_Tariff!A"&amp;MATCH("*"&amp;RIGHT(A3097,8)&amp;"*",Main_Tariff!A:A,0)),Raeburn_Main_Tariff[[#This Row],[PRODUCER]])</f>
        <v>M&amp;S Ogier d'Ampuis</v>
      </c>
      <c r="C3097" s="1178" t="s">
        <v>21531</v>
      </c>
      <c r="D3097" s="1178" t="s">
        <v>1129</v>
      </c>
      <c r="E3097" s="1179">
        <v>2016</v>
      </c>
      <c r="F3097" s="1282" t="s">
        <v>20220</v>
      </c>
      <c r="G3097" s="1368">
        <v>17.5</v>
      </c>
      <c r="H3097" s="1178" t="s">
        <v>20221</v>
      </c>
      <c r="I3097" s="1178" t="s">
        <v>9616</v>
      </c>
      <c r="J3097" s="1178" t="s">
        <v>662</v>
      </c>
      <c r="K3097" s="1178" t="s">
        <v>307</v>
      </c>
      <c r="L3097" s="1178"/>
      <c r="M3097" s="1369"/>
      <c r="N3097" s="1178"/>
      <c r="O3097" s="1178">
        <v>6</v>
      </c>
      <c r="P3097" s="1178">
        <v>12.5</v>
      </c>
    </row>
    <row r="3098" spans="1:16">
      <c r="A3098" s="1178" t="s">
        <v>315</v>
      </c>
      <c r="B3098" s="1371" t="str">
        <f>HYPERLINK(IFERROR("#Main_Tariff!A"&amp;MATCH(Raeburn_Main_Tariff[[#This Row],[Product Code]],Main_Tariff!I:I,0),"#Main_Tariff!A"&amp;MATCH("*"&amp;RIGHT(A3098,8)&amp;"*",Main_Tariff!A:A,0)),Raeburn_Main_Tariff[[#This Row],[PRODUCER]])</f>
        <v>M&amp;S Ogier d'Ampuis</v>
      </c>
      <c r="C3098" s="1178" t="s">
        <v>21532</v>
      </c>
      <c r="D3098" s="1178" t="s">
        <v>1129</v>
      </c>
      <c r="E3098" s="1179">
        <v>2022</v>
      </c>
      <c r="F3098" s="1282" t="s">
        <v>20220</v>
      </c>
      <c r="G3098" s="1368">
        <v>24.25</v>
      </c>
      <c r="H3098" s="1178" t="s">
        <v>20221</v>
      </c>
      <c r="I3098" s="1178" t="s">
        <v>9618</v>
      </c>
      <c r="J3098" s="1178" t="s">
        <v>662</v>
      </c>
      <c r="K3098" s="1178" t="s">
        <v>307</v>
      </c>
      <c r="L3098" s="1178"/>
      <c r="M3098" s="1369"/>
      <c r="N3098" s="1178"/>
      <c r="O3098" s="1178">
        <v>6</v>
      </c>
      <c r="P3098" s="1178">
        <v>12.5</v>
      </c>
    </row>
    <row r="3099" spans="1:16">
      <c r="A3099" s="1178" t="s">
        <v>315</v>
      </c>
      <c r="B3099" s="1371" t="str">
        <f>HYPERLINK(IFERROR("#Main_Tariff!A"&amp;MATCH(Raeburn_Main_Tariff[[#This Row],[Product Code]],Main_Tariff!I:I,0),"#Main_Tariff!A"&amp;MATCH("*"&amp;RIGHT(A3099,8)&amp;"*",Main_Tariff!A:A,0)),Raeburn_Main_Tariff[[#This Row],[PRODUCER]])</f>
        <v>M&amp;S Ogier d'Ampuis</v>
      </c>
      <c r="C3099" s="1178" t="s">
        <v>21533</v>
      </c>
      <c r="D3099" s="1178" t="s">
        <v>1129</v>
      </c>
      <c r="E3099" s="1179">
        <v>2020</v>
      </c>
      <c r="F3099" s="1282" t="s">
        <v>20220</v>
      </c>
      <c r="G3099" s="1368" t="s">
        <v>5258</v>
      </c>
      <c r="H3099" s="1178" t="s">
        <v>20277</v>
      </c>
      <c r="I3099" s="1178" t="s">
        <v>9620</v>
      </c>
      <c r="J3099" s="1178" t="s">
        <v>662</v>
      </c>
      <c r="K3099" s="1178" t="s">
        <v>307</v>
      </c>
      <c r="L3099" s="1178"/>
      <c r="M3099" s="1369"/>
      <c r="N3099" s="1178"/>
      <c r="O3099" s="1178">
        <v>6</v>
      </c>
      <c r="P3099" s="1178">
        <v>13</v>
      </c>
    </row>
    <row r="3100" spans="1:16">
      <c r="A3100" s="1178" t="s">
        <v>315</v>
      </c>
      <c r="B3100" s="1371" t="str">
        <f>HYPERLINK(IFERROR("#Main_Tariff!A"&amp;MATCH(Raeburn_Main_Tariff[[#This Row],[Product Code]],Main_Tariff!I:I,0),"#Main_Tariff!A"&amp;MATCH("*"&amp;RIGHT(A3100,8)&amp;"*",Main_Tariff!A:A,0)),Raeburn_Main_Tariff[[#This Row],[PRODUCER]])</f>
        <v>M&amp;S Ogier d'Ampuis</v>
      </c>
      <c r="C3100" s="1178" t="s">
        <v>21534</v>
      </c>
      <c r="D3100" s="1178" t="s">
        <v>1129</v>
      </c>
      <c r="E3100" s="1179">
        <v>2020</v>
      </c>
      <c r="F3100" s="1282" t="s">
        <v>20220</v>
      </c>
      <c r="G3100" s="1368">
        <v>58.5</v>
      </c>
      <c r="H3100" s="1178" t="s">
        <v>20221</v>
      </c>
      <c r="I3100" s="1178" t="s">
        <v>9622</v>
      </c>
      <c r="J3100" s="1178" t="s">
        <v>662</v>
      </c>
      <c r="K3100" s="1178" t="s">
        <v>307</v>
      </c>
      <c r="L3100" s="1178"/>
      <c r="M3100" s="1369"/>
      <c r="N3100" s="1178"/>
      <c r="O3100" s="1178">
        <v>6</v>
      </c>
      <c r="P3100" s="1178">
        <v>13</v>
      </c>
    </row>
    <row r="3101" spans="1:16">
      <c r="A3101" s="1178" t="s">
        <v>315</v>
      </c>
      <c r="B3101" s="1371" t="str">
        <f>HYPERLINK(IFERROR("#Main_Tariff!A"&amp;MATCH(Raeburn_Main_Tariff[[#This Row],[Product Code]],Main_Tariff!I:I,0),"#Main_Tariff!A"&amp;MATCH("*"&amp;RIGHT(A3101,8)&amp;"*",Main_Tariff!A:A,0)),Raeburn_Main_Tariff[[#This Row],[PRODUCER]])</f>
        <v>M&amp;S Ogier d'Ampuis</v>
      </c>
      <c r="C3101" s="1178" t="s">
        <v>21535</v>
      </c>
      <c r="D3101" s="1178" t="s">
        <v>897</v>
      </c>
      <c r="E3101" s="1179">
        <v>2016</v>
      </c>
      <c r="F3101" s="1282" t="s">
        <v>20280</v>
      </c>
      <c r="G3101" s="1368">
        <v>10.75</v>
      </c>
      <c r="H3101" s="1178" t="s">
        <v>20221</v>
      </c>
      <c r="I3101" s="1178" t="s">
        <v>9626</v>
      </c>
      <c r="J3101" s="1178" t="s">
        <v>662</v>
      </c>
      <c r="K3101" s="1178" t="s">
        <v>307</v>
      </c>
      <c r="L3101" s="1178"/>
      <c r="M3101" s="1369"/>
      <c r="N3101" s="1178"/>
      <c r="O3101" s="1178">
        <v>12</v>
      </c>
      <c r="P3101" s="1178">
        <v>13</v>
      </c>
    </row>
    <row r="3102" spans="1:16">
      <c r="A3102" s="1178" t="s">
        <v>315</v>
      </c>
      <c r="B3102" s="1371" t="str">
        <f>HYPERLINK(IFERROR("#Main_Tariff!A"&amp;MATCH(Raeburn_Main_Tariff[[#This Row],[Product Code]],Main_Tariff!I:I,0),"#Main_Tariff!A"&amp;MATCH("*"&amp;RIGHT(A3102,8)&amp;"*",Main_Tariff!A:A,0)),Raeburn_Main_Tariff[[#This Row],[PRODUCER]])</f>
        <v>M&amp;S Ogier d'Ampuis</v>
      </c>
      <c r="C3102" s="1178" t="s">
        <v>21536</v>
      </c>
      <c r="D3102" s="1178" t="s">
        <v>897</v>
      </c>
      <c r="E3102" s="1179">
        <v>2015</v>
      </c>
      <c r="F3102" s="1282" t="s">
        <v>20280</v>
      </c>
      <c r="G3102" s="1368">
        <v>17.75</v>
      </c>
      <c r="H3102" s="1178" t="s">
        <v>20221</v>
      </c>
      <c r="I3102" s="1178" t="s">
        <v>9628</v>
      </c>
      <c r="J3102" s="1178" t="s">
        <v>662</v>
      </c>
      <c r="K3102" s="1178" t="s">
        <v>307</v>
      </c>
      <c r="L3102" s="1178"/>
      <c r="M3102" s="1369"/>
      <c r="N3102" s="1178"/>
      <c r="O3102" s="1178">
        <v>12</v>
      </c>
      <c r="P3102" s="1178">
        <v>13.5</v>
      </c>
    </row>
    <row r="3103" spans="1:16">
      <c r="A3103" s="1178" t="s">
        <v>315</v>
      </c>
      <c r="B3103" s="1371" t="str">
        <f>HYPERLINK(IFERROR("#Main_Tariff!A"&amp;MATCH(Raeburn_Main_Tariff[[#This Row],[Product Code]],Main_Tariff!I:I,0),"#Main_Tariff!A"&amp;MATCH("*"&amp;RIGHT(A3103,8)&amp;"*",Main_Tariff!A:A,0)),Raeburn_Main_Tariff[[#This Row],[PRODUCER]])</f>
        <v>M&amp;S Ogier d'Ampuis</v>
      </c>
      <c r="C3103" s="1178" t="s">
        <v>21536</v>
      </c>
      <c r="D3103" s="1178" t="s">
        <v>897</v>
      </c>
      <c r="E3103" s="1179">
        <v>2013</v>
      </c>
      <c r="F3103" s="1282" t="s">
        <v>20280</v>
      </c>
      <c r="G3103" s="1368">
        <v>17.75</v>
      </c>
      <c r="H3103" s="1178" t="s">
        <v>20277</v>
      </c>
      <c r="I3103" s="1178" t="s">
        <v>9630</v>
      </c>
      <c r="J3103" s="1178" t="s">
        <v>662</v>
      </c>
      <c r="K3103" s="1178" t="s">
        <v>307</v>
      </c>
      <c r="L3103" s="1178"/>
      <c r="M3103" s="1369"/>
      <c r="N3103" s="1178"/>
      <c r="O3103" s="1178">
        <v>12</v>
      </c>
      <c r="P3103" s="1178">
        <v>12.5</v>
      </c>
    </row>
    <row r="3104" spans="1:16">
      <c r="A3104" s="1178" t="s">
        <v>315</v>
      </c>
      <c r="B3104" s="1371" t="str">
        <f>HYPERLINK(IFERROR("#Main_Tariff!A"&amp;MATCH(Raeburn_Main_Tariff[[#This Row],[Product Code]],Main_Tariff!I:I,0),"#Main_Tariff!A"&amp;MATCH("*"&amp;RIGHT(A3104,8)&amp;"*",Main_Tariff!A:A,0)),Raeburn_Main_Tariff[[#This Row],[PRODUCER]])</f>
        <v>M&amp;S Ogier d'Ampuis</v>
      </c>
      <c r="C3104" s="1178" t="s">
        <v>21537</v>
      </c>
      <c r="D3104" s="1178" t="s">
        <v>897</v>
      </c>
      <c r="E3104" s="1179">
        <v>2015</v>
      </c>
      <c r="F3104" s="1282" t="s">
        <v>20280</v>
      </c>
      <c r="G3104" s="1368">
        <v>29.75</v>
      </c>
      <c r="H3104" s="1178" t="s">
        <v>20221</v>
      </c>
      <c r="I3104" s="1178" t="s">
        <v>9632</v>
      </c>
      <c r="J3104" s="1178" t="s">
        <v>662</v>
      </c>
      <c r="K3104" s="1178" t="s">
        <v>307</v>
      </c>
      <c r="L3104" s="1178"/>
      <c r="M3104" s="1369"/>
      <c r="N3104" s="1178"/>
      <c r="O3104" s="1178">
        <v>12</v>
      </c>
      <c r="P3104" s="1178">
        <v>13.5</v>
      </c>
    </row>
    <row r="3105" spans="1:16">
      <c r="A3105" s="1178" t="s">
        <v>315</v>
      </c>
      <c r="B3105" s="1371" t="str">
        <f>HYPERLINK(IFERROR("#Main_Tariff!A"&amp;MATCH(Raeburn_Main_Tariff[[#This Row],[Product Code]],Main_Tariff!I:I,0),"#Main_Tariff!A"&amp;MATCH("*"&amp;RIGHT(A3105,8)&amp;"*",Main_Tariff!A:A,0)),Raeburn_Main_Tariff[[#This Row],[PRODUCER]])</f>
        <v>M&amp;S Ogier d'Ampuis</v>
      </c>
      <c r="C3105" s="1178" t="s">
        <v>21538</v>
      </c>
      <c r="D3105" s="1178" t="s">
        <v>897</v>
      </c>
      <c r="E3105" s="1179">
        <v>2016</v>
      </c>
      <c r="F3105" s="1282" t="s">
        <v>20220</v>
      </c>
      <c r="G3105" s="1368">
        <v>20</v>
      </c>
      <c r="H3105" s="1178" t="s">
        <v>20221</v>
      </c>
      <c r="I3105" s="1178" t="s">
        <v>9636</v>
      </c>
      <c r="J3105" s="1178" t="s">
        <v>662</v>
      </c>
      <c r="K3105" s="1178" t="s">
        <v>307</v>
      </c>
      <c r="L3105" s="1178"/>
      <c r="M3105" s="1369"/>
      <c r="N3105" s="1178"/>
      <c r="O3105" s="1178">
        <v>6</v>
      </c>
      <c r="P3105" s="1178">
        <v>13</v>
      </c>
    </row>
    <row r="3106" spans="1:16">
      <c r="A3106" s="1178" t="s">
        <v>315</v>
      </c>
      <c r="B3106" s="1371" t="str">
        <f>HYPERLINK(IFERROR("#Main_Tariff!A"&amp;MATCH(Raeburn_Main_Tariff[[#This Row],[Product Code]],Main_Tariff!I:I,0),"#Main_Tariff!A"&amp;MATCH("*"&amp;RIGHT(A3106,8)&amp;"*",Main_Tariff!A:A,0)),Raeburn_Main_Tariff[[#This Row],[PRODUCER]])</f>
        <v>M&amp;S Ogier d'Ampuis</v>
      </c>
      <c r="C3106" s="1178" t="s">
        <v>21539</v>
      </c>
      <c r="D3106" s="1178" t="s">
        <v>897</v>
      </c>
      <c r="E3106" s="1179">
        <v>2020</v>
      </c>
      <c r="F3106" s="1282" t="s">
        <v>20220</v>
      </c>
      <c r="G3106" s="1368">
        <v>41</v>
      </c>
      <c r="H3106" s="1178" t="s">
        <v>20221</v>
      </c>
      <c r="I3106" s="1178" t="s">
        <v>9638</v>
      </c>
      <c r="J3106" s="1178" t="s">
        <v>662</v>
      </c>
      <c r="K3106" s="1178" t="s">
        <v>307</v>
      </c>
      <c r="L3106" s="1178"/>
      <c r="M3106" s="1369"/>
      <c r="N3106" s="1178"/>
      <c r="O3106" s="1178">
        <v>6</v>
      </c>
      <c r="P3106" s="1178">
        <v>14.5</v>
      </c>
    </row>
    <row r="3107" spans="1:16">
      <c r="A3107" s="1178" t="s">
        <v>315</v>
      </c>
      <c r="B3107" s="1371" t="str">
        <f>HYPERLINK(IFERROR("#Main_Tariff!A"&amp;MATCH(Raeburn_Main_Tariff[[#This Row],[Product Code]],Main_Tariff!I:I,0),"#Main_Tariff!A"&amp;MATCH("*"&amp;RIGHT(A3107,8)&amp;"*",Main_Tariff!A:A,0)),Raeburn_Main_Tariff[[#This Row],[PRODUCER]])</f>
        <v>M&amp;S Ogier d'Ampuis</v>
      </c>
      <c r="C3107" s="1178" t="s">
        <v>21539</v>
      </c>
      <c r="D3107" s="1178" t="s">
        <v>897</v>
      </c>
      <c r="E3107" s="1179">
        <v>2018</v>
      </c>
      <c r="F3107" s="1282" t="s">
        <v>20220</v>
      </c>
      <c r="G3107" s="1368">
        <v>39.5</v>
      </c>
      <c r="H3107" s="1178" t="s">
        <v>20221</v>
      </c>
      <c r="I3107" s="1178" t="s">
        <v>9640</v>
      </c>
      <c r="J3107" s="1178" t="s">
        <v>662</v>
      </c>
      <c r="K3107" s="1178" t="s">
        <v>307</v>
      </c>
      <c r="L3107" s="1178"/>
      <c r="M3107" s="1369"/>
      <c r="N3107" s="1178"/>
      <c r="O3107" s="1178">
        <v>6</v>
      </c>
      <c r="P3107" s="1178">
        <v>14</v>
      </c>
    </row>
    <row r="3108" spans="1:16">
      <c r="A3108" s="1178" t="s">
        <v>315</v>
      </c>
      <c r="B3108" s="1371" t="str">
        <f>HYPERLINK(IFERROR("#Main_Tariff!A"&amp;MATCH(Raeburn_Main_Tariff[[#This Row],[Product Code]],Main_Tariff!I:I,0),"#Main_Tariff!A"&amp;MATCH("*"&amp;RIGHT(A3108,8)&amp;"*",Main_Tariff!A:A,0)),Raeburn_Main_Tariff[[#This Row],[PRODUCER]])</f>
        <v>M&amp;S Ogier d'Ampuis</v>
      </c>
      <c r="C3108" s="1178" t="s">
        <v>21539</v>
      </c>
      <c r="D3108" s="1178" t="s">
        <v>897</v>
      </c>
      <c r="E3108" s="1179">
        <v>2016</v>
      </c>
      <c r="F3108" s="1282" t="s">
        <v>20220</v>
      </c>
      <c r="G3108" s="1368">
        <v>39.5</v>
      </c>
      <c r="H3108" s="1178" t="s">
        <v>20221</v>
      </c>
      <c r="I3108" s="1178" t="s">
        <v>9642</v>
      </c>
      <c r="J3108" s="1178" t="s">
        <v>662</v>
      </c>
      <c r="K3108" s="1178" t="s">
        <v>307</v>
      </c>
      <c r="L3108" s="1178"/>
      <c r="M3108" s="1369"/>
      <c r="N3108" s="1178"/>
      <c r="O3108" s="1178">
        <v>6</v>
      </c>
      <c r="P3108" s="1178">
        <v>13</v>
      </c>
    </row>
    <row r="3109" spans="1:16">
      <c r="A3109" s="1178" t="s">
        <v>315</v>
      </c>
      <c r="B3109" s="1371" t="str">
        <f>HYPERLINK(IFERROR("#Main_Tariff!A"&amp;MATCH(Raeburn_Main_Tariff[[#This Row],[Product Code]],Main_Tariff!I:I,0),"#Main_Tariff!A"&amp;MATCH("*"&amp;RIGHT(A3109,8)&amp;"*",Main_Tariff!A:A,0)),Raeburn_Main_Tariff[[#This Row],[PRODUCER]])</f>
        <v>M&amp;S Ogier d'Ampuis</v>
      </c>
      <c r="C3109" s="1178" t="s">
        <v>21539</v>
      </c>
      <c r="D3109" s="1178" t="s">
        <v>897</v>
      </c>
      <c r="E3109" s="1179">
        <v>2014</v>
      </c>
      <c r="F3109" s="1282" t="s">
        <v>20220</v>
      </c>
      <c r="G3109" s="1368">
        <v>37.5</v>
      </c>
      <c r="H3109" s="1178" t="s">
        <v>20221</v>
      </c>
      <c r="I3109" s="1178" t="s">
        <v>9644</v>
      </c>
      <c r="J3109" s="1178" t="s">
        <v>662</v>
      </c>
      <c r="K3109" s="1178" t="s">
        <v>307</v>
      </c>
      <c r="L3109" s="1178"/>
      <c r="M3109" s="1369"/>
      <c r="N3109" s="1178"/>
      <c r="O3109" s="1178">
        <v>6</v>
      </c>
      <c r="P3109" s="1178">
        <v>12.5</v>
      </c>
    </row>
    <row r="3110" spans="1:16">
      <c r="A3110" s="1178" t="s">
        <v>315</v>
      </c>
      <c r="B3110" s="1371" t="str">
        <f>HYPERLINK(IFERROR("#Main_Tariff!A"&amp;MATCH(Raeburn_Main_Tariff[[#This Row],[Product Code]],Main_Tariff!I:I,0),"#Main_Tariff!A"&amp;MATCH("*"&amp;RIGHT(A3110,8)&amp;"*",Main_Tariff!A:A,0)),Raeburn_Main_Tariff[[#This Row],[PRODUCER]])</f>
        <v>M&amp;S Ogier d'Ampuis</v>
      </c>
      <c r="C3110" s="1178" t="s">
        <v>21540</v>
      </c>
      <c r="D3110" s="1178" t="s">
        <v>897</v>
      </c>
      <c r="E3110" s="1179">
        <v>2010</v>
      </c>
      <c r="F3110" s="1282" t="s">
        <v>20220</v>
      </c>
      <c r="G3110" s="1368">
        <v>31</v>
      </c>
      <c r="H3110" s="1178" t="s">
        <v>20224</v>
      </c>
      <c r="I3110" s="1178" t="s">
        <v>9647</v>
      </c>
      <c r="J3110" s="1178" t="s">
        <v>662</v>
      </c>
      <c r="K3110" s="1178" t="s">
        <v>307</v>
      </c>
      <c r="L3110" s="1178"/>
      <c r="M3110" s="1369"/>
      <c r="N3110" s="1178"/>
      <c r="O3110" s="1178">
        <v>12</v>
      </c>
      <c r="P3110" s="1178">
        <v>13</v>
      </c>
    </row>
    <row r="3111" spans="1:16">
      <c r="A3111" s="1178" t="s">
        <v>315</v>
      </c>
      <c r="B3111" s="1371" t="str">
        <f>HYPERLINK(IFERROR("#Main_Tariff!A"&amp;MATCH(Raeburn_Main_Tariff[[#This Row],[Product Code]],Main_Tariff!I:I,0),"#Main_Tariff!A"&amp;MATCH("*"&amp;RIGHT(A3111,8)&amp;"*",Main_Tariff!A:A,0)),Raeburn_Main_Tariff[[#This Row],[PRODUCER]])</f>
        <v>M&amp;S Ogier d'Ampuis</v>
      </c>
      <c r="C3111" s="1178" t="s">
        <v>21541</v>
      </c>
      <c r="D3111" s="1178" t="s">
        <v>897</v>
      </c>
      <c r="E3111" s="1179">
        <v>2021</v>
      </c>
      <c r="F3111" s="1282" t="s">
        <v>20220</v>
      </c>
      <c r="G3111" s="1368">
        <v>51.75</v>
      </c>
      <c r="H3111" s="1178" t="s">
        <v>20221</v>
      </c>
      <c r="I3111" s="1178" t="s">
        <v>9649</v>
      </c>
      <c r="J3111" s="1178" t="s">
        <v>662</v>
      </c>
      <c r="K3111" s="1178" t="s">
        <v>307</v>
      </c>
      <c r="L3111" s="1178"/>
      <c r="M3111" s="1369"/>
      <c r="N3111" s="1178"/>
      <c r="O3111" s="1178">
        <v>6</v>
      </c>
      <c r="P3111" s="1178">
        <v>12.5</v>
      </c>
    </row>
    <row r="3112" spans="1:16">
      <c r="A3112" s="1178" t="s">
        <v>315</v>
      </c>
      <c r="B3112" s="1371" t="str">
        <f>HYPERLINK(IFERROR("#Main_Tariff!A"&amp;MATCH(Raeburn_Main_Tariff[[#This Row],[Product Code]],Main_Tariff!I:I,0),"#Main_Tariff!A"&amp;MATCH("*"&amp;RIGHT(A3112,8)&amp;"*",Main_Tariff!A:A,0)),Raeburn_Main_Tariff[[#This Row],[PRODUCER]])</f>
        <v>M&amp;S Ogier d'Ampuis</v>
      </c>
      <c r="C3112" s="1178" t="s">
        <v>21541</v>
      </c>
      <c r="D3112" s="1178" t="s">
        <v>897</v>
      </c>
      <c r="E3112" s="1179">
        <v>2020</v>
      </c>
      <c r="F3112" s="1282" t="s">
        <v>20220</v>
      </c>
      <c r="G3112" s="1368">
        <v>46</v>
      </c>
      <c r="H3112" s="1178" t="s">
        <v>20221</v>
      </c>
      <c r="I3112" s="1178" t="s">
        <v>9650</v>
      </c>
      <c r="J3112" s="1178" t="s">
        <v>662</v>
      </c>
      <c r="K3112" s="1178" t="s">
        <v>307</v>
      </c>
      <c r="L3112" s="1178"/>
      <c r="M3112" s="1369"/>
      <c r="N3112" s="1178"/>
      <c r="O3112" s="1178">
        <v>6</v>
      </c>
      <c r="P3112" s="1178">
        <v>14.5</v>
      </c>
    </row>
    <row r="3113" spans="1:16">
      <c r="A3113" s="1178" t="s">
        <v>315</v>
      </c>
      <c r="B3113" s="1371" t="str">
        <f>HYPERLINK(IFERROR("#Main_Tariff!A"&amp;MATCH(Raeburn_Main_Tariff[[#This Row],[Product Code]],Main_Tariff!I:I,0),"#Main_Tariff!A"&amp;MATCH("*"&amp;RIGHT(A3113,8)&amp;"*",Main_Tariff!A:A,0)),Raeburn_Main_Tariff[[#This Row],[PRODUCER]])</f>
        <v>M&amp;S Ogier d'Ampuis</v>
      </c>
      <c r="C3113" s="1178" t="s">
        <v>21541</v>
      </c>
      <c r="D3113" s="1178" t="s">
        <v>897</v>
      </c>
      <c r="E3113" s="1179">
        <v>2019</v>
      </c>
      <c r="F3113" s="1282" t="s">
        <v>20220</v>
      </c>
      <c r="G3113" s="1368">
        <v>44</v>
      </c>
      <c r="H3113" s="1178" t="s">
        <v>20277</v>
      </c>
      <c r="I3113" s="1178" t="s">
        <v>9652</v>
      </c>
      <c r="J3113" s="1178" t="s">
        <v>662</v>
      </c>
      <c r="K3113" s="1178" t="s">
        <v>307</v>
      </c>
      <c r="L3113" s="1178"/>
      <c r="M3113" s="1369"/>
      <c r="N3113" s="1178"/>
      <c r="O3113" s="1178">
        <v>6</v>
      </c>
      <c r="P3113" s="1178">
        <v>14.5</v>
      </c>
    </row>
    <row r="3114" spans="1:16">
      <c r="A3114" s="1178" t="s">
        <v>315</v>
      </c>
      <c r="B3114" s="1371" t="str">
        <f>HYPERLINK(IFERROR("#Main_Tariff!A"&amp;MATCH(Raeburn_Main_Tariff[[#This Row],[Product Code]],Main_Tariff!I:I,0),"#Main_Tariff!A"&amp;MATCH("*"&amp;RIGHT(A3114,8)&amp;"*",Main_Tariff!A:A,0)),Raeburn_Main_Tariff[[#This Row],[PRODUCER]])</f>
        <v>M&amp;S Ogier d'Ampuis</v>
      </c>
      <c r="C3114" s="1178" t="s">
        <v>21542</v>
      </c>
      <c r="D3114" s="1178" t="s">
        <v>897</v>
      </c>
      <c r="E3114" s="1179">
        <v>2015</v>
      </c>
      <c r="F3114" s="1282" t="s">
        <v>20220</v>
      </c>
      <c r="G3114" s="1368">
        <v>61.5</v>
      </c>
      <c r="H3114" s="1178" t="s">
        <v>20221</v>
      </c>
      <c r="I3114" s="1178" t="s">
        <v>9654</v>
      </c>
      <c r="J3114" s="1178" t="s">
        <v>662</v>
      </c>
      <c r="K3114" s="1178" t="s">
        <v>307</v>
      </c>
      <c r="L3114" s="1178"/>
      <c r="M3114" s="1369"/>
      <c r="N3114" s="1178"/>
      <c r="O3114" s="1178">
        <v>6</v>
      </c>
      <c r="P3114" s="1178">
        <v>13.5</v>
      </c>
    </row>
    <row r="3115" spans="1:16">
      <c r="A3115" s="1178" t="s">
        <v>315</v>
      </c>
      <c r="B3115" s="1371" t="str">
        <f>HYPERLINK(IFERROR("#Main_Tariff!A"&amp;MATCH(Raeburn_Main_Tariff[[#This Row],[Product Code]],Main_Tariff!I:I,0),"#Main_Tariff!A"&amp;MATCH("*"&amp;RIGHT(A3115,8)&amp;"*",Main_Tariff!A:A,0)),Raeburn_Main_Tariff[[#This Row],[PRODUCER]])</f>
        <v>M&amp;S Ogier d'Ampuis</v>
      </c>
      <c r="C3115" s="1178" t="s">
        <v>21543</v>
      </c>
      <c r="D3115" s="1178" t="s">
        <v>897</v>
      </c>
      <c r="E3115" s="1179">
        <v>2010</v>
      </c>
      <c r="F3115" s="1282" t="s">
        <v>20220</v>
      </c>
      <c r="G3115" s="1368" t="s">
        <v>5258</v>
      </c>
      <c r="H3115" s="1178" t="s">
        <v>20221</v>
      </c>
      <c r="I3115" s="1178" t="s">
        <v>9656</v>
      </c>
      <c r="J3115" s="1178" t="s">
        <v>662</v>
      </c>
      <c r="K3115" s="1178" t="s">
        <v>307</v>
      </c>
      <c r="L3115" s="1178"/>
      <c r="M3115" s="1369"/>
      <c r="N3115" s="1178"/>
      <c r="O3115" s="1178">
        <v>3</v>
      </c>
      <c r="P3115" s="1178">
        <v>13</v>
      </c>
    </row>
    <row r="3116" spans="1:16">
      <c r="A3116" s="1178" t="s">
        <v>315</v>
      </c>
      <c r="B3116" s="1371" t="str">
        <f>HYPERLINK(IFERROR("#Main_Tariff!A"&amp;MATCH(Raeburn_Main_Tariff[[#This Row],[Product Code]],Main_Tariff!I:I,0),"#Main_Tariff!A"&amp;MATCH("*"&amp;RIGHT(A3116,8)&amp;"*",Main_Tariff!A:A,0)),Raeburn_Main_Tariff[[#This Row],[PRODUCER]])</f>
        <v>M&amp;S Ogier d'Ampuis</v>
      </c>
      <c r="C3116" s="1178" t="s">
        <v>9660</v>
      </c>
      <c r="D3116" s="1178" t="s">
        <v>897</v>
      </c>
      <c r="E3116" s="1179">
        <v>2016</v>
      </c>
      <c r="F3116" s="1282" t="s">
        <v>20220</v>
      </c>
      <c r="G3116" s="1368" t="s">
        <v>5258</v>
      </c>
      <c r="H3116" s="1178" t="s">
        <v>20224</v>
      </c>
      <c r="I3116" s="1178" t="s">
        <v>23274</v>
      </c>
      <c r="J3116" s="1178" t="s">
        <v>662</v>
      </c>
      <c r="K3116" s="1178" t="s">
        <v>307</v>
      </c>
      <c r="L3116" s="1178"/>
      <c r="M3116" s="1369"/>
      <c r="N3116" s="1178"/>
      <c r="O3116" s="1178">
        <v>6</v>
      </c>
      <c r="P3116" s="1178">
        <v>13</v>
      </c>
    </row>
    <row r="3117" spans="1:16">
      <c r="A3117" s="1178" t="s">
        <v>315</v>
      </c>
      <c r="B3117" s="1371" t="str">
        <f>HYPERLINK(IFERROR("#Main_Tariff!A"&amp;MATCH(Raeburn_Main_Tariff[[#This Row],[Product Code]],Main_Tariff!I:I,0),"#Main_Tariff!A"&amp;MATCH("*"&amp;RIGHT(A3117,8)&amp;"*",Main_Tariff!A:A,0)),Raeburn_Main_Tariff[[#This Row],[PRODUCER]])</f>
        <v>M&amp;S Ogier d'Ampuis</v>
      </c>
      <c r="C3117" s="1178" t="s">
        <v>9660</v>
      </c>
      <c r="D3117" s="1178" t="s">
        <v>897</v>
      </c>
      <c r="E3117" s="1179">
        <v>2015</v>
      </c>
      <c r="F3117" s="1282" t="s">
        <v>20220</v>
      </c>
      <c r="G3117" s="1368" t="s">
        <v>5258</v>
      </c>
      <c r="H3117" s="1178" t="s">
        <v>20224</v>
      </c>
      <c r="I3117" s="1178" t="s">
        <v>23275</v>
      </c>
      <c r="J3117" s="1178" t="s">
        <v>662</v>
      </c>
      <c r="K3117" s="1178" t="s">
        <v>307</v>
      </c>
      <c r="L3117" s="1178"/>
      <c r="M3117" s="1369"/>
      <c r="N3117" s="1178"/>
      <c r="O3117" s="1178">
        <v>1</v>
      </c>
      <c r="P3117" s="1178">
        <v>13.5</v>
      </c>
    </row>
    <row r="3118" spans="1:16">
      <c r="A3118" s="1178" t="s">
        <v>315</v>
      </c>
      <c r="B3118" s="1371" t="str">
        <f>HYPERLINK(IFERROR("#Main_Tariff!A"&amp;MATCH(Raeburn_Main_Tariff[[#This Row],[Product Code]],Main_Tariff!I:I,0),"#Main_Tariff!A"&amp;MATCH("*"&amp;RIGHT(A3118,8)&amp;"*",Main_Tariff!A:A,0)),Raeburn_Main_Tariff[[#This Row],[PRODUCER]])</f>
        <v>M&amp;S Ogier d'Ampuis</v>
      </c>
      <c r="C3118" s="1178" t="s">
        <v>9662</v>
      </c>
      <c r="D3118" s="1178" t="s">
        <v>897</v>
      </c>
      <c r="E3118" s="1179">
        <v>2016</v>
      </c>
      <c r="F3118" s="1282" t="s">
        <v>20220</v>
      </c>
      <c r="G3118" s="1368" t="s">
        <v>5258</v>
      </c>
      <c r="H3118" s="1178" t="s">
        <v>20224</v>
      </c>
      <c r="I3118" s="1178" t="s">
        <v>23276</v>
      </c>
      <c r="J3118" s="1178" t="s">
        <v>662</v>
      </c>
      <c r="K3118" s="1178" t="s">
        <v>307</v>
      </c>
      <c r="L3118" s="1178"/>
      <c r="M3118" s="1369"/>
      <c r="N3118" s="1178"/>
      <c r="O3118" s="1178">
        <v>6</v>
      </c>
      <c r="P3118" s="1178">
        <v>15</v>
      </c>
    </row>
    <row r="3119" spans="1:16">
      <c r="A3119" s="1178" t="s">
        <v>315</v>
      </c>
      <c r="B3119" s="1371" t="str">
        <f>HYPERLINK(IFERROR("#Main_Tariff!A"&amp;MATCH(Raeburn_Main_Tariff[[#This Row],[Product Code]],Main_Tariff!I:I,0),"#Main_Tariff!A"&amp;MATCH("*"&amp;RIGHT(A3119,8)&amp;"*",Main_Tariff!A:A,0)),Raeburn_Main_Tariff[[#This Row],[PRODUCER]])</f>
        <v>M&amp;S Ogier d'Ampuis</v>
      </c>
      <c r="C3119" s="1178" t="s">
        <v>9662</v>
      </c>
      <c r="D3119" s="1178" t="s">
        <v>897</v>
      </c>
      <c r="E3119" s="1179">
        <v>2015</v>
      </c>
      <c r="F3119" s="1282" t="s">
        <v>20220</v>
      </c>
      <c r="G3119" s="1368" t="s">
        <v>5258</v>
      </c>
      <c r="H3119" s="1178" t="s">
        <v>20224</v>
      </c>
      <c r="I3119" s="1178" t="s">
        <v>23277</v>
      </c>
      <c r="J3119" s="1178" t="s">
        <v>662</v>
      </c>
      <c r="K3119" s="1178" t="s">
        <v>307</v>
      </c>
      <c r="L3119" s="1178"/>
      <c r="M3119" s="1369"/>
      <c r="N3119" s="1178"/>
      <c r="O3119" s="1178">
        <v>1</v>
      </c>
      <c r="P3119" s="1178">
        <v>13.5</v>
      </c>
    </row>
    <row r="3120" spans="1:16">
      <c r="A3120" s="1178" t="s">
        <v>315</v>
      </c>
      <c r="B3120" s="1371" t="str">
        <f>HYPERLINK(IFERROR("#Main_Tariff!A"&amp;MATCH(Raeburn_Main_Tariff[[#This Row],[Product Code]],Main_Tariff!I:I,0),"#Main_Tariff!A"&amp;MATCH("*"&amp;RIGHT(A3120,8)&amp;"*",Main_Tariff!A:A,0)),Raeburn_Main_Tariff[[#This Row],[PRODUCER]])</f>
        <v>M&amp;S Ogier d'Ampuis</v>
      </c>
      <c r="C3120" s="1178" t="s">
        <v>21544</v>
      </c>
      <c r="D3120" s="1178" t="s">
        <v>897</v>
      </c>
      <c r="E3120" s="1179">
        <v>2019</v>
      </c>
      <c r="F3120" s="1282" t="s">
        <v>20220</v>
      </c>
      <c r="G3120" s="1368" t="s">
        <v>5258</v>
      </c>
      <c r="H3120" s="1178" t="s">
        <v>20221</v>
      </c>
      <c r="I3120" s="1178" t="s">
        <v>23278</v>
      </c>
      <c r="J3120" s="1178" t="s">
        <v>662</v>
      </c>
      <c r="K3120" s="1178" t="s">
        <v>307</v>
      </c>
      <c r="L3120" s="1178"/>
      <c r="M3120" s="1369"/>
      <c r="N3120" s="1178"/>
      <c r="O3120" s="1178">
        <v>3</v>
      </c>
      <c r="P3120" s="1178">
        <v>15</v>
      </c>
    </row>
    <row r="3121" spans="1:16">
      <c r="A3121" s="1178" t="s">
        <v>315</v>
      </c>
      <c r="B3121" s="1371" t="str">
        <f>HYPERLINK(IFERROR("#Main_Tariff!A"&amp;MATCH(Raeburn_Main_Tariff[[#This Row],[Product Code]],Main_Tariff!I:I,0),"#Main_Tariff!A"&amp;MATCH("*"&amp;RIGHT(A3121,8)&amp;"*",Main_Tariff!A:A,0)),Raeburn_Main_Tariff[[#This Row],[PRODUCER]])</f>
        <v>M&amp;S Ogier d'Ampuis</v>
      </c>
      <c r="C3121" s="1178" t="s">
        <v>21544</v>
      </c>
      <c r="D3121" s="1178" t="s">
        <v>897</v>
      </c>
      <c r="E3121" s="1179">
        <v>2018</v>
      </c>
      <c r="F3121" s="1282" t="s">
        <v>20220</v>
      </c>
      <c r="G3121" s="1368" t="s">
        <v>5258</v>
      </c>
      <c r="H3121" s="1178" t="s">
        <v>20224</v>
      </c>
      <c r="I3121" s="1178" t="s">
        <v>23249</v>
      </c>
      <c r="J3121" s="1178" t="s">
        <v>662</v>
      </c>
      <c r="K3121" s="1178" t="s">
        <v>307</v>
      </c>
      <c r="L3121" s="1178"/>
      <c r="M3121" s="1369"/>
      <c r="N3121" s="1178"/>
      <c r="O3121" s="1178">
        <v>3</v>
      </c>
      <c r="P3121" s="1178">
        <v>15</v>
      </c>
    </row>
    <row r="3122" spans="1:16">
      <c r="A3122" s="1178" t="s">
        <v>315</v>
      </c>
      <c r="B3122" s="1371" t="str">
        <f>HYPERLINK(IFERROR("#Main_Tariff!A"&amp;MATCH(Raeburn_Main_Tariff[[#This Row],[Product Code]],Main_Tariff!I:I,0),"#Main_Tariff!A"&amp;MATCH("*"&amp;RIGHT(A3122,8)&amp;"*",Main_Tariff!A:A,0)),Raeburn_Main_Tariff[[#This Row],[PRODUCER]])</f>
        <v>M&amp;S Ogier d'Ampuis</v>
      </c>
      <c r="C3122" s="1178" t="s">
        <v>21544</v>
      </c>
      <c r="D3122" s="1178" t="s">
        <v>897</v>
      </c>
      <c r="E3122" s="1179">
        <v>2016</v>
      </c>
      <c r="F3122" s="1282" t="s">
        <v>20220</v>
      </c>
      <c r="G3122" s="1368" t="s">
        <v>5258</v>
      </c>
      <c r="H3122" s="1178" t="s">
        <v>20224</v>
      </c>
      <c r="I3122" s="1178" t="s">
        <v>23279</v>
      </c>
      <c r="J3122" s="1178" t="s">
        <v>662</v>
      </c>
      <c r="K3122" s="1178" t="s">
        <v>307</v>
      </c>
      <c r="L3122" s="1178"/>
      <c r="M3122" s="1369"/>
      <c r="N3122" s="1178"/>
      <c r="O3122" s="1178">
        <v>6</v>
      </c>
      <c r="P3122" s="1178">
        <v>15</v>
      </c>
    </row>
    <row r="3123" spans="1:16">
      <c r="A3123" s="1178" t="s">
        <v>315</v>
      </c>
      <c r="B3123" s="1371" t="str">
        <f>HYPERLINK(IFERROR("#Main_Tariff!A"&amp;MATCH(Raeburn_Main_Tariff[[#This Row],[Product Code]],Main_Tariff!I:I,0),"#Main_Tariff!A"&amp;MATCH("*"&amp;RIGHT(A3123,8)&amp;"*",Main_Tariff!A:A,0)),Raeburn_Main_Tariff[[#This Row],[PRODUCER]])</f>
        <v>M&amp;S Ogier d'Ampuis</v>
      </c>
      <c r="C3123" s="1178" t="s">
        <v>21545</v>
      </c>
      <c r="D3123" s="1178" t="s">
        <v>897</v>
      </c>
      <c r="E3123" s="1179">
        <v>2019</v>
      </c>
      <c r="F3123" s="1282" t="s">
        <v>20220</v>
      </c>
      <c r="G3123" s="1368" t="s">
        <v>5258</v>
      </c>
      <c r="H3123" s="1178" t="s">
        <v>20224</v>
      </c>
      <c r="I3123" s="1178" t="s">
        <v>9681</v>
      </c>
      <c r="J3123" s="1178" t="s">
        <v>662</v>
      </c>
      <c r="K3123" s="1178" t="s">
        <v>307</v>
      </c>
      <c r="L3123" s="1178"/>
      <c r="M3123" s="1369"/>
      <c r="N3123" s="1178"/>
      <c r="O3123" s="1178">
        <v>9</v>
      </c>
      <c r="P3123" s="1178">
        <v>15</v>
      </c>
    </row>
    <row r="3124" spans="1:16">
      <c r="A3124" s="1178" t="s">
        <v>315</v>
      </c>
      <c r="B3124" s="1371" t="str">
        <f>HYPERLINK(IFERROR("#Main_Tariff!A"&amp;MATCH(Raeburn_Main_Tariff[[#This Row],[Product Code]],Main_Tariff!I:I,0),"#Main_Tariff!A"&amp;MATCH("*"&amp;RIGHT(A3124,8)&amp;"*",Main_Tariff!A:A,0)),Raeburn_Main_Tariff[[#This Row],[PRODUCER]])</f>
        <v>M&amp;S Ogier d'Ampuis</v>
      </c>
      <c r="C3124" s="1178" t="s">
        <v>21545</v>
      </c>
      <c r="D3124" s="1178" t="s">
        <v>897</v>
      </c>
      <c r="E3124" s="1179">
        <v>2018</v>
      </c>
      <c r="F3124" s="1282" t="s">
        <v>20220</v>
      </c>
      <c r="G3124" s="1368" t="s">
        <v>5258</v>
      </c>
      <c r="H3124" s="1178" t="s">
        <v>20224</v>
      </c>
      <c r="I3124" s="1178" t="s">
        <v>9685</v>
      </c>
      <c r="J3124" s="1178" t="s">
        <v>662</v>
      </c>
      <c r="K3124" s="1178" t="s">
        <v>307</v>
      </c>
      <c r="L3124" s="1178"/>
      <c r="M3124" s="1369"/>
      <c r="N3124" s="1178"/>
      <c r="O3124" s="1178">
        <v>9</v>
      </c>
      <c r="P3124" s="1178">
        <v>13</v>
      </c>
    </row>
    <row r="3125" spans="1:16">
      <c r="A3125" s="1178" t="s">
        <v>315</v>
      </c>
      <c r="B3125" s="1371" t="str">
        <f>HYPERLINK(IFERROR("#Main_Tariff!A"&amp;MATCH(Raeburn_Main_Tariff[[#This Row],[Product Code]],Main_Tariff!I:I,0),"#Main_Tariff!A"&amp;MATCH("*"&amp;RIGHT(A3125,8)&amp;"*",Main_Tariff!A:A,0)),Raeburn_Main_Tariff[[#This Row],[PRODUCER]])</f>
        <v>M&amp;S Ogier d'Ampuis</v>
      </c>
      <c r="C3125" s="1178" t="s">
        <v>21546</v>
      </c>
      <c r="D3125" s="1178" t="s">
        <v>897</v>
      </c>
      <c r="E3125" s="1179">
        <v>2016</v>
      </c>
      <c r="F3125" s="1282" t="s">
        <v>20220</v>
      </c>
      <c r="G3125" s="1368" t="s">
        <v>5258</v>
      </c>
      <c r="H3125" s="1178" t="s">
        <v>20224</v>
      </c>
      <c r="I3125" s="1178" t="s">
        <v>9687</v>
      </c>
      <c r="J3125" s="1178" t="s">
        <v>662</v>
      </c>
      <c r="K3125" s="1178" t="s">
        <v>307</v>
      </c>
      <c r="L3125" s="1178"/>
      <c r="M3125" s="1369"/>
      <c r="N3125" s="1178"/>
      <c r="O3125" s="1178">
        <v>6</v>
      </c>
      <c r="P3125" s="1178">
        <v>15</v>
      </c>
    </row>
    <row r="3126" spans="1:16">
      <c r="A3126" s="1178" t="s">
        <v>315</v>
      </c>
      <c r="B3126" s="1371" t="str">
        <f>HYPERLINK(IFERROR("#Main_Tariff!A"&amp;MATCH(Raeburn_Main_Tariff[[#This Row],[Product Code]],Main_Tariff!I:I,0),"#Main_Tariff!A"&amp;MATCH("*"&amp;RIGHT(A3126,8)&amp;"*",Main_Tariff!A:A,0)),Raeburn_Main_Tariff[[#This Row],[PRODUCER]])</f>
        <v>M&amp;S Ogier d'Ampuis</v>
      </c>
      <c r="C3126" s="1178" t="s">
        <v>21547</v>
      </c>
      <c r="D3126" s="1178" t="s">
        <v>897</v>
      </c>
      <c r="E3126" s="1179">
        <v>2015</v>
      </c>
      <c r="F3126" s="1282" t="s">
        <v>20220</v>
      </c>
      <c r="G3126" s="1368" t="s">
        <v>5258</v>
      </c>
      <c r="H3126" s="1178" t="s">
        <v>20224</v>
      </c>
      <c r="I3126" s="1178" t="s">
        <v>9689</v>
      </c>
      <c r="J3126" s="1178" t="s">
        <v>662</v>
      </c>
      <c r="K3126" s="1178" t="s">
        <v>307</v>
      </c>
      <c r="L3126" s="1178"/>
      <c r="M3126" s="1369"/>
      <c r="N3126" s="1178"/>
      <c r="O3126" s="1178">
        <v>7</v>
      </c>
      <c r="P3126" s="1178">
        <v>13</v>
      </c>
    </row>
    <row r="3127" spans="1:16">
      <c r="A3127" s="1178" t="s">
        <v>315</v>
      </c>
      <c r="B3127" s="1371" t="str">
        <f>HYPERLINK(IFERROR("#Main_Tariff!A"&amp;MATCH(Raeburn_Main_Tariff[[#This Row],[Product Code]],Main_Tariff!I:I,0),"#Main_Tariff!A"&amp;MATCH("*"&amp;RIGHT(A3127,8)&amp;"*",Main_Tariff!A:A,0)),Raeburn_Main_Tariff[[#This Row],[PRODUCER]])</f>
        <v>M&amp;S Ogier d'Ampuis</v>
      </c>
      <c r="C3127" s="1178" t="s">
        <v>21546</v>
      </c>
      <c r="D3127" s="1178" t="s">
        <v>897</v>
      </c>
      <c r="E3127" s="1179">
        <v>2013</v>
      </c>
      <c r="F3127" s="1282" t="s">
        <v>20220</v>
      </c>
      <c r="G3127" s="1368" t="s">
        <v>5258</v>
      </c>
      <c r="H3127" s="1178" t="s">
        <v>20224</v>
      </c>
      <c r="I3127" s="1178" t="s">
        <v>9691</v>
      </c>
      <c r="J3127" s="1178" t="s">
        <v>662</v>
      </c>
      <c r="K3127" s="1178" t="s">
        <v>307</v>
      </c>
      <c r="L3127" s="1178"/>
      <c r="M3127" s="1369"/>
      <c r="N3127" s="1178"/>
      <c r="O3127" s="1178">
        <v>6</v>
      </c>
      <c r="P3127" s="1178">
        <v>13</v>
      </c>
    </row>
    <row r="3128" spans="1:16">
      <c r="A3128" s="1178" t="s">
        <v>315</v>
      </c>
      <c r="B3128" s="1371" t="str">
        <f>HYPERLINK(IFERROR("#Main_Tariff!A"&amp;MATCH(Raeburn_Main_Tariff[[#This Row],[Product Code]],Main_Tariff!I:I,0),"#Main_Tariff!A"&amp;MATCH("*"&amp;RIGHT(A3128,8)&amp;"*",Main_Tariff!A:A,0)),Raeburn_Main_Tariff[[#This Row],[PRODUCER]])</f>
        <v>M&amp;S Ogier d'Ampuis</v>
      </c>
      <c r="C3128" s="1178" t="s">
        <v>21548</v>
      </c>
      <c r="D3128" s="1178" t="s">
        <v>897</v>
      </c>
      <c r="E3128" s="1179">
        <v>2014</v>
      </c>
      <c r="F3128" s="1282" t="s">
        <v>20240</v>
      </c>
      <c r="G3128" s="1368">
        <v>41</v>
      </c>
      <c r="H3128" s="1178" t="s">
        <v>20224</v>
      </c>
      <c r="I3128" s="1178" t="s">
        <v>9666</v>
      </c>
      <c r="J3128" s="1178" t="s">
        <v>662</v>
      </c>
      <c r="K3128" s="1178" t="s">
        <v>307</v>
      </c>
      <c r="L3128" s="1178"/>
      <c r="M3128" s="1369"/>
      <c r="N3128" s="1178"/>
      <c r="O3128" s="1178">
        <v>3</v>
      </c>
      <c r="P3128" s="1178">
        <v>12.5</v>
      </c>
    </row>
    <row r="3129" spans="1:16">
      <c r="A3129" s="1178" t="s">
        <v>315</v>
      </c>
      <c r="B3129" s="1371" t="str">
        <f>HYPERLINK(IFERROR("#Main_Tariff!A"&amp;MATCH(Raeburn_Main_Tariff[[#This Row],[Product Code]],Main_Tariff!I:I,0),"#Main_Tariff!A"&amp;MATCH("*"&amp;RIGHT(A3129,8)&amp;"*",Main_Tariff!A:A,0)),Raeburn_Main_Tariff[[#This Row],[PRODUCER]])</f>
        <v>M&amp;S Ogier d'Ampuis</v>
      </c>
      <c r="C3129" s="1178" t="s">
        <v>21549</v>
      </c>
      <c r="D3129" s="1178" t="s">
        <v>897</v>
      </c>
      <c r="E3129" s="1179">
        <v>2014</v>
      </c>
      <c r="F3129" s="1282" t="s">
        <v>20240</v>
      </c>
      <c r="G3129" s="1368">
        <v>75</v>
      </c>
      <c r="H3129" s="1178" t="s">
        <v>20224</v>
      </c>
      <c r="I3129" s="1178" t="s">
        <v>9668</v>
      </c>
      <c r="J3129" s="1178" t="s">
        <v>662</v>
      </c>
      <c r="K3129" s="1178" t="s">
        <v>307</v>
      </c>
      <c r="L3129" s="1178"/>
      <c r="M3129" s="1369"/>
      <c r="N3129" s="1178"/>
      <c r="O3129" s="1178">
        <v>3</v>
      </c>
      <c r="P3129" s="1178">
        <v>12.5</v>
      </c>
    </row>
    <row r="3130" spans="1:16">
      <c r="A3130" s="1178" t="s">
        <v>315</v>
      </c>
      <c r="B3130" s="1371" t="str">
        <f>HYPERLINK(IFERROR("#Main_Tariff!A"&amp;MATCH(Raeburn_Main_Tariff[[#This Row],[Product Code]],Main_Tariff!I:I,0),"#Main_Tariff!A"&amp;MATCH("*"&amp;RIGHT(A3130,8)&amp;"*",Main_Tariff!A:A,0)),Raeburn_Main_Tariff[[#This Row],[PRODUCER]])</f>
        <v>M&amp;S Ogier d'Ampuis</v>
      </c>
      <c r="C3130" s="1178" t="s">
        <v>21549</v>
      </c>
      <c r="D3130" s="1178" t="s">
        <v>897</v>
      </c>
      <c r="E3130" s="1179">
        <v>2011</v>
      </c>
      <c r="F3130" s="1282" t="s">
        <v>20240</v>
      </c>
      <c r="G3130" s="1368">
        <v>75</v>
      </c>
      <c r="H3130" s="1178" t="s">
        <v>20224</v>
      </c>
      <c r="I3130" s="1178" t="s">
        <v>9670</v>
      </c>
      <c r="J3130" s="1178" t="s">
        <v>662</v>
      </c>
      <c r="K3130" s="1178" t="s">
        <v>307</v>
      </c>
      <c r="L3130" s="1178"/>
      <c r="M3130" s="1369"/>
      <c r="N3130" s="1178"/>
      <c r="O3130" s="1178">
        <v>3</v>
      </c>
      <c r="P3130" s="1178">
        <v>12.5</v>
      </c>
    </row>
    <row r="3131" spans="1:16">
      <c r="A3131" s="1178" t="s">
        <v>315</v>
      </c>
      <c r="B3131" s="1371" t="str">
        <f>HYPERLINK(IFERROR("#Main_Tariff!A"&amp;MATCH(Raeburn_Main_Tariff[[#This Row],[Product Code]],Main_Tariff!I:I,0),"#Main_Tariff!A"&amp;MATCH("*"&amp;RIGHT(A3131,8)&amp;"*",Main_Tariff!A:A,0)),Raeburn_Main_Tariff[[#This Row],[PRODUCER]])</f>
        <v>M&amp;S Ogier d'Ampuis</v>
      </c>
      <c r="C3131" s="1178" t="s">
        <v>21550</v>
      </c>
      <c r="D3131" s="1178" t="s">
        <v>897</v>
      </c>
      <c r="E3131" s="1179">
        <v>2014</v>
      </c>
      <c r="F3131" s="1282" t="s">
        <v>20240</v>
      </c>
      <c r="G3131" s="1368">
        <v>79</v>
      </c>
      <c r="H3131" s="1178" t="s">
        <v>20221</v>
      </c>
      <c r="I3131" s="1178" t="s">
        <v>9672</v>
      </c>
      <c r="J3131" s="1178" t="s">
        <v>662</v>
      </c>
      <c r="K3131" s="1178" t="s">
        <v>307</v>
      </c>
      <c r="L3131" s="1178"/>
      <c r="M3131" s="1369"/>
      <c r="N3131" s="1178"/>
      <c r="O3131" s="1178">
        <v>3</v>
      </c>
      <c r="P3131" s="1178">
        <v>12.5</v>
      </c>
    </row>
    <row r="3132" spans="1:16">
      <c r="A3132" s="1178" t="s">
        <v>315</v>
      </c>
      <c r="B3132" s="1371" t="str">
        <f>HYPERLINK(IFERROR("#Main_Tariff!A"&amp;MATCH(Raeburn_Main_Tariff[[#This Row],[Product Code]],Main_Tariff!I:I,0),"#Main_Tariff!A"&amp;MATCH("*"&amp;RIGHT(A3132,8)&amp;"*",Main_Tariff!A:A,0)),Raeburn_Main_Tariff[[#This Row],[PRODUCER]])</f>
        <v>M&amp;S Ogier d'Ampuis</v>
      </c>
      <c r="C3132" s="1178" t="s">
        <v>21551</v>
      </c>
      <c r="D3132" s="1178" t="s">
        <v>897</v>
      </c>
      <c r="E3132" s="1179">
        <v>2015</v>
      </c>
      <c r="F3132" s="1282" t="s">
        <v>20240</v>
      </c>
      <c r="G3132" s="1368">
        <v>124</v>
      </c>
      <c r="H3132" s="1178" t="s">
        <v>20224</v>
      </c>
      <c r="I3132" s="1178" t="s">
        <v>9674</v>
      </c>
      <c r="J3132" s="1178" t="s">
        <v>662</v>
      </c>
      <c r="K3132" s="1178" t="s">
        <v>307</v>
      </c>
      <c r="L3132" s="1178"/>
      <c r="M3132" s="1369"/>
      <c r="N3132" s="1178"/>
      <c r="O3132" s="1178">
        <v>1</v>
      </c>
      <c r="P3132" s="1178">
        <v>13.5</v>
      </c>
    </row>
    <row r="3133" spans="1:16">
      <c r="A3133" s="1178" t="s">
        <v>315</v>
      </c>
      <c r="B3133" s="1371" t="str">
        <f>HYPERLINK(IFERROR("#Main_Tariff!A"&amp;MATCH(Raeburn_Main_Tariff[[#This Row],[Product Code]],Main_Tariff!I:I,0),"#Main_Tariff!A"&amp;MATCH("*"&amp;RIGHT(A3133,8)&amp;"*",Main_Tariff!A:A,0)),Raeburn_Main_Tariff[[#This Row],[PRODUCER]])</f>
        <v>M&amp;S Ogier d'Ampuis</v>
      </c>
      <c r="C3133" s="1178" t="s">
        <v>21551</v>
      </c>
      <c r="D3133" s="1178" t="s">
        <v>897</v>
      </c>
      <c r="E3133" s="1179">
        <v>2013</v>
      </c>
      <c r="F3133" s="1282" t="s">
        <v>20240</v>
      </c>
      <c r="G3133" s="1368">
        <v>120</v>
      </c>
      <c r="H3133" s="1178" t="s">
        <v>20224</v>
      </c>
      <c r="I3133" s="1178" t="s">
        <v>9676</v>
      </c>
      <c r="J3133" s="1178" t="s">
        <v>662</v>
      </c>
      <c r="K3133" s="1178" t="s">
        <v>307</v>
      </c>
      <c r="L3133" s="1178"/>
      <c r="M3133" s="1369"/>
      <c r="N3133" s="1178"/>
      <c r="O3133" s="1178">
        <v>3</v>
      </c>
      <c r="P3133" s="1178">
        <v>12.5</v>
      </c>
    </row>
    <row r="3134" spans="1:16">
      <c r="A3134" s="1178" t="s">
        <v>315</v>
      </c>
      <c r="B3134" s="1371" t="str">
        <f>HYPERLINK(IFERROR("#Main_Tariff!A"&amp;MATCH(Raeburn_Main_Tariff[[#This Row],[Product Code]],Main_Tariff!I:I,0),"#Main_Tariff!A"&amp;MATCH("*"&amp;RIGHT(A3134,8)&amp;"*",Main_Tariff!A:A,0)),Raeburn_Main_Tariff[[#This Row],[PRODUCER]])</f>
        <v>M&amp;S Ogier d'Ampuis</v>
      </c>
      <c r="C3134" s="1178" t="s">
        <v>23310</v>
      </c>
      <c r="D3134" s="1178" t="s">
        <v>897</v>
      </c>
      <c r="E3134" s="1179">
        <v>2015</v>
      </c>
      <c r="F3134" s="1282" t="s">
        <v>20240</v>
      </c>
      <c r="G3134" s="1368" t="s">
        <v>5258</v>
      </c>
      <c r="H3134" s="1178" t="s">
        <v>20224</v>
      </c>
      <c r="I3134" s="1178" t="s">
        <v>23311</v>
      </c>
      <c r="J3134" s="1178" t="s">
        <v>662</v>
      </c>
      <c r="K3134" s="1178" t="s">
        <v>307</v>
      </c>
      <c r="L3134" s="1178"/>
      <c r="M3134" s="1369"/>
      <c r="N3134" s="1178"/>
      <c r="O3134" s="1178">
        <v>1</v>
      </c>
      <c r="P3134" s="1178">
        <v>13.5</v>
      </c>
    </row>
    <row r="3135" spans="1:16">
      <c r="A3135" s="1178" t="s">
        <v>315</v>
      </c>
      <c r="B3135" s="1371" t="str">
        <f>HYPERLINK(IFERROR("#Main_Tariff!A"&amp;MATCH(Raeburn_Main_Tariff[[#This Row],[Product Code]],Main_Tariff!I:I,0),"#Main_Tariff!A"&amp;MATCH("*"&amp;RIGHT(A3135,8)&amp;"*",Main_Tariff!A:A,0)),Raeburn_Main_Tariff[[#This Row],[PRODUCER]])</f>
        <v>M&amp;S Ogier d'Ampuis</v>
      </c>
      <c r="C3135" s="1178" t="s">
        <v>23312</v>
      </c>
      <c r="D3135" s="1178" t="s">
        <v>897</v>
      </c>
      <c r="E3135" s="1179">
        <v>2013</v>
      </c>
      <c r="F3135" s="1282" t="s">
        <v>20240</v>
      </c>
      <c r="G3135" s="1368" t="s">
        <v>5258</v>
      </c>
      <c r="H3135" s="1178" t="s">
        <v>20224</v>
      </c>
      <c r="I3135" s="1178" t="s">
        <v>23313</v>
      </c>
      <c r="J3135" s="1178" t="s">
        <v>662</v>
      </c>
      <c r="K3135" s="1178" t="s">
        <v>307</v>
      </c>
      <c r="L3135" s="1178"/>
      <c r="M3135" s="1369"/>
      <c r="N3135" s="1178"/>
      <c r="O3135" s="1178">
        <v>1</v>
      </c>
      <c r="P3135" s="1178">
        <v>13</v>
      </c>
    </row>
    <row r="3136" spans="1:16">
      <c r="A3136" s="1178" t="s">
        <v>315</v>
      </c>
      <c r="B3136" s="1371" t="str">
        <f>HYPERLINK(IFERROR("#Main_Tariff!A"&amp;MATCH(Raeburn_Main_Tariff[[#This Row],[Product Code]],Main_Tariff!I:I,0),"#Main_Tariff!A"&amp;MATCH("*"&amp;RIGHT(A3136,8)&amp;"*",Main_Tariff!A:A,0)),Raeburn_Main_Tariff[[#This Row],[PRODUCER]])</f>
        <v>M&amp;S Ogier d'Ampuis</v>
      </c>
      <c r="C3136" s="1178" t="s">
        <v>23314</v>
      </c>
      <c r="D3136" s="1178" t="s">
        <v>897</v>
      </c>
      <c r="E3136" s="1179">
        <v>2015</v>
      </c>
      <c r="F3136" s="1282" t="s">
        <v>20240</v>
      </c>
      <c r="G3136" s="1368" t="s">
        <v>5258</v>
      </c>
      <c r="H3136" s="1178" t="s">
        <v>20224</v>
      </c>
      <c r="I3136" s="1178" t="s">
        <v>23315</v>
      </c>
      <c r="J3136" s="1178" t="s">
        <v>662</v>
      </c>
      <c r="K3136" s="1178" t="s">
        <v>307</v>
      </c>
      <c r="L3136" s="1178"/>
      <c r="M3136" s="1369"/>
      <c r="N3136" s="1178"/>
      <c r="O3136" s="1178">
        <v>1</v>
      </c>
      <c r="P3136" s="1178">
        <v>13.5</v>
      </c>
    </row>
    <row r="3137" spans="1:16">
      <c r="A3137" s="1178" t="s">
        <v>21552</v>
      </c>
      <c r="B3137" s="1371" t="str">
        <f>HYPERLINK(IFERROR("#Main_Tariff!A"&amp;MATCH(Raeburn_Main_Tariff[[#This Row],[Product Code]],Main_Tariff!I:I,0),"#Main_Tariff!A"&amp;MATCH("*"&amp;RIGHT(A3137,8)&amp;"*",Main_Tariff!A:A,0)),Raeburn_Main_Tariff[[#This Row],[PRODUCER]])</f>
        <v>Domaine Remizieres</v>
      </c>
      <c r="C3137" s="1178" t="s">
        <v>21553</v>
      </c>
      <c r="D3137" s="1178" t="s">
        <v>1129</v>
      </c>
      <c r="E3137" s="1179">
        <v>2006</v>
      </c>
      <c r="F3137" s="1282" t="s">
        <v>20220</v>
      </c>
      <c r="G3137" s="1368">
        <v>20</v>
      </c>
      <c r="H3137" s="1178" t="s">
        <v>20221</v>
      </c>
      <c r="I3137" s="1178" t="s">
        <v>9696</v>
      </c>
      <c r="J3137" s="1178" t="s">
        <v>662</v>
      </c>
      <c r="K3137" s="1178" t="s">
        <v>307</v>
      </c>
      <c r="L3137" s="1178"/>
      <c r="M3137" s="1369"/>
      <c r="N3137" s="1178"/>
      <c r="O3137" s="1178">
        <v>12</v>
      </c>
      <c r="P3137" s="1178">
        <v>13.5</v>
      </c>
    </row>
    <row r="3138" spans="1:16">
      <c r="A3138" s="1178" t="s">
        <v>21552</v>
      </c>
      <c r="B3138" s="1371" t="str">
        <f>HYPERLINK(IFERROR("#Main_Tariff!A"&amp;MATCH(Raeburn_Main_Tariff[[#This Row],[Product Code]],Main_Tariff!I:I,0),"#Main_Tariff!A"&amp;MATCH("*"&amp;RIGHT(A3138,8)&amp;"*",Main_Tariff!A:A,0)),Raeburn_Main_Tariff[[#This Row],[PRODUCER]])</f>
        <v>Domaine Remizieres</v>
      </c>
      <c r="C3138" s="1178" t="s">
        <v>21554</v>
      </c>
      <c r="D3138" s="1178" t="s">
        <v>897</v>
      </c>
      <c r="E3138" s="1179">
        <v>2006</v>
      </c>
      <c r="F3138" s="1282" t="s">
        <v>20220</v>
      </c>
      <c r="G3138" s="1368">
        <v>20</v>
      </c>
      <c r="H3138" s="1178" t="s">
        <v>20277</v>
      </c>
      <c r="I3138" s="1178" t="s">
        <v>9699</v>
      </c>
      <c r="J3138" s="1178" t="s">
        <v>662</v>
      </c>
      <c r="K3138" s="1178" t="s">
        <v>307</v>
      </c>
      <c r="L3138" s="1178"/>
      <c r="M3138" s="1369"/>
      <c r="N3138" s="1178"/>
      <c r="O3138" s="1178">
        <v>12</v>
      </c>
      <c r="P3138" s="1178">
        <v>12.5</v>
      </c>
    </row>
    <row r="3139" spans="1:16">
      <c r="A3139" s="1178" t="s">
        <v>21552</v>
      </c>
      <c r="B3139" s="1371" t="str">
        <f>HYPERLINK(IFERROR("#Main_Tariff!A"&amp;MATCH(Raeburn_Main_Tariff[[#This Row],[Product Code]],Main_Tariff!I:I,0),"#Main_Tariff!A"&amp;MATCH("*"&amp;RIGHT(A3139,8)&amp;"*",Main_Tariff!A:A,0)),Raeburn_Main_Tariff[[#This Row],[PRODUCER]])</f>
        <v>Domaine Remizieres</v>
      </c>
      <c r="C3139" s="1178" t="s">
        <v>21555</v>
      </c>
      <c r="D3139" s="1178" t="s">
        <v>897</v>
      </c>
      <c r="E3139" s="1179">
        <v>2006</v>
      </c>
      <c r="F3139" s="1282" t="s">
        <v>20220</v>
      </c>
      <c r="G3139" s="1368">
        <v>69.5</v>
      </c>
      <c r="H3139" s="1178" t="s">
        <v>20224</v>
      </c>
      <c r="I3139" s="1178" t="s">
        <v>9701</v>
      </c>
      <c r="J3139" s="1178" t="s">
        <v>662</v>
      </c>
      <c r="K3139" s="1178" t="s">
        <v>307</v>
      </c>
      <c r="L3139" s="1178"/>
      <c r="M3139" s="1369"/>
      <c r="N3139" s="1178"/>
      <c r="O3139" s="1178">
        <v>12</v>
      </c>
      <c r="P3139" s="1178">
        <v>14.5</v>
      </c>
    </row>
    <row r="3140" spans="1:16">
      <c r="A3140" s="1178" t="s">
        <v>21552</v>
      </c>
      <c r="B3140" s="1371" t="str">
        <f>HYPERLINK(IFERROR("#Main_Tariff!A"&amp;MATCH(Raeburn_Main_Tariff[[#This Row],[Product Code]],Main_Tariff!I:I,0),"#Main_Tariff!A"&amp;MATCH("*"&amp;RIGHT(A3140,8)&amp;"*",Main_Tariff!A:A,0)),Raeburn_Main_Tariff[[#This Row],[PRODUCER]])</f>
        <v>Domaine Remizieres</v>
      </c>
      <c r="C3140" s="1178" t="s">
        <v>21555</v>
      </c>
      <c r="D3140" s="1178" t="s">
        <v>897</v>
      </c>
      <c r="E3140" s="1179">
        <v>2005</v>
      </c>
      <c r="F3140" s="1282" t="s">
        <v>20220</v>
      </c>
      <c r="G3140" s="1368">
        <v>69.5</v>
      </c>
      <c r="H3140" s="1178" t="s">
        <v>20221</v>
      </c>
      <c r="I3140" s="1178" t="s">
        <v>9702</v>
      </c>
      <c r="J3140" s="1178" t="s">
        <v>662</v>
      </c>
      <c r="K3140" s="1178" t="s">
        <v>307</v>
      </c>
      <c r="L3140" s="1178"/>
      <c r="M3140" s="1369"/>
      <c r="N3140" s="1178"/>
      <c r="O3140" s="1178">
        <v>12</v>
      </c>
      <c r="P3140" s="1178">
        <v>13.5</v>
      </c>
    </row>
    <row r="3141" spans="1:16">
      <c r="A3141" s="1178" t="s">
        <v>21552</v>
      </c>
      <c r="B3141" s="1371" t="str">
        <f>HYPERLINK(IFERROR("#Main_Tariff!A"&amp;MATCH(Raeburn_Main_Tariff[[#This Row],[Product Code]],Main_Tariff!I:I,0),"#Main_Tariff!A"&amp;MATCH("*"&amp;RIGHT(A3141,8)&amp;"*",Main_Tariff!A:A,0)),Raeburn_Main_Tariff[[#This Row],[PRODUCER]])</f>
        <v>Domaine Remizieres</v>
      </c>
      <c r="C3141" s="1178" t="s">
        <v>21556</v>
      </c>
      <c r="D3141" s="1178" t="s">
        <v>897</v>
      </c>
      <c r="E3141" s="1179">
        <v>2005</v>
      </c>
      <c r="F3141" s="1282" t="s">
        <v>20220</v>
      </c>
      <c r="G3141" s="1368">
        <v>55.5</v>
      </c>
      <c r="H3141" s="1178" t="s">
        <v>20221</v>
      </c>
      <c r="I3141" s="1178" t="s">
        <v>9703</v>
      </c>
      <c r="J3141" s="1178" t="s">
        <v>662</v>
      </c>
      <c r="K3141" s="1178" t="s">
        <v>307</v>
      </c>
      <c r="L3141" s="1178"/>
      <c r="M3141" s="1369"/>
      <c r="N3141" s="1178"/>
      <c r="O3141" s="1178">
        <v>12</v>
      </c>
      <c r="P3141" s="1178">
        <v>13.5</v>
      </c>
    </row>
    <row r="3142" spans="1:16">
      <c r="A3142" s="1178" t="s">
        <v>21552</v>
      </c>
      <c r="B3142" s="1371" t="str">
        <f>HYPERLINK(IFERROR("#Main_Tariff!A"&amp;MATCH(Raeburn_Main_Tariff[[#This Row],[Product Code]],Main_Tariff!I:I,0),"#Main_Tariff!A"&amp;MATCH("*"&amp;RIGHT(A3142,8)&amp;"*",Main_Tariff!A:A,0)),Raeburn_Main_Tariff[[#This Row],[PRODUCER]])</f>
        <v>Domaine Remizieres</v>
      </c>
      <c r="C3142" s="1178" t="s">
        <v>21556</v>
      </c>
      <c r="D3142" s="1178" t="s">
        <v>897</v>
      </c>
      <c r="E3142" s="1179">
        <v>2002</v>
      </c>
      <c r="F3142" s="1282" t="s">
        <v>20220</v>
      </c>
      <c r="G3142" s="1368">
        <v>45.5</v>
      </c>
      <c r="H3142" s="1178" t="s">
        <v>20465</v>
      </c>
      <c r="I3142" s="1178" t="s">
        <v>9704</v>
      </c>
      <c r="J3142" s="1178" t="s">
        <v>662</v>
      </c>
      <c r="K3142" s="1178" t="s">
        <v>307</v>
      </c>
      <c r="L3142" s="1178"/>
      <c r="M3142" s="1369"/>
      <c r="N3142" s="1178"/>
      <c r="O3142" s="1178"/>
      <c r="P3142" s="1178"/>
    </row>
    <row r="3143" spans="1:16">
      <c r="A3143" s="1178" t="s">
        <v>21552</v>
      </c>
      <c r="B3143" s="1371" t="str">
        <f>HYPERLINK(IFERROR("#Main_Tariff!A"&amp;MATCH(Raeburn_Main_Tariff[[#This Row],[Product Code]],Main_Tariff!I:I,0),"#Main_Tariff!A"&amp;MATCH("*"&amp;RIGHT(A3143,8)&amp;"*",Main_Tariff!A:A,0)),Raeburn_Main_Tariff[[#This Row],[PRODUCER]])</f>
        <v>Domaine Remizieres</v>
      </c>
      <c r="C3143" s="1178" t="s">
        <v>21556</v>
      </c>
      <c r="D3143" s="1178" t="s">
        <v>897</v>
      </c>
      <c r="E3143" s="1179">
        <v>2001</v>
      </c>
      <c r="F3143" s="1282" t="s">
        <v>20220</v>
      </c>
      <c r="G3143" s="1368">
        <v>55.5</v>
      </c>
      <c r="H3143" s="1178" t="s">
        <v>20221</v>
      </c>
      <c r="I3143" s="1178" t="s">
        <v>9705</v>
      </c>
      <c r="J3143" s="1178" t="s">
        <v>662</v>
      </c>
      <c r="K3143" s="1178" t="s">
        <v>307</v>
      </c>
      <c r="L3143" s="1178"/>
      <c r="M3143" s="1369"/>
      <c r="N3143" s="1178"/>
      <c r="O3143" s="1178">
        <v>12</v>
      </c>
      <c r="P3143" s="1178">
        <v>12.5</v>
      </c>
    </row>
    <row r="3144" spans="1:16">
      <c r="A3144" s="1178" t="s">
        <v>21557</v>
      </c>
      <c r="B3144" s="1371" t="str">
        <f>HYPERLINK(IFERROR("#Main_Tariff!A"&amp;MATCH(Raeburn_Main_Tariff[[#This Row],[Product Code]],Main_Tariff!I:I,0),"#Main_Tariff!A"&amp;MATCH("*"&amp;RIGHT(A3144,8)&amp;"*",Main_Tariff!A:A,0)),Raeburn_Main_Tariff[[#This Row],[PRODUCER]])</f>
        <v>Denis Barrillon</v>
      </c>
      <c r="C3144" s="1178" t="s">
        <v>21558</v>
      </c>
      <c r="D3144" s="1178" t="s">
        <v>897</v>
      </c>
      <c r="E3144" s="1179">
        <v>2010</v>
      </c>
      <c r="F3144" s="1282" t="s">
        <v>20240</v>
      </c>
      <c r="G3144" s="1368">
        <v>65</v>
      </c>
      <c r="H3144" s="1178" t="s">
        <v>20224</v>
      </c>
      <c r="I3144" s="1178" t="s">
        <v>9708</v>
      </c>
      <c r="J3144" s="1178" t="s">
        <v>662</v>
      </c>
      <c r="K3144" s="1178" t="s">
        <v>317</v>
      </c>
      <c r="L3144" s="1178"/>
      <c r="M3144" s="1369"/>
      <c r="N3144" s="1178"/>
      <c r="O3144" s="1178">
        <v>6</v>
      </c>
      <c r="P3144" s="1178">
        <v>13.5</v>
      </c>
    </row>
    <row r="3145" spans="1:16">
      <c r="A3145" s="1178" t="s">
        <v>319</v>
      </c>
      <c r="B3145" s="1371" t="str">
        <f>HYPERLINK(IFERROR("#Main_Tariff!A"&amp;MATCH(Raeburn_Main_Tariff[[#This Row],[Product Code]],Main_Tariff!I:I,0),"#Main_Tariff!A"&amp;MATCH("*"&amp;RIGHT(A3145,8)&amp;"*",Main_Tariff!A:A,0)),Raeburn_Main_Tariff[[#This Row],[PRODUCER]])</f>
        <v>Henri Bonneau</v>
      </c>
      <c r="C3145" s="1178" t="s">
        <v>21559</v>
      </c>
      <c r="D3145" s="1178" t="s">
        <v>897</v>
      </c>
      <c r="E3145" s="1179"/>
      <c r="F3145" s="1282" t="s">
        <v>20220</v>
      </c>
      <c r="G3145" s="1368" t="s">
        <v>5258</v>
      </c>
      <c r="H3145" s="1178" t="s">
        <v>20221</v>
      </c>
      <c r="I3145" s="1178" t="s">
        <v>9716</v>
      </c>
      <c r="J3145" s="1178" t="s">
        <v>662</v>
      </c>
      <c r="K3145" s="1178" t="s">
        <v>317</v>
      </c>
      <c r="L3145" s="1178"/>
      <c r="M3145" s="1369"/>
      <c r="N3145" s="1178"/>
      <c r="O3145" s="1178">
        <v>12</v>
      </c>
      <c r="P3145" s="1178">
        <v>14</v>
      </c>
    </row>
    <row r="3146" spans="1:16">
      <c r="A3146" s="1178" t="s">
        <v>319</v>
      </c>
      <c r="B3146" s="1371" t="str">
        <f>HYPERLINK(IFERROR("#Main_Tariff!A"&amp;MATCH(Raeburn_Main_Tariff[[#This Row],[Product Code]],Main_Tariff!I:I,0),"#Main_Tariff!A"&amp;MATCH("*"&amp;RIGHT(A3146,8)&amp;"*",Main_Tariff!A:A,0)),Raeburn_Main_Tariff[[#This Row],[PRODUCER]])</f>
        <v>Henri Bonneau</v>
      </c>
      <c r="C3146" s="1178" t="s">
        <v>21560</v>
      </c>
      <c r="D3146" s="1178" t="s">
        <v>897</v>
      </c>
      <c r="E3146" s="1179"/>
      <c r="F3146" s="1282" t="s">
        <v>20220</v>
      </c>
      <c r="G3146" s="1368"/>
      <c r="H3146" s="1178" t="s">
        <v>3907</v>
      </c>
      <c r="I3146" s="1178" t="s">
        <v>9718</v>
      </c>
      <c r="J3146" s="1178" t="s">
        <v>662</v>
      </c>
      <c r="K3146" s="1178" t="s">
        <v>317</v>
      </c>
      <c r="L3146" s="1178"/>
      <c r="M3146" s="1369"/>
      <c r="N3146" s="1178"/>
      <c r="O3146" s="1178">
        <v>12</v>
      </c>
      <c r="P3146" s="1178">
        <v>14.5</v>
      </c>
    </row>
    <row r="3147" spans="1:16">
      <c r="A3147" s="1178" t="s">
        <v>319</v>
      </c>
      <c r="B3147" s="1371" t="str">
        <f>HYPERLINK(IFERROR("#Main_Tariff!A"&amp;MATCH(Raeburn_Main_Tariff[[#This Row],[Product Code]],Main_Tariff!I:I,0),"#Main_Tariff!A"&amp;MATCH("*"&amp;RIGHT(A3147,8)&amp;"*",Main_Tariff!A:A,0)),Raeburn_Main_Tariff[[#This Row],[PRODUCER]])</f>
        <v>Henri Bonneau</v>
      </c>
      <c r="C3147" s="1178" t="s">
        <v>21561</v>
      </c>
      <c r="D3147" s="1178" t="s">
        <v>897</v>
      </c>
      <c r="E3147" s="1179"/>
      <c r="F3147" s="1282" t="s">
        <v>20220</v>
      </c>
      <c r="G3147" s="1368" t="s">
        <v>5258</v>
      </c>
      <c r="H3147" s="1178" t="s">
        <v>20224</v>
      </c>
      <c r="I3147" s="1178" t="s">
        <v>9720</v>
      </c>
      <c r="J3147" s="1178" t="s">
        <v>662</v>
      </c>
      <c r="K3147" s="1178" t="s">
        <v>317</v>
      </c>
      <c r="L3147" s="1178"/>
      <c r="M3147" s="1369"/>
      <c r="N3147" s="1178"/>
      <c r="O3147" s="1178">
        <v>12</v>
      </c>
      <c r="P3147" s="1178">
        <v>15</v>
      </c>
    </row>
    <row r="3148" spans="1:16">
      <c r="A3148" s="1178" t="s">
        <v>319</v>
      </c>
      <c r="B3148" s="1371" t="str">
        <f>HYPERLINK(IFERROR("#Main_Tariff!A"&amp;MATCH(Raeburn_Main_Tariff[[#This Row],[Product Code]],Main_Tariff!I:I,0),"#Main_Tariff!A"&amp;MATCH("*"&amp;RIGHT(A3148,8)&amp;"*",Main_Tariff!A:A,0)),Raeburn_Main_Tariff[[#This Row],[PRODUCER]])</f>
        <v>Henri Bonneau</v>
      </c>
      <c r="C3148" s="1178" t="s">
        <v>21562</v>
      </c>
      <c r="D3148" s="1178" t="s">
        <v>897</v>
      </c>
      <c r="E3148" s="1179"/>
      <c r="F3148" s="1282" t="s">
        <v>20220</v>
      </c>
      <c r="G3148" s="1368"/>
      <c r="H3148" s="1178" t="s">
        <v>3907</v>
      </c>
      <c r="I3148" s="1178" t="s">
        <v>9722</v>
      </c>
      <c r="J3148" s="1178" t="s">
        <v>662</v>
      </c>
      <c r="K3148" s="1178" t="s">
        <v>317</v>
      </c>
      <c r="L3148" s="1178"/>
      <c r="M3148" s="1369"/>
      <c r="N3148" s="1178"/>
      <c r="O3148" s="1178">
        <v>12</v>
      </c>
      <c r="P3148" s="1178">
        <v>15</v>
      </c>
    </row>
    <row r="3149" spans="1:16">
      <c r="A3149" s="1178" t="s">
        <v>319</v>
      </c>
      <c r="B3149" s="1371" t="str">
        <f>HYPERLINK(IFERROR("#Main_Tariff!A"&amp;MATCH(Raeburn_Main_Tariff[[#This Row],[Product Code]],Main_Tariff!I:I,0),"#Main_Tariff!A"&amp;MATCH("*"&amp;RIGHT(A3149,8)&amp;"*",Main_Tariff!A:A,0)),Raeburn_Main_Tariff[[#This Row],[PRODUCER]])</f>
        <v>Henri Bonneau</v>
      </c>
      <c r="C3149" s="1178" t="s">
        <v>21563</v>
      </c>
      <c r="D3149" s="1178" t="s">
        <v>897</v>
      </c>
      <c r="E3149" s="1179"/>
      <c r="F3149" s="1282" t="s">
        <v>20240</v>
      </c>
      <c r="G3149" s="1368" t="s">
        <v>5258</v>
      </c>
      <c r="H3149" s="1178" t="s">
        <v>20224</v>
      </c>
      <c r="I3149" s="1178" t="s">
        <v>9724</v>
      </c>
      <c r="J3149" s="1178" t="s">
        <v>662</v>
      </c>
      <c r="K3149" s="1178" t="s">
        <v>317</v>
      </c>
      <c r="L3149" s="1178"/>
      <c r="M3149" s="1369"/>
      <c r="N3149" s="1178"/>
      <c r="O3149" s="1178">
        <v>3</v>
      </c>
      <c r="P3149" s="1178">
        <v>14.5</v>
      </c>
    </row>
    <row r="3150" spans="1:16">
      <c r="A3150" s="1178" t="s">
        <v>319</v>
      </c>
      <c r="B3150" s="1371" t="str">
        <f>HYPERLINK(IFERROR("#Main_Tariff!A"&amp;MATCH(Raeburn_Main_Tariff[[#This Row],[Product Code]],Main_Tariff!I:I,0),"#Main_Tariff!A"&amp;MATCH("*"&amp;RIGHT(A3150,8)&amp;"*",Main_Tariff!A:A,0)),Raeburn_Main_Tariff[[#This Row],[PRODUCER]])</f>
        <v>Henri Bonneau</v>
      </c>
      <c r="C3150" s="1178" t="s">
        <v>21564</v>
      </c>
      <c r="D3150" s="1178" t="s">
        <v>897</v>
      </c>
      <c r="E3150" s="1179"/>
      <c r="F3150" s="1282" t="s">
        <v>20240</v>
      </c>
      <c r="G3150" s="1368" t="s">
        <v>5258</v>
      </c>
      <c r="H3150" s="1178" t="s">
        <v>20224</v>
      </c>
      <c r="I3150" s="1178" t="s">
        <v>9726</v>
      </c>
      <c r="J3150" s="1178" t="s">
        <v>662</v>
      </c>
      <c r="K3150" s="1178" t="s">
        <v>317</v>
      </c>
      <c r="L3150" s="1178"/>
      <c r="M3150" s="1369"/>
      <c r="N3150" s="1178"/>
      <c r="O3150" s="1178">
        <v>3</v>
      </c>
      <c r="P3150" s="1178">
        <v>15</v>
      </c>
    </row>
    <row r="3151" spans="1:16">
      <c r="A3151" s="1178" t="s">
        <v>21565</v>
      </c>
      <c r="B3151" s="1371" t="str">
        <f>HYPERLINK(IFERROR("#Main_Tariff!A"&amp;MATCH(Raeburn_Main_Tariff[[#This Row],[Product Code]],Main_Tariff!I:I,0),"#Main_Tariff!A"&amp;MATCH("*"&amp;RIGHT(A3151,8)&amp;"*",Main_Tariff!A:A,0)),Raeburn_Main_Tariff[[#This Row],[PRODUCER]])</f>
        <v>Domaine Charvin</v>
      </c>
      <c r="C3151" s="1178" t="s">
        <v>21566</v>
      </c>
      <c r="D3151" s="1178" t="s">
        <v>1129</v>
      </c>
      <c r="E3151" s="1179">
        <v>2023</v>
      </c>
      <c r="F3151" s="1282" t="s">
        <v>20220</v>
      </c>
      <c r="G3151" s="1368">
        <v>37</v>
      </c>
      <c r="H3151" s="1178" t="s">
        <v>20221</v>
      </c>
      <c r="I3151" s="1178" t="s">
        <v>9749</v>
      </c>
      <c r="J3151" s="1178" t="s">
        <v>662</v>
      </c>
      <c r="K3151" s="1178" t="s">
        <v>317</v>
      </c>
      <c r="L3151" s="1178"/>
      <c r="M3151" s="1369"/>
      <c r="N3151" s="1178" t="s">
        <v>20244</v>
      </c>
      <c r="O3151" s="1178">
        <v>6</v>
      </c>
      <c r="P3151" s="1178">
        <v>13</v>
      </c>
    </row>
    <row r="3152" spans="1:16">
      <c r="A3152" s="1178" t="s">
        <v>21565</v>
      </c>
      <c r="B3152" s="1371" t="str">
        <f>HYPERLINK(IFERROR("#Main_Tariff!A"&amp;MATCH(Raeburn_Main_Tariff[[#This Row],[Product Code]],Main_Tariff!I:I,0),"#Main_Tariff!A"&amp;MATCH("*"&amp;RIGHT(A3152,8)&amp;"*",Main_Tariff!A:A,0)),Raeburn_Main_Tariff[[#This Row],[PRODUCER]])</f>
        <v>Domaine Charvin</v>
      </c>
      <c r="C3152" s="1178" t="s">
        <v>21567</v>
      </c>
      <c r="D3152" s="1178" t="s">
        <v>897</v>
      </c>
      <c r="E3152" s="1179">
        <v>2023</v>
      </c>
      <c r="F3152" s="1282" t="s">
        <v>20220</v>
      </c>
      <c r="G3152" s="1368">
        <v>17</v>
      </c>
      <c r="H3152" s="1178" t="s">
        <v>20221</v>
      </c>
      <c r="I3152" s="1178" t="s">
        <v>9753</v>
      </c>
      <c r="J3152" s="1178" t="s">
        <v>662</v>
      </c>
      <c r="K3152" s="1178" t="s">
        <v>317</v>
      </c>
      <c r="L3152" s="1178"/>
      <c r="M3152" s="1369"/>
      <c r="N3152" s="1178" t="s">
        <v>20244</v>
      </c>
      <c r="O3152" s="1178">
        <v>6</v>
      </c>
      <c r="P3152" s="1178">
        <v>15</v>
      </c>
    </row>
    <row r="3153" spans="1:16">
      <c r="A3153" s="1178" t="s">
        <v>21565</v>
      </c>
      <c r="B3153" s="1371" t="str">
        <f>HYPERLINK(IFERROR("#Main_Tariff!A"&amp;MATCH(Raeburn_Main_Tariff[[#This Row],[Product Code]],Main_Tariff!I:I,0),"#Main_Tariff!A"&amp;MATCH("*"&amp;RIGHT(A3153,8)&amp;"*",Main_Tariff!A:A,0)),Raeburn_Main_Tariff[[#This Row],[PRODUCER]])</f>
        <v>Domaine Charvin</v>
      </c>
      <c r="C3153" s="1178" t="s">
        <v>21567</v>
      </c>
      <c r="D3153" s="1178" t="s">
        <v>897</v>
      </c>
      <c r="E3153" s="1179">
        <v>2021</v>
      </c>
      <c r="F3153" s="1282" t="s">
        <v>20220</v>
      </c>
      <c r="G3153" s="1368">
        <v>16.5</v>
      </c>
      <c r="H3153" s="1178" t="s">
        <v>20221</v>
      </c>
      <c r="I3153" s="1178" t="s">
        <v>9754</v>
      </c>
      <c r="J3153" s="1178" t="s">
        <v>662</v>
      </c>
      <c r="K3153" s="1178" t="s">
        <v>317</v>
      </c>
      <c r="L3153" s="1178"/>
      <c r="M3153" s="1369"/>
      <c r="N3153" s="1178" t="s">
        <v>20244</v>
      </c>
      <c r="O3153" s="1178">
        <v>6</v>
      </c>
      <c r="P3153" s="1178">
        <v>13.5</v>
      </c>
    </row>
    <row r="3154" spans="1:16">
      <c r="A3154" s="1178" t="s">
        <v>21565</v>
      </c>
      <c r="B3154" s="1371" t="str">
        <f>HYPERLINK(IFERROR("#Main_Tariff!A"&amp;MATCH(Raeburn_Main_Tariff[[#This Row],[Product Code]],Main_Tariff!I:I,0),"#Main_Tariff!A"&amp;MATCH("*"&amp;RIGHT(A3154,8)&amp;"*",Main_Tariff!A:A,0)),Raeburn_Main_Tariff[[#This Row],[PRODUCER]])</f>
        <v>Domaine Charvin</v>
      </c>
      <c r="C3154" s="1178" t="s">
        <v>21567</v>
      </c>
      <c r="D3154" s="1178" t="s">
        <v>897</v>
      </c>
      <c r="E3154" s="1179">
        <v>2020</v>
      </c>
      <c r="F3154" s="1282" t="s">
        <v>20220</v>
      </c>
      <c r="G3154" s="1368">
        <v>16</v>
      </c>
      <c r="H3154" s="1178" t="s">
        <v>20277</v>
      </c>
      <c r="I3154" s="1178" t="s">
        <v>9755</v>
      </c>
      <c r="J3154" s="1178" t="s">
        <v>662</v>
      </c>
      <c r="K3154" s="1178" t="s">
        <v>317</v>
      </c>
      <c r="L3154" s="1178"/>
      <c r="M3154" s="1369"/>
      <c r="N3154" s="1178" t="s">
        <v>20244</v>
      </c>
      <c r="O3154" s="1178">
        <v>6</v>
      </c>
      <c r="P3154" s="1178">
        <v>15</v>
      </c>
    </row>
    <row r="3155" spans="1:16">
      <c r="A3155" s="1178" t="s">
        <v>21565</v>
      </c>
      <c r="B3155" s="1371" t="str">
        <f>HYPERLINK(IFERROR("#Main_Tariff!A"&amp;MATCH(Raeburn_Main_Tariff[[#This Row],[Product Code]],Main_Tariff!I:I,0),"#Main_Tariff!A"&amp;MATCH("*"&amp;RIGHT(A3155,8)&amp;"*",Main_Tariff!A:A,0)),Raeburn_Main_Tariff[[#This Row],[PRODUCER]])</f>
        <v>Domaine Charvin</v>
      </c>
      <c r="C3155" s="1178" t="s">
        <v>21568</v>
      </c>
      <c r="D3155" s="1178" t="s">
        <v>897</v>
      </c>
      <c r="E3155" s="1179">
        <v>2018</v>
      </c>
      <c r="F3155" s="1282" t="s">
        <v>20280</v>
      </c>
      <c r="G3155" s="1368">
        <v>17.25</v>
      </c>
      <c r="H3155" s="1178" t="s">
        <v>20277</v>
      </c>
      <c r="I3155" s="1178" t="s">
        <v>9759</v>
      </c>
      <c r="J3155" s="1178" t="s">
        <v>662</v>
      </c>
      <c r="K3155" s="1178" t="s">
        <v>317</v>
      </c>
      <c r="L3155" s="1178"/>
      <c r="M3155" s="1369"/>
      <c r="N3155" s="1178" t="s">
        <v>20244</v>
      </c>
      <c r="O3155" s="1178">
        <v>12</v>
      </c>
      <c r="P3155" s="1178">
        <v>14.5</v>
      </c>
    </row>
    <row r="3156" spans="1:16">
      <c r="A3156" s="1178" t="s">
        <v>21565</v>
      </c>
      <c r="B3156" s="1371" t="str">
        <f>HYPERLINK(IFERROR("#Main_Tariff!A"&amp;MATCH(Raeburn_Main_Tariff[[#This Row],[Product Code]],Main_Tariff!I:I,0),"#Main_Tariff!A"&amp;MATCH("*"&amp;RIGHT(A3156,8)&amp;"*",Main_Tariff!A:A,0)),Raeburn_Main_Tariff[[#This Row],[PRODUCER]])</f>
        <v>Domaine Charvin</v>
      </c>
      <c r="C3156" s="1178" t="s">
        <v>21569</v>
      </c>
      <c r="D3156" s="1178" t="s">
        <v>897</v>
      </c>
      <c r="E3156" s="1179">
        <v>2021</v>
      </c>
      <c r="F3156" s="1282" t="s">
        <v>20220</v>
      </c>
      <c r="G3156" s="1368">
        <v>35.75</v>
      </c>
      <c r="H3156" s="1178" t="s">
        <v>20221</v>
      </c>
      <c r="I3156" s="1178" t="s">
        <v>9762</v>
      </c>
      <c r="J3156" s="1178" t="s">
        <v>662</v>
      </c>
      <c r="K3156" s="1178" t="s">
        <v>317</v>
      </c>
      <c r="L3156" s="1178"/>
      <c r="M3156" s="1369"/>
      <c r="N3156" s="1178" t="s">
        <v>20244</v>
      </c>
      <c r="O3156" s="1178">
        <v>6</v>
      </c>
      <c r="P3156" s="1178">
        <v>14.5</v>
      </c>
    </row>
    <row r="3157" spans="1:16">
      <c r="A3157" s="1178" t="s">
        <v>21565</v>
      </c>
      <c r="B3157" s="1371" t="str">
        <f>HYPERLINK(IFERROR("#Main_Tariff!A"&amp;MATCH(Raeburn_Main_Tariff[[#This Row],[Product Code]],Main_Tariff!I:I,0),"#Main_Tariff!A"&amp;MATCH("*"&amp;RIGHT(A3157,8)&amp;"*",Main_Tariff!A:A,0)),Raeburn_Main_Tariff[[#This Row],[PRODUCER]])</f>
        <v>Domaine Charvin</v>
      </c>
      <c r="C3157" s="1178" t="s">
        <v>21569</v>
      </c>
      <c r="D3157" s="1178" t="s">
        <v>897</v>
      </c>
      <c r="E3157" s="1179">
        <v>2020</v>
      </c>
      <c r="F3157" s="1282" t="s">
        <v>20220</v>
      </c>
      <c r="G3157" s="1368">
        <v>34.25</v>
      </c>
      <c r="H3157" s="1178" t="s">
        <v>20221</v>
      </c>
      <c r="I3157" s="1178" t="s">
        <v>9764</v>
      </c>
      <c r="J3157" s="1178" t="s">
        <v>662</v>
      </c>
      <c r="K3157" s="1178" t="s">
        <v>317</v>
      </c>
      <c r="L3157" s="1178"/>
      <c r="M3157" s="1369"/>
      <c r="N3157" s="1178" t="s">
        <v>20244</v>
      </c>
      <c r="O3157" s="1178">
        <v>6</v>
      </c>
      <c r="P3157" s="1178">
        <v>15</v>
      </c>
    </row>
    <row r="3158" spans="1:16">
      <c r="A3158" s="1178" t="s">
        <v>21565</v>
      </c>
      <c r="B3158" s="1371" t="str">
        <f>HYPERLINK(IFERROR("#Main_Tariff!A"&amp;MATCH(Raeburn_Main_Tariff[[#This Row],[Product Code]],Main_Tariff!I:I,0),"#Main_Tariff!A"&amp;MATCH("*"&amp;RIGHT(A3158,8)&amp;"*",Main_Tariff!A:A,0)),Raeburn_Main_Tariff[[#This Row],[PRODUCER]])</f>
        <v>Domaine Charvin</v>
      </c>
      <c r="C3158" s="1178" t="s">
        <v>21569</v>
      </c>
      <c r="D3158" s="1178" t="s">
        <v>897</v>
      </c>
      <c r="E3158" s="1179">
        <v>2019</v>
      </c>
      <c r="F3158" s="1282" t="s">
        <v>20220</v>
      </c>
      <c r="G3158" s="1368">
        <v>34.25</v>
      </c>
      <c r="H3158" s="1178" t="s">
        <v>20221</v>
      </c>
      <c r="I3158" s="1178" t="s">
        <v>9766</v>
      </c>
      <c r="J3158" s="1178" t="s">
        <v>662</v>
      </c>
      <c r="K3158" s="1178" t="s">
        <v>317</v>
      </c>
      <c r="L3158" s="1178"/>
      <c r="M3158" s="1369"/>
      <c r="N3158" s="1178" t="s">
        <v>20244</v>
      </c>
      <c r="O3158" s="1178">
        <v>6</v>
      </c>
      <c r="P3158" s="1178">
        <v>15.5</v>
      </c>
    </row>
    <row r="3159" spans="1:16">
      <c r="A3159" s="1178" t="s">
        <v>21565</v>
      </c>
      <c r="B3159" s="1371" t="str">
        <f>HYPERLINK(IFERROR("#Main_Tariff!A"&amp;MATCH(Raeburn_Main_Tariff[[#This Row],[Product Code]],Main_Tariff!I:I,0),"#Main_Tariff!A"&amp;MATCH("*"&amp;RIGHT(A3159,8)&amp;"*",Main_Tariff!A:A,0)),Raeburn_Main_Tariff[[#This Row],[PRODUCER]])</f>
        <v>Domaine Charvin</v>
      </c>
      <c r="C3159" s="1178" t="s">
        <v>21569</v>
      </c>
      <c r="D3159" s="1178" t="s">
        <v>897</v>
      </c>
      <c r="E3159" s="1179">
        <v>2018</v>
      </c>
      <c r="F3159" s="1282" t="s">
        <v>20220</v>
      </c>
      <c r="G3159" s="1368">
        <v>32.5</v>
      </c>
      <c r="H3159" s="1178" t="s">
        <v>20221</v>
      </c>
      <c r="I3159" s="1178" t="s">
        <v>9768</v>
      </c>
      <c r="J3159" s="1178" t="s">
        <v>662</v>
      </c>
      <c r="K3159" s="1178" t="s">
        <v>317</v>
      </c>
      <c r="L3159" s="1178"/>
      <c r="M3159" s="1369"/>
      <c r="N3159" s="1178" t="s">
        <v>20244</v>
      </c>
      <c r="O3159" s="1178">
        <v>6</v>
      </c>
      <c r="P3159" s="1178">
        <v>14.5</v>
      </c>
    </row>
    <row r="3160" spans="1:16">
      <c r="A3160" s="1178" t="s">
        <v>21565</v>
      </c>
      <c r="B3160" s="1371" t="str">
        <f>HYPERLINK(IFERROR("#Main_Tariff!A"&amp;MATCH(Raeburn_Main_Tariff[[#This Row],[Product Code]],Main_Tariff!I:I,0),"#Main_Tariff!A"&amp;MATCH("*"&amp;RIGHT(A3160,8)&amp;"*",Main_Tariff!A:A,0)),Raeburn_Main_Tariff[[#This Row],[PRODUCER]])</f>
        <v>Domaine Charvin</v>
      </c>
      <c r="C3160" s="1178" t="s">
        <v>21569</v>
      </c>
      <c r="D3160" s="1178" t="s">
        <v>897</v>
      </c>
      <c r="E3160" s="1179">
        <v>2017</v>
      </c>
      <c r="F3160" s="1282" t="s">
        <v>20220</v>
      </c>
      <c r="G3160" s="1368">
        <v>32.5</v>
      </c>
      <c r="H3160" s="1178" t="s">
        <v>20221</v>
      </c>
      <c r="I3160" s="1178" t="s">
        <v>9770</v>
      </c>
      <c r="J3160" s="1178" t="s">
        <v>662</v>
      </c>
      <c r="K3160" s="1178" t="s">
        <v>317</v>
      </c>
      <c r="L3160" s="1178"/>
      <c r="M3160" s="1369"/>
      <c r="N3160" s="1178" t="s">
        <v>20244</v>
      </c>
      <c r="O3160" s="1178">
        <v>6</v>
      </c>
      <c r="P3160" s="1178">
        <v>15</v>
      </c>
    </row>
    <row r="3161" spans="1:16">
      <c r="A3161" s="1178" t="s">
        <v>21565</v>
      </c>
      <c r="B3161" s="1371" t="str">
        <f>HYPERLINK(IFERROR("#Main_Tariff!A"&amp;MATCH(Raeburn_Main_Tariff[[#This Row],[Product Code]],Main_Tariff!I:I,0),"#Main_Tariff!A"&amp;MATCH("*"&amp;RIGHT(A3161,8)&amp;"*",Main_Tariff!A:A,0)),Raeburn_Main_Tariff[[#This Row],[PRODUCER]])</f>
        <v>Domaine Charvin</v>
      </c>
      <c r="C3161" s="1178" t="s">
        <v>21569</v>
      </c>
      <c r="D3161" s="1178" t="s">
        <v>897</v>
      </c>
      <c r="E3161" s="1179">
        <v>2015</v>
      </c>
      <c r="F3161" s="1282" t="s">
        <v>20220</v>
      </c>
      <c r="G3161" s="1368">
        <v>32.5</v>
      </c>
      <c r="H3161" s="1178" t="s">
        <v>20221</v>
      </c>
      <c r="I3161" s="1178" t="s">
        <v>9772</v>
      </c>
      <c r="J3161" s="1178" t="s">
        <v>662</v>
      </c>
      <c r="K3161" s="1178" t="s">
        <v>317</v>
      </c>
      <c r="L3161" s="1178"/>
      <c r="M3161" s="1369"/>
      <c r="N3161" s="1178" t="s">
        <v>20244</v>
      </c>
      <c r="O3161" s="1178">
        <v>12</v>
      </c>
      <c r="P3161" s="1178">
        <v>15</v>
      </c>
    </row>
    <row r="3162" spans="1:16">
      <c r="A3162" s="1178" t="s">
        <v>21565</v>
      </c>
      <c r="B3162" s="1371" t="str">
        <f>HYPERLINK(IFERROR("#Main_Tariff!A"&amp;MATCH(Raeburn_Main_Tariff[[#This Row],[Product Code]],Main_Tariff!I:I,0),"#Main_Tariff!A"&amp;MATCH("*"&amp;RIGHT(A3162,8)&amp;"*",Main_Tariff!A:A,0)),Raeburn_Main_Tariff[[#This Row],[PRODUCER]])</f>
        <v>Domaine Charvin</v>
      </c>
      <c r="C3162" s="1178" t="s">
        <v>21569</v>
      </c>
      <c r="D3162" s="1178" t="s">
        <v>897</v>
      </c>
      <c r="E3162" s="1179">
        <v>2014</v>
      </c>
      <c r="F3162" s="1282" t="s">
        <v>20220</v>
      </c>
      <c r="G3162" s="1368">
        <v>31.5</v>
      </c>
      <c r="H3162" s="1178" t="s">
        <v>20221</v>
      </c>
      <c r="I3162" s="1178" t="s">
        <v>9774</v>
      </c>
      <c r="J3162" s="1178" t="s">
        <v>662</v>
      </c>
      <c r="K3162" s="1178" t="s">
        <v>317</v>
      </c>
      <c r="L3162" s="1178"/>
      <c r="M3162" s="1369"/>
      <c r="N3162" s="1178" t="s">
        <v>20244</v>
      </c>
      <c r="O3162" s="1178">
        <v>12</v>
      </c>
      <c r="P3162" s="1178">
        <v>14.5</v>
      </c>
    </row>
    <row r="3163" spans="1:16">
      <c r="A3163" s="1178" t="s">
        <v>21565</v>
      </c>
      <c r="B3163" s="1371" t="str">
        <f>HYPERLINK(IFERROR("#Main_Tariff!A"&amp;MATCH(Raeburn_Main_Tariff[[#This Row],[Product Code]],Main_Tariff!I:I,0),"#Main_Tariff!A"&amp;MATCH("*"&amp;RIGHT(A3163,8)&amp;"*",Main_Tariff!A:A,0)),Raeburn_Main_Tariff[[#This Row],[PRODUCER]])</f>
        <v>Domaine Charvin</v>
      </c>
      <c r="C3163" s="1178" t="s">
        <v>21569</v>
      </c>
      <c r="D3163" s="1178" t="s">
        <v>897</v>
      </c>
      <c r="E3163" s="1179">
        <v>2013</v>
      </c>
      <c r="F3163" s="1282" t="s">
        <v>20220</v>
      </c>
      <c r="G3163" s="1368">
        <v>31.5</v>
      </c>
      <c r="H3163" s="1178" t="s">
        <v>20221</v>
      </c>
      <c r="I3163" s="1178" t="s">
        <v>9775</v>
      </c>
      <c r="J3163" s="1178" t="s">
        <v>662</v>
      </c>
      <c r="K3163" s="1178" t="s">
        <v>317</v>
      </c>
      <c r="L3163" s="1178"/>
      <c r="M3163" s="1369"/>
      <c r="N3163" s="1178"/>
      <c r="O3163" s="1178">
        <v>12</v>
      </c>
      <c r="P3163" s="1178">
        <v>14.5</v>
      </c>
    </row>
    <row r="3164" spans="1:16">
      <c r="A3164" s="1178" t="s">
        <v>21565</v>
      </c>
      <c r="B3164" s="1371" t="str">
        <f>HYPERLINK(IFERROR("#Main_Tariff!A"&amp;MATCH(Raeburn_Main_Tariff[[#This Row],[Product Code]],Main_Tariff!I:I,0),"#Main_Tariff!A"&amp;MATCH("*"&amp;RIGHT(A3164,8)&amp;"*",Main_Tariff!A:A,0)),Raeburn_Main_Tariff[[#This Row],[PRODUCER]])</f>
        <v>Domaine Charvin</v>
      </c>
      <c r="C3164" s="1178" t="s">
        <v>21569</v>
      </c>
      <c r="D3164" s="1178" t="s">
        <v>897</v>
      </c>
      <c r="E3164" s="1179">
        <v>2011</v>
      </c>
      <c r="F3164" s="1282" t="s">
        <v>20220</v>
      </c>
      <c r="G3164" s="1368">
        <v>33.75</v>
      </c>
      <c r="H3164" s="1178" t="s">
        <v>20277</v>
      </c>
      <c r="I3164" s="1178" t="s">
        <v>9777</v>
      </c>
      <c r="J3164" s="1178" t="s">
        <v>662</v>
      </c>
      <c r="K3164" s="1178" t="s">
        <v>317</v>
      </c>
      <c r="L3164" s="1178"/>
      <c r="M3164" s="1369"/>
      <c r="N3164" s="1178"/>
      <c r="O3164" s="1178">
        <v>12</v>
      </c>
      <c r="P3164" s="1178">
        <v>14</v>
      </c>
    </row>
    <row r="3165" spans="1:16">
      <c r="A3165" s="1178" t="s">
        <v>21565</v>
      </c>
      <c r="B3165" s="1371" t="str">
        <f>HYPERLINK(IFERROR("#Main_Tariff!A"&amp;MATCH(Raeburn_Main_Tariff[[#This Row],[Product Code]],Main_Tariff!I:I,0),"#Main_Tariff!A"&amp;MATCH("*"&amp;RIGHT(A3165,8)&amp;"*",Main_Tariff!A:A,0)),Raeburn_Main_Tariff[[#This Row],[PRODUCER]])</f>
        <v>Domaine Charvin</v>
      </c>
      <c r="C3165" s="1178" t="s">
        <v>21570</v>
      </c>
      <c r="D3165" s="1178" t="s">
        <v>897</v>
      </c>
      <c r="E3165" s="1179">
        <v>2020</v>
      </c>
      <c r="F3165" s="1282" t="s">
        <v>20240</v>
      </c>
      <c r="G3165" s="1368">
        <v>70</v>
      </c>
      <c r="H3165" s="1178" t="s">
        <v>20221</v>
      </c>
      <c r="I3165" s="1178" t="s">
        <v>9781</v>
      </c>
      <c r="J3165" s="1178" t="s">
        <v>662</v>
      </c>
      <c r="K3165" s="1178" t="s">
        <v>317</v>
      </c>
      <c r="L3165" s="1178"/>
      <c r="M3165" s="1369"/>
      <c r="N3165" s="1178" t="s">
        <v>20244</v>
      </c>
      <c r="O3165" s="1178">
        <v>3</v>
      </c>
      <c r="P3165" s="1178">
        <v>15</v>
      </c>
    </row>
    <row r="3166" spans="1:16">
      <c r="A3166" s="1178" t="s">
        <v>21565</v>
      </c>
      <c r="B3166" s="1371" t="str">
        <f>HYPERLINK(IFERROR("#Main_Tariff!A"&amp;MATCH(Raeburn_Main_Tariff[[#This Row],[Product Code]],Main_Tariff!I:I,0),"#Main_Tariff!A"&amp;MATCH("*"&amp;RIGHT(A3166,8)&amp;"*",Main_Tariff!A:A,0)),Raeburn_Main_Tariff[[#This Row],[PRODUCER]])</f>
        <v>Domaine Charvin</v>
      </c>
      <c r="C3166" s="1178" t="s">
        <v>21570</v>
      </c>
      <c r="D3166" s="1178" t="s">
        <v>897</v>
      </c>
      <c r="E3166" s="1179">
        <v>2019</v>
      </c>
      <c r="F3166" s="1282" t="s">
        <v>20240</v>
      </c>
      <c r="G3166" s="1368">
        <v>70</v>
      </c>
      <c r="H3166" s="1178" t="s">
        <v>20221</v>
      </c>
      <c r="I3166" s="1178" t="s">
        <v>9783</v>
      </c>
      <c r="J3166" s="1178" t="s">
        <v>662</v>
      </c>
      <c r="K3166" s="1178" t="s">
        <v>317</v>
      </c>
      <c r="L3166" s="1178"/>
      <c r="M3166" s="1369"/>
      <c r="N3166" s="1178" t="s">
        <v>20244</v>
      </c>
      <c r="O3166" s="1178">
        <v>3</v>
      </c>
      <c r="P3166" s="1178">
        <v>15.5</v>
      </c>
    </row>
    <row r="3167" spans="1:16">
      <c r="A3167" s="1178" t="s">
        <v>21565</v>
      </c>
      <c r="B3167" s="1371" t="str">
        <f>HYPERLINK(IFERROR("#Main_Tariff!A"&amp;MATCH(Raeburn_Main_Tariff[[#This Row],[Product Code]],Main_Tariff!I:I,0),"#Main_Tariff!A"&amp;MATCH("*"&amp;RIGHT(A3167,8)&amp;"*",Main_Tariff!A:A,0)),Raeburn_Main_Tariff[[#This Row],[PRODUCER]])</f>
        <v>Domaine Charvin</v>
      </c>
      <c r="C3167" s="1178" t="s">
        <v>21570</v>
      </c>
      <c r="D3167" s="1178" t="s">
        <v>897</v>
      </c>
      <c r="E3167" s="1179">
        <v>2018</v>
      </c>
      <c r="F3167" s="1282" t="s">
        <v>20240</v>
      </c>
      <c r="G3167" s="1368">
        <v>68</v>
      </c>
      <c r="H3167" s="1178" t="s">
        <v>20221</v>
      </c>
      <c r="I3167" s="1178" t="s">
        <v>9785</v>
      </c>
      <c r="J3167" s="1178" t="s">
        <v>662</v>
      </c>
      <c r="K3167" s="1178" t="s">
        <v>317</v>
      </c>
      <c r="L3167" s="1178"/>
      <c r="M3167" s="1369"/>
      <c r="N3167" s="1178" t="s">
        <v>20244</v>
      </c>
      <c r="O3167" s="1178">
        <v>3</v>
      </c>
      <c r="P3167" s="1178">
        <v>14.5</v>
      </c>
    </row>
    <row r="3168" spans="1:16">
      <c r="A3168" s="1178" t="s">
        <v>21565</v>
      </c>
      <c r="B3168" s="1371" t="str">
        <f>HYPERLINK(IFERROR("#Main_Tariff!A"&amp;MATCH(Raeburn_Main_Tariff[[#This Row],[Product Code]],Main_Tariff!I:I,0),"#Main_Tariff!A"&amp;MATCH("*"&amp;RIGHT(A3168,8)&amp;"*",Main_Tariff!A:A,0)),Raeburn_Main_Tariff[[#This Row],[PRODUCER]])</f>
        <v>Domaine Charvin</v>
      </c>
      <c r="C3168" s="1178" t="s">
        <v>21570</v>
      </c>
      <c r="D3168" s="1178" t="s">
        <v>897</v>
      </c>
      <c r="E3168" s="1179">
        <v>2014</v>
      </c>
      <c r="F3168" s="1282" t="s">
        <v>20240</v>
      </c>
      <c r="G3168" s="1368">
        <v>68</v>
      </c>
      <c r="H3168" s="1178" t="s">
        <v>20224</v>
      </c>
      <c r="I3168" s="1178" t="s">
        <v>9787</v>
      </c>
      <c r="J3168" s="1178" t="s">
        <v>662</v>
      </c>
      <c r="K3168" s="1178" t="s">
        <v>317</v>
      </c>
      <c r="L3168" s="1178"/>
      <c r="M3168" s="1369"/>
      <c r="N3168" s="1178" t="s">
        <v>20244</v>
      </c>
      <c r="O3168" s="1178">
        <v>6</v>
      </c>
      <c r="P3168" s="1178">
        <v>14.5</v>
      </c>
    </row>
    <row r="3169" spans="1:16">
      <c r="A3169" s="1178" t="s">
        <v>21565</v>
      </c>
      <c r="B3169" s="1371" t="str">
        <f>HYPERLINK(IFERROR("#Main_Tariff!A"&amp;MATCH(Raeburn_Main_Tariff[[#This Row],[Product Code]],Main_Tariff!I:I,0),"#Main_Tariff!A"&amp;MATCH("*"&amp;RIGHT(A3169,8)&amp;"*",Main_Tariff!A:A,0)),Raeburn_Main_Tariff[[#This Row],[PRODUCER]])</f>
        <v>Domaine Charvin</v>
      </c>
      <c r="C3169" s="1178" t="s">
        <v>21570</v>
      </c>
      <c r="D3169" s="1178" t="s">
        <v>897</v>
      </c>
      <c r="E3169" s="1179">
        <v>2013</v>
      </c>
      <c r="F3169" s="1282" t="s">
        <v>20240</v>
      </c>
      <c r="G3169" s="1368">
        <v>67</v>
      </c>
      <c r="H3169" s="1178" t="s">
        <v>20224</v>
      </c>
      <c r="I3169" s="1178" t="s">
        <v>9789</v>
      </c>
      <c r="J3169" s="1178" t="s">
        <v>662</v>
      </c>
      <c r="K3169" s="1178" t="s">
        <v>317</v>
      </c>
      <c r="L3169" s="1178"/>
      <c r="M3169" s="1369"/>
      <c r="N3169" s="1178"/>
      <c r="O3169" s="1178">
        <v>6</v>
      </c>
      <c r="P3169" s="1178">
        <v>14.5</v>
      </c>
    </row>
    <row r="3170" spans="1:16">
      <c r="A3170" s="1178" t="s">
        <v>21565</v>
      </c>
      <c r="B3170" s="1371" t="str">
        <f>HYPERLINK(IFERROR("#Main_Tariff!A"&amp;MATCH(Raeburn_Main_Tariff[[#This Row],[Product Code]],Main_Tariff!I:I,0),"#Main_Tariff!A"&amp;MATCH("*"&amp;RIGHT(A3170,8)&amp;"*",Main_Tariff!A:A,0)),Raeburn_Main_Tariff[[#This Row],[PRODUCER]])</f>
        <v>Domaine Charvin</v>
      </c>
      <c r="C3170" s="1178" t="s">
        <v>21571</v>
      </c>
      <c r="D3170" s="1178" t="s">
        <v>897</v>
      </c>
      <c r="E3170" s="1179"/>
      <c r="F3170" s="1282" t="s">
        <v>20288</v>
      </c>
      <c r="G3170" s="1368"/>
      <c r="H3170" s="1178" t="s">
        <v>3907</v>
      </c>
      <c r="I3170" s="1178" t="s">
        <v>9792</v>
      </c>
      <c r="J3170" s="1178" t="s">
        <v>662</v>
      </c>
      <c r="K3170" s="1178" t="s">
        <v>317</v>
      </c>
      <c r="L3170" s="1178"/>
      <c r="M3170" s="1369"/>
      <c r="N3170" s="1178" t="s">
        <v>20244</v>
      </c>
      <c r="O3170" s="1178">
        <v>1</v>
      </c>
      <c r="P3170" s="1178">
        <v>15</v>
      </c>
    </row>
    <row r="3171" spans="1:16">
      <c r="A3171" s="1178" t="s">
        <v>21572</v>
      </c>
      <c r="B3171" s="1371" t="str">
        <f>HYPERLINK(IFERROR("#Main_Tariff!A"&amp;MATCH(Raeburn_Main_Tariff[[#This Row],[Product Code]],Main_Tariff!I:I,0),"#Main_Tariff!A"&amp;MATCH("*"&amp;RIGHT(A3171,8)&amp;"*",Main_Tariff!A:A,0)),Raeburn_Main_Tariff[[#This Row],[PRODUCER]])</f>
        <v>Clos Des Papes</v>
      </c>
      <c r="C3171" s="1178" t="s">
        <v>21573</v>
      </c>
      <c r="D3171" s="1178" t="s">
        <v>1129</v>
      </c>
      <c r="E3171" s="1179">
        <v>2022</v>
      </c>
      <c r="F3171" s="1282" t="s">
        <v>20220</v>
      </c>
      <c r="G3171" s="1368">
        <v>61.5</v>
      </c>
      <c r="H3171" s="1178" t="s">
        <v>20221</v>
      </c>
      <c r="I3171" s="1178" t="s">
        <v>9799</v>
      </c>
      <c r="J3171" s="1178" t="s">
        <v>662</v>
      </c>
      <c r="K3171" s="1178" t="s">
        <v>317</v>
      </c>
      <c r="L3171" s="1178"/>
      <c r="M3171" s="1369"/>
      <c r="N3171" s="1178" t="s">
        <v>20244</v>
      </c>
      <c r="O3171" s="1178">
        <v>6</v>
      </c>
      <c r="P3171" s="1178">
        <v>15</v>
      </c>
    </row>
    <row r="3172" spans="1:16">
      <c r="A3172" s="1178" t="s">
        <v>21572</v>
      </c>
      <c r="B3172" s="1371" t="str">
        <f>HYPERLINK(IFERROR("#Main_Tariff!A"&amp;MATCH(Raeburn_Main_Tariff[[#This Row],[Product Code]],Main_Tariff!I:I,0),"#Main_Tariff!A"&amp;MATCH("*"&amp;RIGHT(A3172,8)&amp;"*",Main_Tariff!A:A,0)),Raeburn_Main_Tariff[[#This Row],[PRODUCER]])</f>
        <v>Clos Des Papes</v>
      </c>
      <c r="C3172" s="1178" t="s">
        <v>21573</v>
      </c>
      <c r="D3172" s="1178" t="s">
        <v>1129</v>
      </c>
      <c r="E3172" s="1179">
        <v>2021</v>
      </c>
      <c r="F3172" s="1282" t="s">
        <v>20220</v>
      </c>
      <c r="G3172" s="1368">
        <v>59.5</v>
      </c>
      <c r="H3172" s="1178" t="s">
        <v>20221</v>
      </c>
      <c r="I3172" s="1178" t="s">
        <v>9801</v>
      </c>
      <c r="J3172" s="1178" t="s">
        <v>662</v>
      </c>
      <c r="K3172" s="1178" t="s">
        <v>317</v>
      </c>
      <c r="L3172" s="1178"/>
      <c r="M3172" s="1369"/>
      <c r="N3172" s="1178" t="s">
        <v>20244</v>
      </c>
      <c r="O3172" s="1178">
        <v>6</v>
      </c>
      <c r="P3172" s="1178">
        <v>14</v>
      </c>
    </row>
    <row r="3173" spans="1:16">
      <c r="A3173" s="1178" t="s">
        <v>21572</v>
      </c>
      <c r="B3173" s="1371" t="str">
        <f>HYPERLINK(IFERROR("#Main_Tariff!A"&amp;MATCH(Raeburn_Main_Tariff[[#This Row],[Product Code]],Main_Tariff!I:I,0),"#Main_Tariff!A"&amp;MATCH("*"&amp;RIGHT(A3173,8)&amp;"*",Main_Tariff!A:A,0)),Raeburn_Main_Tariff[[#This Row],[PRODUCER]])</f>
        <v>Clos Des Papes</v>
      </c>
      <c r="C3173" s="1178" t="s">
        <v>21573</v>
      </c>
      <c r="D3173" s="1178" t="s">
        <v>1129</v>
      </c>
      <c r="E3173" s="1179">
        <v>2020</v>
      </c>
      <c r="F3173" s="1282" t="s">
        <v>20220</v>
      </c>
      <c r="G3173" s="1368">
        <v>58.5</v>
      </c>
      <c r="H3173" s="1178" t="s">
        <v>20221</v>
      </c>
      <c r="I3173" s="1178" t="s">
        <v>9802</v>
      </c>
      <c r="J3173" s="1178" t="s">
        <v>662</v>
      </c>
      <c r="K3173" s="1178" t="s">
        <v>317</v>
      </c>
      <c r="L3173" s="1178"/>
      <c r="M3173" s="1369"/>
      <c r="N3173" s="1178" t="s">
        <v>20244</v>
      </c>
      <c r="O3173" s="1178">
        <v>6</v>
      </c>
      <c r="P3173" s="1178">
        <v>14</v>
      </c>
    </row>
    <row r="3174" spans="1:16">
      <c r="A3174" s="1178" t="s">
        <v>21572</v>
      </c>
      <c r="B3174" s="1371" t="str">
        <f>HYPERLINK(IFERROR("#Main_Tariff!A"&amp;MATCH(Raeburn_Main_Tariff[[#This Row],[Product Code]],Main_Tariff!I:I,0),"#Main_Tariff!A"&amp;MATCH("*"&amp;RIGHT(A3174,8)&amp;"*",Main_Tariff!A:A,0)),Raeburn_Main_Tariff[[#This Row],[PRODUCER]])</f>
        <v>Clos Des Papes</v>
      </c>
      <c r="C3174" s="1178" t="s">
        <v>21573</v>
      </c>
      <c r="D3174" s="1178" t="s">
        <v>1129</v>
      </c>
      <c r="E3174" s="1179">
        <v>2019</v>
      </c>
      <c r="F3174" s="1282" t="s">
        <v>20220</v>
      </c>
      <c r="G3174" s="1368">
        <v>58.5</v>
      </c>
      <c r="H3174" s="1178" t="s">
        <v>20221</v>
      </c>
      <c r="I3174" s="1178" t="s">
        <v>9803</v>
      </c>
      <c r="J3174" s="1178" t="s">
        <v>662</v>
      </c>
      <c r="K3174" s="1178" t="s">
        <v>317</v>
      </c>
      <c r="L3174" s="1178"/>
      <c r="M3174" s="1369"/>
      <c r="N3174" s="1178" t="s">
        <v>20244</v>
      </c>
      <c r="O3174" s="1178">
        <v>6</v>
      </c>
      <c r="P3174" s="1178">
        <v>14</v>
      </c>
    </row>
    <row r="3175" spans="1:16">
      <c r="A3175" s="1178" t="s">
        <v>21572</v>
      </c>
      <c r="B3175" s="1371" t="str">
        <f>HYPERLINK(IFERROR("#Main_Tariff!A"&amp;MATCH(Raeburn_Main_Tariff[[#This Row],[Product Code]],Main_Tariff!I:I,0),"#Main_Tariff!A"&amp;MATCH("*"&amp;RIGHT(A3175,8)&amp;"*",Main_Tariff!A:A,0)),Raeburn_Main_Tariff[[#This Row],[PRODUCER]])</f>
        <v>Clos Des Papes</v>
      </c>
      <c r="C3175" s="1178" t="s">
        <v>21574</v>
      </c>
      <c r="D3175" s="1178" t="s">
        <v>897</v>
      </c>
      <c r="E3175" s="1179">
        <v>2022</v>
      </c>
      <c r="F3175" s="1282" t="s">
        <v>20220</v>
      </c>
      <c r="G3175" s="1368">
        <v>72.5</v>
      </c>
      <c r="H3175" s="1178" t="s">
        <v>20221</v>
      </c>
      <c r="I3175" s="1178" t="s">
        <v>9806</v>
      </c>
      <c r="J3175" s="1178" t="s">
        <v>662</v>
      </c>
      <c r="K3175" s="1178" t="s">
        <v>317</v>
      </c>
      <c r="L3175" s="1178"/>
      <c r="M3175" s="1369"/>
      <c r="N3175" s="1178" t="s">
        <v>20244</v>
      </c>
      <c r="O3175" s="1178">
        <v>6</v>
      </c>
      <c r="P3175" s="1178">
        <v>15.5</v>
      </c>
    </row>
    <row r="3176" spans="1:16">
      <c r="A3176" s="1178" t="s">
        <v>21572</v>
      </c>
      <c r="B3176" s="1371" t="str">
        <f>HYPERLINK(IFERROR("#Main_Tariff!A"&amp;MATCH(Raeburn_Main_Tariff[[#This Row],[Product Code]],Main_Tariff!I:I,0),"#Main_Tariff!A"&amp;MATCH("*"&amp;RIGHT(A3176,8)&amp;"*",Main_Tariff!A:A,0)),Raeburn_Main_Tariff[[#This Row],[PRODUCER]])</f>
        <v>Clos Des Papes</v>
      </c>
      <c r="C3176" s="1178" t="s">
        <v>21574</v>
      </c>
      <c r="D3176" s="1178" t="s">
        <v>897</v>
      </c>
      <c r="E3176" s="1179">
        <v>2021</v>
      </c>
      <c r="F3176" s="1282" t="s">
        <v>20220</v>
      </c>
      <c r="G3176" s="1368">
        <v>73</v>
      </c>
      <c r="H3176" s="1178" t="s">
        <v>20221</v>
      </c>
      <c r="I3176" s="1178" t="s">
        <v>9808</v>
      </c>
      <c r="J3176" s="1178" t="s">
        <v>662</v>
      </c>
      <c r="K3176" s="1178" t="s">
        <v>317</v>
      </c>
      <c r="L3176" s="1178"/>
      <c r="M3176" s="1369"/>
      <c r="N3176" s="1178" t="s">
        <v>20244</v>
      </c>
      <c r="O3176" s="1178">
        <v>6</v>
      </c>
      <c r="P3176" s="1178">
        <v>15</v>
      </c>
    </row>
    <row r="3177" spans="1:16">
      <c r="A3177" s="1178" t="s">
        <v>21572</v>
      </c>
      <c r="B3177" s="1371" t="str">
        <f>HYPERLINK(IFERROR("#Main_Tariff!A"&amp;MATCH(Raeburn_Main_Tariff[[#This Row],[Product Code]],Main_Tariff!I:I,0),"#Main_Tariff!A"&amp;MATCH("*"&amp;RIGHT(A3177,8)&amp;"*",Main_Tariff!A:A,0)),Raeburn_Main_Tariff[[#This Row],[PRODUCER]])</f>
        <v>Clos Des Papes</v>
      </c>
      <c r="C3177" s="1178" t="s">
        <v>21574</v>
      </c>
      <c r="D3177" s="1178" t="s">
        <v>897</v>
      </c>
      <c r="E3177" s="1179">
        <v>2020</v>
      </c>
      <c r="F3177" s="1282" t="s">
        <v>20220</v>
      </c>
      <c r="G3177" s="1368">
        <v>73</v>
      </c>
      <c r="H3177" s="1178" t="s">
        <v>20221</v>
      </c>
      <c r="I3177" s="1178" t="s">
        <v>9810</v>
      </c>
      <c r="J3177" s="1178" t="s">
        <v>662</v>
      </c>
      <c r="K3177" s="1178" t="s">
        <v>317</v>
      </c>
      <c r="L3177" s="1178"/>
      <c r="M3177" s="1369"/>
      <c r="N3177" s="1178" t="s">
        <v>20244</v>
      </c>
      <c r="O3177" s="1178">
        <v>6</v>
      </c>
      <c r="P3177" s="1178">
        <v>15</v>
      </c>
    </row>
    <row r="3178" spans="1:16">
      <c r="A3178" s="1178" t="s">
        <v>21572</v>
      </c>
      <c r="B3178" s="1371" t="str">
        <f>HYPERLINK(IFERROR("#Main_Tariff!A"&amp;MATCH(Raeburn_Main_Tariff[[#This Row],[Product Code]],Main_Tariff!I:I,0),"#Main_Tariff!A"&amp;MATCH("*"&amp;RIGHT(A3178,8)&amp;"*",Main_Tariff!A:A,0)),Raeburn_Main_Tariff[[#This Row],[PRODUCER]])</f>
        <v>Clos Des Papes</v>
      </c>
      <c r="C3178" s="1178" t="s">
        <v>21574</v>
      </c>
      <c r="D3178" s="1178" t="s">
        <v>897</v>
      </c>
      <c r="E3178" s="1179">
        <v>2019</v>
      </c>
      <c r="F3178" s="1282" t="s">
        <v>20220</v>
      </c>
      <c r="G3178" s="1368">
        <v>69.5</v>
      </c>
      <c r="H3178" s="1178" t="s">
        <v>20221</v>
      </c>
      <c r="I3178" s="1178" t="s">
        <v>9811</v>
      </c>
      <c r="J3178" s="1178" t="s">
        <v>662</v>
      </c>
      <c r="K3178" s="1178" t="s">
        <v>317</v>
      </c>
      <c r="L3178" s="1178"/>
      <c r="M3178" s="1369"/>
      <c r="N3178" s="1178" t="s">
        <v>20244</v>
      </c>
      <c r="O3178" s="1178">
        <v>6</v>
      </c>
      <c r="P3178" s="1178">
        <v>15</v>
      </c>
    </row>
    <row r="3179" spans="1:16">
      <c r="A3179" s="1178" t="s">
        <v>21572</v>
      </c>
      <c r="B3179" s="1371" t="str">
        <f>HYPERLINK(IFERROR("#Main_Tariff!A"&amp;MATCH(Raeburn_Main_Tariff[[#This Row],[Product Code]],Main_Tariff!I:I,0),"#Main_Tariff!A"&amp;MATCH("*"&amp;RIGHT(A3179,8)&amp;"*",Main_Tariff!A:A,0)),Raeburn_Main_Tariff[[#This Row],[PRODUCER]])</f>
        <v>Clos Des Papes</v>
      </c>
      <c r="C3179" s="1178" t="s">
        <v>21574</v>
      </c>
      <c r="D3179" s="1178" t="s">
        <v>897</v>
      </c>
      <c r="E3179" s="1179">
        <v>2018</v>
      </c>
      <c r="F3179" s="1282" t="s">
        <v>20220</v>
      </c>
      <c r="G3179" s="1368">
        <v>74</v>
      </c>
      <c r="H3179" s="1178" t="s">
        <v>20221</v>
      </c>
      <c r="I3179" s="1178" t="s">
        <v>9813</v>
      </c>
      <c r="J3179" s="1178" t="s">
        <v>662</v>
      </c>
      <c r="K3179" s="1178" t="s">
        <v>317</v>
      </c>
      <c r="L3179" s="1178"/>
      <c r="M3179" s="1369"/>
      <c r="N3179" s="1178" t="s">
        <v>20244</v>
      </c>
      <c r="O3179" s="1178">
        <v>6</v>
      </c>
      <c r="P3179" s="1178">
        <v>15</v>
      </c>
    </row>
    <row r="3180" spans="1:16">
      <c r="A3180" s="1178" t="s">
        <v>21572</v>
      </c>
      <c r="B3180" s="1371" t="str">
        <f>HYPERLINK(IFERROR("#Main_Tariff!A"&amp;MATCH(Raeburn_Main_Tariff[[#This Row],[Product Code]],Main_Tariff!I:I,0),"#Main_Tariff!A"&amp;MATCH("*"&amp;RIGHT(A3180,8)&amp;"*",Main_Tariff!A:A,0)),Raeburn_Main_Tariff[[#This Row],[PRODUCER]])</f>
        <v>Clos Des Papes</v>
      </c>
      <c r="C3180" s="1178" t="s">
        <v>21574</v>
      </c>
      <c r="D3180" s="1178" t="s">
        <v>897</v>
      </c>
      <c r="E3180" s="1179">
        <v>2014</v>
      </c>
      <c r="F3180" s="1282" t="s">
        <v>20220</v>
      </c>
      <c r="G3180" s="1368">
        <v>63.5</v>
      </c>
      <c r="H3180" s="1178" t="s">
        <v>20221</v>
      </c>
      <c r="I3180" s="1178" t="s">
        <v>9815</v>
      </c>
      <c r="J3180" s="1178" t="s">
        <v>662</v>
      </c>
      <c r="K3180" s="1178" t="s">
        <v>317</v>
      </c>
      <c r="L3180" s="1178"/>
      <c r="M3180" s="1369"/>
      <c r="N3180" s="1178" t="s">
        <v>20244</v>
      </c>
      <c r="O3180" s="1178">
        <v>12</v>
      </c>
      <c r="P3180" s="1178">
        <v>13</v>
      </c>
    </row>
    <row r="3181" spans="1:16">
      <c r="A3181" s="1178" t="s">
        <v>21572</v>
      </c>
      <c r="B3181" s="1371" t="str">
        <f>HYPERLINK(IFERROR("#Main_Tariff!A"&amp;MATCH(Raeburn_Main_Tariff[[#This Row],[Product Code]],Main_Tariff!I:I,0),"#Main_Tariff!A"&amp;MATCH("*"&amp;RIGHT(A3181,8)&amp;"*",Main_Tariff!A:A,0)),Raeburn_Main_Tariff[[#This Row],[PRODUCER]])</f>
        <v>Clos Des Papes</v>
      </c>
      <c r="C3181" s="1178" t="s">
        <v>21574</v>
      </c>
      <c r="D3181" s="1178" t="s">
        <v>897</v>
      </c>
      <c r="E3181" s="1179">
        <v>2013</v>
      </c>
      <c r="F3181" s="1282" t="s">
        <v>20220</v>
      </c>
      <c r="G3181" s="1368">
        <v>63</v>
      </c>
      <c r="H3181" s="1178" t="s">
        <v>20221</v>
      </c>
      <c r="I3181" s="1178" t="s">
        <v>9817</v>
      </c>
      <c r="J3181" s="1178" t="s">
        <v>662</v>
      </c>
      <c r="K3181" s="1178" t="s">
        <v>317</v>
      </c>
      <c r="L3181" s="1178"/>
      <c r="M3181" s="1369"/>
      <c r="N3181" s="1178" t="s">
        <v>20244</v>
      </c>
      <c r="O3181" s="1178">
        <v>12</v>
      </c>
      <c r="P3181" s="1178">
        <v>14</v>
      </c>
    </row>
    <row r="3182" spans="1:16">
      <c r="A3182" s="1178" t="s">
        <v>21572</v>
      </c>
      <c r="B3182" s="1371" t="str">
        <f>HYPERLINK(IFERROR("#Main_Tariff!A"&amp;MATCH(Raeburn_Main_Tariff[[#This Row],[Product Code]],Main_Tariff!I:I,0),"#Main_Tariff!A"&amp;MATCH("*"&amp;RIGHT(A3182,8)&amp;"*",Main_Tariff!A:A,0)),Raeburn_Main_Tariff[[#This Row],[PRODUCER]])</f>
        <v>Clos Des Papes</v>
      </c>
      <c r="C3182" s="1178" t="s">
        <v>21574</v>
      </c>
      <c r="D3182" s="1178" t="s">
        <v>897</v>
      </c>
      <c r="E3182" s="1179">
        <v>2010</v>
      </c>
      <c r="F3182" s="1282" t="s">
        <v>20220</v>
      </c>
      <c r="G3182" s="1368">
        <v>115</v>
      </c>
      <c r="H3182" s="1178" t="s">
        <v>20224</v>
      </c>
      <c r="I3182" s="1178" t="s">
        <v>9819</v>
      </c>
      <c r="J3182" s="1178" t="s">
        <v>662</v>
      </c>
      <c r="K3182" s="1178" t="s">
        <v>317</v>
      </c>
      <c r="L3182" s="1178"/>
      <c r="M3182" s="1369"/>
      <c r="N3182" s="1178" t="s">
        <v>20244</v>
      </c>
      <c r="O3182" s="1178">
        <v>12</v>
      </c>
      <c r="P3182" s="1178">
        <v>13.5</v>
      </c>
    </row>
    <row r="3183" spans="1:16">
      <c r="A3183" s="1178" t="s">
        <v>322</v>
      </c>
      <c r="B3183" s="1371" t="str">
        <f>HYPERLINK(IFERROR("#Main_Tariff!A"&amp;MATCH(Raeburn_Main_Tariff[[#This Row],[Product Code]],Main_Tariff!I:I,0),"#Main_Tariff!A"&amp;MATCH("*"&amp;RIGHT(A3183,8)&amp;"*",Main_Tariff!A:A,0)),Raeburn_Main_Tariff[[#This Row],[PRODUCER]])</f>
        <v>L'Argnée Gigondas</v>
      </c>
      <c r="C3183" s="1178" t="s">
        <v>21575</v>
      </c>
      <c r="D3183" s="1178" t="s">
        <v>897</v>
      </c>
      <c r="E3183" s="1179">
        <v>2021</v>
      </c>
      <c r="F3183" s="1282" t="s">
        <v>20220</v>
      </c>
      <c r="G3183" s="1368">
        <v>46.75</v>
      </c>
      <c r="H3183" s="1178" t="s">
        <v>20221</v>
      </c>
      <c r="I3183" s="1178" t="s">
        <v>9834</v>
      </c>
      <c r="J3183" s="1178" t="s">
        <v>662</v>
      </c>
      <c r="K3183" s="1178" t="s">
        <v>317</v>
      </c>
      <c r="L3183" s="1178"/>
      <c r="M3183" s="1369"/>
      <c r="N3183" s="1178"/>
      <c r="O3183" s="1178">
        <v>6</v>
      </c>
      <c r="P3183" s="1178">
        <v>14.5</v>
      </c>
    </row>
    <row r="3184" spans="1:16">
      <c r="A3184" s="1178" t="s">
        <v>322</v>
      </c>
      <c r="B3184" s="1371" t="str">
        <f>HYPERLINK(IFERROR("#Main_Tariff!A"&amp;MATCH(Raeburn_Main_Tariff[[#This Row],[Product Code]],Main_Tariff!I:I,0),"#Main_Tariff!A"&amp;MATCH("*"&amp;RIGHT(A3184,8)&amp;"*",Main_Tariff!A:A,0)),Raeburn_Main_Tariff[[#This Row],[PRODUCER]])</f>
        <v>L'Argnée Gigondas</v>
      </c>
      <c r="C3184" s="1178" t="s">
        <v>21575</v>
      </c>
      <c r="D3184" s="1178" t="s">
        <v>897</v>
      </c>
      <c r="E3184" s="1179">
        <v>2020</v>
      </c>
      <c r="F3184" s="1282" t="s">
        <v>20220</v>
      </c>
      <c r="G3184" s="1368">
        <v>46</v>
      </c>
      <c r="H3184" s="1178" t="s">
        <v>20221</v>
      </c>
      <c r="I3184" s="1178" t="s">
        <v>9836</v>
      </c>
      <c r="J3184" s="1178" t="s">
        <v>662</v>
      </c>
      <c r="K3184" s="1178" t="s">
        <v>317</v>
      </c>
      <c r="L3184" s="1178"/>
      <c r="M3184" s="1369"/>
      <c r="N3184" s="1178"/>
      <c r="O3184" s="1178">
        <v>6</v>
      </c>
      <c r="P3184" s="1178">
        <v>13.5</v>
      </c>
    </row>
    <row r="3185" spans="1:16">
      <c r="A3185" s="1178" t="s">
        <v>322</v>
      </c>
      <c r="B3185" s="1371" t="str">
        <f>HYPERLINK(IFERROR("#Main_Tariff!A"&amp;MATCH(Raeburn_Main_Tariff[[#This Row],[Product Code]],Main_Tariff!I:I,0),"#Main_Tariff!A"&amp;MATCH("*"&amp;RIGHT(A3185,8)&amp;"*",Main_Tariff!A:A,0)),Raeburn_Main_Tariff[[#This Row],[PRODUCER]])</f>
        <v>L'Argnée Gigondas</v>
      </c>
      <c r="C3185" s="1178" t="s">
        <v>21575</v>
      </c>
      <c r="D3185" s="1178" t="s">
        <v>897</v>
      </c>
      <c r="E3185" s="1179">
        <v>2019</v>
      </c>
      <c r="F3185" s="1282" t="s">
        <v>20220</v>
      </c>
      <c r="G3185" s="1368">
        <v>46</v>
      </c>
      <c r="H3185" s="1178" t="s">
        <v>20221</v>
      </c>
      <c r="I3185" s="1178" t="s">
        <v>9838</v>
      </c>
      <c r="J3185" s="1178" t="s">
        <v>662</v>
      </c>
      <c r="K3185" s="1178" t="s">
        <v>317</v>
      </c>
      <c r="L3185" s="1178"/>
      <c r="M3185" s="1369"/>
      <c r="N3185" s="1178"/>
      <c r="O3185" s="1178">
        <v>6</v>
      </c>
      <c r="P3185" s="1178">
        <v>13</v>
      </c>
    </row>
    <row r="3186" spans="1:16">
      <c r="A3186" s="1178" t="s">
        <v>322</v>
      </c>
      <c r="B3186" s="1371" t="str">
        <f>HYPERLINK(IFERROR("#Main_Tariff!A"&amp;MATCH(Raeburn_Main_Tariff[[#This Row],[Product Code]],Main_Tariff!I:I,0),"#Main_Tariff!A"&amp;MATCH("*"&amp;RIGHT(A3186,8)&amp;"*",Main_Tariff!A:A,0)),Raeburn_Main_Tariff[[#This Row],[PRODUCER]])</f>
        <v>L'Argnée Gigondas</v>
      </c>
      <c r="C3186" s="1178" t="s">
        <v>21575</v>
      </c>
      <c r="D3186" s="1178" t="s">
        <v>897</v>
      </c>
      <c r="E3186" s="1179">
        <v>2018</v>
      </c>
      <c r="F3186" s="1282" t="s">
        <v>20220</v>
      </c>
      <c r="G3186" s="1368">
        <v>46</v>
      </c>
      <c r="H3186" s="1178" t="s">
        <v>20221</v>
      </c>
      <c r="I3186" s="1178" t="s">
        <v>9840</v>
      </c>
      <c r="J3186" s="1178" t="s">
        <v>662</v>
      </c>
      <c r="K3186" s="1178" t="s">
        <v>317</v>
      </c>
      <c r="L3186" s="1178"/>
      <c r="M3186" s="1369"/>
      <c r="N3186" s="1178"/>
      <c r="O3186" s="1178">
        <v>6</v>
      </c>
      <c r="P3186" s="1178">
        <v>13</v>
      </c>
    </row>
    <row r="3187" spans="1:16">
      <c r="A3187" s="1178" t="s">
        <v>21576</v>
      </c>
      <c r="B3187" s="1371" t="str">
        <f>HYPERLINK(IFERROR("#Main_Tariff!A"&amp;MATCH(Raeburn_Main_Tariff[[#This Row],[Product Code]],Main_Tariff!I:I,0),"#Main_Tariff!A"&amp;MATCH("*"&amp;RIGHT(A3187,8)&amp;"*",Main_Tariff!A:A,0)),Raeburn_Main_Tariff[[#This Row],[PRODUCER]])</f>
        <v>Chateau de Beaucastel</v>
      </c>
      <c r="C3187" s="1178" t="s">
        <v>21577</v>
      </c>
      <c r="D3187" s="1178" t="s">
        <v>1129</v>
      </c>
      <c r="E3187" s="1179">
        <v>2022</v>
      </c>
      <c r="F3187" s="1282" t="s">
        <v>20220</v>
      </c>
      <c r="G3187" s="1368">
        <v>88.75</v>
      </c>
      <c r="H3187" s="1178" t="s">
        <v>20224</v>
      </c>
      <c r="I3187" s="1178" t="s">
        <v>9853</v>
      </c>
      <c r="J3187" s="1178" t="s">
        <v>662</v>
      </c>
      <c r="K3187" s="1178" t="s">
        <v>317</v>
      </c>
      <c r="L3187" s="1178"/>
      <c r="M3187" s="1369"/>
      <c r="N3187" s="1178"/>
      <c r="O3187" s="1178">
        <v>6</v>
      </c>
      <c r="P3187" s="1178">
        <v>13</v>
      </c>
    </row>
    <row r="3188" spans="1:16">
      <c r="A3188" s="1178" t="s">
        <v>21576</v>
      </c>
      <c r="B3188" s="1371" t="str">
        <f>HYPERLINK(IFERROR("#Main_Tariff!A"&amp;MATCH(Raeburn_Main_Tariff[[#This Row],[Product Code]],Main_Tariff!I:I,0),"#Main_Tariff!A"&amp;MATCH("*"&amp;RIGHT(A3188,8)&amp;"*",Main_Tariff!A:A,0)),Raeburn_Main_Tariff[[#This Row],[PRODUCER]])</f>
        <v>Chateau de Beaucastel</v>
      </c>
      <c r="C3188" s="1178" t="s">
        <v>21578</v>
      </c>
      <c r="D3188" s="1178" t="s">
        <v>1129</v>
      </c>
      <c r="E3188" s="1179">
        <v>2022</v>
      </c>
      <c r="F3188" s="1282" t="s">
        <v>20220</v>
      </c>
      <c r="G3188" s="1368">
        <v>146.75</v>
      </c>
      <c r="H3188" s="1178" t="s">
        <v>20221</v>
      </c>
      <c r="I3188" s="1178" t="s">
        <v>9858</v>
      </c>
      <c r="J3188" s="1178" t="s">
        <v>662</v>
      </c>
      <c r="K3188" s="1178" t="s">
        <v>317</v>
      </c>
      <c r="L3188" s="1178"/>
      <c r="M3188" s="1369"/>
      <c r="N3188" s="1178"/>
      <c r="O3188" s="1178">
        <v>3</v>
      </c>
      <c r="P3188" s="1178">
        <v>13</v>
      </c>
    </row>
    <row r="3189" spans="1:16">
      <c r="A3189" s="1178" t="s">
        <v>21576</v>
      </c>
      <c r="B3189" s="1371" t="str">
        <f>HYPERLINK(IFERROR("#Main_Tariff!A"&amp;MATCH(Raeburn_Main_Tariff[[#This Row],[Product Code]],Main_Tariff!I:I,0),"#Main_Tariff!A"&amp;MATCH("*"&amp;RIGHT(A3189,8)&amp;"*",Main_Tariff!A:A,0)),Raeburn_Main_Tariff[[#This Row],[PRODUCER]])</f>
        <v>Chateau de Beaucastel</v>
      </c>
      <c r="C3189" s="1178" t="s">
        <v>21578</v>
      </c>
      <c r="D3189" s="1178" t="s">
        <v>1129</v>
      </c>
      <c r="E3189" s="1179">
        <v>2021</v>
      </c>
      <c r="F3189" s="1282" t="s">
        <v>20220</v>
      </c>
      <c r="G3189" s="1368">
        <v>139.5</v>
      </c>
      <c r="H3189" s="1178" t="s">
        <v>20221</v>
      </c>
      <c r="I3189" s="1178" t="s">
        <v>9859</v>
      </c>
      <c r="J3189" s="1178" t="s">
        <v>662</v>
      </c>
      <c r="K3189" s="1178" t="s">
        <v>317</v>
      </c>
      <c r="L3189" s="1178"/>
      <c r="M3189" s="1369"/>
      <c r="N3189" s="1178"/>
      <c r="O3189" s="1178">
        <v>3</v>
      </c>
      <c r="P3189" s="1178">
        <v>14</v>
      </c>
    </row>
    <row r="3190" spans="1:16">
      <c r="A3190" s="1178" t="s">
        <v>21576</v>
      </c>
      <c r="B3190" s="1371" t="str">
        <f>HYPERLINK(IFERROR("#Main_Tariff!A"&amp;MATCH(Raeburn_Main_Tariff[[#This Row],[Product Code]],Main_Tariff!I:I,0),"#Main_Tariff!A"&amp;MATCH("*"&amp;RIGHT(A3190,8)&amp;"*",Main_Tariff!A:A,0)),Raeburn_Main_Tariff[[#This Row],[PRODUCER]])</f>
        <v>Chateau de Beaucastel</v>
      </c>
      <c r="C3190" s="1178" t="s">
        <v>21578</v>
      </c>
      <c r="D3190" s="1178" t="s">
        <v>1129</v>
      </c>
      <c r="E3190" s="1179">
        <v>2020</v>
      </c>
      <c r="F3190" s="1282" t="s">
        <v>20220</v>
      </c>
      <c r="G3190" s="1368">
        <v>135.5</v>
      </c>
      <c r="H3190" s="1178" t="s">
        <v>20224</v>
      </c>
      <c r="I3190" s="1178" t="s">
        <v>9860</v>
      </c>
      <c r="J3190" s="1178" t="s">
        <v>662</v>
      </c>
      <c r="K3190" s="1178" t="s">
        <v>317</v>
      </c>
      <c r="L3190" s="1178"/>
      <c r="M3190" s="1369"/>
      <c r="N3190" s="1178"/>
      <c r="O3190" s="1178">
        <v>3</v>
      </c>
      <c r="P3190" s="1178">
        <v>13.5</v>
      </c>
    </row>
    <row r="3191" spans="1:16">
      <c r="A3191" s="1178" t="s">
        <v>21576</v>
      </c>
      <c r="B3191" s="1371" t="str">
        <f>HYPERLINK(IFERROR("#Main_Tariff!A"&amp;MATCH(Raeburn_Main_Tariff[[#This Row],[Product Code]],Main_Tariff!I:I,0),"#Main_Tariff!A"&amp;MATCH("*"&amp;RIGHT(A3191,8)&amp;"*",Main_Tariff!A:A,0)),Raeburn_Main_Tariff[[#This Row],[PRODUCER]])</f>
        <v>Chateau de Beaucastel</v>
      </c>
      <c r="C3191" s="1178" t="s">
        <v>21579</v>
      </c>
      <c r="D3191" s="1178" t="s">
        <v>897</v>
      </c>
      <c r="E3191" s="1179">
        <v>2021</v>
      </c>
      <c r="F3191" s="1282" t="s">
        <v>20220</v>
      </c>
      <c r="G3191" s="1368">
        <v>22.75</v>
      </c>
      <c r="H3191" s="1178" t="s">
        <v>20221</v>
      </c>
      <c r="I3191" s="1178" t="s">
        <v>9864</v>
      </c>
      <c r="J3191" s="1178" t="s">
        <v>662</v>
      </c>
      <c r="K3191" s="1178" t="s">
        <v>317</v>
      </c>
      <c r="L3191" s="1178"/>
      <c r="M3191" s="1369"/>
      <c r="N3191" s="1178"/>
      <c r="O3191" s="1178">
        <v>12</v>
      </c>
      <c r="P3191" s="1178">
        <v>14</v>
      </c>
    </row>
    <row r="3192" spans="1:16">
      <c r="A3192" s="1178" t="s">
        <v>21576</v>
      </c>
      <c r="B3192" s="1371" t="str">
        <f>HYPERLINK(IFERROR("#Main_Tariff!A"&amp;MATCH(Raeburn_Main_Tariff[[#This Row],[Product Code]],Main_Tariff!I:I,0),"#Main_Tariff!A"&amp;MATCH("*"&amp;RIGHT(A3192,8)&amp;"*",Main_Tariff!A:A,0)),Raeburn_Main_Tariff[[#This Row],[PRODUCER]])</f>
        <v>Chateau de Beaucastel</v>
      </c>
      <c r="C3192" s="1178" t="s">
        <v>21579</v>
      </c>
      <c r="D3192" s="1178" t="s">
        <v>897</v>
      </c>
      <c r="E3192" s="1179">
        <v>2020</v>
      </c>
      <c r="F3192" s="1282" t="s">
        <v>20220</v>
      </c>
      <c r="G3192" s="1368">
        <v>21.25</v>
      </c>
      <c r="H3192" s="1178" t="s">
        <v>20221</v>
      </c>
      <c r="I3192" s="1178" t="s">
        <v>9866</v>
      </c>
      <c r="J3192" s="1178" t="s">
        <v>662</v>
      </c>
      <c r="K3192" s="1178" t="s">
        <v>317</v>
      </c>
      <c r="L3192" s="1178"/>
      <c r="M3192" s="1369"/>
      <c r="N3192" s="1178"/>
      <c r="O3192" s="1178">
        <v>12</v>
      </c>
      <c r="P3192" s="1178">
        <v>14</v>
      </c>
    </row>
    <row r="3193" spans="1:16">
      <c r="A3193" s="1178" t="s">
        <v>21576</v>
      </c>
      <c r="B3193" s="1371" t="str">
        <f>HYPERLINK(IFERROR("#Main_Tariff!A"&amp;MATCH(Raeburn_Main_Tariff[[#This Row],[Product Code]],Main_Tariff!I:I,0),"#Main_Tariff!A"&amp;MATCH("*"&amp;RIGHT(A3193,8)&amp;"*",Main_Tariff!A:A,0)),Raeburn_Main_Tariff[[#This Row],[PRODUCER]])</f>
        <v>Chateau de Beaucastel</v>
      </c>
      <c r="C3193" s="1178" t="s">
        <v>21580</v>
      </c>
      <c r="D3193" s="1178" t="s">
        <v>897</v>
      </c>
      <c r="E3193" s="1179">
        <v>2021</v>
      </c>
      <c r="F3193" s="1282" t="s">
        <v>20220</v>
      </c>
      <c r="G3193" s="1368">
        <v>65.25</v>
      </c>
      <c r="H3193" s="1178" t="s">
        <v>20221</v>
      </c>
      <c r="I3193" s="1178" t="s">
        <v>9870</v>
      </c>
      <c r="J3193" s="1178" t="s">
        <v>662</v>
      </c>
      <c r="K3193" s="1178" t="s">
        <v>317</v>
      </c>
      <c r="L3193" s="1178"/>
      <c r="M3193" s="1369"/>
      <c r="N3193" s="1178"/>
      <c r="O3193" s="1178">
        <v>6</v>
      </c>
      <c r="P3193" s="1178">
        <v>14.5</v>
      </c>
    </row>
    <row r="3194" spans="1:16">
      <c r="A3194" s="1178" t="s">
        <v>21576</v>
      </c>
      <c r="B3194" s="1371" t="str">
        <f>HYPERLINK(IFERROR("#Main_Tariff!A"&amp;MATCH(Raeburn_Main_Tariff[[#This Row],[Product Code]],Main_Tariff!I:I,0),"#Main_Tariff!A"&amp;MATCH("*"&amp;RIGHT(A3194,8)&amp;"*",Main_Tariff!A:A,0)),Raeburn_Main_Tariff[[#This Row],[PRODUCER]])</f>
        <v>Chateau de Beaucastel</v>
      </c>
      <c r="C3194" s="1178" t="s">
        <v>21580</v>
      </c>
      <c r="D3194" s="1178" t="s">
        <v>897</v>
      </c>
      <c r="E3194" s="1179">
        <v>2020</v>
      </c>
      <c r="F3194" s="1282" t="s">
        <v>20220</v>
      </c>
      <c r="G3194" s="1368">
        <v>62</v>
      </c>
      <c r="H3194" s="1178" t="s">
        <v>20221</v>
      </c>
      <c r="I3194" s="1178" t="s">
        <v>9872</v>
      </c>
      <c r="J3194" s="1178" t="s">
        <v>662</v>
      </c>
      <c r="K3194" s="1178" t="s">
        <v>317</v>
      </c>
      <c r="L3194" s="1178"/>
      <c r="M3194" s="1369"/>
      <c r="N3194" s="1178"/>
      <c r="O3194" s="1178">
        <v>6</v>
      </c>
      <c r="P3194" s="1178">
        <v>13.5</v>
      </c>
    </row>
    <row r="3195" spans="1:16">
      <c r="A3195" s="1178" t="s">
        <v>21576</v>
      </c>
      <c r="B3195" s="1371" t="str">
        <f>HYPERLINK(IFERROR("#Main_Tariff!A"&amp;MATCH(Raeburn_Main_Tariff[[#This Row],[Product Code]],Main_Tariff!I:I,0),"#Main_Tariff!A"&amp;MATCH("*"&amp;RIGHT(A3195,8)&amp;"*",Main_Tariff!A:A,0)),Raeburn_Main_Tariff[[#This Row],[PRODUCER]])</f>
        <v>Chateau de Beaucastel</v>
      </c>
      <c r="C3195" s="1178" t="s">
        <v>21580</v>
      </c>
      <c r="D3195" s="1178" t="s">
        <v>897</v>
      </c>
      <c r="E3195" s="1179">
        <v>2019</v>
      </c>
      <c r="F3195" s="1282" t="s">
        <v>20220</v>
      </c>
      <c r="G3195" s="1368">
        <v>60</v>
      </c>
      <c r="H3195" s="1178" t="s">
        <v>20221</v>
      </c>
      <c r="I3195" s="1178" t="s">
        <v>9874</v>
      </c>
      <c r="J3195" s="1178" t="s">
        <v>662</v>
      </c>
      <c r="K3195" s="1178" t="s">
        <v>317</v>
      </c>
      <c r="L3195" s="1178"/>
      <c r="M3195" s="1369"/>
      <c r="N3195" s="1178"/>
      <c r="O3195" s="1178">
        <v>6</v>
      </c>
      <c r="P3195" s="1178">
        <v>13</v>
      </c>
    </row>
    <row r="3196" spans="1:16">
      <c r="A3196" s="1178" t="s">
        <v>21576</v>
      </c>
      <c r="B3196" s="1371" t="str">
        <f>HYPERLINK(IFERROR("#Main_Tariff!A"&amp;MATCH(Raeburn_Main_Tariff[[#This Row],[Product Code]],Main_Tariff!I:I,0),"#Main_Tariff!A"&amp;MATCH("*"&amp;RIGHT(A3196,8)&amp;"*",Main_Tariff!A:A,0)),Raeburn_Main_Tariff[[#This Row],[PRODUCER]])</f>
        <v>Chateau de Beaucastel</v>
      </c>
      <c r="C3196" s="1178" t="s">
        <v>21580</v>
      </c>
      <c r="D3196" s="1178" t="s">
        <v>897</v>
      </c>
      <c r="E3196" s="1179">
        <v>2018</v>
      </c>
      <c r="F3196" s="1282" t="s">
        <v>20220</v>
      </c>
      <c r="G3196" s="1368">
        <v>60</v>
      </c>
      <c r="H3196" s="1178" t="s">
        <v>20221</v>
      </c>
      <c r="I3196" s="1178" t="s">
        <v>9876</v>
      </c>
      <c r="J3196" s="1178" t="s">
        <v>662</v>
      </c>
      <c r="K3196" s="1178" t="s">
        <v>317</v>
      </c>
      <c r="L3196" s="1178"/>
      <c r="M3196" s="1369"/>
      <c r="N3196" s="1178"/>
      <c r="O3196" s="1178">
        <v>6</v>
      </c>
      <c r="P3196" s="1178">
        <v>13</v>
      </c>
    </row>
    <row r="3197" spans="1:16">
      <c r="A3197" s="1178" t="s">
        <v>21576</v>
      </c>
      <c r="B3197" s="1371" t="str">
        <f>HYPERLINK(IFERROR("#Main_Tariff!A"&amp;MATCH(Raeburn_Main_Tariff[[#This Row],[Product Code]],Main_Tariff!I:I,0),"#Main_Tariff!A"&amp;MATCH("*"&amp;RIGHT(A3197,8)&amp;"*",Main_Tariff!A:A,0)),Raeburn_Main_Tariff[[#This Row],[PRODUCER]])</f>
        <v>Chateau de Beaucastel</v>
      </c>
      <c r="C3197" s="1178" t="s">
        <v>21581</v>
      </c>
      <c r="D3197" s="1178" t="s">
        <v>897</v>
      </c>
      <c r="E3197" s="1179">
        <v>2018</v>
      </c>
      <c r="F3197" s="1282" t="s">
        <v>20220</v>
      </c>
      <c r="G3197" s="1368" t="s">
        <v>5258</v>
      </c>
      <c r="H3197" s="1178" t="s">
        <v>20224</v>
      </c>
      <c r="I3197" s="1178" t="s">
        <v>9879</v>
      </c>
      <c r="J3197" s="1178" t="s">
        <v>662</v>
      </c>
      <c r="K3197" s="1178" t="s">
        <v>317</v>
      </c>
      <c r="L3197" s="1178"/>
      <c r="M3197" s="1369"/>
      <c r="N3197" s="1178"/>
      <c r="O3197" s="1178">
        <v>3</v>
      </c>
      <c r="P3197" s="1178">
        <v>14.5</v>
      </c>
    </row>
    <row r="3198" spans="1:16">
      <c r="A3198" s="1178" t="s">
        <v>21576</v>
      </c>
      <c r="B3198" s="1371" t="str">
        <f>HYPERLINK(IFERROR("#Main_Tariff!A"&amp;MATCH(Raeburn_Main_Tariff[[#This Row],[Product Code]],Main_Tariff!I:I,0),"#Main_Tariff!A"&amp;MATCH("*"&amp;RIGHT(A3198,8)&amp;"*",Main_Tariff!A:A,0)),Raeburn_Main_Tariff[[#This Row],[PRODUCER]])</f>
        <v>Chateau de Beaucastel</v>
      </c>
      <c r="C3198" s="1178" t="s">
        <v>21581</v>
      </c>
      <c r="D3198" s="1178" t="s">
        <v>897</v>
      </c>
      <c r="E3198" s="1179">
        <v>2014</v>
      </c>
      <c r="F3198" s="1282" t="s">
        <v>20220</v>
      </c>
      <c r="G3198" s="1368" t="s">
        <v>5258</v>
      </c>
      <c r="H3198" s="1178" t="s">
        <v>20224</v>
      </c>
      <c r="I3198" s="1178" t="s">
        <v>9881</v>
      </c>
      <c r="J3198" s="1178" t="s">
        <v>662</v>
      </c>
      <c r="K3198" s="1178" t="s">
        <v>317</v>
      </c>
      <c r="L3198" s="1178"/>
      <c r="M3198" s="1369"/>
      <c r="N3198" s="1178"/>
      <c r="O3198" s="1178">
        <v>3</v>
      </c>
      <c r="P3198" s="1178">
        <v>13</v>
      </c>
    </row>
    <row r="3199" spans="1:16">
      <c r="A3199" s="1178" t="s">
        <v>21476</v>
      </c>
      <c r="B3199" s="1371" t="str">
        <f>HYPERLINK(IFERROR("#Main_Tariff!A"&amp;MATCH(Raeburn_Main_Tariff[[#This Row],[Product Code]],Main_Tariff!I:I,0),"#Main_Tariff!A"&amp;MATCH("*"&amp;RIGHT(A3199,8)&amp;"*",Main_Tariff!A:A,0)),Raeburn_Main_Tariff[[#This Row],[PRODUCER]])</f>
        <v>Famille Tardieu</v>
      </c>
      <c r="C3199" s="1178" t="s">
        <v>21582</v>
      </c>
      <c r="D3199" s="1178" t="s">
        <v>1129</v>
      </c>
      <c r="E3199" s="1179">
        <v>2021</v>
      </c>
      <c r="F3199" s="1282" t="s">
        <v>20220</v>
      </c>
      <c r="G3199" s="1368">
        <v>17</v>
      </c>
      <c r="H3199" s="1178" t="s">
        <v>20221</v>
      </c>
      <c r="I3199" s="1178" t="s">
        <v>9910</v>
      </c>
      <c r="J3199" s="1178" t="s">
        <v>662</v>
      </c>
      <c r="K3199" s="1178" t="s">
        <v>317</v>
      </c>
      <c r="L3199" s="1178"/>
      <c r="M3199" s="1369"/>
      <c r="N3199" s="1178" t="s">
        <v>20244</v>
      </c>
      <c r="O3199" s="1178">
        <v>6</v>
      </c>
      <c r="P3199" s="1178">
        <v>14</v>
      </c>
    </row>
    <row r="3200" spans="1:16">
      <c r="A3200" s="1178" t="s">
        <v>21476</v>
      </c>
      <c r="B3200" s="1371" t="str">
        <f>HYPERLINK(IFERROR("#Main_Tariff!A"&amp;MATCH(Raeburn_Main_Tariff[[#This Row],[Product Code]],Main_Tariff!I:I,0),"#Main_Tariff!A"&amp;MATCH("*"&amp;RIGHT(A3200,8)&amp;"*",Main_Tariff!A:A,0)),Raeburn_Main_Tariff[[#This Row],[PRODUCER]])</f>
        <v>Famille Tardieu</v>
      </c>
      <c r="C3200" s="1178" t="s">
        <v>21583</v>
      </c>
      <c r="D3200" s="1178" t="s">
        <v>1129</v>
      </c>
      <c r="E3200" s="1179">
        <v>2019</v>
      </c>
      <c r="F3200" s="1282" t="s">
        <v>20220</v>
      </c>
      <c r="G3200" s="1368">
        <v>16.5</v>
      </c>
      <c r="H3200" s="1178" t="s">
        <v>20221</v>
      </c>
      <c r="I3200" s="1178" t="s">
        <v>9912</v>
      </c>
      <c r="J3200" s="1178" t="s">
        <v>662</v>
      </c>
      <c r="K3200" s="1178" t="s">
        <v>317</v>
      </c>
      <c r="L3200" s="1178"/>
      <c r="M3200" s="1369"/>
      <c r="N3200" s="1178"/>
      <c r="O3200" s="1178">
        <v>12</v>
      </c>
      <c r="P3200" s="1178">
        <v>14</v>
      </c>
    </row>
    <row r="3201" spans="1:16">
      <c r="A3201" s="1178" t="s">
        <v>21476</v>
      </c>
      <c r="B3201" s="1371" t="str">
        <f>HYPERLINK(IFERROR("#Main_Tariff!A"&amp;MATCH(Raeburn_Main_Tariff[[#This Row],[Product Code]],Main_Tariff!I:I,0),"#Main_Tariff!A"&amp;MATCH("*"&amp;RIGHT(A3201,8)&amp;"*",Main_Tariff!A:A,0)),Raeburn_Main_Tariff[[#This Row],[PRODUCER]])</f>
        <v>Famille Tardieu</v>
      </c>
      <c r="C3201" s="1178" t="s">
        <v>21583</v>
      </c>
      <c r="D3201" s="1178" t="s">
        <v>1129</v>
      </c>
      <c r="E3201" s="1179">
        <v>2018</v>
      </c>
      <c r="F3201" s="1282" t="s">
        <v>20220</v>
      </c>
      <c r="G3201" s="1368">
        <v>16.5</v>
      </c>
      <c r="H3201" s="1178" t="s">
        <v>20221</v>
      </c>
      <c r="I3201" s="1178" t="s">
        <v>9914</v>
      </c>
      <c r="J3201" s="1178" t="s">
        <v>662</v>
      </c>
      <c r="K3201" s="1178" t="s">
        <v>317</v>
      </c>
      <c r="L3201" s="1178"/>
      <c r="M3201" s="1369"/>
      <c r="N3201" s="1178" t="s">
        <v>20244</v>
      </c>
      <c r="O3201" s="1178">
        <v>6</v>
      </c>
      <c r="P3201" s="1178">
        <v>14</v>
      </c>
    </row>
    <row r="3202" spans="1:16">
      <c r="A3202" s="1178" t="s">
        <v>21476</v>
      </c>
      <c r="B3202" s="1371" t="str">
        <f>HYPERLINK(IFERROR("#Main_Tariff!A"&amp;MATCH(Raeburn_Main_Tariff[[#This Row],[Product Code]],Main_Tariff!I:I,0),"#Main_Tariff!A"&amp;MATCH("*"&amp;RIGHT(A3202,8)&amp;"*",Main_Tariff!A:A,0)),Raeburn_Main_Tariff[[#This Row],[PRODUCER]])</f>
        <v>Famille Tardieu</v>
      </c>
      <c r="C3202" s="1178" t="s">
        <v>21583</v>
      </c>
      <c r="D3202" s="1178" t="s">
        <v>1129</v>
      </c>
      <c r="E3202" s="1179">
        <v>2017</v>
      </c>
      <c r="F3202" s="1282" t="s">
        <v>20220</v>
      </c>
      <c r="G3202" s="1368">
        <v>16.5</v>
      </c>
      <c r="H3202" s="1178" t="s">
        <v>20221</v>
      </c>
      <c r="I3202" s="1178" t="s">
        <v>9915</v>
      </c>
      <c r="J3202" s="1178" t="s">
        <v>662</v>
      </c>
      <c r="K3202" s="1178" t="s">
        <v>317</v>
      </c>
      <c r="L3202" s="1178"/>
      <c r="M3202" s="1369"/>
      <c r="N3202" s="1178" t="s">
        <v>20244</v>
      </c>
      <c r="O3202" s="1178">
        <v>6</v>
      </c>
      <c r="P3202" s="1178">
        <v>13.5</v>
      </c>
    </row>
    <row r="3203" spans="1:16">
      <c r="A3203" s="1178" t="s">
        <v>21476</v>
      </c>
      <c r="B3203" s="1371" t="str">
        <f>HYPERLINK(IFERROR("#Main_Tariff!A"&amp;MATCH(Raeburn_Main_Tariff[[#This Row],[Product Code]],Main_Tariff!I:I,0),"#Main_Tariff!A"&amp;MATCH("*"&amp;RIGHT(A3203,8)&amp;"*",Main_Tariff!A:A,0)),Raeburn_Main_Tariff[[#This Row],[PRODUCER]])</f>
        <v>Famille Tardieu</v>
      </c>
      <c r="C3203" s="1178" t="s">
        <v>21584</v>
      </c>
      <c r="D3203" s="1178" t="s">
        <v>1129</v>
      </c>
      <c r="E3203" s="1179">
        <v>2023</v>
      </c>
      <c r="F3203" s="1282" t="s">
        <v>20220</v>
      </c>
      <c r="G3203" s="1368">
        <v>24</v>
      </c>
      <c r="H3203" s="1178" t="s">
        <v>20221</v>
      </c>
      <c r="I3203" s="1178" t="s">
        <v>9917</v>
      </c>
      <c r="J3203" s="1178" t="s">
        <v>662</v>
      </c>
      <c r="K3203" s="1178" t="s">
        <v>317</v>
      </c>
      <c r="L3203" s="1178"/>
      <c r="M3203" s="1369"/>
      <c r="N3203" s="1178" t="s">
        <v>20244</v>
      </c>
      <c r="O3203" s="1178">
        <v>6</v>
      </c>
      <c r="P3203" s="1178">
        <v>13.5</v>
      </c>
    </row>
    <row r="3204" spans="1:16">
      <c r="A3204" s="1178" t="s">
        <v>21476</v>
      </c>
      <c r="B3204" s="1371" t="str">
        <f>HYPERLINK(IFERROR("#Main_Tariff!A"&amp;MATCH(Raeburn_Main_Tariff[[#This Row],[Product Code]],Main_Tariff!I:I,0),"#Main_Tariff!A"&amp;MATCH("*"&amp;RIGHT(A3204,8)&amp;"*",Main_Tariff!A:A,0)),Raeburn_Main_Tariff[[#This Row],[PRODUCER]])</f>
        <v>Famille Tardieu</v>
      </c>
      <c r="C3204" s="1178" t="s">
        <v>21584</v>
      </c>
      <c r="D3204" s="1178" t="s">
        <v>1129</v>
      </c>
      <c r="E3204" s="1179">
        <v>2022</v>
      </c>
      <c r="F3204" s="1282" t="s">
        <v>20220</v>
      </c>
      <c r="G3204" s="1368">
        <v>23.5</v>
      </c>
      <c r="H3204" s="1178" t="s">
        <v>20221</v>
      </c>
      <c r="I3204" s="1178" t="s">
        <v>9918</v>
      </c>
      <c r="J3204" s="1178" t="s">
        <v>662</v>
      </c>
      <c r="K3204" s="1178" t="s">
        <v>317</v>
      </c>
      <c r="L3204" s="1178"/>
      <c r="M3204" s="1369"/>
      <c r="N3204" s="1178" t="s">
        <v>20244</v>
      </c>
      <c r="O3204" s="1178">
        <v>6</v>
      </c>
      <c r="P3204" s="1178">
        <v>13.5</v>
      </c>
    </row>
    <row r="3205" spans="1:16">
      <c r="A3205" s="1178" t="s">
        <v>21476</v>
      </c>
      <c r="B3205" s="1371" t="str">
        <f>HYPERLINK(IFERROR("#Main_Tariff!A"&amp;MATCH(Raeburn_Main_Tariff[[#This Row],[Product Code]],Main_Tariff!I:I,0),"#Main_Tariff!A"&amp;MATCH("*"&amp;RIGHT(A3205,8)&amp;"*",Main_Tariff!A:A,0)),Raeburn_Main_Tariff[[#This Row],[PRODUCER]])</f>
        <v>Famille Tardieu</v>
      </c>
      <c r="C3205" s="1178" t="s">
        <v>21584</v>
      </c>
      <c r="D3205" s="1178" t="s">
        <v>1129</v>
      </c>
      <c r="E3205" s="1179">
        <v>2021</v>
      </c>
      <c r="F3205" s="1282" t="s">
        <v>20220</v>
      </c>
      <c r="G3205" s="1368">
        <v>23.5</v>
      </c>
      <c r="H3205" s="1178" t="s">
        <v>20221</v>
      </c>
      <c r="I3205" s="1178" t="s">
        <v>9920</v>
      </c>
      <c r="J3205" s="1178" t="s">
        <v>662</v>
      </c>
      <c r="K3205" s="1178" t="s">
        <v>317</v>
      </c>
      <c r="L3205" s="1178"/>
      <c r="M3205" s="1369"/>
      <c r="N3205" s="1178" t="s">
        <v>20244</v>
      </c>
      <c r="O3205" s="1178">
        <v>6</v>
      </c>
      <c r="P3205" s="1178">
        <v>13.5</v>
      </c>
    </row>
    <row r="3206" spans="1:16">
      <c r="A3206" s="1178" t="s">
        <v>21476</v>
      </c>
      <c r="B3206" s="1371" t="str">
        <f>HYPERLINK(IFERROR("#Main_Tariff!A"&amp;MATCH(Raeburn_Main_Tariff[[#This Row],[Product Code]],Main_Tariff!I:I,0),"#Main_Tariff!A"&amp;MATCH("*"&amp;RIGHT(A3206,8)&amp;"*",Main_Tariff!A:A,0)),Raeburn_Main_Tariff[[#This Row],[PRODUCER]])</f>
        <v>Famille Tardieu</v>
      </c>
      <c r="C3206" s="1178" t="s">
        <v>21584</v>
      </c>
      <c r="D3206" s="1178" t="s">
        <v>1129</v>
      </c>
      <c r="E3206" s="1179">
        <v>2018</v>
      </c>
      <c r="F3206" s="1282" t="s">
        <v>20220</v>
      </c>
      <c r="G3206" s="1368">
        <v>24.95</v>
      </c>
      <c r="H3206" s="1178" t="s">
        <v>20221</v>
      </c>
      <c r="I3206" s="1178" t="s">
        <v>9921</v>
      </c>
      <c r="J3206" s="1178" t="s">
        <v>662</v>
      </c>
      <c r="K3206" s="1178" t="s">
        <v>317</v>
      </c>
      <c r="L3206" s="1178"/>
      <c r="M3206" s="1369"/>
      <c r="N3206" s="1178"/>
      <c r="O3206" s="1178">
        <v>6</v>
      </c>
      <c r="P3206" s="1178">
        <v>13.5</v>
      </c>
    </row>
    <row r="3207" spans="1:16">
      <c r="A3207" s="1178" t="s">
        <v>21476</v>
      </c>
      <c r="B3207" s="1371" t="str">
        <f>HYPERLINK(IFERROR("#Main_Tariff!A"&amp;MATCH(Raeburn_Main_Tariff[[#This Row],[Product Code]],Main_Tariff!I:I,0),"#Main_Tariff!A"&amp;MATCH("*"&amp;RIGHT(A3207,8)&amp;"*",Main_Tariff!A:A,0)),Raeburn_Main_Tariff[[#This Row],[PRODUCER]])</f>
        <v>Famille Tardieu</v>
      </c>
      <c r="C3207" s="1178" t="s">
        <v>21585</v>
      </c>
      <c r="D3207" s="1178" t="s">
        <v>1129</v>
      </c>
      <c r="E3207" s="1179">
        <v>2023</v>
      </c>
      <c r="F3207" s="1282" t="s">
        <v>20220</v>
      </c>
      <c r="G3207" s="1368">
        <v>32.25</v>
      </c>
      <c r="H3207" s="1178" t="s">
        <v>20221</v>
      </c>
      <c r="I3207" s="1178" t="s">
        <v>9924</v>
      </c>
      <c r="J3207" s="1178" t="s">
        <v>662</v>
      </c>
      <c r="K3207" s="1178" t="s">
        <v>317</v>
      </c>
      <c r="L3207" s="1178"/>
      <c r="M3207" s="1369"/>
      <c r="N3207" s="1178"/>
      <c r="O3207" s="1178">
        <v>6</v>
      </c>
      <c r="P3207" s="1178">
        <v>13.5</v>
      </c>
    </row>
    <row r="3208" spans="1:16">
      <c r="A3208" s="1178" t="s">
        <v>21476</v>
      </c>
      <c r="B3208" s="1371" t="str">
        <f>HYPERLINK(IFERROR("#Main_Tariff!A"&amp;MATCH(Raeburn_Main_Tariff[[#This Row],[Product Code]],Main_Tariff!I:I,0),"#Main_Tariff!A"&amp;MATCH("*"&amp;RIGHT(A3208,8)&amp;"*",Main_Tariff!A:A,0)),Raeburn_Main_Tariff[[#This Row],[PRODUCER]])</f>
        <v>Famille Tardieu</v>
      </c>
      <c r="C3208" s="1178" t="s">
        <v>21585</v>
      </c>
      <c r="D3208" s="1178" t="s">
        <v>1129</v>
      </c>
      <c r="E3208" s="1179">
        <v>2022</v>
      </c>
      <c r="F3208" s="1282" t="s">
        <v>20220</v>
      </c>
      <c r="G3208" s="1368">
        <v>33</v>
      </c>
      <c r="H3208" s="1178" t="s">
        <v>20221</v>
      </c>
      <c r="I3208" s="1178" t="s">
        <v>9925</v>
      </c>
      <c r="J3208" s="1178" t="s">
        <v>662</v>
      </c>
      <c r="K3208" s="1178" t="s">
        <v>317</v>
      </c>
      <c r="L3208" s="1178"/>
      <c r="M3208" s="1369"/>
      <c r="N3208" s="1178"/>
      <c r="O3208" s="1178">
        <v>6</v>
      </c>
      <c r="P3208" s="1178">
        <v>13.5</v>
      </c>
    </row>
    <row r="3209" spans="1:16">
      <c r="A3209" s="1178" t="s">
        <v>21476</v>
      </c>
      <c r="B3209" s="1371" t="str">
        <f>HYPERLINK(IFERROR("#Main_Tariff!A"&amp;MATCH(Raeburn_Main_Tariff[[#This Row],[Product Code]],Main_Tariff!I:I,0),"#Main_Tariff!A"&amp;MATCH("*"&amp;RIGHT(A3209,8)&amp;"*",Main_Tariff!A:A,0)),Raeburn_Main_Tariff[[#This Row],[PRODUCER]])</f>
        <v>Famille Tardieu</v>
      </c>
      <c r="C3209" s="1178" t="s">
        <v>21585</v>
      </c>
      <c r="D3209" s="1178" t="s">
        <v>1129</v>
      </c>
      <c r="E3209" s="1179">
        <v>2021</v>
      </c>
      <c r="F3209" s="1282" t="s">
        <v>20220</v>
      </c>
      <c r="G3209" s="1368">
        <v>31.75</v>
      </c>
      <c r="H3209" s="1178" t="s">
        <v>20224</v>
      </c>
      <c r="I3209" s="1178" t="s">
        <v>9926</v>
      </c>
      <c r="J3209" s="1178" t="s">
        <v>662</v>
      </c>
      <c r="K3209" s="1178" t="s">
        <v>317</v>
      </c>
      <c r="L3209" s="1178"/>
      <c r="M3209" s="1369"/>
      <c r="N3209" s="1178"/>
      <c r="O3209" s="1178">
        <v>6</v>
      </c>
      <c r="P3209" s="1178">
        <v>13.5</v>
      </c>
    </row>
    <row r="3210" spans="1:16">
      <c r="A3210" s="1178" t="s">
        <v>21476</v>
      </c>
      <c r="B3210" s="1371" t="str">
        <f>HYPERLINK(IFERROR("#Main_Tariff!A"&amp;MATCH(Raeburn_Main_Tariff[[#This Row],[Product Code]],Main_Tariff!I:I,0),"#Main_Tariff!A"&amp;MATCH("*"&amp;RIGHT(A3210,8)&amp;"*",Main_Tariff!A:A,0)),Raeburn_Main_Tariff[[#This Row],[PRODUCER]])</f>
        <v>Famille Tardieu</v>
      </c>
      <c r="C3210" s="1178" t="s">
        <v>21585</v>
      </c>
      <c r="D3210" s="1178" t="s">
        <v>1129</v>
      </c>
      <c r="E3210" s="1179">
        <v>2020</v>
      </c>
      <c r="F3210" s="1282" t="s">
        <v>20220</v>
      </c>
      <c r="G3210" s="1368">
        <v>29.5</v>
      </c>
      <c r="H3210" s="1178" t="s">
        <v>20221</v>
      </c>
      <c r="I3210" s="1178" t="s">
        <v>9927</v>
      </c>
      <c r="J3210" s="1178" t="s">
        <v>662</v>
      </c>
      <c r="K3210" s="1178" t="s">
        <v>317</v>
      </c>
      <c r="L3210" s="1178"/>
      <c r="M3210" s="1369"/>
      <c r="N3210" s="1178"/>
      <c r="O3210" s="1178">
        <v>6</v>
      </c>
      <c r="P3210" s="1178">
        <v>13.5</v>
      </c>
    </row>
    <row r="3211" spans="1:16">
      <c r="A3211" s="1178" t="s">
        <v>21476</v>
      </c>
      <c r="B3211" s="1371" t="str">
        <f>HYPERLINK(IFERROR("#Main_Tariff!A"&amp;MATCH(Raeburn_Main_Tariff[[#This Row],[Product Code]],Main_Tariff!I:I,0),"#Main_Tariff!A"&amp;MATCH("*"&amp;RIGHT(A3211,8)&amp;"*",Main_Tariff!A:A,0)),Raeburn_Main_Tariff[[#This Row],[PRODUCER]])</f>
        <v>Famille Tardieu</v>
      </c>
      <c r="C3211" s="1178" t="s">
        <v>21585</v>
      </c>
      <c r="D3211" s="1178" t="s">
        <v>1129</v>
      </c>
      <c r="E3211" s="1179">
        <v>2019</v>
      </c>
      <c r="F3211" s="1282" t="s">
        <v>20220</v>
      </c>
      <c r="G3211" s="1368">
        <v>29.5</v>
      </c>
      <c r="H3211" s="1178" t="s">
        <v>20221</v>
      </c>
      <c r="I3211" s="1178" t="s">
        <v>9928</v>
      </c>
      <c r="J3211" s="1178" t="s">
        <v>662</v>
      </c>
      <c r="K3211" s="1178" t="s">
        <v>317</v>
      </c>
      <c r="L3211" s="1178"/>
      <c r="M3211" s="1369"/>
      <c r="N3211" s="1178"/>
      <c r="O3211" s="1178">
        <v>6</v>
      </c>
      <c r="P3211" s="1178">
        <v>13.5</v>
      </c>
    </row>
    <row r="3212" spans="1:16">
      <c r="A3212" s="1178" t="s">
        <v>21476</v>
      </c>
      <c r="B3212" s="1371" t="str">
        <f>HYPERLINK(IFERROR("#Main_Tariff!A"&amp;MATCH(Raeburn_Main_Tariff[[#This Row],[Product Code]],Main_Tariff!I:I,0),"#Main_Tariff!A"&amp;MATCH("*"&amp;RIGHT(A3212,8)&amp;"*",Main_Tariff!A:A,0)),Raeburn_Main_Tariff[[#This Row],[PRODUCER]])</f>
        <v>Famille Tardieu</v>
      </c>
      <c r="C3212" s="1178" t="s">
        <v>21586</v>
      </c>
      <c r="D3212" s="1178" t="s">
        <v>897</v>
      </c>
      <c r="E3212" s="1179">
        <v>2021</v>
      </c>
      <c r="F3212" s="1282" t="s">
        <v>20220</v>
      </c>
      <c r="G3212" s="1368">
        <v>17.25</v>
      </c>
      <c r="H3212" s="1178" t="s">
        <v>20221</v>
      </c>
      <c r="I3212" s="1178" t="s">
        <v>9937</v>
      </c>
      <c r="J3212" s="1178" t="s">
        <v>662</v>
      </c>
      <c r="K3212" s="1178" t="s">
        <v>317</v>
      </c>
      <c r="L3212" s="1178"/>
      <c r="M3212" s="1369"/>
      <c r="N3212" s="1178" t="s">
        <v>20244</v>
      </c>
      <c r="O3212" s="1178">
        <v>6</v>
      </c>
      <c r="P3212" s="1178">
        <v>14.5</v>
      </c>
    </row>
    <row r="3213" spans="1:16">
      <c r="A3213" s="1178" t="s">
        <v>21476</v>
      </c>
      <c r="B3213" s="1371" t="str">
        <f>HYPERLINK(IFERROR("#Main_Tariff!A"&amp;MATCH(Raeburn_Main_Tariff[[#This Row],[Product Code]],Main_Tariff!I:I,0),"#Main_Tariff!A"&amp;MATCH("*"&amp;RIGHT(A3213,8)&amp;"*",Main_Tariff!A:A,0)),Raeburn_Main_Tariff[[#This Row],[PRODUCER]])</f>
        <v>Famille Tardieu</v>
      </c>
      <c r="C3213" s="1178" t="s">
        <v>21587</v>
      </c>
      <c r="D3213" s="1178" t="s">
        <v>897</v>
      </c>
      <c r="E3213" s="1179">
        <v>2018</v>
      </c>
      <c r="F3213" s="1282" t="s">
        <v>20220</v>
      </c>
      <c r="G3213" s="1368">
        <v>16.5</v>
      </c>
      <c r="H3213" s="1178" t="s">
        <v>20221</v>
      </c>
      <c r="I3213" s="1178" t="s">
        <v>9938</v>
      </c>
      <c r="J3213" s="1178" t="s">
        <v>662</v>
      </c>
      <c r="K3213" s="1178" t="s">
        <v>317</v>
      </c>
      <c r="L3213" s="1178"/>
      <c r="M3213" s="1369"/>
      <c r="N3213" s="1178"/>
      <c r="O3213" s="1178">
        <v>6</v>
      </c>
      <c r="P3213" s="1178">
        <v>14.5</v>
      </c>
    </row>
    <row r="3214" spans="1:16">
      <c r="A3214" s="1178" t="s">
        <v>21476</v>
      </c>
      <c r="B3214" s="1371" t="str">
        <f>HYPERLINK(IFERROR("#Main_Tariff!A"&amp;MATCH(Raeburn_Main_Tariff[[#This Row],[Product Code]],Main_Tariff!I:I,0),"#Main_Tariff!A"&amp;MATCH("*"&amp;RIGHT(A3214,8)&amp;"*",Main_Tariff!A:A,0)),Raeburn_Main_Tariff[[#This Row],[PRODUCER]])</f>
        <v>Famille Tardieu</v>
      </c>
      <c r="C3214" s="1178" t="s">
        <v>21587</v>
      </c>
      <c r="D3214" s="1178" t="s">
        <v>897</v>
      </c>
      <c r="E3214" s="1179">
        <v>2017</v>
      </c>
      <c r="F3214" s="1282" t="s">
        <v>20220</v>
      </c>
      <c r="G3214" s="1368">
        <v>16.5</v>
      </c>
      <c r="H3214" s="1178" t="s">
        <v>20221</v>
      </c>
      <c r="I3214" s="1178" t="s">
        <v>9939</v>
      </c>
      <c r="J3214" s="1178" t="s">
        <v>662</v>
      </c>
      <c r="K3214" s="1178" t="s">
        <v>317</v>
      </c>
      <c r="L3214" s="1178"/>
      <c r="M3214" s="1369"/>
      <c r="N3214" s="1178" t="s">
        <v>20244</v>
      </c>
      <c r="O3214" s="1178">
        <v>6</v>
      </c>
      <c r="P3214" s="1178">
        <v>14.5</v>
      </c>
    </row>
    <row r="3215" spans="1:16">
      <c r="A3215" s="1178" t="s">
        <v>21476</v>
      </c>
      <c r="B3215" s="1371" t="str">
        <f>HYPERLINK(IFERROR("#Main_Tariff!A"&amp;MATCH(Raeburn_Main_Tariff[[#This Row],[Product Code]],Main_Tariff!I:I,0),"#Main_Tariff!A"&amp;MATCH("*"&amp;RIGHT(A3215,8)&amp;"*",Main_Tariff!A:A,0)),Raeburn_Main_Tariff[[#This Row],[PRODUCER]])</f>
        <v>Famille Tardieu</v>
      </c>
      <c r="C3215" s="1178" t="s">
        <v>21587</v>
      </c>
      <c r="D3215" s="1178" t="s">
        <v>897</v>
      </c>
      <c r="E3215" s="1179">
        <v>2016</v>
      </c>
      <c r="F3215" s="1282" t="s">
        <v>20220</v>
      </c>
      <c r="G3215" s="1368">
        <v>17.5</v>
      </c>
      <c r="H3215" s="1178" t="s">
        <v>20221</v>
      </c>
      <c r="I3215" s="1178" t="s">
        <v>9940</v>
      </c>
      <c r="J3215" s="1178" t="s">
        <v>662</v>
      </c>
      <c r="K3215" s="1178" t="s">
        <v>317</v>
      </c>
      <c r="L3215" s="1178"/>
      <c r="M3215" s="1369"/>
      <c r="N3215" s="1178" t="s">
        <v>20244</v>
      </c>
      <c r="O3215" s="1178">
        <v>6</v>
      </c>
      <c r="P3215" s="1178">
        <v>14.5</v>
      </c>
    </row>
    <row r="3216" spans="1:16">
      <c r="A3216" s="1178" t="s">
        <v>21476</v>
      </c>
      <c r="B3216" s="1371" t="str">
        <f>HYPERLINK(IFERROR("#Main_Tariff!A"&amp;MATCH(Raeburn_Main_Tariff[[#This Row],[Product Code]],Main_Tariff!I:I,0),"#Main_Tariff!A"&amp;MATCH("*"&amp;RIGHT(A3216,8)&amp;"*",Main_Tariff!A:A,0)),Raeburn_Main_Tariff[[#This Row],[PRODUCER]])</f>
        <v>Famille Tardieu</v>
      </c>
      <c r="C3216" s="1178" t="s">
        <v>21587</v>
      </c>
      <c r="D3216" s="1178" t="s">
        <v>897</v>
      </c>
      <c r="E3216" s="1179">
        <v>2015</v>
      </c>
      <c r="F3216" s="1282" t="s">
        <v>20220</v>
      </c>
      <c r="G3216" s="1368">
        <v>18</v>
      </c>
      <c r="H3216" s="1178" t="s">
        <v>20221</v>
      </c>
      <c r="I3216" s="1178" t="s">
        <v>9941</v>
      </c>
      <c r="J3216" s="1178" t="s">
        <v>662</v>
      </c>
      <c r="K3216" s="1178" t="s">
        <v>317</v>
      </c>
      <c r="L3216" s="1178"/>
      <c r="M3216" s="1369"/>
      <c r="N3216" s="1178" t="s">
        <v>20244</v>
      </c>
      <c r="O3216" s="1178">
        <v>6</v>
      </c>
      <c r="P3216" s="1178">
        <v>14.5</v>
      </c>
    </row>
    <row r="3217" spans="1:16">
      <c r="A3217" s="1178" t="s">
        <v>21476</v>
      </c>
      <c r="B3217" s="1371" t="str">
        <f>HYPERLINK(IFERROR("#Main_Tariff!A"&amp;MATCH(Raeburn_Main_Tariff[[#This Row],[Product Code]],Main_Tariff!I:I,0),"#Main_Tariff!A"&amp;MATCH("*"&amp;RIGHT(A3217,8)&amp;"*",Main_Tariff!A:A,0)),Raeburn_Main_Tariff[[#This Row],[PRODUCER]])</f>
        <v>Famille Tardieu</v>
      </c>
      <c r="C3217" s="1178" t="s">
        <v>21587</v>
      </c>
      <c r="D3217" s="1178" t="s">
        <v>897</v>
      </c>
      <c r="E3217" s="1179">
        <v>2013</v>
      </c>
      <c r="F3217" s="1282" t="s">
        <v>20220</v>
      </c>
      <c r="G3217" s="1368">
        <v>18</v>
      </c>
      <c r="H3217" s="1178" t="s">
        <v>20221</v>
      </c>
      <c r="I3217" s="1178" t="s">
        <v>9942</v>
      </c>
      <c r="J3217" s="1178" t="s">
        <v>662</v>
      </c>
      <c r="K3217" s="1178" t="s">
        <v>317</v>
      </c>
      <c r="L3217" s="1178"/>
      <c r="M3217" s="1369"/>
      <c r="N3217" s="1178" t="s">
        <v>20244</v>
      </c>
      <c r="O3217" s="1178">
        <v>12</v>
      </c>
      <c r="P3217" s="1178">
        <v>14</v>
      </c>
    </row>
    <row r="3218" spans="1:16">
      <c r="A3218" s="1178" t="s">
        <v>21476</v>
      </c>
      <c r="B3218" s="1371" t="str">
        <f>HYPERLINK(IFERROR("#Main_Tariff!A"&amp;MATCH(Raeburn_Main_Tariff[[#This Row],[Product Code]],Main_Tariff!I:I,0),"#Main_Tariff!A"&amp;MATCH("*"&amp;RIGHT(A3218,8)&amp;"*",Main_Tariff!A:A,0)),Raeburn_Main_Tariff[[#This Row],[PRODUCER]])</f>
        <v>Famille Tardieu</v>
      </c>
      <c r="C3218" s="1178" t="s">
        <v>21587</v>
      </c>
      <c r="D3218" s="1178" t="s">
        <v>897</v>
      </c>
      <c r="E3218" s="1179">
        <v>2012</v>
      </c>
      <c r="F3218" s="1282" t="s">
        <v>20220</v>
      </c>
      <c r="G3218" s="1368">
        <v>19.95</v>
      </c>
      <c r="H3218" s="1178" t="s">
        <v>20221</v>
      </c>
      <c r="I3218" s="1178" t="s">
        <v>9943</v>
      </c>
      <c r="J3218" s="1178" t="s">
        <v>662</v>
      </c>
      <c r="K3218" s="1178" t="s">
        <v>317</v>
      </c>
      <c r="L3218" s="1178"/>
      <c r="M3218" s="1369"/>
      <c r="N3218" s="1178"/>
      <c r="O3218" s="1178">
        <v>12</v>
      </c>
      <c r="P3218" s="1178">
        <v>14.5</v>
      </c>
    </row>
    <row r="3219" spans="1:16">
      <c r="A3219" s="1178" t="s">
        <v>21476</v>
      </c>
      <c r="B3219" s="1371" t="str">
        <f>HYPERLINK(IFERROR("#Main_Tariff!A"&amp;MATCH(Raeburn_Main_Tariff[[#This Row],[Product Code]],Main_Tariff!I:I,0),"#Main_Tariff!A"&amp;MATCH("*"&amp;RIGHT(A3219,8)&amp;"*",Main_Tariff!A:A,0)),Raeburn_Main_Tariff[[#This Row],[PRODUCER]])</f>
        <v>Famille Tardieu</v>
      </c>
      <c r="C3219" s="1178" t="s">
        <v>21587</v>
      </c>
      <c r="D3219" s="1178" t="s">
        <v>897</v>
      </c>
      <c r="E3219" s="1179">
        <v>2011</v>
      </c>
      <c r="F3219" s="1282" t="s">
        <v>20220</v>
      </c>
      <c r="G3219" s="1368">
        <v>19.95</v>
      </c>
      <c r="H3219" s="1178" t="s">
        <v>20221</v>
      </c>
      <c r="I3219" s="1178" t="s">
        <v>9944</v>
      </c>
      <c r="J3219" s="1178" t="s">
        <v>662</v>
      </c>
      <c r="K3219" s="1178" t="s">
        <v>317</v>
      </c>
      <c r="L3219" s="1178"/>
      <c r="M3219" s="1369"/>
      <c r="N3219" s="1178"/>
      <c r="O3219" s="1178">
        <v>12</v>
      </c>
      <c r="P3219" s="1178">
        <v>14.5</v>
      </c>
    </row>
    <row r="3220" spans="1:16">
      <c r="A3220" s="1178" t="s">
        <v>21476</v>
      </c>
      <c r="B3220" s="1371" t="str">
        <f>HYPERLINK(IFERROR("#Main_Tariff!A"&amp;MATCH(Raeburn_Main_Tariff[[#This Row],[Product Code]],Main_Tariff!I:I,0),"#Main_Tariff!A"&amp;MATCH("*"&amp;RIGHT(A3220,8)&amp;"*",Main_Tariff!A:A,0)),Raeburn_Main_Tariff[[#This Row],[PRODUCER]])</f>
        <v>Famille Tardieu</v>
      </c>
      <c r="C3220" s="1178" t="s">
        <v>21587</v>
      </c>
      <c r="D3220" s="1178" t="s">
        <v>897</v>
      </c>
      <c r="E3220" s="1179">
        <v>2009</v>
      </c>
      <c r="F3220" s="1282" t="s">
        <v>20220</v>
      </c>
      <c r="G3220" s="1368">
        <v>19.95</v>
      </c>
      <c r="H3220" s="1178" t="s">
        <v>20277</v>
      </c>
      <c r="I3220" s="1178" t="s">
        <v>9931</v>
      </c>
      <c r="J3220" s="1178" t="s">
        <v>662</v>
      </c>
      <c r="K3220" s="1178" t="s">
        <v>317</v>
      </c>
      <c r="L3220" s="1178"/>
      <c r="M3220" s="1369"/>
      <c r="N3220" s="1178"/>
      <c r="O3220" s="1178">
        <v>12</v>
      </c>
      <c r="P3220" s="1178">
        <v>12.5</v>
      </c>
    </row>
    <row r="3221" spans="1:16">
      <c r="A3221" s="1178" t="s">
        <v>21476</v>
      </c>
      <c r="B3221" s="1371" t="str">
        <f>HYPERLINK(IFERROR("#Main_Tariff!A"&amp;MATCH(Raeburn_Main_Tariff[[#This Row],[Product Code]],Main_Tariff!I:I,0),"#Main_Tariff!A"&amp;MATCH("*"&amp;RIGHT(A3221,8)&amp;"*",Main_Tariff!A:A,0)),Raeburn_Main_Tariff[[#This Row],[PRODUCER]])</f>
        <v>Famille Tardieu</v>
      </c>
      <c r="C3221" s="1178" t="s">
        <v>21588</v>
      </c>
      <c r="D3221" s="1178" t="s">
        <v>897</v>
      </c>
      <c r="E3221" s="1179">
        <v>2023</v>
      </c>
      <c r="F3221" s="1282" t="s">
        <v>20220</v>
      </c>
      <c r="G3221" s="1368" t="s">
        <v>20342</v>
      </c>
      <c r="H3221" s="1178" t="s">
        <v>20343</v>
      </c>
      <c r="I3221" s="1178" t="s">
        <v>9947</v>
      </c>
      <c r="J3221" s="1178" t="s">
        <v>662</v>
      </c>
      <c r="K3221" s="1178" t="s">
        <v>317</v>
      </c>
      <c r="L3221" s="1178"/>
      <c r="M3221" s="1369"/>
      <c r="N3221" s="1178" t="s">
        <v>20244</v>
      </c>
      <c r="O3221" s="1178">
        <v>6</v>
      </c>
      <c r="P3221" s="1178">
        <v>14.5</v>
      </c>
    </row>
    <row r="3222" spans="1:16">
      <c r="A3222" s="1178" t="s">
        <v>21476</v>
      </c>
      <c r="B3222" s="1371" t="str">
        <f>HYPERLINK(IFERROR("#Main_Tariff!A"&amp;MATCH(Raeburn_Main_Tariff[[#This Row],[Product Code]],Main_Tariff!I:I,0),"#Main_Tariff!A"&amp;MATCH("*"&amp;RIGHT(A3222,8)&amp;"*",Main_Tariff!A:A,0)),Raeburn_Main_Tariff[[#This Row],[PRODUCER]])</f>
        <v>Famille Tardieu</v>
      </c>
      <c r="C3222" s="1178" t="s">
        <v>21588</v>
      </c>
      <c r="D3222" s="1178" t="s">
        <v>897</v>
      </c>
      <c r="E3222" s="1179">
        <v>2022</v>
      </c>
      <c r="F3222" s="1282" t="s">
        <v>20220</v>
      </c>
      <c r="G3222" s="1368">
        <v>18</v>
      </c>
      <c r="H3222" s="1178" t="s">
        <v>20221</v>
      </c>
      <c r="I3222" s="1178" t="s">
        <v>9948</v>
      </c>
      <c r="J3222" s="1178" t="s">
        <v>662</v>
      </c>
      <c r="K3222" s="1178" t="s">
        <v>317</v>
      </c>
      <c r="L3222" s="1178"/>
      <c r="M3222" s="1369"/>
      <c r="N3222" s="1178" t="s">
        <v>20244</v>
      </c>
      <c r="O3222" s="1178">
        <v>6</v>
      </c>
      <c r="P3222" s="1178">
        <v>15</v>
      </c>
    </row>
    <row r="3223" spans="1:16">
      <c r="A3223" s="1178" t="s">
        <v>21476</v>
      </c>
      <c r="B3223" s="1371" t="str">
        <f>HYPERLINK(IFERROR("#Main_Tariff!A"&amp;MATCH(Raeburn_Main_Tariff[[#This Row],[Product Code]],Main_Tariff!I:I,0),"#Main_Tariff!A"&amp;MATCH("*"&amp;RIGHT(A3223,8)&amp;"*",Main_Tariff!A:A,0)),Raeburn_Main_Tariff[[#This Row],[PRODUCER]])</f>
        <v>Famille Tardieu</v>
      </c>
      <c r="C3223" s="1178" t="s">
        <v>21588</v>
      </c>
      <c r="D3223" s="1178" t="s">
        <v>897</v>
      </c>
      <c r="E3223" s="1179">
        <v>2021</v>
      </c>
      <c r="F3223" s="1282" t="s">
        <v>20220</v>
      </c>
      <c r="G3223" s="1368">
        <v>17.5</v>
      </c>
      <c r="H3223" s="1178" t="s">
        <v>20221</v>
      </c>
      <c r="I3223" s="1178" t="s">
        <v>9950</v>
      </c>
      <c r="J3223" s="1178" t="s">
        <v>662</v>
      </c>
      <c r="K3223" s="1178" t="s">
        <v>317</v>
      </c>
      <c r="L3223" s="1178"/>
      <c r="M3223" s="1369"/>
      <c r="N3223" s="1178" t="s">
        <v>20244</v>
      </c>
      <c r="O3223" s="1178">
        <v>6</v>
      </c>
      <c r="P3223" s="1178">
        <v>14.5</v>
      </c>
    </row>
    <row r="3224" spans="1:16">
      <c r="A3224" s="1178" t="s">
        <v>21476</v>
      </c>
      <c r="B3224" s="1371" t="str">
        <f>HYPERLINK(IFERROR("#Main_Tariff!A"&amp;MATCH(Raeburn_Main_Tariff[[#This Row],[Product Code]],Main_Tariff!I:I,0),"#Main_Tariff!A"&amp;MATCH("*"&amp;RIGHT(A3224,8)&amp;"*",Main_Tariff!A:A,0)),Raeburn_Main_Tariff[[#This Row],[PRODUCER]])</f>
        <v>Famille Tardieu</v>
      </c>
      <c r="C3224" s="1178" t="s">
        <v>21588</v>
      </c>
      <c r="D3224" s="1178" t="s">
        <v>897</v>
      </c>
      <c r="E3224" s="1179">
        <v>2020</v>
      </c>
      <c r="F3224" s="1282" t="s">
        <v>20220</v>
      </c>
      <c r="G3224" s="1368">
        <v>17.5</v>
      </c>
      <c r="H3224" s="1178" t="s">
        <v>20221</v>
      </c>
      <c r="I3224" s="1178" t="s">
        <v>9952</v>
      </c>
      <c r="J3224" s="1178" t="s">
        <v>662</v>
      </c>
      <c r="K3224" s="1178" t="s">
        <v>317</v>
      </c>
      <c r="L3224" s="1178"/>
      <c r="M3224" s="1369"/>
      <c r="N3224" s="1178" t="s">
        <v>20244</v>
      </c>
      <c r="O3224" s="1178">
        <v>6</v>
      </c>
      <c r="P3224" s="1178">
        <v>14.5</v>
      </c>
    </row>
    <row r="3225" spans="1:16">
      <c r="A3225" s="1178" t="s">
        <v>21476</v>
      </c>
      <c r="B3225" s="1371" t="str">
        <f>HYPERLINK(IFERROR("#Main_Tariff!A"&amp;MATCH(Raeburn_Main_Tariff[[#This Row],[Product Code]],Main_Tariff!I:I,0),"#Main_Tariff!A"&amp;MATCH("*"&amp;RIGHT(A3225,8)&amp;"*",Main_Tariff!A:A,0)),Raeburn_Main_Tariff[[#This Row],[PRODUCER]])</f>
        <v>Famille Tardieu</v>
      </c>
      <c r="C3225" s="1178" t="s">
        <v>21588</v>
      </c>
      <c r="D3225" s="1178" t="s">
        <v>897</v>
      </c>
      <c r="E3225" s="1179">
        <v>2019</v>
      </c>
      <c r="F3225" s="1282" t="s">
        <v>20220</v>
      </c>
      <c r="G3225" s="1368">
        <v>17.5</v>
      </c>
      <c r="H3225" s="1178" t="s">
        <v>20221</v>
      </c>
      <c r="I3225" s="1178" t="s">
        <v>9954</v>
      </c>
      <c r="J3225" s="1178" t="s">
        <v>662</v>
      </c>
      <c r="K3225" s="1178" t="s">
        <v>317</v>
      </c>
      <c r="L3225" s="1178"/>
      <c r="M3225" s="1369"/>
      <c r="N3225" s="1178" t="s">
        <v>20244</v>
      </c>
      <c r="O3225" s="1178">
        <v>6</v>
      </c>
      <c r="P3225" s="1178">
        <v>14.5</v>
      </c>
    </row>
    <row r="3226" spans="1:16">
      <c r="A3226" s="1178" t="s">
        <v>21476</v>
      </c>
      <c r="B3226" s="1371" t="str">
        <f>HYPERLINK(IFERROR("#Main_Tariff!A"&amp;MATCH(Raeburn_Main_Tariff[[#This Row],[Product Code]],Main_Tariff!I:I,0),"#Main_Tariff!A"&amp;MATCH("*"&amp;RIGHT(A3226,8)&amp;"*",Main_Tariff!A:A,0)),Raeburn_Main_Tariff[[#This Row],[PRODUCER]])</f>
        <v>Famille Tardieu</v>
      </c>
      <c r="C3226" s="1178" t="s">
        <v>21588</v>
      </c>
      <c r="D3226" s="1178" t="s">
        <v>897</v>
      </c>
      <c r="E3226" s="1179">
        <v>2018</v>
      </c>
      <c r="F3226" s="1282" t="s">
        <v>20220</v>
      </c>
      <c r="G3226" s="1368">
        <v>17.5</v>
      </c>
      <c r="H3226" s="1178" t="s">
        <v>20221</v>
      </c>
      <c r="I3226" s="1178" t="s">
        <v>9956</v>
      </c>
      <c r="J3226" s="1178" t="s">
        <v>662</v>
      </c>
      <c r="K3226" s="1178" t="s">
        <v>317</v>
      </c>
      <c r="L3226" s="1178"/>
      <c r="M3226" s="1369"/>
      <c r="N3226" s="1178"/>
      <c r="O3226" s="1178">
        <v>6</v>
      </c>
      <c r="P3226" s="1178">
        <v>13.5</v>
      </c>
    </row>
    <row r="3227" spans="1:16">
      <c r="A3227" s="1178" t="s">
        <v>21476</v>
      </c>
      <c r="B3227" s="1371" t="str">
        <f>HYPERLINK(IFERROR("#Main_Tariff!A"&amp;MATCH(Raeburn_Main_Tariff[[#This Row],[Product Code]],Main_Tariff!I:I,0),"#Main_Tariff!A"&amp;MATCH("*"&amp;RIGHT(A3227,8)&amp;"*",Main_Tariff!A:A,0)),Raeburn_Main_Tariff[[#This Row],[PRODUCER]])</f>
        <v>Famille Tardieu</v>
      </c>
      <c r="C3227" s="1178" t="s">
        <v>21588</v>
      </c>
      <c r="D3227" s="1178" t="s">
        <v>897</v>
      </c>
      <c r="E3227" s="1179">
        <v>2017</v>
      </c>
      <c r="F3227" s="1282" t="s">
        <v>20220</v>
      </c>
      <c r="G3227" s="1368">
        <v>17.5</v>
      </c>
      <c r="H3227" s="1178" t="s">
        <v>20221</v>
      </c>
      <c r="I3227" s="1178" t="s">
        <v>9958</v>
      </c>
      <c r="J3227" s="1178" t="s">
        <v>662</v>
      </c>
      <c r="K3227" s="1178" t="s">
        <v>317</v>
      </c>
      <c r="L3227" s="1178"/>
      <c r="M3227" s="1369"/>
      <c r="N3227" s="1178" t="s">
        <v>20244</v>
      </c>
      <c r="O3227" s="1178">
        <v>6</v>
      </c>
      <c r="P3227" s="1178">
        <v>14.5</v>
      </c>
    </row>
    <row r="3228" spans="1:16">
      <c r="A3228" s="1178" t="s">
        <v>21476</v>
      </c>
      <c r="B3228" s="1371" t="str">
        <f>HYPERLINK(IFERROR("#Main_Tariff!A"&amp;MATCH(Raeburn_Main_Tariff[[#This Row],[Product Code]],Main_Tariff!I:I,0),"#Main_Tariff!A"&amp;MATCH("*"&amp;RIGHT(A3228,8)&amp;"*",Main_Tariff!A:A,0)),Raeburn_Main_Tariff[[#This Row],[PRODUCER]])</f>
        <v>Famille Tardieu</v>
      </c>
      <c r="C3228" s="1178" t="s">
        <v>21588</v>
      </c>
      <c r="D3228" s="1178" t="s">
        <v>897</v>
      </c>
      <c r="E3228" s="1179">
        <v>2016</v>
      </c>
      <c r="F3228" s="1282" t="s">
        <v>20220</v>
      </c>
      <c r="G3228" s="1368">
        <v>17.5</v>
      </c>
      <c r="H3228" s="1178" t="s">
        <v>20221</v>
      </c>
      <c r="I3228" s="1178" t="s">
        <v>9960</v>
      </c>
      <c r="J3228" s="1178" t="s">
        <v>662</v>
      </c>
      <c r="K3228" s="1178" t="s">
        <v>317</v>
      </c>
      <c r="L3228" s="1178"/>
      <c r="M3228" s="1369"/>
      <c r="N3228" s="1178" t="s">
        <v>20244</v>
      </c>
      <c r="O3228" s="1178">
        <v>6</v>
      </c>
      <c r="P3228" s="1178">
        <v>14.5</v>
      </c>
    </row>
    <row r="3229" spans="1:16">
      <c r="A3229" s="1178" t="s">
        <v>21476</v>
      </c>
      <c r="B3229" s="1371" t="str">
        <f>HYPERLINK(IFERROR("#Main_Tariff!A"&amp;MATCH(Raeburn_Main_Tariff[[#This Row],[Product Code]],Main_Tariff!I:I,0),"#Main_Tariff!A"&amp;MATCH("*"&amp;RIGHT(A3229,8)&amp;"*",Main_Tariff!A:A,0)),Raeburn_Main_Tariff[[#This Row],[PRODUCER]])</f>
        <v>Famille Tardieu</v>
      </c>
      <c r="C3229" s="1178" t="s">
        <v>21589</v>
      </c>
      <c r="D3229" s="1178" t="s">
        <v>897</v>
      </c>
      <c r="E3229" s="1179">
        <v>2019</v>
      </c>
      <c r="F3229" s="1282" t="s">
        <v>20220</v>
      </c>
      <c r="G3229" s="1368">
        <v>17</v>
      </c>
      <c r="H3229" s="1178" t="s">
        <v>20221</v>
      </c>
      <c r="I3229" s="1178" t="s">
        <v>9964</v>
      </c>
      <c r="J3229" s="1178" t="s">
        <v>662</v>
      </c>
      <c r="K3229" s="1178" t="s">
        <v>317</v>
      </c>
      <c r="L3229" s="1178"/>
      <c r="M3229" s="1369"/>
      <c r="N3229" s="1178"/>
      <c r="O3229" s="1178">
        <v>6</v>
      </c>
      <c r="P3229" s="1178">
        <v>14.5</v>
      </c>
    </row>
    <row r="3230" spans="1:16">
      <c r="A3230" s="1178" t="s">
        <v>21476</v>
      </c>
      <c r="B3230" s="1371" t="str">
        <f>HYPERLINK(IFERROR("#Main_Tariff!A"&amp;MATCH(Raeburn_Main_Tariff[[#This Row],[Product Code]],Main_Tariff!I:I,0),"#Main_Tariff!A"&amp;MATCH("*"&amp;RIGHT(A3230,8)&amp;"*",Main_Tariff!A:A,0)),Raeburn_Main_Tariff[[#This Row],[PRODUCER]])</f>
        <v>Famille Tardieu</v>
      </c>
      <c r="C3230" s="1178" t="s">
        <v>21589</v>
      </c>
      <c r="D3230" s="1178" t="s">
        <v>897</v>
      </c>
      <c r="E3230" s="1179">
        <v>2018</v>
      </c>
      <c r="F3230" s="1282" t="s">
        <v>20220</v>
      </c>
      <c r="G3230" s="1368">
        <v>17</v>
      </c>
      <c r="H3230" s="1178" t="s">
        <v>20221</v>
      </c>
      <c r="I3230" s="1178" t="s">
        <v>9966</v>
      </c>
      <c r="J3230" s="1178" t="s">
        <v>662</v>
      </c>
      <c r="K3230" s="1178" t="s">
        <v>317</v>
      </c>
      <c r="L3230" s="1178"/>
      <c r="M3230" s="1369"/>
      <c r="N3230" s="1178" t="s">
        <v>20244</v>
      </c>
      <c r="O3230" s="1178">
        <v>6</v>
      </c>
      <c r="P3230" s="1178">
        <v>14.5</v>
      </c>
    </row>
    <row r="3231" spans="1:16">
      <c r="A3231" s="1178" t="s">
        <v>21476</v>
      </c>
      <c r="B3231" s="1371" t="str">
        <f>HYPERLINK(IFERROR("#Main_Tariff!A"&amp;MATCH(Raeburn_Main_Tariff[[#This Row],[Product Code]],Main_Tariff!I:I,0),"#Main_Tariff!A"&amp;MATCH("*"&amp;RIGHT(A3231,8)&amp;"*",Main_Tariff!A:A,0)),Raeburn_Main_Tariff[[#This Row],[PRODUCER]])</f>
        <v>Famille Tardieu</v>
      </c>
      <c r="C3231" s="1178" t="s">
        <v>21589</v>
      </c>
      <c r="D3231" s="1178" t="s">
        <v>897</v>
      </c>
      <c r="E3231" s="1179">
        <v>2017</v>
      </c>
      <c r="F3231" s="1282" t="s">
        <v>20220</v>
      </c>
      <c r="G3231" s="1368">
        <v>17</v>
      </c>
      <c r="H3231" s="1178" t="s">
        <v>20221</v>
      </c>
      <c r="I3231" s="1178" t="s">
        <v>9968</v>
      </c>
      <c r="J3231" s="1178" t="s">
        <v>662</v>
      </c>
      <c r="K3231" s="1178" t="s">
        <v>317</v>
      </c>
      <c r="L3231" s="1178"/>
      <c r="M3231" s="1369"/>
      <c r="N3231" s="1178" t="s">
        <v>20244</v>
      </c>
      <c r="O3231" s="1178">
        <v>6</v>
      </c>
      <c r="P3231" s="1178">
        <v>14.5</v>
      </c>
    </row>
    <row r="3232" spans="1:16">
      <c r="A3232" s="1178" t="s">
        <v>21476</v>
      </c>
      <c r="B3232" s="1371" t="str">
        <f>HYPERLINK(IFERROR("#Main_Tariff!A"&amp;MATCH(Raeburn_Main_Tariff[[#This Row],[Product Code]],Main_Tariff!I:I,0),"#Main_Tariff!A"&amp;MATCH("*"&amp;RIGHT(A3232,8)&amp;"*",Main_Tariff!A:A,0)),Raeburn_Main_Tariff[[#This Row],[PRODUCER]])</f>
        <v>Famille Tardieu</v>
      </c>
      <c r="C3232" s="1178" t="s">
        <v>21590</v>
      </c>
      <c r="D3232" s="1178" t="s">
        <v>897</v>
      </c>
      <c r="E3232" s="1179">
        <v>2023</v>
      </c>
      <c r="F3232" s="1282" t="s">
        <v>20220</v>
      </c>
      <c r="G3232" s="1368" t="s">
        <v>20342</v>
      </c>
      <c r="H3232" s="1178" t="s">
        <v>20343</v>
      </c>
      <c r="I3232" s="1178" t="s">
        <v>9972</v>
      </c>
      <c r="J3232" s="1178" t="s">
        <v>662</v>
      </c>
      <c r="K3232" s="1178" t="s">
        <v>317</v>
      </c>
      <c r="L3232" s="1178"/>
      <c r="M3232" s="1369"/>
      <c r="N3232" s="1178" t="s">
        <v>20244</v>
      </c>
      <c r="O3232" s="1178">
        <v>6</v>
      </c>
      <c r="P3232" s="1178">
        <v>13.5</v>
      </c>
    </row>
    <row r="3233" spans="1:16">
      <c r="A3233" s="1178" t="s">
        <v>21476</v>
      </c>
      <c r="B3233" s="1371" t="str">
        <f>HYPERLINK(IFERROR("#Main_Tariff!A"&amp;MATCH(Raeburn_Main_Tariff[[#This Row],[Product Code]],Main_Tariff!I:I,0),"#Main_Tariff!A"&amp;MATCH("*"&amp;RIGHT(A3233,8)&amp;"*",Main_Tariff!A:A,0)),Raeburn_Main_Tariff[[#This Row],[PRODUCER]])</f>
        <v>Famille Tardieu</v>
      </c>
      <c r="C3233" s="1178" t="s">
        <v>21591</v>
      </c>
      <c r="D3233" s="1178" t="s">
        <v>897</v>
      </c>
      <c r="E3233" s="1179">
        <v>2018</v>
      </c>
      <c r="F3233" s="1282" t="s">
        <v>20220</v>
      </c>
      <c r="G3233" s="1368">
        <v>19.5</v>
      </c>
      <c r="H3233" s="1178" t="s">
        <v>20221</v>
      </c>
      <c r="I3233" s="1178" t="s">
        <v>9974</v>
      </c>
      <c r="J3233" s="1178" t="s">
        <v>662</v>
      </c>
      <c r="K3233" s="1178" t="s">
        <v>317</v>
      </c>
      <c r="L3233" s="1178"/>
      <c r="M3233" s="1369"/>
      <c r="N3233" s="1178"/>
      <c r="O3233" s="1178">
        <v>6</v>
      </c>
      <c r="P3233" s="1178">
        <v>14.5</v>
      </c>
    </row>
    <row r="3234" spans="1:16">
      <c r="A3234" s="1178" t="s">
        <v>21476</v>
      </c>
      <c r="B3234" s="1371" t="str">
        <f>HYPERLINK(IFERROR("#Main_Tariff!A"&amp;MATCH(Raeburn_Main_Tariff[[#This Row],[Product Code]],Main_Tariff!I:I,0),"#Main_Tariff!A"&amp;MATCH("*"&amp;RIGHT(A3234,8)&amp;"*",Main_Tariff!A:A,0)),Raeburn_Main_Tariff[[#This Row],[PRODUCER]])</f>
        <v>Famille Tardieu</v>
      </c>
      <c r="C3234" s="1178" t="s">
        <v>21592</v>
      </c>
      <c r="D3234" s="1178" t="s">
        <v>897</v>
      </c>
      <c r="E3234" s="1179">
        <v>2023</v>
      </c>
      <c r="F3234" s="1282" t="s">
        <v>20220</v>
      </c>
      <c r="G3234" s="1368" t="s">
        <v>20342</v>
      </c>
      <c r="H3234" s="1178" t="s">
        <v>20343</v>
      </c>
      <c r="I3234" s="1178" t="s">
        <v>9978</v>
      </c>
      <c r="J3234" s="1178" t="s">
        <v>662</v>
      </c>
      <c r="K3234" s="1178" t="s">
        <v>317</v>
      </c>
      <c r="L3234" s="1178"/>
      <c r="M3234" s="1369"/>
      <c r="N3234" s="1178" t="s">
        <v>20244</v>
      </c>
      <c r="O3234" s="1178">
        <v>6</v>
      </c>
      <c r="P3234" s="1178">
        <v>14</v>
      </c>
    </row>
    <row r="3235" spans="1:16">
      <c r="A3235" s="1178" t="s">
        <v>21476</v>
      </c>
      <c r="B3235" s="1371" t="str">
        <f>HYPERLINK(IFERROR("#Main_Tariff!A"&amp;MATCH(Raeburn_Main_Tariff[[#This Row],[Product Code]],Main_Tariff!I:I,0),"#Main_Tariff!A"&amp;MATCH("*"&amp;RIGHT(A3235,8)&amp;"*",Main_Tariff!A:A,0)),Raeburn_Main_Tariff[[#This Row],[PRODUCER]])</f>
        <v>Famille Tardieu</v>
      </c>
      <c r="C3235" s="1178" t="s">
        <v>21593</v>
      </c>
      <c r="D3235" s="1178" t="s">
        <v>897</v>
      </c>
      <c r="E3235" s="1179">
        <v>2022</v>
      </c>
      <c r="F3235" s="1282" t="s">
        <v>20220</v>
      </c>
      <c r="G3235" s="1368">
        <v>22</v>
      </c>
      <c r="H3235" s="1178" t="s">
        <v>20221</v>
      </c>
      <c r="I3235" s="1178" t="s">
        <v>9980</v>
      </c>
      <c r="J3235" s="1178" t="s">
        <v>662</v>
      </c>
      <c r="K3235" s="1178" t="s">
        <v>317</v>
      </c>
      <c r="L3235" s="1178"/>
      <c r="M3235" s="1369"/>
      <c r="N3235" s="1178" t="s">
        <v>20244</v>
      </c>
      <c r="O3235" s="1178">
        <v>6</v>
      </c>
      <c r="P3235" s="1178">
        <v>14</v>
      </c>
    </row>
    <row r="3236" spans="1:16">
      <c r="A3236" s="1178" t="s">
        <v>21476</v>
      </c>
      <c r="B3236" s="1371" t="str">
        <f>HYPERLINK(IFERROR("#Main_Tariff!A"&amp;MATCH(Raeburn_Main_Tariff[[#This Row],[Product Code]],Main_Tariff!I:I,0),"#Main_Tariff!A"&amp;MATCH("*"&amp;RIGHT(A3236,8)&amp;"*",Main_Tariff!A:A,0)),Raeburn_Main_Tariff[[#This Row],[PRODUCER]])</f>
        <v>Famille Tardieu</v>
      </c>
      <c r="C3236" s="1178" t="s">
        <v>21592</v>
      </c>
      <c r="D3236" s="1178" t="s">
        <v>897</v>
      </c>
      <c r="E3236" s="1179">
        <v>2021</v>
      </c>
      <c r="F3236" s="1282" t="s">
        <v>20220</v>
      </c>
      <c r="G3236" s="1368">
        <v>21.5</v>
      </c>
      <c r="H3236" s="1178" t="s">
        <v>20221</v>
      </c>
      <c r="I3236" s="1178" t="s">
        <v>9982</v>
      </c>
      <c r="J3236" s="1178" t="s">
        <v>662</v>
      </c>
      <c r="K3236" s="1178" t="s">
        <v>317</v>
      </c>
      <c r="L3236" s="1178"/>
      <c r="M3236" s="1369"/>
      <c r="N3236" s="1178" t="s">
        <v>20244</v>
      </c>
      <c r="O3236" s="1178">
        <v>6</v>
      </c>
      <c r="P3236" s="1178">
        <v>14.5</v>
      </c>
    </row>
    <row r="3237" spans="1:16">
      <c r="A3237" s="1178" t="s">
        <v>21476</v>
      </c>
      <c r="B3237" s="1371" t="str">
        <f>HYPERLINK(IFERROR("#Main_Tariff!A"&amp;MATCH(Raeburn_Main_Tariff[[#This Row],[Product Code]],Main_Tariff!I:I,0),"#Main_Tariff!A"&amp;MATCH("*"&amp;RIGHT(A3237,8)&amp;"*",Main_Tariff!A:A,0)),Raeburn_Main_Tariff[[#This Row],[PRODUCER]])</f>
        <v>Famille Tardieu</v>
      </c>
      <c r="C3237" s="1178" t="s">
        <v>21592</v>
      </c>
      <c r="D3237" s="1178" t="s">
        <v>897</v>
      </c>
      <c r="E3237" s="1179">
        <v>2020</v>
      </c>
      <c r="F3237" s="1282" t="s">
        <v>20220</v>
      </c>
      <c r="G3237" s="1368">
        <v>21</v>
      </c>
      <c r="H3237" s="1178" t="s">
        <v>20221</v>
      </c>
      <c r="I3237" s="1178" t="s">
        <v>9984</v>
      </c>
      <c r="J3237" s="1178" t="s">
        <v>662</v>
      </c>
      <c r="K3237" s="1178" t="s">
        <v>317</v>
      </c>
      <c r="L3237" s="1178"/>
      <c r="M3237" s="1369"/>
      <c r="N3237" s="1178" t="s">
        <v>20244</v>
      </c>
      <c r="O3237" s="1178">
        <v>6</v>
      </c>
      <c r="P3237" s="1178">
        <v>14.5</v>
      </c>
    </row>
    <row r="3238" spans="1:16">
      <c r="A3238" s="1178" t="s">
        <v>21476</v>
      </c>
      <c r="B3238" s="1371" t="str">
        <f>HYPERLINK(IFERROR("#Main_Tariff!A"&amp;MATCH(Raeburn_Main_Tariff[[#This Row],[Product Code]],Main_Tariff!I:I,0),"#Main_Tariff!A"&amp;MATCH("*"&amp;RIGHT(A3238,8)&amp;"*",Main_Tariff!A:A,0)),Raeburn_Main_Tariff[[#This Row],[PRODUCER]])</f>
        <v>Famille Tardieu</v>
      </c>
      <c r="C3238" s="1178" t="s">
        <v>21592</v>
      </c>
      <c r="D3238" s="1178" t="s">
        <v>897</v>
      </c>
      <c r="E3238" s="1179">
        <v>2019</v>
      </c>
      <c r="F3238" s="1282" t="s">
        <v>20220</v>
      </c>
      <c r="G3238" s="1368">
        <v>21</v>
      </c>
      <c r="H3238" s="1178" t="s">
        <v>20221</v>
      </c>
      <c r="I3238" s="1178" t="s">
        <v>9986</v>
      </c>
      <c r="J3238" s="1178" t="s">
        <v>662</v>
      </c>
      <c r="K3238" s="1178" t="s">
        <v>317</v>
      </c>
      <c r="L3238" s="1178"/>
      <c r="M3238" s="1369"/>
      <c r="N3238" s="1178" t="s">
        <v>20244</v>
      </c>
      <c r="O3238" s="1178">
        <v>6</v>
      </c>
      <c r="P3238" s="1178">
        <v>14.5</v>
      </c>
    </row>
    <row r="3239" spans="1:16">
      <c r="A3239" s="1178" t="s">
        <v>21476</v>
      </c>
      <c r="B3239" s="1371" t="str">
        <f>HYPERLINK(IFERROR("#Main_Tariff!A"&amp;MATCH(Raeburn_Main_Tariff[[#This Row],[Product Code]],Main_Tariff!I:I,0),"#Main_Tariff!A"&amp;MATCH("*"&amp;RIGHT(A3239,8)&amp;"*",Main_Tariff!A:A,0)),Raeburn_Main_Tariff[[#This Row],[PRODUCER]])</f>
        <v>Famille Tardieu</v>
      </c>
      <c r="C3239" s="1178" t="s">
        <v>21592</v>
      </c>
      <c r="D3239" s="1178" t="s">
        <v>897</v>
      </c>
      <c r="E3239" s="1179">
        <v>2018</v>
      </c>
      <c r="F3239" s="1282" t="s">
        <v>20220</v>
      </c>
      <c r="G3239" s="1368">
        <v>21</v>
      </c>
      <c r="H3239" s="1178" t="s">
        <v>20221</v>
      </c>
      <c r="I3239" s="1178" t="s">
        <v>9988</v>
      </c>
      <c r="J3239" s="1178" t="s">
        <v>662</v>
      </c>
      <c r="K3239" s="1178" t="s">
        <v>317</v>
      </c>
      <c r="L3239" s="1178"/>
      <c r="M3239" s="1369"/>
      <c r="N3239" s="1178"/>
      <c r="O3239" s="1178">
        <v>6</v>
      </c>
      <c r="P3239" s="1178">
        <v>14.5</v>
      </c>
    </row>
    <row r="3240" spans="1:16">
      <c r="A3240" s="1178" t="s">
        <v>21476</v>
      </c>
      <c r="B3240" s="1371" t="str">
        <f>HYPERLINK(IFERROR("#Main_Tariff!A"&amp;MATCH(Raeburn_Main_Tariff[[#This Row],[Product Code]],Main_Tariff!I:I,0),"#Main_Tariff!A"&amp;MATCH("*"&amp;RIGHT(A3240,8)&amp;"*",Main_Tariff!A:A,0)),Raeburn_Main_Tariff[[#This Row],[PRODUCER]])</f>
        <v>Famille Tardieu</v>
      </c>
      <c r="C3240" s="1178" t="s">
        <v>21594</v>
      </c>
      <c r="D3240" s="1178" t="s">
        <v>897</v>
      </c>
      <c r="E3240" s="1179">
        <v>2017</v>
      </c>
      <c r="F3240" s="1282" t="s">
        <v>20220</v>
      </c>
      <c r="G3240" s="1368">
        <v>21</v>
      </c>
      <c r="H3240" s="1178" t="s">
        <v>20221</v>
      </c>
      <c r="I3240" s="1178" t="s">
        <v>9990</v>
      </c>
      <c r="J3240" s="1178" t="s">
        <v>662</v>
      </c>
      <c r="K3240" s="1178" t="s">
        <v>317</v>
      </c>
      <c r="L3240" s="1178"/>
      <c r="M3240" s="1369"/>
      <c r="N3240" s="1178" t="s">
        <v>20244</v>
      </c>
      <c r="O3240" s="1178">
        <v>6</v>
      </c>
      <c r="P3240" s="1178">
        <v>14.5</v>
      </c>
    </row>
    <row r="3241" spans="1:16">
      <c r="A3241" s="1178" t="s">
        <v>21476</v>
      </c>
      <c r="B3241" s="1371" t="str">
        <f>HYPERLINK(IFERROR("#Main_Tariff!A"&amp;MATCH(Raeburn_Main_Tariff[[#This Row],[Product Code]],Main_Tariff!I:I,0),"#Main_Tariff!A"&amp;MATCH("*"&amp;RIGHT(A3241,8)&amp;"*",Main_Tariff!A:A,0)),Raeburn_Main_Tariff[[#This Row],[PRODUCER]])</f>
        <v>Famille Tardieu</v>
      </c>
      <c r="C3241" s="1178" t="s">
        <v>21592</v>
      </c>
      <c r="D3241" s="1178" t="s">
        <v>897</v>
      </c>
      <c r="E3241" s="1179">
        <v>2016</v>
      </c>
      <c r="F3241" s="1282" t="s">
        <v>20220</v>
      </c>
      <c r="G3241" s="1368">
        <v>21</v>
      </c>
      <c r="H3241" s="1178" t="s">
        <v>20221</v>
      </c>
      <c r="I3241" s="1178" t="s">
        <v>9992</v>
      </c>
      <c r="J3241" s="1178" t="s">
        <v>662</v>
      </c>
      <c r="K3241" s="1178" t="s">
        <v>317</v>
      </c>
      <c r="L3241" s="1178"/>
      <c r="M3241" s="1369"/>
      <c r="N3241" s="1178" t="s">
        <v>20244</v>
      </c>
      <c r="O3241" s="1178">
        <v>6</v>
      </c>
      <c r="P3241" s="1178">
        <v>14.5</v>
      </c>
    </row>
    <row r="3242" spans="1:16">
      <c r="A3242" s="1178" t="s">
        <v>21476</v>
      </c>
      <c r="B3242" s="1371" t="str">
        <f>HYPERLINK(IFERROR("#Main_Tariff!A"&amp;MATCH(Raeburn_Main_Tariff[[#This Row],[Product Code]],Main_Tariff!I:I,0),"#Main_Tariff!A"&amp;MATCH("*"&amp;RIGHT(A3242,8)&amp;"*",Main_Tariff!A:A,0)),Raeburn_Main_Tariff[[#This Row],[PRODUCER]])</f>
        <v>Famille Tardieu</v>
      </c>
      <c r="C3242" s="1178" t="s">
        <v>21595</v>
      </c>
      <c r="D3242" s="1178" t="s">
        <v>897</v>
      </c>
      <c r="E3242" s="1179">
        <v>2023</v>
      </c>
      <c r="F3242" s="1282" t="s">
        <v>20220</v>
      </c>
      <c r="G3242" s="1368" t="s">
        <v>20342</v>
      </c>
      <c r="H3242" s="1178" t="s">
        <v>20343</v>
      </c>
      <c r="I3242" s="1178" t="s">
        <v>9996</v>
      </c>
      <c r="J3242" s="1178" t="s">
        <v>662</v>
      </c>
      <c r="K3242" s="1178" t="s">
        <v>317</v>
      </c>
      <c r="L3242" s="1178"/>
      <c r="M3242" s="1369"/>
      <c r="N3242" s="1178" t="s">
        <v>20244</v>
      </c>
      <c r="O3242" s="1178">
        <v>6</v>
      </c>
      <c r="P3242" s="1178">
        <v>14.5</v>
      </c>
    </row>
    <row r="3243" spans="1:16">
      <c r="A3243" s="1178" t="s">
        <v>21476</v>
      </c>
      <c r="B3243" s="1371" t="str">
        <f>HYPERLINK(IFERROR("#Main_Tariff!A"&amp;MATCH(Raeburn_Main_Tariff[[#This Row],[Product Code]],Main_Tariff!I:I,0),"#Main_Tariff!A"&amp;MATCH("*"&amp;RIGHT(A3243,8)&amp;"*",Main_Tariff!A:A,0)),Raeburn_Main_Tariff[[#This Row],[PRODUCER]])</f>
        <v>Famille Tardieu</v>
      </c>
      <c r="C3243" s="1178" t="s">
        <v>21596</v>
      </c>
      <c r="D3243" s="1178" t="s">
        <v>897</v>
      </c>
      <c r="E3243" s="1179">
        <v>2022</v>
      </c>
      <c r="F3243" s="1282" t="s">
        <v>20220</v>
      </c>
      <c r="G3243" s="1368">
        <v>27.25</v>
      </c>
      <c r="H3243" s="1178" t="s">
        <v>20221</v>
      </c>
      <c r="I3243" s="1178" t="s">
        <v>9998</v>
      </c>
      <c r="J3243" s="1178" t="s">
        <v>662</v>
      </c>
      <c r="K3243" s="1178" t="s">
        <v>317</v>
      </c>
      <c r="L3243" s="1178"/>
      <c r="M3243" s="1369"/>
      <c r="N3243" s="1178" t="s">
        <v>20244</v>
      </c>
      <c r="O3243" s="1178">
        <v>6</v>
      </c>
      <c r="P3243" s="1178">
        <v>14</v>
      </c>
    </row>
    <row r="3244" spans="1:16">
      <c r="A3244" s="1178" t="s">
        <v>21476</v>
      </c>
      <c r="B3244" s="1371" t="str">
        <f>HYPERLINK(IFERROR("#Main_Tariff!A"&amp;MATCH(Raeburn_Main_Tariff[[#This Row],[Product Code]],Main_Tariff!I:I,0),"#Main_Tariff!A"&amp;MATCH("*"&amp;RIGHT(A3244,8)&amp;"*",Main_Tariff!A:A,0)),Raeburn_Main_Tariff[[#This Row],[PRODUCER]])</f>
        <v>Famille Tardieu</v>
      </c>
      <c r="C3244" s="1178" t="s">
        <v>21597</v>
      </c>
      <c r="D3244" s="1178" t="s">
        <v>897</v>
      </c>
      <c r="E3244" s="1179">
        <v>2021</v>
      </c>
      <c r="F3244" s="1282" t="s">
        <v>20220</v>
      </c>
      <c r="G3244" s="1368">
        <v>26.25</v>
      </c>
      <c r="H3244" s="1178" t="s">
        <v>20221</v>
      </c>
      <c r="I3244" s="1178" t="s">
        <v>10000</v>
      </c>
      <c r="J3244" s="1178" t="s">
        <v>662</v>
      </c>
      <c r="K3244" s="1178" t="s">
        <v>317</v>
      </c>
      <c r="L3244" s="1178"/>
      <c r="M3244" s="1369"/>
      <c r="N3244" s="1178" t="s">
        <v>20244</v>
      </c>
      <c r="O3244" s="1178">
        <v>6</v>
      </c>
      <c r="P3244" s="1178">
        <v>14.5</v>
      </c>
    </row>
    <row r="3245" spans="1:16">
      <c r="A3245" s="1178" t="s">
        <v>21476</v>
      </c>
      <c r="B3245" s="1371" t="str">
        <f>HYPERLINK(IFERROR("#Main_Tariff!A"&amp;MATCH(Raeburn_Main_Tariff[[#This Row],[Product Code]],Main_Tariff!I:I,0),"#Main_Tariff!A"&amp;MATCH("*"&amp;RIGHT(A3245,8)&amp;"*",Main_Tariff!A:A,0)),Raeburn_Main_Tariff[[#This Row],[PRODUCER]])</f>
        <v>Famille Tardieu</v>
      </c>
      <c r="C3245" s="1178" t="s">
        <v>21598</v>
      </c>
      <c r="D3245" s="1178" t="s">
        <v>897</v>
      </c>
      <c r="E3245" s="1179">
        <v>2020</v>
      </c>
      <c r="F3245" s="1282" t="s">
        <v>20220</v>
      </c>
      <c r="G3245" s="1368">
        <v>24.5</v>
      </c>
      <c r="H3245" s="1178" t="s">
        <v>20221</v>
      </c>
      <c r="I3245" s="1178" t="s">
        <v>10002</v>
      </c>
      <c r="J3245" s="1178" t="s">
        <v>662</v>
      </c>
      <c r="K3245" s="1178" t="s">
        <v>317</v>
      </c>
      <c r="L3245" s="1178"/>
      <c r="M3245" s="1369"/>
      <c r="N3245" s="1178" t="s">
        <v>20244</v>
      </c>
      <c r="O3245" s="1178">
        <v>6</v>
      </c>
      <c r="P3245" s="1178">
        <v>14.5</v>
      </c>
    </row>
    <row r="3246" spans="1:16">
      <c r="A3246" s="1178" t="s">
        <v>21476</v>
      </c>
      <c r="B3246" s="1371" t="str">
        <f>HYPERLINK(IFERROR("#Main_Tariff!A"&amp;MATCH(Raeburn_Main_Tariff[[#This Row],[Product Code]],Main_Tariff!I:I,0),"#Main_Tariff!A"&amp;MATCH("*"&amp;RIGHT(A3246,8)&amp;"*",Main_Tariff!A:A,0)),Raeburn_Main_Tariff[[#This Row],[PRODUCER]])</f>
        <v>Famille Tardieu</v>
      </c>
      <c r="C3246" s="1178" t="s">
        <v>21597</v>
      </c>
      <c r="D3246" s="1178" t="s">
        <v>897</v>
      </c>
      <c r="E3246" s="1179">
        <v>2019</v>
      </c>
      <c r="F3246" s="1282" t="s">
        <v>20220</v>
      </c>
      <c r="G3246" s="1368">
        <v>27.25</v>
      </c>
      <c r="H3246" s="1178" t="s">
        <v>20221</v>
      </c>
      <c r="I3246" s="1178" t="s">
        <v>10004</v>
      </c>
      <c r="J3246" s="1178" t="s">
        <v>662</v>
      </c>
      <c r="K3246" s="1178" t="s">
        <v>317</v>
      </c>
      <c r="L3246" s="1178"/>
      <c r="M3246" s="1369"/>
      <c r="N3246" s="1178"/>
      <c r="O3246" s="1178">
        <v>6</v>
      </c>
      <c r="P3246" s="1178">
        <v>14.5</v>
      </c>
    </row>
    <row r="3247" spans="1:16">
      <c r="A3247" s="1178" t="s">
        <v>21476</v>
      </c>
      <c r="B3247" s="1371" t="str">
        <f>HYPERLINK(IFERROR("#Main_Tariff!A"&amp;MATCH(Raeburn_Main_Tariff[[#This Row],[Product Code]],Main_Tariff!I:I,0),"#Main_Tariff!A"&amp;MATCH("*"&amp;RIGHT(A3247,8)&amp;"*",Main_Tariff!A:A,0)),Raeburn_Main_Tariff[[#This Row],[PRODUCER]])</f>
        <v>Famille Tardieu</v>
      </c>
      <c r="C3247" s="1178" t="s">
        <v>21597</v>
      </c>
      <c r="D3247" s="1178" t="s">
        <v>897</v>
      </c>
      <c r="E3247" s="1179">
        <v>2018</v>
      </c>
      <c r="F3247" s="1282" t="s">
        <v>20220</v>
      </c>
      <c r="G3247" s="1368">
        <v>24.5</v>
      </c>
      <c r="H3247" s="1178" t="s">
        <v>20221</v>
      </c>
      <c r="I3247" s="1178" t="s">
        <v>10006</v>
      </c>
      <c r="J3247" s="1178" t="s">
        <v>662</v>
      </c>
      <c r="K3247" s="1178" t="s">
        <v>317</v>
      </c>
      <c r="L3247" s="1178"/>
      <c r="M3247" s="1369"/>
      <c r="N3247" s="1178"/>
      <c r="O3247" s="1178">
        <v>6</v>
      </c>
      <c r="P3247" s="1178">
        <v>14.5</v>
      </c>
    </row>
    <row r="3248" spans="1:16">
      <c r="A3248" s="1178" t="s">
        <v>21476</v>
      </c>
      <c r="B3248" s="1371" t="str">
        <f>HYPERLINK(IFERROR("#Main_Tariff!A"&amp;MATCH(Raeburn_Main_Tariff[[#This Row],[Product Code]],Main_Tariff!I:I,0),"#Main_Tariff!A"&amp;MATCH("*"&amp;RIGHT(A3248,8)&amp;"*",Main_Tariff!A:A,0)),Raeburn_Main_Tariff[[#This Row],[PRODUCER]])</f>
        <v>Famille Tardieu</v>
      </c>
      <c r="C3248" s="1178" t="s">
        <v>21597</v>
      </c>
      <c r="D3248" s="1178" t="s">
        <v>897</v>
      </c>
      <c r="E3248" s="1179">
        <v>2017</v>
      </c>
      <c r="F3248" s="1282" t="s">
        <v>20220</v>
      </c>
      <c r="G3248" s="1368">
        <v>24.5</v>
      </c>
      <c r="H3248" s="1178" t="s">
        <v>20221</v>
      </c>
      <c r="I3248" s="1178" t="s">
        <v>10007</v>
      </c>
      <c r="J3248" s="1178" t="s">
        <v>662</v>
      </c>
      <c r="K3248" s="1178" t="s">
        <v>317</v>
      </c>
      <c r="L3248" s="1178"/>
      <c r="M3248" s="1369"/>
      <c r="N3248" s="1178" t="s">
        <v>20244</v>
      </c>
      <c r="O3248" s="1178">
        <v>6</v>
      </c>
      <c r="P3248" s="1178">
        <v>14.5</v>
      </c>
    </row>
    <row r="3249" spans="1:16">
      <c r="A3249" s="1178" t="s">
        <v>21476</v>
      </c>
      <c r="B3249" s="1371" t="str">
        <f>HYPERLINK(IFERROR("#Main_Tariff!A"&amp;MATCH(Raeburn_Main_Tariff[[#This Row],[Product Code]],Main_Tariff!I:I,0),"#Main_Tariff!A"&amp;MATCH("*"&amp;RIGHT(A3249,8)&amp;"*",Main_Tariff!A:A,0)),Raeburn_Main_Tariff[[#This Row],[PRODUCER]])</f>
        <v>Famille Tardieu</v>
      </c>
      <c r="C3249" s="1178" t="s">
        <v>21597</v>
      </c>
      <c r="D3249" s="1178" t="s">
        <v>897</v>
      </c>
      <c r="E3249" s="1179">
        <v>2016</v>
      </c>
      <c r="F3249" s="1282" t="s">
        <v>20220</v>
      </c>
      <c r="G3249" s="1368">
        <v>24.5</v>
      </c>
      <c r="H3249" s="1178" t="s">
        <v>20221</v>
      </c>
      <c r="I3249" s="1178" t="s">
        <v>10008</v>
      </c>
      <c r="J3249" s="1178" t="s">
        <v>662</v>
      </c>
      <c r="K3249" s="1178" t="s">
        <v>317</v>
      </c>
      <c r="L3249" s="1178"/>
      <c r="M3249" s="1369"/>
      <c r="N3249" s="1178" t="s">
        <v>20244</v>
      </c>
      <c r="O3249" s="1178">
        <v>6</v>
      </c>
      <c r="P3249" s="1178">
        <v>14.5</v>
      </c>
    </row>
    <row r="3250" spans="1:16">
      <c r="A3250" s="1178" t="s">
        <v>21476</v>
      </c>
      <c r="B3250" s="1371" t="str">
        <f>HYPERLINK(IFERROR("#Main_Tariff!A"&amp;MATCH(Raeburn_Main_Tariff[[#This Row],[Product Code]],Main_Tariff!I:I,0),"#Main_Tariff!A"&amp;MATCH("*"&amp;RIGHT(A3250,8)&amp;"*",Main_Tariff!A:A,0)),Raeburn_Main_Tariff[[#This Row],[PRODUCER]])</f>
        <v>Famille Tardieu</v>
      </c>
      <c r="C3250" s="1178" t="s">
        <v>21597</v>
      </c>
      <c r="D3250" s="1178" t="s">
        <v>897</v>
      </c>
      <c r="E3250" s="1179">
        <v>2015</v>
      </c>
      <c r="F3250" s="1282" t="s">
        <v>20220</v>
      </c>
      <c r="G3250" s="1368">
        <v>24.5</v>
      </c>
      <c r="H3250" s="1178" t="s">
        <v>20221</v>
      </c>
      <c r="I3250" s="1178" t="s">
        <v>10009</v>
      </c>
      <c r="J3250" s="1178" t="s">
        <v>662</v>
      </c>
      <c r="K3250" s="1178" t="s">
        <v>317</v>
      </c>
      <c r="L3250" s="1178"/>
      <c r="M3250" s="1369"/>
      <c r="N3250" s="1178" t="s">
        <v>20244</v>
      </c>
      <c r="O3250" s="1178">
        <v>6</v>
      </c>
      <c r="P3250" s="1178">
        <v>14.5</v>
      </c>
    </row>
    <row r="3251" spans="1:16">
      <c r="A3251" s="1178" t="s">
        <v>21476</v>
      </c>
      <c r="B3251" s="1371" t="str">
        <f>HYPERLINK(IFERROR("#Main_Tariff!A"&amp;MATCH(Raeburn_Main_Tariff[[#This Row],[Product Code]],Main_Tariff!I:I,0),"#Main_Tariff!A"&amp;MATCH("*"&amp;RIGHT(A3251,8)&amp;"*",Main_Tariff!A:A,0)),Raeburn_Main_Tariff[[#This Row],[PRODUCER]])</f>
        <v>Famille Tardieu</v>
      </c>
      <c r="C3251" s="1178" t="s">
        <v>21597</v>
      </c>
      <c r="D3251" s="1178" t="s">
        <v>897</v>
      </c>
      <c r="E3251" s="1179">
        <v>2013</v>
      </c>
      <c r="F3251" s="1282" t="s">
        <v>20220</v>
      </c>
      <c r="G3251" s="1368">
        <v>24.5</v>
      </c>
      <c r="H3251" s="1178" t="s">
        <v>20221</v>
      </c>
      <c r="I3251" s="1178" t="s">
        <v>10010</v>
      </c>
      <c r="J3251" s="1178" t="s">
        <v>662</v>
      </c>
      <c r="K3251" s="1178" t="s">
        <v>317</v>
      </c>
      <c r="L3251" s="1178"/>
      <c r="M3251" s="1369"/>
      <c r="N3251" s="1178"/>
      <c r="O3251" s="1178">
        <v>12</v>
      </c>
      <c r="P3251" s="1178">
        <v>14.5</v>
      </c>
    </row>
    <row r="3252" spans="1:16">
      <c r="A3252" s="1178" t="s">
        <v>21476</v>
      </c>
      <c r="B3252" s="1371" t="str">
        <f>HYPERLINK(IFERROR("#Main_Tariff!A"&amp;MATCH(Raeburn_Main_Tariff[[#This Row],[Product Code]],Main_Tariff!I:I,0),"#Main_Tariff!A"&amp;MATCH("*"&amp;RIGHT(A3252,8)&amp;"*",Main_Tariff!A:A,0)),Raeburn_Main_Tariff[[#This Row],[PRODUCER]])</f>
        <v>Famille Tardieu</v>
      </c>
      <c r="C3252" s="1178" t="s">
        <v>21597</v>
      </c>
      <c r="D3252" s="1178" t="s">
        <v>897</v>
      </c>
      <c r="E3252" s="1179">
        <v>2012</v>
      </c>
      <c r="F3252" s="1282" t="s">
        <v>20220</v>
      </c>
      <c r="G3252" s="1368">
        <v>24.5</v>
      </c>
      <c r="H3252" s="1178" t="s">
        <v>20221</v>
      </c>
      <c r="I3252" s="1178" t="s">
        <v>9932</v>
      </c>
      <c r="J3252" s="1178" t="s">
        <v>662</v>
      </c>
      <c r="K3252" s="1178" t="s">
        <v>317</v>
      </c>
      <c r="L3252" s="1178"/>
      <c r="M3252" s="1369"/>
      <c r="N3252" s="1178"/>
      <c r="O3252" s="1178">
        <v>12</v>
      </c>
      <c r="P3252" s="1178">
        <v>14.5</v>
      </c>
    </row>
    <row r="3253" spans="1:16">
      <c r="A3253" s="1178" t="s">
        <v>21476</v>
      </c>
      <c r="B3253" s="1371" t="str">
        <f>HYPERLINK(IFERROR("#Main_Tariff!A"&amp;MATCH(Raeburn_Main_Tariff[[#This Row],[Product Code]],Main_Tariff!I:I,0),"#Main_Tariff!A"&amp;MATCH("*"&amp;RIGHT(A3253,8)&amp;"*",Main_Tariff!A:A,0)),Raeburn_Main_Tariff[[#This Row],[PRODUCER]])</f>
        <v>Famille Tardieu</v>
      </c>
      <c r="C3253" s="1178" t="s">
        <v>21599</v>
      </c>
      <c r="D3253" s="1178" t="s">
        <v>897</v>
      </c>
      <c r="E3253" s="1179">
        <v>2023</v>
      </c>
      <c r="F3253" s="1282" t="s">
        <v>20220</v>
      </c>
      <c r="G3253" s="1368" t="s">
        <v>20342</v>
      </c>
      <c r="H3253" s="1178" t="s">
        <v>20343</v>
      </c>
      <c r="I3253" s="1178" t="s">
        <v>10014</v>
      </c>
      <c r="J3253" s="1178" t="s">
        <v>662</v>
      </c>
      <c r="K3253" s="1178" t="s">
        <v>317</v>
      </c>
      <c r="L3253" s="1178"/>
      <c r="M3253" s="1369"/>
      <c r="N3253" s="1178"/>
      <c r="O3253" s="1178">
        <v>6</v>
      </c>
      <c r="P3253" s="1178">
        <v>14.5</v>
      </c>
    </row>
    <row r="3254" spans="1:16">
      <c r="A3254" s="1178" t="s">
        <v>21476</v>
      </c>
      <c r="B3254" s="1371" t="str">
        <f>HYPERLINK(IFERROR("#Main_Tariff!A"&amp;MATCH(Raeburn_Main_Tariff[[#This Row],[Product Code]],Main_Tariff!I:I,0),"#Main_Tariff!A"&amp;MATCH("*"&amp;RIGHT(A3254,8)&amp;"*",Main_Tariff!A:A,0)),Raeburn_Main_Tariff[[#This Row],[PRODUCER]])</f>
        <v>Famille Tardieu</v>
      </c>
      <c r="C3254" s="1178" t="s">
        <v>21599</v>
      </c>
      <c r="D3254" s="1178" t="s">
        <v>897</v>
      </c>
      <c r="E3254" s="1179">
        <v>2021</v>
      </c>
      <c r="F3254" s="1282" t="s">
        <v>20220</v>
      </c>
      <c r="G3254" s="1368">
        <v>37.75</v>
      </c>
      <c r="H3254" s="1178" t="s">
        <v>20221</v>
      </c>
      <c r="I3254" s="1178" t="s">
        <v>10015</v>
      </c>
      <c r="J3254" s="1178" t="s">
        <v>662</v>
      </c>
      <c r="K3254" s="1178" t="s">
        <v>317</v>
      </c>
      <c r="L3254" s="1178"/>
      <c r="M3254" s="1369"/>
      <c r="N3254" s="1178"/>
      <c r="O3254" s="1178">
        <v>6</v>
      </c>
      <c r="P3254" s="1178">
        <v>14.5</v>
      </c>
    </row>
    <row r="3255" spans="1:16">
      <c r="A3255" s="1178" t="s">
        <v>21476</v>
      </c>
      <c r="B3255" s="1371" t="str">
        <f>HYPERLINK(IFERROR("#Main_Tariff!A"&amp;MATCH(Raeburn_Main_Tariff[[#This Row],[Product Code]],Main_Tariff!I:I,0),"#Main_Tariff!A"&amp;MATCH("*"&amp;RIGHT(A3255,8)&amp;"*",Main_Tariff!A:A,0)),Raeburn_Main_Tariff[[#This Row],[PRODUCER]])</f>
        <v>Famille Tardieu</v>
      </c>
      <c r="C3255" s="1178" t="s">
        <v>21599</v>
      </c>
      <c r="D3255" s="1178" t="s">
        <v>897</v>
      </c>
      <c r="E3255" s="1179">
        <v>2020</v>
      </c>
      <c r="F3255" s="1282" t="s">
        <v>20220</v>
      </c>
      <c r="G3255" s="1368">
        <v>35.5</v>
      </c>
      <c r="H3255" s="1178" t="s">
        <v>20221</v>
      </c>
      <c r="I3255" s="1178" t="s">
        <v>10017</v>
      </c>
      <c r="J3255" s="1178" t="s">
        <v>662</v>
      </c>
      <c r="K3255" s="1178" t="s">
        <v>317</v>
      </c>
      <c r="L3255" s="1178"/>
      <c r="M3255" s="1369"/>
      <c r="N3255" s="1178"/>
      <c r="O3255" s="1178">
        <v>6</v>
      </c>
      <c r="P3255" s="1178">
        <v>14.5</v>
      </c>
    </row>
    <row r="3256" spans="1:16">
      <c r="A3256" s="1178" t="s">
        <v>21476</v>
      </c>
      <c r="B3256" s="1371" t="str">
        <f>HYPERLINK(IFERROR("#Main_Tariff!A"&amp;MATCH(Raeburn_Main_Tariff[[#This Row],[Product Code]],Main_Tariff!I:I,0),"#Main_Tariff!A"&amp;MATCH("*"&amp;RIGHT(A3256,8)&amp;"*",Main_Tariff!A:A,0)),Raeburn_Main_Tariff[[#This Row],[PRODUCER]])</f>
        <v>Famille Tardieu</v>
      </c>
      <c r="C3256" s="1178" t="s">
        <v>21599</v>
      </c>
      <c r="D3256" s="1178" t="s">
        <v>897</v>
      </c>
      <c r="E3256" s="1179">
        <v>2019</v>
      </c>
      <c r="F3256" s="1282" t="s">
        <v>20220</v>
      </c>
      <c r="G3256" s="1368">
        <v>35.5</v>
      </c>
      <c r="H3256" s="1178" t="s">
        <v>20221</v>
      </c>
      <c r="I3256" s="1178" t="s">
        <v>10018</v>
      </c>
      <c r="J3256" s="1178" t="s">
        <v>662</v>
      </c>
      <c r="K3256" s="1178" t="s">
        <v>317</v>
      </c>
      <c r="L3256" s="1178"/>
      <c r="M3256" s="1369"/>
      <c r="N3256" s="1178"/>
      <c r="O3256" s="1178">
        <v>6</v>
      </c>
      <c r="P3256" s="1178">
        <v>14.5</v>
      </c>
    </row>
    <row r="3257" spans="1:16">
      <c r="A3257" s="1178" t="s">
        <v>21476</v>
      </c>
      <c r="B3257" s="1371" t="str">
        <f>HYPERLINK(IFERROR("#Main_Tariff!A"&amp;MATCH(Raeburn_Main_Tariff[[#This Row],[Product Code]],Main_Tariff!I:I,0),"#Main_Tariff!A"&amp;MATCH("*"&amp;RIGHT(A3257,8)&amp;"*",Main_Tariff!A:A,0)),Raeburn_Main_Tariff[[#This Row],[PRODUCER]])</f>
        <v>Famille Tardieu</v>
      </c>
      <c r="C3257" s="1178" t="s">
        <v>21599</v>
      </c>
      <c r="D3257" s="1178" t="s">
        <v>897</v>
      </c>
      <c r="E3257" s="1179">
        <v>2018</v>
      </c>
      <c r="F3257" s="1282" t="s">
        <v>20220</v>
      </c>
      <c r="G3257" s="1368">
        <v>35.5</v>
      </c>
      <c r="H3257" s="1178" t="s">
        <v>20221</v>
      </c>
      <c r="I3257" s="1178" t="s">
        <v>10019</v>
      </c>
      <c r="J3257" s="1178" t="s">
        <v>662</v>
      </c>
      <c r="K3257" s="1178" t="s">
        <v>317</v>
      </c>
      <c r="L3257" s="1178"/>
      <c r="M3257" s="1369"/>
      <c r="N3257" s="1178"/>
      <c r="O3257" s="1178">
        <v>6</v>
      </c>
      <c r="P3257" s="1178">
        <v>14.5</v>
      </c>
    </row>
    <row r="3258" spans="1:16">
      <c r="A3258" s="1178" t="s">
        <v>21476</v>
      </c>
      <c r="B3258" s="1371" t="str">
        <f>HYPERLINK(IFERROR("#Main_Tariff!A"&amp;MATCH(Raeburn_Main_Tariff[[#This Row],[Product Code]],Main_Tariff!I:I,0),"#Main_Tariff!A"&amp;MATCH("*"&amp;RIGHT(A3258,8)&amp;"*",Main_Tariff!A:A,0)),Raeburn_Main_Tariff[[#This Row],[PRODUCER]])</f>
        <v>Famille Tardieu</v>
      </c>
      <c r="C3258" s="1178" t="s">
        <v>21600</v>
      </c>
      <c r="D3258" s="1178" t="s">
        <v>897</v>
      </c>
      <c r="E3258" s="1179">
        <v>2017</v>
      </c>
      <c r="F3258" s="1282" t="s">
        <v>20220</v>
      </c>
      <c r="G3258" s="1368">
        <v>35.5</v>
      </c>
      <c r="H3258" s="1178" t="s">
        <v>20221</v>
      </c>
      <c r="I3258" s="1178" t="s">
        <v>10020</v>
      </c>
      <c r="J3258" s="1178" t="s">
        <v>662</v>
      </c>
      <c r="K3258" s="1178" t="s">
        <v>317</v>
      </c>
      <c r="L3258" s="1178"/>
      <c r="M3258" s="1369"/>
      <c r="N3258" s="1178"/>
      <c r="O3258" s="1178">
        <v>6</v>
      </c>
      <c r="P3258" s="1178">
        <v>14.5</v>
      </c>
    </row>
    <row r="3259" spans="1:16">
      <c r="A3259" s="1178" t="s">
        <v>21476</v>
      </c>
      <c r="B3259" s="1371" t="str">
        <f>HYPERLINK(IFERROR("#Main_Tariff!A"&amp;MATCH(Raeburn_Main_Tariff[[#This Row],[Product Code]],Main_Tariff!I:I,0),"#Main_Tariff!A"&amp;MATCH("*"&amp;RIGHT(A3259,8)&amp;"*",Main_Tariff!A:A,0)),Raeburn_Main_Tariff[[#This Row],[PRODUCER]])</f>
        <v>Famille Tardieu</v>
      </c>
      <c r="C3259" s="1178" t="s">
        <v>21599</v>
      </c>
      <c r="D3259" s="1178" t="s">
        <v>897</v>
      </c>
      <c r="E3259" s="1179">
        <v>2016</v>
      </c>
      <c r="F3259" s="1282" t="s">
        <v>20220</v>
      </c>
      <c r="G3259" s="1368">
        <v>34.5</v>
      </c>
      <c r="H3259" s="1178" t="s">
        <v>20221</v>
      </c>
      <c r="I3259" s="1178" t="s">
        <v>10021</v>
      </c>
      <c r="J3259" s="1178" t="s">
        <v>662</v>
      </c>
      <c r="K3259" s="1178" t="s">
        <v>317</v>
      </c>
      <c r="L3259" s="1178"/>
      <c r="M3259" s="1369"/>
      <c r="N3259" s="1178"/>
      <c r="O3259" s="1178">
        <v>6</v>
      </c>
      <c r="P3259" s="1178">
        <v>14.5</v>
      </c>
    </row>
    <row r="3260" spans="1:16">
      <c r="A3260" s="1178" t="s">
        <v>21476</v>
      </c>
      <c r="B3260" s="1371" t="str">
        <f>HYPERLINK(IFERROR("#Main_Tariff!A"&amp;MATCH(Raeburn_Main_Tariff[[#This Row],[Product Code]],Main_Tariff!I:I,0),"#Main_Tariff!A"&amp;MATCH("*"&amp;RIGHT(A3260,8)&amp;"*",Main_Tariff!A:A,0)),Raeburn_Main_Tariff[[#This Row],[PRODUCER]])</f>
        <v>Famille Tardieu</v>
      </c>
      <c r="C3260" s="1178" t="s">
        <v>21599</v>
      </c>
      <c r="D3260" s="1178" t="s">
        <v>897</v>
      </c>
      <c r="E3260" s="1179">
        <v>2013</v>
      </c>
      <c r="F3260" s="1282" t="s">
        <v>20220</v>
      </c>
      <c r="G3260" s="1368">
        <v>34.5</v>
      </c>
      <c r="H3260" s="1178" t="s">
        <v>20221</v>
      </c>
      <c r="I3260" s="1178" t="s">
        <v>10022</v>
      </c>
      <c r="J3260" s="1178" t="s">
        <v>662</v>
      </c>
      <c r="K3260" s="1178" t="s">
        <v>317</v>
      </c>
      <c r="L3260" s="1178"/>
      <c r="M3260" s="1369"/>
      <c r="N3260" s="1178"/>
      <c r="O3260" s="1178">
        <v>12</v>
      </c>
      <c r="P3260" s="1178">
        <v>14.5</v>
      </c>
    </row>
    <row r="3261" spans="1:16">
      <c r="A3261" s="1178" t="s">
        <v>21476</v>
      </c>
      <c r="B3261" s="1371" t="str">
        <f>HYPERLINK(IFERROR("#Main_Tariff!A"&amp;MATCH(Raeburn_Main_Tariff[[#This Row],[Product Code]],Main_Tariff!I:I,0),"#Main_Tariff!A"&amp;MATCH("*"&amp;RIGHT(A3261,8)&amp;"*",Main_Tariff!A:A,0)),Raeburn_Main_Tariff[[#This Row],[PRODUCER]])</f>
        <v>Famille Tardieu</v>
      </c>
      <c r="C3261" s="1178" t="s">
        <v>21599</v>
      </c>
      <c r="D3261" s="1178" t="s">
        <v>897</v>
      </c>
      <c r="E3261" s="1179">
        <v>2012</v>
      </c>
      <c r="F3261" s="1282" t="s">
        <v>20220</v>
      </c>
      <c r="G3261" s="1368">
        <v>36.5</v>
      </c>
      <c r="H3261" s="1178" t="s">
        <v>20221</v>
      </c>
      <c r="I3261" s="1178" t="s">
        <v>10023</v>
      </c>
      <c r="J3261" s="1178" t="s">
        <v>662</v>
      </c>
      <c r="K3261" s="1178" t="s">
        <v>317</v>
      </c>
      <c r="L3261" s="1178"/>
      <c r="M3261" s="1369"/>
      <c r="N3261" s="1178"/>
      <c r="O3261" s="1178">
        <v>12</v>
      </c>
      <c r="P3261" s="1178">
        <v>14.5</v>
      </c>
    </row>
    <row r="3262" spans="1:16">
      <c r="A3262" s="1178" t="s">
        <v>21476</v>
      </c>
      <c r="B3262" s="1371" t="str">
        <f>HYPERLINK(IFERROR("#Main_Tariff!A"&amp;MATCH(Raeburn_Main_Tariff[[#This Row],[Product Code]],Main_Tariff!I:I,0),"#Main_Tariff!A"&amp;MATCH("*"&amp;RIGHT(A3262,8)&amp;"*",Main_Tariff!A:A,0)),Raeburn_Main_Tariff[[#This Row],[PRODUCER]])</f>
        <v>Famille Tardieu</v>
      </c>
      <c r="C3262" s="1178" t="s">
        <v>21599</v>
      </c>
      <c r="D3262" s="1178" t="s">
        <v>897</v>
      </c>
      <c r="E3262" s="1179">
        <v>2011</v>
      </c>
      <c r="F3262" s="1282" t="s">
        <v>20220</v>
      </c>
      <c r="G3262" s="1368">
        <v>36.5</v>
      </c>
      <c r="H3262" s="1178" t="s">
        <v>20221</v>
      </c>
      <c r="I3262" s="1178" t="s">
        <v>10024</v>
      </c>
      <c r="J3262" s="1178" t="s">
        <v>662</v>
      </c>
      <c r="K3262" s="1178" t="s">
        <v>317</v>
      </c>
      <c r="L3262" s="1178"/>
      <c r="M3262" s="1369"/>
      <c r="N3262" s="1178"/>
      <c r="O3262" s="1178">
        <v>12</v>
      </c>
      <c r="P3262" s="1178">
        <v>14.5</v>
      </c>
    </row>
    <row r="3263" spans="1:16">
      <c r="A3263" s="1178" t="s">
        <v>21476</v>
      </c>
      <c r="B3263" s="1371" t="str">
        <f>HYPERLINK(IFERROR("#Main_Tariff!A"&amp;MATCH(Raeburn_Main_Tariff[[#This Row],[Product Code]],Main_Tariff!I:I,0),"#Main_Tariff!A"&amp;MATCH("*"&amp;RIGHT(A3263,8)&amp;"*",Main_Tariff!A:A,0)),Raeburn_Main_Tariff[[#This Row],[PRODUCER]])</f>
        <v>Famille Tardieu</v>
      </c>
      <c r="C3263" s="1178" t="s">
        <v>21599</v>
      </c>
      <c r="D3263" s="1178" t="s">
        <v>897</v>
      </c>
      <c r="E3263" s="1179">
        <v>2010</v>
      </c>
      <c r="F3263" s="1282" t="s">
        <v>20220</v>
      </c>
      <c r="G3263" s="1368">
        <v>34.5</v>
      </c>
      <c r="H3263" s="1178" t="s">
        <v>20277</v>
      </c>
      <c r="I3263" s="1178" t="s">
        <v>10025</v>
      </c>
      <c r="J3263" s="1178" t="s">
        <v>662</v>
      </c>
      <c r="K3263" s="1178" t="s">
        <v>317</v>
      </c>
      <c r="L3263" s="1178"/>
      <c r="M3263" s="1369"/>
      <c r="N3263" s="1178"/>
      <c r="O3263" s="1178">
        <v>12</v>
      </c>
      <c r="P3263" s="1178">
        <v>14.5</v>
      </c>
    </row>
    <row r="3264" spans="1:16">
      <c r="A3264" s="1178" t="s">
        <v>21476</v>
      </c>
      <c r="B3264" s="1371" t="str">
        <f>HYPERLINK(IFERROR("#Main_Tariff!A"&amp;MATCH(Raeburn_Main_Tariff[[#This Row],[Product Code]],Main_Tariff!I:I,0),"#Main_Tariff!A"&amp;MATCH("*"&amp;RIGHT(A3264,8)&amp;"*",Main_Tariff!A:A,0)),Raeburn_Main_Tariff[[#This Row],[PRODUCER]])</f>
        <v>Famille Tardieu</v>
      </c>
      <c r="C3264" s="1178" t="s">
        <v>21599</v>
      </c>
      <c r="D3264" s="1178" t="s">
        <v>897</v>
      </c>
      <c r="E3264" s="1179">
        <v>2009</v>
      </c>
      <c r="F3264" s="1282" t="s">
        <v>20220</v>
      </c>
      <c r="G3264" s="1368">
        <v>34.5</v>
      </c>
      <c r="H3264" s="1178" t="s">
        <v>20221</v>
      </c>
      <c r="I3264" s="1178" t="s">
        <v>9933</v>
      </c>
      <c r="J3264" s="1178" t="s">
        <v>662</v>
      </c>
      <c r="K3264" s="1178" t="s">
        <v>317</v>
      </c>
      <c r="L3264" s="1178"/>
      <c r="M3264" s="1369"/>
      <c r="N3264" s="1178"/>
      <c r="O3264" s="1178">
        <v>12</v>
      </c>
      <c r="P3264" s="1178">
        <v>12.5</v>
      </c>
    </row>
    <row r="3265" spans="1:16">
      <c r="A3265" s="1178" t="s">
        <v>21476</v>
      </c>
      <c r="B3265" s="1371" t="str">
        <f>HYPERLINK(IFERROR("#Main_Tariff!A"&amp;MATCH(Raeburn_Main_Tariff[[#This Row],[Product Code]],Main_Tariff!I:I,0),"#Main_Tariff!A"&amp;MATCH("*"&amp;RIGHT(A3265,8)&amp;"*",Main_Tariff!A:A,0)),Raeburn_Main_Tariff[[#This Row],[PRODUCER]])</f>
        <v>Famille Tardieu</v>
      </c>
      <c r="C3265" s="1178" t="s">
        <v>21601</v>
      </c>
      <c r="D3265" s="1178" t="s">
        <v>897</v>
      </c>
      <c r="E3265" s="1179">
        <v>2023</v>
      </c>
      <c r="F3265" s="1282" t="s">
        <v>20220</v>
      </c>
      <c r="G3265" s="1368" t="s">
        <v>20342</v>
      </c>
      <c r="H3265" s="1178" t="s">
        <v>20343</v>
      </c>
      <c r="I3265" s="1178" t="s">
        <v>10027</v>
      </c>
      <c r="J3265" s="1178" t="s">
        <v>662</v>
      </c>
      <c r="K3265" s="1178" t="s">
        <v>317</v>
      </c>
      <c r="L3265" s="1178"/>
      <c r="M3265" s="1369"/>
      <c r="N3265" s="1178"/>
      <c r="O3265" s="1178">
        <v>6</v>
      </c>
      <c r="P3265" s="1178">
        <v>14.5</v>
      </c>
    </row>
    <row r="3266" spans="1:16">
      <c r="A3266" s="1178" t="s">
        <v>21476</v>
      </c>
      <c r="B3266" s="1371" t="str">
        <f>HYPERLINK(IFERROR("#Main_Tariff!A"&amp;MATCH(Raeburn_Main_Tariff[[#This Row],[Product Code]],Main_Tariff!I:I,0),"#Main_Tariff!A"&amp;MATCH("*"&amp;RIGHT(A3266,8)&amp;"*",Main_Tariff!A:A,0)),Raeburn_Main_Tariff[[#This Row],[PRODUCER]])</f>
        <v>Famille Tardieu</v>
      </c>
      <c r="C3266" s="1178" t="s">
        <v>21601</v>
      </c>
      <c r="D3266" s="1178" t="s">
        <v>897</v>
      </c>
      <c r="E3266" s="1179">
        <v>2022</v>
      </c>
      <c r="F3266" s="1282" t="s">
        <v>20220</v>
      </c>
      <c r="G3266" s="1368">
        <v>43.75</v>
      </c>
      <c r="H3266" s="1178" t="s">
        <v>20221</v>
      </c>
      <c r="I3266" s="1178" t="s">
        <v>10028</v>
      </c>
      <c r="J3266" s="1178" t="s">
        <v>662</v>
      </c>
      <c r="K3266" s="1178" t="s">
        <v>317</v>
      </c>
      <c r="L3266" s="1178"/>
      <c r="M3266" s="1369"/>
      <c r="N3266" s="1178"/>
      <c r="O3266" s="1178">
        <v>6</v>
      </c>
      <c r="P3266" s="1178">
        <v>15</v>
      </c>
    </row>
    <row r="3267" spans="1:16">
      <c r="A3267" s="1178" t="s">
        <v>21476</v>
      </c>
      <c r="B3267" s="1371" t="str">
        <f>HYPERLINK(IFERROR("#Main_Tariff!A"&amp;MATCH(Raeburn_Main_Tariff[[#This Row],[Product Code]],Main_Tariff!I:I,0),"#Main_Tariff!A"&amp;MATCH("*"&amp;RIGHT(A3267,8)&amp;"*",Main_Tariff!A:A,0)),Raeburn_Main_Tariff[[#This Row],[PRODUCER]])</f>
        <v>Famille Tardieu</v>
      </c>
      <c r="C3267" s="1178" t="s">
        <v>21601</v>
      </c>
      <c r="D3267" s="1178" t="s">
        <v>897</v>
      </c>
      <c r="E3267" s="1179">
        <v>2021</v>
      </c>
      <c r="F3267" s="1282" t="s">
        <v>20220</v>
      </c>
      <c r="G3267" s="1368">
        <v>40.25</v>
      </c>
      <c r="H3267" s="1178" t="s">
        <v>20221</v>
      </c>
      <c r="I3267" s="1178" t="s">
        <v>10029</v>
      </c>
      <c r="J3267" s="1178" t="s">
        <v>662</v>
      </c>
      <c r="K3267" s="1178" t="s">
        <v>317</v>
      </c>
      <c r="L3267" s="1178"/>
      <c r="M3267" s="1369"/>
      <c r="N3267" s="1178"/>
      <c r="O3267" s="1178">
        <v>6</v>
      </c>
      <c r="P3267" s="1178">
        <v>14.5</v>
      </c>
    </row>
    <row r="3268" spans="1:16">
      <c r="A3268" s="1178" t="s">
        <v>21476</v>
      </c>
      <c r="B3268" s="1371" t="str">
        <f>HYPERLINK(IFERROR("#Main_Tariff!A"&amp;MATCH(Raeburn_Main_Tariff[[#This Row],[Product Code]],Main_Tariff!I:I,0),"#Main_Tariff!A"&amp;MATCH("*"&amp;RIGHT(A3268,8)&amp;"*",Main_Tariff!A:A,0)),Raeburn_Main_Tariff[[#This Row],[PRODUCER]])</f>
        <v>Famille Tardieu</v>
      </c>
      <c r="C3268" s="1178" t="s">
        <v>21601</v>
      </c>
      <c r="D3268" s="1178" t="s">
        <v>897</v>
      </c>
      <c r="E3268" s="1179">
        <v>2020</v>
      </c>
      <c r="F3268" s="1282" t="s">
        <v>20220</v>
      </c>
      <c r="G3268" s="1368">
        <v>37.5</v>
      </c>
      <c r="H3268" s="1178" t="s">
        <v>20221</v>
      </c>
      <c r="I3268" s="1178" t="s">
        <v>10030</v>
      </c>
      <c r="J3268" s="1178" t="s">
        <v>662</v>
      </c>
      <c r="K3268" s="1178" t="s">
        <v>317</v>
      </c>
      <c r="L3268" s="1178"/>
      <c r="M3268" s="1369"/>
      <c r="N3268" s="1178"/>
      <c r="O3268" s="1178">
        <v>6</v>
      </c>
      <c r="P3268" s="1178">
        <v>14.5</v>
      </c>
    </row>
    <row r="3269" spans="1:16">
      <c r="A3269" s="1178" t="s">
        <v>21476</v>
      </c>
      <c r="B3269" s="1371" t="str">
        <f>HYPERLINK(IFERROR("#Main_Tariff!A"&amp;MATCH(Raeburn_Main_Tariff[[#This Row],[Product Code]],Main_Tariff!I:I,0),"#Main_Tariff!A"&amp;MATCH("*"&amp;RIGHT(A3269,8)&amp;"*",Main_Tariff!A:A,0)),Raeburn_Main_Tariff[[#This Row],[PRODUCER]])</f>
        <v>Famille Tardieu</v>
      </c>
      <c r="C3269" s="1178" t="s">
        <v>21601</v>
      </c>
      <c r="D3269" s="1178" t="s">
        <v>897</v>
      </c>
      <c r="E3269" s="1179">
        <v>2019</v>
      </c>
      <c r="F3269" s="1282" t="s">
        <v>20220</v>
      </c>
      <c r="G3269" s="1368">
        <v>37.5</v>
      </c>
      <c r="H3269" s="1178" t="s">
        <v>20221</v>
      </c>
      <c r="I3269" s="1178" t="s">
        <v>10031</v>
      </c>
      <c r="J3269" s="1178" t="s">
        <v>662</v>
      </c>
      <c r="K3269" s="1178" t="s">
        <v>317</v>
      </c>
      <c r="L3269" s="1178"/>
      <c r="M3269" s="1369"/>
      <c r="N3269" s="1178"/>
      <c r="O3269" s="1178">
        <v>6</v>
      </c>
      <c r="P3269" s="1178">
        <v>14.5</v>
      </c>
    </row>
    <row r="3270" spans="1:16">
      <c r="A3270" s="1178" t="s">
        <v>21476</v>
      </c>
      <c r="B3270" s="1371" t="str">
        <f>HYPERLINK(IFERROR("#Main_Tariff!A"&amp;MATCH(Raeburn_Main_Tariff[[#This Row],[Product Code]],Main_Tariff!I:I,0),"#Main_Tariff!A"&amp;MATCH("*"&amp;RIGHT(A3270,8)&amp;"*",Main_Tariff!A:A,0)),Raeburn_Main_Tariff[[#This Row],[PRODUCER]])</f>
        <v>Famille Tardieu</v>
      </c>
      <c r="C3270" s="1178" t="s">
        <v>21601</v>
      </c>
      <c r="D3270" s="1178" t="s">
        <v>897</v>
      </c>
      <c r="E3270" s="1179">
        <v>2018</v>
      </c>
      <c r="F3270" s="1282" t="s">
        <v>20220</v>
      </c>
      <c r="G3270" s="1368">
        <v>37.5</v>
      </c>
      <c r="H3270" s="1178" t="s">
        <v>20221</v>
      </c>
      <c r="I3270" s="1178" t="s">
        <v>10032</v>
      </c>
      <c r="J3270" s="1178" t="s">
        <v>662</v>
      </c>
      <c r="K3270" s="1178" t="s">
        <v>317</v>
      </c>
      <c r="L3270" s="1178"/>
      <c r="M3270" s="1369"/>
      <c r="N3270" s="1178"/>
      <c r="O3270" s="1178">
        <v>6</v>
      </c>
      <c r="P3270" s="1178">
        <v>14.5</v>
      </c>
    </row>
    <row r="3271" spans="1:16">
      <c r="A3271" s="1178" t="s">
        <v>21476</v>
      </c>
      <c r="B3271" s="1371" t="str">
        <f>HYPERLINK(IFERROR("#Main_Tariff!A"&amp;MATCH(Raeburn_Main_Tariff[[#This Row],[Product Code]],Main_Tariff!I:I,0),"#Main_Tariff!A"&amp;MATCH("*"&amp;RIGHT(A3271,8)&amp;"*",Main_Tariff!A:A,0)),Raeburn_Main_Tariff[[#This Row],[PRODUCER]])</f>
        <v>Famille Tardieu</v>
      </c>
      <c r="C3271" s="1178" t="s">
        <v>21601</v>
      </c>
      <c r="D3271" s="1178" t="s">
        <v>897</v>
      </c>
      <c r="E3271" s="1179">
        <v>2017</v>
      </c>
      <c r="F3271" s="1282" t="s">
        <v>20220</v>
      </c>
      <c r="G3271" s="1368">
        <v>37.5</v>
      </c>
      <c r="H3271" s="1178" t="s">
        <v>20221</v>
      </c>
      <c r="I3271" s="1178" t="s">
        <v>10033</v>
      </c>
      <c r="J3271" s="1178" t="s">
        <v>662</v>
      </c>
      <c r="K3271" s="1178" t="s">
        <v>317</v>
      </c>
      <c r="L3271" s="1178"/>
      <c r="M3271" s="1369"/>
      <c r="N3271" s="1178"/>
      <c r="O3271" s="1178">
        <v>6</v>
      </c>
      <c r="P3271" s="1178">
        <v>14.5</v>
      </c>
    </row>
    <row r="3272" spans="1:16">
      <c r="A3272" s="1178" t="s">
        <v>21476</v>
      </c>
      <c r="B3272" s="1371" t="str">
        <f>HYPERLINK(IFERROR("#Main_Tariff!A"&amp;MATCH(Raeburn_Main_Tariff[[#This Row],[Product Code]],Main_Tariff!I:I,0),"#Main_Tariff!A"&amp;MATCH("*"&amp;RIGHT(A3272,8)&amp;"*",Main_Tariff!A:A,0)),Raeburn_Main_Tariff[[#This Row],[PRODUCER]])</f>
        <v>Famille Tardieu</v>
      </c>
      <c r="C3272" s="1178" t="s">
        <v>21601</v>
      </c>
      <c r="D3272" s="1178" t="s">
        <v>897</v>
      </c>
      <c r="E3272" s="1179">
        <v>2016</v>
      </c>
      <c r="F3272" s="1282" t="s">
        <v>20220</v>
      </c>
      <c r="G3272" s="1368">
        <v>36.5</v>
      </c>
      <c r="H3272" s="1178" t="s">
        <v>20221</v>
      </c>
      <c r="I3272" s="1178" t="s">
        <v>10034</v>
      </c>
      <c r="J3272" s="1178" t="s">
        <v>662</v>
      </c>
      <c r="K3272" s="1178" t="s">
        <v>317</v>
      </c>
      <c r="L3272" s="1178"/>
      <c r="M3272" s="1369"/>
      <c r="N3272" s="1178"/>
      <c r="O3272" s="1178">
        <v>6</v>
      </c>
      <c r="P3272" s="1178">
        <v>14.5</v>
      </c>
    </row>
    <row r="3273" spans="1:16">
      <c r="A3273" s="1178" t="s">
        <v>21476</v>
      </c>
      <c r="B3273" s="1371" t="str">
        <f>HYPERLINK(IFERROR("#Main_Tariff!A"&amp;MATCH(Raeburn_Main_Tariff[[#This Row],[Product Code]],Main_Tariff!I:I,0),"#Main_Tariff!A"&amp;MATCH("*"&amp;RIGHT(A3273,8)&amp;"*",Main_Tariff!A:A,0)),Raeburn_Main_Tariff[[#This Row],[PRODUCER]])</f>
        <v>Famille Tardieu</v>
      </c>
      <c r="C3273" s="1178" t="s">
        <v>21601</v>
      </c>
      <c r="D3273" s="1178" t="s">
        <v>897</v>
      </c>
      <c r="E3273" s="1179">
        <v>2015</v>
      </c>
      <c r="F3273" s="1282" t="s">
        <v>20220</v>
      </c>
      <c r="G3273" s="1368">
        <v>36.5</v>
      </c>
      <c r="H3273" s="1178" t="s">
        <v>20221</v>
      </c>
      <c r="I3273" s="1178" t="s">
        <v>10035</v>
      </c>
      <c r="J3273" s="1178" t="s">
        <v>662</v>
      </c>
      <c r="K3273" s="1178" t="s">
        <v>317</v>
      </c>
      <c r="L3273" s="1178"/>
      <c r="M3273" s="1369"/>
      <c r="N3273" s="1178"/>
      <c r="O3273" s="1178">
        <v>6</v>
      </c>
      <c r="P3273" s="1178">
        <v>14.5</v>
      </c>
    </row>
    <row r="3274" spans="1:16">
      <c r="A3274" s="1178" t="s">
        <v>21476</v>
      </c>
      <c r="B3274" s="1371" t="str">
        <f>HYPERLINK(IFERROR("#Main_Tariff!A"&amp;MATCH(Raeburn_Main_Tariff[[#This Row],[Product Code]],Main_Tariff!I:I,0),"#Main_Tariff!A"&amp;MATCH("*"&amp;RIGHT(A3274,8)&amp;"*",Main_Tariff!A:A,0)),Raeburn_Main_Tariff[[#This Row],[PRODUCER]])</f>
        <v>Famille Tardieu</v>
      </c>
      <c r="C3274" s="1178" t="s">
        <v>21601</v>
      </c>
      <c r="D3274" s="1178" t="s">
        <v>897</v>
      </c>
      <c r="E3274" s="1179">
        <v>2014</v>
      </c>
      <c r="F3274" s="1282" t="s">
        <v>20220</v>
      </c>
      <c r="G3274" s="1368">
        <v>36.5</v>
      </c>
      <c r="H3274" s="1178" t="s">
        <v>20221</v>
      </c>
      <c r="I3274" s="1178" t="s">
        <v>10036</v>
      </c>
      <c r="J3274" s="1178" t="s">
        <v>662</v>
      </c>
      <c r="K3274" s="1178" t="s">
        <v>317</v>
      </c>
      <c r="L3274" s="1178"/>
      <c r="M3274" s="1369"/>
      <c r="N3274" s="1178"/>
      <c r="O3274" s="1178">
        <v>12</v>
      </c>
      <c r="P3274" s="1178">
        <v>14.5</v>
      </c>
    </row>
    <row r="3275" spans="1:16">
      <c r="A3275" s="1178" t="s">
        <v>21476</v>
      </c>
      <c r="B3275" s="1371" t="str">
        <f>HYPERLINK(IFERROR("#Main_Tariff!A"&amp;MATCH(Raeburn_Main_Tariff[[#This Row],[Product Code]],Main_Tariff!I:I,0),"#Main_Tariff!A"&amp;MATCH("*"&amp;RIGHT(A3275,8)&amp;"*",Main_Tariff!A:A,0)),Raeburn_Main_Tariff[[#This Row],[PRODUCER]])</f>
        <v>Famille Tardieu</v>
      </c>
      <c r="C3275" s="1178" t="s">
        <v>21601</v>
      </c>
      <c r="D3275" s="1178" t="s">
        <v>897</v>
      </c>
      <c r="E3275" s="1179">
        <v>2012</v>
      </c>
      <c r="F3275" s="1282" t="s">
        <v>20220</v>
      </c>
      <c r="G3275" s="1368">
        <v>36.5</v>
      </c>
      <c r="H3275" s="1178" t="s">
        <v>20221</v>
      </c>
      <c r="I3275" s="1178" t="s">
        <v>9935</v>
      </c>
      <c r="J3275" s="1178" t="s">
        <v>662</v>
      </c>
      <c r="K3275" s="1178" t="s">
        <v>317</v>
      </c>
      <c r="L3275" s="1178"/>
      <c r="M3275" s="1369"/>
      <c r="N3275" s="1178"/>
      <c r="O3275" s="1178">
        <v>12</v>
      </c>
      <c r="P3275" s="1178">
        <v>14.5</v>
      </c>
    </row>
    <row r="3276" spans="1:16">
      <c r="A3276" s="1178" t="s">
        <v>21476</v>
      </c>
      <c r="B3276" s="1371" t="str">
        <f>HYPERLINK(IFERROR("#Main_Tariff!A"&amp;MATCH(Raeburn_Main_Tariff[[#This Row],[Product Code]],Main_Tariff!I:I,0),"#Main_Tariff!A"&amp;MATCH("*"&amp;RIGHT(A3276,8)&amp;"*",Main_Tariff!A:A,0)),Raeburn_Main_Tariff[[#This Row],[PRODUCER]])</f>
        <v>Famille Tardieu</v>
      </c>
      <c r="C3276" s="1178" t="s">
        <v>21601</v>
      </c>
      <c r="D3276" s="1178" t="s">
        <v>897</v>
      </c>
      <c r="E3276" s="1179">
        <v>2011</v>
      </c>
      <c r="F3276" s="1282" t="s">
        <v>20220</v>
      </c>
      <c r="G3276" s="1368">
        <v>36.5</v>
      </c>
      <c r="H3276" s="1178" t="s">
        <v>20224</v>
      </c>
      <c r="I3276" s="1178" t="s">
        <v>10037</v>
      </c>
      <c r="J3276" s="1178" t="s">
        <v>662</v>
      </c>
      <c r="K3276" s="1178" t="s">
        <v>317</v>
      </c>
      <c r="L3276" s="1178"/>
      <c r="M3276" s="1369"/>
      <c r="N3276" s="1178"/>
      <c r="O3276" s="1178">
        <v>12</v>
      </c>
      <c r="P3276" s="1178">
        <v>14.5</v>
      </c>
    </row>
    <row r="3277" spans="1:16">
      <c r="A3277" s="1178" t="s">
        <v>21476</v>
      </c>
      <c r="B3277" s="1371" t="str">
        <f>HYPERLINK(IFERROR("#Main_Tariff!A"&amp;MATCH(Raeburn_Main_Tariff[[#This Row],[Product Code]],Main_Tariff!I:I,0),"#Main_Tariff!A"&amp;MATCH("*"&amp;RIGHT(A3277,8)&amp;"*",Main_Tariff!A:A,0)),Raeburn_Main_Tariff[[#This Row],[PRODUCER]])</f>
        <v>Famille Tardieu</v>
      </c>
      <c r="C3277" s="1178" t="s">
        <v>21601</v>
      </c>
      <c r="D3277" s="1178" t="s">
        <v>897</v>
      </c>
      <c r="E3277" s="1179">
        <v>2009</v>
      </c>
      <c r="F3277" s="1282" t="s">
        <v>20220</v>
      </c>
      <c r="G3277" s="1368">
        <v>36.5</v>
      </c>
      <c r="H3277" s="1178" t="s">
        <v>20224</v>
      </c>
      <c r="I3277" s="1178" t="s">
        <v>10038</v>
      </c>
      <c r="J3277" s="1178" t="s">
        <v>662</v>
      </c>
      <c r="K3277" s="1178" t="s">
        <v>317</v>
      </c>
      <c r="L3277" s="1178"/>
      <c r="M3277" s="1369"/>
      <c r="N3277" s="1178"/>
      <c r="O3277" s="1178">
        <v>12</v>
      </c>
      <c r="P3277" s="1178">
        <v>12.5</v>
      </c>
    </row>
    <row r="3278" spans="1:16">
      <c r="A3278" s="1178" t="s">
        <v>21476</v>
      </c>
      <c r="B3278" s="1371" t="str">
        <f>HYPERLINK(IFERROR("#Main_Tariff!A"&amp;MATCH(Raeburn_Main_Tariff[[#This Row],[Product Code]],Main_Tariff!I:I,0),"#Main_Tariff!A"&amp;MATCH("*"&amp;RIGHT(A3278,8)&amp;"*",Main_Tariff!A:A,0)),Raeburn_Main_Tariff[[#This Row],[PRODUCER]])</f>
        <v>Famille Tardieu</v>
      </c>
      <c r="C3278" s="1178" t="s">
        <v>21602</v>
      </c>
      <c r="D3278" s="1178" t="s">
        <v>897</v>
      </c>
      <c r="E3278" s="1179">
        <v>2016</v>
      </c>
      <c r="F3278" s="1282" t="s">
        <v>20240</v>
      </c>
      <c r="G3278" s="1368">
        <v>40</v>
      </c>
      <c r="H3278" s="1178" t="s">
        <v>20221</v>
      </c>
      <c r="I3278" s="1178" t="s">
        <v>10040</v>
      </c>
      <c r="J3278" s="1178" t="s">
        <v>662</v>
      </c>
      <c r="K3278" s="1178" t="s">
        <v>317</v>
      </c>
      <c r="L3278" s="1178"/>
      <c r="M3278" s="1369"/>
      <c r="N3278" s="1178" t="s">
        <v>20244</v>
      </c>
      <c r="O3278" s="1178">
        <v>6</v>
      </c>
      <c r="P3278" s="1178">
        <v>14.5</v>
      </c>
    </row>
    <row r="3279" spans="1:16">
      <c r="A3279" s="1178" t="s">
        <v>21476</v>
      </c>
      <c r="B3279" s="1371" t="str">
        <f>HYPERLINK(IFERROR("#Main_Tariff!A"&amp;MATCH(Raeburn_Main_Tariff[[#This Row],[Product Code]],Main_Tariff!I:I,0),"#Main_Tariff!A"&amp;MATCH("*"&amp;RIGHT(A3279,8)&amp;"*",Main_Tariff!A:A,0)),Raeburn_Main_Tariff[[#This Row],[PRODUCER]])</f>
        <v>Famille Tardieu</v>
      </c>
      <c r="C3279" s="1178" t="s">
        <v>21602</v>
      </c>
      <c r="D3279" s="1178" t="s">
        <v>897</v>
      </c>
      <c r="E3279" s="1179">
        <v>2014</v>
      </c>
      <c r="F3279" s="1282" t="s">
        <v>20240</v>
      </c>
      <c r="G3279" s="1368">
        <v>41.25</v>
      </c>
      <c r="H3279" s="1178" t="s">
        <v>20224</v>
      </c>
      <c r="I3279" s="1178" t="s">
        <v>10041</v>
      </c>
      <c r="J3279" s="1178" t="s">
        <v>662</v>
      </c>
      <c r="K3279" s="1178" t="s">
        <v>317</v>
      </c>
      <c r="L3279" s="1178"/>
      <c r="M3279" s="1369"/>
      <c r="N3279" s="1178" t="s">
        <v>20244</v>
      </c>
      <c r="O3279" s="1178">
        <v>6</v>
      </c>
      <c r="P3279" s="1178">
        <v>14.5</v>
      </c>
    </row>
    <row r="3280" spans="1:16">
      <c r="A3280" s="1178" t="s">
        <v>21476</v>
      </c>
      <c r="B3280" s="1371" t="str">
        <f>HYPERLINK(IFERROR("#Main_Tariff!A"&amp;MATCH(Raeburn_Main_Tariff[[#This Row],[Product Code]],Main_Tariff!I:I,0),"#Main_Tariff!A"&amp;MATCH("*"&amp;RIGHT(A3280,8)&amp;"*",Main_Tariff!A:A,0)),Raeburn_Main_Tariff[[#This Row],[PRODUCER]])</f>
        <v>Famille Tardieu</v>
      </c>
      <c r="C3280" s="1178" t="s">
        <v>21603</v>
      </c>
      <c r="D3280" s="1178" t="s">
        <v>897</v>
      </c>
      <c r="E3280" s="1179">
        <v>2019</v>
      </c>
      <c r="F3280" s="1282" t="s">
        <v>20240</v>
      </c>
      <c r="G3280" s="1368">
        <v>40</v>
      </c>
      <c r="H3280" s="1178" t="s">
        <v>20221</v>
      </c>
      <c r="I3280" s="1178" t="s">
        <v>10042</v>
      </c>
      <c r="J3280" s="1178" t="s">
        <v>662</v>
      </c>
      <c r="K3280" s="1178" t="s">
        <v>317</v>
      </c>
      <c r="L3280" s="1178"/>
      <c r="M3280" s="1369"/>
      <c r="N3280" s="1178"/>
      <c r="O3280" s="1178">
        <v>3</v>
      </c>
      <c r="P3280" s="1178">
        <v>14.5</v>
      </c>
    </row>
    <row r="3281" spans="1:16">
      <c r="A3281" s="1178" t="s">
        <v>21476</v>
      </c>
      <c r="B3281" s="1371" t="str">
        <f>HYPERLINK(IFERROR("#Main_Tariff!A"&amp;MATCH(Raeburn_Main_Tariff[[#This Row],[Product Code]],Main_Tariff!I:I,0),"#Main_Tariff!A"&amp;MATCH("*"&amp;RIGHT(A3281,8)&amp;"*",Main_Tariff!A:A,0)),Raeburn_Main_Tariff[[#This Row],[PRODUCER]])</f>
        <v>Famille Tardieu</v>
      </c>
      <c r="C3281" s="1178" t="s">
        <v>21603</v>
      </c>
      <c r="D3281" s="1178" t="s">
        <v>897</v>
      </c>
      <c r="E3281" s="1179">
        <v>2018</v>
      </c>
      <c r="F3281" s="1282" t="s">
        <v>20240</v>
      </c>
      <c r="G3281" s="1368">
        <v>40</v>
      </c>
      <c r="H3281" s="1178" t="s">
        <v>20221</v>
      </c>
      <c r="I3281" s="1178" t="s">
        <v>10043</v>
      </c>
      <c r="J3281" s="1178" t="s">
        <v>662</v>
      </c>
      <c r="K3281" s="1178" t="s">
        <v>317</v>
      </c>
      <c r="L3281" s="1178"/>
      <c r="M3281" s="1369"/>
      <c r="N3281" s="1178" t="s">
        <v>20244</v>
      </c>
      <c r="O3281" s="1178">
        <v>3</v>
      </c>
      <c r="P3281" s="1178">
        <v>14.5</v>
      </c>
    </row>
    <row r="3282" spans="1:16">
      <c r="A3282" s="1178" t="s">
        <v>21476</v>
      </c>
      <c r="B3282" s="1371" t="str">
        <f>HYPERLINK(IFERROR("#Main_Tariff!A"&amp;MATCH(Raeburn_Main_Tariff[[#This Row],[Product Code]],Main_Tariff!I:I,0),"#Main_Tariff!A"&amp;MATCH("*"&amp;RIGHT(A3282,8)&amp;"*",Main_Tariff!A:A,0)),Raeburn_Main_Tariff[[#This Row],[PRODUCER]])</f>
        <v>Famille Tardieu</v>
      </c>
      <c r="C3282" s="1178" t="s">
        <v>21603</v>
      </c>
      <c r="D3282" s="1178" t="s">
        <v>897</v>
      </c>
      <c r="E3282" s="1179">
        <v>2017</v>
      </c>
      <c r="F3282" s="1282" t="s">
        <v>20240</v>
      </c>
      <c r="G3282" s="1368">
        <v>41</v>
      </c>
      <c r="H3282" s="1178" t="s">
        <v>20221</v>
      </c>
      <c r="I3282" s="1178" t="s">
        <v>10044</v>
      </c>
      <c r="J3282" s="1178" t="s">
        <v>662</v>
      </c>
      <c r="K3282" s="1178" t="s">
        <v>317</v>
      </c>
      <c r="L3282" s="1178"/>
      <c r="M3282" s="1369"/>
      <c r="N3282" s="1178" t="s">
        <v>20244</v>
      </c>
      <c r="O3282" s="1178">
        <v>3</v>
      </c>
      <c r="P3282" s="1178">
        <v>14.5</v>
      </c>
    </row>
    <row r="3283" spans="1:16">
      <c r="A3283" s="1178" t="s">
        <v>21476</v>
      </c>
      <c r="B3283" s="1371" t="str">
        <f>HYPERLINK(IFERROR("#Main_Tariff!A"&amp;MATCH(Raeburn_Main_Tariff[[#This Row],[Product Code]],Main_Tariff!I:I,0),"#Main_Tariff!A"&amp;MATCH("*"&amp;RIGHT(A3283,8)&amp;"*",Main_Tariff!A:A,0)),Raeburn_Main_Tariff[[#This Row],[PRODUCER]])</f>
        <v>Famille Tardieu</v>
      </c>
      <c r="C3283" s="1178" t="s">
        <v>21604</v>
      </c>
      <c r="D3283" s="1178" t="s">
        <v>897</v>
      </c>
      <c r="E3283" s="1179">
        <v>2018</v>
      </c>
      <c r="F3283" s="1282" t="s">
        <v>20240</v>
      </c>
      <c r="G3283" s="1368">
        <v>43</v>
      </c>
      <c r="H3283" s="1178" t="s">
        <v>20221</v>
      </c>
      <c r="I3283" s="1178" t="s">
        <v>10045</v>
      </c>
      <c r="J3283" s="1178" t="s">
        <v>662</v>
      </c>
      <c r="K3283" s="1178" t="s">
        <v>317</v>
      </c>
      <c r="L3283" s="1178"/>
      <c r="M3283" s="1369"/>
      <c r="N3283" s="1178"/>
      <c r="O3283" s="1178">
        <v>3</v>
      </c>
      <c r="P3283" s="1178">
        <v>15</v>
      </c>
    </row>
    <row r="3284" spans="1:16">
      <c r="A3284" s="1178" t="s">
        <v>21476</v>
      </c>
      <c r="B3284" s="1371" t="str">
        <f>HYPERLINK(IFERROR("#Main_Tariff!A"&amp;MATCH(Raeburn_Main_Tariff[[#This Row],[Product Code]],Main_Tariff!I:I,0),"#Main_Tariff!A"&amp;MATCH("*"&amp;RIGHT(A3284,8)&amp;"*",Main_Tariff!A:A,0)),Raeburn_Main_Tariff[[#This Row],[PRODUCER]])</f>
        <v>Famille Tardieu</v>
      </c>
      <c r="C3284" s="1178" t="s">
        <v>21605</v>
      </c>
      <c r="D3284" s="1178" t="s">
        <v>897</v>
      </c>
      <c r="E3284" s="1179">
        <v>2016</v>
      </c>
      <c r="F3284" s="1282" t="s">
        <v>20240</v>
      </c>
      <c r="G3284" s="1368">
        <v>44</v>
      </c>
      <c r="H3284" s="1178" t="s">
        <v>20277</v>
      </c>
      <c r="I3284" s="1178" t="s">
        <v>10046</v>
      </c>
      <c r="J3284" s="1178" t="s">
        <v>662</v>
      </c>
      <c r="K3284" s="1178" t="s">
        <v>317</v>
      </c>
      <c r="L3284" s="1178"/>
      <c r="M3284" s="1369"/>
      <c r="N3284" s="1178" t="s">
        <v>20244</v>
      </c>
      <c r="O3284" s="1178">
        <v>6</v>
      </c>
      <c r="P3284" s="1178">
        <v>12.5</v>
      </c>
    </row>
    <row r="3285" spans="1:16">
      <c r="A3285" s="1178" t="s">
        <v>21476</v>
      </c>
      <c r="B3285" s="1371" t="str">
        <f>HYPERLINK(IFERROR("#Main_Tariff!A"&amp;MATCH(Raeburn_Main_Tariff[[#This Row],[Product Code]],Main_Tariff!I:I,0),"#Main_Tariff!A"&amp;MATCH("*"&amp;RIGHT(A3285,8)&amp;"*",Main_Tariff!A:A,0)),Raeburn_Main_Tariff[[#This Row],[PRODUCER]])</f>
        <v>Famille Tardieu</v>
      </c>
      <c r="C3285" s="1178" t="s">
        <v>21606</v>
      </c>
      <c r="D3285" s="1178" t="s">
        <v>897</v>
      </c>
      <c r="E3285" s="1179">
        <v>2017</v>
      </c>
      <c r="F3285" s="1282" t="s">
        <v>20240</v>
      </c>
      <c r="G3285" s="1368">
        <v>46.5</v>
      </c>
      <c r="H3285" s="1178" t="s">
        <v>20224</v>
      </c>
      <c r="I3285" s="1178" t="s">
        <v>10047</v>
      </c>
      <c r="J3285" s="1178" t="s">
        <v>662</v>
      </c>
      <c r="K3285" s="1178" t="s">
        <v>317</v>
      </c>
      <c r="L3285" s="1178"/>
      <c r="M3285" s="1369"/>
      <c r="N3285" s="1178" t="s">
        <v>20244</v>
      </c>
      <c r="O3285" s="1178">
        <v>3</v>
      </c>
      <c r="P3285" s="1178">
        <v>14.5</v>
      </c>
    </row>
    <row r="3286" spans="1:16">
      <c r="A3286" s="1178" t="s">
        <v>21476</v>
      </c>
      <c r="B3286" s="1371" t="str">
        <f>HYPERLINK(IFERROR("#Main_Tariff!A"&amp;MATCH(Raeburn_Main_Tariff[[#This Row],[Product Code]],Main_Tariff!I:I,0),"#Main_Tariff!A"&amp;MATCH("*"&amp;RIGHT(A3286,8)&amp;"*",Main_Tariff!A:A,0)),Raeburn_Main_Tariff[[#This Row],[PRODUCER]])</f>
        <v>Famille Tardieu</v>
      </c>
      <c r="C3286" s="1178" t="s">
        <v>21607</v>
      </c>
      <c r="D3286" s="1178" t="s">
        <v>897</v>
      </c>
      <c r="E3286" s="1179">
        <v>2014</v>
      </c>
      <c r="F3286" s="1282" t="s">
        <v>20240</v>
      </c>
      <c r="G3286" s="1368">
        <v>53</v>
      </c>
      <c r="H3286" s="1178" t="s">
        <v>20221</v>
      </c>
      <c r="I3286" s="1178" t="s">
        <v>10048</v>
      </c>
      <c r="J3286" s="1178" t="s">
        <v>662</v>
      </c>
      <c r="K3286" s="1178" t="s">
        <v>317</v>
      </c>
      <c r="L3286" s="1178"/>
      <c r="M3286" s="1369"/>
      <c r="N3286" s="1178" t="s">
        <v>20244</v>
      </c>
      <c r="O3286" s="1178">
        <v>6</v>
      </c>
      <c r="P3286" s="1178">
        <v>14.5</v>
      </c>
    </row>
    <row r="3287" spans="1:16">
      <c r="A3287" s="1178" t="s">
        <v>21476</v>
      </c>
      <c r="B3287" s="1371" t="str">
        <f>HYPERLINK(IFERROR("#Main_Tariff!A"&amp;MATCH(Raeburn_Main_Tariff[[#This Row],[Product Code]],Main_Tariff!I:I,0),"#Main_Tariff!A"&amp;MATCH("*"&amp;RIGHT(A3287,8)&amp;"*",Main_Tariff!A:A,0)),Raeburn_Main_Tariff[[#This Row],[PRODUCER]])</f>
        <v>Famille Tardieu</v>
      </c>
      <c r="C3287" s="1178" t="s">
        <v>21608</v>
      </c>
      <c r="D3287" s="1178" t="s">
        <v>897</v>
      </c>
      <c r="E3287" s="1179">
        <v>2019</v>
      </c>
      <c r="F3287" s="1282" t="s">
        <v>20240</v>
      </c>
      <c r="G3287" s="1368">
        <v>61</v>
      </c>
      <c r="H3287" s="1178" t="s">
        <v>20221</v>
      </c>
      <c r="I3287" s="1178" t="s">
        <v>10049</v>
      </c>
      <c r="J3287" s="1178" t="s">
        <v>662</v>
      </c>
      <c r="K3287" s="1178" t="s">
        <v>317</v>
      </c>
      <c r="L3287" s="1178"/>
      <c r="M3287" s="1369"/>
      <c r="N3287" s="1178"/>
      <c r="O3287" s="1178">
        <v>3</v>
      </c>
      <c r="P3287" s="1178">
        <v>14.5</v>
      </c>
    </row>
    <row r="3288" spans="1:16">
      <c r="A3288" s="1178" t="s">
        <v>21476</v>
      </c>
      <c r="B3288" s="1371" t="str">
        <f>HYPERLINK(IFERROR("#Main_Tariff!A"&amp;MATCH(Raeburn_Main_Tariff[[#This Row],[Product Code]],Main_Tariff!I:I,0),"#Main_Tariff!A"&amp;MATCH("*"&amp;RIGHT(A3288,8)&amp;"*",Main_Tariff!A:A,0)),Raeburn_Main_Tariff[[#This Row],[PRODUCER]])</f>
        <v>Famille Tardieu</v>
      </c>
      <c r="C3288" s="1178" t="s">
        <v>21608</v>
      </c>
      <c r="D3288" s="1178" t="s">
        <v>897</v>
      </c>
      <c r="E3288" s="1179">
        <v>2018</v>
      </c>
      <c r="F3288" s="1282" t="s">
        <v>20240</v>
      </c>
      <c r="G3288" s="1368">
        <v>54.5</v>
      </c>
      <c r="H3288" s="1178" t="s">
        <v>20221</v>
      </c>
      <c r="I3288" s="1178" t="s">
        <v>10050</v>
      </c>
      <c r="J3288" s="1178" t="s">
        <v>662</v>
      </c>
      <c r="K3288" s="1178" t="s">
        <v>317</v>
      </c>
      <c r="L3288" s="1178"/>
      <c r="M3288" s="1369"/>
      <c r="N3288" s="1178"/>
      <c r="O3288" s="1178">
        <v>3</v>
      </c>
      <c r="P3288" s="1178">
        <v>14.5</v>
      </c>
    </row>
    <row r="3289" spans="1:16">
      <c r="A3289" s="1178" t="s">
        <v>21476</v>
      </c>
      <c r="B3289" s="1371" t="str">
        <f>HYPERLINK(IFERROR("#Main_Tariff!A"&amp;MATCH(Raeburn_Main_Tariff[[#This Row],[Product Code]],Main_Tariff!I:I,0),"#Main_Tariff!A"&amp;MATCH("*"&amp;RIGHT(A3289,8)&amp;"*",Main_Tariff!A:A,0)),Raeburn_Main_Tariff[[#This Row],[PRODUCER]])</f>
        <v>Famille Tardieu</v>
      </c>
      <c r="C3289" s="1178" t="s">
        <v>21608</v>
      </c>
      <c r="D3289" s="1178" t="s">
        <v>897</v>
      </c>
      <c r="E3289" s="1179">
        <v>2017</v>
      </c>
      <c r="F3289" s="1282" t="s">
        <v>20240</v>
      </c>
      <c r="G3289" s="1368">
        <v>53</v>
      </c>
      <c r="H3289" s="1178" t="s">
        <v>20221</v>
      </c>
      <c r="I3289" s="1178" t="s">
        <v>10051</v>
      </c>
      <c r="J3289" s="1178" t="s">
        <v>662</v>
      </c>
      <c r="K3289" s="1178" t="s">
        <v>317</v>
      </c>
      <c r="L3289" s="1178"/>
      <c r="M3289" s="1369"/>
      <c r="N3289" s="1178" t="s">
        <v>20244</v>
      </c>
      <c r="O3289" s="1178">
        <v>3</v>
      </c>
      <c r="P3289" s="1178">
        <v>14.5</v>
      </c>
    </row>
    <row r="3290" spans="1:16">
      <c r="A3290" s="1178" t="s">
        <v>21476</v>
      </c>
      <c r="B3290" s="1371" t="str">
        <f>HYPERLINK(IFERROR("#Main_Tariff!A"&amp;MATCH(Raeburn_Main_Tariff[[#This Row],[Product Code]],Main_Tariff!I:I,0),"#Main_Tariff!A"&amp;MATCH("*"&amp;RIGHT(A3290,8)&amp;"*",Main_Tariff!A:A,0)),Raeburn_Main_Tariff[[#This Row],[PRODUCER]])</f>
        <v>Famille Tardieu</v>
      </c>
      <c r="C3290" s="1178" t="s">
        <v>21609</v>
      </c>
      <c r="D3290" s="1178" t="s">
        <v>897</v>
      </c>
      <c r="E3290" s="1179">
        <v>2017</v>
      </c>
      <c r="F3290" s="1282" t="s">
        <v>20240</v>
      </c>
      <c r="G3290" s="1368">
        <v>74</v>
      </c>
      <c r="H3290" s="1178" t="s">
        <v>20221</v>
      </c>
      <c r="I3290" s="1178" t="s">
        <v>10052</v>
      </c>
      <c r="J3290" s="1178" t="s">
        <v>662</v>
      </c>
      <c r="K3290" s="1178" t="s">
        <v>317</v>
      </c>
      <c r="L3290" s="1178"/>
      <c r="M3290" s="1369"/>
      <c r="N3290" s="1178" t="s">
        <v>20244</v>
      </c>
      <c r="O3290" s="1178">
        <v>3</v>
      </c>
      <c r="P3290" s="1178">
        <v>14.5</v>
      </c>
    </row>
    <row r="3291" spans="1:16">
      <c r="A3291" s="1178" t="s">
        <v>21476</v>
      </c>
      <c r="B3291" s="1371" t="str">
        <f>HYPERLINK(IFERROR("#Main_Tariff!A"&amp;MATCH(Raeburn_Main_Tariff[[#This Row],[Product Code]],Main_Tariff!I:I,0),"#Main_Tariff!A"&amp;MATCH("*"&amp;RIGHT(A3291,8)&amp;"*",Main_Tariff!A:A,0)),Raeburn_Main_Tariff[[#This Row],[PRODUCER]])</f>
        <v>Famille Tardieu</v>
      </c>
      <c r="C3291" s="1178" t="s">
        <v>21610</v>
      </c>
      <c r="D3291" s="1178" t="s">
        <v>897</v>
      </c>
      <c r="E3291" s="1179">
        <v>2012</v>
      </c>
      <c r="F3291" s="1282" t="s">
        <v>20240</v>
      </c>
      <c r="G3291" s="1368">
        <v>77</v>
      </c>
      <c r="H3291" s="1178" t="s">
        <v>20224</v>
      </c>
      <c r="I3291" s="1178" t="s">
        <v>10053</v>
      </c>
      <c r="J3291" s="1178" t="s">
        <v>662</v>
      </c>
      <c r="K3291" s="1178" t="s">
        <v>317</v>
      </c>
      <c r="L3291" s="1178"/>
      <c r="M3291" s="1369"/>
      <c r="N3291" s="1178"/>
      <c r="O3291" s="1178">
        <v>6</v>
      </c>
      <c r="P3291" s="1178">
        <v>14.5</v>
      </c>
    </row>
    <row r="3292" spans="1:16">
      <c r="A3292" s="1178" t="s">
        <v>21476</v>
      </c>
      <c r="B3292" s="1371" t="str">
        <f>HYPERLINK(IFERROR("#Main_Tariff!A"&amp;MATCH(Raeburn_Main_Tariff[[#This Row],[Product Code]],Main_Tariff!I:I,0),"#Main_Tariff!A"&amp;MATCH("*"&amp;RIGHT(A3292,8)&amp;"*",Main_Tariff!A:A,0)),Raeburn_Main_Tariff[[#This Row],[PRODUCER]])</f>
        <v>Famille Tardieu</v>
      </c>
      <c r="C3292" s="1178" t="s">
        <v>21611</v>
      </c>
      <c r="D3292" s="1178" t="s">
        <v>897</v>
      </c>
      <c r="E3292" s="1179">
        <v>2014</v>
      </c>
      <c r="F3292" s="1282" t="s">
        <v>20240</v>
      </c>
      <c r="G3292" s="1368">
        <v>78</v>
      </c>
      <c r="H3292" s="1178" t="s">
        <v>20224</v>
      </c>
      <c r="I3292" s="1178" t="s">
        <v>10054</v>
      </c>
      <c r="J3292" s="1178" t="s">
        <v>662</v>
      </c>
      <c r="K3292" s="1178" t="s">
        <v>317</v>
      </c>
      <c r="L3292" s="1178"/>
      <c r="M3292" s="1369"/>
      <c r="N3292" s="1178"/>
      <c r="O3292" s="1178">
        <v>6</v>
      </c>
      <c r="P3292" s="1178">
        <v>14.5</v>
      </c>
    </row>
    <row r="3293" spans="1:16">
      <c r="A3293" s="1178" t="s">
        <v>21612</v>
      </c>
      <c r="B3293" s="1371" t="str">
        <f>HYPERLINK(IFERROR("#Main_Tariff!A"&amp;MATCH(Raeburn_Main_Tariff[[#This Row],[Product Code]],Main_Tariff!I:I,0),"#Main_Tariff!A"&amp;MATCH("*"&amp;RIGHT(A3293,8)&amp;"*",Main_Tariff!A:A,0)),Raeburn_Main_Tariff[[#This Row],[PRODUCER]])</f>
        <v>Domaine de la Mordorée</v>
      </c>
      <c r="C3293" s="1178" t="s">
        <v>21613</v>
      </c>
      <c r="D3293" s="1178" t="s">
        <v>897</v>
      </c>
      <c r="E3293" s="1179">
        <v>2002</v>
      </c>
      <c r="F3293" s="1282" t="s">
        <v>20220</v>
      </c>
      <c r="G3293" s="1368">
        <v>30</v>
      </c>
      <c r="H3293" s="1178" t="s">
        <v>20277</v>
      </c>
      <c r="I3293" s="1178" t="s">
        <v>10057</v>
      </c>
      <c r="J3293" s="1178" t="s">
        <v>662</v>
      </c>
      <c r="K3293" s="1178" t="s">
        <v>317</v>
      </c>
      <c r="L3293" s="1178"/>
      <c r="M3293" s="1369"/>
      <c r="N3293" s="1178"/>
      <c r="O3293" s="1178">
        <v>12</v>
      </c>
      <c r="P3293" s="1178">
        <v>12.5</v>
      </c>
    </row>
    <row r="3294" spans="1:16">
      <c r="A3294" s="1178" t="s">
        <v>326</v>
      </c>
      <c r="B3294" s="1371" t="str">
        <f>HYPERLINK(IFERROR("#Main_Tariff!A"&amp;MATCH(Raeburn_Main_Tariff[[#This Row],[Product Code]],Main_Tariff!I:I,0),"#Main_Tariff!A"&amp;MATCH("*"&amp;RIGHT(A3294,8)&amp;"*",Main_Tariff!A:A,0)),Raeburn_Main_Tariff[[#This Row],[PRODUCER]])</f>
        <v>Same River Twice</v>
      </c>
      <c r="C3294" s="1178" t="s">
        <v>21614</v>
      </c>
      <c r="D3294" s="1178" t="s">
        <v>1129</v>
      </c>
      <c r="E3294" s="1179">
        <v>2020</v>
      </c>
      <c r="F3294" s="1282" t="s">
        <v>20220</v>
      </c>
      <c r="G3294" s="1368">
        <v>12.75</v>
      </c>
      <c r="H3294" s="1178" t="s">
        <v>20221</v>
      </c>
      <c r="I3294" s="1178" t="s">
        <v>10068</v>
      </c>
      <c r="J3294" s="1178" t="s">
        <v>662</v>
      </c>
      <c r="K3294" s="1178" t="s">
        <v>317</v>
      </c>
      <c r="L3294" s="1178"/>
      <c r="M3294" s="1369"/>
      <c r="N3294" s="1178"/>
      <c r="O3294" s="1178">
        <v>6</v>
      </c>
      <c r="P3294" s="1178">
        <v>13.5</v>
      </c>
    </row>
    <row r="3295" spans="1:16">
      <c r="A3295" s="1178" t="s">
        <v>326</v>
      </c>
      <c r="B3295" s="1371" t="str">
        <f>HYPERLINK(IFERROR("#Main_Tariff!A"&amp;MATCH(Raeburn_Main_Tariff[[#This Row],[Product Code]],Main_Tariff!I:I,0),"#Main_Tariff!A"&amp;MATCH("*"&amp;RIGHT(A3295,8)&amp;"*",Main_Tariff!A:A,0)),Raeburn_Main_Tariff[[#This Row],[PRODUCER]])</f>
        <v>Same River Twice</v>
      </c>
      <c r="C3295" s="1178" t="s">
        <v>21615</v>
      </c>
      <c r="D3295" s="1178" t="s">
        <v>1370</v>
      </c>
      <c r="E3295" s="1179">
        <v>2022</v>
      </c>
      <c r="F3295" s="1282" t="s">
        <v>20220</v>
      </c>
      <c r="G3295" s="1368">
        <v>13.25</v>
      </c>
      <c r="H3295" s="1178" t="s">
        <v>20221</v>
      </c>
      <c r="I3295" s="1178" t="s">
        <v>10070</v>
      </c>
      <c r="J3295" s="1178" t="s">
        <v>662</v>
      </c>
      <c r="K3295" s="1178" t="s">
        <v>317</v>
      </c>
      <c r="L3295" s="1178"/>
      <c r="M3295" s="1369"/>
      <c r="N3295" s="1178"/>
      <c r="O3295" s="1178">
        <v>12</v>
      </c>
      <c r="P3295" s="1178">
        <v>12.5</v>
      </c>
    </row>
    <row r="3296" spans="1:16">
      <c r="A3296" s="1178" t="s">
        <v>326</v>
      </c>
      <c r="B3296" s="1371" t="str">
        <f>HYPERLINK(IFERROR("#Main_Tariff!A"&amp;MATCH(Raeburn_Main_Tariff[[#This Row],[Product Code]],Main_Tariff!I:I,0),"#Main_Tariff!A"&amp;MATCH("*"&amp;RIGHT(A3296,8)&amp;"*",Main_Tariff!A:A,0)),Raeburn_Main_Tariff[[#This Row],[PRODUCER]])</f>
        <v>Same River Twice</v>
      </c>
      <c r="C3296" s="1178" t="s">
        <v>21616</v>
      </c>
      <c r="D3296" s="1178" t="s">
        <v>2573</v>
      </c>
      <c r="E3296" s="1179">
        <v>2021</v>
      </c>
      <c r="F3296" s="1282" t="s">
        <v>20220</v>
      </c>
      <c r="G3296" s="1368">
        <v>12.75</v>
      </c>
      <c r="H3296" s="1178" t="s">
        <v>20221</v>
      </c>
      <c r="I3296" s="1178" t="s">
        <v>10072</v>
      </c>
      <c r="J3296" s="1178" t="s">
        <v>662</v>
      </c>
      <c r="K3296" s="1178" t="s">
        <v>317</v>
      </c>
      <c r="L3296" s="1178"/>
      <c r="M3296" s="1369"/>
      <c r="N3296" s="1178"/>
      <c r="O3296" s="1178">
        <v>6</v>
      </c>
      <c r="P3296" s="1178">
        <v>12.5</v>
      </c>
    </row>
    <row r="3297" spans="1:16">
      <c r="A3297" s="1178" t="s">
        <v>326</v>
      </c>
      <c r="B3297" s="1371" t="str">
        <f>HYPERLINK(IFERROR("#Main_Tariff!A"&amp;MATCH(Raeburn_Main_Tariff[[#This Row],[Product Code]],Main_Tariff!I:I,0),"#Main_Tariff!A"&amp;MATCH("*"&amp;RIGHT(A3297,8)&amp;"*",Main_Tariff!A:A,0)),Raeburn_Main_Tariff[[#This Row],[PRODUCER]])</f>
        <v>Same River Twice</v>
      </c>
      <c r="C3297" s="1178" t="s">
        <v>21617</v>
      </c>
      <c r="D3297" s="1178" t="s">
        <v>897</v>
      </c>
      <c r="E3297" s="1179">
        <v>2020</v>
      </c>
      <c r="F3297" s="1282" t="s">
        <v>20220</v>
      </c>
      <c r="G3297" s="1368">
        <v>12.75</v>
      </c>
      <c r="H3297" s="1178" t="s">
        <v>20221</v>
      </c>
      <c r="I3297" s="1178" t="s">
        <v>10074</v>
      </c>
      <c r="J3297" s="1178" t="s">
        <v>662</v>
      </c>
      <c r="K3297" s="1178" t="s">
        <v>317</v>
      </c>
      <c r="L3297" s="1178"/>
      <c r="M3297" s="1369"/>
      <c r="N3297" s="1178"/>
      <c r="O3297" s="1178">
        <v>12</v>
      </c>
      <c r="P3297" s="1178">
        <v>13.5</v>
      </c>
    </row>
    <row r="3298" spans="1:16">
      <c r="A3298" s="1178" t="s">
        <v>21618</v>
      </c>
      <c r="B3298" s="1371" t="str">
        <f>HYPERLINK(IFERROR("#Main_Tariff!A"&amp;MATCH(Raeburn_Main_Tariff[[#This Row],[Product Code]],Main_Tariff!I:I,0),"#Main_Tariff!A"&amp;MATCH("*"&amp;RIGHT(A3298,8)&amp;"*",Main_Tariff!A:A,0)),Raeburn_Main_Tariff[[#This Row],[PRODUCER]])</f>
        <v>Domaine Des Pallieres</v>
      </c>
      <c r="C3298" s="1178" t="s">
        <v>21619</v>
      </c>
      <c r="D3298" s="1178" t="s">
        <v>897</v>
      </c>
      <c r="E3298" s="1179">
        <v>2019</v>
      </c>
      <c r="F3298" s="1282" t="s">
        <v>20220</v>
      </c>
      <c r="G3298" s="1368">
        <v>26</v>
      </c>
      <c r="H3298" s="1178" t="s">
        <v>20224</v>
      </c>
      <c r="I3298" s="1178" t="s">
        <v>10096</v>
      </c>
      <c r="J3298" s="1178" t="s">
        <v>662</v>
      </c>
      <c r="K3298" s="1178" t="s">
        <v>317</v>
      </c>
      <c r="L3298" s="1178"/>
      <c r="M3298" s="1369"/>
      <c r="N3298" s="1178"/>
      <c r="O3298" s="1178">
        <v>6</v>
      </c>
      <c r="P3298" s="1178">
        <v>14.5</v>
      </c>
    </row>
    <row r="3299" spans="1:16">
      <c r="A3299" s="1178" t="s">
        <v>21618</v>
      </c>
      <c r="B3299" s="1371" t="str">
        <f>HYPERLINK(IFERROR("#Main_Tariff!A"&amp;MATCH(Raeburn_Main_Tariff[[#This Row],[Product Code]],Main_Tariff!I:I,0),"#Main_Tariff!A"&amp;MATCH("*"&amp;RIGHT(A3299,8)&amp;"*",Main_Tariff!A:A,0)),Raeburn_Main_Tariff[[#This Row],[PRODUCER]])</f>
        <v>Domaine Des Pallieres</v>
      </c>
      <c r="C3299" s="1178" t="s">
        <v>21620</v>
      </c>
      <c r="D3299" s="1178" t="s">
        <v>897</v>
      </c>
      <c r="E3299" s="1179">
        <v>2018</v>
      </c>
      <c r="F3299" s="1282" t="s">
        <v>20240</v>
      </c>
      <c r="G3299" s="1368">
        <v>51</v>
      </c>
      <c r="H3299" s="1178" t="s">
        <v>20221</v>
      </c>
      <c r="I3299" s="1178" t="s">
        <v>10098</v>
      </c>
      <c r="J3299" s="1178" t="s">
        <v>662</v>
      </c>
      <c r="K3299" s="1178" t="s">
        <v>317</v>
      </c>
      <c r="L3299" s="1178"/>
      <c r="M3299" s="1369"/>
      <c r="N3299" s="1178"/>
      <c r="O3299" s="1178">
        <v>6</v>
      </c>
      <c r="P3299" s="1178">
        <v>14.5</v>
      </c>
    </row>
    <row r="3300" spans="1:16">
      <c r="A3300" s="1178" t="s">
        <v>328</v>
      </c>
      <c r="B3300" s="1371" t="str">
        <f>HYPERLINK(IFERROR("#Main_Tariff!A"&amp;MATCH(Raeburn_Main_Tariff[[#This Row],[Product Code]],Main_Tariff!I:I,0),"#Main_Tariff!A"&amp;MATCH("*"&amp;RIGHT(A3300,8)&amp;"*",Main_Tariff!A:A,0)),Raeburn_Main_Tariff[[#This Row],[PRODUCER]])</f>
        <v>Piedlong</v>
      </c>
      <c r="C3300" s="1178" t="s">
        <v>21621</v>
      </c>
      <c r="D3300" s="1178" t="s">
        <v>897</v>
      </c>
      <c r="E3300" s="1179">
        <v>2016</v>
      </c>
      <c r="F3300" s="1282" t="s">
        <v>20220</v>
      </c>
      <c r="G3300" s="1368">
        <v>32</v>
      </c>
      <c r="H3300" s="1178" t="s">
        <v>20277</v>
      </c>
      <c r="I3300" s="1178" t="s">
        <v>10107</v>
      </c>
      <c r="J3300" s="1178" t="s">
        <v>662</v>
      </c>
      <c r="K3300" s="1178" t="s">
        <v>317</v>
      </c>
      <c r="L3300" s="1178"/>
      <c r="M3300" s="1369"/>
      <c r="N3300" s="1178"/>
      <c r="O3300" s="1178">
        <v>6</v>
      </c>
      <c r="P3300" s="1178">
        <v>14.5</v>
      </c>
    </row>
    <row r="3301" spans="1:16">
      <c r="A3301" s="1178" t="s">
        <v>329</v>
      </c>
      <c r="B3301" s="1371" t="str">
        <f>HYPERLINK(IFERROR("#Main_Tariff!A"&amp;MATCH(Raeburn_Main_Tariff[[#This Row],[Product Code]],Main_Tariff!I:I,0),"#Main_Tariff!A"&amp;MATCH("*"&amp;RIGHT(A3301,8)&amp;"*",Main_Tariff!A:A,0)),Raeburn_Main_Tariff[[#This Row],[PRODUCER]])</f>
        <v>Vieux Telegraphe</v>
      </c>
      <c r="C3301" s="1178" t="s">
        <v>21560</v>
      </c>
      <c r="D3301" s="1178" t="s">
        <v>897</v>
      </c>
      <c r="E3301" s="1179">
        <v>2019</v>
      </c>
      <c r="F3301" s="1282" t="s">
        <v>20220</v>
      </c>
      <c r="G3301" s="1368">
        <v>49.5</v>
      </c>
      <c r="H3301" s="1178" t="s">
        <v>20221</v>
      </c>
      <c r="I3301" s="1178" t="s">
        <v>10114</v>
      </c>
      <c r="J3301" s="1178" t="s">
        <v>662</v>
      </c>
      <c r="K3301" s="1178" t="s">
        <v>317</v>
      </c>
      <c r="L3301" s="1178"/>
      <c r="M3301" s="1369"/>
      <c r="N3301" s="1178"/>
      <c r="O3301" s="1178">
        <v>6</v>
      </c>
      <c r="P3301" s="1178">
        <v>13</v>
      </c>
    </row>
    <row r="3302" spans="1:16">
      <c r="A3302" s="1178" t="s">
        <v>329</v>
      </c>
      <c r="B3302" s="1371" t="str">
        <f>HYPERLINK(IFERROR("#Main_Tariff!A"&amp;MATCH(Raeburn_Main_Tariff[[#This Row],[Product Code]],Main_Tariff!I:I,0),"#Main_Tariff!A"&amp;MATCH("*"&amp;RIGHT(A3302,8)&amp;"*",Main_Tariff!A:A,0)),Raeburn_Main_Tariff[[#This Row],[PRODUCER]])</f>
        <v>Vieux Telegraphe</v>
      </c>
      <c r="C3302" s="1178" t="s">
        <v>21560</v>
      </c>
      <c r="D3302" s="1178" t="s">
        <v>897</v>
      </c>
      <c r="E3302" s="1179">
        <v>2017</v>
      </c>
      <c r="F3302" s="1282" t="s">
        <v>20220</v>
      </c>
      <c r="G3302" s="1368">
        <v>51.5</v>
      </c>
      <c r="H3302" s="1178" t="s">
        <v>20221</v>
      </c>
      <c r="I3302" s="1178" t="s">
        <v>10115</v>
      </c>
      <c r="J3302" s="1178" t="s">
        <v>662</v>
      </c>
      <c r="K3302" s="1178" t="s">
        <v>317</v>
      </c>
      <c r="L3302" s="1178"/>
      <c r="M3302" s="1369"/>
      <c r="N3302" s="1178"/>
      <c r="O3302" s="1178">
        <v>6</v>
      </c>
      <c r="P3302" s="1178">
        <v>14</v>
      </c>
    </row>
    <row r="3303" spans="1:16">
      <c r="A3303" s="1178" t="s">
        <v>329</v>
      </c>
      <c r="B3303" s="1371" t="str">
        <f>HYPERLINK(IFERROR("#Main_Tariff!A"&amp;MATCH(Raeburn_Main_Tariff[[#This Row],[Product Code]],Main_Tariff!I:I,0),"#Main_Tariff!A"&amp;MATCH("*"&amp;RIGHT(A3303,8)&amp;"*",Main_Tariff!A:A,0)),Raeburn_Main_Tariff[[#This Row],[PRODUCER]])</f>
        <v>Vieux Telegraphe</v>
      </c>
      <c r="C3303" s="1178" t="s">
        <v>21560</v>
      </c>
      <c r="D3303" s="1178" t="s">
        <v>897</v>
      </c>
      <c r="E3303" s="1179">
        <v>2016</v>
      </c>
      <c r="F3303" s="1282" t="s">
        <v>20220</v>
      </c>
      <c r="G3303" s="1368">
        <v>47.5</v>
      </c>
      <c r="H3303" s="1178" t="s">
        <v>20224</v>
      </c>
      <c r="I3303" s="1178" t="s">
        <v>10117</v>
      </c>
      <c r="J3303" s="1178" t="s">
        <v>662</v>
      </c>
      <c r="K3303" s="1178" t="s">
        <v>317</v>
      </c>
      <c r="L3303" s="1178"/>
      <c r="M3303" s="1369"/>
      <c r="N3303" s="1178"/>
      <c r="O3303" s="1178">
        <v>6</v>
      </c>
      <c r="P3303" s="1178">
        <v>14.5</v>
      </c>
    </row>
    <row r="3304" spans="1:16">
      <c r="A3304" s="1178" t="s">
        <v>329</v>
      </c>
      <c r="B3304" s="1371" t="str">
        <f>HYPERLINK(IFERROR("#Main_Tariff!A"&amp;MATCH(Raeburn_Main_Tariff[[#This Row],[Product Code]],Main_Tariff!I:I,0),"#Main_Tariff!A"&amp;MATCH("*"&amp;RIGHT(A3304,8)&amp;"*",Main_Tariff!A:A,0)),Raeburn_Main_Tariff[[#This Row],[PRODUCER]])</f>
        <v>Vieux Telegraphe</v>
      </c>
      <c r="C3304" s="1178" t="s">
        <v>21560</v>
      </c>
      <c r="D3304" s="1178" t="s">
        <v>897</v>
      </c>
      <c r="E3304" s="1179">
        <v>2015</v>
      </c>
      <c r="F3304" s="1282" t="s">
        <v>20220</v>
      </c>
      <c r="G3304" s="1368">
        <v>47.5</v>
      </c>
      <c r="H3304" s="1178" t="s">
        <v>20277</v>
      </c>
      <c r="I3304" s="1178" t="s">
        <v>10119</v>
      </c>
      <c r="J3304" s="1178" t="s">
        <v>662</v>
      </c>
      <c r="K3304" s="1178" t="s">
        <v>317</v>
      </c>
      <c r="L3304" s="1178"/>
      <c r="M3304" s="1369"/>
      <c r="N3304" s="1178"/>
      <c r="O3304" s="1178">
        <v>6</v>
      </c>
      <c r="P3304" s="1178">
        <v>13</v>
      </c>
    </row>
    <row r="3305" spans="1:16">
      <c r="A3305" s="1178" t="s">
        <v>329</v>
      </c>
      <c r="B3305" s="1371" t="str">
        <f>HYPERLINK(IFERROR("#Main_Tariff!A"&amp;MATCH(Raeburn_Main_Tariff[[#This Row],[Product Code]],Main_Tariff!I:I,0),"#Main_Tariff!A"&amp;MATCH("*"&amp;RIGHT(A3305,8)&amp;"*",Main_Tariff!A:A,0)),Raeburn_Main_Tariff[[#This Row],[PRODUCER]])</f>
        <v>Vieux Telegraphe</v>
      </c>
      <c r="C3305" s="1178" t="s">
        <v>21622</v>
      </c>
      <c r="D3305" s="1178" t="s">
        <v>897</v>
      </c>
      <c r="E3305" s="1179">
        <v>2018</v>
      </c>
      <c r="F3305" s="1282" t="s">
        <v>20240</v>
      </c>
      <c r="G3305" s="1368">
        <v>97</v>
      </c>
      <c r="H3305" s="1178" t="s">
        <v>20221</v>
      </c>
      <c r="I3305" s="1178" t="s">
        <v>10121</v>
      </c>
      <c r="J3305" s="1178" t="s">
        <v>662</v>
      </c>
      <c r="K3305" s="1178" t="s">
        <v>317</v>
      </c>
      <c r="L3305" s="1178"/>
      <c r="M3305" s="1369"/>
      <c r="N3305" s="1178"/>
      <c r="O3305" s="1178">
        <v>3</v>
      </c>
      <c r="P3305" s="1178">
        <v>13</v>
      </c>
    </row>
    <row r="3306" spans="1:16">
      <c r="A3306" s="1178" t="s">
        <v>21623</v>
      </c>
      <c r="B3306" s="1371" t="str">
        <f>HYPERLINK(IFERROR("#Main_Tariff!A"&amp;MATCH(Raeburn_Main_Tariff[[#This Row],[Product Code]],Main_Tariff!I:I,0),"#Main_Tariff!A"&amp;MATCH("*"&amp;RIGHT(A3306,8)&amp;"*",Main_Tariff!A:A,0)),Raeburn_Main_Tariff[[#This Row],[PRODUCER]])</f>
        <v>Domaine de Villeneuve</v>
      </c>
      <c r="C3306" s="1178" t="s">
        <v>21624</v>
      </c>
      <c r="D3306" s="1178" t="s">
        <v>897</v>
      </c>
      <c r="E3306" s="1179">
        <v>2022</v>
      </c>
      <c r="F3306" s="1282" t="s">
        <v>20220</v>
      </c>
      <c r="G3306" s="1368">
        <v>23.75</v>
      </c>
      <c r="H3306" s="1178" t="s">
        <v>20221</v>
      </c>
      <c r="I3306" s="1178" t="s">
        <v>10126</v>
      </c>
      <c r="J3306" s="1178" t="s">
        <v>662</v>
      </c>
      <c r="K3306" s="1178" t="s">
        <v>317</v>
      </c>
      <c r="L3306" s="1178"/>
      <c r="M3306" s="1369"/>
      <c r="N3306" s="1178" t="s">
        <v>20244</v>
      </c>
      <c r="O3306" s="1178">
        <v>12</v>
      </c>
      <c r="P3306" s="1178">
        <v>14</v>
      </c>
    </row>
    <row r="3307" spans="1:16">
      <c r="A3307" s="1178" t="s">
        <v>21623</v>
      </c>
      <c r="B3307" s="1371" t="str">
        <f>HYPERLINK(IFERROR("#Main_Tariff!A"&amp;MATCH(Raeburn_Main_Tariff[[#This Row],[Product Code]],Main_Tariff!I:I,0),"#Main_Tariff!A"&amp;MATCH("*"&amp;RIGHT(A3307,8)&amp;"*",Main_Tariff!A:A,0)),Raeburn_Main_Tariff[[#This Row],[PRODUCER]])</f>
        <v>Domaine de Villeneuve</v>
      </c>
      <c r="C3307" s="1178" t="s">
        <v>21624</v>
      </c>
      <c r="D3307" s="1178" t="s">
        <v>897</v>
      </c>
      <c r="E3307" s="1179">
        <v>2021</v>
      </c>
      <c r="F3307" s="1282" t="s">
        <v>20220</v>
      </c>
      <c r="G3307" s="1368">
        <v>23.5</v>
      </c>
      <c r="H3307" s="1178" t="s">
        <v>20221</v>
      </c>
      <c r="I3307" s="1178" t="s">
        <v>10128</v>
      </c>
      <c r="J3307" s="1178" t="s">
        <v>662</v>
      </c>
      <c r="K3307" s="1178" t="s">
        <v>317</v>
      </c>
      <c r="L3307" s="1178"/>
      <c r="M3307" s="1369"/>
      <c r="N3307" s="1178" t="s">
        <v>20244</v>
      </c>
      <c r="O3307" s="1178">
        <v>12</v>
      </c>
      <c r="P3307" s="1178">
        <v>14</v>
      </c>
    </row>
    <row r="3308" spans="1:16">
      <c r="A3308" s="1178" t="s">
        <v>21623</v>
      </c>
      <c r="B3308" s="1371" t="str">
        <f>HYPERLINK(IFERROR("#Main_Tariff!A"&amp;MATCH(Raeburn_Main_Tariff[[#This Row],[Product Code]],Main_Tariff!I:I,0),"#Main_Tariff!A"&amp;MATCH("*"&amp;RIGHT(A3308,8)&amp;"*",Main_Tariff!A:A,0)),Raeburn_Main_Tariff[[#This Row],[PRODUCER]])</f>
        <v>Domaine de Villeneuve</v>
      </c>
      <c r="C3308" s="1178" t="s">
        <v>21625</v>
      </c>
      <c r="D3308" s="1178" t="s">
        <v>897</v>
      </c>
      <c r="E3308" s="1179">
        <v>2020</v>
      </c>
      <c r="F3308" s="1282" t="s">
        <v>20220</v>
      </c>
      <c r="G3308" s="1368">
        <v>33.5</v>
      </c>
      <c r="H3308" s="1178" t="s">
        <v>20221</v>
      </c>
      <c r="I3308" s="1178" t="s">
        <v>10130</v>
      </c>
      <c r="J3308" s="1178" t="s">
        <v>662</v>
      </c>
      <c r="K3308" s="1178" t="s">
        <v>317</v>
      </c>
      <c r="L3308" s="1178"/>
      <c r="M3308" s="1369"/>
      <c r="N3308" s="1178" t="s">
        <v>20244</v>
      </c>
      <c r="O3308" s="1178">
        <v>12</v>
      </c>
      <c r="P3308" s="1178">
        <v>13.5</v>
      </c>
    </row>
    <row r="3309" spans="1:16">
      <c r="A3309" s="1178" t="s">
        <v>21623</v>
      </c>
      <c r="B3309" s="1371" t="str">
        <f>HYPERLINK(IFERROR("#Main_Tariff!A"&amp;MATCH(Raeburn_Main_Tariff[[#This Row],[Product Code]],Main_Tariff!I:I,0),"#Main_Tariff!A"&amp;MATCH("*"&amp;RIGHT(A3309,8)&amp;"*",Main_Tariff!A:A,0)),Raeburn_Main_Tariff[[#This Row],[PRODUCER]])</f>
        <v>Domaine de Villeneuve</v>
      </c>
      <c r="C3309" s="1178" t="s">
        <v>21626</v>
      </c>
      <c r="D3309" s="1178" t="s">
        <v>897</v>
      </c>
      <c r="E3309" s="1179">
        <v>2019</v>
      </c>
      <c r="F3309" s="1282" t="s">
        <v>20220</v>
      </c>
      <c r="G3309" s="1368">
        <v>33.5</v>
      </c>
      <c r="H3309" s="1178" t="s">
        <v>20221</v>
      </c>
      <c r="I3309" s="1178" t="s">
        <v>10132</v>
      </c>
      <c r="J3309" s="1178" t="s">
        <v>662</v>
      </c>
      <c r="K3309" s="1178" t="s">
        <v>317</v>
      </c>
      <c r="L3309" s="1178"/>
      <c r="M3309" s="1369"/>
      <c r="N3309" s="1178" t="s">
        <v>20244</v>
      </c>
      <c r="O3309" s="1178">
        <v>6</v>
      </c>
      <c r="P3309" s="1178">
        <v>15</v>
      </c>
    </row>
    <row r="3310" spans="1:16">
      <c r="A3310" s="1178" t="s">
        <v>21623</v>
      </c>
      <c r="B3310" s="1371" t="str">
        <f>HYPERLINK(IFERROR("#Main_Tariff!A"&amp;MATCH(Raeburn_Main_Tariff[[#This Row],[Product Code]],Main_Tariff!I:I,0),"#Main_Tariff!A"&amp;MATCH("*"&amp;RIGHT(A3310,8)&amp;"*",Main_Tariff!A:A,0)),Raeburn_Main_Tariff[[#This Row],[PRODUCER]])</f>
        <v>Domaine de Villeneuve</v>
      </c>
      <c r="C3310" s="1178" t="s">
        <v>21625</v>
      </c>
      <c r="D3310" s="1178" t="s">
        <v>897</v>
      </c>
      <c r="E3310" s="1179">
        <v>2012</v>
      </c>
      <c r="F3310" s="1282" t="s">
        <v>20220</v>
      </c>
      <c r="G3310" s="1368">
        <v>30.5</v>
      </c>
      <c r="H3310" s="1178" t="s">
        <v>20221</v>
      </c>
      <c r="I3310" s="1178" t="s">
        <v>10134</v>
      </c>
      <c r="J3310" s="1178" t="s">
        <v>662</v>
      </c>
      <c r="K3310" s="1178" t="s">
        <v>317</v>
      </c>
      <c r="L3310" s="1178"/>
      <c r="M3310" s="1369"/>
      <c r="N3310" s="1178" t="s">
        <v>20244</v>
      </c>
      <c r="O3310" s="1178">
        <v>12</v>
      </c>
      <c r="P3310" s="1178">
        <v>14.5</v>
      </c>
    </row>
    <row r="3311" spans="1:16">
      <c r="A3311" s="1178" t="s">
        <v>21623</v>
      </c>
      <c r="B3311" s="1371" t="str">
        <f>HYPERLINK(IFERROR("#Main_Tariff!A"&amp;MATCH(Raeburn_Main_Tariff[[#This Row],[Product Code]],Main_Tariff!I:I,0),"#Main_Tariff!A"&amp;MATCH("*"&amp;RIGHT(A3311,8)&amp;"*",Main_Tariff!A:A,0)),Raeburn_Main_Tariff[[#This Row],[PRODUCER]])</f>
        <v>Domaine de Villeneuve</v>
      </c>
      <c r="C3311" s="1178" t="s">
        <v>21627</v>
      </c>
      <c r="D3311" s="1178" t="s">
        <v>897</v>
      </c>
      <c r="E3311" s="1179">
        <v>2019</v>
      </c>
      <c r="F3311" s="1282" t="s">
        <v>20240</v>
      </c>
      <c r="G3311" s="1368">
        <v>68.25</v>
      </c>
      <c r="H3311" s="1178" t="s">
        <v>20221</v>
      </c>
      <c r="I3311" s="1178" t="s">
        <v>10137</v>
      </c>
      <c r="J3311" s="1178" t="s">
        <v>662</v>
      </c>
      <c r="K3311" s="1178" t="s">
        <v>317</v>
      </c>
      <c r="L3311" s="1178"/>
      <c r="M3311" s="1369"/>
      <c r="N3311" s="1178" t="s">
        <v>20244</v>
      </c>
      <c r="O3311" s="1178">
        <v>3</v>
      </c>
      <c r="P3311" s="1178">
        <v>15</v>
      </c>
    </row>
    <row r="3312" spans="1:16">
      <c r="A3312" s="1178" t="s">
        <v>21623</v>
      </c>
      <c r="B3312" s="1371" t="str">
        <f>HYPERLINK(IFERROR("#Main_Tariff!A"&amp;MATCH(Raeburn_Main_Tariff[[#This Row],[Product Code]],Main_Tariff!I:I,0),"#Main_Tariff!A"&amp;MATCH("*"&amp;RIGHT(A3312,8)&amp;"*",Main_Tariff!A:A,0)),Raeburn_Main_Tariff[[#This Row],[PRODUCER]])</f>
        <v>Domaine de Villeneuve</v>
      </c>
      <c r="C3312" s="1178" t="s">
        <v>21627</v>
      </c>
      <c r="D3312" s="1178" t="s">
        <v>897</v>
      </c>
      <c r="E3312" s="1179">
        <v>2012</v>
      </c>
      <c r="F3312" s="1282" t="s">
        <v>20240</v>
      </c>
      <c r="G3312" s="1368">
        <v>64</v>
      </c>
      <c r="H3312" s="1178" t="s">
        <v>20224</v>
      </c>
      <c r="I3312" s="1178" t="s">
        <v>10139</v>
      </c>
      <c r="J3312" s="1178" t="s">
        <v>662</v>
      </c>
      <c r="K3312" s="1178" t="s">
        <v>317</v>
      </c>
      <c r="L3312" s="1178"/>
      <c r="M3312" s="1369"/>
      <c r="N3312" s="1178" t="s">
        <v>20244</v>
      </c>
      <c r="O3312" s="1178">
        <v>6</v>
      </c>
      <c r="P3312" s="1178">
        <v>14.5</v>
      </c>
    </row>
    <row r="3313" spans="1:16">
      <c r="A3313" s="1178" t="s">
        <v>21623</v>
      </c>
      <c r="B3313" s="1371" t="str">
        <f>HYPERLINK(IFERROR("#Main_Tariff!A"&amp;MATCH(Raeburn_Main_Tariff[[#This Row],[Product Code]],Main_Tariff!I:I,0),"#Main_Tariff!A"&amp;MATCH("*"&amp;RIGHT(A3313,8)&amp;"*",Main_Tariff!A:A,0)),Raeburn_Main_Tariff[[#This Row],[PRODUCER]])</f>
        <v>Domaine de Villeneuve</v>
      </c>
      <c r="C3313" s="1178" t="s">
        <v>21628</v>
      </c>
      <c r="D3313" s="1178" t="s">
        <v>897</v>
      </c>
      <c r="E3313" s="1179">
        <v>2019</v>
      </c>
      <c r="F3313" s="1282" t="s">
        <v>20240</v>
      </c>
      <c r="G3313" s="1368">
        <v>89</v>
      </c>
      <c r="H3313" s="1178" t="s">
        <v>20221</v>
      </c>
      <c r="I3313" s="1178" t="s">
        <v>10140</v>
      </c>
      <c r="J3313" s="1178" t="s">
        <v>662</v>
      </c>
      <c r="K3313" s="1178" t="s">
        <v>317</v>
      </c>
      <c r="L3313" s="1178"/>
      <c r="M3313" s="1369"/>
      <c r="N3313" s="1178" t="s">
        <v>20244</v>
      </c>
      <c r="O3313" s="1178">
        <v>3</v>
      </c>
      <c r="P3313" s="1178">
        <v>15</v>
      </c>
    </row>
    <row r="3314" spans="1:16">
      <c r="A3314" s="1178" t="s">
        <v>333</v>
      </c>
      <c r="B3314" s="1371" t="str">
        <f>HYPERLINK(IFERROR("#Main_Tariff!A"&amp;MATCH(Raeburn_Main_Tariff[[#This Row],[Product Code]],Main_Tariff!I:I,0),"#Main_Tariff!A"&amp;MATCH("*"&amp;RIGHT(A3314,8)&amp;"*",Main_Tariff!A:A,0)),Raeburn_Main_Tariff[[#This Row],[PRODUCER]])</f>
        <v>Calvet</v>
      </c>
      <c r="C3314" s="1178" t="s">
        <v>18746</v>
      </c>
      <c r="D3314" s="1178" t="s">
        <v>10155</v>
      </c>
      <c r="E3314" s="1179">
        <v>1974</v>
      </c>
      <c r="F3314" s="1282" t="s">
        <v>20220</v>
      </c>
      <c r="G3314" s="1368">
        <v>49.5</v>
      </c>
      <c r="H3314" s="1178" t="s">
        <v>20224</v>
      </c>
      <c r="I3314" s="1178" t="s">
        <v>10156</v>
      </c>
      <c r="J3314" s="1178" t="s">
        <v>662</v>
      </c>
      <c r="K3314" s="1178" t="s">
        <v>331</v>
      </c>
      <c r="L3314" s="1178" t="s">
        <v>332</v>
      </c>
      <c r="M3314" s="1369"/>
      <c r="N3314" s="1178"/>
      <c r="O3314" s="1178">
        <v>6</v>
      </c>
      <c r="P3314" s="1178">
        <v>16.5</v>
      </c>
    </row>
    <row r="3315" spans="1:16">
      <c r="A3315" s="1178" t="s">
        <v>334</v>
      </c>
      <c r="B3315" s="1371" t="str">
        <f>HYPERLINK(IFERROR("#Main_Tariff!A"&amp;MATCH(Raeburn_Main_Tariff[[#This Row],[Product Code]],Main_Tariff!I:I,0),"#Main_Tariff!A"&amp;MATCH("*"&amp;RIGHT(A3315,8)&amp;"*",Main_Tariff!A:A,0)),Raeburn_Main_Tariff[[#This Row],[PRODUCER]])</f>
        <v>Clot de l'Origine</v>
      </c>
      <c r="C3315" s="1178" t="s">
        <v>21629</v>
      </c>
      <c r="D3315" s="1178" t="s">
        <v>1129</v>
      </c>
      <c r="E3315" s="1179">
        <v>2021</v>
      </c>
      <c r="F3315" s="1282" t="s">
        <v>20220</v>
      </c>
      <c r="G3315" s="1368">
        <v>16</v>
      </c>
      <c r="H3315" s="1178" t="s">
        <v>20221</v>
      </c>
      <c r="I3315" s="1178" t="s">
        <v>10160</v>
      </c>
      <c r="J3315" s="1178" t="s">
        <v>662</v>
      </c>
      <c r="K3315" s="1178" t="s">
        <v>331</v>
      </c>
      <c r="L3315" s="1178" t="s">
        <v>332</v>
      </c>
      <c r="M3315" s="1369"/>
      <c r="N3315" s="1178" t="s">
        <v>20244</v>
      </c>
      <c r="O3315" s="1178">
        <v>6</v>
      </c>
      <c r="P3315" s="1178">
        <v>11.5</v>
      </c>
    </row>
    <row r="3316" spans="1:16">
      <c r="A3316" s="1178" t="s">
        <v>334</v>
      </c>
      <c r="B3316" s="1371" t="str">
        <f>HYPERLINK(IFERROR("#Main_Tariff!A"&amp;MATCH(Raeburn_Main_Tariff[[#This Row],[Product Code]],Main_Tariff!I:I,0),"#Main_Tariff!A"&amp;MATCH("*"&amp;RIGHT(A3316,8)&amp;"*",Main_Tariff!A:A,0)),Raeburn_Main_Tariff[[#This Row],[PRODUCER]])</f>
        <v>Clot de l'Origine</v>
      </c>
      <c r="C3316" s="1178" t="s">
        <v>21629</v>
      </c>
      <c r="D3316" s="1178" t="s">
        <v>1129</v>
      </c>
      <c r="E3316" s="1179">
        <v>2017</v>
      </c>
      <c r="F3316" s="1282" t="s">
        <v>20220</v>
      </c>
      <c r="G3316" s="1368">
        <v>16</v>
      </c>
      <c r="H3316" s="1178" t="s">
        <v>20465</v>
      </c>
      <c r="I3316" s="1178" t="s">
        <v>10162</v>
      </c>
      <c r="J3316" s="1178" t="s">
        <v>662</v>
      </c>
      <c r="K3316" s="1178" t="s">
        <v>331</v>
      </c>
      <c r="L3316" s="1178" t="s">
        <v>332</v>
      </c>
      <c r="M3316" s="1369"/>
      <c r="N3316" s="1178" t="s">
        <v>20244</v>
      </c>
      <c r="O3316" s="1178">
        <v>12</v>
      </c>
      <c r="P3316" s="1178">
        <v>12.5</v>
      </c>
    </row>
    <row r="3317" spans="1:16">
      <c r="A3317" s="1178" t="s">
        <v>334</v>
      </c>
      <c r="B3317" s="1371" t="str">
        <f>HYPERLINK(IFERROR("#Main_Tariff!A"&amp;MATCH(Raeburn_Main_Tariff[[#This Row],[Product Code]],Main_Tariff!I:I,0),"#Main_Tariff!A"&amp;MATCH("*"&amp;RIGHT(A3317,8)&amp;"*",Main_Tariff!A:A,0)),Raeburn_Main_Tariff[[#This Row],[PRODUCER]])</f>
        <v>Clot de l'Origine</v>
      </c>
      <c r="C3317" s="1178" t="s">
        <v>21630</v>
      </c>
      <c r="D3317" s="1178" t="s">
        <v>1129</v>
      </c>
      <c r="E3317" s="1179">
        <v>2021</v>
      </c>
      <c r="F3317" s="1282" t="s">
        <v>20220</v>
      </c>
      <c r="G3317" s="1368">
        <v>19.5</v>
      </c>
      <c r="H3317" s="1178" t="s">
        <v>20221</v>
      </c>
      <c r="I3317" s="1178" t="s">
        <v>10164</v>
      </c>
      <c r="J3317" s="1178" t="s">
        <v>662</v>
      </c>
      <c r="K3317" s="1178" t="s">
        <v>331</v>
      </c>
      <c r="L3317" s="1178" t="s">
        <v>332</v>
      </c>
      <c r="M3317" s="1369"/>
      <c r="N3317" s="1178" t="s">
        <v>20244</v>
      </c>
      <c r="O3317" s="1178">
        <v>6</v>
      </c>
      <c r="P3317" s="1178">
        <v>12.5</v>
      </c>
    </row>
    <row r="3318" spans="1:16">
      <c r="A3318" s="1178" t="s">
        <v>334</v>
      </c>
      <c r="B3318" s="1371" t="str">
        <f>HYPERLINK(IFERROR("#Main_Tariff!A"&amp;MATCH(Raeburn_Main_Tariff[[#This Row],[Product Code]],Main_Tariff!I:I,0),"#Main_Tariff!A"&amp;MATCH("*"&amp;RIGHT(A3318,8)&amp;"*",Main_Tariff!A:A,0)),Raeburn_Main_Tariff[[#This Row],[PRODUCER]])</f>
        <v>Clot de l'Origine</v>
      </c>
      <c r="C3318" s="1178" t="s">
        <v>21631</v>
      </c>
      <c r="D3318" s="1178" t="s">
        <v>1129</v>
      </c>
      <c r="E3318" s="1179">
        <v>2010</v>
      </c>
      <c r="F3318" s="1282" t="s">
        <v>20220</v>
      </c>
      <c r="G3318" s="1368">
        <v>16.5</v>
      </c>
      <c r="H3318" s="1178" t="s">
        <v>20221</v>
      </c>
      <c r="I3318" s="1178" t="s">
        <v>10165</v>
      </c>
      <c r="J3318" s="1178" t="s">
        <v>662</v>
      </c>
      <c r="K3318" s="1178" t="s">
        <v>331</v>
      </c>
      <c r="L3318" s="1178" t="s">
        <v>332</v>
      </c>
      <c r="M3318" s="1369"/>
      <c r="N3318" s="1178"/>
      <c r="O3318" s="1178">
        <v>12</v>
      </c>
      <c r="P3318" s="1178">
        <v>13.5</v>
      </c>
    </row>
    <row r="3319" spans="1:16">
      <c r="A3319" s="1178" t="s">
        <v>334</v>
      </c>
      <c r="B3319" s="1371" t="str">
        <f>HYPERLINK(IFERROR("#Main_Tariff!A"&amp;MATCH(Raeburn_Main_Tariff[[#This Row],[Product Code]],Main_Tariff!I:I,0),"#Main_Tariff!A"&amp;MATCH("*"&amp;RIGHT(A3319,8)&amp;"*",Main_Tariff!A:A,0)),Raeburn_Main_Tariff[[#This Row],[PRODUCER]])</f>
        <v>Clot de l'Origine</v>
      </c>
      <c r="C3319" s="1178" t="s">
        <v>21630</v>
      </c>
      <c r="D3319" s="1178" t="s">
        <v>1129</v>
      </c>
      <c r="E3319" s="1179">
        <v>2009</v>
      </c>
      <c r="F3319" s="1282" t="s">
        <v>20220</v>
      </c>
      <c r="G3319" s="1368">
        <v>18.75</v>
      </c>
      <c r="H3319" s="1178" t="s">
        <v>20277</v>
      </c>
      <c r="I3319" s="1178" t="s">
        <v>10167</v>
      </c>
      <c r="J3319" s="1178" t="s">
        <v>662</v>
      </c>
      <c r="K3319" s="1178" t="s">
        <v>331</v>
      </c>
      <c r="L3319" s="1178" t="s">
        <v>332</v>
      </c>
      <c r="M3319" s="1369"/>
      <c r="N3319" s="1178"/>
      <c r="O3319" s="1178">
        <v>12</v>
      </c>
      <c r="P3319" s="1178">
        <v>13</v>
      </c>
    </row>
    <row r="3320" spans="1:16">
      <c r="A3320" s="1178" t="s">
        <v>334</v>
      </c>
      <c r="B3320" s="1371" t="str">
        <f>HYPERLINK(IFERROR("#Main_Tariff!A"&amp;MATCH(Raeburn_Main_Tariff[[#This Row],[Product Code]],Main_Tariff!I:I,0),"#Main_Tariff!A"&amp;MATCH("*"&amp;RIGHT(A3320,8)&amp;"*",Main_Tariff!A:A,0)),Raeburn_Main_Tariff[[#This Row],[PRODUCER]])</f>
        <v>Clot de l'Origine</v>
      </c>
      <c r="C3320" s="1178" t="s">
        <v>21630</v>
      </c>
      <c r="D3320" s="1178" t="s">
        <v>1129</v>
      </c>
      <c r="E3320" s="1179">
        <v>2008</v>
      </c>
      <c r="F3320" s="1282" t="s">
        <v>20220</v>
      </c>
      <c r="G3320" s="1368">
        <v>18.75</v>
      </c>
      <c r="H3320" s="1178" t="s">
        <v>20465</v>
      </c>
      <c r="I3320" s="1178" t="s">
        <v>10169</v>
      </c>
      <c r="J3320" s="1178" t="s">
        <v>662</v>
      </c>
      <c r="K3320" s="1178" t="s">
        <v>331</v>
      </c>
      <c r="L3320" s="1178" t="s">
        <v>332</v>
      </c>
      <c r="M3320" s="1369"/>
      <c r="N3320" s="1178"/>
      <c r="O3320" s="1178">
        <v>12</v>
      </c>
      <c r="P3320" s="1178">
        <v>13</v>
      </c>
    </row>
    <row r="3321" spans="1:16">
      <c r="A3321" s="1178" t="s">
        <v>334</v>
      </c>
      <c r="B3321" s="1371" t="str">
        <f>HYPERLINK(IFERROR("#Main_Tariff!A"&amp;MATCH(Raeburn_Main_Tariff[[#This Row],[Product Code]],Main_Tariff!I:I,0),"#Main_Tariff!A"&amp;MATCH("*"&amp;RIGHT(A3321,8)&amp;"*",Main_Tariff!A:A,0)),Raeburn_Main_Tariff[[#This Row],[PRODUCER]])</f>
        <v>Clot de l'Origine</v>
      </c>
      <c r="C3321" s="1178" t="s">
        <v>21632</v>
      </c>
      <c r="D3321" s="1178" t="s">
        <v>897</v>
      </c>
      <c r="E3321" s="1179">
        <v>2020</v>
      </c>
      <c r="F3321" s="1282" t="s">
        <v>20220</v>
      </c>
      <c r="G3321" s="1368">
        <v>16</v>
      </c>
      <c r="H3321" s="1178" t="s">
        <v>20221</v>
      </c>
      <c r="I3321" s="1178" t="s">
        <v>10171</v>
      </c>
      <c r="J3321" s="1178" t="s">
        <v>662</v>
      </c>
      <c r="K3321" s="1178" t="s">
        <v>331</v>
      </c>
      <c r="L3321" s="1178" t="s">
        <v>332</v>
      </c>
      <c r="M3321" s="1369"/>
      <c r="N3321" s="1178" t="s">
        <v>20244</v>
      </c>
      <c r="O3321" s="1178">
        <v>6</v>
      </c>
      <c r="P3321" s="1178">
        <v>12</v>
      </c>
    </row>
    <row r="3322" spans="1:16">
      <c r="A3322" s="1178" t="s">
        <v>334</v>
      </c>
      <c r="B3322" s="1371" t="str">
        <f>HYPERLINK(IFERROR("#Main_Tariff!A"&amp;MATCH(Raeburn_Main_Tariff[[#This Row],[Product Code]],Main_Tariff!I:I,0),"#Main_Tariff!A"&amp;MATCH("*"&amp;RIGHT(A3322,8)&amp;"*",Main_Tariff!A:A,0)),Raeburn_Main_Tariff[[#This Row],[PRODUCER]])</f>
        <v>Clot de l'Origine</v>
      </c>
      <c r="C3322" s="1178" t="s">
        <v>21633</v>
      </c>
      <c r="D3322" s="1178" t="s">
        <v>897</v>
      </c>
      <c r="E3322" s="1179">
        <v>2016</v>
      </c>
      <c r="F3322" s="1282" t="s">
        <v>20220</v>
      </c>
      <c r="G3322" s="1368">
        <v>17.5</v>
      </c>
      <c r="H3322" s="1178" t="s">
        <v>20221</v>
      </c>
      <c r="I3322" s="1178" t="s">
        <v>10173</v>
      </c>
      <c r="J3322" s="1178" t="s">
        <v>662</v>
      </c>
      <c r="K3322" s="1178" t="s">
        <v>331</v>
      </c>
      <c r="L3322" s="1178" t="s">
        <v>332</v>
      </c>
      <c r="M3322" s="1369"/>
      <c r="N3322" s="1178" t="s">
        <v>20244</v>
      </c>
      <c r="O3322" s="1178">
        <v>12</v>
      </c>
      <c r="P3322" s="1178">
        <v>13</v>
      </c>
    </row>
    <row r="3323" spans="1:16">
      <c r="A3323" s="1178" t="s">
        <v>334</v>
      </c>
      <c r="B3323" s="1371" t="str">
        <f>HYPERLINK(IFERROR("#Main_Tariff!A"&amp;MATCH(Raeburn_Main_Tariff[[#This Row],[Product Code]],Main_Tariff!I:I,0),"#Main_Tariff!A"&amp;MATCH("*"&amp;RIGHT(A3323,8)&amp;"*",Main_Tariff!A:A,0)),Raeburn_Main_Tariff[[#This Row],[PRODUCER]])</f>
        <v>Clot de l'Origine</v>
      </c>
      <c r="C3323" s="1178" t="s">
        <v>21634</v>
      </c>
      <c r="D3323" s="1178" t="s">
        <v>897</v>
      </c>
      <c r="E3323" s="1179">
        <v>2020</v>
      </c>
      <c r="F3323" s="1282" t="s">
        <v>20220</v>
      </c>
      <c r="G3323" s="1368">
        <v>18.5</v>
      </c>
      <c r="H3323" s="1178" t="s">
        <v>20221</v>
      </c>
      <c r="I3323" s="1178" t="s">
        <v>10174</v>
      </c>
      <c r="J3323" s="1178" t="s">
        <v>662</v>
      </c>
      <c r="K3323" s="1178" t="s">
        <v>331</v>
      </c>
      <c r="L3323" s="1178" t="s">
        <v>332</v>
      </c>
      <c r="M3323" s="1369"/>
      <c r="N3323" s="1178" t="s">
        <v>20244</v>
      </c>
      <c r="O3323" s="1178">
        <v>6</v>
      </c>
      <c r="P3323" s="1178">
        <v>13.5</v>
      </c>
    </row>
    <row r="3324" spans="1:16">
      <c r="A3324" s="1178" t="s">
        <v>334</v>
      </c>
      <c r="B3324" s="1371" t="str">
        <f>HYPERLINK(IFERROR("#Main_Tariff!A"&amp;MATCH(Raeburn_Main_Tariff[[#This Row],[Product Code]],Main_Tariff!I:I,0),"#Main_Tariff!A"&amp;MATCH("*"&amp;RIGHT(A3324,8)&amp;"*",Main_Tariff!A:A,0)),Raeburn_Main_Tariff[[#This Row],[PRODUCER]])</f>
        <v>Clot de l'Origine</v>
      </c>
      <c r="C3324" s="1178" t="s">
        <v>21634</v>
      </c>
      <c r="D3324" s="1178" t="s">
        <v>897</v>
      </c>
      <c r="E3324" s="1179">
        <v>2010</v>
      </c>
      <c r="F3324" s="1282" t="s">
        <v>20220</v>
      </c>
      <c r="G3324" s="1368">
        <v>18</v>
      </c>
      <c r="H3324" s="1178" t="s">
        <v>20224</v>
      </c>
      <c r="I3324" s="1178" t="s">
        <v>10176</v>
      </c>
      <c r="J3324" s="1178" t="s">
        <v>662</v>
      </c>
      <c r="K3324" s="1178" t="s">
        <v>331</v>
      </c>
      <c r="L3324" s="1178" t="s">
        <v>332</v>
      </c>
      <c r="M3324" s="1369"/>
      <c r="N3324" s="1178"/>
      <c r="O3324" s="1178">
        <v>12</v>
      </c>
      <c r="P3324" s="1178">
        <v>14.5</v>
      </c>
    </row>
    <row r="3325" spans="1:16">
      <c r="A3325" s="1178" t="s">
        <v>334</v>
      </c>
      <c r="B3325" s="1371" t="str">
        <f>HYPERLINK(IFERROR("#Main_Tariff!A"&amp;MATCH(Raeburn_Main_Tariff[[#This Row],[Product Code]],Main_Tariff!I:I,0),"#Main_Tariff!A"&amp;MATCH("*"&amp;RIGHT(A3325,8)&amp;"*",Main_Tariff!A:A,0)),Raeburn_Main_Tariff[[#This Row],[PRODUCER]])</f>
        <v>Clot de l'Origine</v>
      </c>
      <c r="C3325" s="1178" t="s">
        <v>21634</v>
      </c>
      <c r="D3325" s="1178" t="s">
        <v>897</v>
      </c>
      <c r="E3325" s="1179">
        <v>2008</v>
      </c>
      <c r="F3325" s="1282" t="s">
        <v>20220</v>
      </c>
      <c r="G3325" s="1368">
        <v>18</v>
      </c>
      <c r="H3325" s="1178" t="s">
        <v>20465</v>
      </c>
      <c r="I3325" s="1178" t="s">
        <v>10178</v>
      </c>
      <c r="J3325" s="1178" t="s">
        <v>662</v>
      </c>
      <c r="K3325" s="1178" t="s">
        <v>331</v>
      </c>
      <c r="L3325" s="1178" t="s">
        <v>332</v>
      </c>
      <c r="M3325" s="1369"/>
      <c r="N3325" s="1178"/>
      <c r="O3325" s="1178">
        <v>12</v>
      </c>
      <c r="P3325" s="1178">
        <v>0</v>
      </c>
    </row>
    <row r="3326" spans="1:16">
      <c r="A3326" s="1178" t="s">
        <v>334</v>
      </c>
      <c r="B3326" s="1371" t="str">
        <f>HYPERLINK(IFERROR("#Main_Tariff!A"&amp;MATCH(Raeburn_Main_Tariff[[#This Row],[Product Code]],Main_Tariff!I:I,0),"#Main_Tariff!A"&amp;MATCH("*"&amp;RIGHT(A3326,8)&amp;"*",Main_Tariff!A:A,0)),Raeburn_Main_Tariff[[#This Row],[PRODUCER]])</f>
        <v>Clot de l'Origine</v>
      </c>
      <c r="C3326" s="1178" t="s">
        <v>21635</v>
      </c>
      <c r="D3326" s="1178" t="s">
        <v>10182</v>
      </c>
      <c r="E3326" s="1179"/>
      <c r="F3326" s="1282" t="s">
        <v>20313</v>
      </c>
      <c r="G3326" s="1368"/>
      <c r="H3326" s="1178" t="s">
        <v>3907</v>
      </c>
      <c r="I3326" s="1178" t="s">
        <v>10183</v>
      </c>
      <c r="J3326" s="1178" t="s">
        <v>662</v>
      </c>
      <c r="K3326" s="1178" t="s">
        <v>331</v>
      </c>
      <c r="L3326" s="1178" t="s">
        <v>332</v>
      </c>
      <c r="M3326" s="1369"/>
      <c r="N3326" s="1178" t="s">
        <v>20244</v>
      </c>
      <c r="O3326" s="1178">
        <v>12</v>
      </c>
      <c r="P3326" s="1178">
        <v>18.5</v>
      </c>
    </row>
    <row r="3327" spans="1:16">
      <c r="A3327" s="1178" t="s">
        <v>335</v>
      </c>
      <c r="B3327" s="1371" t="str">
        <f>HYPERLINK(IFERROR("#Main_Tariff!A"&amp;MATCH(Raeburn_Main_Tariff[[#This Row],[Product Code]],Main_Tariff!I:I,0),"#Main_Tariff!A"&amp;MATCH("*"&amp;RIGHT(A3327,8)&amp;"*",Main_Tariff!A:A,0)),Raeburn_Main_Tariff[[#This Row],[PRODUCER]])</f>
        <v>Le Soula</v>
      </c>
      <c r="C3327" s="1178" t="s">
        <v>21636</v>
      </c>
      <c r="D3327" s="1178" t="s">
        <v>1129</v>
      </c>
      <c r="E3327" s="1179" t="s">
        <v>21637</v>
      </c>
      <c r="F3327" s="1282" t="s">
        <v>20220</v>
      </c>
      <c r="G3327" s="1368">
        <v>20</v>
      </c>
      <c r="H3327" s="1178" t="s">
        <v>20221</v>
      </c>
      <c r="I3327" s="1178" t="s">
        <v>10190</v>
      </c>
      <c r="J3327" s="1178" t="s">
        <v>662</v>
      </c>
      <c r="K3327" s="1178" t="s">
        <v>331</v>
      </c>
      <c r="L3327" s="1178" t="s">
        <v>332</v>
      </c>
      <c r="M3327" s="1369"/>
      <c r="N3327" s="1178" t="s">
        <v>20244</v>
      </c>
      <c r="O3327" s="1178">
        <v>12</v>
      </c>
      <c r="P3327" s="1178">
        <v>12.5</v>
      </c>
    </row>
    <row r="3328" spans="1:16">
      <c r="A3328" s="1178" t="s">
        <v>335</v>
      </c>
      <c r="B3328" s="1371" t="str">
        <f>HYPERLINK(IFERROR("#Main_Tariff!A"&amp;MATCH(Raeburn_Main_Tariff[[#This Row],[Product Code]],Main_Tariff!I:I,0),"#Main_Tariff!A"&amp;MATCH("*"&amp;RIGHT(A3328,8)&amp;"*",Main_Tariff!A:A,0)),Raeburn_Main_Tariff[[#This Row],[PRODUCER]])</f>
        <v>Le Soula</v>
      </c>
      <c r="C3328" s="1178" t="s">
        <v>21638</v>
      </c>
      <c r="D3328" s="1178" t="s">
        <v>1129</v>
      </c>
      <c r="E3328" s="1179">
        <v>2018</v>
      </c>
      <c r="F3328" s="1282" t="s">
        <v>20220</v>
      </c>
      <c r="G3328" s="1368">
        <v>28.5</v>
      </c>
      <c r="H3328" s="1178" t="s">
        <v>20221</v>
      </c>
      <c r="I3328" s="1178" t="s">
        <v>10192</v>
      </c>
      <c r="J3328" s="1178" t="s">
        <v>662</v>
      </c>
      <c r="K3328" s="1178" t="s">
        <v>331</v>
      </c>
      <c r="L3328" s="1178" t="s">
        <v>332</v>
      </c>
      <c r="M3328" s="1369"/>
      <c r="N3328" s="1178" t="s">
        <v>20244</v>
      </c>
      <c r="O3328" s="1178">
        <v>6</v>
      </c>
      <c r="P3328" s="1178">
        <v>13.5</v>
      </c>
    </row>
    <row r="3329" spans="1:16">
      <c r="A3329" s="1178" t="s">
        <v>335</v>
      </c>
      <c r="B3329" s="1371" t="str">
        <f>HYPERLINK(IFERROR("#Main_Tariff!A"&amp;MATCH(Raeburn_Main_Tariff[[#This Row],[Product Code]],Main_Tariff!I:I,0),"#Main_Tariff!A"&amp;MATCH("*"&amp;RIGHT(A3329,8)&amp;"*",Main_Tariff!A:A,0)),Raeburn_Main_Tariff[[#This Row],[PRODUCER]])</f>
        <v>Le Soula</v>
      </c>
      <c r="C3329" s="1178" t="s">
        <v>21638</v>
      </c>
      <c r="D3329" s="1178" t="s">
        <v>1129</v>
      </c>
      <c r="E3329" s="1179">
        <v>2017</v>
      </c>
      <c r="F3329" s="1282" t="s">
        <v>20220</v>
      </c>
      <c r="G3329" s="1368">
        <v>28.5</v>
      </c>
      <c r="H3329" s="1178" t="s">
        <v>20221</v>
      </c>
      <c r="I3329" s="1178" t="s">
        <v>10194</v>
      </c>
      <c r="J3329" s="1178" t="s">
        <v>662</v>
      </c>
      <c r="K3329" s="1178" t="s">
        <v>331</v>
      </c>
      <c r="L3329" s="1178" t="s">
        <v>332</v>
      </c>
      <c r="M3329" s="1369"/>
      <c r="N3329" s="1178" t="s">
        <v>20244</v>
      </c>
      <c r="O3329" s="1178">
        <v>6</v>
      </c>
      <c r="P3329" s="1178">
        <v>13.5</v>
      </c>
    </row>
    <row r="3330" spans="1:16">
      <c r="A3330" s="1178" t="s">
        <v>335</v>
      </c>
      <c r="B3330" s="1371" t="str">
        <f>HYPERLINK(IFERROR("#Main_Tariff!A"&amp;MATCH(Raeburn_Main_Tariff[[#This Row],[Product Code]],Main_Tariff!I:I,0),"#Main_Tariff!A"&amp;MATCH("*"&amp;RIGHT(A3330,8)&amp;"*",Main_Tariff!A:A,0)),Raeburn_Main_Tariff[[#This Row],[PRODUCER]])</f>
        <v>Le Soula</v>
      </c>
      <c r="C3330" s="1178" t="s">
        <v>21639</v>
      </c>
      <c r="D3330" s="1178" t="s">
        <v>1129</v>
      </c>
      <c r="E3330" s="1179"/>
      <c r="F3330" s="1282" t="s">
        <v>20240</v>
      </c>
      <c r="G3330" s="1368"/>
      <c r="H3330" s="1178" t="s">
        <v>3907</v>
      </c>
      <c r="I3330" s="1178" t="s">
        <v>10196</v>
      </c>
      <c r="J3330" s="1178" t="s">
        <v>662</v>
      </c>
      <c r="K3330" s="1178" t="s">
        <v>331</v>
      </c>
      <c r="L3330" s="1178" t="s">
        <v>332</v>
      </c>
      <c r="M3330" s="1369"/>
      <c r="N3330" s="1178" t="s">
        <v>20244</v>
      </c>
      <c r="O3330" s="1178">
        <v>3</v>
      </c>
      <c r="P3330" s="1178">
        <v>12.5</v>
      </c>
    </row>
    <row r="3331" spans="1:16">
      <c r="A3331" s="1178" t="s">
        <v>335</v>
      </c>
      <c r="B3331" s="1371" t="str">
        <f>HYPERLINK(IFERROR("#Main_Tariff!A"&amp;MATCH(Raeburn_Main_Tariff[[#This Row],[Product Code]],Main_Tariff!I:I,0),"#Main_Tariff!A"&amp;MATCH("*"&amp;RIGHT(A3331,8)&amp;"*",Main_Tariff!A:A,0)),Raeburn_Main_Tariff[[#This Row],[PRODUCER]])</f>
        <v>Le Soula</v>
      </c>
      <c r="C3331" s="1178" t="s">
        <v>21640</v>
      </c>
      <c r="D3331" s="1178" t="s">
        <v>1370</v>
      </c>
      <c r="E3331" s="1179" t="s">
        <v>21637</v>
      </c>
      <c r="F3331" s="1282" t="s">
        <v>20220</v>
      </c>
      <c r="G3331" s="1368">
        <v>28.5</v>
      </c>
      <c r="H3331" s="1178" t="s">
        <v>20221</v>
      </c>
      <c r="I3331" s="1178" t="s">
        <v>10198</v>
      </c>
      <c r="J3331" s="1178" t="s">
        <v>662</v>
      </c>
      <c r="K3331" s="1178" t="s">
        <v>331</v>
      </c>
      <c r="L3331" s="1178" t="s">
        <v>332</v>
      </c>
      <c r="M3331" s="1369"/>
      <c r="N3331" s="1178" t="s">
        <v>20244</v>
      </c>
      <c r="O3331" s="1178">
        <v>6</v>
      </c>
      <c r="P3331" s="1178">
        <v>12.5</v>
      </c>
    </row>
    <row r="3332" spans="1:16">
      <c r="A3332" s="1178" t="s">
        <v>335</v>
      </c>
      <c r="B3332" s="1371" t="str">
        <f>HYPERLINK(IFERROR("#Main_Tariff!A"&amp;MATCH(Raeburn_Main_Tariff[[#This Row],[Product Code]],Main_Tariff!I:I,0),"#Main_Tariff!A"&amp;MATCH("*"&amp;RIGHT(A3332,8)&amp;"*",Main_Tariff!A:A,0)),Raeburn_Main_Tariff[[#This Row],[PRODUCER]])</f>
        <v>Le Soula</v>
      </c>
      <c r="C3332" s="1178" t="s">
        <v>21641</v>
      </c>
      <c r="D3332" s="1178" t="s">
        <v>1370</v>
      </c>
      <c r="E3332" s="1179" t="s">
        <v>21637</v>
      </c>
      <c r="F3332" s="1282" t="s">
        <v>20240</v>
      </c>
      <c r="G3332" s="1368">
        <v>59.5</v>
      </c>
      <c r="H3332" s="1178" t="s">
        <v>20221</v>
      </c>
      <c r="I3332" s="1178" t="s">
        <v>10199</v>
      </c>
      <c r="J3332" s="1178" t="s">
        <v>662</v>
      </c>
      <c r="K3332" s="1178" t="s">
        <v>331</v>
      </c>
      <c r="L3332" s="1178" t="s">
        <v>332</v>
      </c>
      <c r="M3332" s="1369"/>
      <c r="N3332" s="1178" t="s">
        <v>20244</v>
      </c>
      <c r="O3332" s="1178">
        <v>3</v>
      </c>
      <c r="P3332" s="1178">
        <v>13</v>
      </c>
    </row>
    <row r="3333" spans="1:16">
      <c r="A3333" s="1178" t="s">
        <v>335</v>
      </c>
      <c r="B3333" s="1371" t="str">
        <f>HYPERLINK(IFERROR("#Main_Tariff!A"&amp;MATCH(Raeburn_Main_Tariff[[#This Row],[Product Code]],Main_Tariff!I:I,0),"#Main_Tariff!A"&amp;MATCH("*"&amp;RIGHT(A3333,8)&amp;"*",Main_Tariff!A:A,0)),Raeburn_Main_Tariff[[#This Row],[PRODUCER]])</f>
        <v>Le Soula</v>
      </c>
      <c r="C3333" s="1178" t="s">
        <v>21642</v>
      </c>
      <c r="D3333" s="1178" t="s">
        <v>897</v>
      </c>
      <c r="E3333" s="1179">
        <v>2018</v>
      </c>
      <c r="F3333" s="1282" t="s">
        <v>20220</v>
      </c>
      <c r="G3333" s="1368">
        <v>26.5</v>
      </c>
      <c r="H3333" s="1178" t="s">
        <v>20221</v>
      </c>
      <c r="I3333" s="1178" t="s">
        <v>10201</v>
      </c>
      <c r="J3333" s="1178" t="s">
        <v>662</v>
      </c>
      <c r="K3333" s="1178" t="s">
        <v>331</v>
      </c>
      <c r="L3333" s="1178" t="s">
        <v>332</v>
      </c>
      <c r="M3333" s="1369"/>
      <c r="N3333" s="1178" t="s">
        <v>20244</v>
      </c>
      <c r="O3333" s="1178">
        <v>6</v>
      </c>
      <c r="P3333" s="1178">
        <v>12.5</v>
      </c>
    </row>
    <row r="3334" spans="1:16">
      <c r="A3334" s="1178" t="s">
        <v>21643</v>
      </c>
      <c r="B3334" s="1371" t="str">
        <f>HYPERLINK(IFERROR("#Main_Tariff!A"&amp;MATCH(Raeburn_Main_Tariff[[#This Row],[Product Code]],Main_Tariff!I:I,0),"#Main_Tariff!A"&amp;MATCH("*"&amp;RIGHT(A3334,8)&amp;"*",Main_Tariff!A:A,0)),Raeburn_Main_Tariff[[#This Row],[PRODUCER]])</f>
        <v>Domaine de Montmarin</v>
      </c>
      <c r="C3334" s="1178" t="s">
        <v>21644</v>
      </c>
      <c r="D3334" s="1178" t="s">
        <v>1129</v>
      </c>
      <c r="E3334" s="1179">
        <v>2023</v>
      </c>
      <c r="F3334" s="1282" t="s">
        <v>20220</v>
      </c>
      <c r="G3334" s="1368">
        <v>9.75</v>
      </c>
      <c r="H3334" s="1178" t="s">
        <v>20221</v>
      </c>
      <c r="I3334" s="1178" t="s">
        <v>10216</v>
      </c>
      <c r="J3334" s="1178" t="s">
        <v>662</v>
      </c>
      <c r="K3334" s="1178" t="s">
        <v>331</v>
      </c>
      <c r="L3334" s="1178" t="s">
        <v>336</v>
      </c>
      <c r="M3334" s="1369"/>
      <c r="N3334" s="1178" t="s">
        <v>20244</v>
      </c>
      <c r="O3334" s="1178">
        <v>12</v>
      </c>
      <c r="P3334" s="1178">
        <v>12</v>
      </c>
    </row>
    <row r="3335" spans="1:16">
      <c r="A3335" s="1178" t="s">
        <v>21643</v>
      </c>
      <c r="B3335" s="1371" t="str">
        <f>HYPERLINK(IFERROR("#Main_Tariff!A"&amp;MATCH(Raeburn_Main_Tariff[[#This Row],[Product Code]],Main_Tariff!I:I,0),"#Main_Tariff!A"&amp;MATCH("*"&amp;RIGHT(A3335,8)&amp;"*",Main_Tariff!A:A,0)),Raeburn_Main_Tariff[[#This Row],[PRODUCER]])</f>
        <v>Domaine de Montmarin</v>
      </c>
      <c r="C3335" s="1178" t="s">
        <v>21645</v>
      </c>
      <c r="D3335" s="1178" t="s">
        <v>2573</v>
      </c>
      <c r="E3335" s="1179">
        <v>2024</v>
      </c>
      <c r="F3335" s="1282" t="s">
        <v>20220</v>
      </c>
      <c r="G3335" s="1368">
        <v>9.9499999999999993</v>
      </c>
      <c r="H3335" s="1178" t="s">
        <v>20221</v>
      </c>
      <c r="I3335" s="1178" t="s">
        <v>10219</v>
      </c>
      <c r="J3335" s="1178" t="s">
        <v>662</v>
      </c>
      <c r="K3335" s="1178" t="s">
        <v>331</v>
      </c>
      <c r="L3335" s="1178" t="s">
        <v>336</v>
      </c>
      <c r="M3335" s="1369"/>
      <c r="N3335" s="1178" t="s">
        <v>20244</v>
      </c>
      <c r="O3335" s="1178">
        <v>12</v>
      </c>
      <c r="P3335" s="1178">
        <v>12.5</v>
      </c>
    </row>
    <row r="3336" spans="1:16">
      <c r="A3336" s="1178" t="s">
        <v>21643</v>
      </c>
      <c r="B3336" s="1371" t="str">
        <f>HYPERLINK(IFERROR("#Main_Tariff!A"&amp;MATCH(Raeburn_Main_Tariff[[#This Row],[Product Code]],Main_Tariff!I:I,0),"#Main_Tariff!A"&amp;MATCH("*"&amp;RIGHT(A3336,8)&amp;"*",Main_Tariff!A:A,0)),Raeburn_Main_Tariff[[#This Row],[PRODUCER]])</f>
        <v>Domaine de Montmarin</v>
      </c>
      <c r="C3336" s="1178" t="s">
        <v>21646</v>
      </c>
      <c r="D3336" s="1178" t="s">
        <v>1129</v>
      </c>
      <c r="E3336" s="1179">
        <v>2024</v>
      </c>
      <c r="F3336" s="1282" t="s">
        <v>20220</v>
      </c>
      <c r="G3336" s="1368">
        <v>10.95</v>
      </c>
      <c r="H3336" s="1178" t="s">
        <v>20221</v>
      </c>
      <c r="I3336" s="1178" t="s">
        <v>10227</v>
      </c>
      <c r="J3336" s="1178" t="s">
        <v>662</v>
      </c>
      <c r="K3336" s="1178" t="s">
        <v>331</v>
      </c>
      <c r="L3336" s="1178" t="s">
        <v>336</v>
      </c>
      <c r="M3336" s="1369"/>
      <c r="N3336" s="1178" t="s">
        <v>20244</v>
      </c>
      <c r="O3336" s="1178">
        <v>12</v>
      </c>
      <c r="P3336" s="1178">
        <v>12.5</v>
      </c>
    </row>
    <row r="3337" spans="1:16">
      <c r="A3337" s="1178" t="s">
        <v>21643</v>
      </c>
      <c r="B3337" s="1371" t="str">
        <f>HYPERLINK(IFERROR("#Main_Tariff!A"&amp;MATCH(Raeburn_Main_Tariff[[#This Row],[Product Code]],Main_Tariff!I:I,0),"#Main_Tariff!A"&amp;MATCH("*"&amp;RIGHT(A3337,8)&amp;"*",Main_Tariff!A:A,0)),Raeburn_Main_Tariff[[#This Row],[PRODUCER]])</f>
        <v>Domaine de Montmarin</v>
      </c>
      <c r="C3337" s="1178" t="s">
        <v>21647</v>
      </c>
      <c r="D3337" s="1178" t="s">
        <v>1129</v>
      </c>
      <c r="E3337" s="1179">
        <v>2020</v>
      </c>
      <c r="F3337" s="1282" t="s">
        <v>20220</v>
      </c>
      <c r="G3337" s="1368">
        <v>9.5</v>
      </c>
      <c r="H3337" s="1178" t="s">
        <v>20465</v>
      </c>
      <c r="I3337" s="1178" t="s">
        <v>10229</v>
      </c>
      <c r="J3337" s="1178" t="s">
        <v>662</v>
      </c>
      <c r="K3337" s="1178" t="s">
        <v>331</v>
      </c>
      <c r="L3337" s="1178" t="s">
        <v>336</v>
      </c>
      <c r="M3337" s="1369"/>
      <c r="N3337" s="1178"/>
      <c r="O3337" s="1178">
        <v>12</v>
      </c>
      <c r="P3337" s="1178">
        <v>12.5</v>
      </c>
    </row>
    <row r="3338" spans="1:16">
      <c r="A3338" s="1178" t="s">
        <v>21643</v>
      </c>
      <c r="B3338" s="1371" t="str">
        <f>HYPERLINK(IFERROR("#Main_Tariff!A"&amp;MATCH(Raeburn_Main_Tariff[[#This Row],[Product Code]],Main_Tariff!I:I,0),"#Main_Tariff!A"&amp;MATCH("*"&amp;RIGHT(A3338,8)&amp;"*",Main_Tariff!A:A,0)),Raeburn_Main_Tariff[[#This Row],[PRODUCER]])</f>
        <v>Domaine de Montmarin</v>
      </c>
      <c r="C3338" s="1178" t="s">
        <v>21648</v>
      </c>
      <c r="D3338" s="1178" t="s">
        <v>897</v>
      </c>
      <c r="E3338" s="1179">
        <v>2023</v>
      </c>
      <c r="F3338" s="1282" t="s">
        <v>20220</v>
      </c>
      <c r="G3338" s="1368">
        <v>9.9499999999999993</v>
      </c>
      <c r="H3338" s="1178" t="s">
        <v>20221</v>
      </c>
      <c r="I3338" s="1178" t="s">
        <v>10235</v>
      </c>
      <c r="J3338" s="1178" t="s">
        <v>662</v>
      </c>
      <c r="K3338" s="1178" t="s">
        <v>331</v>
      </c>
      <c r="L3338" s="1178" t="s">
        <v>336</v>
      </c>
      <c r="M3338" s="1369"/>
      <c r="N3338" s="1178" t="s">
        <v>20244</v>
      </c>
      <c r="O3338" s="1178">
        <v>12</v>
      </c>
      <c r="P3338" s="1178">
        <v>13</v>
      </c>
    </row>
    <row r="3339" spans="1:16">
      <c r="A3339" s="1178" t="s">
        <v>21643</v>
      </c>
      <c r="B3339" s="1371" t="str">
        <f>HYPERLINK(IFERROR("#Main_Tariff!A"&amp;MATCH(Raeburn_Main_Tariff[[#This Row],[Product Code]],Main_Tariff!I:I,0),"#Main_Tariff!A"&amp;MATCH("*"&amp;RIGHT(A3339,8)&amp;"*",Main_Tariff!A:A,0)),Raeburn_Main_Tariff[[#This Row],[PRODUCER]])</f>
        <v>Domaine de Montmarin</v>
      </c>
      <c r="C3339" s="1178" t="s">
        <v>21648</v>
      </c>
      <c r="D3339" s="1178" t="s">
        <v>897</v>
      </c>
      <c r="E3339" s="1179">
        <v>2022</v>
      </c>
      <c r="F3339" s="1282" t="s">
        <v>20220</v>
      </c>
      <c r="G3339" s="1368">
        <v>9</v>
      </c>
      <c r="H3339" s="1178" t="s">
        <v>20465</v>
      </c>
      <c r="I3339" s="1178" t="s">
        <v>10236</v>
      </c>
      <c r="J3339" s="1178" t="s">
        <v>662</v>
      </c>
      <c r="K3339" s="1178" t="s">
        <v>331</v>
      </c>
      <c r="L3339" s="1178" t="s">
        <v>336</v>
      </c>
      <c r="M3339" s="1369"/>
      <c r="N3339" s="1178" t="s">
        <v>20244</v>
      </c>
      <c r="O3339" s="1178">
        <v>12</v>
      </c>
      <c r="P3339" s="1178">
        <v>13.5</v>
      </c>
    </row>
    <row r="3340" spans="1:16">
      <c r="A3340" s="1178" t="s">
        <v>338</v>
      </c>
      <c r="B3340" s="1371" t="str">
        <f>HYPERLINK(IFERROR("#Main_Tariff!A"&amp;MATCH(Raeburn_Main_Tariff[[#This Row],[Product Code]],Main_Tariff!I:I,0),"#Main_Tariff!A"&amp;MATCH("*"&amp;RIGHT(A3340,8)&amp;"*",Main_Tariff!A:A,0)),Raeburn_Main_Tariff[[#This Row],[PRODUCER]])</f>
        <v>Les Pierres Seches</v>
      </c>
      <c r="C3340" s="1178" t="s">
        <v>21649</v>
      </c>
      <c r="D3340" s="1178" t="s">
        <v>2573</v>
      </c>
      <c r="E3340" s="1179">
        <v>2023</v>
      </c>
      <c r="F3340" s="1282" t="s">
        <v>20220</v>
      </c>
      <c r="G3340" s="1368">
        <v>11.95</v>
      </c>
      <c r="H3340" s="1178" t="s">
        <v>20221</v>
      </c>
      <c r="I3340" s="1178" t="s">
        <v>10240</v>
      </c>
      <c r="J3340" s="1178" t="s">
        <v>662</v>
      </c>
      <c r="K3340" s="1178" t="s">
        <v>331</v>
      </c>
      <c r="L3340" s="1178" t="s">
        <v>336</v>
      </c>
      <c r="M3340" s="1369"/>
      <c r="N3340" s="1178"/>
      <c r="O3340" s="1178">
        <v>6</v>
      </c>
      <c r="P3340" s="1178">
        <v>12.5</v>
      </c>
    </row>
    <row r="3341" spans="1:16">
      <c r="A3341" s="1178" t="s">
        <v>338</v>
      </c>
      <c r="B3341" s="1371" t="str">
        <f>HYPERLINK(IFERROR("#Main_Tariff!A"&amp;MATCH(Raeburn_Main_Tariff[[#This Row],[Product Code]],Main_Tariff!I:I,0),"#Main_Tariff!A"&amp;MATCH("*"&amp;RIGHT(A3341,8)&amp;"*",Main_Tariff!A:A,0)),Raeburn_Main_Tariff[[#This Row],[PRODUCER]])</f>
        <v>Les Pierres Seches</v>
      </c>
      <c r="C3341" s="1178" t="s">
        <v>21650</v>
      </c>
      <c r="D3341" s="1178" t="s">
        <v>897</v>
      </c>
      <c r="E3341" s="1179">
        <v>2022</v>
      </c>
      <c r="F3341" s="1282" t="s">
        <v>20220</v>
      </c>
      <c r="G3341" s="1368">
        <v>14.95</v>
      </c>
      <c r="H3341" s="1178" t="s">
        <v>20221</v>
      </c>
      <c r="I3341" s="1178" t="s">
        <v>10242</v>
      </c>
      <c r="J3341" s="1178" t="s">
        <v>662</v>
      </c>
      <c r="K3341" s="1178" t="s">
        <v>331</v>
      </c>
      <c r="L3341" s="1178" t="s">
        <v>336</v>
      </c>
      <c r="M3341" s="1369"/>
      <c r="N3341" s="1178"/>
      <c r="O3341" s="1178">
        <v>6</v>
      </c>
      <c r="P3341" s="1178">
        <v>12.5</v>
      </c>
    </row>
    <row r="3342" spans="1:16">
      <c r="A3342" s="1178" t="s">
        <v>21651</v>
      </c>
      <c r="B3342" s="1371" t="str">
        <f>HYPERLINK(IFERROR("#Main_Tariff!A"&amp;MATCH(Raeburn_Main_Tariff[[#This Row],[Product Code]],Main_Tariff!I:I,0),"#Main_Tariff!A"&amp;MATCH("*"&amp;RIGHT(A3342,8)&amp;"*",Main_Tariff!A:A,0)),Raeburn_Main_Tariff[[#This Row],[PRODUCER]])</f>
        <v>Chateau Gilbert &amp; Gaillard</v>
      </c>
      <c r="C3342" s="1178" t="s">
        <v>21652</v>
      </c>
      <c r="D3342" s="1178" t="s">
        <v>897</v>
      </c>
      <c r="E3342" s="1179">
        <v>2015</v>
      </c>
      <c r="F3342" s="1282" t="s">
        <v>20220</v>
      </c>
      <c r="G3342" s="1368">
        <v>11.5</v>
      </c>
      <c r="H3342" s="1178" t="s">
        <v>20277</v>
      </c>
      <c r="I3342" s="1178" t="s">
        <v>10256</v>
      </c>
      <c r="J3342" s="1178" t="s">
        <v>662</v>
      </c>
      <c r="K3342" s="1178" t="s">
        <v>331</v>
      </c>
      <c r="L3342" s="1178" t="s">
        <v>336</v>
      </c>
      <c r="M3342" s="1369"/>
      <c r="N3342" s="1178"/>
      <c r="O3342" s="1178">
        <v>6</v>
      </c>
      <c r="P3342" s="1178">
        <v>14</v>
      </c>
    </row>
    <row r="3343" spans="1:16">
      <c r="A3343" s="1178" t="s">
        <v>21651</v>
      </c>
      <c r="B3343" s="1371" t="str">
        <f>HYPERLINK(IFERROR("#Main_Tariff!A"&amp;MATCH(Raeburn_Main_Tariff[[#This Row],[Product Code]],Main_Tariff!I:I,0),"#Main_Tariff!A"&amp;MATCH("*"&amp;RIGHT(A3343,8)&amp;"*",Main_Tariff!A:A,0)),Raeburn_Main_Tariff[[#This Row],[PRODUCER]])</f>
        <v>Chateau Gilbert &amp; Gaillard</v>
      </c>
      <c r="C3343" s="1178" t="s">
        <v>21653</v>
      </c>
      <c r="D3343" s="1178" t="s">
        <v>897</v>
      </c>
      <c r="E3343" s="1179">
        <v>2015</v>
      </c>
      <c r="F3343" s="1282" t="s">
        <v>20220</v>
      </c>
      <c r="G3343" s="1368">
        <v>14.5</v>
      </c>
      <c r="H3343" s="1178" t="s">
        <v>20221</v>
      </c>
      <c r="I3343" s="1178" t="s">
        <v>10258</v>
      </c>
      <c r="J3343" s="1178" t="s">
        <v>662</v>
      </c>
      <c r="K3343" s="1178" t="s">
        <v>331</v>
      </c>
      <c r="L3343" s="1178" t="s">
        <v>336</v>
      </c>
      <c r="M3343" s="1369"/>
      <c r="N3343" s="1178"/>
      <c r="O3343" s="1178">
        <v>6</v>
      </c>
      <c r="P3343" s="1178">
        <v>14</v>
      </c>
    </row>
    <row r="3344" spans="1:16">
      <c r="A3344" s="1178" t="s">
        <v>21651</v>
      </c>
      <c r="B3344" s="1371" t="str">
        <f>HYPERLINK(IFERROR("#Main_Tariff!A"&amp;MATCH(Raeburn_Main_Tariff[[#This Row],[Product Code]],Main_Tariff!I:I,0),"#Main_Tariff!A"&amp;MATCH("*"&amp;RIGHT(A3344,8)&amp;"*",Main_Tariff!A:A,0)),Raeburn_Main_Tariff[[#This Row],[PRODUCER]])</f>
        <v>Chateau Gilbert &amp; Gaillard</v>
      </c>
      <c r="C3344" s="1178" t="s">
        <v>21653</v>
      </c>
      <c r="D3344" s="1178" t="s">
        <v>897</v>
      </c>
      <c r="E3344" s="1179">
        <v>2013</v>
      </c>
      <c r="F3344" s="1282" t="s">
        <v>20220</v>
      </c>
      <c r="G3344" s="1368">
        <v>15.75</v>
      </c>
      <c r="H3344" s="1178" t="s">
        <v>20221</v>
      </c>
      <c r="I3344" s="1178" t="s">
        <v>10260</v>
      </c>
      <c r="J3344" s="1178" t="s">
        <v>662</v>
      </c>
      <c r="K3344" s="1178" t="s">
        <v>331</v>
      </c>
      <c r="L3344" s="1178" t="s">
        <v>336</v>
      </c>
      <c r="M3344" s="1369"/>
      <c r="N3344" s="1178"/>
      <c r="O3344" s="1178">
        <v>6</v>
      </c>
      <c r="P3344" s="1178">
        <v>13</v>
      </c>
    </row>
    <row r="3345" spans="1:16">
      <c r="A3345" s="1178" t="s">
        <v>340</v>
      </c>
      <c r="B3345" s="1371" t="str">
        <f>HYPERLINK(IFERROR("#Main_Tariff!A"&amp;MATCH(Raeburn_Main_Tariff[[#This Row],[Product Code]],Main_Tariff!I:I,0),"#Main_Tariff!A"&amp;MATCH("*"&amp;RIGHT(A3345,8)&amp;"*",Main_Tariff!A:A,0)),Raeburn_Main_Tariff[[#This Row],[PRODUCER]])</f>
        <v>Roc d'Anglade</v>
      </c>
      <c r="C3345" s="1178" t="s">
        <v>21654</v>
      </c>
      <c r="D3345" s="1178" t="s">
        <v>2573</v>
      </c>
      <c r="E3345" s="1179">
        <v>2014</v>
      </c>
      <c r="F3345" s="1282" t="s">
        <v>20220</v>
      </c>
      <c r="G3345" s="1368" t="s">
        <v>5258</v>
      </c>
      <c r="H3345" s="1178" t="s">
        <v>3907</v>
      </c>
      <c r="I3345" s="1178" t="s">
        <v>10278</v>
      </c>
      <c r="J3345" s="1178" t="s">
        <v>662</v>
      </c>
      <c r="K3345" s="1178" t="s">
        <v>331</v>
      </c>
      <c r="L3345" s="1178" t="s">
        <v>336</v>
      </c>
      <c r="M3345" s="1369"/>
      <c r="N3345" s="1178"/>
      <c r="O3345" s="1178">
        <v>12</v>
      </c>
      <c r="P3345" s="1178">
        <v>12</v>
      </c>
    </row>
    <row r="3346" spans="1:16">
      <c r="A3346" s="1178" t="s">
        <v>340</v>
      </c>
      <c r="B3346" s="1371" t="str">
        <f>HYPERLINK(IFERROR("#Main_Tariff!A"&amp;MATCH(Raeburn_Main_Tariff[[#This Row],[Product Code]],Main_Tariff!I:I,0),"#Main_Tariff!A"&amp;MATCH("*"&amp;RIGHT(A3346,8)&amp;"*",Main_Tariff!A:A,0)),Raeburn_Main_Tariff[[#This Row],[PRODUCER]])</f>
        <v>Roc d'Anglade</v>
      </c>
      <c r="C3346" s="1178" t="s">
        <v>21655</v>
      </c>
      <c r="D3346" s="1178" t="s">
        <v>1129</v>
      </c>
      <c r="E3346" s="1179">
        <v>2023</v>
      </c>
      <c r="F3346" s="1282" t="s">
        <v>20220</v>
      </c>
      <c r="G3346" s="1368">
        <v>32.5</v>
      </c>
      <c r="H3346" s="1178" t="s">
        <v>20221</v>
      </c>
      <c r="I3346" s="1178" t="s">
        <v>10281</v>
      </c>
      <c r="J3346" s="1178" t="s">
        <v>662</v>
      </c>
      <c r="K3346" s="1178" t="s">
        <v>331</v>
      </c>
      <c r="L3346" s="1178" t="s">
        <v>336</v>
      </c>
      <c r="M3346" s="1369"/>
      <c r="N3346" s="1178" t="s">
        <v>20244</v>
      </c>
      <c r="O3346" s="1178">
        <v>6</v>
      </c>
      <c r="P3346" s="1178">
        <v>13</v>
      </c>
    </row>
    <row r="3347" spans="1:16">
      <c r="A3347" s="1178" t="s">
        <v>340</v>
      </c>
      <c r="B3347" s="1371" t="str">
        <f>HYPERLINK(IFERROR("#Main_Tariff!A"&amp;MATCH(Raeburn_Main_Tariff[[#This Row],[Product Code]],Main_Tariff!I:I,0),"#Main_Tariff!A"&amp;MATCH("*"&amp;RIGHT(A3347,8)&amp;"*",Main_Tariff!A:A,0)),Raeburn_Main_Tariff[[#This Row],[PRODUCER]])</f>
        <v>Roc d'Anglade</v>
      </c>
      <c r="C3347" s="1178" t="s">
        <v>21655</v>
      </c>
      <c r="D3347" s="1178" t="s">
        <v>1129</v>
      </c>
      <c r="E3347" s="1179">
        <v>2022</v>
      </c>
      <c r="F3347" s="1282" t="s">
        <v>20220</v>
      </c>
      <c r="G3347" s="1368">
        <v>31.5</v>
      </c>
      <c r="H3347" s="1178" t="s">
        <v>20221</v>
      </c>
      <c r="I3347" s="1178" t="s">
        <v>10283</v>
      </c>
      <c r="J3347" s="1178" t="s">
        <v>662</v>
      </c>
      <c r="K3347" s="1178" t="s">
        <v>331</v>
      </c>
      <c r="L3347" s="1178" t="s">
        <v>336</v>
      </c>
      <c r="M3347" s="1369"/>
      <c r="N3347" s="1178" t="s">
        <v>20244</v>
      </c>
      <c r="O3347" s="1178">
        <v>6</v>
      </c>
      <c r="P3347" s="1178">
        <v>12.5</v>
      </c>
    </row>
    <row r="3348" spans="1:16">
      <c r="A3348" s="1178" t="s">
        <v>340</v>
      </c>
      <c r="B3348" s="1371" t="str">
        <f>HYPERLINK(IFERROR("#Main_Tariff!A"&amp;MATCH(Raeburn_Main_Tariff[[#This Row],[Product Code]],Main_Tariff!I:I,0),"#Main_Tariff!A"&amp;MATCH("*"&amp;RIGHT(A3348,8)&amp;"*",Main_Tariff!A:A,0)),Raeburn_Main_Tariff[[#This Row],[PRODUCER]])</f>
        <v>Roc d'Anglade</v>
      </c>
      <c r="C3348" s="1178" t="s">
        <v>21655</v>
      </c>
      <c r="D3348" s="1178" t="s">
        <v>1129</v>
      </c>
      <c r="E3348" s="1179">
        <v>2020</v>
      </c>
      <c r="F3348" s="1282" t="s">
        <v>20220</v>
      </c>
      <c r="G3348" s="1368">
        <v>31.5</v>
      </c>
      <c r="H3348" s="1178" t="s">
        <v>20221</v>
      </c>
      <c r="I3348" s="1178" t="s">
        <v>10285</v>
      </c>
      <c r="J3348" s="1178" t="s">
        <v>662</v>
      </c>
      <c r="K3348" s="1178" t="s">
        <v>331</v>
      </c>
      <c r="L3348" s="1178" t="s">
        <v>336</v>
      </c>
      <c r="M3348" s="1369"/>
      <c r="N3348" s="1178" t="s">
        <v>20244</v>
      </c>
      <c r="O3348" s="1178">
        <v>6</v>
      </c>
      <c r="P3348" s="1178">
        <v>12</v>
      </c>
    </row>
    <row r="3349" spans="1:16">
      <c r="A3349" s="1178" t="s">
        <v>340</v>
      </c>
      <c r="B3349" s="1371" t="str">
        <f>HYPERLINK(IFERROR("#Main_Tariff!A"&amp;MATCH(Raeburn_Main_Tariff[[#This Row],[Product Code]],Main_Tariff!I:I,0),"#Main_Tariff!A"&amp;MATCH("*"&amp;RIGHT(A3349,8)&amp;"*",Main_Tariff!A:A,0)),Raeburn_Main_Tariff[[#This Row],[PRODUCER]])</f>
        <v>Roc d'Anglade</v>
      </c>
      <c r="C3349" s="1178" t="s">
        <v>21655</v>
      </c>
      <c r="D3349" s="1178" t="s">
        <v>1129</v>
      </c>
      <c r="E3349" s="1179">
        <v>2019</v>
      </c>
      <c r="F3349" s="1282" t="s">
        <v>20220</v>
      </c>
      <c r="G3349" s="1368">
        <v>31.5</v>
      </c>
      <c r="H3349" s="1178" t="s">
        <v>20221</v>
      </c>
      <c r="I3349" s="1178" t="s">
        <v>10287</v>
      </c>
      <c r="J3349" s="1178" t="s">
        <v>662</v>
      </c>
      <c r="K3349" s="1178" t="s">
        <v>331</v>
      </c>
      <c r="L3349" s="1178" t="s">
        <v>336</v>
      </c>
      <c r="M3349" s="1369"/>
      <c r="N3349" s="1178"/>
      <c r="O3349" s="1178">
        <v>6</v>
      </c>
      <c r="P3349" s="1178">
        <v>13</v>
      </c>
    </row>
    <row r="3350" spans="1:16">
      <c r="A3350" s="1178" t="s">
        <v>340</v>
      </c>
      <c r="B3350" s="1371" t="str">
        <f>HYPERLINK(IFERROR("#Main_Tariff!A"&amp;MATCH(Raeburn_Main_Tariff[[#This Row],[Product Code]],Main_Tariff!I:I,0),"#Main_Tariff!A"&amp;MATCH("*"&amp;RIGHT(A3350,8)&amp;"*",Main_Tariff!A:A,0)),Raeburn_Main_Tariff[[#This Row],[PRODUCER]])</f>
        <v>Roc d'Anglade</v>
      </c>
      <c r="C3350" s="1178" t="s">
        <v>21656</v>
      </c>
      <c r="D3350" s="1178" t="s">
        <v>1129</v>
      </c>
      <c r="E3350" s="1179">
        <v>2020</v>
      </c>
      <c r="F3350" s="1282" t="s">
        <v>20240</v>
      </c>
      <c r="G3350" s="1368">
        <v>64</v>
      </c>
      <c r="H3350" s="1178" t="s">
        <v>20224</v>
      </c>
      <c r="I3350" s="1178" t="s">
        <v>10289</v>
      </c>
      <c r="J3350" s="1178" t="s">
        <v>662</v>
      </c>
      <c r="K3350" s="1178" t="s">
        <v>331</v>
      </c>
      <c r="L3350" s="1178" t="s">
        <v>336</v>
      </c>
      <c r="M3350" s="1369"/>
      <c r="N3350" s="1178" t="s">
        <v>20244</v>
      </c>
      <c r="O3350" s="1178">
        <v>6</v>
      </c>
      <c r="P3350" s="1178">
        <v>12</v>
      </c>
    </row>
    <row r="3351" spans="1:16">
      <c r="A3351" s="1178" t="s">
        <v>340</v>
      </c>
      <c r="B3351" s="1371" t="str">
        <f>HYPERLINK(IFERROR("#Main_Tariff!A"&amp;MATCH(Raeburn_Main_Tariff[[#This Row],[Product Code]],Main_Tariff!I:I,0),"#Main_Tariff!A"&amp;MATCH("*"&amp;RIGHT(A3351,8)&amp;"*",Main_Tariff!A:A,0)),Raeburn_Main_Tariff[[#This Row],[PRODUCER]])</f>
        <v>Roc d'Anglade</v>
      </c>
      <c r="C3351" s="1178" t="s">
        <v>21657</v>
      </c>
      <c r="D3351" s="1178" t="s">
        <v>1129</v>
      </c>
      <c r="E3351" s="1179">
        <v>2023</v>
      </c>
      <c r="F3351" s="1282" t="s">
        <v>20220</v>
      </c>
      <c r="G3351" s="1368">
        <v>53.5</v>
      </c>
      <c r="H3351" s="1178" t="s">
        <v>20221</v>
      </c>
      <c r="I3351" s="1178" t="s">
        <v>10292</v>
      </c>
      <c r="J3351" s="1178" t="s">
        <v>662</v>
      </c>
      <c r="K3351" s="1178" t="s">
        <v>331</v>
      </c>
      <c r="L3351" s="1178" t="s">
        <v>336</v>
      </c>
      <c r="M3351" s="1369"/>
      <c r="N3351" s="1178"/>
      <c r="O3351" s="1178">
        <v>6</v>
      </c>
      <c r="P3351" s="1178">
        <v>13</v>
      </c>
    </row>
    <row r="3352" spans="1:16">
      <c r="A3352" s="1178" t="s">
        <v>340</v>
      </c>
      <c r="B3352" s="1371" t="str">
        <f>HYPERLINK(IFERROR("#Main_Tariff!A"&amp;MATCH(Raeburn_Main_Tariff[[#This Row],[Product Code]],Main_Tariff!I:I,0),"#Main_Tariff!A"&amp;MATCH("*"&amp;RIGHT(A3352,8)&amp;"*",Main_Tariff!A:A,0)),Raeburn_Main_Tariff[[#This Row],[PRODUCER]])</f>
        <v>Roc d'Anglade</v>
      </c>
      <c r="C3352" s="1178" t="s">
        <v>21657</v>
      </c>
      <c r="D3352" s="1178" t="s">
        <v>1129</v>
      </c>
      <c r="E3352" s="1179">
        <v>2022</v>
      </c>
      <c r="F3352" s="1282" t="s">
        <v>20220</v>
      </c>
      <c r="G3352" s="1368">
        <v>52</v>
      </c>
      <c r="H3352" s="1178" t="s">
        <v>20221</v>
      </c>
      <c r="I3352" s="1178" t="s">
        <v>10294</v>
      </c>
      <c r="J3352" s="1178" t="s">
        <v>662</v>
      </c>
      <c r="K3352" s="1178" t="s">
        <v>331</v>
      </c>
      <c r="L3352" s="1178" t="s">
        <v>336</v>
      </c>
      <c r="M3352" s="1369"/>
      <c r="N3352" s="1178"/>
      <c r="O3352" s="1178">
        <v>6</v>
      </c>
      <c r="P3352" s="1178">
        <v>12</v>
      </c>
    </row>
    <row r="3353" spans="1:16">
      <c r="A3353" s="1178" t="s">
        <v>340</v>
      </c>
      <c r="B3353" s="1371" t="str">
        <f>HYPERLINK(IFERROR("#Main_Tariff!A"&amp;MATCH(Raeburn_Main_Tariff[[#This Row],[Product Code]],Main_Tariff!I:I,0),"#Main_Tariff!A"&amp;MATCH("*"&amp;RIGHT(A3353,8)&amp;"*",Main_Tariff!A:A,0)),Raeburn_Main_Tariff[[#This Row],[PRODUCER]])</f>
        <v>Roc d'Anglade</v>
      </c>
      <c r="C3353" s="1178" t="s">
        <v>21657</v>
      </c>
      <c r="D3353" s="1178" t="s">
        <v>1129</v>
      </c>
      <c r="E3353" s="1179">
        <v>2021</v>
      </c>
      <c r="F3353" s="1282" t="s">
        <v>20220</v>
      </c>
      <c r="G3353" s="1368">
        <v>52.5</v>
      </c>
      <c r="H3353" s="1178" t="s">
        <v>20221</v>
      </c>
      <c r="I3353" s="1178" t="s">
        <v>10296</v>
      </c>
      <c r="J3353" s="1178" t="s">
        <v>662</v>
      </c>
      <c r="K3353" s="1178" t="s">
        <v>331</v>
      </c>
      <c r="L3353" s="1178" t="s">
        <v>336</v>
      </c>
      <c r="M3353" s="1369"/>
      <c r="N3353" s="1178"/>
      <c r="O3353" s="1178">
        <v>6</v>
      </c>
      <c r="P3353" s="1178">
        <v>12</v>
      </c>
    </row>
    <row r="3354" spans="1:16">
      <c r="A3354" s="1178" t="s">
        <v>340</v>
      </c>
      <c r="B3354" s="1371" t="str">
        <f>HYPERLINK(IFERROR("#Main_Tariff!A"&amp;MATCH(Raeburn_Main_Tariff[[#This Row],[Product Code]],Main_Tariff!I:I,0),"#Main_Tariff!A"&amp;MATCH("*"&amp;RIGHT(A3354,8)&amp;"*",Main_Tariff!A:A,0)),Raeburn_Main_Tariff[[#This Row],[PRODUCER]])</f>
        <v>Roc d'Anglade</v>
      </c>
      <c r="C3354" s="1178" t="s">
        <v>21658</v>
      </c>
      <c r="D3354" s="1178" t="s">
        <v>1129</v>
      </c>
      <c r="E3354" s="1179">
        <v>2021</v>
      </c>
      <c r="F3354" s="1282" t="s">
        <v>20240</v>
      </c>
      <c r="G3354" s="1368">
        <v>105</v>
      </c>
      <c r="H3354" s="1178" t="s">
        <v>20224</v>
      </c>
      <c r="I3354" s="1178" t="s">
        <v>10298</v>
      </c>
      <c r="J3354" s="1178" t="s">
        <v>662</v>
      </c>
      <c r="K3354" s="1178" t="s">
        <v>331</v>
      </c>
      <c r="L3354" s="1178" t="s">
        <v>336</v>
      </c>
      <c r="M3354" s="1369"/>
      <c r="N3354" s="1178"/>
      <c r="O3354" s="1178">
        <v>6</v>
      </c>
      <c r="P3354" s="1178">
        <v>12</v>
      </c>
    </row>
    <row r="3355" spans="1:16">
      <c r="A3355" s="1178" t="s">
        <v>340</v>
      </c>
      <c r="B3355" s="1371" t="str">
        <f>HYPERLINK(IFERROR("#Main_Tariff!A"&amp;MATCH(Raeburn_Main_Tariff[[#This Row],[Product Code]],Main_Tariff!I:I,0),"#Main_Tariff!A"&amp;MATCH("*"&amp;RIGHT(A3355,8)&amp;"*",Main_Tariff!A:A,0)),Raeburn_Main_Tariff[[#This Row],[PRODUCER]])</f>
        <v>Roc d'Anglade</v>
      </c>
      <c r="C3355" s="1178" t="s">
        <v>21659</v>
      </c>
      <c r="D3355" s="1178" t="s">
        <v>897</v>
      </c>
      <c r="E3355" s="1179">
        <v>2020</v>
      </c>
      <c r="F3355" s="1282" t="s">
        <v>20280</v>
      </c>
      <c r="G3355" s="1368">
        <v>16.75</v>
      </c>
      <c r="H3355" s="1178" t="s">
        <v>20221</v>
      </c>
      <c r="I3355" s="1178" t="s">
        <v>10301</v>
      </c>
      <c r="J3355" s="1178" t="s">
        <v>662</v>
      </c>
      <c r="K3355" s="1178" t="s">
        <v>331</v>
      </c>
      <c r="L3355" s="1178" t="s">
        <v>336</v>
      </c>
      <c r="M3355" s="1369"/>
      <c r="N3355" s="1178" t="s">
        <v>20244</v>
      </c>
      <c r="O3355" s="1178">
        <v>12</v>
      </c>
      <c r="P3355" s="1178">
        <v>12.5</v>
      </c>
    </row>
    <row r="3356" spans="1:16">
      <c r="A3356" s="1178" t="s">
        <v>340</v>
      </c>
      <c r="B3356" s="1371" t="str">
        <f>HYPERLINK(IFERROR("#Main_Tariff!A"&amp;MATCH(Raeburn_Main_Tariff[[#This Row],[Product Code]],Main_Tariff!I:I,0),"#Main_Tariff!A"&amp;MATCH("*"&amp;RIGHT(A3356,8)&amp;"*",Main_Tariff!A:A,0)),Raeburn_Main_Tariff[[#This Row],[PRODUCER]])</f>
        <v>Roc d'Anglade</v>
      </c>
      <c r="C3356" s="1178" t="s">
        <v>21659</v>
      </c>
      <c r="D3356" s="1178" t="s">
        <v>897</v>
      </c>
      <c r="E3356" s="1179">
        <v>2018</v>
      </c>
      <c r="F3356" s="1282" t="s">
        <v>20280</v>
      </c>
      <c r="G3356" s="1368">
        <v>16.75</v>
      </c>
      <c r="H3356" s="1178" t="s">
        <v>20221</v>
      </c>
      <c r="I3356" s="1178" t="s">
        <v>10303</v>
      </c>
      <c r="J3356" s="1178" t="s">
        <v>662</v>
      </c>
      <c r="K3356" s="1178" t="s">
        <v>331</v>
      </c>
      <c r="L3356" s="1178" t="s">
        <v>336</v>
      </c>
      <c r="M3356" s="1369"/>
      <c r="N3356" s="1178" t="s">
        <v>20244</v>
      </c>
      <c r="O3356" s="1178">
        <v>12</v>
      </c>
      <c r="P3356" s="1178">
        <v>12.5</v>
      </c>
    </row>
    <row r="3357" spans="1:16">
      <c r="A3357" s="1178" t="s">
        <v>340</v>
      </c>
      <c r="B3357" s="1371" t="str">
        <f>HYPERLINK(IFERROR("#Main_Tariff!A"&amp;MATCH(Raeburn_Main_Tariff[[#This Row],[Product Code]],Main_Tariff!I:I,0),"#Main_Tariff!A"&amp;MATCH("*"&amp;RIGHT(A3357,8)&amp;"*",Main_Tariff!A:A,0)),Raeburn_Main_Tariff[[#This Row],[PRODUCER]])</f>
        <v>Roc d'Anglade</v>
      </c>
      <c r="C3357" s="1178" t="s">
        <v>21660</v>
      </c>
      <c r="D3357" s="1178" t="s">
        <v>897</v>
      </c>
      <c r="E3357" s="1179">
        <v>2023</v>
      </c>
      <c r="F3357" s="1282" t="s">
        <v>20220</v>
      </c>
      <c r="G3357" s="1368">
        <v>32.5</v>
      </c>
      <c r="H3357" s="1178" t="s">
        <v>20221</v>
      </c>
      <c r="I3357" s="1178" t="s">
        <v>10305</v>
      </c>
      <c r="J3357" s="1178" t="s">
        <v>662</v>
      </c>
      <c r="K3357" s="1178" t="s">
        <v>331</v>
      </c>
      <c r="L3357" s="1178" t="s">
        <v>336</v>
      </c>
      <c r="M3357" s="1369"/>
      <c r="N3357" s="1178" t="s">
        <v>20244</v>
      </c>
      <c r="O3357" s="1178">
        <v>6</v>
      </c>
      <c r="P3357" s="1178">
        <v>13</v>
      </c>
    </row>
    <row r="3358" spans="1:16">
      <c r="A3358" s="1178" t="s">
        <v>340</v>
      </c>
      <c r="B3358" s="1371" t="str">
        <f>HYPERLINK(IFERROR("#Main_Tariff!A"&amp;MATCH(Raeburn_Main_Tariff[[#This Row],[Product Code]],Main_Tariff!I:I,0),"#Main_Tariff!A"&amp;MATCH("*"&amp;RIGHT(A3358,8)&amp;"*",Main_Tariff!A:A,0)),Raeburn_Main_Tariff[[#This Row],[PRODUCER]])</f>
        <v>Roc d'Anglade</v>
      </c>
      <c r="C3358" s="1178" t="s">
        <v>21660</v>
      </c>
      <c r="D3358" s="1178" t="s">
        <v>897</v>
      </c>
      <c r="E3358" s="1179">
        <v>2022</v>
      </c>
      <c r="F3358" s="1282" t="s">
        <v>20220</v>
      </c>
      <c r="G3358" s="1368">
        <v>31.5</v>
      </c>
      <c r="H3358" s="1178" t="s">
        <v>20221</v>
      </c>
      <c r="I3358" s="1178" t="s">
        <v>10307</v>
      </c>
      <c r="J3358" s="1178" t="s">
        <v>662</v>
      </c>
      <c r="K3358" s="1178" t="s">
        <v>331</v>
      </c>
      <c r="L3358" s="1178" t="s">
        <v>336</v>
      </c>
      <c r="M3358" s="1369"/>
      <c r="N3358" s="1178" t="s">
        <v>20244</v>
      </c>
      <c r="O3358" s="1178">
        <v>6</v>
      </c>
      <c r="P3358" s="1178">
        <v>12.5</v>
      </c>
    </row>
    <row r="3359" spans="1:16">
      <c r="A3359" s="1178" t="s">
        <v>340</v>
      </c>
      <c r="B3359" s="1371" t="str">
        <f>HYPERLINK(IFERROR("#Main_Tariff!A"&amp;MATCH(Raeburn_Main_Tariff[[#This Row],[Product Code]],Main_Tariff!I:I,0),"#Main_Tariff!A"&amp;MATCH("*"&amp;RIGHT(A3359,8)&amp;"*",Main_Tariff!A:A,0)),Raeburn_Main_Tariff[[#This Row],[PRODUCER]])</f>
        <v>Roc d'Anglade</v>
      </c>
      <c r="C3359" s="1178" t="s">
        <v>21660</v>
      </c>
      <c r="D3359" s="1178" t="s">
        <v>897</v>
      </c>
      <c r="E3359" s="1179">
        <v>2021</v>
      </c>
      <c r="F3359" s="1282" t="s">
        <v>20220</v>
      </c>
      <c r="G3359" s="1368">
        <v>32</v>
      </c>
      <c r="H3359" s="1178" t="s">
        <v>20221</v>
      </c>
      <c r="I3359" s="1178" t="s">
        <v>10309</v>
      </c>
      <c r="J3359" s="1178" t="s">
        <v>662</v>
      </c>
      <c r="K3359" s="1178" t="s">
        <v>331</v>
      </c>
      <c r="L3359" s="1178" t="s">
        <v>336</v>
      </c>
      <c r="M3359" s="1369"/>
      <c r="N3359" s="1178" t="s">
        <v>20244</v>
      </c>
      <c r="O3359" s="1178">
        <v>6</v>
      </c>
      <c r="P3359" s="1178">
        <v>12.5</v>
      </c>
    </row>
    <row r="3360" spans="1:16">
      <c r="A3360" s="1178" t="s">
        <v>340</v>
      </c>
      <c r="B3360" s="1371" t="str">
        <f>HYPERLINK(IFERROR("#Main_Tariff!A"&amp;MATCH(Raeburn_Main_Tariff[[#This Row],[Product Code]],Main_Tariff!I:I,0),"#Main_Tariff!A"&amp;MATCH("*"&amp;RIGHT(A3360,8)&amp;"*",Main_Tariff!A:A,0)),Raeburn_Main_Tariff[[#This Row],[PRODUCER]])</f>
        <v>Roc d'Anglade</v>
      </c>
      <c r="C3360" s="1178" t="s">
        <v>21660</v>
      </c>
      <c r="D3360" s="1178" t="s">
        <v>897</v>
      </c>
      <c r="E3360" s="1179">
        <v>2020</v>
      </c>
      <c r="F3360" s="1282" t="s">
        <v>20220</v>
      </c>
      <c r="G3360" s="1368">
        <v>32</v>
      </c>
      <c r="H3360" s="1178" t="s">
        <v>20221</v>
      </c>
      <c r="I3360" s="1178" t="s">
        <v>10311</v>
      </c>
      <c r="J3360" s="1178" t="s">
        <v>662</v>
      </c>
      <c r="K3360" s="1178" t="s">
        <v>331</v>
      </c>
      <c r="L3360" s="1178" t="s">
        <v>336</v>
      </c>
      <c r="M3360" s="1369"/>
      <c r="N3360" s="1178" t="s">
        <v>20244</v>
      </c>
      <c r="O3360" s="1178">
        <v>6</v>
      </c>
      <c r="P3360" s="1178">
        <v>12.5</v>
      </c>
    </row>
    <row r="3361" spans="1:16">
      <c r="A3361" s="1178" t="s">
        <v>340</v>
      </c>
      <c r="B3361" s="1371" t="str">
        <f>HYPERLINK(IFERROR("#Main_Tariff!A"&amp;MATCH(Raeburn_Main_Tariff[[#This Row],[Product Code]],Main_Tariff!I:I,0),"#Main_Tariff!A"&amp;MATCH("*"&amp;RIGHT(A3361,8)&amp;"*",Main_Tariff!A:A,0)),Raeburn_Main_Tariff[[#This Row],[PRODUCER]])</f>
        <v>Roc d'Anglade</v>
      </c>
      <c r="C3361" s="1178" t="s">
        <v>21660</v>
      </c>
      <c r="D3361" s="1178" t="s">
        <v>897</v>
      </c>
      <c r="E3361" s="1179">
        <v>2019</v>
      </c>
      <c r="F3361" s="1282" t="s">
        <v>20220</v>
      </c>
      <c r="G3361" s="1368">
        <v>32</v>
      </c>
      <c r="H3361" s="1178" t="s">
        <v>20221</v>
      </c>
      <c r="I3361" s="1178" t="s">
        <v>10313</v>
      </c>
      <c r="J3361" s="1178" t="s">
        <v>662</v>
      </c>
      <c r="K3361" s="1178" t="s">
        <v>331</v>
      </c>
      <c r="L3361" s="1178" t="s">
        <v>336</v>
      </c>
      <c r="M3361" s="1369"/>
      <c r="N3361" s="1178" t="s">
        <v>20244</v>
      </c>
      <c r="O3361" s="1178">
        <v>6</v>
      </c>
      <c r="P3361" s="1178">
        <v>13</v>
      </c>
    </row>
    <row r="3362" spans="1:16">
      <c r="A3362" s="1178" t="s">
        <v>340</v>
      </c>
      <c r="B3362" s="1371" t="str">
        <f>HYPERLINK(IFERROR("#Main_Tariff!A"&amp;MATCH(Raeburn_Main_Tariff[[#This Row],[Product Code]],Main_Tariff!I:I,0),"#Main_Tariff!A"&amp;MATCH("*"&amp;RIGHT(A3362,8)&amp;"*",Main_Tariff!A:A,0)),Raeburn_Main_Tariff[[#This Row],[PRODUCER]])</f>
        <v>Roc d'Anglade</v>
      </c>
      <c r="C3362" s="1178" t="s">
        <v>21660</v>
      </c>
      <c r="D3362" s="1178" t="s">
        <v>897</v>
      </c>
      <c r="E3362" s="1179">
        <v>2018</v>
      </c>
      <c r="F3362" s="1282" t="s">
        <v>20220</v>
      </c>
      <c r="G3362" s="1368">
        <v>33.5</v>
      </c>
      <c r="H3362" s="1178" t="s">
        <v>20221</v>
      </c>
      <c r="I3362" s="1178" t="s">
        <v>10314</v>
      </c>
      <c r="J3362" s="1178" t="s">
        <v>662</v>
      </c>
      <c r="K3362" s="1178" t="s">
        <v>331</v>
      </c>
      <c r="L3362" s="1178" t="s">
        <v>336</v>
      </c>
      <c r="M3362" s="1369"/>
      <c r="N3362" s="1178" t="s">
        <v>20244</v>
      </c>
      <c r="O3362" s="1178">
        <v>6</v>
      </c>
      <c r="P3362" s="1178">
        <v>12.5</v>
      </c>
    </row>
    <row r="3363" spans="1:16">
      <c r="A3363" s="1178" t="s">
        <v>340</v>
      </c>
      <c r="B3363" s="1371" t="str">
        <f>HYPERLINK(IFERROR("#Main_Tariff!A"&amp;MATCH(Raeburn_Main_Tariff[[#This Row],[Product Code]],Main_Tariff!I:I,0),"#Main_Tariff!A"&amp;MATCH("*"&amp;RIGHT(A3363,8)&amp;"*",Main_Tariff!A:A,0)),Raeburn_Main_Tariff[[#This Row],[PRODUCER]])</f>
        <v>Roc d'Anglade</v>
      </c>
      <c r="C3363" s="1178" t="s">
        <v>21660</v>
      </c>
      <c r="D3363" s="1178" t="s">
        <v>897</v>
      </c>
      <c r="E3363" s="1179">
        <v>2017</v>
      </c>
      <c r="F3363" s="1282" t="s">
        <v>20220</v>
      </c>
      <c r="G3363" s="1368">
        <v>32</v>
      </c>
      <c r="H3363" s="1178" t="s">
        <v>20221</v>
      </c>
      <c r="I3363" s="1178" t="s">
        <v>10316</v>
      </c>
      <c r="J3363" s="1178" t="s">
        <v>662</v>
      </c>
      <c r="K3363" s="1178" t="s">
        <v>331</v>
      </c>
      <c r="L3363" s="1178" t="s">
        <v>336</v>
      </c>
      <c r="M3363" s="1369"/>
      <c r="N3363" s="1178" t="s">
        <v>20244</v>
      </c>
      <c r="O3363" s="1178">
        <v>6</v>
      </c>
      <c r="P3363" s="1178">
        <v>12.5</v>
      </c>
    </row>
    <row r="3364" spans="1:16">
      <c r="A3364" s="1178" t="s">
        <v>340</v>
      </c>
      <c r="B3364" s="1371" t="str">
        <f>HYPERLINK(IFERROR("#Main_Tariff!A"&amp;MATCH(Raeburn_Main_Tariff[[#This Row],[Product Code]],Main_Tariff!I:I,0),"#Main_Tariff!A"&amp;MATCH("*"&amp;RIGHT(A3364,8)&amp;"*",Main_Tariff!A:A,0)),Raeburn_Main_Tariff[[#This Row],[PRODUCER]])</f>
        <v>Roc d'Anglade</v>
      </c>
      <c r="C3364" s="1178" t="s">
        <v>21660</v>
      </c>
      <c r="D3364" s="1178" t="s">
        <v>897</v>
      </c>
      <c r="E3364" s="1179">
        <v>2016</v>
      </c>
      <c r="F3364" s="1282" t="s">
        <v>20220</v>
      </c>
      <c r="G3364" s="1368">
        <v>32</v>
      </c>
      <c r="H3364" s="1178" t="s">
        <v>20221</v>
      </c>
      <c r="I3364" s="1178" t="s">
        <v>10318</v>
      </c>
      <c r="J3364" s="1178" t="s">
        <v>662</v>
      </c>
      <c r="K3364" s="1178" t="s">
        <v>331</v>
      </c>
      <c r="L3364" s="1178" t="s">
        <v>336</v>
      </c>
      <c r="M3364" s="1369"/>
      <c r="N3364" s="1178" t="s">
        <v>20244</v>
      </c>
      <c r="O3364" s="1178">
        <v>6</v>
      </c>
      <c r="P3364" s="1178">
        <v>12</v>
      </c>
    </row>
    <row r="3365" spans="1:16">
      <c r="A3365" s="1178" t="s">
        <v>340</v>
      </c>
      <c r="B3365" s="1371" t="str">
        <f>HYPERLINK(IFERROR("#Main_Tariff!A"&amp;MATCH(Raeburn_Main_Tariff[[#This Row],[Product Code]],Main_Tariff!I:I,0),"#Main_Tariff!A"&amp;MATCH("*"&amp;RIGHT(A3365,8)&amp;"*",Main_Tariff!A:A,0)),Raeburn_Main_Tariff[[#This Row],[PRODUCER]])</f>
        <v>Roc d'Anglade</v>
      </c>
      <c r="C3365" s="1178" t="s">
        <v>21661</v>
      </c>
      <c r="D3365" s="1178" t="s">
        <v>897</v>
      </c>
      <c r="E3365" s="1179">
        <v>2023</v>
      </c>
      <c r="F3365" s="1282" t="s">
        <v>20220</v>
      </c>
      <c r="G3365" s="1368">
        <v>53.5</v>
      </c>
      <c r="H3365" s="1178" t="s">
        <v>20221</v>
      </c>
      <c r="I3365" s="1178" t="s">
        <v>10322</v>
      </c>
      <c r="J3365" s="1178" t="s">
        <v>662</v>
      </c>
      <c r="K3365" s="1178" t="s">
        <v>331</v>
      </c>
      <c r="L3365" s="1178" t="s">
        <v>336</v>
      </c>
      <c r="M3365" s="1369"/>
      <c r="N3365" s="1178" t="s">
        <v>20244</v>
      </c>
      <c r="O3365" s="1178">
        <v>6</v>
      </c>
      <c r="P3365" s="1178">
        <v>12.5</v>
      </c>
    </row>
    <row r="3366" spans="1:16">
      <c r="A3366" s="1178" t="s">
        <v>340</v>
      </c>
      <c r="B3366" s="1371" t="str">
        <f>HYPERLINK(IFERROR("#Main_Tariff!A"&amp;MATCH(Raeburn_Main_Tariff[[#This Row],[Product Code]],Main_Tariff!I:I,0),"#Main_Tariff!A"&amp;MATCH("*"&amp;RIGHT(A3366,8)&amp;"*",Main_Tariff!A:A,0)),Raeburn_Main_Tariff[[#This Row],[PRODUCER]])</f>
        <v>Roc d'Anglade</v>
      </c>
      <c r="C3366" s="1178" t="s">
        <v>21661</v>
      </c>
      <c r="D3366" s="1178" t="s">
        <v>897</v>
      </c>
      <c r="E3366" s="1179">
        <v>2022</v>
      </c>
      <c r="F3366" s="1282" t="s">
        <v>20220</v>
      </c>
      <c r="G3366" s="1368">
        <v>52</v>
      </c>
      <c r="H3366" s="1178" t="s">
        <v>20221</v>
      </c>
      <c r="I3366" s="1178" t="s">
        <v>10324</v>
      </c>
      <c r="J3366" s="1178" t="s">
        <v>662</v>
      </c>
      <c r="K3366" s="1178" t="s">
        <v>331</v>
      </c>
      <c r="L3366" s="1178" t="s">
        <v>336</v>
      </c>
      <c r="M3366" s="1369"/>
      <c r="N3366" s="1178" t="s">
        <v>20244</v>
      </c>
      <c r="O3366" s="1178">
        <v>6</v>
      </c>
      <c r="P3366" s="1178">
        <v>12.5</v>
      </c>
    </row>
    <row r="3367" spans="1:16">
      <c r="A3367" s="1178" t="s">
        <v>340</v>
      </c>
      <c r="B3367" s="1371" t="str">
        <f>HYPERLINK(IFERROR("#Main_Tariff!A"&amp;MATCH(Raeburn_Main_Tariff[[#This Row],[Product Code]],Main_Tariff!I:I,0),"#Main_Tariff!A"&amp;MATCH("*"&amp;RIGHT(A3367,8)&amp;"*",Main_Tariff!A:A,0)),Raeburn_Main_Tariff[[#This Row],[PRODUCER]])</f>
        <v>Roc d'Anglade</v>
      </c>
      <c r="C3367" s="1178" t="s">
        <v>21661</v>
      </c>
      <c r="D3367" s="1178" t="s">
        <v>897</v>
      </c>
      <c r="E3367" s="1179">
        <v>2018</v>
      </c>
      <c r="F3367" s="1282" t="s">
        <v>20220</v>
      </c>
      <c r="G3367" s="1368">
        <v>52.5</v>
      </c>
      <c r="H3367" s="1178" t="s">
        <v>20221</v>
      </c>
      <c r="I3367" s="1178" t="s">
        <v>10326</v>
      </c>
      <c r="J3367" s="1178" t="s">
        <v>662</v>
      </c>
      <c r="K3367" s="1178" t="s">
        <v>331</v>
      </c>
      <c r="L3367" s="1178" t="s">
        <v>336</v>
      </c>
      <c r="M3367" s="1369"/>
      <c r="N3367" s="1178" t="s">
        <v>20244</v>
      </c>
      <c r="O3367" s="1178">
        <v>6</v>
      </c>
      <c r="P3367" s="1178">
        <v>12.5</v>
      </c>
    </row>
    <row r="3368" spans="1:16">
      <c r="A3368" s="1178" t="s">
        <v>340</v>
      </c>
      <c r="B3368" s="1371" t="str">
        <f>HYPERLINK(IFERROR("#Main_Tariff!A"&amp;MATCH(Raeburn_Main_Tariff[[#This Row],[Product Code]],Main_Tariff!I:I,0),"#Main_Tariff!A"&amp;MATCH("*"&amp;RIGHT(A3368,8)&amp;"*",Main_Tariff!A:A,0)),Raeburn_Main_Tariff[[#This Row],[PRODUCER]])</f>
        <v>Roc d'Anglade</v>
      </c>
      <c r="C3368" s="1178" t="s">
        <v>21662</v>
      </c>
      <c r="D3368" s="1178" t="s">
        <v>897</v>
      </c>
      <c r="E3368" s="1179">
        <v>2022</v>
      </c>
      <c r="F3368" s="1282" t="s">
        <v>20240</v>
      </c>
      <c r="G3368" s="1368">
        <v>63.5</v>
      </c>
      <c r="H3368" s="1178" t="s">
        <v>20221</v>
      </c>
      <c r="I3368" s="1178" t="s">
        <v>10329</v>
      </c>
      <c r="J3368" s="1178" t="s">
        <v>662</v>
      </c>
      <c r="K3368" s="1178" t="s">
        <v>331</v>
      </c>
      <c r="L3368" s="1178" t="s">
        <v>336</v>
      </c>
      <c r="M3368" s="1369"/>
      <c r="N3368" s="1178" t="s">
        <v>20244</v>
      </c>
      <c r="O3368" s="1178">
        <v>6</v>
      </c>
      <c r="P3368" s="1178">
        <v>12.5</v>
      </c>
    </row>
    <row r="3369" spans="1:16">
      <c r="A3369" s="1178" t="s">
        <v>340</v>
      </c>
      <c r="B3369" s="1371" t="str">
        <f>HYPERLINK(IFERROR("#Main_Tariff!A"&amp;MATCH(Raeburn_Main_Tariff[[#This Row],[Product Code]],Main_Tariff!I:I,0),"#Main_Tariff!A"&amp;MATCH("*"&amp;RIGHT(A3369,8)&amp;"*",Main_Tariff!A:A,0)),Raeburn_Main_Tariff[[#This Row],[PRODUCER]])</f>
        <v>Roc d'Anglade</v>
      </c>
      <c r="C3369" s="1178" t="s">
        <v>21662</v>
      </c>
      <c r="D3369" s="1178" t="s">
        <v>897</v>
      </c>
      <c r="E3369" s="1179">
        <v>2021</v>
      </c>
      <c r="F3369" s="1282" t="s">
        <v>20240</v>
      </c>
      <c r="G3369" s="1368">
        <v>64.5</v>
      </c>
      <c r="H3369" s="1178" t="s">
        <v>20224</v>
      </c>
      <c r="I3369" s="1178" t="s">
        <v>10331</v>
      </c>
      <c r="J3369" s="1178" t="s">
        <v>662</v>
      </c>
      <c r="K3369" s="1178" t="s">
        <v>331</v>
      </c>
      <c r="L3369" s="1178" t="s">
        <v>336</v>
      </c>
      <c r="M3369" s="1369"/>
      <c r="N3369" s="1178" t="s">
        <v>20244</v>
      </c>
      <c r="O3369" s="1178">
        <v>6</v>
      </c>
      <c r="P3369" s="1178">
        <v>12.5</v>
      </c>
    </row>
    <row r="3370" spans="1:16">
      <c r="A3370" s="1178" t="s">
        <v>340</v>
      </c>
      <c r="B3370" s="1371" t="str">
        <f>HYPERLINK(IFERROR("#Main_Tariff!A"&amp;MATCH(Raeburn_Main_Tariff[[#This Row],[Product Code]],Main_Tariff!I:I,0),"#Main_Tariff!A"&amp;MATCH("*"&amp;RIGHT(A3370,8)&amp;"*",Main_Tariff!A:A,0)),Raeburn_Main_Tariff[[#This Row],[PRODUCER]])</f>
        <v>Roc d'Anglade</v>
      </c>
      <c r="C3370" s="1178" t="s">
        <v>21662</v>
      </c>
      <c r="D3370" s="1178" t="s">
        <v>897</v>
      </c>
      <c r="E3370" s="1179">
        <v>2020</v>
      </c>
      <c r="F3370" s="1282" t="s">
        <v>20240</v>
      </c>
      <c r="G3370" s="1368">
        <v>64.5</v>
      </c>
      <c r="H3370" s="1178" t="s">
        <v>20221</v>
      </c>
      <c r="I3370" s="1178" t="s">
        <v>10333</v>
      </c>
      <c r="J3370" s="1178" t="s">
        <v>662</v>
      </c>
      <c r="K3370" s="1178" t="s">
        <v>331</v>
      </c>
      <c r="L3370" s="1178" t="s">
        <v>336</v>
      </c>
      <c r="M3370" s="1369"/>
      <c r="N3370" s="1178" t="s">
        <v>20244</v>
      </c>
      <c r="O3370" s="1178">
        <v>6</v>
      </c>
      <c r="P3370" s="1178">
        <v>12.5</v>
      </c>
    </row>
    <row r="3371" spans="1:16">
      <c r="A3371" s="1178" t="s">
        <v>340</v>
      </c>
      <c r="B3371" s="1371" t="str">
        <f>HYPERLINK(IFERROR("#Main_Tariff!A"&amp;MATCH(Raeburn_Main_Tariff[[#This Row],[Product Code]],Main_Tariff!I:I,0),"#Main_Tariff!A"&amp;MATCH("*"&amp;RIGHT(A3371,8)&amp;"*",Main_Tariff!A:A,0)),Raeburn_Main_Tariff[[#This Row],[PRODUCER]])</f>
        <v>Roc d'Anglade</v>
      </c>
      <c r="C3371" s="1178" t="s">
        <v>21662</v>
      </c>
      <c r="D3371" s="1178" t="s">
        <v>897</v>
      </c>
      <c r="E3371" s="1179">
        <v>2019</v>
      </c>
      <c r="F3371" s="1282" t="s">
        <v>20240</v>
      </c>
      <c r="G3371" s="1368">
        <v>64.5</v>
      </c>
      <c r="H3371" s="1178" t="s">
        <v>20224</v>
      </c>
      <c r="I3371" s="1178" t="s">
        <v>10335</v>
      </c>
      <c r="J3371" s="1178" t="s">
        <v>662</v>
      </c>
      <c r="K3371" s="1178" t="s">
        <v>331</v>
      </c>
      <c r="L3371" s="1178" t="s">
        <v>336</v>
      </c>
      <c r="M3371" s="1369"/>
      <c r="N3371" s="1178" t="s">
        <v>20244</v>
      </c>
      <c r="O3371" s="1178">
        <v>6</v>
      </c>
      <c r="P3371" s="1178">
        <v>13</v>
      </c>
    </row>
    <row r="3372" spans="1:16">
      <c r="A3372" s="1178" t="s">
        <v>340</v>
      </c>
      <c r="B3372" s="1371" t="str">
        <f>HYPERLINK(IFERROR("#Main_Tariff!A"&amp;MATCH(Raeburn_Main_Tariff[[#This Row],[Product Code]],Main_Tariff!I:I,0),"#Main_Tariff!A"&amp;MATCH("*"&amp;RIGHT(A3372,8)&amp;"*",Main_Tariff!A:A,0)),Raeburn_Main_Tariff[[#This Row],[PRODUCER]])</f>
        <v>Roc d'Anglade</v>
      </c>
      <c r="C3372" s="1178" t="s">
        <v>21662</v>
      </c>
      <c r="D3372" s="1178" t="s">
        <v>897</v>
      </c>
      <c r="E3372" s="1179">
        <v>2018</v>
      </c>
      <c r="F3372" s="1282" t="s">
        <v>20240</v>
      </c>
      <c r="G3372" s="1368">
        <v>68</v>
      </c>
      <c r="H3372" s="1178" t="s">
        <v>20221</v>
      </c>
      <c r="I3372" s="1178" t="s">
        <v>10337</v>
      </c>
      <c r="J3372" s="1178" t="s">
        <v>662</v>
      </c>
      <c r="K3372" s="1178" t="s">
        <v>331</v>
      </c>
      <c r="L3372" s="1178" t="s">
        <v>336</v>
      </c>
      <c r="M3372" s="1369"/>
      <c r="N3372" s="1178" t="s">
        <v>20244</v>
      </c>
      <c r="O3372" s="1178">
        <v>6</v>
      </c>
      <c r="P3372" s="1178">
        <v>12.5</v>
      </c>
    </row>
    <row r="3373" spans="1:16">
      <c r="A3373" s="1178" t="s">
        <v>340</v>
      </c>
      <c r="B3373" s="1371" t="str">
        <f>HYPERLINK(IFERROR("#Main_Tariff!A"&amp;MATCH(Raeburn_Main_Tariff[[#This Row],[Product Code]],Main_Tariff!I:I,0),"#Main_Tariff!A"&amp;MATCH("*"&amp;RIGHT(A3373,8)&amp;"*",Main_Tariff!A:A,0)),Raeburn_Main_Tariff[[#This Row],[PRODUCER]])</f>
        <v>Roc d'Anglade</v>
      </c>
      <c r="C3373" s="1178" t="s">
        <v>21662</v>
      </c>
      <c r="D3373" s="1178" t="s">
        <v>897</v>
      </c>
      <c r="E3373" s="1179">
        <v>2017</v>
      </c>
      <c r="F3373" s="1282" t="s">
        <v>20240</v>
      </c>
      <c r="G3373" s="1368">
        <v>64.5</v>
      </c>
      <c r="H3373" s="1178" t="s">
        <v>20221</v>
      </c>
      <c r="I3373" s="1178" t="s">
        <v>10339</v>
      </c>
      <c r="J3373" s="1178" t="s">
        <v>662</v>
      </c>
      <c r="K3373" s="1178" t="s">
        <v>331</v>
      </c>
      <c r="L3373" s="1178" t="s">
        <v>336</v>
      </c>
      <c r="M3373" s="1369"/>
      <c r="N3373" s="1178" t="s">
        <v>20244</v>
      </c>
      <c r="O3373" s="1178">
        <v>6</v>
      </c>
      <c r="P3373" s="1178">
        <v>12.5</v>
      </c>
    </row>
    <row r="3374" spans="1:16">
      <c r="A3374" s="1178" t="s">
        <v>340</v>
      </c>
      <c r="B3374" s="1371" t="str">
        <f>HYPERLINK(IFERROR("#Main_Tariff!A"&amp;MATCH(Raeburn_Main_Tariff[[#This Row],[Product Code]],Main_Tariff!I:I,0),"#Main_Tariff!A"&amp;MATCH("*"&amp;RIGHT(A3374,8)&amp;"*",Main_Tariff!A:A,0)),Raeburn_Main_Tariff[[#This Row],[PRODUCER]])</f>
        <v>Roc d'Anglade</v>
      </c>
      <c r="C3374" s="1178" t="s">
        <v>21662</v>
      </c>
      <c r="D3374" s="1178" t="s">
        <v>897</v>
      </c>
      <c r="E3374" s="1179">
        <v>2016</v>
      </c>
      <c r="F3374" s="1282" t="s">
        <v>20240</v>
      </c>
      <c r="G3374" s="1368">
        <v>64.5</v>
      </c>
      <c r="H3374" s="1178" t="s">
        <v>20224</v>
      </c>
      <c r="I3374" s="1178" t="s">
        <v>10341</v>
      </c>
      <c r="J3374" s="1178" t="s">
        <v>662</v>
      </c>
      <c r="K3374" s="1178" t="s">
        <v>331</v>
      </c>
      <c r="L3374" s="1178" t="s">
        <v>336</v>
      </c>
      <c r="M3374" s="1369"/>
      <c r="N3374" s="1178" t="s">
        <v>20244</v>
      </c>
      <c r="O3374" s="1178">
        <v>6</v>
      </c>
      <c r="P3374" s="1178">
        <v>13</v>
      </c>
    </row>
    <row r="3375" spans="1:16">
      <c r="A3375" s="1178" t="s">
        <v>340</v>
      </c>
      <c r="B3375" s="1371" t="str">
        <f>HYPERLINK(IFERROR("#Main_Tariff!A"&amp;MATCH(Raeburn_Main_Tariff[[#This Row],[Product Code]],Main_Tariff!I:I,0),"#Main_Tariff!A"&amp;MATCH("*"&amp;RIGHT(A3375,8)&amp;"*",Main_Tariff!A:A,0)),Raeburn_Main_Tariff[[#This Row],[PRODUCER]])</f>
        <v>Roc d'Anglade</v>
      </c>
      <c r="C3375" s="1178" t="s">
        <v>21663</v>
      </c>
      <c r="D3375" s="1178" t="s">
        <v>897</v>
      </c>
      <c r="E3375" s="1179">
        <v>2021</v>
      </c>
      <c r="F3375" s="1282" t="s">
        <v>20288</v>
      </c>
      <c r="G3375" s="1368">
        <v>154.5</v>
      </c>
      <c r="H3375" s="1178" t="s">
        <v>20224</v>
      </c>
      <c r="I3375" s="1178" t="s">
        <v>10343</v>
      </c>
      <c r="J3375" s="1178" t="s">
        <v>662</v>
      </c>
      <c r="K3375" s="1178" t="s">
        <v>331</v>
      </c>
      <c r="L3375" s="1178" t="s">
        <v>336</v>
      </c>
      <c r="M3375" s="1369"/>
      <c r="N3375" s="1178" t="s">
        <v>20244</v>
      </c>
      <c r="O3375" s="1178">
        <v>1</v>
      </c>
      <c r="P3375" s="1178">
        <v>12.5</v>
      </c>
    </row>
    <row r="3376" spans="1:16">
      <c r="A3376" s="1178" t="s">
        <v>340</v>
      </c>
      <c r="B3376" s="1371" t="str">
        <f>HYPERLINK(IFERROR("#Main_Tariff!A"&amp;MATCH(Raeburn_Main_Tariff[[#This Row],[Product Code]],Main_Tariff!I:I,0),"#Main_Tariff!A"&amp;MATCH("*"&amp;RIGHT(A3376,8)&amp;"*",Main_Tariff!A:A,0)),Raeburn_Main_Tariff[[#This Row],[PRODUCER]])</f>
        <v>Roc d'Anglade</v>
      </c>
      <c r="C3376" s="1178" t="s">
        <v>21663</v>
      </c>
      <c r="D3376" s="1178" t="s">
        <v>897</v>
      </c>
      <c r="E3376" s="1179">
        <v>2020</v>
      </c>
      <c r="F3376" s="1282" t="s">
        <v>20288</v>
      </c>
      <c r="G3376" s="1368">
        <v>154.5</v>
      </c>
      <c r="H3376" s="1178" t="s">
        <v>20224</v>
      </c>
      <c r="I3376" s="1178" t="s">
        <v>10344</v>
      </c>
      <c r="J3376" s="1178" t="s">
        <v>662</v>
      </c>
      <c r="K3376" s="1178" t="s">
        <v>331</v>
      </c>
      <c r="L3376" s="1178" t="s">
        <v>336</v>
      </c>
      <c r="M3376" s="1369"/>
      <c r="N3376" s="1178" t="s">
        <v>20244</v>
      </c>
      <c r="O3376" s="1178">
        <v>6</v>
      </c>
      <c r="P3376" s="1178">
        <v>12.5</v>
      </c>
    </row>
    <row r="3377" spans="1:16">
      <c r="A3377" s="1178" t="s">
        <v>340</v>
      </c>
      <c r="B3377" s="1371" t="str">
        <f>HYPERLINK(IFERROR("#Main_Tariff!A"&amp;MATCH(Raeburn_Main_Tariff[[#This Row],[Product Code]],Main_Tariff!I:I,0),"#Main_Tariff!A"&amp;MATCH("*"&amp;RIGHT(A3377,8)&amp;"*",Main_Tariff!A:A,0)),Raeburn_Main_Tariff[[#This Row],[PRODUCER]])</f>
        <v>Roc d'Anglade</v>
      </c>
      <c r="C3377" s="1178" t="s">
        <v>21663</v>
      </c>
      <c r="D3377" s="1178" t="s">
        <v>897</v>
      </c>
      <c r="E3377" s="1179">
        <v>2019</v>
      </c>
      <c r="F3377" s="1282" t="s">
        <v>20288</v>
      </c>
      <c r="G3377" s="1368">
        <v>154.5</v>
      </c>
      <c r="H3377" s="1178" t="s">
        <v>20224</v>
      </c>
      <c r="I3377" s="1178" t="s">
        <v>10345</v>
      </c>
      <c r="J3377" s="1178" t="s">
        <v>662</v>
      </c>
      <c r="K3377" s="1178" t="s">
        <v>331</v>
      </c>
      <c r="L3377" s="1178" t="s">
        <v>336</v>
      </c>
      <c r="M3377" s="1369"/>
      <c r="N3377" s="1178" t="s">
        <v>20244</v>
      </c>
      <c r="O3377" s="1178">
        <v>1</v>
      </c>
      <c r="P3377" s="1178">
        <v>13</v>
      </c>
    </row>
    <row r="3378" spans="1:16">
      <c r="A3378" s="1178" t="s">
        <v>340</v>
      </c>
      <c r="B3378" s="1371" t="str">
        <f>HYPERLINK(IFERROR("#Main_Tariff!A"&amp;MATCH(Raeburn_Main_Tariff[[#This Row],[Product Code]],Main_Tariff!I:I,0),"#Main_Tariff!A"&amp;MATCH("*"&amp;RIGHT(A3378,8)&amp;"*",Main_Tariff!A:A,0)),Raeburn_Main_Tariff[[#This Row],[PRODUCER]])</f>
        <v>Roc d'Anglade</v>
      </c>
      <c r="C3378" s="1178" t="s">
        <v>21663</v>
      </c>
      <c r="D3378" s="1178" t="s">
        <v>897</v>
      </c>
      <c r="E3378" s="1179">
        <v>2018</v>
      </c>
      <c r="F3378" s="1282" t="s">
        <v>20288</v>
      </c>
      <c r="G3378" s="1368">
        <v>157</v>
      </c>
      <c r="H3378" s="1178" t="s">
        <v>20224</v>
      </c>
      <c r="I3378" s="1178" t="s">
        <v>10346</v>
      </c>
      <c r="J3378" s="1178" t="s">
        <v>662</v>
      </c>
      <c r="K3378" s="1178" t="s">
        <v>331</v>
      </c>
      <c r="L3378" s="1178" t="s">
        <v>336</v>
      </c>
      <c r="M3378" s="1369"/>
      <c r="N3378" s="1178" t="s">
        <v>20244</v>
      </c>
      <c r="O3378" s="1178">
        <v>1</v>
      </c>
      <c r="P3378" s="1178">
        <v>12.5</v>
      </c>
    </row>
    <row r="3379" spans="1:16">
      <c r="A3379" s="1178" t="s">
        <v>340</v>
      </c>
      <c r="B3379" s="1371" t="str">
        <f>HYPERLINK(IFERROR("#Main_Tariff!A"&amp;MATCH(Raeburn_Main_Tariff[[#This Row],[Product Code]],Main_Tariff!I:I,0),"#Main_Tariff!A"&amp;MATCH("*"&amp;RIGHT(A3379,8)&amp;"*",Main_Tariff!A:A,0)),Raeburn_Main_Tariff[[#This Row],[PRODUCER]])</f>
        <v>Roc d'Anglade</v>
      </c>
      <c r="C3379" s="1178" t="s">
        <v>21664</v>
      </c>
      <c r="D3379" s="1178" t="s">
        <v>897</v>
      </c>
      <c r="E3379" s="1179" t="s">
        <v>21665</v>
      </c>
      <c r="F3379" s="1282" t="s">
        <v>20220</v>
      </c>
      <c r="G3379" s="1368">
        <v>53.5</v>
      </c>
      <c r="H3379" s="1178" t="s">
        <v>20221</v>
      </c>
      <c r="I3379" s="1178" t="s">
        <v>10348</v>
      </c>
      <c r="J3379" s="1178" t="s">
        <v>662</v>
      </c>
      <c r="K3379" s="1178" t="s">
        <v>331</v>
      </c>
      <c r="L3379" s="1178" t="s">
        <v>336</v>
      </c>
      <c r="M3379" s="1369"/>
      <c r="N3379" s="1178" t="s">
        <v>20244</v>
      </c>
      <c r="O3379" s="1178">
        <v>6</v>
      </c>
      <c r="P3379" s="1178">
        <v>13</v>
      </c>
    </row>
    <row r="3380" spans="1:16">
      <c r="A3380" s="1178" t="s">
        <v>340</v>
      </c>
      <c r="B3380" s="1371" t="str">
        <f>HYPERLINK(IFERROR("#Main_Tariff!A"&amp;MATCH(Raeburn_Main_Tariff[[#This Row],[Product Code]],Main_Tariff!I:I,0),"#Main_Tariff!A"&amp;MATCH("*"&amp;RIGHT(A3380,8)&amp;"*",Main_Tariff!A:A,0)),Raeburn_Main_Tariff[[#This Row],[PRODUCER]])</f>
        <v>Roc d'Anglade</v>
      </c>
      <c r="C3380" s="1178" t="s">
        <v>21666</v>
      </c>
      <c r="D3380" s="1178" t="s">
        <v>897</v>
      </c>
      <c r="E3380" s="1179" t="s">
        <v>21665</v>
      </c>
      <c r="F3380" s="1282" t="s">
        <v>20220</v>
      </c>
      <c r="G3380" s="1368">
        <v>52</v>
      </c>
      <c r="H3380" s="1178" t="s">
        <v>20221</v>
      </c>
      <c r="I3380" s="1178" t="s">
        <v>10349</v>
      </c>
      <c r="J3380" s="1178" t="s">
        <v>662</v>
      </c>
      <c r="K3380" s="1178" t="s">
        <v>331</v>
      </c>
      <c r="L3380" s="1178" t="s">
        <v>336</v>
      </c>
      <c r="M3380" s="1369"/>
      <c r="N3380" s="1178" t="s">
        <v>20244</v>
      </c>
      <c r="O3380" s="1178">
        <v>6</v>
      </c>
      <c r="P3380" s="1178">
        <v>12.5</v>
      </c>
    </row>
    <row r="3381" spans="1:16">
      <c r="A3381" s="1178" t="s">
        <v>340</v>
      </c>
      <c r="B3381" s="1371" t="str">
        <f>HYPERLINK(IFERROR("#Main_Tariff!A"&amp;MATCH(Raeburn_Main_Tariff[[#This Row],[Product Code]],Main_Tariff!I:I,0),"#Main_Tariff!A"&amp;MATCH("*"&amp;RIGHT(A3381,8)&amp;"*",Main_Tariff!A:A,0)),Raeburn_Main_Tariff[[#This Row],[PRODUCER]])</f>
        <v>Roc d'Anglade</v>
      </c>
      <c r="C3381" s="1178" t="s">
        <v>21667</v>
      </c>
      <c r="D3381" s="1178" t="s">
        <v>897</v>
      </c>
      <c r="E3381" s="1179" t="s">
        <v>21665</v>
      </c>
      <c r="F3381" s="1282" t="s">
        <v>20220</v>
      </c>
      <c r="G3381" s="1368">
        <v>52.5</v>
      </c>
      <c r="H3381" s="1178" t="s">
        <v>20221</v>
      </c>
      <c r="I3381" s="1178" t="s">
        <v>10350</v>
      </c>
      <c r="J3381" s="1178" t="s">
        <v>662</v>
      </c>
      <c r="K3381" s="1178" t="s">
        <v>331</v>
      </c>
      <c r="L3381" s="1178" t="s">
        <v>336</v>
      </c>
      <c r="M3381" s="1369"/>
      <c r="N3381" s="1178" t="s">
        <v>20244</v>
      </c>
      <c r="O3381" s="1178">
        <v>6</v>
      </c>
      <c r="P3381" s="1178">
        <v>12.5</v>
      </c>
    </row>
    <row r="3382" spans="1:16">
      <c r="A3382" s="1178" t="s">
        <v>340</v>
      </c>
      <c r="B3382" s="1371" t="str">
        <f>HYPERLINK(IFERROR("#Main_Tariff!A"&amp;MATCH(Raeburn_Main_Tariff[[#This Row],[Product Code]],Main_Tariff!I:I,0),"#Main_Tariff!A"&amp;MATCH("*"&amp;RIGHT(A3382,8)&amp;"*",Main_Tariff!A:A,0)),Raeburn_Main_Tariff[[#This Row],[PRODUCER]])</f>
        <v>Roc d'Anglade</v>
      </c>
      <c r="C3382" s="1178" t="s">
        <v>21668</v>
      </c>
      <c r="D3382" s="1178" t="s">
        <v>897</v>
      </c>
      <c r="E3382" s="1179" t="s">
        <v>21665</v>
      </c>
      <c r="F3382" s="1282" t="s">
        <v>20220</v>
      </c>
      <c r="G3382" s="1368">
        <v>53.5</v>
      </c>
      <c r="H3382" s="1178" t="s">
        <v>20221</v>
      </c>
      <c r="I3382" s="1178" t="s">
        <v>10351</v>
      </c>
      <c r="J3382" s="1178" t="s">
        <v>662</v>
      </c>
      <c r="K3382" s="1178" t="s">
        <v>331</v>
      </c>
      <c r="L3382" s="1178" t="s">
        <v>336</v>
      </c>
      <c r="M3382" s="1369"/>
      <c r="N3382" s="1178" t="s">
        <v>20244</v>
      </c>
      <c r="O3382" s="1178">
        <v>6</v>
      </c>
      <c r="P3382" s="1178">
        <v>12.5</v>
      </c>
    </row>
    <row r="3383" spans="1:16">
      <c r="A3383" s="1178" t="s">
        <v>340</v>
      </c>
      <c r="B3383" s="1371" t="str">
        <f>HYPERLINK(IFERROR("#Main_Tariff!A"&amp;MATCH(Raeburn_Main_Tariff[[#This Row],[Product Code]],Main_Tariff!I:I,0),"#Main_Tariff!A"&amp;MATCH("*"&amp;RIGHT(A3383,8)&amp;"*",Main_Tariff!A:A,0)),Raeburn_Main_Tariff[[#This Row],[PRODUCER]])</f>
        <v>Roc d'Anglade</v>
      </c>
      <c r="C3383" s="1178" t="s">
        <v>21669</v>
      </c>
      <c r="D3383" s="1178" t="s">
        <v>897</v>
      </c>
      <c r="E3383" s="1179" t="s">
        <v>21665</v>
      </c>
      <c r="F3383" s="1282" t="s">
        <v>20220</v>
      </c>
      <c r="G3383" s="1368">
        <v>54.5</v>
      </c>
      <c r="H3383" s="1178" t="s">
        <v>20221</v>
      </c>
      <c r="I3383" s="1178" t="s">
        <v>10352</v>
      </c>
      <c r="J3383" s="1178" t="s">
        <v>662</v>
      </c>
      <c r="K3383" s="1178" t="s">
        <v>331</v>
      </c>
      <c r="L3383" s="1178" t="s">
        <v>336</v>
      </c>
      <c r="M3383" s="1369"/>
      <c r="N3383" s="1178" t="s">
        <v>20244</v>
      </c>
      <c r="O3383" s="1178">
        <v>6</v>
      </c>
      <c r="P3383" s="1178">
        <v>13</v>
      </c>
    </row>
    <row r="3384" spans="1:16">
      <c r="A3384" s="1178" t="s">
        <v>340</v>
      </c>
      <c r="B3384" s="1371" t="str">
        <f>HYPERLINK(IFERROR("#Main_Tariff!A"&amp;MATCH(Raeburn_Main_Tariff[[#This Row],[Product Code]],Main_Tariff!I:I,0),"#Main_Tariff!A"&amp;MATCH("*"&amp;RIGHT(A3384,8)&amp;"*",Main_Tariff!A:A,0)),Raeburn_Main_Tariff[[#This Row],[PRODUCER]])</f>
        <v>Roc d'Anglade</v>
      </c>
      <c r="C3384" s="1178" t="s">
        <v>21670</v>
      </c>
      <c r="D3384" s="1178" t="s">
        <v>897</v>
      </c>
      <c r="E3384" s="1179" t="s">
        <v>21665</v>
      </c>
      <c r="F3384" s="1282" t="s">
        <v>20220</v>
      </c>
      <c r="G3384" s="1368">
        <v>55.5</v>
      </c>
      <c r="H3384" s="1178" t="s">
        <v>20221</v>
      </c>
      <c r="I3384" s="1178" t="s">
        <v>10353</v>
      </c>
      <c r="J3384" s="1178" t="s">
        <v>662</v>
      </c>
      <c r="K3384" s="1178" t="s">
        <v>331</v>
      </c>
      <c r="L3384" s="1178" t="s">
        <v>336</v>
      </c>
      <c r="M3384" s="1369"/>
      <c r="N3384" s="1178" t="s">
        <v>20244</v>
      </c>
      <c r="O3384" s="1178">
        <v>6</v>
      </c>
      <c r="P3384" s="1178">
        <v>12.5</v>
      </c>
    </row>
    <row r="3385" spans="1:16">
      <c r="A3385" s="1178" t="s">
        <v>340</v>
      </c>
      <c r="B3385" s="1371" t="str">
        <f>HYPERLINK(IFERROR("#Main_Tariff!A"&amp;MATCH(Raeburn_Main_Tariff[[#This Row],[Product Code]],Main_Tariff!I:I,0),"#Main_Tariff!A"&amp;MATCH("*"&amp;RIGHT(A3385,8)&amp;"*",Main_Tariff!A:A,0)),Raeburn_Main_Tariff[[#This Row],[PRODUCER]])</f>
        <v>Roc d'Anglade</v>
      </c>
      <c r="C3385" s="1178" t="s">
        <v>21671</v>
      </c>
      <c r="D3385" s="1178" t="s">
        <v>897</v>
      </c>
      <c r="E3385" s="1179" t="s">
        <v>21665</v>
      </c>
      <c r="F3385" s="1282" t="s">
        <v>20220</v>
      </c>
      <c r="G3385" s="1368">
        <v>56.5</v>
      </c>
      <c r="H3385" s="1178" t="s">
        <v>20221</v>
      </c>
      <c r="I3385" s="1178" t="s">
        <v>10354</v>
      </c>
      <c r="J3385" s="1178" t="s">
        <v>662</v>
      </c>
      <c r="K3385" s="1178" t="s">
        <v>331</v>
      </c>
      <c r="L3385" s="1178" t="s">
        <v>336</v>
      </c>
      <c r="M3385" s="1369"/>
      <c r="N3385" s="1178" t="s">
        <v>20244</v>
      </c>
      <c r="O3385" s="1178">
        <v>6</v>
      </c>
      <c r="P3385" s="1178">
        <v>12.5</v>
      </c>
    </row>
    <row r="3386" spans="1:16">
      <c r="A3386" s="1178" t="s">
        <v>340</v>
      </c>
      <c r="B3386" s="1371" t="str">
        <f>HYPERLINK(IFERROR("#Main_Tariff!A"&amp;MATCH(Raeburn_Main_Tariff[[#This Row],[Product Code]],Main_Tariff!I:I,0),"#Main_Tariff!A"&amp;MATCH("*"&amp;RIGHT(A3386,8)&amp;"*",Main_Tariff!A:A,0)),Raeburn_Main_Tariff[[#This Row],[PRODUCER]])</f>
        <v>Roc d'Anglade</v>
      </c>
      <c r="C3386" s="1178" t="s">
        <v>21672</v>
      </c>
      <c r="D3386" s="1178" t="s">
        <v>897</v>
      </c>
      <c r="E3386" s="1179" t="s">
        <v>21665</v>
      </c>
      <c r="F3386" s="1282" t="s">
        <v>20220</v>
      </c>
      <c r="G3386" s="1368">
        <v>57.5</v>
      </c>
      <c r="H3386" s="1178" t="s">
        <v>20221</v>
      </c>
      <c r="I3386" s="1178" t="s">
        <v>10355</v>
      </c>
      <c r="J3386" s="1178" t="s">
        <v>662</v>
      </c>
      <c r="K3386" s="1178" t="s">
        <v>331</v>
      </c>
      <c r="L3386" s="1178" t="s">
        <v>336</v>
      </c>
      <c r="M3386" s="1369"/>
      <c r="N3386" s="1178" t="s">
        <v>20244</v>
      </c>
      <c r="O3386" s="1178">
        <v>6</v>
      </c>
      <c r="P3386" s="1178">
        <v>13</v>
      </c>
    </row>
    <row r="3387" spans="1:16">
      <c r="A3387" s="1178" t="s">
        <v>340</v>
      </c>
      <c r="B3387" s="1371" t="str">
        <f>HYPERLINK(IFERROR("#Main_Tariff!A"&amp;MATCH(Raeburn_Main_Tariff[[#This Row],[Product Code]],Main_Tariff!I:I,0),"#Main_Tariff!A"&amp;MATCH("*"&amp;RIGHT(A3387,8)&amp;"*",Main_Tariff!A:A,0)),Raeburn_Main_Tariff[[#This Row],[PRODUCER]])</f>
        <v>Roc d'Anglade</v>
      </c>
      <c r="C3387" s="1178" t="s">
        <v>21673</v>
      </c>
      <c r="D3387" s="1178" t="s">
        <v>897</v>
      </c>
      <c r="E3387" s="1179" t="s">
        <v>21665</v>
      </c>
      <c r="F3387" s="1282" t="s">
        <v>20220</v>
      </c>
      <c r="G3387" s="1368">
        <v>58.5</v>
      </c>
      <c r="H3387" s="1178" t="s">
        <v>20221</v>
      </c>
      <c r="I3387" s="1178" t="s">
        <v>10356</v>
      </c>
      <c r="J3387" s="1178" t="s">
        <v>662</v>
      </c>
      <c r="K3387" s="1178" t="s">
        <v>331</v>
      </c>
      <c r="L3387" s="1178" t="s">
        <v>336</v>
      </c>
      <c r="M3387" s="1369"/>
      <c r="N3387" s="1178" t="s">
        <v>20244</v>
      </c>
      <c r="O3387" s="1178">
        <v>6</v>
      </c>
      <c r="P3387" s="1178">
        <v>13</v>
      </c>
    </row>
    <row r="3388" spans="1:16">
      <c r="A3388" s="1178" t="s">
        <v>340</v>
      </c>
      <c r="B3388" s="1371" t="str">
        <f>HYPERLINK(IFERROR("#Main_Tariff!A"&amp;MATCH(Raeburn_Main_Tariff[[#This Row],[Product Code]],Main_Tariff!I:I,0),"#Main_Tariff!A"&amp;MATCH("*"&amp;RIGHT(A3388,8)&amp;"*",Main_Tariff!A:A,0)),Raeburn_Main_Tariff[[#This Row],[PRODUCER]])</f>
        <v>Roc d'Anglade</v>
      </c>
      <c r="C3388" s="1178" t="s">
        <v>21674</v>
      </c>
      <c r="D3388" s="1178" t="s">
        <v>897</v>
      </c>
      <c r="E3388" s="1179" t="s">
        <v>21665</v>
      </c>
      <c r="F3388" s="1282" t="s">
        <v>20220</v>
      </c>
      <c r="G3388" s="1368">
        <v>59.5</v>
      </c>
      <c r="H3388" s="1178" t="s">
        <v>20221</v>
      </c>
      <c r="I3388" s="1178" t="s">
        <v>10357</v>
      </c>
      <c r="J3388" s="1178" t="s">
        <v>662</v>
      </c>
      <c r="K3388" s="1178" t="s">
        <v>331</v>
      </c>
      <c r="L3388" s="1178" t="s">
        <v>336</v>
      </c>
      <c r="M3388" s="1369"/>
      <c r="N3388" s="1178"/>
      <c r="O3388" s="1178">
        <v>6</v>
      </c>
      <c r="P3388" s="1178">
        <v>13</v>
      </c>
    </row>
    <row r="3389" spans="1:16">
      <c r="A3389" s="1178" t="s">
        <v>340</v>
      </c>
      <c r="B3389" s="1371" t="str">
        <f>HYPERLINK(IFERROR("#Main_Tariff!A"&amp;MATCH(Raeburn_Main_Tariff[[#This Row],[Product Code]],Main_Tariff!I:I,0),"#Main_Tariff!A"&amp;MATCH("*"&amp;RIGHT(A3389,8)&amp;"*",Main_Tariff!A:A,0)),Raeburn_Main_Tariff[[#This Row],[PRODUCER]])</f>
        <v>Roc d'Anglade</v>
      </c>
      <c r="C3389" s="1178" t="s">
        <v>21675</v>
      </c>
      <c r="D3389" s="1178" t="s">
        <v>897</v>
      </c>
      <c r="E3389" s="1179" t="s">
        <v>21665</v>
      </c>
      <c r="F3389" s="1282" t="s">
        <v>20220</v>
      </c>
      <c r="G3389" s="1368">
        <v>60.5</v>
      </c>
      <c r="H3389" s="1178" t="s">
        <v>20221</v>
      </c>
      <c r="I3389" s="1178" t="s">
        <v>10358</v>
      </c>
      <c r="J3389" s="1178" t="s">
        <v>662</v>
      </c>
      <c r="K3389" s="1178" t="s">
        <v>331</v>
      </c>
      <c r="L3389" s="1178" t="s">
        <v>336</v>
      </c>
      <c r="M3389" s="1369"/>
      <c r="N3389" s="1178"/>
      <c r="O3389" s="1178">
        <v>6</v>
      </c>
      <c r="P3389" s="1178">
        <v>15</v>
      </c>
    </row>
    <row r="3390" spans="1:16">
      <c r="A3390" s="1178" t="s">
        <v>340</v>
      </c>
      <c r="B3390" s="1371" t="str">
        <f>HYPERLINK(IFERROR("#Main_Tariff!A"&amp;MATCH(Raeburn_Main_Tariff[[#This Row],[Product Code]],Main_Tariff!I:I,0),"#Main_Tariff!A"&amp;MATCH("*"&amp;RIGHT(A3390,8)&amp;"*",Main_Tariff!A:A,0)),Raeburn_Main_Tariff[[#This Row],[PRODUCER]])</f>
        <v>Roc d'Anglade</v>
      </c>
      <c r="C3390" s="1178" t="s">
        <v>21676</v>
      </c>
      <c r="D3390" s="1178" t="s">
        <v>897</v>
      </c>
      <c r="E3390" s="1179" t="s">
        <v>21665</v>
      </c>
      <c r="F3390" s="1282" t="s">
        <v>20220</v>
      </c>
      <c r="G3390" s="1368">
        <v>61.5</v>
      </c>
      <c r="H3390" s="1178" t="s">
        <v>20221</v>
      </c>
      <c r="I3390" s="1178" t="s">
        <v>10359</v>
      </c>
      <c r="J3390" s="1178" t="s">
        <v>662</v>
      </c>
      <c r="K3390" s="1178" t="s">
        <v>331</v>
      </c>
      <c r="L3390" s="1178" t="s">
        <v>336</v>
      </c>
      <c r="M3390" s="1369"/>
      <c r="N3390" s="1178"/>
      <c r="O3390" s="1178">
        <v>6</v>
      </c>
      <c r="P3390" s="1178">
        <v>13</v>
      </c>
    </row>
    <row r="3391" spans="1:16">
      <c r="A3391" s="1178" t="s">
        <v>340</v>
      </c>
      <c r="B3391" s="1371" t="str">
        <f>HYPERLINK(IFERROR("#Main_Tariff!A"&amp;MATCH(Raeburn_Main_Tariff[[#This Row],[Product Code]],Main_Tariff!I:I,0),"#Main_Tariff!A"&amp;MATCH("*"&amp;RIGHT(A3391,8)&amp;"*",Main_Tariff!A:A,0)),Raeburn_Main_Tariff[[#This Row],[PRODUCER]])</f>
        <v>Roc d'Anglade</v>
      </c>
      <c r="C3391" s="1178" t="s">
        <v>21677</v>
      </c>
      <c r="D3391" s="1178" t="s">
        <v>897</v>
      </c>
      <c r="E3391" s="1179" t="s">
        <v>21665</v>
      </c>
      <c r="F3391" s="1282" t="s">
        <v>20240</v>
      </c>
      <c r="G3391" s="1368">
        <v>105</v>
      </c>
      <c r="H3391" s="1178" t="s">
        <v>20224</v>
      </c>
      <c r="I3391" s="1178" t="s">
        <v>10361</v>
      </c>
      <c r="J3391" s="1178" t="s">
        <v>662</v>
      </c>
      <c r="K3391" s="1178" t="s">
        <v>331</v>
      </c>
      <c r="L3391" s="1178" t="s">
        <v>336</v>
      </c>
      <c r="M3391" s="1369"/>
      <c r="N3391" s="1178" t="s">
        <v>20244</v>
      </c>
      <c r="O3391" s="1178">
        <v>6</v>
      </c>
      <c r="P3391" s="1178">
        <v>12.5</v>
      </c>
    </row>
    <row r="3392" spans="1:16">
      <c r="A3392" s="1178" t="s">
        <v>340</v>
      </c>
      <c r="B3392" s="1371" t="str">
        <f>HYPERLINK(IFERROR("#Main_Tariff!A"&amp;MATCH(Raeburn_Main_Tariff[[#This Row],[Product Code]],Main_Tariff!I:I,0),"#Main_Tariff!A"&amp;MATCH("*"&amp;RIGHT(A3392,8)&amp;"*",Main_Tariff!A:A,0)),Raeburn_Main_Tariff[[#This Row],[PRODUCER]])</f>
        <v>Roc d'Anglade</v>
      </c>
      <c r="C3392" s="1178" t="s">
        <v>21678</v>
      </c>
      <c r="D3392" s="1178" t="s">
        <v>897</v>
      </c>
      <c r="E3392" s="1179" t="s">
        <v>21665</v>
      </c>
      <c r="F3392" s="1282" t="s">
        <v>20240</v>
      </c>
      <c r="G3392" s="1368">
        <v>107</v>
      </c>
      <c r="H3392" s="1178" t="s">
        <v>20224</v>
      </c>
      <c r="I3392" s="1178" t="s">
        <v>10362</v>
      </c>
      <c r="J3392" s="1178" t="s">
        <v>662</v>
      </c>
      <c r="K3392" s="1178" t="s">
        <v>331</v>
      </c>
      <c r="L3392" s="1178" t="s">
        <v>336</v>
      </c>
      <c r="M3392" s="1369"/>
      <c r="N3392" s="1178" t="s">
        <v>20244</v>
      </c>
      <c r="O3392" s="1178">
        <v>6</v>
      </c>
      <c r="P3392" s="1178">
        <v>12.5</v>
      </c>
    </row>
    <row r="3393" spans="1:16">
      <c r="A3393" s="1178" t="s">
        <v>340</v>
      </c>
      <c r="B3393" s="1371" t="str">
        <f>HYPERLINK(IFERROR("#Main_Tariff!A"&amp;MATCH(Raeburn_Main_Tariff[[#This Row],[Product Code]],Main_Tariff!I:I,0),"#Main_Tariff!A"&amp;MATCH("*"&amp;RIGHT(A3393,8)&amp;"*",Main_Tariff!A:A,0)),Raeburn_Main_Tariff[[#This Row],[PRODUCER]])</f>
        <v>Roc d'Anglade</v>
      </c>
      <c r="C3393" s="1178" t="s">
        <v>21679</v>
      </c>
      <c r="D3393" s="1178" t="s">
        <v>897</v>
      </c>
      <c r="E3393" s="1179" t="s">
        <v>21665</v>
      </c>
      <c r="F3393" s="1282" t="s">
        <v>20240</v>
      </c>
      <c r="G3393" s="1368">
        <v>109</v>
      </c>
      <c r="H3393" s="1178" t="s">
        <v>20224</v>
      </c>
      <c r="I3393" s="1178" t="s">
        <v>10363</v>
      </c>
      <c r="J3393" s="1178" t="s">
        <v>662</v>
      </c>
      <c r="K3393" s="1178" t="s">
        <v>331</v>
      </c>
      <c r="L3393" s="1178" t="s">
        <v>336</v>
      </c>
      <c r="M3393" s="1369"/>
      <c r="N3393" s="1178" t="s">
        <v>20244</v>
      </c>
      <c r="O3393" s="1178">
        <v>6</v>
      </c>
      <c r="P3393" s="1178">
        <v>13</v>
      </c>
    </row>
    <row r="3394" spans="1:16">
      <c r="A3394" s="1178" t="s">
        <v>340</v>
      </c>
      <c r="B3394" s="1371" t="str">
        <f>HYPERLINK(IFERROR("#Main_Tariff!A"&amp;MATCH(Raeburn_Main_Tariff[[#This Row],[Product Code]],Main_Tariff!I:I,0),"#Main_Tariff!A"&amp;MATCH("*"&amp;RIGHT(A3394,8)&amp;"*",Main_Tariff!A:A,0)),Raeburn_Main_Tariff[[#This Row],[PRODUCER]])</f>
        <v>Roc d'Anglade</v>
      </c>
      <c r="C3394" s="1178" t="s">
        <v>21680</v>
      </c>
      <c r="D3394" s="1178" t="s">
        <v>897</v>
      </c>
      <c r="E3394" s="1179" t="s">
        <v>21665</v>
      </c>
      <c r="F3394" s="1282" t="s">
        <v>20240</v>
      </c>
      <c r="G3394" s="1368">
        <v>111</v>
      </c>
      <c r="H3394" s="1178" t="s">
        <v>20224</v>
      </c>
      <c r="I3394" s="1178" t="s">
        <v>10364</v>
      </c>
      <c r="J3394" s="1178" t="s">
        <v>662</v>
      </c>
      <c r="K3394" s="1178" t="s">
        <v>331</v>
      </c>
      <c r="L3394" s="1178" t="s">
        <v>336</v>
      </c>
      <c r="M3394" s="1369"/>
      <c r="N3394" s="1178" t="s">
        <v>20244</v>
      </c>
      <c r="O3394" s="1178">
        <v>6</v>
      </c>
      <c r="P3394" s="1178">
        <v>12.5</v>
      </c>
    </row>
    <row r="3395" spans="1:16">
      <c r="A3395" s="1178" t="s">
        <v>340</v>
      </c>
      <c r="B3395" s="1371" t="str">
        <f>HYPERLINK(IFERROR("#Main_Tariff!A"&amp;MATCH(Raeburn_Main_Tariff[[#This Row],[Product Code]],Main_Tariff!I:I,0),"#Main_Tariff!A"&amp;MATCH("*"&amp;RIGHT(A3395,8)&amp;"*",Main_Tariff!A:A,0)),Raeburn_Main_Tariff[[#This Row],[PRODUCER]])</f>
        <v>Roc d'Anglade</v>
      </c>
      <c r="C3395" s="1178" t="s">
        <v>21681</v>
      </c>
      <c r="D3395" s="1178" t="s">
        <v>897</v>
      </c>
      <c r="E3395" s="1179" t="s">
        <v>21665</v>
      </c>
      <c r="F3395" s="1282" t="s">
        <v>20240</v>
      </c>
      <c r="G3395" s="1368">
        <v>113</v>
      </c>
      <c r="H3395" s="1178" t="s">
        <v>20224</v>
      </c>
      <c r="I3395" s="1178" t="s">
        <v>10365</v>
      </c>
      <c r="J3395" s="1178" t="s">
        <v>662</v>
      </c>
      <c r="K3395" s="1178" t="s">
        <v>331</v>
      </c>
      <c r="L3395" s="1178" t="s">
        <v>336</v>
      </c>
      <c r="M3395" s="1369"/>
      <c r="N3395" s="1178" t="s">
        <v>20244</v>
      </c>
      <c r="O3395" s="1178">
        <v>6</v>
      </c>
      <c r="P3395" s="1178">
        <v>12.5</v>
      </c>
    </row>
    <row r="3396" spans="1:16">
      <c r="A3396" s="1178" t="s">
        <v>340</v>
      </c>
      <c r="B3396" s="1371" t="str">
        <f>HYPERLINK(IFERROR("#Main_Tariff!A"&amp;MATCH(Raeburn_Main_Tariff[[#This Row],[Product Code]],Main_Tariff!I:I,0),"#Main_Tariff!A"&amp;MATCH("*"&amp;RIGHT(A3396,8)&amp;"*",Main_Tariff!A:A,0)),Raeburn_Main_Tariff[[#This Row],[PRODUCER]])</f>
        <v>Roc d'Anglade</v>
      </c>
      <c r="C3396" s="1178" t="s">
        <v>21682</v>
      </c>
      <c r="D3396" s="1178" t="s">
        <v>897</v>
      </c>
      <c r="E3396" s="1179" t="s">
        <v>21665</v>
      </c>
      <c r="F3396" s="1282" t="s">
        <v>20240</v>
      </c>
      <c r="G3396" s="1368">
        <v>115</v>
      </c>
      <c r="H3396" s="1178" t="s">
        <v>20224</v>
      </c>
      <c r="I3396" s="1178" t="s">
        <v>10366</v>
      </c>
      <c r="J3396" s="1178" t="s">
        <v>662</v>
      </c>
      <c r="K3396" s="1178" t="s">
        <v>331</v>
      </c>
      <c r="L3396" s="1178" t="s">
        <v>336</v>
      </c>
      <c r="M3396" s="1369"/>
      <c r="N3396" s="1178" t="s">
        <v>20244</v>
      </c>
      <c r="O3396" s="1178">
        <v>6</v>
      </c>
      <c r="P3396" s="1178">
        <v>13</v>
      </c>
    </row>
    <row r="3397" spans="1:16">
      <c r="A3397" s="1178" t="s">
        <v>340</v>
      </c>
      <c r="B3397" s="1371" t="str">
        <f>HYPERLINK(IFERROR("#Main_Tariff!A"&amp;MATCH(Raeburn_Main_Tariff[[#This Row],[Product Code]],Main_Tariff!I:I,0),"#Main_Tariff!A"&amp;MATCH("*"&amp;RIGHT(A3397,8)&amp;"*",Main_Tariff!A:A,0)),Raeburn_Main_Tariff[[#This Row],[PRODUCER]])</f>
        <v>Roc d'Anglade</v>
      </c>
      <c r="C3397" s="1178" t="s">
        <v>21683</v>
      </c>
      <c r="D3397" s="1178" t="s">
        <v>897</v>
      </c>
      <c r="E3397" s="1179" t="s">
        <v>21665</v>
      </c>
      <c r="F3397" s="1282" t="s">
        <v>20240</v>
      </c>
      <c r="G3397" s="1368">
        <v>119</v>
      </c>
      <c r="H3397" s="1178" t="s">
        <v>20224</v>
      </c>
      <c r="I3397" s="1178" t="s">
        <v>10367</v>
      </c>
      <c r="J3397" s="1178" t="s">
        <v>662</v>
      </c>
      <c r="K3397" s="1178" t="s">
        <v>331</v>
      </c>
      <c r="L3397" s="1178" t="s">
        <v>336</v>
      </c>
      <c r="M3397" s="1369"/>
      <c r="N3397" s="1178"/>
      <c r="O3397" s="1178">
        <v>6</v>
      </c>
      <c r="P3397" s="1178">
        <v>13</v>
      </c>
    </row>
    <row r="3398" spans="1:16">
      <c r="A3398" s="1178" t="s">
        <v>340</v>
      </c>
      <c r="B3398" s="1371" t="str">
        <f>HYPERLINK(IFERROR("#Main_Tariff!A"&amp;MATCH(Raeburn_Main_Tariff[[#This Row],[Product Code]],Main_Tariff!I:I,0),"#Main_Tariff!A"&amp;MATCH("*"&amp;RIGHT(A3398,8)&amp;"*",Main_Tariff!A:A,0)),Raeburn_Main_Tariff[[#This Row],[PRODUCER]])</f>
        <v>Roc d'Anglade</v>
      </c>
      <c r="C3398" s="1178" t="s">
        <v>21684</v>
      </c>
      <c r="D3398" s="1178" t="s">
        <v>897</v>
      </c>
      <c r="E3398" s="1179" t="s">
        <v>21665</v>
      </c>
      <c r="F3398" s="1282" t="s">
        <v>20240</v>
      </c>
      <c r="G3398" s="1368">
        <v>121</v>
      </c>
      <c r="H3398" s="1178" t="s">
        <v>20277</v>
      </c>
      <c r="I3398" s="1178" t="s">
        <v>10368</v>
      </c>
      <c r="J3398" s="1178" t="s">
        <v>662</v>
      </c>
      <c r="K3398" s="1178" t="s">
        <v>331</v>
      </c>
      <c r="L3398" s="1178" t="s">
        <v>336</v>
      </c>
      <c r="M3398" s="1369"/>
      <c r="N3398" s="1178"/>
      <c r="O3398" s="1178">
        <v>6</v>
      </c>
      <c r="P3398" s="1178">
        <v>15</v>
      </c>
    </row>
    <row r="3399" spans="1:16">
      <c r="A3399" s="1178" t="s">
        <v>21685</v>
      </c>
      <c r="B3399" s="1371" t="str">
        <f>HYPERLINK(IFERROR("#Main_Tariff!A"&amp;MATCH(Raeburn_Main_Tariff[[#This Row],[Product Code]],Main_Tariff!I:I,0),"#Main_Tariff!A"&amp;MATCH("*"&amp;RIGHT(A3399,8)&amp;"*",Main_Tariff!A:A,0)),Raeburn_Main_Tariff[[#This Row],[PRODUCER]])</f>
        <v>Domaine Ray-Jane</v>
      </c>
      <c r="C3399" s="1178" t="s">
        <v>21686</v>
      </c>
      <c r="D3399" s="1178" t="s">
        <v>1129</v>
      </c>
      <c r="E3399" s="1179">
        <v>2022</v>
      </c>
      <c r="F3399" s="1282" t="s">
        <v>20220</v>
      </c>
      <c r="G3399" s="1368">
        <v>15</v>
      </c>
      <c r="H3399" s="1178" t="s">
        <v>20221</v>
      </c>
      <c r="I3399" s="1178" t="s">
        <v>10373</v>
      </c>
      <c r="J3399" s="1178" t="s">
        <v>662</v>
      </c>
      <c r="K3399" s="1178" t="s">
        <v>331</v>
      </c>
      <c r="L3399" s="1178" t="s">
        <v>341</v>
      </c>
      <c r="M3399" s="1369"/>
      <c r="N3399" s="1178" t="s">
        <v>20244</v>
      </c>
      <c r="O3399" s="1178">
        <v>6</v>
      </c>
      <c r="P3399" s="1178">
        <v>12.5</v>
      </c>
    </row>
    <row r="3400" spans="1:16">
      <c r="A3400" s="1178" t="s">
        <v>21685</v>
      </c>
      <c r="B3400" s="1371" t="str">
        <f>HYPERLINK(IFERROR("#Main_Tariff!A"&amp;MATCH(Raeburn_Main_Tariff[[#This Row],[Product Code]],Main_Tariff!I:I,0),"#Main_Tariff!A"&amp;MATCH("*"&amp;RIGHT(A3400,8)&amp;"*",Main_Tariff!A:A,0)),Raeburn_Main_Tariff[[#This Row],[PRODUCER]])</f>
        <v>Domaine Ray-Jane</v>
      </c>
      <c r="C3400" s="1178" t="s">
        <v>21687</v>
      </c>
      <c r="D3400" s="1178" t="s">
        <v>1129</v>
      </c>
      <c r="E3400" s="1179">
        <v>2023</v>
      </c>
      <c r="F3400" s="1282" t="s">
        <v>20220</v>
      </c>
      <c r="G3400" s="1368">
        <v>20.75</v>
      </c>
      <c r="H3400" s="1178" t="s">
        <v>20221</v>
      </c>
      <c r="I3400" s="1178" t="s">
        <v>10375</v>
      </c>
      <c r="J3400" s="1178" t="s">
        <v>662</v>
      </c>
      <c r="K3400" s="1178" t="s">
        <v>331</v>
      </c>
      <c r="L3400" s="1178" t="s">
        <v>341</v>
      </c>
      <c r="M3400" s="1369"/>
      <c r="N3400" s="1178" t="s">
        <v>20244</v>
      </c>
      <c r="O3400" s="1178">
        <v>6</v>
      </c>
      <c r="P3400" s="1178">
        <v>12.5</v>
      </c>
    </row>
    <row r="3401" spans="1:16">
      <c r="A3401" s="1178" t="s">
        <v>21685</v>
      </c>
      <c r="B3401" s="1371" t="str">
        <f>HYPERLINK(IFERROR("#Main_Tariff!A"&amp;MATCH(Raeburn_Main_Tariff[[#This Row],[Product Code]],Main_Tariff!I:I,0),"#Main_Tariff!A"&amp;MATCH("*"&amp;RIGHT(A3401,8)&amp;"*",Main_Tariff!A:A,0)),Raeburn_Main_Tariff[[#This Row],[PRODUCER]])</f>
        <v>Domaine Ray-Jane</v>
      </c>
      <c r="C3401" s="1178" t="s">
        <v>21687</v>
      </c>
      <c r="D3401" s="1178" t="s">
        <v>1129</v>
      </c>
      <c r="E3401" s="1179">
        <v>2022</v>
      </c>
      <c r="F3401" s="1282" t="s">
        <v>20220</v>
      </c>
      <c r="G3401" s="1368">
        <v>19.75</v>
      </c>
      <c r="H3401" s="1178" t="s">
        <v>20221</v>
      </c>
      <c r="I3401" s="1178" t="s">
        <v>10377</v>
      </c>
      <c r="J3401" s="1178" t="s">
        <v>662</v>
      </c>
      <c r="K3401" s="1178" t="s">
        <v>331</v>
      </c>
      <c r="L3401" s="1178" t="s">
        <v>341</v>
      </c>
      <c r="M3401" s="1369"/>
      <c r="N3401" s="1178" t="s">
        <v>20244</v>
      </c>
      <c r="O3401" s="1178">
        <v>6</v>
      </c>
      <c r="P3401" s="1178">
        <v>13</v>
      </c>
    </row>
    <row r="3402" spans="1:16">
      <c r="A3402" s="1178" t="s">
        <v>21685</v>
      </c>
      <c r="B3402" s="1371" t="str">
        <f>HYPERLINK(IFERROR("#Main_Tariff!A"&amp;MATCH(Raeburn_Main_Tariff[[#This Row],[Product Code]],Main_Tariff!I:I,0),"#Main_Tariff!A"&amp;MATCH("*"&amp;RIGHT(A3402,8)&amp;"*",Main_Tariff!A:A,0)),Raeburn_Main_Tariff[[#This Row],[PRODUCER]])</f>
        <v>Domaine Ray-Jane</v>
      </c>
      <c r="C3402" s="1178" t="s">
        <v>21688</v>
      </c>
      <c r="D3402" s="1178" t="s">
        <v>2573</v>
      </c>
      <c r="E3402" s="1179">
        <v>2023</v>
      </c>
      <c r="F3402" s="1282" t="s">
        <v>20220</v>
      </c>
      <c r="G3402" s="1368">
        <v>18.5</v>
      </c>
      <c r="H3402" s="1178" t="s">
        <v>20221</v>
      </c>
      <c r="I3402" s="1178" t="s">
        <v>10380</v>
      </c>
      <c r="J3402" s="1178" t="s">
        <v>662</v>
      </c>
      <c r="K3402" s="1178" t="s">
        <v>331</v>
      </c>
      <c r="L3402" s="1178" t="s">
        <v>341</v>
      </c>
      <c r="M3402" s="1369"/>
      <c r="N3402" s="1178" t="s">
        <v>20244</v>
      </c>
      <c r="O3402" s="1178">
        <v>6</v>
      </c>
      <c r="P3402" s="1178">
        <v>12.5</v>
      </c>
    </row>
    <row r="3403" spans="1:16">
      <c r="A3403" s="1178" t="s">
        <v>21685</v>
      </c>
      <c r="B3403" s="1371" t="str">
        <f>HYPERLINK(IFERROR("#Main_Tariff!A"&amp;MATCH(Raeburn_Main_Tariff[[#This Row],[Product Code]],Main_Tariff!I:I,0),"#Main_Tariff!A"&amp;MATCH("*"&amp;RIGHT(A3403,8)&amp;"*",Main_Tariff!A:A,0)),Raeburn_Main_Tariff[[#This Row],[PRODUCER]])</f>
        <v>Domaine Ray-Jane</v>
      </c>
      <c r="C3403" s="1178" t="s">
        <v>21689</v>
      </c>
      <c r="D3403" s="1178" t="s">
        <v>2573</v>
      </c>
      <c r="E3403" s="1179">
        <v>2015</v>
      </c>
      <c r="F3403" s="1282" t="s">
        <v>20288</v>
      </c>
      <c r="G3403" s="1368">
        <v>79.5</v>
      </c>
      <c r="H3403" s="1178" t="s">
        <v>20224</v>
      </c>
      <c r="I3403" s="1178" t="s">
        <v>10382</v>
      </c>
      <c r="J3403" s="1178" t="s">
        <v>662</v>
      </c>
      <c r="K3403" s="1178" t="s">
        <v>331</v>
      </c>
      <c r="L3403" s="1178" t="s">
        <v>341</v>
      </c>
      <c r="M3403" s="1369"/>
      <c r="N3403" s="1178"/>
      <c r="O3403" s="1178">
        <v>1</v>
      </c>
      <c r="P3403" s="1178">
        <v>13.5</v>
      </c>
    </row>
    <row r="3404" spans="1:16">
      <c r="A3404" s="1178" t="s">
        <v>21685</v>
      </c>
      <c r="B3404" s="1371" t="str">
        <f>HYPERLINK(IFERROR("#Main_Tariff!A"&amp;MATCH(Raeburn_Main_Tariff[[#This Row],[Product Code]],Main_Tariff!I:I,0),"#Main_Tariff!A"&amp;MATCH("*"&amp;RIGHT(A3404,8)&amp;"*",Main_Tariff!A:A,0)),Raeburn_Main_Tariff[[#This Row],[PRODUCER]])</f>
        <v>Domaine Ray-Jane</v>
      </c>
      <c r="C3404" s="1178" t="s">
        <v>21690</v>
      </c>
      <c r="D3404" s="1178" t="s">
        <v>897</v>
      </c>
      <c r="E3404" s="1179"/>
      <c r="F3404" s="1282" t="s">
        <v>20220</v>
      </c>
      <c r="G3404" s="1368"/>
      <c r="H3404" s="1178" t="s">
        <v>3907</v>
      </c>
      <c r="I3404" s="1178" t="s">
        <v>10384</v>
      </c>
      <c r="J3404" s="1178" t="s">
        <v>662</v>
      </c>
      <c r="K3404" s="1178" t="s">
        <v>331</v>
      </c>
      <c r="L3404" s="1178" t="s">
        <v>341</v>
      </c>
      <c r="M3404" s="1369"/>
      <c r="N3404" s="1178" t="s">
        <v>20244</v>
      </c>
      <c r="O3404" s="1178">
        <v>6</v>
      </c>
      <c r="P3404" s="1178">
        <v>13.5</v>
      </c>
    </row>
    <row r="3405" spans="1:16">
      <c r="A3405" s="1178" t="s">
        <v>21685</v>
      </c>
      <c r="B3405" s="1371" t="str">
        <f>HYPERLINK(IFERROR("#Main_Tariff!A"&amp;MATCH(Raeburn_Main_Tariff[[#This Row],[Product Code]],Main_Tariff!I:I,0),"#Main_Tariff!A"&amp;MATCH("*"&amp;RIGHT(A3405,8)&amp;"*",Main_Tariff!A:A,0)),Raeburn_Main_Tariff[[#This Row],[PRODUCER]])</f>
        <v>Domaine Ray-Jane</v>
      </c>
      <c r="C3405" s="1178" t="s">
        <v>21691</v>
      </c>
      <c r="D3405" s="1178" t="s">
        <v>897</v>
      </c>
      <c r="E3405" s="1179">
        <v>2019</v>
      </c>
      <c r="F3405" s="1282" t="s">
        <v>20220</v>
      </c>
      <c r="G3405" s="1368">
        <v>22</v>
      </c>
      <c r="H3405" s="1178" t="s">
        <v>20221</v>
      </c>
      <c r="I3405" s="1178" t="s">
        <v>10385</v>
      </c>
      <c r="J3405" s="1178" t="s">
        <v>662</v>
      </c>
      <c r="K3405" s="1178" t="s">
        <v>331</v>
      </c>
      <c r="L3405" s="1178" t="s">
        <v>341</v>
      </c>
      <c r="M3405" s="1369"/>
      <c r="N3405" s="1178" t="s">
        <v>20244</v>
      </c>
      <c r="O3405" s="1178">
        <v>6</v>
      </c>
      <c r="P3405" s="1178">
        <v>13.5</v>
      </c>
    </row>
    <row r="3406" spans="1:16">
      <c r="A3406" s="1178" t="s">
        <v>21685</v>
      </c>
      <c r="B3406" s="1371" t="str">
        <f>HYPERLINK(IFERROR("#Main_Tariff!A"&amp;MATCH(Raeburn_Main_Tariff[[#This Row],[Product Code]],Main_Tariff!I:I,0),"#Main_Tariff!A"&amp;MATCH("*"&amp;RIGHT(A3406,8)&amp;"*",Main_Tariff!A:A,0)),Raeburn_Main_Tariff[[#This Row],[PRODUCER]])</f>
        <v>Domaine Ray-Jane</v>
      </c>
      <c r="C3406" s="1178" t="s">
        <v>21691</v>
      </c>
      <c r="D3406" s="1178" t="s">
        <v>897</v>
      </c>
      <c r="E3406" s="1179">
        <v>2016</v>
      </c>
      <c r="F3406" s="1282" t="s">
        <v>20220</v>
      </c>
      <c r="G3406" s="1368">
        <v>23.5</v>
      </c>
      <c r="H3406" s="1178" t="s">
        <v>20221</v>
      </c>
      <c r="I3406" s="1178" t="s">
        <v>10387</v>
      </c>
      <c r="J3406" s="1178" t="s">
        <v>662</v>
      </c>
      <c r="K3406" s="1178" t="s">
        <v>331</v>
      </c>
      <c r="L3406" s="1178" t="s">
        <v>341</v>
      </c>
      <c r="M3406" s="1369"/>
      <c r="N3406" s="1178" t="s">
        <v>20244</v>
      </c>
      <c r="O3406" s="1178">
        <v>6</v>
      </c>
      <c r="P3406" s="1178">
        <v>14</v>
      </c>
    </row>
    <row r="3407" spans="1:16">
      <c r="A3407" s="1178" t="s">
        <v>21685</v>
      </c>
      <c r="B3407" s="1371" t="str">
        <f>HYPERLINK(IFERROR("#Main_Tariff!A"&amp;MATCH(Raeburn_Main_Tariff[[#This Row],[Product Code]],Main_Tariff!I:I,0),"#Main_Tariff!A"&amp;MATCH("*"&amp;RIGHT(A3407,8)&amp;"*",Main_Tariff!A:A,0)),Raeburn_Main_Tariff[[#This Row],[PRODUCER]])</f>
        <v>Domaine Ray-Jane</v>
      </c>
      <c r="C3407" s="1178" t="s">
        <v>21691</v>
      </c>
      <c r="D3407" s="1178" t="s">
        <v>897</v>
      </c>
      <c r="E3407" s="1179">
        <v>2015</v>
      </c>
      <c r="F3407" s="1282" t="s">
        <v>20220</v>
      </c>
      <c r="G3407" s="1368">
        <v>24</v>
      </c>
      <c r="H3407" s="1178" t="s">
        <v>20221</v>
      </c>
      <c r="I3407" s="1178" t="s">
        <v>10389</v>
      </c>
      <c r="J3407" s="1178" t="s">
        <v>662</v>
      </c>
      <c r="K3407" s="1178" t="s">
        <v>331</v>
      </c>
      <c r="L3407" s="1178" t="s">
        <v>341</v>
      </c>
      <c r="M3407" s="1369"/>
      <c r="N3407" s="1178" t="s">
        <v>20244</v>
      </c>
      <c r="O3407" s="1178">
        <v>6</v>
      </c>
      <c r="P3407" s="1178">
        <v>13.5</v>
      </c>
    </row>
    <row r="3408" spans="1:16">
      <c r="A3408" s="1178" t="s">
        <v>21685</v>
      </c>
      <c r="B3408" s="1371" t="str">
        <f>HYPERLINK(IFERROR("#Main_Tariff!A"&amp;MATCH(Raeburn_Main_Tariff[[#This Row],[Product Code]],Main_Tariff!I:I,0),"#Main_Tariff!A"&amp;MATCH("*"&amp;RIGHT(A3408,8)&amp;"*",Main_Tariff!A:A,0)),Raeburn_Main_Tariff[[#This Row],[PRODUCER]])</f>
        <v>Domaine Ray-Jane</v>
      </c>
      <c r="C3408" s="1178" t="s">
        <v>21691</v>
      </c>
      <c r="D3408" s="1178" t="s">
        <v>897</v>
      </c>
      <c r="E3408" s="1179">
        <v>2013</v>
      </c>
      <c r="F3408" s="1282" t="s">
        <v>20220</v>
      </c>
      <c r="G3408" s="1368">
        <v>25.5</v>
      </c>
      <c r="H3408" s="1178" t="s">
        <v>20221</v>
      </c>
      <c r="I3408" s="1178" t="s">
        <v>10391</v>
      </c>
      <c r="J3408" s="1178" t="s">
        <v>662</v>
      </c>
      <c r="K3408" s="1178" t="s">
        <v>331</v>
      </c>
      <c r="L3408" s="1178" t="s">
        <v>341</v>
      </c>
      <c r="M3408" s="1369"/>
      <c r="N3408" s="1178" t="s">
        <v>20244</v>
      </c>
      <c r="O3408" s="1178">
        <v>6</v>
      </c>
      <c r="P3408" s="1178">
        <v>13.5</v>
      </c>
    </row>
    <row r="3409" spans="1:16">
      <c r="A3409" s="1178" t="s">
        <v>21685</v>
      </c>
      <c r="B3409" s="1371" t="str">
        <f>HYPERLINK(IFERROR("#Main_Tariff!A"&amp;MATCH(Raeburn_Main_Tariff[[#This Row],[Product Code]],Main_Tariff!I:I,0),"#Main_Tariff!A"&amp;MATCH("*"&amp;RIGHT(A3409,8)&amp;"*",Main_Tariff!A:A,0)),Raeburn_Main_Tariff[[#This Row],[PRODUCER]])</f>
        <v>Domaine Ray-Jane</v>
      </c>
      <c r="C3409" s="1178" t="s">
        <v>21692</v>
      </c>
      <c r="D3409" s="1178" t="s">
        <v>897</v>
      </c>
      <c r="E3409" s="1179">
        <v>2015</v>
      </c>
      <c r="F3409" s="1282" t="s">
        <v>20220</v>
      </c>
      <c r="G3409" s="1368">
        <v>33.5</v>
      </c>
      <c r="H3409" s="1178" t="s">
        <v>20221</v>
      </c>
      <c r="I3409" s="1178" t="s">
        <v>10393</v>
      </c>
      <c r="J3409" s="1178" t="s">
        <v>662</v>
      </c>
      <c r="K3409" s="1178" t="s">
        <v>331</v>
      </c>
      <c r="L3409" s="1178" t="s">
        <v>341</v>
      </c>
      <c r="M3409" s="1369"/>
      <c r="N3409" s="1178" t="s">
        <v>20244</v>
      </c>
      <c r="O3409" s="1178">
        <v>6</v>
      </c>
      <c r="P3409" s="1178">
        <v>13.5</v>
      </c>
    </row>
    <row r="3410" spans="1:16">
      <c r="A3410" s="1178" t="s">
        <v>21685</v>
      </c>
      <c r="B3410" s="1371" t="str">
        <f>HYPERLINK(IFERROR("#Main_Tariff!A"&amp;MATCH(Raeburn_Main_Tariff[[#This Row],[Product Code]],Main_Tariff!I:I,0),"#Main_Tariff!A"&amp;MATCH("*"&amp;RIGHT(A3410,8)&amp;"*",Main_Tariff!A:A,0)),Raeburn_Main_Tariff[[#This Row],[PRODUCER]])</f>
        <v>Domaine Ray-Jane</v>
      </c>
      <c r="C3410" s="1178" t="s">
        <v>21692</v>
      </c>
      <c r="D3410" s="1178" t="s">
        <v>897</v>
      </c>
      <c r="E3410" s="1179">
        <v>2013</v>
      </c>
      <c r="F3410" s="1282" t="s">
        <v>20220</v>
      </c>
      <c r="G3410" s="1368">
        <v>36.5</v>
      </c>
      <c r="H3410" s="1178" t="s">
        <v>20277</v>
      </c>
      <c r="I3410" s="1178" t="s">
        <v>10395</v>
      </c>
      <c r="J3410" s="1178" t="s">
        <v>662</v>
      </c>
      <c r="K3410" s="1178" t="s">
        <v>331</v>
      </c>
      <c r="L3410" s="1178" t="s">
        <v>341</v>
      </c>
      <c r="M3410" s="1369"/>
      <c r="N3410" s="1178" t="s">
        <v>20244</v>
      </c>
      <c r="O3410" s="1178">
        <v>6</v>
      </c>
      <c r="P3410" s="1178">
        <v>13.5</v>
      </c>
    </row>
    <row r="3411" spans="1:16">
      <c r="A3411" s="1178" t="s">
        <v>21685</v>
      </c>
      <c r="B3411" s="1371" t="str">
        <f>HYPERLINK(IFERROR("#Main_Tariff!A"&amp;MATCH(Raeburn_Main_Tariff[[#This Row],[Product Code]],Main_Tariff!I:I,0),"#Main_Tariff!A"&amp;MATCH("*"&amp;RIGHT(A3411,8)&amp;"*",Main_Tariff!A:A,0)),Raeburn_Main_Tariff[[#This Row],[PRODUCER]])</f>
        <v>Domaine Ray-Jane</v>
      </c>
      <c r="C3411" s="1178" t="s">
        <v>21693</v>
      </c>
      <c r="D3411" s="1178" t="s">
        <v>897</v>
      </c>
      <c r="E3411" s="1179">
        <v>2001</v>
      </c>
      <c r="F3411" s="1282" t="s">
        <v>20240</v>
      </c>
      <c r="G3411" s="1368">
        <v>85</v>
      </c>
      <c r="H3411" s="1178" t="s">
        <v>20224</v>
      </c>
      <c r="I3411" s="1178" t="s">
        <v>10397</v>
      </c>
      <c r="J3411" s="1178" t="s">
        <v>662</v>
      </c>
      <c r="K3411" s="1178" t="s">
        <v>331</v>
      </c>
      <c r="L3411" s="1178" t="s">
        <v>341</v>
      </c>
      <c r="M3411" s="1369"/>
      <c r="N3411" s="1178"/>
      <c r="O3411" s="1178">
        <v>6</v>
      </c>
      <c r="P3411" s="1178">
        <v>14</v>
      </c>
    </row>
    <row r="3412" spans="1:16">
      <c r="A3412" s="1178" t="s">
        <v>21476</v>
      </c>
      <c r="B3412" s="1371" t="str">
        <f>HYPERLINK(IFERROR("#Main_Tariff!A"&amp;MATCH(Raeburn_Main_Tariff[[#This Row],[Product Code]],Main_Tariff!I:I,0),"#Main_Tariff!A"&amp;MATCH("*"&amp;RIGHT(A3412,8)&amp;"*",Main_Tariff!A:A,0)),Raeburn_Main_Tariff[[#This Row],[PRODUCER]])</f>
        <v>Famille Tardieu</v>
      </c>
      <c r="C3412" s="1178" t="s">
        <v>21694</v>
      </c>
      <c r="D3412" s="1178" t="s">
        <v>897</v>
      </c>
      <c r="E3412" s="1179">
        <v>2023</v>
      </c>
      <c r="F3412" s="1282" t="s">
        <v>20220</v>
      </c>
      <c r="G3412" s="1368" t="s">
        <v>20342</v>
      </c>
      <c r="H3412" s="1178" t="s">
        <v>20343</v>
      </c>
      <c r="I3412" s="1178" t="s">
        <v>10414</v>
      </c>
      <c r="J3412" s="1178" t="s">
        <v>662</v>
      </c>
      <c r="K3412" s="1178" t="s">
        <v>331</v>
      </c>
      <c r="L3412" s="1178" t="s">
        <v>341</v>
      </c>
      <c r="M3412" s="1369"/>
      <c r="N3412" s="1178"/>
      <c r="O3412" s="1178">
        <v>6</v>
      </c>
      <c r="P3412" s="1178">
        <v>14</v>
      </c>
    </row>
    <row r="3413" spans="1:16">
      <c r="A3413" s="1178" t="s">
        <v>21695</v>
      </c>
      <c r="B3413" s="1371" t="str">
        <f>HYPERLINK(IFERROR("#Main_Tariff!A"&amp;MATCH(Raeburn_Main_Tariff[[#This Row],[Product Code]],Main_Tariff!I:I,0),"#Main_Tariff!A"&amp;MATCH("*"&amp;RIGHT(A3413,8)&amp;"*",Main_Tariff!A:A,0)),Raeburn_Main_Tariff[[#This Row],[PRODUCER]])</f>
        <v>Domaine Tempier</v>
      </c>
      <c r="C3413" s="1178" t="s">
        <v>21687</v>
      </c>
      <c r="D3413" s="1178" t="s">
        <v>1129</v>
      </c>
      <c r="E3413" s="1179">
        <v>2023</v>
      </c>
      <c r="F3413" s="1282" t="s">
        <v>20220</v>
      </c>
      <c r="G3413" s="1368">
        <v>26.75</v>
      </c>
      <c r="H3413" s="1178" t="s">
        <v>20221</v>
      </c>
      <c r="I3413" s="1178" t="s">
        <v>10422</v>
      </c>
      <c r="J3413" s="1178" t="s">
        <v>662</v>
      </c>
      <c r="K3413" s="1178" t="s">
        <v>331</v>
      </c>
      <c r="L3413" s="1178" t="s">
        <v>341</v>
      </c>
      <c r="M3413" s="1369"/>
      <c r="N3413" s="1178"/>
      <c r="O3413" s="1178">
        <v>12</v>
      </c>
      <c r="P3413" s="1178">
        <v>12.5</v>
      </c>
    </row>
    <row r="3414" spans="1:16">
      <c r="A3414" s="1178" t="s">
        <v>21695</v>
      </c>
      <c r="B3414" s="1371" t="str">
        <f>HYPERLINK(IFERROR("#Main_Tariff!A"&amp;MATCH(Raeburn_Main_Tariff[[#This Row],[Product Code]],Main_Tariff!I:I,0),"#Main_Tariff!A"&amp;MATCH("*"&amp;RIGHT(A3414,8)&amp;"*",Main_Tariff!A:A,0)),Raeburn_Main_Tariff[[#This Row],[PRODUCER]])</f>
        <v>Domaine Tempier</v>
      </c>
      <c r="C3414" s="1178" t="s">
        <v>21688</v>
      </c>
      <c r="D3414" s="1178" t="s">
        <v>2573</v>
      </c>
      <c r="E3414" s="1179">
        <v>2024</v>
      </c>
      <c r="F3414" s="1282" t="s">
        <v>20220</v>
      </c>
      <c r="G3414" s="1368">
        <v>24</v>
      </c>
      <c r="H3414" s="1178" t="s">
        <v>20277</v>
      </c>
      <c r="I3414" s="1178" t="s">
        <v>10425</v>
      </c>
      <c r="J3414" s="1178" t="s">
        <v>662</v>
      </c>
      <c r="K3414" s="1178" t="s">
        <v>331</v>
      </c>
      <c r="L3414" s="1178" t="s">
        <v>341</v>
      </c>
      <c r="M3414" s="1369"/>
      <c r="N3414" s="1178"/>
      <c r="O3414" s="1178">
        <v>12</v>
      </c>
      <c r="P3414" s="1178">
        <v>13</v>
      </c>
    </row>
    <row r="3415" spans="1:16">
      <c r="A3415" s="1178" t="s">
        <v>21695</v>
      </c>
      <c r="B3415" s="1371" t="str">
        <f>HYPERLINK(IFERROR("#Main_Tariff!A"&amp;MATCH(Raeburn_Main_Tariff[[#This Row],[Product Code]],Main_Tariff!I:I,0),"#Main_Tariff!A"&amp;MATCH("*"&amp;RIGHT(A3415,8)&amp;"*",Main_Tariff!A:A,0)),Raeburn_Main_Tariff[[#This Row],[PRODUCER]])</f>
        <v>Domaine Tempier</v>
      </c>
      <c r="C3415" s="1178" t="s">
        <v>21696</v>
      </c>
      <c r="D3415" s="1178" t="s">
        <v>897</v>
      </c>
      <c r="E3415" s="1179">
        <v>2016</v>
      </c>
      <c r="F3415" s="1282" t="s">
        <v>20280</v>
      </c>
      <c r="G3415" s="1368">
        <v>15.5</v>
      </c>
      <c r="H3415" s="1178" t="s">
        <v>20277</v>
      </c>
      <c r="I3415" s="1178" t="s">
        <v>10429</v>
      </c>
      <c r="J3415" s="1178" t="s">
        <v>662</v>
      </c>
      <c r="K3415" s="1178" t="s">
        <v>331</v>
      </c>
      <c r="L3415" s="1178" t="s">
        <v>341</v>
      </c>
      <c r="M3415" s="1369"/>
      <c r="N3415" s="1178"/>
      <c r="O3415" s="1178">
        <v>12</v>
      </c>
      <c r="P3415" s="1178">
        <v>14.5</v>
      </c>
    </row>
    <row r="3416" spans="1:16">
      <c r="A3416" s="1178" t="s">
        <v>21695</v>
      </c>
      <c r="B3416" s="1371" t="str">
        <f>HYPERLINK(IFERROR("#Main_Tariff!A"&amp;MATCH(Raeburn_Main_Tariff[[#This Row],[Product Code]],Main_Tariff!I:I,0),"#Main_Tariff!A"&amp;MATCH("*"&amp;RIGHT(A3416,8)&amp;"*",Main_Tariff!A:A,0)),Raeburn_Main_Tariff[[#This Row],[PRODUCER]])</f>
        <v>Domaine Tempier</v>
      </c>
      <c r="C3416" s="1178" t="s">
        <v>21697</v>
      </c>
      <c r="D3416" s="1178" t="s">
        <v>897</v>
      </c>
      <c r="E3416" s="1179">
        <v>2022</v>
      </c>
      <c r="F3416" s="1282" t="s">
        <v>20220</v>
      </c>
      <c r="G3416" s="1368">
        <v>31</v>
      </c>
      <c r="H3416" s="1178" t="s">
        <v>20221</v>
      </c>
      <c r="I3416" s="1178" t="s">
        <v>10433</v>
      </c>
      <c r="J3416" s="1178" t="s">
        <v>662</v>
      </c>
      <c r="K3416" s="1178" t="s">
        <v>331</v>
      </c>
      <c r="L3416" s="1178" t="s">
        <v>341</v>
      </c>
      <c r="M3416" s="1369"/>
      <c r="N3416" s="1178"/>
      <c r="O3416" s="1178">
        <v>12</v>
      </c>
      <c r="P3416" s="1178">
        <v>14</v>
      </c>
    </row>
    <row r="3417" spans="1:16">
      <c r="A3417" s="1178" t="s">
        <v>21695</v>
      </c>
      <c r="B3417" s="1371" t="str">
        <f>HYPERLINK(IFERROR("#Main_Tariff!A"&amp;MATCH(Raeburn_Main_Tariff[[#This Row],[Product Code]],Main_Tariff!I:I,0),"#Main_Tariff!A"&amp;MATCH("*"&amp;RIGHT(A3417,8)&amp;"*",Main_Tariff!A:A,0)),Raeburn_Main_Tariff[[#This Row],[PRODUCER]])</f>
        <v>Domaine Tempier</v>
      </c>
      <c r="C3417" s="1178" t="s">
        <v>21697</v>
      </c>
      <c r="D3417" s="1178" t="s">
        <v>897</v>
      </c>
      <c r="E3417" s="1179">
        <v>2021</v>
      </c>
      <c r="F3417" s="1282" t="s">
        <v>20220</v>
      </c>
      <c r="G3417" s="1368">
        <v>31</v>
      </c>
      <c r="H3417" s="1178" t="s">
        <v>20221</v>
      </c>
      <c r="I3417" s="1178" t="s">
        <v>10435</v>
      </c>
      <c r="J3417" s="1178" t="s">
        <v>662</v>
      </c>
      <c r="K3417" s="1178" t="s">
        <v>331</v>
      </c>
      <c r="L3417" s="1178" t="s">
        <v>341</v>
      </c>
      <c r="M3417" s="1369"/>
      <c r="N3417" s="1178"/>
      <c r="O3417" s="1178">
        <v>12</v>
      </c>
      <c r="P3417" s="1178">
        <v>14</v>
      </c>
    </row>
    <row r="3418" spans="1:16">
      <c r="A3418" s="1178" t="s">
        <v>21695</v>
      </c>
      <c r="B3418" s="1371" t="str">
        <f>HYPERLINK(IFERROR("#Main_Tariff!A"&amp;MATCH(Raeburn_Main_Tariff[[#This Row],[Product Code]],Main_Tariff!I:I,0),"#Main_Tariff!A"&amp;MATCH("*"&amp;RIGHT(A3418,8)&amp;"*",Main_Tariff!A:A,0)),Raeburn_Main_Tariff[[#This Row],[PRODUCER]])</f>
        <v>Domaine Tempier</v>
      </c>
      <c r="C3418" s="1178" t="s">
        <v>21697</v>
      </c>
      <c r="D3418" s="1178" t="s">
        <v>897</v>
      </c>
      <c r="E3418" s="1179">
        <v>2020</v>
      </c>
      <c r="F3418" s="1282" t="s">
        <v>20220</v>
      </c>
      <c r="G3418" s="1368">
        <v>29</v>
      </c>
      <c r="H3418" s="1178" t="s">
        <v>20221</v>
      </c>
      <c r="I3418" s="1178" t="s">
        <v>10436</v>
      </c>
      <c r="J3418" s="1178" t="s">
        <v>662</v>
      </c>
      <c r="K3418" s="1178" t="s">
        <v>331</v>
      </c>
      <c r="L3418" s="1178" t="s">
        <v>341</v>
      </c>
      <c r="M3418" s="1369"/>
      <c r="N3418" s="1178"/>
      <c r="O3418" s="1178">
        <v>12</v>
      </c>
      <c r="P3418" s="1178">
        <v>14.5</v>
      </c>
    </row>
    <row r="3419" spans="1:16">
      <c r="A3419" s="1178" t="s">
        <v>21695</v>
      </c>
      <c r="B3419" s="1371" t="str">
        <f>HYPERLINK(IFERROR("#Main_Tariff!A"&amp;MATCH(Raeburn_Main_Tariff[[#This Row],[Product Code]],Main_Tariff!I:I,0),"#Main_Tariff!A"&amp;MATCH("*"&amp;RIGHT(A3419,8)&amp;"*",Main_Tariff!A:A,0)),Raeburn_Main_Tariff[[#This Row],[PRODUCER]])</f>
        <v>Domaine Tempier</v>
      </c>
      <c r="C3419" s="1178" t="s">
        <v>21698</v>
      </c>
      <c r="D3419" s="1178" t="s">
        <v>897</v>
      </c>
      <c r="E3419" s="1179">
        <v>2019</v>
      </c>
      <c r="F3419" s="1282" t="s">
        <v>20220</v>
      </c>
      <c r="G3419" s="1368">
        <v>29</v>
      </c>
      <c r="H3419" s="1178" t="s">
        <v>20221</v>
      </c>
      <c r="I3419" s="1178" t="s">
        <v>10438</v>
      </c>
      <c r="J3419" s="1178" t="s">
        <v>662</v>
      </c>
      <c r="K3419" s="1178" t="s">
        <v>331</v>
      </c>
      <c r="L3419" s="1178" t="s">
        <v>341</v>
      </c>
      <c r="M3419" s="1369"/>
      <c r="N3419" s="1178"/>
      <c r="O3419" s="1178">
        <v>12</v>
      </c>
      <c r="P3419" s="1178">
        <v>14</v>
      </c>
    </row>
    <row r="3420" spans="1:16">
      <c r="A3420" s="1178" t="s">
        <v>21695</v>
      </c>
      <c r="B3420" s="1371" t="str">
        <f>HYPERLINK(IFERROR("#Main_Tariff!A"&amp;MATCH(Raeburn_Main_Tariff[[#This Row],[Product Code]],Main_Tariff!I:I,0),"#Main_Tariff!A"&amp;MATCH("*"&amp;RIGHT(A3420,8)&amp;"*",Main_Tariff!A:A,0)),Raeburn_Main_Tariff[[#This Row],[PRODUCER]])</f>
        <v>Domaine Tempier</v>
      </c>
      <c r="C3420" s="1178" t="s">
        <v>21698</v>
      </c>
      <c r="D3420" s="1178" t="s">
        <v>897</v>
      </c>
      <c r="E3420" s="1179">
        <v>2018</v>
      </c>
      <c r="F3420" s="1282" t="s">
        <v>20220</v>
      </c>
      <c r="G3420" s="1368">
        <v>28</v>
      </c>
      <c r="H3420" s="1178" t="s">
        <v>20221</v>
      </c>
      <c r="I3420" s="1178" t="s">
        <v>10440</v>
      </c>
      <c r="J3420" s="1178" t="s">
        <v>662</v>
      </c>
      <c r="K3420" s="1178" t="s">
        <v>331</v>
      </c>
      <c r="L3420" s="1178" t="s">
        <v>341</v>
      </c>
      <c r="M3420" s="1369"/>
      <c r="N3420" s="1178"/>
      <c r="O3420" s="1178">
        <v>6</v>
      </c>
      <c r="P3420" s="1178">
        <v>14</v>
      </c>
    </row>
    <row r="3421" spans="1:16">
      <c r="A3421" s="1178" t="s">
        <v>21695</v>
      </c>
      <c r="B3421" s="1371" t="str">
        <f>HYPERLINK(IFERROR("#Main_Tariff!A"&amp;MATCH(Raeburn_Main_Tariff[[#This Row],[Product Code]],Main_Tariff!I:I,0),"#Main_Tariff!A"&amp;MATCH("*"&amp;RIGHT(A3421,8)&amp;"*",Main_Tariff!A:A,0)),Raeburn_Main_Tariff[[#This Row],[PRODUCER]])</f>
        <v>Domaine Tempier</v>
      </c>
      <c r="C3421" s="1178" t="s">
        <v>21699</v>
      </c>
      <c r="D3421" s="1178" t="s">
        <v>897</v>
      </c>
      <c r="E3421" s="1179">
        <v>2022</v>
      </c>
      <c r="F3421" s="1282" t="s">
        <v>20220</v>
      </c>
      <c r="G3421" s="1368">
        <v>44</v>
      </c>
      <c r="H3421" s="1178" t="s">
        <v>20221</v>
      </c>
      <c r="I3421" s="1178" t="s">
        <v>10444</v>
      </c>
      <c r="J3421" s="1178" t="s">
        <v>662</v>
      </c>
      <c r="K3421" s="1178" t="s">
        <v>331</v>
      </c>
      <c r="L3421" s="1178" t="s">
        <v>341</v>
      </c>
      <c r="M3421" s="1369"/>
      <c r="N3421" s="1178"/>
      <c r="O3421" s="1178">
        <v>12</v>
      </c>
      <c r="P3421" s="1178">
        <v>14</v>
      </c>
    </row>
    <row r="3422" spans="1:16">
      <c r="A3422" s="1178" t="s">
        <v>21695</v>
      </c>
      <c r="B3422" s="1371" t="str">
        <f>HYPERLINK(IFERROR("#Main_Tariff!A"&amp;MATCH(Raeburn_Main_Tariff[[#This Row],[Product Code]],Main_Tariff!I:I,0),"#Main_Tariff!A"&amp;MATCH("*"&amp;RIGHT(A3422,8)&amp;"*",Main_Tariff!A:A,0)),Raeburn_Main_Tariff[[#This Row],[PRODUCER]])</f>
        <v>Domaine Tempier</v>
      </c>
      <c r="C3422" s="1178" t="s">
        <v>21699</v>
      </c>
      <c r="D3422" s="1178" t="s">
        <v>897</v>
      </c>
      <c r="E3422" s="1179">
        <v>2021</v>
      </c>
      <c r="F3422" s="1282" t="s">
        <v>20220</v>
      </c>
      <c r="G3422" s="1368">
        <v>44</v>
      </c>
      <c r="H3422" s="1178" t="s">
        <v>20221</v>
      </c>
      <c r="I3422" s="1178" t="s">
        <v>10446</v>
      </c>
      <c r="J3422" s="1178" t="s">
        <v>662</v>
      </c>
      <c r="K3422" s="1178" t="s">
        <v>331</v>
      </c>
      <c r="L3422" s="1178" t="s">
        <v>341</v>
      </c>
      <c r="M3422" s="1369"/>
      <c r="N3422" s="1178"/>
      <c r="O3422" s="1178">
        <v>12</v>
      </c>
      <c r="P3422" s="1178">
        <v>14</v>
      </c>
    </row>
    <row r="3423" spans="1:16">
      <c r="A3423" s="1178" t="s">
        <v>21695</v>
      </c>
      <c r="B3423" s="1371" t="str">
        <f>HYPERLINK(IFERROR("#Main_Tariff!A"&amp;MATCH(Raeburn_Main_Tariff[[#This Row],[Product Code]],Main_Tariff!I:I,0),"#Main_Tariff!A"&amp;MATCH("*"&amp;RIGHT(A3423,8)&amp;"*",Main_Tariff!A:A,0)),Raeburn_Main_Tariff[[#This Row],[PRODUCER]])</f>
        <v>Domaine Tempier</v>
      </c>
      <c r="C3423" s="1178" t="s">
        <v>21699</v>
      </c>
      <c r="D3423" s="1178" t="s">
        <v>897</v>
      </c>
      <c r="E3423" s="1179">
        <v>2020</v>
      </c>
      <c r="F3423" s="1282" t="s">
        <v>20220</v>
      </c>
      <c r="G3423" s="1368">
        <v>41</v>
      </c>
      <c r="H3423" s="1178" t="s">
        <v>20221</v>
      </c>
      <c r="I3423" s="1178" t="s">
        <v>10448</v>
      </c>
      <c r="J3423" s="1178" t="s">
        <v>662</v>
      </c>
      <c r="K3423" s="1178" t="s">
        <v>331</v>
      </c>
      <c r="L3423" s="1178" t="s">
        <v>341</v>
      </c>
      <c r="M3423" s="1369"/>
      <c r="N3423" s="1178"/>
      <c r="O3423" s="1178">
        <v>12</v>
      </c>
      <c r="P3423" s="1178">
        <v>14.5</v>
      </c>
    </row>
    <row r="3424" spans="1:16">
      <c r="A3424" s="1178" t="s">
        <v>21695</v>
      </c>
      <c r="B3424" s="1371" t="str">
        <f>HYPERLINK(IFERROR("#Main_Tariff!A"&amp;MATCH(Raeburn_Main_Tariff[[#This Row],[Product Code]],Main_Tariff!I:I,0),"#Main_Tariff!A"&amp;MATCH("*"&amp;RIGHT(A3424,8)&amp;"*",Main_Tariff!A:A,0)),Raeburn_Main_Tariff[[#This Row],[PRODUCER]])</f>
        <v>Domaine Tempier</v>
      </c>
      <c r="C3424" s="1178" t="s">
        <v>21699</v>
      </c>
      <c r="D3424" s="1178" t="s">
        <v>897</v>
      </c>
      <c r="E3424" s="1179">
        <v>2019</v>
      </c>
      <c r="F3424" s="1282" t="s">
        <v>20220</v>
      </c>
      <c r="G3424" s="1368">
        <v>41</v>
      </c>
      <c r="H3424" s="1178" t="s">
        <v>20221</v>
      </c>
      <c r="I3424" s="1178" t="s">
        <v>10450</v>
      </c>
      <c r="J3424" s="1178" t="s">
        <v>662</v>
      </c>
      <c r="K3424" s="1178" t="s">
        <v>331</v>
      </c>
      <c r="L3424" s="1178" t="s">
        <v>341</v>
      </c>
      <c r="M3424" s="1369"/>
      <c r="N3424" s="1178"/>
      <c r="O3424" s="1178">
        <v>12</v>
      </c>
      <c r="P3424" s="1178">
        <v>14.5</v>
      </c>
    </row>
    <row r="3425" spans="1:16">
      <c r="A3425" s="1178" t="s">
        <v>21695</v>
      </c>
      <c r="B3425" s="1371" t="str">
        <f>HYPERLINK(IFERROR("#Main_Tariff!A"&amp;MATCH(Raeburn_Main_Tariff[[#This Row],[Product Code]],Main_Tariff!I:I,0),"#Main_Tariff!A"&amp;MATCH("*"&amp;RIGHT(A3425,8)&amp;"*",Main_Tariff!A:A,0)),Raeburn_Main_Tariff[[#This Row],[PRODUCER]])</f>
        <v>Domaine Tempier</v>
      </c>
      <c r="C3425" s="1178" t="s">
        <v>21700</v>
      </c>
      <c r="D3425" s="1178" t="s">
        <v>897</v>
      </c>
      <c r="E3425" s="1179">
        <v>2017</v>
      </c>
      <c r="F3425" s="1282" t="s">
        <v>20220</v>
      </c>
      <c r="G3425" s="1368">
        <v>42</v>
      </c>
      <c r="H3425" s="1178" t="s">
        <v>20277</v>
      </c>
      <c r="I3425" s="1178" t="s">
        <v>10452</v>
      </c>
      <c r="J3425" s="1178" t="s">
        <v>662</v>
      </c>
      <c r="K3425" s="1178" t="s">
        <v>331</v>
      </c>
      <c r="L3425" s="1178" t="s">
        <v>341</v>
      </c>
      <c r="M3425" s="1369"/>
      <c r="N3425" s="1178"/>
      <c r="O3425" s="1178">
        <v>12</v>
      </c>
      <c r="P3425" s="1178">
        <v>15</v>
      </c>
    </row>
    <row r="3426" spans="1:16">
      <c r="A3426" s="1178" t="s">
        <v>21695</v>
      </c>
      <c r="B3426" s="1371" t="str">
        <f>HYPERLINK(IFERROR("#Main_Tariff!A"&amp;MATCH(Raeburn_Main_Tariff[[#This Row],[Product Code]],Main_Tariff!I:I,0),"#Main_Tariff!A"&amp;MATCH("*"&amp;RIGHT(A3426,8)&amp;"*",Main_Tariff!A:A,0)),Raeburn_Main_Tariff[[#This Row],[PRODUCER]])</f>
        <v>Domaine Tempier</v>
      </c>
      <c r="C3426" s="1178" t="s">
        <v>21701</v>
      </c>
      <c r="D3426" s="1178" t="s">
        <v>897</v>
      </c>
      <c r="E3426" s="1179">
        <v>2022</v>
      </c>
      <c r="F3426" s="1282" t="s">
        <v>20220</v>
      </c>
      <c r="G3426" s="1368">
        <v>44</v>
      </c>
      <c r="H3426" s="1178" t="s">
        <v>20221</v>
      </c>
      <c r="I3426" s="1178" t="s">
        <v>10454</v>
      </c>
      <c r="J3426" s="1178" t="s">
        <v>662</v>
      </c>
      <c r="K3426" s="1178" t="s">
        <v>331</v>
      </c>
      <c r="L3426" s="1178" t="s">
        <v>341</v>
      </c>
      <c r="M3426" s="1369"/>
      <c r="N3426" s="1178"/>
      <c r="O3426" s="1178">
        <v>12</v>
      </c>
      <c r="P3426" s="1178">
        <v>14.5</v>
      </c>
    </row>
    <row r="3427" spans="1:16">
      <c r="A3427" s="1178" t="s">
        <v>21695</v>
      </c>
      <c r="B3427" s="1371" t="str">
        <f>HYPERLINK(IFERROR("#Main_Tariff!A"&amp;MATCH(Raeburn_Main_Tariff[[#This Row],[Product Code]],Main_Tariff!I:I,0),"#Main_Tariff!A"&amp;MATCH("*"&amp;RIGHT(A3427,8)&amp;"*",Main_Tariff!A:A,0)),Raeburn_Main_Tariff[[#This Row],[PRODUCER]])</f>
        <v>Domaine Tempier</v>
      </c>
      <c r="C3427" s="1178" t="s">
        <v>21701</v>
      </c>
      <c r="D3427" s="1178" t="s">
        <v>897</v>
      </c>
      <c r="E3427" s="1179">
        <v>2021</v>
      </c>
      <c r="F3427" s="1282" t="s">
        <v>20220</v>
      </c>
      <c r="G3427" s="1368">
        <v>44</v>
      </c>
      <c r="H3427" s="1178" t="s">
        <v>20221</v>
      </c>
      <c r="I3427" s="1178" t="s">
        <v>10456</v>
      </c>
      <c r="J3427" s="1178" t="s">
        <v>662</v>
      </c>
      <c r="K3427" s="1178" t="s">
        <v>331</v>
      </c>
      <c r="L3427" s="1178" t="s">
        <v>341</v>
      </c>
      <c r="M3427" s="1369"/>
      <c r="N3427" s="1178"/>
      <c r="O3427" s="1178">
        <v>12</v>
      </c>
      <c r="P3427" s="1178">
        <v>14</v>
      </c>
    </row>
    <row r="3428" spans="1:16">
      <c r="A3428" s="1178" t="s">
        <v>21695</v>
      </c>
      <c r="B3428" s="1371" t="str">
        <f>HYPERLINK(IFERROR("#Main_Tariff!A"&amp;MATCH(Raeburn_Main_Tariff[[#This Row],[Product Code]],Main_Tariff!I:I,0),"#Main_Tariff!A"&amp;MATCH("*"&amp;RIGHT(A3428,8)&amp;"*",Main_Tariff!A:A,0)),Raeburn_Main_Tariff[[#This Row],[PRODUCER]])</f>
        <v>Domaine Tempier</v>
      </c>
      <c r="C3428" s="1178" t="s">
        <v>21701</v>
      </c>
      <c r="D3428" s="1178" t="s">
        <v>897</v>
      </c>
      <c r="E3428" s="1179">
        <v>2020</v>
      </c>
      <c r="F3428" s="1282" t="s">
        <v>20220</v>
      </c>
      <c r="G3428" s="1368">
        <v>41</v>
      </c>
      <c r="H3428" s="1178" t="s">
        <v>20221</v>
      </c>
      <c r="I3428" s="1178" t="s">
        <v>10458</v>
      </c>
      <c r="J3428" s="1178" t="s">
        <v>662</v>
      </c>
      <c r="K3428" s="1178" t="s">
        <v>331</v>
      </c>
      <c r="L3428" s="1178" t="s">
        <v>341</v>
      </c>
      <c r="M3428" s="1369"/>
      <c r="N3428" s="1178"/>
      <c r="O3428" s="1178">
        <v>12</v>
      </c>
      <c r="P3428" s="1178">
        <v>14.5</v>
      </c>
    </row>
    <row r="3429" spans="1:16">
      <c r="A3429" s="1178" t="s">
        <v>21695</v>
      </c>
      <c r="B3429" s="1371" t="str">
        <f>HYPERLINK(IFERROR("#Main_Tariff!A"&amp;MATCH(Raeburn_Main_Tariff[[#This Row],[Product Code]],Main_Tariff!I:I,0),"#Main_Tariff!A"&amp;MATCH("*"&amp;RIGHT(A3429,8)&amp;"*",Main_Tariff!A:A,0)),Raeburn_Main_Tariff[[#This Row],[PRODUCER]])</f>
        <v>Domaine Tempier</v>
      </c>
      <c r="C3429" s="1178" t="s">
        <v>21702</v>
      </c>
      <c r="D3429" s="1178" t="s">
        <v>897</v>
      </c>
      <c r="E3429" s="1179">
        <v>2022</v>
      </c>
      <c r="F3429" s="1282" t="s">
        <v>20220</v>
      </c>
      <c r="G3429" s="1368">
        <v>99.5</v>
      </c>
      <c r="H3429" s="1178" t="s">
        <v>20224</v>
      </c>
      <c r="I3429" s="1178" t="s">
        <v>10462</v>
      </c>
      <c r="J3429" s="1178" t="s">
        <v>662</v>
      </c>
      <c r="K3429" s="1178" t="s">
        <v>331</v>
      </c>
      <c r="L3429" s="1178" t="s">
        <v>341</v>
      </c>
      <c r="M3429" s="1369"/>
      <c r="N3429" s="1178"/>
      <c r="O3429" s="1178">
        <v>6</v>
      </c>
      <c r="P3429" s="1178">
        <v>14.5</v>
      </c>
    </row>
    <row r="3430" spans="1:16">
      <c r="A3430" s="1178" t="s">
        <v>21695</v>
      </c>
      <c r="B3430" s="1371" t="str">
        <f>HYPERLINK(IFERROR("#Main_Tariff!A"&amp;MATCH(Raeburn_Main_Tariff[[#This Row],[Product Code]],Main_Tariff!I:I,0),"#Main_Tariff!A"&amp;MATCH("*"&amp;RIGHT(A3430,8)&amp;"*",Main_Tariff!A:A,0)),Raeburn_Main_Tariff[[#This Row],[PRODUCER]])</f>
        <v>Domaine Tempier</v>
      </c>
      <c r="C3430" s="1178" t="s">
        <v>21702</v>
      </c>
      <c r="D3430" s="1178" t="s">
        <v>897</v>
      </c>
      <c r="E3430" s="1179">
        <v>2021</v>
      </c>
      <c r="F3430" s="1282" t="s">
        <v>20220</v>
      </c>
      <c r="G3430" s="1368">
        <v>99.5</v>
      </c>
      <c r="H3430" s="1178" t="s">
        <v>20224</v>
      </c>
      <c r="I3430" s="1178" t="s">
        <v>10464</v>
      </c>
      <c r="J3430" s="1178" t="s">
        <v>662</v>
      </c>
      <c r="K3430" s="1178" t="s">
        <v>331</v>
      </c>
      <c r="L3430" s="1178" t="s">
        <v>341</v>
      </c>
      <c r="M3430" s="1369"/>
      <c r="N3430" s="1178"/>
      <c r="O3430" s="1178">
        <v>6</v>
      </c>
      <c r="P3430" s="1178">
        <v>14</v>
      </c>
    </row>
    <row r="3431" spans="1:16">
      <c r="A3431" s="1178" t="s">
        <v>21695</v>
      </c>
      <c r="B3431" s="1371" t="str">
        <f>HYPERLINK(IFERROR("#Main_Tariff!A"&amp;MATCH(Raeburn_Main_Tariff[[#This Row],[Product Code]],Main_Tariff!I:I,0),"#Main_Tariff!A"&amp;MATCH("*"&amp;RIGHT(A3431,8)&amp;"*",Main_Tariff!A:A,0)),Raeburn_Main_Tariff[[#This Row],[PRODUCER]])</f>
        <v>Domaine Tempier</v>
      </c>
      <c r="C3431" s="1178" t="s">
        <v>21702</v>
      </c>
      <c r="D3431" s="1178" t="s">
        <v>897</v>
      </c>
      <c r="E3431" s="1179">
        <v>2020</v>
      </c>
      <c r="F3431" s="1282" t="s">
        <v>20220</v>
      </c>
      <c r="G3431" s="1368">
        <v>99.5</v>
      </c>
      <c r="H3431" s="1178" t="s">
        <v>20224</v>
      </c>
      <c r="I3431" s="1178" t="s">
        <v>10466</v>
      </c>
      <c r="J3431" s="1178" t="s">
        <v>662</v>
      </c>
      <c r="K3431" s="1178" t="s">
        <v>331</v>
      </c>
      <c r="L3431" s="1178" t="s">
        <v>341</v>
      </c>
      <c r="M3431" s="1369"/>
      <c r="N3431" s="1178"/>
      <c r="O3431" s="1178">
        <v>6</v>
      </c>
      <c r="P3431" s="1178">
        <v>14.5</v>
      </c>
    </row>
    <row r="3432" spans="1:16">
      <c r="A3432" s="1178" t="s">
        <v>21695</v>
      </c>
      <c r="B3432" s="1371" t="str">
        <f>HYPERLINK(IFERROR("#Main_Tariff!A"&amp;MATCH(Raeburn_Main_Tariff[[#This Row],[Product Code]],Main_Tariff!I:I,0),"#Main_Tariff!A"&amp;MATCH("*"&amp;RIGHT(A3432,8)&amp;"*",Main_Tariff!A:A,0)),Raeburn_Main_Tariff[[#This Row],[PRODUCER]])</f>
        <v>Domaine Tempier</v>
      </c>
      <c r="C3432" s="1178" t="s">
        <v>21702</v>
      </c>
      <c r="D3432" s="1178" t="s">
        <v>897</v>
      </c>
      <c r="E3432" s="1179">
        <v>2019</v>
      </c>
      <c r="F3432" s="1282" t="s">
        <v>20220</v>
      </c>
      <c r="G3432" s="1368">
        <v>99.5</v>
      </c>
      <c r="H3432" s="1178" t="s">
        <v>20224</v>
      </c>
      <c r="I3432" s="1178" t="s">
        <v>10468</v>
      </c>
      <c r="J3432" s="1178" t="s">
        <v>662</v>
      </c>
      <c r="K3432" s="1178" t="s">
        <v>331</v>
      </c>
      <c r="L3432" s="1178" t="s">
        <v>341</v>
      </c>
      <c r="M3432" s="1369"/>
      <c r="N3432" s="1178"/>
      <c r="O3432" s="1178">
        <v>6</v>
      </c>
      <c r="P3432" s="1178">
        <v>14.5</v>
      </c>
    </row>
    <row r="3433" spans="1:16">
      <c r="A3433" s="1178" t="s">
        <v>21695</v>
      </c>
      <c r="B3433" s="1371" t="str">
        <f>HYPERLINK(IFERROR("#Main_Tariff!A"&amp;MATCH(Raeburn_Main_Tariff[[#This Row],[Product Code]],Main_Tariff!I:I,0),"#Main_Tariff!A"&amp;MATCH("*"&amp;RIGHT(A3433,8)&amp;"*",Main_Tariff!A:A,0)),Raeburn_Main_Tariff[[#This Row],[PRODUCER]])</f>
        <v>Domaine Tempier</v>
      </c>
      <c r="C3433" s="1178" t="s">
        <v>21702</v>
      </c>
      <c r="D3433" s="1178" t="s">
        <v>897</v>
      </c>
      <c r="E3433" s="1179">
        <v>2018</v>
      </c>
      <c r="F3433" s="1282" t="s">
        <v>20220</v>
      </c>
      <c r="G3433" s="1368">
        <v>99.5</v>
      </c>
      <c r="H3433" s="1178" t="s">
        <v>20224</v>
      </c>
      <c r="I3433" s="1178" t="s">
        <v>10470</v>
      </c>
      <c r="J3433" s="1178" t="s">
        <v>662</v>
      </c>
      <c r="K3433" s="1178" t="s">
        <v>331</v>
      </c>
      <c r="L3433" s="1178" t="s">
        <v>341</v>
      </c>
      <c r="M3433" s="1369"/>
      <c r="N3433" s="1178"/>
      <c r="O3433" s="1178">
        <v>6</v>
      </c>
      <c r="P3433" s="1178">
        <v>14.5</v>
      </c>
    </row>
    <row r="3434" spans="1:16">
      <c r="A3434" s="1178" t="s">
        <v>21695</v>
      </c>
      <c r="B3434" s="1371" t="str">
        <f>HYPERLINK(IFERROR("#Main_Tariff!A"&amp;MATCH(Raeburn_Main_Tariff[[#This Row],[Product Code]],Main_Tariff!I:I,0),"#Main_Tariff!A"&amp;MATCH("*"&amp;RIGHT(A3434,8)&amp;"*",Main_Tariff!A:A,0)),Raeburn_Main_Tariff[[#This Row],[PRODUCER]])</f>
        <v>Domaine Tempier</v>
      </c>
      <c r="C3434" s="1178" t="s">
        <v>21703</v>
      </c>
      <c r="D3434" s="1178" t="s">
        <v>897</v>
      </c>
      <c r="E3434" s="1179">
        <v>2017</v>
      </c>
      <c r="F3434" s="1282" t="s">
        <v>20240</v>
      </c>
      <c r="G3434" s="1368">
        <v>60</v>
      </c>
      <c r="H3434" s="1178" t="s">
        <v>20277</v>
      </c>
      <c r="I3434" s="1178" t="s">
        <v>10474</v>
      </c>
      <c r="J3434" s="1178" t="s">
        <v>662</v>
      </c>
      <c r="K3434" s="1178" t="s">
        <v>331</v>
      </c>
      <c r="L3434" s="1178" t="s">
        <v>341</v>
      </c>
      <c r="M3434" s="1369"/>
      <c r="N3434" s="1178"/>
      <c r="O3434" s="1178">
        <v>6</v>
      </c>
      <c r="P3434" s="1178">
        <v>14.5</v>
      </c>
    </row>
    <row r="3435" spans="1:16">
      <c r="A3435" s="1178" t="s">
        <v>21695</v>
      </c>
      <c r="B3435" s="1371" t="str">
        <f>HYPERLINK(IFERROR("#Main_Tariff!A"&amp;MATCH(Raeburn_Main_Tariff[[#This Row],[Product Code]],Main_Tariff!I:I,0),"#Main_Tariff!A"&amp;MATCH("*"&amp;RIGHT(A3435,8)&amp;"*",Main_Tariff!A:A,0)),Raeburn_Main_Tariff[[#This Row],[PRODUCER]])</f>
        <v>Domaine Tempier</v>
      </c>
      <c r="C3435" s="1178" t="s">
        <v>21704</v>
      </c>
      <c r="D3435" s="1178" t="s">
        <v>897</v>
      </c>
      <c r="E3435" s="1179">
        <v>2022</v>
      </c>
      <c r="F3435" s="1282" t="s">
        <v>20240</v>
      </c>
      <c r="G3435" s="1368">
        <v>94</v>
      </c>
      <c r="H3435" s="1178" t="s">
        <v>20224</v>
      </c>
      <c r="I3435" s="1178" t="s">
        <v>10475</v>
      </c>
      <c r="J3435" s="1178" t="s">
        <v>662</v>
      </c>
      <c r="K3435" s="1178" t="s">
        <v>331</v>
      </c>
      <c r="L3435" s="1178" t="s">
        <v>341</v>
      </c>
      <c r="M3435" s="1369"/>
      <c r="N3435" s="1178"/>
      <c r="O3435" s="1178">
        <v>3</v>
      </c>
      <c r="P3435" s="1178">
        <v>14.5</v>
      </c>
    </row>
    <row r="3436" spans="1:16">
      <c r="A3436" s="1178" t="s">
        <v>21695</v>
      </c>
      <c r="B3436" s="1371" t="str">
        <f>HYPERLINK(IFERROR("#Main_Tariff!A"&amp;MATCH(Raeburn_Main_Tariff[[#This Row],[Product Code]],Main_Tariff!I:I,0),"#Main_Tariff!A"&amp;MATCH("*"&amp;RIGHT(A3436,8)&amp;"*",Main_Tariff!A:A,0)),Raeburn_Main_Tariff[[#This Row],[PRODUCER]])</f>
        <v>Domaine Tempier</v>
      </c>
      <c r="C3436" s="1178" t="s">
        <v>21704</v>
      </c>
      <c r="D3436" s="1178" t="s">
        <v>897</v>
      </c>
      <c r="E3436" s="1179">
        <v>2021</v>
      </c>
      <c r="F3436" s="1282" t="s">
        <v>20240</v>
      </c>
      <c r="G3436" s="1368">
        <v>94</v>
      </c>
      <c r="H3436" s="1178" t="s">
        <v>20224</v>
      </c>
      <c r="I3436" s="1178" t="s">
        <v>10477</v>
      </c>
      <c r="J3436" s="1178" t="s">
        <v>662</v>
      </c>
      <c r="K3436" s="1178" t="s">
        <v>331</v>
      </c>
      <c r="L3436" s="1178" t="s">
        <v>341</v>
      </c>
      <c r="M3436" s="1369"/>
      <c r="N3436" s="1178"/>
      <c r="O3436" s="1178">
        <v>6</v>
      </c>
      <c r="P3436" s="1178">
        <v>14</v>
      </c>
    </row>
    <row r="3437" spans="1:16">
      <c r="A3437" s="1178" t="s">
        <v>21695</v>
      </c>
      <c r="B3437" s="1371" t="str">
        <f>HYPERLINK(IFERROR("#Main_Tariff!A"&amp;MATCH(Raeburn_Main_Tariff[[#This Row],[Product Code]],Main_Tariff!I:I,0),"#Main_Tariff!A"&amp;MATCH("*"&amp;RIGHT(A3437,8)&amp;"*",Main_Tariff!A:A,0)),Raeburn_Main_Tariff[[#This Row],[PRODUCER]])</f>
        <v>Domaine Tempier</v>
      </c>
      <c r="C3437" s="1178" t="s">
        <v>21704</v>
      </c>
      <c r="D3437" s="1178" t="s">
        <v>897</v>
      </c>
      <c r="E3437" s="1179">
        <v>2020</v>
      </c>
      <c r="F3437" s="1282" t="s">
        <v>20240</v>
      </c>
      <c r="G3437" s="1368">
        <v>85</v>
      </c>
      <c r="H3437" s="1178" t="s">
        <v>20224</v>
      </c>
      <c r="I3437" s="1178" t="s">
        <v>10479</v>
      </c>
      <c r="J3437" s="1178" t="s">
        <v>662</v>
      </c>
      <c r="K3437" s="1178" t="s">
        <v>331</v>
      </c>
      <c r="L3437" s="1178" t="s">
        <v>341</v>
      </c>
      <c r="M3437" s="1369"/>
      <c r="N3437" s="1178"/>
      <c r="O3437" s="1178">
        <v>6</v>
      </c>
      <c r="P3437" s="1178">
        <v>14.5</v>
      </c>
    </row>
    <row r="3438" spans="1:16">
      <c r="A3438" s="1178" t="s">
        <v>21695</v>
      </c>
      <c r="B3438" s="1371" t="str">
        <f>HYPERLINK(IFERROR("#Main_Tariff!A"&amp;MATCH(Raeburn_Main_Tariff[[#This Row],[Product Code]],Main_Tariff!I:I,0),"#Main_Tariff!A"&amp;MATCH("*"&amp;RIGHT(A3438,8)&amp;"*",Main_Tariff!A:A,0)),Raeburn_Main_Tariff[[#This Row],[PRODUCER]])</f>
        <v>Domaine Tempier</v>
      </c>
      <c r="C3438" s="1178" t="s">
        <v>21704</v>
      </c>
      <c r="D3438" s="1178" t="s">
        <v>897</v>
      </c>
      <c r="E3438" s="1179">
        <v>2019</v>
      </c>
      <c r="F3438" s="1282" t="s">
        <v>20240</v>
      </c>
      <c r="G3438" s="1368">
        <v>85</v>
      </c>
      <c r="H3438" s="1178" t="s">
        <v>20224</v>
      </c>
      <c r="I3438" s="1178" t="s">
        <v>10481</v>
      </c>
      <c r="J3438" s="1178" t="s">
        <v>662</v>
      </c>
      <c r="K3438" s="1178" t="s">
        <v>331</v>
      </c>
      <c r="L3438" s="1178" t="s">
        <v>341</v>
      </c>
      <c r="M3438" s="1369"/>
      <c r="N3438" s="1178"/>
      <c r="O3438" s="1178">
        <v>6</v>
      </c>
      <c r="P3438" s="1178">
        <v>14.5</v>
      </c>
    </row>
    <row r="3439" spans="1:16">
      <c r="A3439" s="1178" t="s">
        <v>21695</v>
      </c>
      <c r="B3439" s="1371" t="str">
        <f>HYPERLINK(IFERROR("#Main_Tariff!A"&amp;MATCH(Raeburn_Main_Tariff[[#This Row],[Product Code]],Main_Tariff!I:I,0),"#Main_Tariff!A"&amp;MATCH("*"&amp;RIGHT(A3439,8)&amp;"*",Main_Tariff!A:A,0)),Raeburn_Main_Tariff[[#This Row],[PRODUCER]])</f>
        <v>Domaine Tempier</v>
      </c>
      <c r="C3439" s="1178" t="s">
        <v>21704</v>
      </c>
      <c r="D3439" s="1178" t="s">
        <v>897</v>
      </c>
      <c r="E3439" s="1179">
        <v>2018</v>
      </c>
      <c r="F3439" s="1282" t="s">
        <v>20240</v>
      </c>
      <c r="G3439" s="1368">
        <v>82</v>
      </c>
      <c r="H3439" s="1178" t="s">
        <v>20224</v>
      </c>
      <c r="I3439" s="1178" t="s">
        <v>10483</v>
      </c>
      <c r="J3439" s="1178" t="s">
        <v>662</v>
      </c>
      <c r="K3439" s="1178" t="s">
        <v>331</v>
      </c>
      <c r="L3439" s="1178" t="s">
        <v>341</v>
      </c>
      <c r="M3439" s="1369"/>
      <c r="N3439" s="1178"/>
      <c r="O3439" s="1178">
        <v>6</v>
      </c>
      <c r="P3439" s="1178">
        <v>14.5</v>
      </c>
    </row>
    <row r="3440" spans="1:16">
      <c r="A3440" s="1178" t="s">
        <v>21695</v>
      </c>
      <c r="B3440" s="1371" t="str">
        <f>HYPERLINK(IFERROR("#Main_Tariff!A"&amp;MATCH(Raeburn_Main_Tariff[[#This Row],[Product Code]],Main_Tariff!I:I,0),"#Main_Tariff!A"&amp;MATCH("*"&amp;RIGHT(A3440,8)&amp;"*",Main_Tariff!A:A,0)),Raeburn_Main_Tariff[[#This Row],[PRODUCER]])</f>
        <v>Domaine Tempier</v>
      </c>
      <c r="C3440" s="1178" t="s">
        <v>21704</v>
      </c>
      <c r="D3440" s="1178" t="s">
        <v>897</v>
      </c>
      <c r="E3440" s="1179">
        <v>2017</v>
      </c>
      <c r="F3440" s="1282" t="s">
        <v>20240</v>
      </c>
      <c r="G3440" s="1368">
        <v>82</v>
      </c>
      <c r="H3440" s="1178" t="s">
        <v>20224</v>
      </c>
      <c r="I3440" s="1178" t="s">
        <v>10485</v>
      </c>
      <c r="J3440" s="1178" t="s">
        <v>662</v>
      </c>
      <c r="K3440" s="1178" t="s">
        <v>331</v>
      </c>
      <c r="L3440" s="1178" t="s">
        <v>341</v>
      </c>
      <c r="M3440" s="1369"/>
      <c r="N3440" s="1178"/>
      <c r="O3440" s="1178">
        <v>6</v>
      </c>
      <c r="P3440" s="1178">
        <v>15</v>
      </c>
    </row>
    <row r="3441" spans="1:16">
      <c r="A3441" s="1178" t="s">
        <v>21695</v>
      </c>
      <c r="B3441" s="1371" t="str">
        <f>HYPERLINK(IFERROR("#Main_Tariff!A"&amp;MATCH(Raeburn_Main_Tariff[[#This Row],[Product Code]],Main_Tariff!I:I,0),"#Main_Tariff!A"&amp;MATCH("*"&amp;RIGHT(A3441,8)&amp;"*",Main_Tariff!A:A,0)),Raeburn_Main_Tariff[[#This Row],[PRODUCER]])</f>
        <v>Domaine Tempier</v>
      </c>
      <c r="C3441" s="1178" t="s">
        <v>21705</v>
      </c>
      <c r="D3441" s="1178" t="s">
        <v>897</v>
      </c>
      <c r="E3441" s="1179">
        <v>2022</v>
      </c>
      <c r="F3441" s="1282" t="s">
        <v>20240</v>
      </c>
      <c r="G3441" s="1368">
        <v>94</v>
      </c>
      <c r="H3441" s="1178" t="s">
        <v>20224</v>
      </c>
      <c r="I3441" s="1178" t="s">
        <v>10487</v>
      </c>
      <c r="J3441" s="1178" t="s">
        <v>662</v>
      </c>
      <c r="K3441" s="1178" t="s">
        <v>331</v>
      </c>
      <c r="L3441" s="1178" t="s">
        <v>341</v>
      </c>
      <c r="M3441" s="1369"/>
      <c r="N3441" s="1178"/>
      <c r="O3441" s="1178">
        <v>6</v>
      </c>
      <c r="P3441" s="1178">
        <v>14.5</v>
      </c>
    </row>
    <row r="3442" spans="1:16">
      <c r="A3442" s="1178" t="s">
        <v>21695</v>
      </c>
      <c r="B3442" s="1371" t="str">
        <f>HYPERLINK(IFERROR("#Main_Tariff!A"&amp;MATCH(Raeburn_Main_Tariff[[#This Row],[Product Code]],Main_Tariff!I:I,0),"#Main_Tariff!A"&amp;MATCH("*"&amp;RIGHT(A3442,8)&amp;"*",Main_Tariff!A:A,0)),Raeburn_Main_Tariff[[#This Row],[PRODUCER]])</f>
        <v>Domaine Tempier</v>
      </c>
      <c r="C3442" s="1178" t="s">
        <v>21705</v>
      </c>
      <c r="D3442" s="1178" t="s">
        <v>897</v>
      </c>
      <c r="E3442" s="1179">
        <v>2021</v>
      </c>
      <c r="F3442" s="1282" t="s">
        <v>20240</v>
      </c>
      <c r="G3442" s="1368">
        <v>94</v>
      </c>
      <c r="H3442" s="1178" t="s">
        <v>20224</v>
      </c>
      <c r="I3442" s="1178" t="s">
        <v>10489</v>
      </c>
      <c r="J3442" s="1178" t="s">
        <v>662</v>
      </c>
      <c r="K3442" s="1178" t="s">
        <v>331</v>
      </c>
      <c r="L3442" s="1178" t="s">
        <v>341</v>
      </c>
      <c r="M3442" s="1369"/>
      <c r="N3442" s="1178"/>
      <c r="O3442" s="1178">
        <v>6</v>
      </c>
      <c r="P3442" s="1178">
        <v>14</v>
      </c>
    </row>
    <row r="3443" spans="1:16">
      <c r="A3443" s="1178" t="s">
        <v>21695</v>
      </c>
      <c r="B3443" s="1371" t="str">
        <f>HYPERLINK(IFERROR("#Main_Tariff!A"&amp;MATCH(Raeburn_Main_Tariff[[#This Row],[Product Code]],Main_Tariff!I:I,0),"#Main_Tariff!A"&amp;MATCH("*"&amp;RIGHT(A3443,8)&amp;"*",Main_Tariff!A:A,0)),Raeburn_Main_Tariff[[#This Row],[PRODUCER]])</f>
        <v>Domaine Tempier</v>
      </c>
      <c r="C3443" s="1178" t="s">
        <v>21705</v>
      </c>
      <c r="D3443" s="1178" t="s">
        <v>897</v>
      </c>
      <c r="E3443" s="1179">
        <v>2020</v>
      </c>
      <c r="F3443" s="1282" t="s">
        <v>20240</v>
      </c>
      <c r="G3443" s="1368">
        <v>85</v>
      </c>
      <c r="H3443" s="1178" t="s">
        <v>20224</v>
      </c>
      <c r="I3443" s="1178" t="s">
        <v>10491</v>
      </c>
      <c r="J3443" s="1178" t="s">
        <v>662</v>
      </c>
      <c r="K3443" s="1178" t="s">
        <v>331</v>
      </c>
      <c r="L3443" s="1178" t="s">
        <v>341</v>
      </c>
      <c r="M3443" s="1369"/>
      <c r="N3443" s="1178"/>
      <c r="O3443" s="1178">
        <v>6</v>
      </c>
      <c r="P3443" s="1178">
        <v>14.5</v>
      </c>
    </row>
    <row r="3444" spans="1:16">
      <c r="A3444" s="1178" t="s">
        <v>21695</v>
      </c>
      <c r="B3444" s="1371" t="str">
        <f>HYPERLINK(IFERROR("#Main_Tariff!A"&amp;MATCH(Raeburn_Main_Tariff[[#This Row],[Product Code]],Main_Tariff!I:I,0),"#Main_Tariff!A"&amp;MATCH("*"&amp;RIGHT(A3444,8)&amp;"*",Main_Tariff!A:A,0)),Raeburn_Main_Tariff[[#This Row],[PRODUCER]])</f>
        <v>Domaine Tempier</v>
      </c>
      <c r="C3444" s="1178" t="s">
        <v>21705</v>
      </c>
      <c r="D3444" s="1178" t="s">
        <v>897</v>
      </c>
      <c r="E3444" s="1179">
        <v>2019</v>
      </c>
      <c r="F3444" s="1282" t="s">
        <v>20240</v>
      </c>
      <c r="G3444" s="1368">
        <v>85</v>
      </c>
      <c r="H3444" s="1178" t="s">
        <v>20224</v>
      </c>
      <c r="I3444" s="1178" t="s">
        <v>10493</v>
      </c>
      <c r="J3444" s="1178" t="s">
        <v>662</v>
      </c>
      <c r="K3444" s="1178" t="s">
        <v>331</v>
      </c>
      <c r="L3444" s="1178" t="s">
        <v>341</v>
      </c>
      <c r="M3444" s="1369"/>
      <c r="N3444" s="1178"/>
      <c r="O3444" s="1178">
        <v>6</v>
      </c>
      <c r="P3444" s="1178">
        <v>14.5</v>
      </c>
    </row>
    <row r="3445" spans="1:16">
      <c r="A3445" s="1178" t="s">
        <v>21695</v>
      </c>
      <c r="B3445" s="1371" t="str">
        <f>HYPERLINK(IFERROR("#Main_Tariff!A"&amp;MATCH(Raeburn_Main_Tariff[[#This Row],[Product Code]],Main_Tariff!I:I,0),"#Main_Tariff!A"&amp;MATCH("*"&amp;RIGHT(A3445,8)&amp;"*",Main_Tariff!A:A,0)),Raeburn_Main_Tariff[[#This Row],[PRODUCER]])</f>
        <v>Domaine Tempier</v>
      </c>
      <c r="C3445" s="1178" t="s">
        <v>21706</v>
      </c>
      <c r="D3445" s="1178" t="s">
        <v>897</v>
      </c>
      <c r="E3445" s="1179">
        <v>2021</v>
      </c>
      <c r="F3445" s="1282" t="s">
        <v>20288</v>
      </c>
      <c r="G3445" s="1368">
        <v>199.5</v>
      </c>
      <c r="H3445" s="1178" t="s">
        <v>20224</v>
      </c>
      <c r="I3445" s="1178" t="s">
        <v>10497</v>
      </c>
      <c r="J3445" s="1178" t="s">
        <v>662</v>
      </c>
      <c r="K3445" s="1178" t="s">
        <v>331</v>
      </c>
      <c r="L3445" s="1178" t="s">
        <v>341</v>
      </c>
      <c r="M3445" s="1369"/>
      <c r="N3445" s="1178"/>
      <c r="O3445" s="1178">
        <v>1</v>
      </c>
      <c r="P3445" s="1178">
        <v>14</v>
      </c>
    </row>
    <row r="3446" spans="1:16">
      <c r="A3446" s="1178" t="s">
        <v>21695</v>
      </c>
      <c r="B3446" s="1371" t="str">
        <f>HYPERLINK(IFERROR("#Main_Tariff!A"&amp;MATCH(Raeburn_Main_Tariff[[#This Row],[Product Code]],Main_Tariff!I:I,0),"#Main_Tariff!A"&amp;MATCH("*"&amp;RIGHT(A3446,8)&amp;"*",Main_Tariff!A:A,0)),Raeburn_Main_Tariff[[#This Row],[PRODUCER]])</f>
        <v>Domaine Tempier</v>
      </c>
      <c r="C3446" s="1178" t="s">
        <v>21706</v>
      </c>
      <c r="D3446" s="1178" t="s">
        <v>897</v>
      </c>
      <c r="E3446" s="1179">
        <v>2020</v>
      </c>
      <c r="F3446" s="1282" t="s">
        <v>20288</v>
      </c>
      <c r="G3446" s="1368">
        <v>199.5</v>
      </c>
      <c r="H3446" s="1178" t="s">
        <v>20224</v>
      </c>
      <c r="I3446" s="1178" t="s">
        <v>10499</v>
      </c>
      <c r="J3446" s="1178" t="s">
        <v>662</v>
      </c>
      <c r="K3446" s="1178" t="s">
        <v>331</v>
      </c>
      <c r="L3446" s="1178" t="s">
        <v>341</v>
      </c>
      <c r="M3446" s="1369"/>
      <c r="N3446" s="1178"/>
      <c r="O3446" s="1178">
        <v>1</v>
      </c>
      <c r="P3446" s="1178">
        <v>14.5</v>
      </c>
    </row>
    <row r="3447" spans="1:16">
      <c r="A3447" s="1178" t="s">
        <v>21695</v>
      </c>
      <c r="B3447" s="1371" t="str">
        <f>HYPERLINK(IFERROR("#Main_Tariff!A"&amp;MATCH(Raeburn_Main_Tariff[[#This Row],[Product Code]],Main_Tariff!I:I,0),"#Main_Tariff!A"&amp;MATCH("*"&amp;RIGHT(A3447,8)&amp;"*",Main_Tariff!A:A,0)),Raeburn_Main_Tariff[[#This Row],[PRODUCER]])</f>
        <v>Domaine Tempier</v>
      </c>
      <c r="C3447" s="1178" t="s">
        <v>21706</v>
      </c>
      <c r="D3447" s="1178" t="s">
        <v>897</v>
      </c>
      <c r="E3447" s="1179">
        <v>2019</v>
      </c>
      <c r="F3447" s="1282" t="s">
        <v>20288</v>
      </c>
      <c r="G3447" s="1368">
        <v>199.5</v>
      </c>
      <c r="H3447" s="1178" t="s">
        <v>20224</v>
      </c>
      <c r="I3447" s="1178" t="s">
        <v>10501</v>
      </c>
      <c r="J3447" s="1178" t="s">
        <v>662</v>
      </c>
      <c r="K3447" s="1178" t="s">
        <v>331</v>
      </c>
      <c r="L3447" s="1178" t="s">
        <v>341</v>
      </c>
      <c r="M3447" s="1369"/>
      <c r="N3447" s="1178"/>
      <c r="O3447" s="1178">
        <v>1</v>
      </c>
      <c r="P3447" s="1178">
        <v>14.5</v>
      </c>
    </row>
    <row r="3448" spans="1:16">
      <c r="A3448" s="1178" t="s">
        <v>21695</v>
      </c>
      <c r="B3448" s="1371" t="str">
        <f>HYPERLINK(IFERROR("#Main_Tariff!A"&amp;MATCH(Raeburn_Main_Tariff[[#This Row],[Product Code]],Main_Tariff!I:I,0),"#Main_Tariff!A"&amp;MATCH("*"&amp;RIGHT(A3448,8)&amp;"*",Main_Tariff!A:A,0)),Raeburn_Main_Tariff[[#This Row],[PRODUCER]])</f>
        <v>Domaine Tempier</v>
      </c>
      <c r="C3448" s="1178" t="s">
        <v>21706</v>
      </c>
      <c r="D3448" s="1178" t="s">
        <v>897</v>
      </c>
      <c r="E3448" s="1179">
        <v>2018</v>
      </c>
      <c r="F3448" s="1282" t="s">
        <v>20288</v>
      </c>
      <c r="G3448" s="1368">
        <v>199.5</v>
      </c>
      <c r="H3448" s="1178" t="s">
        <v>20224</v>
      </c>
      <c r="I3448" s="1178" t="s">
        <v>10503</v>
      </c>
      <c r="J3448" s="1178" t="s">
        <v>662</v>
      </c>
      <c r="K3448" s="1178" t="s">
        <v>331</v>
      </c>
      <c r="L3448" s="1178" t="s">
        <v>341</v>
      </c>
      <c r="M3448" s="1369"/>
      <c r="N3448" s="1178"/>
      <c r="O3448" s="1178">
        <v>1</v>
      </c>
      <c r="P3448" s="1178">
        <v>14.5</v>
      </c>
    </row>
    <row r="3449" spans="1:16">
      <c r="A3449" s="1178" t="s">
        <v>21695</v>
      </c>
      <c r="B3449" s="1371" t="str">
        <f>HYPERLINK(IFERROR("#Main_Tariff!A"&amp;MATCH(Raeburn_Main_Tariff[[#This Row],[Product Code]],Main_Tariff!I:I,0),"#Main_Tariff!A"&amp;MATCH("*"&amp;RIGHT(A3449,8)&amp;"*",Main_Tariff!A:A,0)),Raeburn_Main_Tariff[[#This Row],[PRODUCER]])</f>
        <v>Domaine Tempier</v>
      </c>
      <c r="C3449" s="1178" t="s">
        <v>21706</v>
      </c>
      <c r="D3449" s="1178" t="s">
        <v>897</v>
      </c>
      <c r="E3449" s="1179">
        <v>2017</v>
      </c>
      <c r="F3449" s="1282" t="s">
        <v>20288</v>
      </c>
      <c r="G3449" s="1368">
        <v>199.5</v>
      </c>
      <c r="H3449" s="1178" t="s">
        <v>20224</v>
      </c>
      <c r="I3449" s="1178" t="s">
        <v>10505</v>
      </c>
      <c r="J3449" s="1178" t="s">
        <v>662</v>
      </c>
      <c r="K3449" s="1178" t="s">
        <v>331</v>
      </c>
      <c r="L3449" s="1178" t="s">
        <v>341</v>
      </c>
      <c r="M3449" s="1369"/>
      <c r="N3449" s="1178"/>
      <c r="O3449" s="1178">
        <v>1</v>
      </c>
      <c r="P3449" s="1178">
        <v>15</v>
      </c>
    </row>
    <row r="3450" spans="1:16">
      <c r="A3450" s="1178" t="s">
        <v>21695</v>
      </c>
      <c r="B3450" s="1371" t="str">
        <f>HYPERLINK(IFERROR("#Main_Tariff!A"&amp;MATCH(Raeburn_Main_Tariff[[#This Row],[Product Code]],Main_Tariff!I:I,0),"#Main_Tariff!A"&amp;MATCH("*"&amp;RIGHT(A3450,8)&amp;"*",Main_Tariff!A:A,0)),Raeburn_Main_Tariff[[#This Row],[PRODUCER]])</f>
        <v>Domaine Tempier</v>
      </c>
      <c r="C3450" s="1178" t="s">
        <v>21706</v>
      </c>
      <c r="D3450" s="1178" t="s">
        <v>897</v>
      </c>
      <c r="E3450" s="1179">
        <v>2016</v>
      </c>
      <c r="F3450" s="1282" t="s">
        <v>20288</v>
      </c>
      <c r="G3450" s="1368">
        <v>199.5</v>
      </c>
      <c r="H3450" s="1178" t="s">
        <v>20224</v>
      </c>
      <c r="I3450" s="1178" t="s">
        <v>10507</v>
      </c>
      <c r="J3450" s="1178" t="s">
        <v>662</v>
      </c>
      <c r="K3450" s="1178" t="s">
        <v>331</v>
      </c>
      <c r="L3450" s="1178" t="s">
        <v>341</v>
      </c>
      <c r="M3450" s="1369"/>
      <c r="N3450" s="1178"/>
      <c r="O3450" s="1178">
        <v>1</v>
      </c>
      <c r="P3450" s="1178">
        <v>15</v>
      </c>
    </row>
    <row r="3451" spans="1:16">
      <c r="A3451" s="1178" t="s">
        <v>21695</v>
      </c>
      <c r="B3451" s="1371" t="str">
        <f>HYPERLINK(IFERROR("#Main_Tariff!A"&amp;MATCH(Raeburn_Main_Tariff[[#This Row],[Product Code]],Main_Tariff!I:I,0),"#Main_Tariff!A"&amp;MATCH("*"&amp;RIGHT(A3451,8)&amp;"*",Main_Tariff!A:A,0)),Raeburn_Main_Tariff[[#This Row],[PRODUCER]])</f>
        <v>Domaine Tempier</v>
      </c>
      <c r="C3451" s="1178" t="s">
        <v>21706</v>
      </c>
      <c r="D3451" s="1178" t="s">
        <v>897</v>
      </c>
      <c r="E3451" s="1179">
        <v>2015</v>
      </c>
      <c r="F3451" s="1282" t="s">
        <v>20288</v>
      </c>
      <c r="G3451" s="1368">
        <v>222.5</v>
      </c>
      <c r="H3451" s="1178" t="s">
        <v>20224</v>
      </c>
      <c r="I3451" s="1178" t="s">
        <v>10509</v>
      </c>
      <c r="J3451" s="1178" t="s">
        <v>662</v>
      </c>
      <c r="K3451" s="1178" t="s">
        <v>331</v>
      </c>
      <c r="L3451" s="1178" t="s">
        <v>341</v>
      </c>
      <c r="M3451" s="1369"/>
      <c r="N3451" s="1178"/>
      <c r="O3451" s="1178">
        <v>1</v>
      </c>
      <c r="P3451" s="1178">
        <v>15</v>
      </c>
    </row>
    <row r="3452" spans="1:16">
      <c r="A3452" s="1178" t="s">
        <v>21695</v>
      </c>
      <c r="B3452" s="1371" t="str">
        <f>HYPERLINK(IFERROR("#Main_Tariff!A"&amp;MATCH(Raeburn_Main_Tariff[[#This Row],[Product Code]],Main_Tariff!I:I,0),"#Main_Tariff!A"&amp;MATCH("*"&amp;RIGHT(A3452,8)&amp;"*",Main_Tariff!A:A,0)),Raeburn_Main_Tariff[[#This Row],[PRODUCER]])</f>
        <v>Domaine Tempier</v>
      </c>
      <c r="C3452" s="1178" t="s">
        <v>21706</v>
      </c>
      <c r="D3452" s="1178" t="s">
        <v>897</v>
      </c>
      <c r="E3452" s="1179">
        <v>2014</v>
      </c>
      <c r="F3452" s="1282" t="s">
        <v>20288</v>
      </c>
      <c r="G3452" s="1368">
        <v>219.5</v>
      </c>
      <c r="H3452" s="1178" t="s">
        <v>20224</v>
      </c>
      <c r="I3452" s="1178" t="s">
        <v>10511</v>
      </c>
      <c r="J3452" s="1178" t="s">
        <v>662</v>
      </c>
      <c r="K3452" s="1178" t="s">
        <v>331</v>
      </c>
      <c r="L3452" s="1178" t="s">
        <v>341</v>
      </c>
      <c r="M3452" s="1369"/>
      <c r="N3452" s="1178"/>
      <c r="O3452" s="1178">
        <v>1</v>
      </c>
      <c r="P3452" s="1178">
        <v>14.5</v>
      </c>
    </row>
    <row r="3453" spans="1:16">
      <c r="A3453" s="1178" t="s">
        <v>21695</v>
      </c>
      <c r="B3453" s="1371" t="str">
        <f>HYPERLINK(IFERROR("#Main_Tariff!A"&amp;MATCH(Raeburn_Main_Tariff[[#This Row],[Product Code]],Main_Tariff!I:I,0),"#Main_Tariff!A"&amp;MATCH("*"&amp;RIGHT(A3453,8)&amp;"*",Main_Tariff!A:A,0)),Raeburn_Main_Tariff[[#This Row],[PRODUCER]])</f>
        <v>Domaine Tempier</v>
      </c>
      <c r="C3453" s="1178" t="s">
        <v>21707</v>
      </c>
      <c r="D3453" s="1178" t="s">
        <v>897</v>
      </c>
      <c r="E3453" s="1179">
        <v>2021</v>
      </c>
      <c r="F3453" s="1282" t="s">
        <v>20288</v>
      </c>
      <c r="G3453" s="1368">
        <v>199.5</v>
      </c>
      <c r="H3453" s="1178" t="s">
        <v>20224</v>
      </c>
      <c r="I3453" s="1178" t="s">
        <v>10513</v>
      </c>
      <c r="J3453" s="1178" t="s">
        <v>662</v>
      </c>
      <c r="K3453" s="1178" t="s">
        <v>331</v>
      </c>
      <c r="L3453" s="1178" t="s">
        <v>341</v>
      </c>
      <c r="M3453" s="1369"/>
      <c r="N3453" s="1178"/>
      <c r="O3453" s="1178">
        <v>1</v>
      </c>
      <c r="P3453" s="1178">
        <v>14</v>
      </c>
    </row>
    <row r="3454" spans="1:16">
      <c r="A3454" s="1178" t="s">
        <v>21695</v>
      </c>
      <c r="B3454" s="1371" t="str">
        <f>HYPERLINK(IFERROR("#Main_Tariff!A"&amp;MATCH(Raeburn_Main_Tariff[[#This Row],[Product Code]],Main_Tariff!I:I,0),"#Main_Tariff!A"&amp;MATCH("*"&amp;RIGHT(A3454,8)&amp;"*",Main_Tariff!A:A,0)),Raeburn_Main_Tariff[[#This Row],[PRODUCER]])</f>
        <v>Domaine Tempier</v>
      </c>
      <c r="C3454" s="1178" t="s">
        <v>21707</v>
      </c>
      <c r="D3454" s="1178" t="s">
        <v>897</v>
      </c>
      <c r="E3454" s="1179">
        <v>2020</v>
      </c>
      <c r="F3454" s="1282" t="s">
        <v>20288</v>
      </c>
      <c r="G3454" s="1368">
        <v>199.5</v>
      </c>
      <c r="H3454" s="1178" t="s">
        <v>20224</v>
      </c>
      <c r="I3454" s="1178" t="s">
        <v>10515</v>
      </c>
      <c r="J3454" s="1178" t="s">
        <v>662</v>
      </c>
      <c r="K3454" s="1178" t="s">
        <v>331</v>
      </c>
      <c r="L3454" s="1178" t="s">
        <v>341</v>
      </c>
      <c r="M3454" s="1369"/>
      <c r="N3454" s="1178"/>
      <c r="O3454" s="1178">
        <v>1</v>
      </c>
      <c r="P3454" s="1178">
        <v>14.5</v>
      </c>
    </row>
    <row r="3455" spans="1:16">
      <c r="A3455" s="1178" t="s">
        <v>21695</v>
      </c>
      <c r="B3455" s="1371" t="str">
        <f>HYPERLINK(IFERROR("#Main_Tariff!A"&amp;MATCH(Raeburn_Main_Tariff[[#This Row],[Product Code]],Main_Tariff!I:I,0),"#Main_Tariff!A"&amp;MATCH("*"&amp;RIGHT(A3455,8)&amp;"*",Main_Tariff!A:A,0)),Raeburn_Main_Tariff[[#This Row],[PRODUCER]])</f>
        <v>Domaine Tempier</v>
      </c>
      <c r="C3455" s="1178" t="s">
        <v>21707</v>
      </c>
      <c r="D3455" s="1178" t="s">
        <v>897</v>
      </c>
      <c r="E3455" s="1179">
        <v>2019</v>
      </c>
      <c r="F3455" s="1282" t="s">
        <v>20288</v>
      </c>
      <c r="G3455" s="1368">
        <v>199.5</v>
      </c>
      <c r="H3455" s="1178" t="s">
        <v>20224</v>
      </c>
      <c r="I3455" s="1178" t="s">
        <v>10517</v>
      </c>
      <c r="J3455" s="1178" t="s">
        <v>662</v>
      </c>
      <c r="K3455" s="1178" t="s">
        <v>331</v>
      </c>
      <c r="L3455" s="1178" t="s">
        <v>341</v>
      </c>
      <c r="M3455" s="1369"/>
      <c r="N3455" s="1178"/>
      <c r="O3455" s="1178">
        <v>1</v>
      </c>
      <c r="P3455" s="1178">
        <v>14.5</v>
      </c>
    </row>
    <row r="3456" spans="1:16">
      <c r="A3456" s="1178" t="s">
        <v>21695</v>
      </c>
      <c r="B3456" s="1371" t="str">
        <f>HYPERLINK(IFERROR("#Main_Tariff!A"&amp;MATCH(Raeburn_Main_Tariff[[#This Row],[Product Code]],Main_Tariff!I:I,0),"#Main_Tariff!A"&amp;MATCH("*"&amp;RIGHT(A3456,8)&amp;"*",Main_Tariff!A:A,0)),Raeburn_Main_Tariff[[#This Row],[PRODUCER]])</f>
        <v>Domaine Tempier</v>
      </c>
      <c r="C3456" s="1178" t="s">
        <v>21707</v>
      </c>
      <c r="D3456" s="1178" t="s">
        <v>897</v>
      </c>
      <c r="E3456" s="1179">
        <v>2018</v>
      </c>
      <c r="F3456" s="1282" t="s">
        <v>20288</v>
      </c>
      <c r="G3456" s="1368">
        <v>199.5</v>
      </c>
      <c r="H3456" s="1178" t="s">
        <v>20224</v>
      </c>
      <c r="I3456" s="1178" t="s">
        <v>10518</v>
      </c>
      <c r="J3456" s="1178" t="s">
        <v>662</v>
      </c>
      <c r="K3456" s="1178" t="s">
        <v>331</v>
      </c>
      <c r="L3456" s="1178" t="s">
        <v>341</v>
      </c>
      <c r="M3456" s="1369"/>
      <c r="N3456" s="1178"/>
      <c r="O3456" s="1178">
        <v>1</v>
      </c>
      <c r="P3456" s="1178">
        <v>14.5</v>
      </c>
    </row>
    <row r="3457" spans="1:16">
      <c r="A3457" s="1178" t="s">
        <v>21695</v>
      </c>
      <c r="B3457" s="1371" t="str">
        <f>HYPERLINK(IFERROR("#Main_Tariff!A"&amp;MATCH(Raeburn_Main_Tariff[[#This Row],[Product Code]],Main_Tariff!I:I,0),"#Main_Tariff!A"&amp;MATCH("*"&amp;RIGHT(A3457,8)&amp;"*",Main_Tariff!A:A,0)),Raeburn_Main_Tariff[[#This Row],[PRODUCER]])</f>
        <v>Domaine Tempier</v>
      </c>
      <c r="C3457" s="1178" t="s">
        <v>21707</v>
      </c>
      <c r="D3457" s="1178" t="s">
        <v>897</v>
      </c>
      <c r="E3457" s="1179">
        <v>2017</v>
      </c>
      <c r="F3457" s="1282" t="s">
        <v>20288</v>
      </c>
      <c r="G3457" s="1368">
        <v>199.5</v>
      </c>
      <c r="H3457" s="1178" t="s">
        <v>20224</v>
      </c>
      <c r="I3457" s="1178" t="s">
        <v>10520</v>
      </c>
      <c r="J3457" s="1178" t="s">
        <v>662</v>
      </c>
      <c r="K3457" s="1178" t="s">
        <v>331</v>
      </c>
      <c r="L3457" s="1178" t="s">
        <v>341</v>
      </c>
      <c r="M3457" s="1369"/>
      <c r="N3457" s="1178"/>
      <c r="O3457" s="1178">
        <v>1</v>
      </c>
      <c r="P3457" s="1178">
        <v>15</v>
      </c>
    </row>
    <row r="3458" spans="1:16">
      <c r="A3458" s="1178" t="s">
        <v>21695</v>
      </c>
      <c r="B3458" s="1371" t="str">
        <f>HYPERLINK(IFERROR("#Main_Tariff!A"&amp;MATCH(Raeburn_Main_Tariff[[#This Row],[Product Code]],Main_Tariff!I:I,0),"#Main_Tariff!A"&amp;MATCH("*"&amp;RIGHT(A3458,8)&amp;"*",Main_Tariff!A:A,0)),Raeburn_Main_Tariff[[#This Row],[PRODUCER]])</f>
        <v>Domaine Tempier</v>
      </c>
      <c r="C3458" s="1178" t="s">
        <v>21707</v>
      </c>
      <c r="D3458" s="1178" t="s">
        <v>897</v>
      </c>
      <c r="E3458" s="1179">
        <v>2016</v>
      </c>
      <c r="F3458" s="1282" t="s">
        <v>20288</v>
      </c>
      <c r="G3458" s="1368">
        <v>199.5</v>
      </c>
      <c r="H3458" s="1178" t="s">
        <v>20224</v>
      </c>
      <c r="I3458" s="1178" t="s">
        <v>10521</v>
      </c>
      <c r="J3458" s="1178" t="s">
        <v>662</v>
      </c>
      <c r="K3458" s="1178" t="s">
        <v>331</v>
      </c>
      <c r="L3458" s="1178" t="s">
        <v>341</v>
      </c>
      <c r="M3458" s="1369"/>
      <c r="N3458" s="1178"/>
      <c r="O3458" s="1178">
        <v>1</v>
      </c>
      <c r="P3458" s="1178">
        <v>15</v>
      </c>
    </row>
    <row r="3459" spans="1:16">
      <c r="A3459" s="1178" t="s">
        <v>347</v>
      </c>
      <c r="B3459" s="1371" t="str">
        <f>HYPERLINK(IFERROR("#Main_Tariff!A"&amp;MATCH(Raeburn_Main_Tariff[[#This Row],[Product Code]],Main_Tariff!I:I,0),"#Main_Tariff!A"&amp;MATCH("*"&amp;RIGHT(A3459,8)&amp;"*",Main_Tariff!A:A,0)),Raeburn_Main_Tariff[[#This Row],[PRODUCER]])</f>
        <v>Albert Vevey</v>
      </c>
      <c r="C3459" s="1178" t="s">
        <v>21708</v>
      </c>
      <c r="D3459" s="1178" t="s">
        <v>1129</v>
      </c>
      <c r="E3459" s="1179">
        <v>2018</v>
      </c>
      <c r="F3459" s="1282" t="s">
        <v>20220</v>
      </c>
      <c r="G3459" s="1368">
        <v>21</v>
      </c>
      <c r="H3459" s="1178" t="s">
        <v>20465</v>
      </c>
      <c r="I3459" s="1178" t="s">
        <v>10531</v>
      </c>
      <c r="J3459" s="1178" t="s">
        <v>668</v>
      </c>
      <c r="K3459" s="1178" t="s">
        <v>346</v>
      </c>
      <c r="L3459" s="1178"/>
      <c r="M3459" s="1369"/>
      <c r="N3459" s="1178"/>
      <c r="O3459" s="1178">
        <v>12</v>
      </c>
      <c r="P3459" s="1178">
        <v>12.5</v>
      </c>
    </row>
    <row r="3460" spans="1:16">
      <c r="A3460" s="1178" t="s">
        <v>349</v>
      </c>
      <c r="B3460" s="1371" t="str">
        <f>HYPERLINK(IFERROR("#Main_Tariff!A"&amp;MATCH(Raeburn_Main_Tariff[[#This Row],[Product Code]],Main_Tariff!I:I,0),"#Main_Tariff!A"&amp;MATCH("*"&amp;RIGHT(A3460,8)&amp;"*",Main_Tariff!A:A,0)),Raeburn_Main_Tariff[[#This Row],[PRODUCER]])</f>
        <v>Tenuta Anfosso</v>
      </c>
      <c r="C3460" s="1178" t="s">
        <v>21709</v>
      </c>
      <c r="D3460" s="1178" t="s">
        <v>21143</v>
      </c>
      <c r="E3460" s="1179">
        <v>2019</v>
      </c>
      <c r="F3460" s="1282" t="s">
        <v>20220</v>
      </c>
      <c r="G3460" s="1368">
        <v>27.5</v>
      </c>
      <c r="H3460" s="1178" t="s">
        <v>20221</v>
      </c>
      <c r="I3460" s="1178" t="s">
        <v>10546</v>
      </c>
      <c r="J3460" s="1178" t="s">
        <v>668</v>
      </c>
      <c r="K3460" s="1178" t="s">
        <v>348</v>
      </c>
      <c r="L3460" s="1178"/>
      <c r="M3460" s="1369"/>
      <c r="N3460" s="1178"/>
      <c r="O3460" s="1178">
        <v>6</v>
      </c>
      <c r="P3460" s="1178">
        <v>13</v>
      </c>
    </row>
    <row r="3461" spans="1:16">
      <c r="A3461" s="1178" t="s">
        <v>349</v>
      </c>
      <c r="B3461" s="1371" t="str">
        <f>HYPERLINK(IFERROR("#Main_Tariff!A"&amp;MATCH(Raeburn_Main_Tariff[[#This Row],[Product Code]],Main_Tariff!I:I,0),"#Main_Tariff!A"&amp;MATCH("*"&amp;RIGHT(A3461,8)&amp;"*",Main_Tariff!A:A,0)),Raeburn_Main_Tariff[[#This Row],[PRODUCER]])</f>
        <v>Tenuta Anfosso</v>
      </c>
      <c r="C3461" s="1178" t="s">
        <v>21709</v>
      </c>
      <c r="D3461" s="1178" t="s">
        <v>21143</v>
      </c>
      <c r="E3461" s="1179">
        <v>2015</v>
      </c>
      <c r="F3461" s="1282" t="s">
        <v>20220</v>
      </c>
      <c r="G3461" s="1368">
        <v>22.5</v>
      </c>
      <c r="H3461" s="1178" t="s">
        <v>20221</v>
      </c>
      <c r="I3461" s="1178" t="s">
        <v>10548</v>
      </c>
      <c r="J3461" s="1178" t="s">
        <v>668</v>
      </c>
      <c r="K3461" s="1178" t="s">
        <v>348</v>
      </c>
      <c r="L3461" s="1178"/>
      <c r="M3461" s="1369"/>
      <c r="N3461" s="1178"/>
      <c r="O3461" s="1178">
        <v>12</v>
      </c>
      <c r="P3461" s="1178">
        <v>13.5</v>
      </c>
    </row>
    <row r="3462" spans="1:16">
      <c r="A3462" s="1178" t="s">
        <v>349</v>
      </c>
      <c r="B3462" s="1371" t="str">
        <f>HYPERLINK(IFERROR("#Main_Tariff!A"&amp;MATCH(Raeburn_Main_Tariff[[#This Row],[Product Code]],Main_Tariff!I:I,0),"#Main_Tariff!A"&amp;MATCH("*"&amp;RIGHT(A3462,8)&amp;"*",Main_Tariff!A:A,0)),Raeburn_Main_Tariff[[#This Row],[PRODUCER]])</f>
        <v>Tenuta Anfosso</v>
      </c>
      <c r="C3462" s="1178" t="s">
        <v>21710</v>
      </c>
      <c r="D3462" s="1178" t="s">
        <v>2573</v>
      </c>
      <c r="E3462" s="1179">
        <v>2015</v>
      </c>
      <c r="F3462" s="1282" t="s">
        <v>20220</v>
      </c>
      <c r="G3462" s="1368">
        <v>15</v>
      </c>
      <c r="H3462" s="1178" t="s">
        <v>20221</v>
      </c>
      <c r="I3462" s="1178" t="s">
        <v>10550</v>
      </c>
      <c r="J3462" s="1178" t="s">
        <v>668</v>
      </c>
      <c r="K3462" s="1178" t="s">
        <v>348</v>
      </c>
      <c r="L3462" s="1178"/>
      <c r="M3462" s="1369"/>
      <c r="N3462" s="1178"/>
      <c r="O3462" s="1178">
        <v>12</v>
      </c>
      <c r="P3462" s="1178">
        <v>13</v>
      </c>
    </row>
    <row r="3463" spans="1:16">
      <c r="A3463" s="1178" t="s">
        <v>349</v>
      </c>
      <c r="B3463" s="1371" t="str">
        <f>HYPERLINK(IFERROR("#Main_Tariff!A"&amp;MATCH(Raeburn_Main_Tariff[[#This Row],[Product Code]],Main_Tariff!I:I,0),"#Main_Tariff!A"&amp;MATCH("*"&amp;RIGHT(A3463,8)&amp;"*",Main_Tariff!A:A,0)),Raeburn_Main_Tariff[[#This Row],[PRODUCER]])</f>
        <v>Tenuta Anfosso</v>
      </c>
      <c r="C3463" s="1178" t="s">
        <v>21711</v>
      </c>
      <c r="D3463" s="1178" t="s">
        <v>897</v>
      </c>
      <c r="E3463" s="1179">
        <v>2016</v>
      </c>
      <c r="F3463" s="1282" t="s">
        <v>20220</v>
      </c>
      <c r="G3463" s="1368">
        <v>19.75</v>
      </c>
      <c r="H3463" s="1178" t="s">
        <v>20221</v>
      </c>
      <c r="I3463" s="1178" t="s">
        <v>10553</v>
      </c>
      <c r="J3463" s="1178" t="s">
        <v>668</v>
      </c>
      <c r="K3463" s="1178" t="s">
        <v>348</v>
      </c>
      <c r="L3463" s="1178"/>
      <c r="M3463" s="1369"/>
      <c r="N3463" s="1178"/>
      <c r="O3463" s="1178">
        <v>6</v>
      </c>
      <c r="P3463" s="1178">
        <v>13.5</v>
      </c>
    </row>
    <row r="3464" spans="1:16">
      <c r="A3464" s="1178" t="s">
        <v>349</v>
      </c>
      <c r="B3464" s="1371" t="str">
        <f>HYPERLINK(IFERROR("#Main_Tariff!A"&amp;MATCH(Raeburn_Main_Tariff[[#This Row],[Product Code]],Main_Tariff!I:I,0),"#Main_Tariff!A"&amp;MATCH("*"&amp;RIGHT(A3464,8)&amp;"*",Main_Tariff!A:A,0)),Raeburn_Main_Tariff[[#This Row],[PRODUCER]])</f>
        <v>Tenuta Anfosso</v>
      </c>
      <c r="C3464" s="1178" t="s">
        <v>21712</v>
      </c>
      <c r="D3464" s="1178" t="s">
        <v>897</v>
      </c>
      <c r="E3464" s="1179">
        <v>2014</v>
      </c>
      <c r="F3464" s="1282" t="s">
        <v>20220</v>
      </c>
      <c r="G3464" s="1368">
        <v>22.5</v>
      </c>
      <c r="H3464" s="1178" t="s">
        <v>20221</v>
      </c>
      <c r="I3464" s="1178" t="s">
        <v>10555</v>
      </c>
      <c r="J3464" s="1178" t="s">
        <v>668</v>
      </c>
      <c r="K3464" s="1178" t="s">
        <v>348</v>
      </c>
      <c r="L3464" s="1178"/>
      <c r="M3464" s="1369"/>
      <c r="N3464" s="1178"/>
      <c r="O3464" s="1178">
        <v>12</v>
      </c>
      <c r="P3464" s="1178">
        <v>13.5</v>
      </c>
    </row>
    <row r="3465" spans="1:16">
      <c r="A3465" s="1178" t="s">
        <v>349</v>
      </c>
      <c r="B3465" s="1371" t="str">
        <f>HYPERLINK(IFERROR("#Main_Tariff!A"&amp;MATCH(Raeburn_Main_Tariff[[#This Row],[Product Code]],Main_Tariff!I:I,0),"#Main_Tariff!A"&amp;MATCH("*"&amp;RIGHT(A3465,8)&amp;"*",Main_Tariff!A:A,0)),Raeburn_Main_Tariff[[#This Row],[PRODUCER]])</f>
        <v>Tenuta Anfosso</v>
      </c>
      <c r="C3465" s="1178" t="s">
        <v>21713</v>
      </c>
      <c r="D3465" s="1178" t="s">
        <v>897</v>
      </c>
      <c r="E3465" s="1179">
        <v>2018</v>
      </c>
      <c r="F3465" s="1282" t="s">
        <v>20220</v>
      </c>
      <c r="G3465" s="1368">
        <v>22</v>
      </c>
      <c r="H3465" s="1178" t="s">
        <v>20221</v>
      </c>
      <c r="I3465" s="1178" t="s">
        <v>10557</v>
      </c>
      <c r="J3465" s="1178" t="s">
        <v>668</v>
      </c>
      <c r="K3465" s="1178" t="s">
        <v>348</v>
      </c>
      <c r="L3465" s="1178"/>
      <c r="M3465" s="1369"/>
      <c r="N3465" s="1178"/>
      <c r="O3465" s="1178">
        <v>6</v>
      </c>
      <c r="P3465" s="1178">
        <v>13.5</v>
      </c>
    </row>
    <row r="3466" spans="1:16">
      <c r="A3466" s="1178" t="s">
        <v>349</v>
      </c>
      <c r="B3466" s="1371" t="str">
        <f>HYPERLINK(IFERROR("#Main_Tariff!A"&amp;MATCH(Raeburn_Main_Tariff[[#This Row],[Product Code]],Main_Tariff!I:I,0),"#Main_Tariff!A"&amp;MATCH("*"&amp;RIGHT(A3466,8)&amp;"*",Main_Tariff!A:A,0)),Raeburn_Main_Tariff[[#This Row],[PRODUCER]])</f>
        <v>Tenuta Anfosso</v>
      </c>
      <c r="C3466" s="1178" t="s">
        <v>21714</v>
      </c>
      <c r="D3466" s="1178" t="s">
        <v>897</v>
      </c>
      <c r="E3466" s="1179">
        <v>2018</v>
      </c>
      <c r="F3466" s="1282" t="s">
        <v>20220</v>
      </c>
      <c r="G3466" s="1368">
        <v>24</v>
      </c>
      <c r="H3466" s="1178" t="s">
        <v>20221</v>
      </c>
      <c r="I3466" s="1178" t="s">
        <v>10559</v>
      </c>
      <c r="J3466" s="1178" t="s">
        <v>668</v>
      </c>
      <c r="K3466" s="1178" t="s">
        <v>348</v>
      </c>
      <c r="L3466" s="1178"/>
      <c r="M3466" s="1369"/>
      <c r="N3466" s="1178"/>
      <c r="O3466" s="1178">
        <v>6</v>
      </c>
      <c r="P3466" s="1178">
        <v>13.5</v>
      </c>
    </row>
    <row r="3467" spans="1:16">
      <c r="A3467" s="1178" t="s">
        <v>349</v>
      </c>
      <c r="B3467" s="1371" t="str">
        <f>HYPERLINK(IFERROR("#Main_Tariff!A"&amp;MATCH(Raeburn_Main_Tariff[[#This Row],[Product Code]],Main_Tariff!I:I,0),"#Main_Tariff!A"&amp;MATCH("*"&amp;RIGHT(A3467,8)&amp;"*",Main_Tariff!A:A,0)),Raeburn_Main_Tariff[[#This Row],[PRODUCER]])</f>
        <v>Tenuta Anfosso</v>
      </c>
      <c r="C3467" s="1178" t="s">
        <v>21714</v>
      </c>
      <c r="D3467" s="1178" t="s">
        <v>897</v>
      </c>
      <c r="E3467" s="1179">
        <v>2015</v>
      </c>
      <c r="F3467" s="1282" t="s">
        <v>20220</v>
      </c>
      <c r="G3467" s="1368">
        <v>24</v>
      </c>
      <c r="H3467" s="1178" t="s">
        <v>20221</v>
      </c>
      <c r="I3467" s="1178" t="s">
        <v>10561</v>
      </c>
      <c r="J3467" s="1178" t="s">
        <v>668</v>
      </c>
      <c r="K3467" s="1178" t="s">
        <v>348</v>
      </c>
      <c r="L3467" s="1178"/>
      <c r="M3467" s="1369"/>
      <c r="N3467" s="1178"/>
      <c r="O3467" s="1178">
        <v>6</v>
      </c>
      <c r="P3467" s="1178">
        <v>14</v>
      </c>
    </row>
    <row r="3468" spans="1:16">
      <c r="A3468" s="1178" t="s">
        <v>21715</v>
      </c>
      <c r="B3468" s="1371" t="str">
        <f>HYPERLINK(IFERROR("#Main_Tariff!A"&amp;MATCH(Raeburn_Main_Tariff[[#This Row],[Product Code]],Main_Tariff!I:I,0),"#Main_Tariff!A"&amp;MATCH("*"&amp;RIGHT(A3468,8)&amp;"*",Main_Tariff!A:A,0)),Raeburn_Main_Tariff[[#This Row],[PRODUCER]])</f>
        <v>Passato by Bel Colle</v>
      </c>
      <c r="C3468" s="1178" t="s">
        <v>21716</v>
      </c>
      <c r="D3468" s="1178" t="s">
        <v>897</v>
      </c>
      <c r="E3468" s="1179">
        <v>2020</v>
      </c>
      <c r="F3468" s="1282" t="s">
        <v>20220</v>
      </c>
      <c r="G3468" s="1368">
        <v>15.5</v>
      </c>
      <c r="H3468" s="1178" t="s">
        <v>20221</v>
      </c>
      <c r="I3468" s="1178" t="s">
        <v>10575</v>
      </c>
      <c r="J3468" s="1178" t="s">
        <v>668</v>
      </c>
      <c r="K3468" s="1178" t="s">
        <v>350</v>
      </c>
      <c r="L3468" s="1178" t="s">
        <v>351</v>
      </c>
      <c r="M3468" s="1369"/>
      <c r="N3468" s="1178"/>
      <c r="O3468" s="1178">
        <v>6</v>
      </c>
      <c r="P3468" s="1178">
        <v>15.5</v>
      </c>
    </row>
    <row r="3469" spans="1:16">
      <c r="A3469" s="1178" t="s">
        <v>21715</v>
      </c>
      <c r="B3469" s="1371" t="str">
        <f>HYPERLINK(IFERROR("#Main_Tariff!A"&amp;MATCH(Raeburn_Main_Tariff[[#This Row],[Product Code]],Main_Tariff!I:I,0),"#Main_Tariff!A"&amp;MATCH("*"&amp;RIGHT(A3469,8)&amp;"*",Main_Tariff!A:A,0)),Raeburn_Main_Tariff[[#This Row],[PRODUCER]])</f>
        <v>Passato by Bel Colle</v>
      </c>
      <c r="C3469" s="1178" t="s">
        <v>21717</v>
      </c>
      <c r="D3469" s="1178" t="s">
        <v>897</v>
      </c>
      <c r="E3469" s="1179">
        <v>2020</v>
      </c>
      <c r="F3469" s="1282" t="s">
        <v>20220</v>
      </c>
      <c r="G3469" s="1368">
        <v>15.5</v>
      </c>
      <c r="H3469" s="1178" t="s">
        <v>20221</v>
      </c>
      <c r="I3469" s="1178" t="s">
        <v>10577</v>
      </c>
      <c r="J3469" s="1178" t="s">
        <v>668</v>
      </c>
      <c r="K3469" s="1178" t="s">
        <v>350</v>
      </c>
      <c r="L3469" s="1178" t="s">
        <v>351</v>
      </c>
      <c r="M3469" s="1369"/>
      <c r="N3469" s="1178"/>
      <c r="O3469" s="1178">
        <v>6</v>
      </c>
      <c r="P3469" s="1178">
        <v>14.5</v>
      </c>
    </row>
    <row r="3470" spans="1:16">
      <c r="A3470" s="1178" t="s">
        <v>21715</v>
      </c>
      <c r="B3470" s="1371" t="str">
        <f>HYPERLINK(IFERROR("#Main_Tariff!A"&amp;MATCH(Raeburn_Main_Tariff[[#This Row],[Product Code]],Main_Tariff!I:I,0),"#Main_Tariff!A"&amp;MATCH("*"&amp;RIGHT(A3470,8)&amp;"*",Main_Tariff!A:A,0)),Raeburn_Main_Tariff[[#This Row],[PRODUCER]])</f>
        <v>Passato by Bel Colle</v>
      </c>
      <c r="C3470" s="1178" t="s">
        <v>370</v>
      </c>
      <c r="D3470" s="1178" t="s">
        <v>897</v>
      </c>
      <c r="E3470" s="1179">
        <v>2019</v>
      </c>
      <c r="F3470" s="1282" t="s">
        <v>20220</v>
      </c>
      <c r="G3470" s="1368">
        <v>20.5</v>
      </c>
      <c r="H3470" s="1178" t="s">
        <v>20221</v>
      </c>
      <c r="I3470" s="1178" t="s">
        <v>10580</v>
      </c>
      <c r="J3470" s="1178" t="s">
        <v>668</v>
      </c>
      <c r="K3470" s="1178" t="s">
        <v>350</v>
      </c>
      <c r="L3470" s="1178" t="s">
        <v>351</v>
      </c>
      <c r="M3470" s="1369"/>
      <c r="N3470" s="1178"/>
      <c r="O3470" s="1178">
        <v>6</v>
      </c>
      <c r="P3470" s="1178">
        <v>14.5</v>
      </c>
    </row>
    <row r="3471" spans="1:16">
      <c r="A3471" s="1178" t="s">
        <v>352</v>
      </c>
      <c r="B3471" s="1371" t="str">
        <f>HYPERLINK(IFERROR("#Main_Tariff!A"&amp;MATCH(Raeburn_Main_Tariff[[#This Row],[Product Code]],Main_Tariff!I:I,0),"#Main_Tariff!A"&amp;MATCH("*"&amp;RIGHT(A3471,8)&amp;"*",Main_Tariff!A:A,0)),Raeburn_Main_Tariff[[#This Row],[PRODUCER]])</f>
        <v>Bel Colle</v>
      </c>
      <c r="C3471" s="1178" t="s">
        <v>21718</v>
      </c>
      <c r="D3471" s="1178" t="s">
        <v>1129</v>
      </c>
      <c r="E3471" s="1179">
        <v>2018</v>
      </c>
      <c r="F3471" s="1282" t="s">
        <v>20220</v>
      </c>
      <c r="G3471" s="1368">
        <v>13.5</v>
      </c>
      <c r="H3471" s="1178" t="s">
        <v>20221</v>
      </c>
      <c r="I3471" s="1178" t="s">
        <v>10590</v>
      </c>
      <c r="J3471" s="1178" t="s">
        <v>668</v>
      </c>
      <c r="K3471" s="1178" t="s">
        <v>350</v>
      </c>
      <c r="L3471" s="1178" t="s">
        <v>351</v>
      </c>
      <c r="M3471" s="1369"/>
      <c r="N3471" s="1178"/>
      <c r="O3471" s="1178">
        <v>6</v>
      </c>
      <c r="P3471" s="1178">
        <v>13.5</v>
      </c>
    </row>
    <row r="3472" spans="1:16">
      <c r="A3472" s="1178" t="s">
        <v>352</v>
      </c>
      <c r="B3472" s="1371" t="str">
        <f>HYPERLINK(IFERROR("#Main_Tariff!A"&amp;MATCH(Raeburn_Main_Tariff[[#This Row],[Product Code]],Main_Tariff!I:I,0),"#Main_Tariff!A"&amp;MATCH("*"&amp;RIGHT(A3472,8)&amp;"*",Main_Tariff!A:A,0)),Raeburn_Main_Tariff[[#This Row],[PRODUCER]])</f>
        <v>Bel Colle</v>
      </c>
      <c r="C3472" s="1178" t="s">
        <v>21719</v>
      </c>
      <c r="D3472" s="1178" t="s">
        <v>897</v>
      </c>
      <c r="E3472" s="1179">
        <v>2018</v>
      </c>
      <c r="F3472" s="1282" t="s">
        <v>20220</v>
      </c>
      <c r="G3472" s="1368">
        <v>13.5</v>
      </c>
      <c r="H3472" s="1178" t="s">
        <v>20221</v>
      </c>
      <c r="I3472" s="1178" t="s">
        <v>10591</v>
      </c>
      <c r="J3472" s="1178" t="s">
        <v>668</v>
      </c>
      <c r="K3472" s="1178" t="s">
        <v>350</v>
      </c>
      <c r="L3472" s="1178" t="s">
        <v>351</v>
      </c>
      <c r="M3472" s="1369"/>
      <c r="N3472" s="1178"/>
      <c r="O3472" s="1178">
        <v>6</v>
      </c>
      <c r="P3472" s="1178">
        <v>13.5</v>
      </c>
    </row>
    <row r="3473" spans="1:16">
      <c r="A3473" s="1178" t="s">
        <v>352</v>
      </c>
      <c r="B3473" s="1371" t="str">
        <f>HYPERLINK(IFERROR("#Main_Tariff!A"&amp;MATCH(Raeburn_Main_Tariff[[#This Row],[Product Code]],Main_Tariff!I:I,0),"#Main_Tariff!A"&amp;MATCH("*"&amp;RIGHT(A3473,8)&amp;"*",Main_Tariff!A:A,0)),Raeburn_Main_Tariff[[#This Row],[PRODUCER]])</f>
        <v>Bel Colle</v>
      </c>
      <c r="C3473" s="1178" t="s">
        <v>21720</v>
      </c>
      <c r="D3473" s="1178" t="s">
        <v>897</v>
      </c>
      <c r="E3473" s="1179">
        <v>2018</v>
      </c>
      <c r="F3473" s="1282" t="s">
        <v>20220</v>
      </c>
      <c r="G3473" s="1368">
        <v>13.5</v>
      </c>
      <c r="H3473" s="1178" t="s">
        <v>20221</v>
      </c>
      <c r="I3473" s="1178" t="s">
        <v>10593</v>
      </c>
      <c r="J3473" s="1178" t="s">
        <v>668</v>
      </c>
      <c r="K3473" s="1178" t="s">
        <v>350</v>
      </c>
      <c r="L3473" s="1178" t="s">
        <v>351</v>
      </c>
      <c r="M3473" s="1369"/>
      <c r="N3473" s="1178"/>
      <c r="O3473" s="1178">
        <v>6</v>
      </c>
      <c r="P3473" s="1178">
        <v>14</v>
      </c>
    </row>
    <row r="3474" spans="1:16">
      <c r="A3474" s="1178" t="s">
        <v>352</v>
      </c>
      <c r="B3474" s="1371" t="str">
        <f>HYPERLINK(IFERROR("#Main_Tariff!A"&amp;MATCH(Raeburn_Main_Tariff[[#This Row],[Product Code]],Main_Tariff!I:I,0),"#Main_Tariff!A"&amp;MATCH("*"&amp;RIGHT(A3474,8)&amp;"*",Main_Tariff!A:A,0)),Raeburn_Main_Tariff[[#This Row],[PRODUCER]])</f>
        <v>Bel Colle</v>
      </c>
      <c r="C3474" s="1178" t="s">
        <v>19039</v>
      </c>
      <c r="D3474" s="1178" t="s">
        <v>897</v>
      </c>
      <c r="E3474" s="1179">
        <v>2019</v>
      </c>
      <c r="F3474" s="1282" t="s">
        <v>20220</v>
      </c>
      <c r="G3474" s="1368">
        <v>15.5</v>
      </c>
      <c r="H3474" s="1178" t="s">
        <v>20221</v>
      </c>
      <c r="I3474" s="1178" t="s">
        <v>10595</v>
      </c>
      <c r="J3474" s="1178" t="s">
        <v>668</v>
      </c>
      <c r="K3474" s="1178" t="s">
        <v>350</v>
      </c>
      <c r="L3474" s="1178" t="s">
        <v>351</v>
      </c>
      <c r="M3474" s="1369"/>
      <c r="N3474" s="1178"/>
      <c r="O3474" s="1178">
        <v>6</v>
      </c>
      <c r="P3474" s="1178">
        <v>14.5</v>
      </c>
    </row>
    <row r="3475" spans="1:16">
      <c r="A3475" s="1178" t="s">
        <v>352</v>
      </c>
      <c r="B3475" s="1371" t="str">
        <f>HYPERLINK(IFERROR("#Main_Tariff!A"&amp;MATCH(Raeburn_Main_Tariff[[#This Row],[Product Code]],Main_Tariff!I:I,0),"#Main_Tariff!A"&amp;MATCH("*"&amp;RIGHT(A3475,8)&amp;"*",Main_Tariff!A:A,0)),Raeburn_Main_Tariff[[#This Row],[PRODUCER]])</f>
        <v>Bel Colle</v>
      </c>
      <c r="C3475" s="1178" t="s">
        <v>21721</v>
      </c>
      <c r="D3475" s="1178" t="s">
        <v>897</v>
      </c>
      <c r="E3475" s="1179">
        <v>2014</v>
      </c>
      <c r="F3475" s="1282" t="s">
        <v>20220</v>
      </c>
      <c r="G3475" s="1368">
        <v>17</v>
      </c>
      <c r="H3475" s="1178" t="s">
        <v>20221</v>
      </c>
      <c r="I3475" s="1178" t="s">
        <v>10596</v>
      </c>
      <c r="J3475" s="1178" t="s">
        <v>668</v>
      </c>
      <c r="K3475" s="1178" t="s">
        <v>350</v>
      </c>
      <c r="L3475" s="1178" t="s">
        <v>351</v>
      </c>
      <c r="M3475" s="1369"/>
      <c r="N3475" s="1178"/>
      <c r="O3475" s="1178">
        <v>6</v>
      </c>
      <c r="P3475" s="1178">
        <v>14</v>
      </c>
    </row>
    <row r="3476" spans="1:16">
      <c r="A3476" s="1178" t="s">
        <v>352</v>
      </c>
      <c r="B3476" s="1371" t="str">
        <f>HYPERLINK(IFERROR("#Main_Tariff!A"&amp;MATCH(Raeburn_Main_Tariff[[#This Row],[Product Code]],Main_Tariff!I:I,0),"#Main_Tariff!A"&amp;MATCH("*"&amp;RIGHT(A3476,8)&amp;"*",Main_Tariff!A:A,0)),Raeburn_Main_Tariff[[#This Row],[PRODUCER]])</f>
        <v>Bel Colle</v>
      </c>
      <c r="C3476" s="1178" t="s">
        <v>21722</v>
      </c>
      <c r="D3476" s="1178" t="s">
        <v>897</v>
      </c>
      <c r="E3476" s="1179">
        <v>2019</v>
      </c>
      <c r="F3476" s="1282" t="s">
        <v>20240</v>
      </c>
      <c r="G3476" s="1368">
        <v>33</v>
      </c>
      <c r="H3476" s="1178" t="s">
        <v>20221</v>
      </c>
      <c r="I3476" s="1178" t="s">
        <v>10598</v>
      </c>
      <c r="J3476" s="1178" t="s">
        <v>668</v>
      </c>
      <c r="K3476" s="1178" t="s">
        <v>350</v>
      </c>
      <c r="L3476" s="1178" t="s">
        <v>351</v>
      </c>
      <c r="M3476" s="1369"/>
      <c r="N3476" s="1178"/>
      <c r="O3476" s="1178">
        <v>1</v>
      </c>
      <c r="P3476" s="1178">
        <v>14.5</v>
      </c>
    </row>
    <row r="3477" spans="1:16">
      <c r="A3477" s="1178" t="s">
        <v>352</v>
      </c>
      <c r="B3477" s="1371" t="str">
        <f>HYPERLINK(IFERROR("#Main_Tariff!A"&amp;MATCH(Raeburn_Main_Tariff[[#This Row],[Product Code]],Main_Tariff!I:I,0),"#Main_Tariff!A"&amp;MATCH("*"&amp;RIGHT(A3477,8)&amp;"*",Main_Tariff!A:A,0)),Raeburn_Main_Tariff[[#This Row],[PRODUCER]])</f>
        <v>Bel Colle</v>
      </c>
      <c r="C3477" s="1178" t="s">
        <v>21722</v>
      </c>
      <c r="D3477" s="1178" t="s">
        <v>897</v>
      </c>
      <c r="E3477" s="1179">
        <v>2018</v>
      </c>
      <c r="F3477" s="1282" t="s">
        <v>20240</v>
      </c>
      <c r="G3477" s="1368">
        <v>33</v>
      </c>
      <c r="H3477" s="1178" t="s">
        <v>20221</v>
      </c>
      <c r="I3477" s="1178" t="s">
        <v>10599</v>
      </c>
      <c r="J3477" s="1178" t="s">
        <v>668</v>
      </c>
      <c r="K3477" s="1178" t="s">
        <v>350</v>
      </c>
      <c r="L3477" s="1178" t="s">
        <v>351</v>
      </c>
      <c r="M3477" s="1369"/>
      <c r="N3477" s="1178"/>
      <c r="O3477" s="1178">
        <v>6</v>
      </c>
      <c r="P3477" s="1178">
        <v>14</v>
      </c>
    </row>
    <row r="3478" spans="1:16">
      <c r="A3478" s="1178" t="s">
        <v>352</v>
      </c>
      <c r="B3478" s="1371" t="str">
        <f>HYPERLINK(IFERROR("#Main_Tariff!A"&amp;MATCH(Raeburn_Main_Tariff[[#This Row],[Product Code]],Main_Tariff!I:I,0),"#Main_Tariff!A"&amp;MATCH("*"&amp;RIGHT(A3478,8)&amp;"*",Main_Tariff!A:A,0)),Raeburn_Main_Tariff[[#This Row],[PRODUCER]])</f>
        <v>Bel Colle</v>
      </c>
      <c r="C3478" s="1178" t="s">
        <v>21723</v>
      </c>
      <c r="D3478" s="1178" t="s">
        <v>897</v>
      </c>
      <c r="E3478" s="1179">
        <v>2019</v>
      </c>
      <c r="F3478" s="1282" t="s">
        <v>20220</v>
      </c>
      <c r="G3478" s="1368">
        <v>25</v>
      </c>
      <c r="H3478" s="1178" t="s">
        <v>20221</v>
      </c>
      <c r="I3478" s="1178" t="s">
        <v>10601</v>
      </c>
      <c r="J3478" s="1178" t="s">
        <v>668</v>
      </c>
      <c r="K3478" s="1178" t="s">
        <v>350</v>
      </c>
      <c r="L3478" s="1178" t="s">
        <v>351</v>
      </c>
      <c r="M3478" s="1369"/>
      <c r="N3478" s="1178"/>
      <c r="O3478" s="1178">
        <v>6</v>
      </c>
      <c r="P3478" s="1178">
        <v>14.5</v>
      </c>
    </row>
    <row r="3479" spans="1:16">
      <c r="A3479" s="1178" t="s">
        <v>352</v>
      </c>
      <c r="B3479" s="1371" t="str">
        <f>HYPERLINK(IFERROR("#Main_Tariff!A"&amp;MATCH(Raeburn_Main_Tariff[[#This Row],[Product Code]],Main_Tariff!I:I,0),"#Main_Tariff!A"&amp;MATCH("*"&amp;RIGHT(A3479,8)&amp;"*",Main_Tariff!A:A,0)),Raeburn_Main_Tariff[[#This Row],[PRODUCER]])</f>
        <v>Bel Colle</v>
      </c>
      <c r="C3479" s="1178" t="s">
        <v>21724</v>
      </c>
      <c r="D3479" s="1178" t="s">
        <v>897</v>
      </c>
      <c r="E3479" s="1179">
        <v>2017</v>
      </c>
      <c r="F3479" s="1282" t="s">
        <v>20220</v>
      </c>
      <c r="G3479" s="1368">
        <v>24</v>
      </c>
      <c r="H3479" s="1178" t="s">
        <v>20221</v>
      </c>
      <c r="I3479" s="1178" t="s">
        <v>10605</v>
      </c>
      <c r="J3479" s="1178" t="s">
        <v>668</v>
      </c>
      <c r="K3479" s="1178" t="s">
        <v>350</v>
      </c>
      <c r="L3479" s="1178" t="s">
        <v>351</v>
      </c>
      <c r="M3479" s="1369"/>
      <c r="N3479" s="1178"/>
      <c r="O3479" s="1178">
        <v>6</v>
      </c>
      <c r="P3479" s="1178">
        <v>14.5</v>
      </c>
    </row>
    <row r="3480" spans="1:16">
      <c r="A3480" s="1178" t="s">
        <v>352</v>
      </c>
      <c r="B3480" s="1371" t="str">
        <f>HYPERLINK(IFERROR("#Main_Tariff!A"&amp;MATCH(Raeburn_Main_Tariff[[#This Row],[Product Code]],Main_Tariff!I:I,0),"#Main_Tariff!A"&amp;MATCH("*"&amp;RIGHT(A3480,8)&amp;"*",Main_Tariff!A:A,0)),Raeburn_Main_Tariff[[#This Row],[PRODUCER]])</f>
        <v>Bel Colle</v>
      </c>
      <c r="C3480" s="1178" t="s">
        <v>21725</v>
      </c>
      <c r="D3480" s="1178" t="s">
        <v>897</v>
      </c>
      <c r="E3480" s="1179">
        <v>2018</v>
      </c>
      <c r="F3480" s="1282" t="s">
        <v>20220</v>
      </c>
      <c r="G3480" s="1368">
        <v>27</v>
      </c>
      <c r="H3480" s="1178" t="s">
        <v>20221</v>
      </c>
      <c r="I3480" s="1178" t="s">
        <v>10607</v>
      </c>
      <c r="J3480" s="1178" t="s">
        <v>668</v>
      </c>
      <c r="K3480" s="1178" t="s">
        <v>350</v>
      </c>
      <c r="L3480" s="1178" t="s">
        <v>351</v>
      </c>
      <c r="M3480" s="1369"/>
      <c r="N3480" s="1178"/>
      <c r="O3480" s="1178">
        <v>6</v>
      </c>
      <c r="P3480" s="1178">
        <v>14.5</v>
      </c>
    </row>
    <row r="3481" spans="1:16">
      <c r="A3481" s="1178" t="s">
        <v>352</v>
      </c>
      <c r="B3481" s="1371" t="str">
        <f>HYPERLINK(IFERROR("#Main_Tariff!A"&amp;MATCH(Raeburn_Main_Tariff[[#This Row],[Product Code]],Main_Tariff!I:I,0),"#Main_Tariff!A"&amp;MATCH("*"&amp;RIGHT(A3481,8)&amp;"*",Main_Tariff!A:A,0)),Raeburn_Main_Tariff[[#This Row],[PRODUCER]])</f>
        <v>Bel Colle</v>
      </c>
      <c r="C3481" s="1178" t="s">
        <v>21726</v>
      </c>
      <c r="D3481" s="1178" t="s">
        <v>897</v>
      </c>
      <c r="E3481" s="1179">
        <v>2018</v>
      </c>
      <c r="F3481" s="1282" t="s">
        <v>20220</v>
      </c>
      <c r="G3481" s="1368">
        <v>27</v>
      </c>
      <c r="H3481" s="1178" t="s">
        <v>20221</v>
      </c>
      <c r="I3481" s="1178" t="s">
        <v>10609</v>
      </c>
      <c r="J3481" s="1178" t="s">
        <v>668</v>
      </c>
      <c r="K3481" s="1178" t="s">
        <v>350</v>
      </c>
      <c r="L3481" s="1178" t="s">
        <v>351</v>
      </c>
      <c r="M3481" s="1369"/>
      <c r="N3481" s="1178"/>
      <c r="O3481" s="1178">
        <v>6</v>
      </c>
      <c r="P3481" s="1178">
        <v>14.5</v>
      </c>
    </row>
    <row r="3482" spans="1:16">
      <c r="A3482" s="1178" t="s">
        <v>352</v>
      </c>
      <c r="B3482" s="1371" t="str">
        <f>HYPERLINK(IFERROR("#Main_Tariff!A"&amp;MATCH(Raeburn_Main_Tariff[[#This Row],[Product Code]],Main_Tariff!I:I,0),"#Main_Tariff!A"&amp;MATCH("*"&amp;RIGHT(A3482,8)&amp;"*",Main_Tariff!A:A,0)),Raeburn_Main_Tariff[[#This Row],[PRODUCER]])</f>
        <v>Bel Colle</v>
      </c>
      <c r="C3482" s="1178" t="s">
        <v>21726</v>
      </c>
      <c r="D3482" s="1178" t="s">
        <v>897</v>
      </c>
      <c r="E3482" s="1179">
        <v>2017</v>
      </c>
      <c r="F3482" s="1282" t="s">
        <v>20220</v>
      </c>
      <c r="G3482" s="1368">
        <v>27</v>
      </c>
      <c r="H3482" s="1178" t="s">
        <v>20221</v>
      </c>
      <c r="I3482" s="1178" t="s">
        <v>10611</v>
      </c>
      <c r="J3482" s="1178" t="s">
        <v>668</v>
      </c>
      <c r="K3482" s="1178" t="s">
        <v>350</v>
      </c>
      <c r="L3482" s="1178" t="s">
        <v>351</v>
      </c>
      <c r="M3482" s="1369"/>
      <c r="N3482" s="1178"/>
      <c r="O3482" s="1178">
        <v>6</v>
      </c>
      <c r="P3482" s="1178">
        <v>14.5</v>
      </c>
    </row>
    <row r="3483" spans="1:16">
      <c r="A3483" s="1178" t="s">
        <v>352</v>
      </c>
      <c r="B3483" s="1371" t="str">
        <f>HYPERLINK(IFERROR("#Main_Tariff!A"&amp;MATCH(Raeburn_Main_Tariff[[#This Row],[Product Code]],Main_Tariff!I:I,0),"#Main_Tariff!A"&amp;MATCH("*"&amp;RIGHT(A3483,8)&amp;"*",Main_Tariff!A:A,0)),Raeburn_Main_Tariff[[#This Row],[PRODUCER]])</f>
        <v>Bel Colle</v>
      </c>
      <c r="C3483" s="1178" t="s">
        <v>21726</v>
      </c>
      <c r="D3483" s="1178" t="s">
        <v>897</v>
      </c>
      <c r="E3483" s="1179">
        <v>2015</v>
      </c>
      <c r="F3483" s="1282" t="s">
        <v>20220</v>
      </c>
      <c r="G3483" s="1368">
        <v>27</v>
      </c>
      <c r="H3483" s="1178" t="s">
        <v>20221</v>
      </c>
      <c r="I3483" s="1178" t="s">
        <v>10613</v>
      </c>
      <c r="J3483" s="1178" t="s">
        <v>668</v>
      </c>
      <c r="K3483" s="1178" t="s">
        <v>350</v>
      </c>
      <c r="L3483" s="1178" t="s">
        <v>351</v>
      </c>
      <c r="M3483" s="1369"/>
      <c r="N3483" s="1178"/>
      <c r="O3483" s="1178">
        <v>6</v>
      </c>
      <c r="P3483" s="1178">
        <v>14.5</v>
      </c>
    </row>
    <row r="3484" spans="1:16">
      <c r="A3484" s="1178" t="s">
        <v>352</v>
      </c>
      <c r="B3484" s="1371" t="str">
        <f>HYPERLINK(IFERROR("#Main_Tariff!A"&amp;MATCH(Raeburn_Main_Tariff[[#This Row],[Product Code]],Main_Tariff!I:I,0),"#Main_Tariff!A"&amp;MATCH("*"&amp;RIGHT(A3484,8)&amp;"*",Main_Tariff!A:A,0)),Raeburn_Main_Tariff[[#This Row],[PRODUCER]])</f>
        <v>Bel Colle</v>
      </c>
      <c r="C3484" s="1178" t="s">
        <v>21727</v>
      </c>
      <c r="D3484" s="1178" t="s">
        <v>897</v>
      </c>
      <c r="E3484" s="1179">
        <v>2010</v>
      </c>
      <c r="F3484" s="1282" t="s">
        <v>20220</v>
      </c>
      <c r="G3484" s="1368">
        <v>26</v>
      </c>
      <c r="H3484" s="1178" t="s">
        <v>20277</v>
      </c>
      <c r="I3484" s="1178" t="s">
        <v>10615</v>
      </c>
      <c r="J3484" s="1178" t="s">
        <v>668</v>
      </c>
      <c r="K3484" s="1178" t="s">
        <v>350</v>
      </c>
      <c r="L3484" s="1178" t="s">
        <v>351</v>
      </c>
      <c r="M3484" s="1369"/>
      <c r="N3484" s="1178"/>
      <c r="O3484" s="1178">
        <v>6</v>
      </c>
      <c r="P3484" s="1178">
        <v>14.5</v>
      </c>
    </row>
    <row r="3485" spans="1:16">
      <c r="A3485" s="1178" t="s">
        <v>352</v>
      </c>
      <c r="B3485" s="1371" t="str">
        <f>HYPERLINK(IFERROR("#Main_Tariff!A"&amp;MATCH(Raeburn_Main_Tariff[[#This Row],[Product Code]],Main_Tariff!I:I,0),"#Main_Tariff!A"&amp;MATCH("*"&amp;RIGHT(A3485,8)&amp;"*",Main_Tariff!A:A,0)),Raeburn_Main_Tariff[[#This Row],[PRODUCER]])</f>
        <v>Bel Colle</v>
      </c>
      <c r="C3485" s="1178" t="s">
        <v>21728</v>
      </c>
      <c r="D3485" s="1178" t="s">
        <v>897</v>
      </c>
      <c r="E3485" s="1179">
        <v>2016</v>
      </c>
      <c r="F3485" s="1282" t="s">
        <v>20240</v>
      </c>
      <c r="G3485" s="1368">
        <v>55.5</v>
      </c>
      <c r="H3485" s="1178" t="s">
        <v>20224</v>
      </c>
      <c r="I3485" s="1178" t="s">
        <v>10618</v>
      </c>
      <c r="J3485" s="1178" t="s">
        <v>668</v>
      </c>
      <c r="K3485" s="1178" t="s">
        <v>350</v>
      </c>
      <c r="L3485" s="1178" t="s">
        <v>351</v>
      </c>
      <c r="M3485" s="1369"/>
      <c r="N3485" s="1178"/>
      <c r="O3485" s="1178">
        <v>1</v>
      </c>
      <c r="P3485" s="1178">
        <v>14.5</v>
      </c>
    </row>
    <row r="3486" spans="1:16">
      <c r="A3486" s="1178" t="s">
        <v>352</v>
      </c>
      <c r="B3486" s="1371" t="str">
        <f>HYPERLINK(IFERROR("#Main_Tariff!A"&amp;MATCH(Raeburn_Main_Tariff[[#This Row],[Product Code]],Main_Tariff!I:I,0),"#Main_Tariff!A"&amp;MATCH("*"&amp;RIGHT(A3486,8)&amp;"*",Main_Tariff!A:A,0)),Raeburn_Main_Tariff[[#This Row],[PRODUCER]])</f>
        <v>Bel Colle</v>
      </c>
      <c r="C3486" s="1178" t="s">
        <v>21729</v>
      </c>
      <c r="D3486" s="1178" t="s">
        <v>897</v>
      </c>
      <c r="E3486" s="1179">
        <v>2016</v>
      </c>
      <c r="F3486" s="1282" t="s">
        <v>20240</v>
      </c>
      <c r="G3486" s="1368">
        <v>59.5</v>
      </c>
      <c r="H3486" s="1178" t="s">
        <v>20221</v>
      </c>
      <c r="I3486" s="1178" t="s">
        <v>10620</v>
      </c>
      <c r="J3486" s="1178" t="s">
        <v>668</v>
      </c>
      <c r="K3486" s="1178" t="s">
        <v>350</v>
      </c>
      <c r="L3486" s="1178" t="s">
        <v>351</v>
      </c>
      <c r="M3486" s="1369"/>
      <c r="N3486" s="1178"/>
      <c r="O3486" s="1178">
        <v>6</v>
      </c>
      <c r="P3486" s="1178">
        <v>14.5</v>
      </c>
    </row>
    <row r="3487" spans="1:16">
      <c r="A3487" s="1178" t="s">
        <v>352</v>
      </c>
      <c r="B3487" s="1371" t="str">
        <f>HYPERLINK(IFERROR("#Main_Tariff!A"&amp;MATCH(Raeburn_Main_Tariff[[#This Row],[Product Code]],Main_Tariff!I:I,0),"#Main_Tariff!A"&amp;MATCH("*"&amp;RIGHT(A3487,8)&amp;"*",Main_Tariff!A:A,0)),Raeburn_Main_Tariff[[#This Row],[PRODUCER]])</f>
        <v>Bel Colle</v>
      </c>
      <c r="C3487" s="1178" t="s">
        <v>21729</v>
      </c>
      <c r="D3487" s="1178" t="s">
        <v>897</v>
      </c>
      <c r="E3487" s="1179">
        <v>2013</v>
      </c>
      <c r="F3487" s="1282" t="s">
        <v>20240</v>
      </c>
      <c r="G3487" s="1368">
        <v>59.5</v>
      </c>
      <c r="H3487" s="1178" t="s">
        <v>20224</v>
      </c>
      <c r="I3487" s="1178" t="s">
        <v>10622</v>
      </c>
      <c r="J3487" s="1178" t="s">
        <v>668</v>
      </c>
      <c r="K3487" s="1178" t="s">
        <v>350</v>
      </c>
      <c r="L3487" s="1178" t="s">
        <v>351</v>
      </c>
      <c r="M3487" s="1369"/>
      <c r="N3487" s="1178"/>
      <c r="O3487" s="1178">
        <v>1</v>
      </c>
      <c r="P3487" s="1178">
        <v>14.5</v>
      </c>
    </row>
    <row r="3488" spans="1:16">
      <c r="A3488" s="1178" t="s">
        <v>352</v>
      </c>
      <c r="B3488" s="1371" t="str">
        <f>HYPERLINK(IFERROR("#Main_Tariff!A"&amp;MATCH(Raeburn_Main_Tariff[[#This Row],[Product Code]],Main_Tariff!I:I,0),"#Main_Tariff!A"&amp;MATCH("*"&amp;RIGHT(A3488,8)&amp;"*",Main_Tariff!A:A,0)),Raeburn_Main_Tariff[[#This Row],[PRODUCER]])</f>
        <v>Bel Colle</v>
      </c>
      <c r="C3488" s="1178" t="s">
        <v>21730</v>
      </c>
      <c r="D3488" s="1178" t="s">
        <v>897</v>
      </c>
      <c r="E3488" s="1179">
        <v>2016</v>
      </c>
      <c r="F3488" s="1282" t="s">
        <v>20288</v>
      </c>
      <c r="G3488" s="1368">
        <v>125</v>
      </c>
      <c r="H3488" s="1178" t="s">
        <v>20224</v>
      </c>
      <c r="I3488" s="1178" t="s">
        <v>10626</v>
      </c>
      <c r="J3488" s="1178" t="s">
        <v>668</v>
      </c>
      <c r="K3488" s="1178" t="s">
        <v>350</v>
      </c>
      <c r="L3488" s="1178" t="s">
        <v>351</v>
      </c>
      <c r="M3488" s="1369"/>
      <c r="N3488" s="1178"/>
      <c r="O3488" s="1178">
        <v>1</v>
      </c>
      <c r="P3488" s="1178">
        <v>14.5</v>
      </c>
    </row>
    <row r="3489" spans="1:16">
      <c r="A3489" s="1178" t="s">
        <v>352</v>
      </c>
      <c r="B3489" s="1371" t="str">
        <f>HYPERLINK(IFERROR("#Main_Tariff!A"&amp;MATCH(Raeburn_Main_Tariff[[#This Row],[Product Code]],Main_Tariff!I:I,0),"#Main_Tariff!A"&amp;MATCH("*"&amp;RIGHT(A3489,8)&amp;"*",Main_Tariff!A:A,0)),Raeburn_Main_Tariff[[#This Row],[PRODUCER]])</f>
        <v>Bel Colle</v>
      </c>
      <c r="C3489" s="1178" t="s">
        <v>21731</v>
      </c>
      <c r="D3489" s="1178" t="s">
        <v>897</v>
      </c>
      <c r="E3489" s="1179">
        <v>2016</v>
      </c>
      <c r="F3489" s="1282" t="s">
        <v>20471</v>
      </c>
      <c r="G3489" s="1368">
        <v>213</v>
      </c>
      <c r="H3489" s="1178" t="s">
        <v>20224</v>
      </c>
      <c r="I3489" s="1178" t="s">
        <v>10628</v>
      </c>
      <c r="J3489" s="1178" t="s">
        <v>668</v>
      </c>
      <c r="K3489" s="1178" t="s">
        <v>350</v>
      </c>
      <c r="L3489" s="1178" t="s">
        <v>351</v>
      </c>
      <c r="M3489" s="1369"/>
      <c r="N3489" s="1178"/>
      <c r="O3489" s="1178">
        <v>1</v>
      </c>
      <c r="P3489" s="1178">
        <v>14.5</v>
      </c>
    </row>
    <row r="3490" spans="1:16">
      <c r="A3490" s="1178" t="s">
        <v>352</v>
      </c>
      <c r="B3490" s="1371" t="str">
        <f>HYPERLINK(IFERROR("#Main_Tariff!A"&amp;MATCH(Raeburn_Main_Tariff[[#This Row],[Product Code]],Main_Tariff!I:I,0),"#Main_Tariff!A"&amp;MATCH("*"&amp;RIGHT(A3490,8)&amp;"*",Main_Tariff!A:A,0)),Raeburn_Main_Tariff[[#This Row],[PRODUCER]])</f>
        <v>Bel Colle</v>
      </c>
      <c r="C3490" s="1178" t="s">
        <v>21731</v>
      </c>
      <c r="D3490" s="1178" t="s">
        <v>897</v>
      </c>
      <c r="E3490" s="1179">
        <v>2015</v>
      </c>
      <c r="F3490" s="1282" t="s">
        <v>20471</v>
      </c>
      <c r="G3490" s="1368">
        <v>204</v>
      </c>
      <c r="H3490" s="1178" t="s">
        <v>20224</v>
      </c>
      <c r="I3490" s="1178" t="s">
        <v>10630</v>
      </c>
      <c r="J3490" s="1178" t="s">
        <v>668</v>
      </c>
      <c r="K3490" s="1178" t="s">
        <v>350</v>
      </c>
      <c r="L3490" s="1178" t="s">
        <v>351</v>
      </c>
      <c r="M3490" s="1369"/>
      <c r="N3490" s="1178"/>
      <c r="O3490" s="1178">
        <v>1</v>
      </c>
      <c r="P3490" s="1178">
        <v>14.5</v>
      </c>
    </row>
    <row r="3491" spans="1:16">
      <c r="A3491" s="1178" t="s">
        <v>352</v>
      </c>
      <c r="B3491" s="1371" t="str">
        <f>HYPERLINK(IFERROR("#Main_Tariff!A"&amp;MATCH(Raeburn_Main_Tariff[[#This Row],[Product Code]],Main_Tariff!I:I,0),"#Main_Tariff!A"&amp;MATCH("*"&amp;RIGHT(A3491,8)&amp;"*",Main_Tariff!A:A,0)),Raeburn_Main_Tariff[[#This Row],[PRODUCER]])</f>
        <v>Bel Colle</v>
      </c>
      <c r="C3491" s="1178" t="s">
        <v>21732</v>
      </c>
      <c r="D3491" s="1178" t="s">
        <v>897</v>
      </c>
      <c r="E3491" s="1179">
        <v>2016</v>
      </c>
      <c r="F3491" s="1282" t="s">
        <v>20288</v>
      </c>
      <c r="G3491" s="1368">
        <v>131</v>
      </c>
      <c r="H3491" s="1178" t="s">
        <v>20224</v>
      </c>
      <c r="I3491" s="1178" t="s">
        <v>10632</v>
      </c>
      <c r="J3491" s="1178" t="s">
        <v>668</v>
      </c>
      <c r="K3491" s="1178" t="s">
        <v>350</v>
      </c>
      <c r="L3491" s="1178" t="s">
        <v>351</v>
      </c>
      <c r="M3491" s="1369"/>
      <c r="N3491" s="1178"/>
      <c r="O3491" s="1178">
        <v>1</v>
      </c>
      <c r="P3491" s="1178">
        <v>14.5</v>
      </c>
    </row>
    <row r="3492" spans="1:16">
      <c r="A3492" s="1178" t="s">
        <v>352</v>
      </c>
      <c r="B3492" s="1371" t="str">
        <f>HYPERLINK(IFERROR("#Main_Tariff!A"&amp;MATCH(Raeburn_Main_Tariff[[#This Row],[Product Code]],Main_Tariff!I:I,0),"#Main_Tariff!A"&amp;MATCH("*"&amp;RIGHT(A3492,8)&amp;"*",Main_Tariff!A:A,0)),Raeburn_Main_Tariff[[#This Row],[PRODUCER]])</f>
        <v>Bel Colle</v>
      </c>
      <c r="C3492" s="1178" t="s">
        <v>21733</v>
      </c>
      <c r="D3492" s="1178" t="s">
        <v>897</v>
      </c>
      <c r="E3492" s="1179">
        <v>2016</v>
      </c>
      <c r="F3492" s="1282" t="s">
        <v>20471</v>
      </c>
      <c r="G3492" s="1368">
        <v>225</v>
      </c>
      <c r="H3492" s="1178" t="s">
        <v>20224</v>
      </c>
      <c r="I3492" s="1178" t="s">
        <v>10633</v>
      </c>
      <c r="J3492" s="1178" t="s">
        <v>668</v>
      </c>
      <c r="K3492" s="1178" t="s">
        <v>350</v>
      </c>
      <c r="L3492" s="1178" t="s">
        <v>351</v>
      </c>
      <c r="M3492" s="1369"/>
      <c r="N3492" s="1178"/>
      <c r="O3492" s="1178">
        <v>1</v>
      </c>
      <c r="P3492" s="1178">
        <v>14.5</v>
      </c>
    </row>
    <row r="3493" spans="1:16">
      <c r="A3493" s="1178" t="s">
        <v>352</v>
      </c>
      <c r="B3493" s="1371" t="str">
        <f>HYPERLINK(IFERROR("#Main_Tariff!A"&amp;MATCH(Raeburn_Main_Tariff[[#This Row],[Product Code]],Main_Tariff!I:I,0),"#Main_Tariff!A"&amp;MATCH("*"&amp;RIGHT(A3493,8)&amp;"*",Main_Tariff!A:A,0)),Raeburn_Main_Tariff[[#This Row],[PRODUCER]])</f>
        <v>Bel Colle</v>
      </c>
      <c r="C3493" s="1178" t="s">
        <v>21733</v>
      </c>
      <c r="D3493" s="1178" t="s">
        <v>897</v>
      </c>
      <c r="E3493" s="1179">
        <v>2013</v>
      </c>
      <c r="F3493" s="1282" t="s">
        <v>20471</v>
      </c>
      <c r="G3493" s="1368">
        <v>233</v>
      </c>
      <c r="H3493" s="1178" t="s">
        <v>20224</v>
      </c>
      <c r="I3493" s="1178" t="s">
        <v>10634</v>
      </c>
      <c r="J3493" s="1178" t="s">
        <v>668</v>
      </c>
      <c r="K3493" s="1178" t="s">
        <v>350</v>
      </c>
      <c r="L3493" s="1178" t="s">
        <v>351</v>
      </c>
      <c r="M3493" s="1369"/>
      <c r="N3493" s="1178"/>
      <c r="O3493" s="1178">
        <v>1</v>
      </c>
      <c r="P3493" s="1178">
        <v>14.5</v>
      </c>
    </row>
    <row r="3494" spans="1:16">
      <c r="A3494" s="1178" t="s">
        <v>353</v>
      </c>
      <c r="B3494" s="1371" t="str">
        <f>HYPERLINK(IFERROR("#Main_Tariff!A"&amp;MATCH(Raeburn_Main_Tariff[[#This Row],[Product Code]],Main_Tariff!I:I,0),"#Main_Tariff!A"&amp;MATCH("*"&amp;RIGHT(A3494,8)&amp;"*",Main_Tariff!A:A,0)),Raeburn_Main_Tariff[[#This Row],[PRODUCER]])</f>
        <v>Claudio Boggione</v>
      </c>
      <c r="C3494" s="1178" t="s">
        <v>21734</v>
      </c>
      <c r="D3494" s="1178" t="s">
        <v>897</v>
      </c>
      <c r="E3494" s="1179">
        <v>2023</v>
      </c>
      <c r="F3494" s="1282" t="s">
        <v>20220</v>
      </c>
      <c r="G3494" s="1368">
        <v>20.5</v>
      </c>
      <c r="H3494" s="1178" t="s">
        <v>20221</v>
      </c>
      <c r="I3494" s="1178" t="s">
        <v>10638</v>
      </c>
      <c r="J3494" s="1178" t="s">
        <v>668</v>
      </c>
      <c r="K3494" s="1178" t="s">
        <v>350</v>
      </c>
      <c r="L3494" s="1178" t="s">
        <v>351</v>
      </c>
      <c r="M3494" s="1369"/>
      <c r="N3494" s="1178"/>
      <c r="O3494" s="1178">
        <v>6</v>
      </c>
      <c r="P3494" s="1178">
        <v>13.5</v>
      </c>
    </row>
    <row r="3495" spans="1:16">
      <c r="A3495" s="1178" t="s">
        <v>353</v>
      </c>
      <c r="B3495" s="1371" t="str">
        <f>HYPERLINK(IFERROR("#Main_Tariff!A"&amp;MATCH(Raeburn_Main_Tariff[[#This Row],[Product Code]],Main_Tariff!I:I,0),"#Main_Tariff!A"&amp;MATCH("*"&amp;RIGHT(A3495,8)&amp;"*",Main_Tariff!A:A,0)),Raeburn_Main_Tariff[[#This Row],[PRODUCER]])</f>
        <v>Claudio Boggione</v>
      </c>
      <c r="C3495" s="1178" t="s">
        <v>21734</v>
      </c>
      <c r="D3495" s="1178" t="s">
        <v>897</v>
      </c>
      <c r="E3495" s="1179">
        <v>2022</v>
      </c>
      <c r="F3495" s="1282" t="s">
        <v>20220</v>
      </c>
      <c r="G3495" s="1368">
        <v>20.5</v>
      </c>
      <c r="H3495" s="1178" t="s">
        <v>20221</v>
      </c>
      <c r="I3495" s="1178" t="s">
        <v>10640</v>
      </c>
      <c r="J3495" s="1178" t="s">
        <v>668</v>
      </c>
      <c r="K3495" s="1178" t="s">
        <v>350</v>
      </c>
      <c r="L3495" s="1178" t="s">
        <v>351</v>
      </c>
      <c r="M3495" s="1369"/>
      <c r="N3495" s="1178"/>
      <c r="O3495" s="1178">
        <v>6</v>
      </c>
      <c r="P3495" s="1178">
        <v>14.5</v>
      </c>
    </row>
    <row r="3496" spans="1:16">
      <c r="A3496" s="1178" t="s">
        <v>353</v>
      </c>
      <c r="B3496" s="1371" t="str">
        <f>HYPERLINK(IFERROR("#Main_Tariff!A"&amp;MATCH(Raeburn_Main_Tariff[[#This Row],[Product Code]],Main_Tariff!I:I,0),"#Main_Tariff!A"&amp;MATCH("*"&amp;RIGHT(A3496,8)&amp;"*",Main_Tariff!A:A,0)),Raeburn_Main_Tariff[[#This Row],[PRODUCER]])</f>
        <v>Claudio Boggione</v>
      </c>
      <c r="C3496" s="1178" t="s">
        <v>21735</v>
      </c>
      <c r="D3496" s="1178" t="s">
        <v>897</v>
      </c>
      <c r="E3496" s="1179">
        <v>2020</v>
      </c>
      <c r="F3496" s="1282" t="s">
        <v>20220</v>
      </c>
      <c r="G3496" s="1368">
        <v>37</v>
      </c>
      <c r="H3496" s="1178" t="s">
        <v>20221</v>
      </c>
      <c r="I3496" s="1178" t="s">
        <v>10644</v>
      </c>
      <c r="J3496" s="1178" t="s">
        <v>668</v>
      </c>
      <c r="K3496" s="1178" t="s">
        <v>350</v>
      </c>
      <c r="L3496" s="1178" t="s">
        <v>351</v>
      </c>
      <c r="M3496" s="1369"/>
      <c r="N3496" s="1178"/>
      <c r="O3496" s="1178">
        <v>6</v>
      </c>
      <c r="P3496" s="1178">
        <v>14.5</v>
      </c>
    </row>
    <row r="3497" spans="1:16">
      <c r="A3497" s="1178" t="s">
        <v>353</v>
      </c>
      <c r="B3497" s="1371" t="str">
        <f>HYPERLINK(IFERROR("#Main_Tariff!A"&amp;MATCH(Raeburn_Main_Tariff[[#This Row],[Product Code]],Main_Tariff!I:I,0),"#Main_Tariff!A"&amp;MATCH("*"&amp;RIGHT(A3497,8)&amp;"*",Main_Tariff!A:A,0)),Raeburn_Main_Tariff[[#This Row],[PRODUCER]])</f>
        <v>Claudio Boggione</v>
      </c>
      <c r="C3497" s="1178" t="s">
        <v>21735</v>
      </c>
      <c r="D3497" s="1178" t="s">
        <v>897</v>
      </c>
      <c r="E3497" s="1179">
        <v>2019</v>
      </c>
      <c r="F3497" s="1282" t="s">
        <v>20220</v>
      </c>
      <c r="G3497" s="1368">
        <v>37</v>
      </c>
      <c r="H3497" s="1178" t="s">
        <v>20221</v>
      </c>
      <c r="I3497" s="1178" t="s">
        <v>10646</v>
      </c>
      <c r="J3497" s="1178" t="s">
        <v>668</v>
      </c>
      <c r="K3497" s="1178" t="s">
        <v>350</v>
      </c>
      <c r="L3497" s="1178" t="s">
        <v>351</v>
      </c>
      <c r="M3497" s="1369"/>
      <c r="N3497" s="1178"/>
      <c r="O3497" s="1178">
        <v>6</v>
      </c>
      <c r="P3497" s="1178">
        <v>14.5</v>
      </c>
    </row>
    <row r="3498" spans="1:16">
      <c r="A3498" s="1178" t="s">
        <v>353</v>
      </c>
      <c r="B3498" s="1371" t="str">
        <f>HYPERLINK(IFERROR("#Main_Tariff!A"&amp;MATCH(Raeburn_Main_Tariff[[#This Row],[Product Code]],Main_Tariff!I:I,0),"#Main_Tariff!A"&amp;MATCH("*"&amp;RIGHT(A3498,8)&amp;"*",Main_Tariff!A:A,0)),Raeburn_Main_Tariff[[#This Row],[PRODUCER]])</f>
        <v>Claudio Boggione</v>
      </c>
      <c r="C3498" s="1178" t="s">
        <v>21735</v>
      </c>
      <c r="D3498" s="1178" t="s">
        <v>897</v>
      </c>
      <c r="E3498" s="1179">
        <v>2017</v>
      </c>
      <c r="F3498" s="1282" t="s">
        <v>20220</v>
      </c>
      <c r="G3498" s="1368">
        <v>34</v>
      </c>
      <c r="H3498" s="1178" t="s">
        <v>20221</v>
      </c>
      <c r="I3498" s="1178" t="s">
        <v>10648</v>
      </c>
      <c r="J3498" s="1178" t="s">
        <v>668</v>
      </c>
      <c r="K3498" s="1178" t="s">
        <v>350</v>
      </c>
      <c r="L3498" s="1178" t="s">
        <v>351</v>
      </c>
      <c r="M3498" s="1369"/>
      <c r="N3498" s="1178"/>
      <c r="O3498" s="1178">
        <v>6</v>
      </c>
      <c r="P3498" s="1178">
        <v>14.5</v>
      </c>
    </row>
    <row r="3499" spans="1:16">
      <c r="A3499" s="1178" t="s">
        <v>353</v>
      </c>
      <c r="B3499" s="1371" t="str">
        <f>HYPERLINK(IFERROR("#Main_Tariff!A"&amp;MATCH(Raeburn_Main_Tariff[[#This Row],[Product Code]],Main_Tariff!I:I,0),"#Main_Tariff!A"&amp;MATCH("*"&amp;RIGHT(A3499,8)&amp;"*",Main_Tariff!A:A,0)),Raeburn_Main_Tariff[[#This Row],[PRODUCER]])</f>
        <v>Claudio Boggione</v>
      </c>
      <c r="C3499" s="1178" t="s">
        <v>21735</v>
      </c>
      <c r="D3499" s="1178" t="s">
        <v>897</v>
      </c>
      <c r="E3499" s="1179">
        <v>2016</v>
      </c>
      <c r="F3499" s="1282" t="s">
        <v>20220</v>
      </c>
      <c r="G3499" s="1368">
        <v>36</v>
      </c>
      <c r="H3499" s="1178" t="s">
        <v>20224</v>
      </c>
      <c r="I3499" s="1178" t="s">
        <v>10650</v>
      </c>
      <c r="J3499" s="1178" t="s">
        <v>668</v>
      </c>
      <c r="K3499" s="1178" t="s">
        <v>350</v>
      </c>
      <c r="L3499" s="1178" t="s">
        <v>351</v>
      </c>
      <c r="M3499" s="1369"/>
      <c r="N3499" s="1178"/>
      <c r="O3499" s="1178">
        <v>6</v>
      </c>
      <c r="P3499" s="1178">
        <v>15</v>
      </c>
    </row>
    <row r="3500" spans="1:16">
      <c r="A3500" s="1178" t="s">
        <v>353</v>
      </c>
      <c r="B3500" s="1371" t="str">
        <f>HYPERLINK(IFERROR("#Main_Tariff!A"&amp;MATCH(Raeburn_Main_Tariff[[#This Row],[Product Code]],Main_Tariff!I:I,0),"#Main_Tariff!A"&amp;MATCH("*"&amp;RIGHT(A3500,8)&amp;"*",Main_Tariff!A:A,0)),Raeburn_Main_Tariff[[#This Row],[PRODUCER]])</f>
        <v>Claudio Boggione</v>
      </c>
      <c r="C3500" s="1178" t="s">
        <v>21736</v>
      </c>
      <c r="D3500" s="1178" t="s">
        <v>897</v>
      </c>
      <c r="E3500" s="1179">
        <v>2020</v>
      </c>
      <c r="F3500" s="1282" t="s">
        <v>20240</v>
      </c>
      <c r="G3500" s="1368" t="s">
        <v>5258</v>
      </c>
      <c r="H3500" s="1178" t="s">
        <v>20221</v>
      </c>
      <c r="I3500" s="1178" t="s">
        <v>10654</v>
      </c>
      <c r="J3500" s="1178" t="s">
        <v>668</v>
      </c>
      <c r="K3500" s="1178" t="s">
        <v>350</v>
      </c>
      <c r="L3500" s="1178" t="s">
        <v>351</v>
      </c>
      <c r="M3500" s="1369"/>
      <c r="N3500" s="1178"/>
      <c r="O3500" s="1178">
        <v>6</v>
      </c>
      <c r="P3500" s="1178">
        <v>14.5</v>
      </c>
    </row>
    <row r="3501" spans="1:16">
      <c r="A3501" s="1178" t="s">
        <v>353</v>
      </c>
      <c r="B3501" s="1371" t="str">
        <f>HYPERLINK(IFERROR("#Main_Tariff!A"&amp;MATCH(Raeburn_Main_Tariff[[#This Row],[Product Code]],Main_Tariff!I:I,0),"#Main_Tariff!A"&amp;MATCH("*"&amp;RIGHT(A3501,8)&amp;"*",Main_Tariff!A:A,0)),Raeburn_Main_Tariff[[#This Row],[PRODUCER]])</f>
        <v>Claudio Boggione</v>
      </c>
      <c r="C3501" s="1178" t="s">
        <v>21736</v>
      </c>
      <c r="D3501" s="1178" t="s">
        <v>897</v>
      </c>
      <c r="E3501" s="1179">
        <v>2016</v>
      </c>
      <c r="F3501" s="1282" t="s">
        <v>20240</v>
      </c>
      <c r="G3501" s="1368">
        <v>75</v>
      </c>
      <c r="H3501" s="1178" t="s">
        <v>20224</v>
      </c>
      <c r="I3501" s="1178" t="s">
        <v>10656</v>
      </c>
      <c r="J3501" s="1178" t="s">
        <v>668</v>
      </c>
      <c r="K3501" s="1178" t="s">
        <v>350</v>
      </c>
      <c r="L3501" s="1178" t="s">
        <v>351</v>
      </c>
      <c r="M3501" s="1369"/>
      <c r="N3501" s="1178"/>
      <c r="O3501" s="1178">
        <v>6</v>
      </c>
      <c r="P3501" s="1178">
        <v>15</v>
      </c>
    </row>
    <row r="3502" spans="1:16">
      <c r="A3502" s="1178" t="s">
        <v>353</v>
      </c>
      <c r="B3502" s="1371" t="str">
        <f>HYPERLINK(IFERROR("#Main_Tariff!A"&amp;MATCH(Raeburn_Main_Tariff[[#This Row],[Product Code]],Main_Tariff!I:I,0),"#Main_Tariff!A"&amp;MATCH("*"&amp;RIGHT(A3502,8)&amp;"*",Main_Tariff!A:A,0)),Raeburn_Main_Tariff[[#This Row],[PRODUCER]])</f>
        <v>Claudio Boggione</v>
      </c>
      <c r="C3502" s="1178" t="s">
        <v>21737</v>
      </c>
      <c r="D3502" s="1178" t="s">
        <v>897</v>
      </c>
      <c r="E3502" s="1179">
        <v>2020</v>
      </c>
      <c r="F3502" s="1282" t="s">
        <v>20288</v>
      </c>
      <c r="G3502" s="1368" t="s">
        <v>5258</v>
      </c>
      <c r="H3502" s="1178" t="s">
        <v>20224</v>
      </c>
      <c r="I3502" s="1178" t="s">
        <v>10658</v>
      </c>
      <c r="J3502" s="1178" t="s">
        <v>668</v>
      </c>
      <c r="K3502" s="1178" t="s">
        <v>350</v>
      </c>
      <c r="L3502" s="1178" t="s">
        <v>351</v>
      </c>
      <c r="M3502" s="1369"/>
      <c r="N3502" s="1178"/>
      <c r="O3502" s="1178">
        <v>1</v>
      </c>
      <c r="P3502" s="1178">
        <v>14.5</v>
      </c>
    </row>
    <row r="3503" spans="1:16">
      <c r="A3503" s="1178" t="s">
        <v>353</v>
      </c>
      <c r="B3503" s="1371" t="str">
        <f>HYPERLINK(IFERROR("#Main_Tariff!A"&amp;MATCH(Raeburn_Main_Tariff[[#This Row],[Product Code]],Main_Tariff!I:I,0),"#Main_Tariff!A"&amp;MATCH("*"&amp;RIGHT(A3503,8)&amp;"*",Main_Tariff!A:A,0)),Raeburn_Main_Tariff[[#This Row],[PRODUCER]])</f>
        <v>Claudio Boggione</v>
      </c>
      <c r="C3503" s="1178" t="s">
        <v>21737</v>
      </c>
      <c r="D3503" s="1178" t="s">
        <v>897</v>
      </c>
      <c r="E3503" s="1179">
        <v>2019</v>
      </c>
      <c r="F3503" s="1282" t="s">
        <v>20288</v>
      </c>
      <c r="G3503" s="1368">
        <v>157</v>
      </c>
      <c r="H3503" s="1178" t="s">
        <v>20224</v>
      </c>
      <c r="I3503" s="1178" t="s">
        <v>10659</v>
      </c>
      <c r="J3503" s="1178" t="s">
        <v>668</v>
      </c>
      <c r="K3503" s="1178" t="s">
        <v>350</v>
      </c>
      <c r="L3503" s="1178" t="s">
        <v>351</v>
      </c>
      <c r="M3503" s="1369"/>
      <c r="N3503" s="1178"/>
      <c r="O3503" s="1178">
        <v>1</v>
      </c>
      <c r="P3503" s="1178">
        <v>14.5</v>
      </c>
    </row>
    <row r="3504" spans="1:16">
      <c r="A3504" s="1178" t="s">
        <v>354</v>
      </c>
      <c r="B3504" s="1371" t="str">
        <f>HYPERLINK(IFERROR("#Main_Tariff!A"&amp;MATCH(Raeburn_Main_Tariff[[#This Row],[Product Code]],Main_Tariff!I:I,0),"#Main_Tariff!A"&amp;MATCH("*"&amp;RIGHT(A3504,8)&amp;"*",Main_Tariff!A:A,0)),Raeburn_Main_Tariff[[#This Row],[PRODUCER]])</f>
        <v>Brovia</v>
      </c>
      <c r="C3504" s="1178" t="s">
        <v>21738</v>
      </c>
      <c r="D3504" s="1178" t="s">
        <v>884</v>
      </c>
      <c r="E3504" s="1179">
        <v>2019</v>
      </c>
      <c r="F3504" s="1282" t="s">
        <v>20220</v>
      </c>
      <c r="G3504" s="1368">
        <v>33.25</v>
      </c>
      <c r="H3504" s="1178" t="s">
        <v>20221</v>
      </c>
      <c r="I3504" s="1178" t="s">
        <v>10673</v>
      </c>
      <c r="J3504" s="1178" t="s">
        <v>668</v>
      </c>
      <c r="K3504" s="1178" t="s">
        <v>350</v>
      </c>
      <c r="L3504" s="1178" t="s">
        <v>351</v>
      </c>
      <c r="M3504" s="1369"/>
      <c r="N3504" s="1178"/>
      <c r="O3504" s="1178">
        <v>6</v>
      </c>
      <c r="P3504" s="1178">
        <v>13</v>
      </c>
    </row>
    <row r="3505" spans="1:16">
      <c r="A3505" s="1178" t="s">
        <v>354</v>
      </c>
      <c r="B3505" s="1371" t="str">
        <f>HYPERLINK(IFERROR("#Main_Tariff!A"&amp;MATCH(Raeburn_Main_Tariff[[#This Row],[Product Code]],Main_Tariff!I:I,0),"#Main_Tariff!A"&amp;MATCH("*"&amp;RIGHT(A3505,8)&amp;"*",Main_Tariff!A:A,0)),Raeburn_Main_Tariff[[#This Row],[PRODUCER]])</f>
        <v>Brovia</v>
      </c>
      <c r="C3505" s="1178" t="s">
        <v>21739</v>
      </c>
      <c r="D3505" s="1178" t="s">
        <v>1129</v>
      </c>
      <c r="E3505" s="1179">
        <v>2023</v>
      </c>
      <c r="F3505" s="1282" t="s">
        <v>20220</v>
      </c>
      <c r="G3505" s="1368">
        <v>19</v>
      </c>
      <c r="H3505" s="1178" t="s">
        <v>20221</v>
      </c>
      <c r="I3505" s="1178" t="s">
        <v>10677</v>
      </c>
      <c r="J3505" s="1178" t="s">
        <v>668</v>
      </c>
      <c r="K3505" s="1178" t="s">
        <v>350</v>
      </c>
      <c r="L3505" s="1178" t="s">
        <v>351</v>
      </c>
      <c r="M3505" s="1369"/>
      <c r="N3505" s="1178"/>
      <c r="O3505" s="1178">
        <v>6</v>
      </c>
      <c r="P3505" s="1178">
        <v>13.5</v>
      </c>
    </row>
    <row r="3506" spans="1:16">
      <c r="A3506" s="1178" t="s">
        <v>354</v>
      </c>
      <c r="B3506" s="1371" t="str">
        <f>HYPERLINK(IFERROR("#Main_Tariff!A"&amp;MATCH(Raeburn_Main_Tariff[[#This Row],[Product Code]],Main_Tariff!I:I,0),"#Main_Tariff!A"&amp;MATCH("*"&amp;RIGHT(A3506,8)&amp;"*",Main_Tariff!A:A,0)),Raeburn_Main_Tariff[[#This Row],[PRODUCER]])</f>
        <v>Brovia</v>
      </c>
      <c r="C3506" s="1178" t="s">
        <v>21739</v>
      </c>
      <c r="D3506" s="1178" t="s">
        <v>1129</v>
      </c>
      <c r="E3506" s="1179">
        <v>2022</v>
      </c>
      <c r="F3506" s="1282" t="s">
        <v>20220</v>
      </c>
      <c r="G3506" s="1368">
        <v>19.5</v>
      </c>
      <c r="H3506" s="1178" t="s">
        <v>20221</v>
      </c>
      <c r="I3506" s="1178" t="s">
        <v>10679</v>
      </c>
      <c r="J3506" s="1178" t="s">
        <v>668</v>
      </c>
      <c r="K3506" s="1178" t="s">
        <v>350</v>
      </c>
      <c r="L3506" s="1178" t="s">
        <v>351</v>
      </c>
      <c r="M3506" s="1369"/>
      <c r="N3506" s="1178"/>
      <c r="O3506" s="1178">
        <v>6</v>
      </c>
      <c r="P3506" s="1178">
        <v>13.5</v>
      </c>
    </row>
    <row r="3507" spans="1:16">
      <c r="A3507" s="1178" t="s">
        <v>354</v>
      </c>
      <c r="B3507" s="1371" t="str">
        <f>HYPERLINK(IFERROR("#Main_Tariff!A"&amp;MATCH(Raeburn_Main_Tariff[[#This Row],[Product Code]],Main_Tariff!I:I,0),"#Main_Tariff!A"&amp;MATCH("*"&amp;RIGHT(A3507,8)&amp;"*",Main_Tariff!A:A,0)),Raeburn_Main_Tariff[[#This Row],[PRODUCER]])</f>
        <v>Brovia</v>
      </c>
      <c r="C3507" s="1178" t="s">
        <v>21739</v>
      </c>
      <c r="D3507" s="1178" t="s">
        <v>1129</v>
      </c>
      <c r="E3507" s="1179">
        <v>2016</v>
      </c>
      <c r="F3507" s="1282" t="s">
        <v>20220</v>
      </c>
      <c r="G3507" s="1368">
        <v>17.5</v>
      </c>
      <c r="H3507" s="1178" t="s">
        <v>20221</v>
      </c>
      <c r="I3507" s="1178" t="s">
        <v>10681</v>
      </c>
      <c r="J3507" s="1178" t="s">
        <v>668</v>
      </c>
      <c r="K3507" s="1178" t="s">
        <v>350</v>
      </c>
      <c r="L3507" s="1178" t="s">
        <v>351</v>
      </c>
      <c r="M3507" s="1369"/>
      <c r="N3507" s="1178"/>
      <c r="O3507" s="1178">
        <v>6</v>
      </c>
      <c r="P3507" s="1178">
        <v>13.5</v>
      </c>
    </row>
    <row r="3508" spans="1:16">
      <c r="A3508" s="1178" t="s">
        <v>354</v>
      </c>
      <c r="B3508" s="1371" t="str">
        <f>HYPERLINK(IFERROR("#Main_Tariff!A"&amp;MATCH(Raeburn_Main_Tariff[[#This Row],[Product Code]],Main_Tariff!I:I,0),"#Main_Tariff!A"&amp;MATCH("*"&amp;RIGHT(A3508,8)&amp;"*",Main_Tariff!A:A,0)),Raeburn_Main_Tariff[[#This Row],[PRODUCER]])</f>
        <v>Brovia</v>
      </c>
      <c r="C3508" s="1178" t="s">
        <v>21740</v>
      </c>
      <c r="D3508" s="1178" t="s">
        <v>897</v>
      </c>
      <c r="E3508" s="1179">
        <v>2022</v>
      </c>
      <c r="F3508" s="1282" t="s">
        <v>20220</v>
      </c>
      <c r="G3508" s="1368">
        <v>17.25</v>
      </c>
      <c r="H3508" s="1178" t="s">
        <v>20221</v>
      </c>
      <c r="I3508" s="1178" t="s">
        <v>10684</v>
      </c>
      <c r="J3508" s="1178" t="s">
        <v>668</v>
      </c>
      <c r="K3508" s="1178" t="s">
        <v>350</v>
      </c>
      <c r="L3508" s="1178" t="s">
        <v>351</v>
      </c>
      <c r="M3508" s="1369"/>
      <c r="N3508" s="1178"/>
      <c r="O3508" s="1178">
        <v>6</v>
      </c>
      <c r="P3508" s="1178">
        <v>14</v>
      </c>
    </row>
    <row r="3509" spans="1:16">
      <c r="A3509" s="1178" t="s">
        <v>354</v>
      </c>
      <c r="B3509" s="1371" t="str">
        <f>HYPERLINK(IFERROR("#Main_Tariff!A"&amp;MATCH(Raeburn_Main_Tariff[[#This Row],[Product Code]],Main_Tariff!I:I,0),"#Main_Tariff!A"&amp;MATCH("*"&amp;RIGHT(A3509,8)&amp;"*",Main_Tariff!A:A,0)),Raeburn_Main_Tariff[[#This Row],[PRODUCER]])</f>
        <v>Brovia</v>
      </c>
      <c r="C3509" s="1178" t="s">
        <v>21740</v>
      </c>
      <c r="D3509" s="1178" t="s">
        <v>897</v>
      </c>
      <c r="E3509" s="1179">
        <v>2021</v>
      </c>
      <c r="F3509" s="1282" t="s">
        <v>20220</v>
      </c>
      <c r="G3509" s="1368">
        <v>18</v>
      </c>
      <c r="H3509" s="1178" t="s">
        <v>20221</v>
      </c>
      <c r="I3509" s="1178" t="s">
        <v>10686</v>
      </c>
      <c r="J3509" s="1178" t="s">
        <v>668</v>
      </c>
      <c r="K3509" s="1178" t="s">
        <v>350</v>
      </c>
      <c r="L3509" s="1178" t="s">
        <v>351</v>
      </c>
      <c r="M3509" s="1369"/>
      <c r="N3509" s="1178"/>
      <c r="O3509" s="1178">
        <v>6</v>
      </c>
      <c r="P3509" s="1178">
        <v>14</v>
      </c>
    </row>
    <row r="3510" spans="1:16">
      <c r="A3510" s="1178" t="s">
        <v>354</v>
      </c>
      <c r="B3510" s="1371" t="str">
        <f>HYPERLINK(IFERROR("#Main_Tariff!A"&amp;MATCH(Raeburn_Main_Tariff[[#This Row],[Product Code]],Main_Tariff!I:I,0),"#Main_Tariff!A"&amp;MATCH("*"&amp;RIGHT(A3510,8)&amp;"*",Main_Tariff!A:A,0)),Raeburn_Main_Tariff[[#This Row],[PRODUCER]])</f>
        <v>Brovia</v>
      </c>
      <c r="C3510" s="1178" t="s">
        <v>21740</v>
      </c>
      <c r="D3510" s="1178" t="s">
        <v>897</v>
      </c>
      <c r="E3510" s="1179">
        <v>2020</v>
      </c>
      <c r="F3510" s="1282" t="s">
        <v>20220</v>
      </c>
      <c r="G3510" s="1368">
        <v>17</v>
      </c>
      <c r="H3510" s="1178" t="s">
        <v>20221</v>
      </c>
      <c r="I3510" s="1178" t="s">
        <v>10688</v>
      </c>
      <c r="J3510" s="1178" t="s">
        <v>668</v>
      </c>
      <c r="K3510" s="1178" t="s">
        <v>350</v>
      </c>
      <c r="L3510" s="1178" t="s">
        <v>351</v>
      </c>
      <c r="M3510" s="1369"/>
      <c r="N3510" s="1178"/>
      <c r="O3510" s="1178">
        <v>6</v>
      </c>
      <c r="P3510" s="1178">
        <v>14.5</v>
      </c>
    </row>
    <row r="3511" spans="1:16">
      <c r="A3511" s="1178" t="s">
        <v>354</v>
      </c>
      <c r="B3511" s="1371" t="str">
        <f>HYPERLINK(IFERROR("#Main_Tariff!A"&amp;MATCH(Raeburn_Main_Tariff[[#This Row],[Product Code]],Main_Tariff!I:I,0),"#Main_Tariff!A"&amp;MATCH("*"&amp;RIGHT(A3511,8)&amp;"*",Main_Tariff!A:A,0)),Raeburn_Main_Tariff[[#This Row],[PRODUCER]])</f>
        <v>Brovia</v>
      </c>
      <c r="C3511" s="1178" t="s">
        <v>21740</v>
      </c>
      <c r="D3511" s="1178" t="s">
        <v>897</v>
      </c>
      <c r="E3511" s="1179">
        <v>2019</v>
      </c>
      <c r="F3511" s="1282" t="s">
        <v>20220</v>
      </c>
      <c r="G3511" s="1368">
        <v>17</v>
      </c>
      <c r="H3511" s="1178" t="s">
        <v>20224</v>
      </c>
      <c r="I3511" s="1178" t="s">
        <v>10690</v>
      </c>
      <c r="J3511" s="1178" t="s">
        <v>668</v>
      </c>
      <c r="K3511" s="1178" t="s">
        <v>350</v>
      </c>
      <c r="L3511" s="1178" t="s">
        <v>351</v>
      </c>
      <c r="M3511" s="1369"/>
      <c r="N3511" s="1178"/>
      <c r="O3511" s="1178">
        <v>6</v>
      </c>
      <c r="P3511" s="1178">
        <v>13.5</v>
      </c>
    </row>
    <row r="3512" spans="1:16">
      <c r="A3512" s="1178" t="s">
        <v>354</v>
      </c>
      <c r="B3512" s="1371" t="str">
        <f>HYPERLINK(IFERROR("#Main_Tariff!A"&amp;MATCH(Raeburn_Main_Tariff[[#This Row],[Product Code]],Main_Tariff!I:I,0),"#Main_Tariff!A"&amp;MATCH("*"&amp;RIGHT(A3512,8)&amp;"*",Main_Tariff!A:A,0)),Raeburn_Main_Tariff[[#This Row],[PRODUCER]])</f>
        <v>Brovia</v>
      </c>
      <c r="C3512" s="1178" t="s">
        <v>21740</v>
      </c>
      <c r="D3512" s="1178" t="s">
        <v>897</v>
      </c>
      <c r="E3512" s="1179">
        <v>2016</v>
      </c>
      <c r="F3512" s="1282" t="s">
        <v>20220</v>
      </c>
      <c r="G3512" s="1368">
        <v>19.5</v>
      </c>
      <c r="H3512" s="1178" t="s">
        <v>20277</v>
      </c>
      <c r="I3512" s="1178" t="s">
        <v>10692</v>
      </c>
      <c r="J3512" s="1178" t="s">
        <v>668</v>
      </c>
      <c r="K3512" s="1178" t="s">
        <v>350</v>
      </c>
      <c r="L3512" s="1178" t="s">
        <v>351</v>
      </c>
      <c r="M3512" s="1369"/>
      <c r="N3512" s="1178"/>
      <c r="O3512" s="1178">
        <v>12</v>
      </c>
      <c r="P3512" s="1178">
        <v>13.5</v>
      </c>
    </row>
    <row r="3513" spans="1:16">
      <c r="A3513" s="1178" t="s">
        <v>354</v>
      </c>
      <c r="B3513" s="1371" t="str">
        <f>HYPERLINK(IFERROR("#Main_Tariff!A"&amp;MATCH(Raeburn_Main_Tariff[[#This Row],[Product Code]],Main_Tariff!I:I,0),"#Main_Tariff!A"&amp;MATCH("*"&amp;RIGHT(A3513,8)&amp;"*",Main_Tariff!A:A,0)),Raeburn_Main_Tariff[[#This Row],[PRODUCER]])</f>
        <v>Brovia</v>
      </c>
      <c r="C3513" s="1178" t="s">
        <v>21741</v>
      </c>
      <c r="D3513" s="1178" t="s">
        <v>897</v>
      </c>
      <c r="E3513" s="1179">
        <v>2022</v>
      </c>
      <c r="F3513" s="1282" t="s">
        <v>20220</v>
      </c>
      <c r="G3513" s="1368">
        <v>22</v>
      </c>
      <c r="H3513" s="1178" t="s">
        <v>20221</v>
      </c>
      <c r="I3513" s="1178" t="s">
        <v>10694</v>
      </c>
      <c r="J3513" s="1178" t="s">
        <v>668</v>
      </c>
      <c r="K3513" s="1178" t="s">
        <v>350</v>
      </c>
      <c r="L3513" s="1178" t="s">
        <v>351</v>
      </c>
      <c r="M3513" s="1369"/>
      <c r="N3513" s="1178"/>
      <c r="O3513" s="1178">
        <v>6</v>
      </c>
      <c r="P3513" s="1178">
        <v>14.5</v>
      </c>
    </row>
    <row r="3514" spans="1:16">
      <c r="A3514" s="1178" t="s">
        <v>354</v>
      </c>
      <c r="B3514" s="1371" t="str">
        <f>HYPERLINK(IFERROR("#Main_Tariff!A"&amp;MATCH(Raeburn_Main_Tariff[[#This Row],[Product Code]],Main_Tariff!I:I,0),"#Main_Tariff!A"&amp;MATCH("*"&amp;RIGHT(A3514,8)&amp;"*",Main_Tariff!A:A,0)),Raeburn_Main_Tariff[[#This Row],[PRODUCER]])</f>
        <v>Brovia</v>
      </c>
      <c r="C3514" s="1178" t="s">
        <v>21741</v>
      </c>
      <c r="D3514" s="1178" t="s">
        <v>897</v>
      </c>
      <c r="E3514" s="1179">
        <v>2020</v>
      </c>
      <c r="F3514" s="1282" t="s">
        <v>20220</v>
      </c>
      <c r="G3514" s="1368">
        <v>21</v>
      </c>
      <c r="H3514" s="1178" t="s">
        <v>20221</v>
      </c>
      <c r="I3514" s="1178" t="s">
        <v>10696</v>
      </c>
      <c r="J3514" s="1178" t="s">
        <v>668</v>
      </c>
      <c r="K3514" s="1178" t="s">
        <v>350</v>
      </c>
      <c r="L3514" s="1178" t="s">
        <v>351</v>
      </c>
      <c r="M3514" s="1369"/>
      <c r="N3514" s="1178"/>
      <c r="O3514" s="1178">
        <v>6</v>
      </c>
      <c r="P3514" s="1178">
        <v>14.5</v>
      </c>
    </row>
    <row r="3515" spans="1:16">
      <c r="A3515" s="1178" t="s">
        <v>354</v>
      </c>
      <c r="B3515" s="1371" t="str">
        <f>HYPERLINK(IFERROR("#Main_Tariff!A"&amp;MATCH(Raeburn_Main_Tariff[[#This Row],[Product Code]],Main_Tariff!I:I,0),"#Main_Tariff!A"&amp;MATCH("*"&amp;RIGHT(A3515,8)&amp;"*",Main_Tariff!A:A,0)),Raeburn_Main_Tariff[[#This Row],[PRODUCER]])</f>
        <v>Brovia</v>
      </c>
      <c r="C3515" s="1178" t="s">
        <v>21741</v>
      </c>
      <c r="D3515" s="1178" t="s">
        <v>897</v>
      </c>
      <c r="E3515" s="1179">
        <v>2019</v>
      </c>
      <c r="F3515" s="1282" t="s">
        <v>20220</v>
      </c>
      <c r="G3515" s="1368">
        <v>21</v>
      </c>
      <c r="H3515" s="1178" t="s">
        <v>20221</v>
      </c>
      <c r="I3515" s="1178" t="s">
        <v>10698</v>
      </c>
      <c r="J3515" s="1178" t="s">
        <v>668</v>
      </c>
      <c r="K3515" s="1178" t="s">
        <v>350</v>
      </c>
      <c r="L3515" s="1178" t="s">
        <v>351</v>
      </c>
      <c r="M3515" s="1369"/>
      <c r="N3515" s="1178"/>
      <c r="O3515" s="1178">
        <v>6</v>
      </c>
      <c r="P3515" s="1178">
        <v>14</v>
      </c>
    </row>
    <row r="3516" spans="1:16">
      <c r="A3516" s="1178" t="s">
        <v>354</v>
      </c>
      <c r="B3516" s="1371" t="str">
        <f>HYPERLINK(IFERROR("#Main_Tariff!A"&amp;MATCH(Raeburn_Main_Tariff[[#This Row],[Product Code]],Main_Tariff!I:I,0),"#Main_Tariff!A"&amp;MATCH("*"&amp;RIGHT(A3516,8)&amp;"*",Main_Tariff!A:A,0)),Raeburn_Main_Tariff[[#This Row],[PRODUCER]])</f>
        <v>Brovia</v>
      </c>
      <c r="C3516" s="1178" t="s">
        <v>21741</v>
      </c>
      <c r="D3516" s="1178" t="s">
        <v>897</v>
      </c>
      <c r="E3516" s="1179">
        <v>2016</v>
      </c>
      <c r="F3516" s="1282" t="s">
        <v>20220</v>
      </c>
      <c r="G3516" s="1368">
        <v>20</v>
      </c>
      <c r="H3516" s="1178" t="s">
        <v>20224</v>
      </c>
      <c r="I3516" s="1178" t="s">
        <v>10700</v>
      </c>
      <c r="J3516" s="1178" t="s">
        <v>668</v>
      </c>
      <c r="K3516" s="1178" t="s">
        <v>350</v>
      </c>
      <c r="L3516" s="1178" t="s">
        <v>351</v>
      </c>
      <c r="M3516" s="1369"/>
      <c r="N3516" s="1178"/>
      <c r="O3516" s="1178">
        <v>6</v>
      </c>
      <c r="P3516" s="1178">
        <v>14.5</v>
      </c>
    </row>
    <row r="3517" spans="1:16">
      <c r="A3517" s="1178" t="s">
        <v>354</v>
      </c>
      <c r="B3517" s="1371" t="str">
        <f>HYPERLINK(IFERROR("#Main_Tariff!A"&amp;MATCH(Raeburn_Main_Tariff[[#This Row],[Product Code]],Main_Tariff!I:I,0),"#Main_Tariff!A"&amp;MATCH("*"&amp;RIGHT(A3517,8)&amp;"*",Main_Tariff!A:A,0)),Raeburn_Main_Tariff[[#This Row],[PRODUCER]])</f>
        <v>Brovia</v>
      </c>
      <c r="C3517" s="1178" t="s">
        <v>21741</v>
      </c>
      <c r="D3517" s="1178" t="s">
        <v>897</v>
      </c>
      <c r="E3517" s="1179">
        <v>2015</v>
      </c>
      <c r="F3517" s="1282" t="s">
        <v>20220</v>
      </c>
      <c r="G3517" s="1368">
        <v>19.5</v>
      </c>
      <c r="H3517" s="1178" t="s">
        <v>20221</v>
      </c>
      <c r="I3517" s="1178" t="s">
        <v>10702</v>
      </c>
      <c r="J3517" s="1178" t="s">
        <v>668</v>
      </c>
      <c r="K3517" s="1178" t="s">
        <v>350</v>
      </c>
      <c r="L3517" s="1178" t="s">
        <v>351</v>
      </c>
      <c r="M3517" s="1369"/>
      <c r="N3517" s="1178"/>
      <c r="O3517" s="1178">
        <v>6</v>
      </c>
      <c r="P3517" s="1178">
        <v>14</v>
      </c>
    </row>
    <row r="3518" spans="1:16">
      <c r="A3518" s="1178" t="s">
        <v>354</v>
      </c>
      <c r="B3518" s="1371" t="str">
        <f>HYPERLINK(IFERROR("#Main_Tariff!A"&amp;MATCH(Raeburn_Main_Tariff[[#This Row],[Product Code]],Main_Tariff!I:I,0),"#Main_Tariff!A"&amp;MATCH("*"&amp;RIGHT(A3518,8)&amp;"*",Main_Tariff!A:A,0)),Raeburn_Main_Tariff[[#This Row],[PRODUCER]])</f>
        <v>Brovia</v>
      </c>
      <c r="C3518" s="1178" t="s">
        <v>21741</v>
      </c>
      <c r="D3518" s="1178" t="s">
        <v>897</v>
      </c>
      <c r="E3518" s="1179">
        <v>2014</v>
      </c>
      <c r="F3518" s="1282" t="s">
        <v>20220</v>
      </c>
      <c r="G3518" s="1368">
        <v>19.5</v>
      </c>
      <c r="H3518" s="1178" t="s">
        <v>20221</v>
      </c>
      <c r="I3518" s="1178" t="s">
        <v>10704</v>
      </c>
      <c r="J3518" s="1178" t="s">
        <v>668</v>
      </c>
      <c r="K3518" s="1178" t="s">
        <v>350</v>
      </c>
      <c r="L3518" s="1178" t="s">
        <v>351</v>
      </c>
      <c r="M3518" s="1369"/>
      <c r="N3518" s="1178"/>
      <c r="O3518" s="1178">
        <v>12</v>
      </c>
      <c r="P3518" s="1178">
        <v>13.5</v>
      </c>
    </row>
    <row r="3519" spans="1:16">
      <c r="A3519" s="1178" t="s">
        <v>354</v>
      </c>
      <c r="B3519" s="1371" t="str">
        <f>HYPERLINK(IFERROR("#Main_Tariff!A"&amp;MATCH(Raeburn_Main_Tariff[[#This Row],[Product Code]],Main_Tariff!I:I,0),"#Main_Tariff!A"&amp;MATCH("*"&amp;RIGHT(A3519,8)&amp;"*",Main_Tariff!A:A,0)),Raeburn_Main_Tariff[[#This Row],[PRODUCER]])</f>
        <v>Brovia</v>
      </c>
      <c r="C3519" s="1178" t="s">
        <v>21741</v>
      </c>
      <c r="D3519" s="1178" t="s">
        <v>897</v>
      </c>
      <c r="E3519" s="1179">
        <v>2012</v>
      </c>
      <c r="F3519" s="1282" t="s">
        <v>20220</v>
      </c>
      <c r="G3519" s="1368">
        <v>19.95</v>
      </c>
      <c r="H3519" s="1178" t="s">
        <v>20224</v>
      </c>
      <c r="I3519" s="1178" t="s">
        <v>10706</v>
      </c>
      <c r="J3519" s="1178" t="s">
        <v>668</v>
      </c>
      <c r="K3519" s="1178" t="s">
        <v>350</v>
      </c>
      <c r="L3519" s="1178" t="s">
        <v>351</v>
      </c>
      <c r="M3519" s="1369"/>
      <c r="N3519" s="1178"/>
      <c r="O3519" s="1178">
        <v>12</v>
      </c>
      <c r="P3519" s="1178">
        <v>14.5</v>
      </c>
    </row>
    <row r="3520" spans="1:16">
      <c r="A3520" s="1178" t="s">
        <v>354</v>
      </c>
      <c r="B3520" s="1371" t="str">
        <f>HYPERLINK(IFERROR("#Main_Tariff!A"&amp;MATCH(Raeburn_Main_Tariff[[#This Row],[Product Code]],Main_Tariff!I:I,0),"#Main_Tariff!A"&amp;MATCH("*"&amp;RIGHT(A3520,8)&amp;"*",Main_Tariff!A:A,0)),Raeburn_Main_Tariff[[#This Row],[PRODUCER]])</f>
        <v>Brovia</v>
      </c>
      <c r="C3520" s="1178" t="s">
        <v>21742</v>
      </c>
      <c r="D3520" s="1178" t="s">
        <v>897</v>
      </c>
      <c r="E3520" s="1179">
        <v>2020</v>
      </c>
      <c r="F3520" s="1282" t="s">
        <v>20220</v>
      </c>
      <c r="G3520" s="1368">
        <v>26</v>
      </c>
      <c r="H3520" s="1178" t="s">
        <v>20224</v>
      </c>
      <c r="I3520" s="1178" t="s">
        <v>10708</v>
      </c>
      <c r="J3520" s="1178" t="s">
        <v>668</v>
      </c>
      <c r="K3520" s="1178" t="s">
        <v>350</v>
      </c>
      <c r="L3520" s="1178" t="s">
        <v>351</v>
      </c>
      <c r="M3520" s="1369"/>
      <c r="N3520" s="1178"/>
      <c r="O3520" s="1178">
        <v>6</v>
      </c>
      <c r="P3520" s="1178">
        <v>15</v>
      </c>
    </row>
    <row r="3521" spans="1:16">
      <c r="A3521" s="1178" t="s">
        <v>354</v>
      </c>
      <c r="B3521" s="1371" t="str">
        <f>HYPERLINK(IFERROR("#Main_Tariff!A"&amp;MATCH(Raeburn_Main_Tariff[[#This Row],[Product Code]],Main_Tariff!I:I,0),"#Main_Tariff!A"&amp;MATCH("*"&amp;RIGHT(A3521,8)&amp;"*",Main_Tariff!A:A,0)),Raeburn_Main_Tariff[[#This Row],[PRODUCER]])</f>
        <v>Brovia</v>
      </c>
      <c r="C3521" s="1178" t="s">
        <v>21743</v>
      </c>
      <c r="D3521" s="1178" t="s">
        <v>897</v>
      </c>
      <c r="E3521" s="1179">
        <v>2019</v>
      </c>
      <c r="F3521" s="1282" t="s">
        <v>20220</v>
      </c>
      <c r="G3521" s="1368">
        <v>21</v>
      </c>
      <c r="H3521" s="1178" t="s">
        <v>20224</v>
      </c>
      <c r="I3521" s="1178" t="s">
        <v>10710</v>
      </c>
      <c r="J3521" s="1178" t="s">
        <v>668</v>
      </c>
      <c r="K3521" s="1178" t="s">
        <v>350</v>
      </c>
      <c r="L3521" s="1178" t="s">
        <v>351</v>
      </c>
      <c r="M3521" s="1369"/>
      <c r="N3521" s="1178"/>
      <c r="O3521" s="1178">
        <v>6</v>
      </c>
      <c r="P3521" s="1178">
        <v>14</v>
      </c>
    </row>
    <row r="3522" spans="1:16">
      <c r="A3522" s="1178" t="s">
        <v>354</v>
      </c>
      <c r="B3522" s="1371" t="str">
        <f>HYPERLINK(IFERROR("#Main_Tariff!A"&amp;MATCH(Raeburn_Main_Tariff[[#This Row],[Product Code]],Main_Tariff!I:I,0),"#Main_Tariff!A"&amp;MATCH("*"&amp;RIGHT(A3522,8)&amp;"*",Main_Tariff!A:A,0)),Raeburn_Main_Tariff[[#This Row],[PRODUCER]])</f>
        <v>Brovia</v>
      </c>
      <c r="C3522" s="1178" t="s">
        <v>21743</v>
      </c>
      <c r="D3522" s="1178" t="s">
        <v>897</v>
      </c>
      <c r="E3522" s="1179">
        <v>2015</v>
      </c>
      <c r="F3522" s="1282" t="s">
        <v>20220</v>
      </c>
      <c r="G3522" s="1368">
        <v>20.5</v>
      </c>
      <c r="H3522" s="1178" t="s">
        <v>20221</v>
      </c>
      <c r="I3522" s="1178" t="s">
        <v>10712</v>
      </c>
      <c r="J3522" s="1178" t="s">
        <v>668</v>
      </c>
      <c r="K3522" s="1178" t="s">
        <v>350</v>
      </c>
      <c r="L3522" s="1178" t="s">
        <v>351</v>
      </c>
      <c r="M3522" s="1369"/>
      <c r="N3522" s="1178"/>
      <c r="O3522" s="1178">
        <v>6</v>
      </c>
      <c r="P3522" s="1178">
        <v>13.5</v>
      </c>
    </row>
    <row r="3523" spans="1:16">
      <c r="A3523" s="1178" t="s">
        <v>354</v>
      </c>
      <c r="B3523" s="1371" t="str">
        <f>HYPERLINK(IFERROR("#Main_Tariff!A"&amp;MATCH(Raeburn_Main_Tariff[[#This Row],[Product Code]],Main_Tariff!I:I,0),"#Main_Tariff!A"&amp;MATCH("*"&amp;RIGHT(A3523,8)&amp;"*",Main_Tariff!A:A,0)),Raeburn_Main_Tariff[[#This Row],[PRODUCER]])</f>
        <v>Brovia</v>
      </c>
      <c r="C3523" s="1178" t="s">
        <v>21744</v>
      </c>
      <c r="D3523" s="1178" t="s">
        <v>897</v>
      </c>
      <c r="E3523" s="1179">
        <v>2021</v>
      </c>
      <c r="F3523" s="1282" t="s">
        <v>20220</v>
      </c>
      <c r="G3523" s="1368">
        <v>26.5</v>
      </c>
      <c r="H3523" s="1178" t="s">
        <v>20221</v>
      </c>
      <c r="I3523" s="1178" t="s">
        <v>10713</v>
      </c>
      <c r="J3523" s="1178" t="s">
        <v>668</v>
      </c>
      <c r="K3523" s="1178" t="s">
        <v>350</v>
      </c>
      <c r="L3523" s="1178" t="s">
        <v>351</v>
      </c>
      <c r="M3523" s="1369"/>
      <c r="N3523" s="1178"/>
      <c r="O3523" s="1178">
        <v>6</v>
      </c>
      <c r="P3523" s="1178">
        <v>14</v>
      </c>
    </row>
    <row r="3524" spans="1:16">
      <c r="A3524" s="1178" t="s">
        <v>354</v>
      </c>
      <c r="B3524" s="1371" t="str">
        <f>HYPERLINK(IFERROR("#Main_Tariff!A"&amp;MATCH(Raeburn_Main_Tariff[[#This Row],[Product Code]],Main_Tariff!I:I,0),"#Main_Tariff!A"&amp;MATCH("*"&amp;RIGHT(A3524,8)&amp;"*",Main_Tariff!A:A,0)),Raeburn_Main_Tariff[[#This Row],[PRODUCER]])</f>
        <v>Brovia</v>
      </c>
      <c r="C3524" s="1178" t="s">
        <v>21744</v>
      </c>
      <c r="D3524" s="1178" t="s">
        <v>897</v>
      </c>
      <c r="E3524" s="1179">
        <v>2018</v>
      </c>
      <c r="F3524" s="1282" t="s">
        <v>20220</v>
      </c>
      <c r="G3524" s="1368">
        <v>26.5</v>
      </c>
      <c r="H3524" s="1178" t="s">
        <v>20224</v>
      </c>
      <c r="I3524" s="1178" t="s">
        <v>10715</v>
      </c>
      <c r="J3524" s="1178" t="s">
        <v>668</v>
      </c>
      <c r="K3524" s="1178" t="s">
        <v>350</v>
      </c>
      <c r="L3524" s="1178" t="s">
        <v>351</v>
      </c>
      <c r="M3524" s="1369"/>
      <c r="N3524" s="1178"/>
      <c r="O3524" s="1178">
        <v>6</v>
      </c>
      <c r="P3524" s="1178">
        <v>14</v>
      </c>
    </row>
    <row r="3525" spans="1:16">
      <c r="A3525" s="1178" t="s">
        <v>354</v>
      </c>
      <c r="B3525" s="1371" t="str">
        <f>HYPERLINK(IFERROR("#Main_Tariff!A"&amp;MATCH(Raeburn_Main_Tariff[[#This Row],[Product Code]],Main_Tariff!I:I,0),"#Main_Tariff!A"&amp;MATCH("*"&amp;RIGHT(A3525,8)&amp;"*",Main_Tariff!A:A,0)),Raeburn_Main_Tariff[[#This Row],[PRODUCER]])</f>
        <v>Brovia</v>
      </c>
      <c r="C3525" s="1178" t="s">
        <v>21745</v>
      </c>
      <c r="D3525" s="1178" t="s">
        <v>897</v>
      </c>
      <c r="E3525" s="1179">
        <v>2020</v>
      </c>
      <c r="F3525" s="1282" t="s">
        <v>20220</v>
      </c>
      <c r="G3525" s="1368">
        <v>40</v>
      </c>
      <c r="H3525" s="1178" t="s">
        <v>20221</v>
      </c>
      <c r="I3525" s="1178" t="s">
        <v>10717</v>
      </c>
      <c r="J3525" s="1178" t="s">
        <v>668</v>
      </c>
      <c r="K3525" s="1178" t="s">
        <v>350</v>
      </c>
      <c r="L3525" s="1178" t="s">
        <v>351</v>
      </c>
      <c r="M3525" s="1369"/>
      <c r="N3525" s="1178"/>
      <c r="O3525" s="1178">
        <v>6</v>
      </c>
      <c r="P3525" s="1178">
        <v>14.5</v>
      </c>
    </row>
    <row r="3526" spans="1:16">
      <c r="A3526" s="1178" t="s">
        <v>354</v>
      </c>
      <c r="B3526" s="1371" t="str">
        <f>HYPERLINK(IFERROR("#Main_Tariff!A"&amp;MATCH(Raeburn_Main_Tariff[[#This Row],[Product Code]],Main_Tariff!I:I,0),"#Main_Tariff!A"&amp;MATCH("*"&amp;RIGHT(A3526,8)&amp;"*",Main_Tariff!A:A,0)),Raeburn_Main_Tariff[[#This Row],[PRODUCER]])</f>
        <v>Brovia</v>
      </c>
      <c r="C3526" s="1178" t="s">
        <v>21746</v>
      </c>
      <c r="D3526" s="1178" t="s">
        <v>897</v>
      </c>
      <c r="E3526" s="1179">
        <v>2020</v>
      </c>
      <c r="F3526" s="1282" t="s">
        <v>20220</v>
      </c>
      <c r="G3526" s="1368" t="s">
        <v>5258</v>
      </c>
      <c r="H3526" s="1178" t="s">
        <v>20221</v>
      </c>
      <c r="I3526" s="1178" t="s">
        <v>10718</v>
      </c>
      <c r="J3526" s="1178" t="s">
        <v>668</v>
      </c>
      <c r="K3526" s="1178" t="s">
        <v>350</v>
      </c>
      <c r="L3526" s="1178" t="s">
        <v>351</v>
      </c>
      <c r="M3526" s="1369"/>
      <c r="N3526" s="1178"/>
      <c r="O3526" s="1178">
        <v>6</v>
      </c>
      <c r="P3526" s="1178">
        <v>14.5</v>
      </c>
    </row>
    <row r="3527" spans="1:16">
      <c r="A3527" s="1178" t="s">
        <v>354</v>
      </c>
      <c r="B3527" s="1371" t="str">
        <f>HYPERLINK(IFERROR("#Main_Tariff!A"&amp;MATCH(Raeburn_Main_Tariff[[#This Row],[Product Code]],Main_Tariff!I:I,0),"#Main_Tariff!A"&amp;MATCH("*"&amp;RIGHT(A3527,8)&amp;"*",Main_Tariff!A:A,0)),Raeburn_Main_Tariff[[#This Row],[PRODUCER]])</f>
        <v>Brovia</v>
      </c>
      <c r="C3527" s="1178" t="s">
        <v>21746</v>
      </c>
      <c r="D3527" s="1178" t="s">
        <v>897</v>
      </c>
      <c r="E3527" s="1179">
        <v>2018</v>
      </c>
      <c r="F3527" s="1282" t="s">
        <v>20220</v>
      </c>
      <c r="G3527" s="1368" t="s">
        <v>5258</v>
      </c>
      <c r="H3527" s="1178" t="s">
        <v>20224</v>
      </c>
      <c r="I3527" s="1178" t="s">
        <v>10719</v>
      </c>
      <c r="J3527" s="1178" t="s">
        <v>668</v>
      </c>
      <c r="K3527" s="1178" t="s">
        <v>350</v>
      </c>
      <c r="L3527" s="1178" t="s">
        <v>351</v>
      </c>
      <c r="M3527" s="1369"/>
      <c r="N3527" s="1178"/>
      <c r="O3527" s="1178">
        <v>6</v>
      </c>
      <c r="P3527" s="1178">
        <v>14.5</v>
      </c>
    </row>
    <row r="3528" spans="1:16">
      <c r="A3528" s="1178" t="s">
        <v>354</v>
      </c>
      <c r="B3528" s="1371" t="str">
        <f>HYPERLINK(IFERROR("#Main_Tariff!A"&amp;MATCH(Raeburn_Main_Tariff[[#This Row],[Product Code]],Main_Tariff!I:I,0),"#Main_Tariff!A"&amp;MATCH("*"&amp;RIGHT(A3528,8)&amp;"*",Main_Tariff!A:A,0)),Raeburn_Main_Tariff[[#This Row],[PRODUCER]])</f>
        <v>Brovia</v>
      </c>
      <c r="C3528" s="1178" t="s">
        <v>21747</v>
      </c>
      <c r="D3528" s="1178" t="s">
        <v>897</v>
      </c>
      <c r="E3528" s="1179">
        <v>2020</v>
      </c>
      <c r="F3528" s="1282" t="s">
        <v>20220</v>
      </c>
      <c r="G3528" s="1368" t="s">
        <v>5258</v>
      </c>
      <c r="H3528" s="1178" t="s">
        <v>20221</v>
      </c>
      <c r="I3528" s="1178" t="s">
        <v>10720</v>
      </c>
      <c r="J3528" s="1178" t="s">
        <v>668</v>
      </c>
      <c r="K3528" s="1178" t="s">
        <v>350</v>
      </c>
      <c r="L3528" s="1178" t="s">
        <v>351</v>
      </c>
      <c r="M3528" s="1369"/>
      <c r="N3528" s="1178"/>
      <c r="O3528" s="1178">
        <v>6</v>
      </c>
      <c r="P3528" s="1178">
        <v>14.5</v>
      </c>
    </row>
    <row r="3529" spans="1:16">
      <c r="A3529" s="1178" t="s">
        <v>354</v>
      </c>
      <c r="B3529" s="1371" t="str">
        <f>HYPERLINK(IFERROR("#Main_Tariff!A"&amp;MATCH(Raeburn_Main_Tariff[[#This Row],[Product Code]],Main_Tariff!I:I,0),"#Main_Tariff!A"&amp;MATCH("*"&amp;RIGHT(A3529,8)&amp;"*",Main_Tariff!A:A,0)),Raeburn_Main_Tariff[[#This Row],[PRODUCER]])</f>
        <v>Brovia</v>
      </c>
      <c r="C3529" s="1178" t="s">
        <v>21747</v>
      </c>
      <c r="D3529" s="1178" t="s">
        <v>897</v>
      </c>
      <c r="E3529" s="1179">
        <v>2015</v>
      </c>
      <c r="F3529" s="1282" t="s">
        <v>20220</v>
      </c>
      <c r="G3529" s="1368" t="s">
        <v>5258</v>
      </c>
      <c r="H3529" s="1178" t="s">
        <v>20224</v>
      </c>
      <c r="I3529" s="1178" t="s">
        <v>10721</v>
      </c>
      <c r="J3529" s="1178" t="s">
        <v>668</v>
      </c>
      <c r="K3529" s="1178" t="s">
        <v>350</v>
      </c>
      <c r="L3529" s="1178" t="s">
        <v>351</v>
      </c>
      <c r="M3529" s="1369"/>
      <c r="N3529" s="1178"/>
      <c r="O3529" s="1178">
        <v>6</v>
      </c>
      <c r="P3529" s="1178">
        <v>14.5</v>
      </c>
    </row>
    <row r="3530" spans="1:16">
      <c r="A3530" s="1178" t="s">
        <v>354</v>
      </c>
      <c r="B3530" s="1371" t="str">
        <f>HYPERLINK(IFERROR("#Main_Tariff!A"&amp;MATCH(Raeburn_Main_Tariff[[#This Row],[Product Code]],Main_Tariff!I:I,0),"#Main_Tariff!A"&amp;MATCH("*"&amp;RIGHT(A3530,8)&amp;"*",Main_Tariff!A:A,0)),Raeburn_Main_Tariff[[#This Row],[PRODUCER]])</f>
        <v>Brovia</v>
      </c>
      <c r="C3530" s="1178" t="s">
        <v>21747</v>
      </c>
      <c r="D3530" s="1178" t="s">
        <v>897</v>
      </c>
      <c r="E3530" s="1179">
        <v>2013</v>
      </c>
      <c r="F3530" s="1282" t="s">
        <v>20220</v>
      </c>
      <c r="G3530" s="1368" t="s">
        <v>5258</v>
      </c>
      <c r="H3530" s="1178" t="s">
        <v>20221</v>
      </c>
      <c r="I3530" s="1178" t="s">
        <v>10722</v>
      </c>
      <c r="J3530" s="1178" t="s">
        <v>668</v>
      </c>
      <c r="K3530" s="1178" t="s">
        <v>350</v>
      </c>
      <c r="L3530" s="1178" t="s">
        <v>351</v>
      </c>
      <c r="M3530" s="1369"/>
      <c r="N3530" s="1178"/>
      <c r="O3530" s="1178">
        <v>6</v>
      </c>
      <c r="P3530" s="1178">
        <v>14.5</v>
      </c>
    </row>
    <row r="3531" spans="1:16">
      <c r="A3531" s="1178" t="s">
        <v>354</v>
      </c>
      <c r="B3531" s="1371" t="str">
        <f>HYPERLINK(IFERROR("#Main_Tariff!A"&amp;MATCH(Raeburn_Main_Tariff[[#This Row],[Product Code]],Main_Tariff!I:I,0),"#Main_Tariff!A"&amp;MATCH("*"&amp;RIGHT(A3531,8)&amp;"*",Main_Tariff!A:A,0)),Raeburn_Main_Tariff[[#This Row],[PRODUCER]])</f>
        <v>Brovia</v>
      </c>
      <c r="C3531" s="1178" t="s">
        <v>21747</v>
      </c>
      <c r="D3531" s="1178" t="s">
        <v>897</v>
      </c>
      <c r="E3531" s="1179">
        <v>2011</v>
      </c>
      <c r="F3531" s="1282" t="s">
        <v>20220</v>
      </c>
      <c r="G3531" s="1368" t="s">
        <v>5258</v>
      </c>
      <c r="H3531" s="1178" t="s">
        <v>20224</v>
      </c>
      <c r="I3531" s="1178" t="s">
        <v>10723</v>
      </c>
      <c r="J3531" s="1178" t="s">
        <v>668</v>
      </c>
      <c r="K3531" s="1178" t="s">
        <v>350</v>
      </c>
      <c r="L3531" s="1178" t="s">
        <v>351</v>
      </c>
      <c r="M3531" s="1369"/>
      <c r="N3531" s="1178"/>
      <c r="O3531" s="1178">
        <v>6</v>
      </c>
      <c r="P3531" s="1178">
        <v>14.5</v>
      </c>
    </row>
    <row r="3532" spans="1:16">
      <c r="A3532" s="1178" t="s">
        <v>354</v>
      </c>
      <c r="B3532" s="1371" t="str">
        <f>HYPERLINK(IFERROR("#Main_Tariff!A"&amp;MATCH(Raeburn_Main_Tariff[[#This Row],[Product Code]],Main_Tariff!I:I,0),"#Main_Tariff!A"&amp;MATCH("*"&amp;RIGHT(A3532,8)&amp;"*",Main_Tariff!A:A,0)),Raeburn_Main_Tariff[[#This Row],[PRODUCER]])</f>
        <v>Brovia</v>
      </c>
      <c r="C3532" s="1178" t="s">
        <v>21748</v>
      </c>
      <c r="D3532" s="1178" t="s">
        <v>897</v>
      </c>
      <c r="E3532" s="1179">
        <v>2020</v>
      </c>
      <c r="F3532" s="1282" t="s">
        <v>20220</v>
      </c>
      <c r="G3532" s="1368" t="s">
        <v>5258</v>
      </c>
      <c r="H3532" s="1178" t="s">
        <v>20221</v>
      </c>
      <c r="I3532" s="1178" t="s">
        <v>10724</v>
      </c>
      <c r="J3532" s="1178" t="s">
        <v>668</v>
      </c>
      <c r="K3532" s="1178" t="s">
        <v>350</v>
      </c>
      <c r="L3532" s="1178" t="s">
        <v>351</v>
      </c>
      <c r="M3532" s="1369"/>
      <c r="N3532" s="1178"/>
      <c r="O3532" s="1178">
        <v>6</v>
      </c>
      <c r="P3532" s="1178">
        <v>14.5</v>
      </c>
    </row>
    <row r="3533" spans="1:16">
      <c r="A3533" s="1178" t="s">
        <v>354</v>
      </c>
      <c r="B3533" s="1371" t="str">
        <f>HYPERLINK(IFERROR("#Main_Tariff!A"&amp;MATCH(Raeburn_Main_Tariff[[#This Row],[Product Code]],Main_Tariff!I:I,0),"#Main_Tariff!A"&amp;MATCH("*"&amp;RIGHT(A3533,8)&amp;"*",Main_Tariff!A:A,0)),Raeburn_Main_Tariff[[#This Row],[PRODUCER]])</f>
        <v>Brovia</v>
      </c>
      <c r="C3533" s="1178" t="s">
        <v>21748</v>
      </c>
      <c r="D3533" s="1178" t="s">
        <v>897</v>
      </c>
      <c r="E3533" s="1179">
        <v>2017</v>
      </c>
      <c r="F3533" s="1282" t="s">
        <v>20220</v>
      </c>
      <c r="G3533" s="1368" t="s">
        <v>5258</v>
      </c>
      <c r="H3533" s="1178" t="s">
        <v>20224</v>
      </c>
      <c r="I3533" s="1178" t="s">
        <v>10725</v>
      </c>
      <c r="J3533" s="1178" t="s">
        <v>668</v>
      </c>
      <c r="K3533" s="1178" t="s">
        <v>350</v>
      </c>
      <c r="L3533" s="1178" t="s">
        <v>351</v>
      </c>
      <c r="M3533" s="1369"/>
      <c r="N3533" s="1178"/>
      <c r="O3533" s="1178">
        <v>6</v>
      </c>
      <c r="P3533" s="1178">
        <v>14.5</v>
      </c>
    </row>
    <row r="3534" spans="1:16">
      <c r="A3534" s="1178" t="s">
        <v>354</v>
      </c>
      <c r="B3534" s="1371" t="str">
        <f>HYPERLINK(IFERROR("#Main_Tariff!A"&amp;MATCH(Raeburn_Main_Tariff[[#This Row],[Product Code]],Main_Tariff!I:I,0),"#Main_Tariff!A"&amp;MATCH("*"&amp;RIGHT(A3534,8)&amp;"*",Main_Tariff!A:A,0)),Raeburn_Main_Tariff[[#This Row],[PRODUCER]])</f>
        <v>Brovia</v>
      </c>
      <c r="C3534" s="1178" t="s">
        <v>21748</v>
      </c>
      <c r="D3534" s="1178" t="s">
        <v>897</v>
      </c>
      <c r="E3534" s="1179">
        <v>2015</v>
      </c>
      <c r="F3534" s="1282" t="s">
        <v>20220</v>
      </c>
      <c r="G3534" s="1368" t="s">
        <v>5258</v>
      </c>
      <c r="H3534" s="1178" t="s">
        <v>20224</v>
      </c>
      <c r="I3534" s="1178" t="s">
        <v>10726</v>
      </c>
      <c r="J3534" s="1178" t="s">
        <v>668</v>
      </c>
      <c r="K3534" s="1178" t="s">
        <v>350</v>
      </c>
      <c r="L3534" s="1178" t="s">
        <v>351</v>
      </c>
      <c r="M3534" s="1369"/>
      <c r="N3534" s="1178"/>
      <c r="O3534" s="1178">
        <v>6</v>
      </c>
      <c r="P3534" s="1178">
        <v>14.5</v>
      </c>
    </row>
    <row r="3535" spans="1:16">
      <c r="A3535" s="1178" t="s">
        <v>354</v>
      </c>
      <c r="B3535" s="1371" t="str">
        <f>HYPERLINK(IFERROR("#Main_Tariff!A"&amp;MATCH(Raeburn_Main_Tariff[[#This Row],[Product Code]],Main_Tariff!I:I,0),"#Main_Tariff!A"&amp;MATCH("*"&amp;RIGHT(A3535,8)&amp;"*",Main_Tariff!A:A,0)),Raeburn_Main_Tariff[[#This Row],[PRODUCER]])</f>
        <v>Brovia</v>
      </c>
      <c r="C3535" s="1178" t="s">
        <v>21748</v>
      </c>
      <c r="D3535" s="1178" t="s">
        <v>897</v>
      </c>
      <c r="E3535" s="1179">
        <v>2012</v>
      </c>
      <c r="F3535" s="1282" t="s">
        <v>20220</v>
      </c>
      <c r="G3535" s="1368" t="s">
        <v>5258</v>
      </c>
      <c r="H3535" s="1178" t="s">
        <v>20224</v>
      </c>
      <c r="I3535" s="1178" t="s">
        <v>10727</v>
      </c>
      <c r="J3535" s="1178" t="s">
        <v>668</v>
      </c>
      <c r="K3535" s="1178" t="s">
        <v>350</v>
      </c>
      <c r="L3535" s="1178" t="s">
        <v>351</v>
      </c>
      <c r="M3535" s="1369"/>
      <c r="N3535" s="1178"/>
      <c r="O3535" s="1178">
        <v>6</v>
      </c>
      <c r="P3535" s="1178">
        <v>14.5</v>
      </c>
    </row>
    <row r="3536" spans="1:16">
      <c r="A3536" s="1178" t="s">
        <v>354</v>
      </c>
      <c r="B3536" s="1371" t="str">
        <f>HYPERLINK(IFERROR("#Main_Tariff!A"&amp;MATCH(Raeburn_Main_Tariff[[#This Row],[Product Code]],Main_Tariff!I:I,0),"#Main_Tariff!A"&amp;MATCH("*"&amp;RIGHT(A3536,8)&amp;"*",Main_Tariff!A:A,0)),Raeburn_Main_Tariff[[#This Row],[PRODUCER]])</f>
        <v>Brovia</v>
      </c>
      <c r="C3536" s="1178" t="s">
        <v>21749</v>
      </c>
      <c r="D3536" s="1178" t="s">
        <v>897</v>
      </c>
      <c r="E3536" s="1179">
        <v>2020</v>
      </c>
      <c r="F3536" s="1282" t="s">
        <v>20220</v>
      </c>
      <c r="G3536" s="1368" t="s">
        <v>5258</v>
      </c>
      <c r="H3536" s="1178" t="s">
        <v>20224</v>
      </c>
      <c r="I3536" s="1178" t="s">
        <v>10728</v>
      </c>
      <c r="J3536" s="1178" t="s">
        <v>668</v>
      </c>
      <c r="K3536" s="1178" t="s">
        <v>350</v>
      </c>
      <c r="L3536" s="1178" t="s">
        <v>351</v>
      </c>
      <c r="M3536" s="1369"/>
      <c r="N3536" s="1178"/>
      <c r="O3536" s="1178">
        <v>6</v>
      </c>
      <c r="P3536" s="1178">
        <v>14.5</v>
      </c>
    </row>
    <row r="3537" spans="1:16">
      <c r="A3537" s="1178" t="s">
        <v>354</v>
      </c>
      <c r="B3537" s="1371" t="str">
        <f>HYPERLINK(IFERROR("#Main_Tariff!A"&amp;MATCH(Raeburn_Main_Tariff[[#This Row],[Product Code]],Main_Tariff!I:I,0),"#Main_Tariff!A"&amp;MATCH("*"&amp;RIGHT(A3537,8)&amp;"*",Main_Tariff!A:A,0)),Raeburn_Main_Tariff[[#This Row],[PRODUCER]])</f>
        <v>Brovia</v>
      </c>
      <c r="C3537" s="1178" t="s">
        <v>21749</v>
      </c>
      <c r="D3537" s="1178" t="s">
        <v>897</v>
      </c>
      <c r="E3537" s="1179">
        <v>2016</v>
      </c>
      <c r="F3537" s="1282" t="s">
        <v>20220</v>
      </c>
      <c r="G3537" s="1368" t="s">
        <v>5258</v>
      </c>
      <c r="H3537" s="1178" t="s">
        <v>20224</v>
      </c>
      <c r="I3537" s="1178" t="s">
        <v>10729</v>
      </c>
      <c r="J3537" s="1178" t="s">
        <v>668</v>
      </c>
      <c r="K3537" s="1178" t="s">
        <v>350</v>
      </c>
      <c r="L3537" s="1178" t="s">
        <v>351</v>
      </c>
      <c r="M3537" s="1369"/>
      <c r="N3537" s="1178"/>
      <c r="O3537" s="1178">
        <v>6</v>
      </c>
      <c r="P3537" s="1178">
        <v>14.5</v>
      </c>
    </row>
    <row r="3538" spans="1:16">
      <c r="A3538" s="1178" t="s">
        <v>354</v>
      </c>
      <c r="B3538" s="1371" t="str">
        <f>HYPERLINK(IFERROR("#Main_Tariff!A"&amp;MATCH(Raeburn_Main_Tariff[[#This Row],[Product Code]],Main_Tariff!I:I,0),"#Main_Tariff!A"&amp;MATCH("*"&amp;RIGHT(A3538,8)&amp;"*",Main_Tariff!A:A,0)),Raeburn_Main_Tariff[[#This Row],[PRODUCER]])</f>
        <v>Brovia</v>
      </c>
      <c r="C3538" s="1178" t="s">
        <v>21749</v>
      </c>
      <c r="D3538" s="1178" t="s">
        <v>897</v>
      </c>
      <c r="E3538" s="1179">
        <v>2015</v>
      </c>
      <c r="F3538" s="1282" t="s">
        <v>20220</v>
      </c>
      <c r="G3538" s="1368" t="s">
        <v>5258</v>
      </c>
      <c r="H3538" s="1178" t="s">
        <v>20224</v>
      </c>
      <c r="I3538" s="1178" t="s">
        <v>10730</v>
      </c>
      <c r="J3538" s="1178" t="s">
        <v>668</v>
      </c>
      <c r="K3538" s="1178" t="s">
        <v>350</v>
      </c>
      <c r="L3538" s="1178" t="s">
        <v>351</v>
      </c>
      <c r="M3538" s="1369"/>
      <c r="N3538" s="1178"/>
      <c r="O3538" s="1178">
        <v>6</v>
      </c>
      <c r="P3538" s="1178">
        <v>14.5</v>
      </c>
    </row>
    <row r="3539" spans="1:16">
      <c r="A3539" s="1178" t="s">
        <v>354</v>
      </c>
      <c r="B3539" s="1371" t="str">
        <f>HYPERLINK(IFERROR("#Main_Tariff!A"&amp;MATCH(Raeburn_Main_Tariff[[#This Row],[Product Code]],Main_Tariff!I:I,0),"#Main_Tariff!A"&amp;MATCH("*"&amp;RIGHT(A3539,8)&amp;"*",Main_Tariff!A:A,0)),Raeburn_Main_Tariff[[#This Row],[PRODUCER]])</f>
        <v>Brovia</v>
      </c>
      <c r="C3539" s="1178" t="s">
        <v>21749</v>
      </c>
      <c r="D3539" s="1178" t="s">
        <v>897</v>
      </c>
      <c r="E3539" s="1179">
        <v>2013</v>
      </c>
      <c r="F3539" s="1282" t="s">
        <v>20220</v>
      </c>
      <c r="G3539" s="1368" t="s">
        <v>5258</v>
      </c>
      <c r="H3539" s="1178" t="s">
        <v>20224</v>
      </c>
      <c r="I3539" s="1178" t="s">
        <v>10731</v>
      </c>
      <c r="J3539" s="1178" t="s">
        <v>668</v>
      </c>
      <c r="K3539" s="1178" t="s">
        <v>350</v>
      </c>
      <c r="L3539" s="1178" t="s">
        <v>351</v>
      </c>
      <c r="M3539" s="1369"/>
      <c r="N3539" s="1178"/>
      <c r="O3539" s="1178">
        <v>6</v>
      </c>
      <c r="P3539" s="1178">
        <v>14.5</v>
      </c>
    </row>
    <row r="3540" spans="1:16">
      <c r="A3540" s="1178" t="s">
        <v>354</v>
      </c>
      <c r="B3540" s="1371" t="str">
        <f>HYPERLINK(IFERROR("#Main_Tariff!A"&amp;MATCH(Raeburn_Main_Tariff[[#This Row],[Product Code]],Main_Tariff!I:I,0),"#Main_Tariff!A"&amp;MATCH("*"&amp;RIGHT(A3540,8)&amp;"*",Main_Tariff!A:A,0)),Raeburn_Main_Tariff[[#This Row],[PRODUCER]])</f>
        <v>Brovia</v>
      </c>
      <c r="C3540" s="1178" t="s">
        <v>21750</v>
      </c>
      <c r="D3540" s="1178" t="s">
        <v>897</v>
      </c>
      <c r="E3540" s="1179">
        <v>2020</v>
      </c>
      <c r="F3540" s="1282" t="s">
        <v>20240</v>
      </c>
      <c r="G3540" s="1368" t="s">
        <v>5258</v>
      </c>
      <c r="H3540" s="1178" t="s">
        <v>20224</v>
      </c>
      <c r="I3540" s="1178" t="s">
        <v>10733</v>
      </c>
      <c r="J3540" s="1178" t="s">
        <v>668</v>
      </c>
      <c r="K3540" s="1178" t="s">
        <v>350</v>
      </c>
      <c r="L3540" s="1178" t="s">
        <v>351</v>
      </c>
      <c r="M3540" s="1369"/>
      <c r="N3540" s="1178"/>
      <c r="O3540" s="1178">
        <v>3</v>
      </c>
      <c r="P3540" s="1178">
        <v>14.5</v>
      </c>
    </row>
    <row r="3541" spans="1:16">
      <c r="A3541" s="1178" t="s">
        <v>354</v>
      </c>
      <c r="B3541" s="1371" t="str">
        <f>HYPERLINK(IFERROR("#Main_Tariff!A"&amp;MATCH(Raeburn_Main_Tariff[[#This Row],[Product Code]],Main_Tariff!I:I,0),"#Main_Tariff!A"&amp;MATCH("*"&amp;RIGHT(A3541,8)&amp;"*",Main_Tariff!A:A,0)),Raeburn_Main_Tariff[[#This Row],[PRODUCER]])</f>
        <v>Brovia</v>
      </c>
      <c r="C3541" s="1178" t="s">
        <v>21750</v>
      </c>
      <c r="D3541" s="1178" t="s">
        <v>897</v>
      </c>
      <c r="E3541" s="1179">
        <v>2018</v>
      </c>
      <c r="F3541" s="1282" t="s">
        <v>20240</v>
      </c>
      <c r="G3541" s="1368" t="s">
        <v>5258</v>
      </c>
      <c r="H3541" s="1178" t="s">
        <v>20224</v>
      </c>
      <c r="I3541" s="1178" t="s">
        <v>10734</v>
      </c>
      <c r="J3541" s="1178" t="s">
        <v>668</v>
      </c>
      <c r="K3541" s="1178" t="s">
        <v>350</v>
      </c>
      <c r="L3541" s="1178" t="s">
        <v>351</v>
      </c>
      <c r="M3541" s="1369"/>
      <c r="N3541" s="1178"/>
      <c r="O3541" s="1178">
        <v>3</v>
      </c>
      <c r="P3541" s="1178">
        <v>14.5</v>
      </c>
    </row>
    <row r="3542" spans="1:16">
      <c r="A3542" s="1178" t="s">
        <v>354</v>
      </c>
      <c r="B3542" s="1371" t="str">
        <f>HYPERLINK(IFERROR("#Main_Tariff!A"&amp;MATCH(Raeburn_Main_Tariff[[#This Row],[Product Code]],Main_Tariff!I:I,0),"#Main_Tariff!A"&amp;MATCH("*"&amp;RIGHT(A3542,8)&amp;"*",Main_Tariff!A:A,0)),Raeburn_Main_Tariff[[#This Row],[PRODUCER]])</f>
        <v>Brovia</v>
      </c>
      <c r="C3542" s="1178" t="s">
        <v>21750</v>
      </c>
      <c r="D3542" s="1178" t="s">
        <v>897</v>
      </c>
      <c r="E3542" s="1179">
        <v>2012</v>
      </c>
      <c r="F3542" s="1282" t="s">
        <v>20240</v>
      </c>
      <c r="G3542" s="1368" t="s">
        <v>5258</v>
      </c>
      <c r="H3542" s="1178" t="s">
        <v>20224</v>
      </c>
      <c r="I3542" s="1178" t="s">
        <v>10735</v>
      </c>
      <c r="J3542" s="1178" t="s">
        <v>668</v>
      </c>
      <c r="K3542" s="1178" t="s">
        <v>350</v>
      </c>
      <c r="L3542" s="1178" t="s">
        <v>351</v>
      </c>
      <c r="M3542" s="1369"/>
      <c r="N3542" s="1178"/>
      <c r="O3542" s="1178">
        <v>3</v>
      </c>
      <c r="P3542" s="1178">
        <v>14.5</v>
      </c>
    </row>
    <row r="3543" spans="1:16">
      <c r="A3543" s="1178" t="s">
        <v>354</v>
      </c>
      <c r="B3543" s="1371" t="str">
        <f>HYPERLINK(IFERROR("#Main_Tariff!A"&amp;MATCH(Raeburn_Main_Tariff[[#This Row],[Product Code]],Main_Tariff!I:I,0),"#Main_Tariff!A"&amp;MATCH("*"&amp;RIGHT(A3543,8)&amp;"*",Main_Tariff!A:A,0)),Raeburn_Main_Tariff[[#This Row],[PRODUCER]])</f>
        <v>Brovia</v>
      </c>
      <c r="C3543" s="1178" t="s">
        <v>21750</v>
      </c>
      <c r="D3543" s="1178" t="s">
        <v>897</v>
      </c>
      <c r="E3543" s="1179">
        <v>2009</v>
      </c>
      <c r="F3543" s="1282" t="s">
        <v>20240</v>
      </c>
      <c r="G3543" s="1368" t="s">
        <v>5258</v>
      </c>
      <c r="H3543" s="1178" t="s">
        <v>20224</v>
      </c>
      <c r="I3543" s="1178" t="s">
        <v>10736</v>
      </c>
      <c r="J3543" s="1178" t="s">
        <v>668</v>
      </c>
      <c r="K3543" s="1178" t="s">
        <v>350</v>
      </c>
      <c r="L3543" s="1178" t="s">
        <v>351</v>
      </c>
      <c r="M3543" s="1369"/>
      <c r="N3543" s="1178"/>
      <c r="O3543" s="1178">
        <v>3</v>
      </c>
      <c r="P3543" s="1178">
        <v>14</v>
      </c>
    </row>
    <row r="3544" spans="1:16">
      <c r="A3544" s="1178" t="s">
        <v>354</v>
      </c>
      <c r="B3544" s="1371" t="str">
        <f>HYPERLINK(IFERROR("#Main_Tariff!A"&amp;MATCH(Raeburn_Main_Tariff[[#This Row],[Product Code]],Main_Tariff!I:I,0),"#Main_Tariff!A"&amp;MATCH("*"&amp;RIGHT(A3544,8)&amp;"*",Main_Tariff!A:A,0)),Raeburn_Main_Tariff[[#This Row],[PRODUCER]])</f>
        <v>Brovia</v>
      </c>
      <c r="C3544" s="1178" t="s">
        <v>21751</v>
      </c>
      <c r="D3544" s="1178" t="s">
        <v>897</v>
      </c>
      <c r="E3544" s="1179">
        <v>2020</v>
      </c>
      <c r="F3544" s="1282" t="s">
        <v>20240</v>
      </c>
      <c r="G3544" s="1368" t="s">
        <v>5258</v>
      </c>
      <c r="H3544" s="1178" t="s">
        <v>20224</v>
      </c>
      <c r="I3544" s="1178" t="s">
        <v>10737</v>
      </c>
      <c r="J3544" s="1178" t="s">
        <v>668</v>
      </c>
      <c r="K3544" s="1178" t="s">
        <v>350</v>
      </c>
      <c r="L3544" s="1178" t="s">
        <v>351</v>
      </c>
      <c r="M3544" s="1369"/>
      <c r="N3544" s="1178"/>
      <c r="O3544" s="1178">
        <v>3</v>
      </c>
      <c r="P3544" s="1178">
        <v>14.5</v>
      </c>
    </row>
    <row r="3545" spans="1:16">
      <c r="A3545" s="1178" t="s">
        <v>354</v>
      </c>
      <c r="B3545" s="1371" t="str">
        <f>HYPERLINK(IFERROR("#Main_Tariff!A"&amp;MATCH(Raeburn_Main_Tariff[[#This Row],[Product Code]],Main_Tariff!I:I,0),"#Main_Tariff!A"&amp;MATCH("*"&amp;RIGHT(A3545,8)&amp;"*",Main_Tariff!A:A,0)),Raeburn_Main_Tariff[[#This Row],[PRODUCER]])</f>
        <v>Brovia</v>
      </c>
      <c r="C3545" s="1178" t="s">
        <v>21752</v>
      </c>
      <c r="D3545" s="1178" t="s">
        <v>897</v>
      </c>
      <c r="E3545" s="1179">
        <v>2020</v>
      </c>
      <c r="F3545" s="1282" t="s">
        <v>20240</v>
      </c>
      <c r="G3545" s="1368" t="s">
        <v>5258</v>
      </c>
      <c r="H3545" s="1178" t="s">
        <v>20224</v>
      </c>
      <c r="I3545" s="1178" t="s">
        <v>10738</v>
      </c>
      <c r="J3545" s="1178" t="s">
        <v>668</v>
      </c>
      <c r="K3545" s="1178" t="s">
        <v>350</v>
      </c>
      <c r="L3545" s="1178" t="s">
        <v>351</v>
      </c>
      <c r="M3545" s="1369"/>
      <c r="N3545" s="1178"/>
      <c r="O3545" s="1178">
        <v>3</v>
      </c>
      <c r="P3545" s="1178">
        <v>14.5</v>
      </c>
    </row>
    <row r="3546" spans="1:16">
      <c r="A3546" s="1178" t="s">
        <v>354</v>
      </c>
      <c r="B3546" s="1371" t="str">
        <f>HYPERLINK(IFERROR("#Main_Tariff!A"&amp;MATCH(Raeburn_Main_Tariff[[#This Row],[Product Code]],Main_Tariff!I:I,0),"#Main_Tariff!A"&amp;MATCH("*"&amp;RIGHT(A3546,8)&amp;"*",Main_Tariff!A:A,0)),Raeburn_Main_Tariff[[#This Row],[PRODUCER]])</f>
        <v>Brovia</v>
      </c>
      <c r="C3546" s="1178" t="s">
        <v>21752</v>
      </c>
      <c r="D3546" s="1178" t="s">
        <v>897</v>
      </c>
      <c r="E3546" s="1179">
        <v>2017</v>
      </c>
      <c r="F3546" s="1282" t="s">
        <v>20240</v>
      </c>
      <c r="G3546" s="1368" t="s">
        <v>5258</v>
      </c>
      <c r="H3546" s="1178" t="s">
        <v>20224</v>
      </c>
      <c r="I3546" s="1178" t="s">
        <v>10739</v>
      </c>
      <c r="J3546" s="1178" t="s">
        <v>668</v>
      </c>
      <c r="K3546" s="1178" t="s">
        <v>350</v>
      </c>
      <c r="L3546" s="1178" t="s">
        <v>351</v>
      </c>
      <c r="M3546" s="1369"/>
      <c r="N3546" s="1178"/>
      <c r="O3546" s="1178">
        <v>1</v>
      </c>
      <c r="P3546" s="1178">
        <v>14.5</v>
      </c>
    </row>
    <row r="3547" spans="1:16">
      <c r="A3547" s="1178" t="s">
        <v>354</v>
      </c>
      <c r="B3547" s="1371" t="str">
        <f>HYPERLINK(IFERROR("#Main_Tariff!A"&amp;MATCH(Raeburn_Main_Tariff[[#This Row],[Product Code]],Main_Tariff!I:I,0),"#Main_Tariff!A"&amp;MATCH("*"&amp;RIGHT(A3547,8)&amp;"*",Main_Tariff!A:A,0)),Raeburn_Main_Tariff[[#This Row],[PRODUCER]])</f>
        <v>Brovia</v>
      </c>
      <c r="C3547" s="1178" t="s">
        <v>21752</v>
      </c>
      <c r="D3547" s="1178" t="s">
        <v>897</v>
      </c>
      <c r="E3547" s="1179">
        <v>2016</v>
      </c>
      <c r="F3547" s="1282" t="s">
        <v>20240</v>
      </c>
      <c r="G3547" s="1368" t="s">
        <v>5258</v>
      </c>
      <c r="H3547" s="1178" t="s">
        <v>20224</v>
      </c>
      <c r="I3547" s="1178" t="s">
        <v>10740</v>
      </c>
      <c r="J3547" s="1178" t="s">
        <v>668</v>
      </c>
      <c r="K3547" s="1178" t="s">
        <v>350</v>
      </c>
      <c r="L3547" s="1178" t="s">
        <v>351</v>
      </c>
      <c r="M3547" s="1369"/>
      <c r="N3547" s="1178"/>
      <c r="O3547" s="1178">
        <v>1</v>
      </c>
      <c r="P3547" s="1178">
        <v>14.5</v>
      </c>
    </row>
    <row r="3548" spans="1:16">
      <c r="A3548" s="1178" t="s">
        <v>355</v>
      </c>
      <c r="B3548" s="1371" t="str">
        <f>HYPERLINK(IFERROR("#Main_Tariff!A"&amp;MATCH(Raeburn_Main_Tariff[[#This Row],[Product Code]],Main_Tariff!I:I,0),"#Main_Tariff!A"&amp;MATCH("*"&amp;RIGHT(A3548,8)&amp;"*",Main_Tariff!A:A,0)),Raeburn_Main_Tariff[[#This Row],[PRODUCER]])</f>
        <v>Giovanni Canonica</v>
      </c>
      <c r="C3548" s="1178" t="s">
        <v>21734</v>
      </c>
      <c r="D3548" s="1178" t="s">
        <v>897</v>
      </c>
      <c r="E3548" s="1179">
        <v>2023</v>
      </c>
      <c r="F3548" s="1282" t="s">
        <v>20220</v>
      </c>
      <c r="G3548" s="1368" t="s">
        <v>5258</v>
      </c>
      <c r="H3548" s="1178" t="s">
        <v>20221</v>
      </c>
      <c r="I3548" s="1178" t="s">
        <v>10743</v>
      </c>
      <c r="J3548" s="1178" t="s">
        <v>668</v>
      </c>
      <c r="K3548" s="1178" t="s">
        <v>350</v>
      </c>
      <c r="L3548" s="1178" t="s">
        <v>351</v>
      </c>
      <c r="M3548" s="1369"/>
      <c r="N3548" s="1178"/>
      <c r="O3548" s="1178">
        <v>6</v>
      </c>
      <c r="P3548" s="1178">
        <v>13.5</v>
      </c>
    </row>
    <row r="3549" spans="1:16">
      <c r="A3549" s="1178" t="s">
        <v>355</v>
      </c>
      <c r="B3549" s="1371" t="str">
        <f>HYPERLINK(IFERROR("#Main_Tariff!A"&amp;MATCH(Raeburn_Main_Tariff[[#This Row],[Product Code]],Main_Tariff!I:I,0),"#Main_Tariff!A"&amp;MATCH("*"&amp;RIGHT(A3549,8)&amp;"*",Main_Tariff!A:A,0)),Raeburn_Main_Tariff[[#This Row],[PRODUCER]])</f>
        <v>Giovanni Canonica</v>
      </c>
      <c r="C3549" s="1178" t="s">
        <v>21734</v>
      </c>
      <c r="D3549" s="1178" t="s">
        <v>897</v>
      </c>
      <c r="E3549" s="1179">
        <v>2022</v>
      </c>
      <c r="F3549" s="1282" t="s">
        <v>20220</v>
      </c>
      <c r="G3549" s="1368" t="s">
        <v>5258</v>
      </c>
      <c r="H3549" s="1178" t="s">
        <v>20221</v>
      </c>
      <c r="I3549" s="1178" t="s">
        <v>10745</v>
      </c>
      <c r="J3549" s="1178" t="s">
        <v>668</v>
      </c>
      <c r="K3549" s="1178" t="s">
        <v>350</v>
      </c>
      <c r="L3549" s="1178" t="s">
        <v>351</v>
      </c>
      <c r="M3549" s="1369"/>
      <c r="N3549" s="1178"/>
      <c r="O3549" s="1178">
        <v>6</v>
      </c>
      <c r="P3549" s="1178">
        <v>14.5</v>
      </c>
    </row>
    <row r="3550" spans="1:16">
      <c r="A3550" s="1178" t="s">
        <v>355</v>
      </c>
      <c r="B3550" s="1371" t="str">
        <f>HYPERLINK(IFERROR("#Main_Tariff!A"&amp;MATCH(Raeburn_Main_Tariff[[#This Row],[Product Code]],Main_Tariff!I:I,0),"#Main_Tariff!A"&amp;MATCH("*"&amp;RIGHT(A3550,8)&amp;"*",Main_Tariff!A:A,0)),Raeburn_Main_Tariff[[#This Row],[PRODUCER]])</f>
        <v>Giovanni Canonica</v>
      </c>
      <c r="C3550" s="1178" t="s">
        <v>21734</v>
      </c>
      <c r="D3550" s="1178" t="s">
        <v>897</v>
      </c>
      <c r="E3550" s="1179">
        <v>2021</v>
      </c>
      <c r="F3550" s="1282" t="s">
        <v>20220</v>
      </c>
      <c r="G3550" s="1368" t="s">
        <v>5258</v>
      </c>
      <c r="H3550" s="1178" t="s">
        <v>20224</v>
      </c>
      <c r="I3550" s="1178" t="s">
        <v>10747</v>
      </c>
      <c r="J3550" s="1178" t="s">
        <v>668</v>
      </c>
      <c r="K3550" s="1178" t="s">
        <v>350</v>
      </c>
      <c r="L3550" s="1178" t="s">
        <v>351</v>
      </c>
      <c r="M3550" s="1369"/>
      <c r="N3550" s="1178"/>
      <c r="O3550" s="1178">
        <v>6</v>
      </c>
      <c r="P3550" s="1178">
        <v>14.5</v>
      </c>
    </row>
    <row r="3551" spans="1:16">
      <c r="A3551" s="1178" t="s">
        <v>355</v>
      </c>
      <c r="B3551" s="1371" t="str">
        <f>HYPERLINK(IFERROR("#Main_Tariff!A"&amp;MATCH(Raeburn_Main_Tariff[[#This Row],[Product Code]],Main_Tariff!I:I,0),"#Main_Tariff!A"&amp;MATCH("*"&amp;RIGHT(A3551,8)&amp;"*",Main_Tariff!A:A,0)),Raeburn_Main_Tariff[[#This Row],[PRODUCER]])</f>
        <v>Giovanni Canonica</v>
      </c>
      <c r="C3551" s="1178" t="s">
        <v>21734</v>
      </c>
      <c r="D3551" s="1178" t="s">
        <v>897</v>
      </c>
      <c r="E3551" s="1179">
        <v>2020</v>
      </c>
      <c r="F3551" s="1282" t="s">
        <v>20220</v>
      </c>
      <c r="G3551" s="1368" t="s">
        <v>5258</v>
      </c>
      <c r="H3551" s="1178" t="s">
        <v>20224</v>
      </c>
      <c r="I3551" s="1178" t="s">
        <v>10749</v>
      </c>
      <c r="J3551" s="1178" t="s">
        <v>668</v>
      </c>
      <c r="K3551" s="1178" t="s">
        <v>350</v>
      </c>
      <c r="L3551" s="1178" t="s">
        <v>351</v>
      </c>
      <c r="M3551" s="1369"/>
      <c r="N3551" s="1178"/>
      <c r="O3551" s="1178">
        <v>6</v>
      </c>
      <c r="P3551" s="1178">
        <v>14.5</v>
      </c>
    </row>
    <row r="3552" spans="1:16">
      <c r="A3552" s="1178" t="s">
        <v>355</v>
      </c>
      <c r="B3552" s="1371" t="str">
        <f>HYPERLINK(IFERROR("#Main_Tariff!A"&amp;MATCH(Raeburn_Main_Tariff[[#This Row],[Product Code]],Main_Tariff!I:I,0),"#Main_Tariff!A"&amp;MATCH("*"&amp;RIGHT(A3552,8)&amp;"*",Main_Tariff!A:A,0)),Raeburn_Main_Tariff[[#This Row],[PRODUCER]])</f>
        <v>Giovanni Canonica</v>
      </c>
      <c r="C3552" s="1178" t="s">
        <v>21753</v>
      </c>
      <c r="D3552" s="1178" t="s">
        <v>897</v>
      </c>
      <c r="E3552" s="1179">
        <v>2021</v>
      </c>
      <c r="F3552" s="1282" t="s">
        <v>20220</v>
      </c>
      <c r="G3552" s="1368" t="s">
        <v>5258</v>
      </c>
      <c r="H3552" s="1178" t="s">
        <v>20221</v>
      </c>
      <c r="I3552" s="1178" t="s">
        <v>10752</v>
      </c>
      <c r="J3552" s="1178" t="s">
        <v>668</v>
      </c>
      <c r="K3552" s="1178" t="s">
        <v>350</v>
      </c>
      <c r="L3552" s="1178" t="s">
        <v>351</v>
      </c>
      <c r="M3552" s="1369"/>
      <c r="N3552" s="1178"/>
      <c r="O3552" s="1178">
        <v>6</v>
      </c>
      <c r="P3552" s="1178">
        <v>14.5</v>
      </c>
    </row>
    <row r="3553" spans="1:16">
      <c r="A3553" s="1178" t="s">
        <v>355</v>
      </c>
      <c r="B3553" s="1371" t="str">
        <f>HYPERLINK(IFERROR("#Main_Tariff!A"&amp;MATCH(Raeburn_Main_Tariff[[#This Row],[Product Code]],Main_Tariff!I:I,0),"#Main_Tariff!A"&amp;MATCH("*"&amp;RIGHT(A3553,8)&amp;"*",Main_Tariff!A:A,0)),Raeburn_Main_Tariff[[#This Row],[PRODUCER]])</f>
        <v>Giovanni Canonica</v>
      </c>
      <c r="C3553" s="1178" t="s">
        <v>21753</v>
      </c>
      <c r="D3553" s="1178" t="s">
        <v>897</v>
      </c>
      <c r="E3553" s="1179">
        <v>2020</v>
      </c>
      <c r="F3553" s="1282" t="s">
        <v>20220</v>
      </c>
      <c r="G3553" s="1368" t="s">
        <v>5258</v>
      </c>
      <c r="H3553" s="1178" t="s">
        <v>20221</v>
      </c>
      <c r="I3553" s="1178" t="s">
        <v>10753</v>
      </c>
      <c r="J3553" s="1178" t="s">
        <v>668</v>
      </c>
      <c r="K3553" s="1178" t="s">
        <v>350</v>
      </c>
      <c r="L3553" s="1178" t="s">
        <v>351</v>
      </c>
      <c r="M3553" s="1369"/>
      <c r="N3553" s="1178"/>
      <c r="O3553" s="1178">
        <v>6</v>
      </c>
      <c r="P3553" s="1178">
        <v>15</v>
      </c>
    </row>
    <row r="3554" spans="1:16">
      <c r="A3554" s="1178" t="s">
        <v>355</v>
      </c>
      <c r="B3554" s="1371" t="str">
        <f>HYPERLINK(IFERROR("#Main_Tariff!A"&amp;MATCH(Raeburn_Main_Tariff[[#This Row],[Product Code]],Main_Tariff!I:I,0),"#Main_Tariff!A"&amp;MATCH("*"&amp;RIGHT(A3554,8)&amp;"*",Main_Tariff!A:A,0)),Raeburn_Main_Tariff[[#This Row],[PRODUCER]])</f>
        <v>Giovanni Canonica</v>
      </c>
      <c r="C3554" s="1178" t="s">
        <v>21753</v>
      </c>
      <c r="D3554" s="1178" t="s">
        <v>897</v>
      </c>
      <c r="E3554" s="1179">
        <v>2019</v>
      </c>
      <c r="F3554" s="1282" t="s">
        <v>20220</v>
      </c>
      <c r="G3554" s="1368" t="s">
        <v>5258</v>
      </c>
      <c r="H3554" s="1178" t="s">
        <v>20224</v>
      </c>
      <c r="I3554" s="1178" t="s">
        <v>10755</v>
      </c>
      <c r="J3554" s="1178" t="s">
        <v>668</v>
      </c>
      <c r="K3554" s="1178" t="s">
        <v>350</v>
      </c>
      <c r="L3554" s="1178" t="s">
        <v>351</v>
      </c>
      <c r="M3554" s="1369"/>
      <c r="N3554" s="1178"/>
      <c r="O3554" s="1178">
        <v>6</v>
      </c>
      <c r="P3554" s="1178">
        <v>14.5</v>
      </c>
    </row>
    <row r="3555" spans="1:16">
      <c r="A3555" s="1178" t="s">
        <v>355</v>
      </c>
      <c r="B3555" s="1371" t="str">
        <f>HYPERLINK(IFERROR("#Main_Tariff!A"&amp;MATCH(Raeburn_Main_Tariff[[#This Row],[Product Code]],Main_Tariff!I:I,0),"#Main_Tariff!A"&amp;MATCH("*"&amp;RIGHT(A3555,8)&amp;"*",Main_Tariff!A:A,0)),Raeburn_Main_Tariff[[#This Row],[PRODUCER]])</f>
        <v>Giovanni Canonica</v>
      </c>
      <c r="C3555" s="1178" t="s">
        <v>21754</v>
      </c>
      <c r="D3555" s="1178" t="s">
        <v>897</v>
      </c>
      <c r="E3555" s="1179">
        <v>2021</v>
      </c>
      <c r="F3555" s="1282" t="s">
        <v>20220</v>
      </c>
      <c r="G3555" s="1368" t="s">
        <v>5258</v>
      </c>
      <c r="H3555" s="1178" t="s">
        <v>20221</v>
      </c>
      <c r="I3555" s="1178" t="s">
        <v>10757</v>
      </c>
      <c r="J3555" s="1178" t="s">
        <v>668</v>
      </c>
      <c r="K3555" s="1178" t="s">
        <v>350</v>
      </c>
      <c r="L3555" s="1178" t="s">
        <v>351</v>
      </c>
      <c r="M3555" s="1369"/>
      <c r="N3555" s="1178"/>
      <c r="O3555" s="1178">
        <v>6</v>
      </c>
      <c r="P3555" s="1178">
        <v>15</v>
      </c>
    </row>
    <row r="3556" spans="1:16">
      <c r="A3556" s="1178" t="s">
        <v>355</v>
      </c>
      <c r="B3556" s="1371" t="str">
        <f>HYPERLINK(IFERROR("#Main_Tariff!A"&amp;MATCH(Raeburn_Main_Tariff[[#This Row],[Product Code]],Main_Tariff!I:I,0),"#Main_Tariff!A"&amp;MATCH("*"&amp;RIGHT(A3556,8)&amp;"*",Main_Tariff!A:A,0)),Raeburn_Main_Tariff[[#This Row],[PRODUCER]])</f>
        <v>Giovanni Canonica</v>
      </c>
      <c r="C3556" s="1178" t="s">
        <v>21754</v>
      </c>
      <c r="D3556" s="1178" t="s">
        <v>897</v>
      </c>
      <c r="E3556" s="1179">
        <v>2020</v>
      </c>
      <c r="F3556" s="1282" t="s">
        <v>20220</v>
      </c>
      <c r="G3556" s="1368" t="s">
        <v>5258</v>
      </c>
      <c r="H3556" s="1178" t="s">
        <v>20221</v>
      </c>
      <c r="I3556" s="1178" t="s">
        <v>10759</v>
      </c>
      <c r="J3556" s="1178" t="s">
        <v>668</v>
      </c>
      <c r="K3556" s="1178" t="s">
        <v>350</v>
      </c>
      <c r="L3556" s="1178" t="s">
        <v>351</v>
      </c>
      <c r="M3556" s="1369"/>
      <c r="N3556" s="1178"/>
      <c r="O3556" s="1178">
        <v>6</v>
      </c>
      <c r="P3556" s="1178">
        <v>15</v>
      </c>
    </row>
    <row r="3557" spans="1:16">
      <c r="A3557" s="1178" t="s">
        <v>355</v>
      </c>
      <c r="B3557" s="1371" t="str">
        <f>HYPERLINK(IFERROR("#Main_Tariff!A"&amp;MATCH(Raeburn_Main_Tariff[[#This Row],[Product Code]],Main_Tariff!I:I,0),"#Main_Tariff!A"&amp;MATCH("*"&amp;RIGHT(A3557,8)&amp;"*",Main_Tariff!A:A,0)),Raeburn_Main_Tariff[[#This Row],[PRODUCER]])</f>
        <v>Giovanni Canonica</v>
      </c>
      <c r="C3557" s="1178" t="s">
        <v>21754</v>
      </c>
      <c r="D3557" s="1178" t="s">
        <v>897</v>
      </c>
      <c r="E3557" s="1179">
        <v>2019</v>
      </c>
      <c r="F3557" s="1282" t="s">
        <v>20220</v>
      </c>
      <c r="G3557" s="1368" t="s">
        <v>5258</v>
      </c>
      <c r="H3557" s="1178" t="s">
        <v>20221</v>
      </c>
      <c r="I3557" s="1178" t="s">
        <v>10761</v>
      </c>
      <c r="J3557" s="1178" t="s">
        <v>668</v>
      </c>
      <c r="K3557" s="1178" t="s">
        <v>350</v>
      </c>
      <c r="L3557" s="1178" t="s">
        <v>351</v>
      </c>
      <c r="M3557" s="1369"/>
      <c r="N3557" s="1178"/>
      <c r="O3557" s="1178">
        <v>6</v>
      </c>
      <c r="P3557" s="1178">
        <v>15</v>
      </c>
    </row>
    <row r="3558" spans="1:16">
      <c r="A3558" s="1178" t="s">
        <v>355</v>
      </c>
      <c r="B3558" s="1371" t="str">
        <f>HYPERLINK(IFERROR("#Main_Tariff!A"&amp;MATCH(Raeburn_Main_Tariff[[#This Row],[Product Code]],Main_Tariff!I:I,0),"#Main_Tariff!A"&amp;MATCH("*"&amp;RIGHT(A3558,8)&amp;"*",Main_Tariff!A:A,0)),Raeburn_Main_Tariff[[#This Row],[PRODUCER]])</f>
        <v>Giovanni Canonica</v>
      </c>
      <c r="C3558" s="1178" t="s">
        <v>21754</v>
      </c>
      <c r="D3558" s="1178" t="s">
        <v>897</v>
      </c>
      <c r="E3558" s="1179">
        <v>2018</v>
      </c>
      <c r="F3558" s="1282" t="s">
        <v>20220</v>
      </c>
      <c r="G3558" s="1368" t="s">
        <v>5258</v>
      </c>
      <c r="H3558" s="1178" t="s">
        <v>20224</v>
      </c>
      <c r="I3558" s="1178" t="s">
        <v>10763</v>
      </c>
      <c r="J3558" s="1178" t="s">
        <v>668</v>
      </c>
      <c r="K3558" s="1178" t="s">
        <v>350</v>
      </c>
      <c r="L3558" s="1178" t="s">
        <v>351</v>
      </c>
      <c r="M3558" s="1369"/>
      <c r="N3558" s="1178"/>
      <c r="O3558" s="1178">
        <v>6</v>
      </c>
      <c r="P3558" s="1178">
        <v>15</v>
      </c>
    </row>
    <row r="3559" spans="1:16">
      <c r="A3559" s="1178" t="s">
        <v>355</v>
      </c>
      <c r="B3559" s="1371" t="str">
        <f>HYPERLINK(IFERROR("#Main_Tariff!A"&amp;MATCH(Raeburn_Main_Tariff[[#This Row],[Product Code]],Main_Tariff!I:I,0),"#Main_Tariff!A"&amp;MATCH("*"&amp;RIGHT(A3559,8)&amp;"*",Main_Tariff!A:A,0)),Raeburn_Main_Tariff[[#This Row],[PRODUCER]])</f>
        <v>Giovanni Canonica</v>
      </c>
      <c r="C3559" s="1178" t="s">
        <v>21754</v>
      </c>
      <c r="D3559" s="1178" t="s">
        <v>897</v>
      </c>
      <c r="E3559" s="1179">
        <v>2017</v>
      </c>
      <c r="F3559" s="1282" t="s">
        <v>20220</v>
      </c>
      <c r="G3559" s="1368" t="s">
        <v>5258</v>
      </c>
      <c r="H3559" s="1178" t="s">
        <v>20224</v>
      </c>
      <c r="I3559" s="1178" t="s">
        <v>10764</v>
      </c>
      <c r="J3559" s="1178" t="s">
        <v>668</v>
      </c>
      <c r="K3559" s="1178" t="s">
        <v>350</v>
      </c>
      <c r="L3559" s="1178" t="s">
        <v>351</v>
      </c>
      <c r="M3559" s="1369"/>
      <c r="N3559" s="1178"/>
      <c r="O3559" s="1178">
        <v>6</v>
      </c>
      <c r="P3559" s="1178">
        <v>15</v>
      </c>
    </row>
    <row r="3560" spans="1:16">
      <c r="A3560" s="1178" t="s">
        <v>355</v>
      </c>
      <c r="B3560" s="1371" t="str">
        <f>HYPERLINK(IFERROR("#Main_Tariff!A"&amp;MATCH(Raeburn_Main_Tariff[[#This Row],[Product Code]],Main_Tariff!I:I,0),"#Main_Tariff!A"&amp;MATCH("*"&amp;RIGHT(A3560,8)&amp;"*",Main_Tariff!A:A,0)),Raeburn_Main_Tariff[[#This Row],[PRODUCER]])</f>
        <v>Giovanni Canonica</v>
      </c>
      <c r="C3560" s="1178" t="s">
        <v>21755</v>
      </c>
      <c r="D3560" s="1178" t="s">
        <v>897</v>
      </c>
      <c r="E3560" s="1179">
        <v>2021</v>
      </c>
      <c r="F3560" s="1282" t="s">
        <v>20240</v>
      </c>
      <c r="G3560" s="1368" t="s">
        <v>5258</v>
      </c>
      <c r="H3560" s="1178" t="s">
        <v>20224</v>
      </c>
      <c r="I3560" s="1178" t="s">
        <v>10765</v>
      </c>
      <c r="J3560" s="1178" t="s">
        <v>668</v>
      </c>
      <c r="K3560" s="1178" t="s">
        <v>350</v>
      </c>
      <c r="L3560" s="1178" t="s">
        <v>351</v>
      </c>
      <c r="M3560" s="1369"/>
      <c r="N3560" s="1178"/>
      <c r="O3560" s="1178">
        <v>6</v>
      </c>
      <c r="P3560" s="1178">
        <v>15</v>
      </c>
    </row>
    <row r="3561" spans="1:16">
      <c r="A3561" s="1178" t="s">
        <v>355</v>
      </c>
      <c r="B3561" s="1371" t="str">
        <f>HYPERLINK(IFERROR("#Main_Tariff!A"&amp;MATCH(Raeburn_Main_Tariff[[#This Row],[Product Code]],Main_Tariff!I:I,0),"#Main_Tariff!A"&amp;MATCH("*"&amp;RIGHT(A3561,8)&amp;"*",Main_Tariff!A:A,0)),Raeburn_Main_Tariff[[#This Row],[PRODUCER]])</f>
        <v>Giovanni Canonica</v>
      </c>
      <c r="C3561" s="1178" t="s">
        <v>21755</v>
      </c>
      <c r="D3561" s="1178" t="s">
        <v>897</v>
      </c>
      <c r="E3561" s="1179">
        <v>2020</v>
      </c>
      <c r="F3561" s="1282" t="s">
        <v>20240</v>
      </c>
      <c r="G3561" s="1368" t="s">
        <v>5258</v>
      </c>
      <c r="H3561" s="1178" t="s">
        <v>3907</v>
      </c>
      <c r="I3561" s="1178" t="s">
        <v>10766</v>
      </c>
      <c r="J3561" s="1178" t="s">
        <v>668</v>
      </c>
      <c r="K3561" s="1178" t="s">
        <v>350</v>
      </c>
      <c r="L3561" s="1178" t="s">
        <v>351</v>
      </c>
      <c r="M3561" s="1369"/>
      <c r="N3561" s="1178"/>
      <c r="O3561" s="1178">
        <v>6</v>
      </c>
      <c r="P3561" s="1178">
        <v>15</v>
      </c>
    </row>
    <row r="3562" spans="1:16">
      <c r="A3562" s="1178" t="s">
        <v>355</v>
      </c>
      <c r="B3562" s="1371" t="str">
        <f>HYPERLINK(IFERROR("#Main_Tariff!A"&amp;MATCH(Raeburn_Main_Tariff[[#This Row],[Product Code]],Main_Tariff!I:I,0),"#Main_Tariff!A"&amp;MATCH("*"&amp;RIGHT(A3562,8)&amp;"*",Main_Tariff!A:A,0)),Raeburn_Main_Tariff[[#This Row],[PRODUCER]])</f>
        <v>Giovanni Canonica</v>
      </c>
      <c r="C3562" s="1178" t="s">
        <v>21755</v>
      </c>
      <c r="D3562" s="1178" t="s">
        <v>897</v>
      </c>
      <c r="E3562" s="1179">
        <v>2018</v>
      </c>
      <c r="F3562" s="1282" t="s">
        <v>20240</v>
      </c>
      <c r="G3562" s="1368" t="s">
        <v>5258</v>
      </c>
      <c r="H3562" s="1178" t="s">
        <v>3907</v>
      </c>
      <c r="I3562" s="1178" t="s">
        <v>10767</v>
      </c>
      <c r="J3562" s="1178" t="s">
        <v>668</v>
      </c>
      <c r="K3562" s="1178" t="s">
        <v>350</v>
      </c>
      <c r="L3562" s="1178" t="s">
        <v>351</v>
      </c>
      <c r="M3562" s="1369"/>
      <c r="N3562" s="1178"/>
      <c r="O3562" s="1178">
        <v>6</v>
      </c>
      <c r="P3562" s="1178">
        <v>15</v>
      </c>
    </row>
    <row r="3563" spans="1:16">
      <c r="A3563" s="1178" t="s">
        <v>355</v>
      </c>
      <c r="B3563" s="1371" t="str">
        <f>HYPERLINK(IFERROR("#Main_Tariff!A"&amp;MATCH(Raeburn_Main_Tariff[[#This Row],[Product Code]],Main_Tariff!I:I,0),"#Main_Tariff!A"&amp;MATCH("*"&amp;RIGHT(A3563,8)&amp;"*",Main_Tariff!A:A,0)),Raeburn_Main_Tariff[[#This Row],[PRODUCER]])</f>
        <v>Giovanni Canonica</v>
      </c>
      <c r="C3563" s="1178" t="s">
        <v>21755</v>
      </c>
      <c r="D3563" s="1178" t="s">
        <v>897</v>
      </c>
      <c r="E3563" s="1179">
        <v>2017</v>
      </c>
      <c r="F3563" s="1282" t="s">
        <v>20240</v>
      </c>
      <c r="G3563" s="1368" t="s">
        <v>5258</v>
      </c>
      <c r="H3563" s="1178" t="s">
        <v>3907</v>
      </c>
      <c r="I3563" s="1178" t="s">
        <v>10768</v>
      </c>
      <c r="J3563" s="1178" t="s">
        <v>668</v>
      </c>
      <c r="K3563" s="1178" t="s">
        <v>350</v>
      </c>
      <c r="L3563" s="1178" t="s">
        <v>351</v>
      </c>
      <c r="M3563" s="1369"/>
      <c r="N3563" s="1178"/>
      <c r="O3563" s="1178">
        <v>6</v>
      </c>
      <c r="P3563" s="1178">
        <v>15</v>
      </c>
    </row>
    <row r="3564" spans="1:16">
      <c r="A3564" s="1178" t="s">
        <v>356</v>
      </c>
      <c r="B3564" s="1371" t="str">
        <f>HYPERLINK(IFERROR("#Main_Tariff!A"&amp;MATCH(Raeburn_Main_Tariff[[#This Row],[Product Code]],Main_Tariff!I:I,0),"#Main_Tariff!A"&amp;MATCH("*"&amp;RIGHT(A3564,8)&amp;"*",Main_Tariff!A:A,0)),Raeburn_Main_Tariff[[#This Row],[PRODUCER]])</f>
        <v>Castello di Perno</v>
      </c>
      <c r="C3564" s="1178" t="s">
        <v>18936</v>
      </c>
      <c r="D3564" s="1178" t="s">
        <v>1129</v>
      </c>
      <c r="E3564" s="1179">
        <v>2021</v>
      </c>
      <c r="F3564" s="1282" t="s">
        <v>20220</v>
      </c>
      <c r="G3564" s="1368">
        <v>17</v>
      </c>
      <c r="H3564" s="1178" t="s">
        <v>20277</v>
      </c>
      <c r="I3564" s="1178" t="s">
        <v>10775</v>
      </c>
      <c r="J3564" s="1178" t="s">
        <v>668</v>
      </c>
      <c r="K3564" s="1178" t="s">
        <v>350</v>
      </c>
      <c r="L3564" s="1178" t="s">
        <v>351</v>
      </c>
      <c r="M3564" s="1369"/>
      <c r="N3564" s="1178"/>
      <c r="O3564" s="1178">
        <v>6</v>
      </c>
      <c r="P3564" s="1178">
        <v>13</v>
      </c>
    </row>
    <row r="3565" spans="1:16">
      <c r="A3565" s="1178" t="s">
        <v>356</v>
      </c>
      <c r="B3565" s="1371" t="str">
        <f>HYPERLINK(IFERROR("#Main_Tariff!A"&amp;MATCH(Raeburn_Main_Tariff[[#This Row],[Product Code]],Main_Tariff!I:I,0),"#Main_Tariff!A"&amp;MATCH("*"&amp;RIGHT(A3565,8)&amp;"*",Main_Tariff!A:A,0)),Raeburn_Main_Tariff[[#This Row],[PRODUCER]])</f>
        <v>Castello di Perno</v>
      </c>
      <c r="C3565" s="1178" t="s">
        <v>21756</v>
      </c>
      <c r="D3565" s="1178" t="s">
        <v>897</v>
      </c>
      <c r="E3565" s="1179">
        <v>2023</v>
      </c>
      <c r="F3565" s="1282" t="s">
        <v>20220</v>
      </c>
      <c r="G3565" s="1368">
        <v>17</v>
      </c>
      <c r="H3565" s="1178" t="s">
        <v>20221</v>
      </c>
      <c r="I3565" s="1178" t="s">
        <v>10778</v>
      </c>
      <c r="J3565" s="1178" t="s">
        <v>668</v>
      </c>
      <c r="K3565" s="1178" t="s">
        <v>350</v>
      </c>
      <c r="L3565" s="1178" t="s">
        <v>351</v>
      </c>
      <c r="M3565" s="1369"/>
      <c r="N3565" s="1178"/>
      <c r="O3565" s="1178">
        <v>6</v>
      </c>
      <c r="P3565" s="1178">
        <v>12</v>
      </c>
    </row>
    <row r="3566" spans="1:16">
      <c r="A3566" s="1178" t="s">
        <v>356</v>
      </c>
      <c r="B3566" s="1371" t="str">
        <f>HYPERLINK(IFERROR("#Main_Tariff!A"&amp;MATCH(Raeburn_Main_Tariff[[#This Row],[Product Code]],Main_Tariff!I:I,0),"#Main_Tariff!A"&amp;MATCH("*"&amp;RIGHT(A3566,8)&amp;"*",Main_Tariff!A:A,0)),Raeburn_Main_Tariff[[#This Row],[PRODUCER]])</f>
        <v>Castello di Perno</v>
      </c>
      <c r="C3566" s="1178" t="s">
        <v>21719</v>
      </c>
      <c r="D3566" s="1178" t="s">
        <v>897</v>
      </c>
      <c r="E3566" s="1179">
        <v>2019</v>
      </c>
      <c r="F3566" s="1282" t="s">
        <v>20220</v>
      </c>
      <c r="G3566" s="1368">
        <v>16.5</v>
      </c>
      <c r="H3566" s="1178" t="s">
        <v>20221</v>
      </c>
      <c r="I3566" s="1178" t="s">
        <v>10779</v>
      </c>
      <c r="J3566" s="1178" t="s">
        <v>668</v>
      </c>
      <c r="K3566" s="1178" t="s">
        <v>350</v>
      </c>
      <c r="L3566" s="1178" t="s">
        <v>351</v>
      </c>
      <c r="M3566" s="1369"/>
      <c r="N3566" s="1178"/>
      <c r="O3566" s="1178">
        <v>6</v>
      </c>
      <c r="P3566" s="1178">
        <v>13</v>
      </c>
    </row>
    <row r="3567" spans="1:16">
      <c r="A3567" s="1178" t="s">
        <v>356</v>
      </c>
      <c r="B3567" s="1371" t="str">
        <f>HYPERLINK(IFERROR("#Main_Tariff!A"&amp;MATCH(Raeburn_Main_Tariff[[#This Row],[Product Code]],Main_Tariff!I:I,0),"#Main_Tariff!A"&amp;MATCH("*"&amp;RIGHT(A3567,8)&amp;"*",Main_Tariff!A:A,0)),Raeburn_Main_Tariff[[#This Row],[PRODUCER]])</f>
        <v>Castello di Perno</v>
      </c>
      <c r="C3567" s="1178" t="s">
        <v>21757</v>
      </c>
      <c r="D3567" s="1178" t="s">
        <v>897</v>
      </c>
      <c r="E3567" s="1179">
        <v>2020</v>
      </c>
      <c r="F3567" s="1282" t="s">
        <v>20220</v>
      </c>
      <c r="G3567" s="1368">
        <v>17.5</v>
      </c>
      <c r="H3567" s="1178" t="s">
        <v>20221</v>
      </c>
      <c r="I3567" s="1178" t="s">
        <v>10781</v>
      </c>
      <c r="J3567" s="1178" t="s">
        <v>668</v>
      </c>
      <c r="K3567" s="1178" t="s">
        <v>350</v>
      </c>
      <c r="L3567" s="1178" t="s">
        <v>351</v>
      </c>
      <c r="M3567" s="1369"/>
      <c r="N3567" s="1178"/>
      <c r="O3567" s="1178">
        <v>6</v>
      </c>
      <c r="P3567" s="1178">
        <v>13.5</v>
      </c>
    </row>
    <row r="3568" spans="1:16">
      <c r="A3568" s="1178" t="s">
        <v>356</v>
      </c>
      <c r="B3568" s="1371" t="str">
        <f>HYPERLINK(IFERROR("#Main_Tariff!A"&amp;MATCH(Raeburn_Main_Tariff[[#This Row],[Product Code]],Main_Tariff!I:I,0),"#Main_Tariff!A"&amp;MATCH("*"&amp;RIGHT(A3568,8)&amp;"*",Main_Tariff!A:A,0)),Raeburn_Main_Tariff[[#This Row],[PRODUCER]])</f>
        <v>Castello di Perno</v>
      </c>
      <c r="C3568" s="1178" t="s">
        <v>21757</v>
      </c>
      <c r="D3568" s="1178" t="s">
        <v>897</v>
      </c>
      <c r="E3568" s="1179">
        <v>2019</v>
      </c>
      <c r="F3568" s="1282" t="s">
        <v>20220</v>
      </c>
      <c r="G3568" s="1368">
        <v>17.5</v>
      </c>
      <c r="H3568" s="1178" t="s">
        <v>20221</v>
      </c>
      <c r="I3568" s="1178" t="s">
        <v>10783</v>
      </c>
      <c r="J3568" s="1178" t="s">
        <v>668</v>
      </c>
      <c r="K3568" s="1178" t="s">
        <v>350</v>
      </c>
      <c r="L3568" s="1178" t="s">
        <v>351</v>
      </c>
      <c r="M3568" s="1369"/>
      <c r="N3568" s="1178"/>
      <c r="O3568" s="1178">
        <v>6</v>
      </c>
      <c r="P3568" s="1178">
        <v>14</v>
      </c>
    </row>
    <row r="3569" spans="1:16">
      <c r="A3569" s="1178" t="s">
        <v>356</v>
      </c>
      <c r="B3569" s="1371" t="str">
        <f>HYPERLINK(IFERROR("#Main_Tariff!A"&amp;MATCH(Raeburn_Main_Tariff[[#This Row],[Product Code]],Main_Tariff!I:I,0),"#Main_Tariff!A"&amp;MATCH("*"&amp;RIGHT(A3569,8)&amp;"*",Main_Tariff!A:A,0)),Raeburn_Main_Tariff[[#This Row],[PRODUCER]])</f>
        <v>Castello di Perno</v>
      </c>
      <c r="C3569" s="1178" t="s">
        <v>21758</v>
      </c>
      <c r="D3569" s="1178" t="s">
        <v>897</v>
      </c>
      <c r="E3569" s="1179">
        <v>2019</v>
      </c>
      <c r="F3569" s="1282" t="s">
        <v>20220</v>
      </c>
      <c r="G3569" s="1368">
        <v>24.25</v>
      </c>
      <c r="H3569" s="1178" t="s">
        <v>20221</v>
      </c>
      <c r="I3569" s="1178" t="s">
        <v>10785</v>
      </c>
      <c r="J3569" s="1178" t="s">
        <v>668</v>
      </c>
      <c r="K3569" s="1178" t="s">
        <v>350</v>
      </c>
      <c r="L3569" s="1178" t="s">
        <v>351</v>
      </c>
      <c r="M3569" s="1369"/>
      <c r="N3569" s="1178"/>
      <c r="O3569" s="1178">
        <v>6</v>
      </c>
      <c r="P3569" s="1178">
        <v>15</v>
      </c>
    </row>
    <row r="3570" spans="1:16">
      <c r="A3570" s="1178" t="s">
        <v>356</v>
      </c>
      <c r="B3570" s="1371" t="str">
        <f>HYPERLINK(IFERROR("#Main_Tariff!A"&amp;MATCH(Raeburn_Main_Tariff[[#This Row],[Product Code]],Main_Tariff!I:I,0),"#Main_Tariff!A"&amp;MATCH("*"&amp;RIGHT(A3570,8)&amp;"*",Main_Tariff!A:A,0)),Raeburn_Main_Tariff[[#This Row],[PRODUCER]])</f>
        <v>Castello di Perno</v>
      </c>
      <c r="C3570" s="1178" t="s">
        <v>21758</v>
      </c>
      <c r="D3570" s="1178" t="s">
        <v>897</v>
      </c>
      <c r="E3570" s="1179">
        <v>2018</v>
      </c>
      <c r="F3570" s="1282" t="s">
        <v>20220</v>
      </c>
      <c r="G3570" s="1368">
        <v>24.5</v>
      </c>
      <c r="H3570" s="1178" t="s">
        <v>20224</v>
      </c>
      <c r="I3570" s="1178" t="s">
        <v>10787</v>
      </c>
      <c r="J3570" s="1178" t="s">
        <v>668</v>
      </c>
      <c r="K3570" s="1178" t="s">
        <v>350</v>
      </c>
      <c r="L3570" s="1178" t="s">
        <v>351</v>
      </c>
      <c r="M3570" s="1369"/>
      <c r="N3570" s="1178"/>
      <c r="O3570" s="1178">
        <v>6</v>
      </c>
      <c r="P3570" s="1178">
        <v>15</v>
      </c>
    </row>
    <row r="3571" spans="1:16">
      <c r="A3571" s="1178" t="s">
        <v>356</v>
      </c>
      <c r="B3571" s="1371" t="str">
        <f>HYPERLINK(IFERROR("#Main_Tariff!A"&amp;MATCH(Raeburn_Main_Tariff[[#This Row],[Product Code]],Main_Tariff!I:I,0),"#Main_Tariff!A"&amp;MATCH("*"&amp;RIGHT(A3571,8)&amp;"*",Main_Tariff!A:A,0)),Raeburn_Main_Tariff[[#This Row],[PRODUCER]])</f>
        <v>Castello di Perno</v>
      </c>
      <c r="C3571" s="1178" t="s">
        <v>21759</v>
      </c>
      <c r="D3571" s="1178" t="s">
        <v>897</v>
      </c>
      <c r="E3571" s="1179">
        <v>2021</v>
      </c>
      <c r="F3571" s="1282" t="s">
        <v>20220</v>
      </c>
      <c r="G3571" s="1368">
        <v>19</v>
      </c>
      <c r="H3571" s="1178" t="s">
        <v>20221</v>
      </c>
      <c r="I3571" s="1178" t="s">
        <v>10789</v>
      </c>
      <c r="J3571" s="1178" t="s">
        <v>668</v>
      </c>
      <c r="K3571" s="1178" t="s">
        <v>350</v>
      </c>
      <c r="L3571" s="1178" t="s">
        <v>351</v>
      </c>
      <c r="M3571" s="1369"/>
      <c r="N3571" s="1178"/>
      <c r="O3571" s="1178">
        <v>6</v>
      </c>
      <c r="P3571" s="1178">
        <v>14</v>
      </c>
    </row>
    <row r="3572" spans="1:16">
      <c r="A3572" s="1178" t="s">
        <v>356</v>
      </c>
      <c r="B3572" s="1371" t="str">
        <f>HYPERLINK(IFERROR("#Main_Tariff!A"&amp;MATCH(Raeburn_Main_Tariff[[#This Row],[Product Code]],Main_Tariff!I:I,0),"#Main_Tariff!A"&amp;MATCH("*"&amp;RIGHT(A3572,8)&amp;"*",Main_Tariff!A:A,0)),Raeburn_Main_Tariff[[#This Row],[PRODUCER]])</f>
        <v>Castello di Perno</v>
      </c>
      <c r="C3572" s="1178" t="s">
        <v>21759</v>
      </c>
      <c r="D3572" s="1178" t="s">
        <v>897</v>
      </c>
      <c r="E3572" s="1179">
        <v>2020</v>
      </c>
      <c r="F3572" s="1282" t="s">
        <v>20220</v>
      </c>
      <c r="G3572" s="1368">
        <v>19.5</v>
      </c>
      <c r="H3572" s="1178" t="s">
        <v>20221</v>
      </c>
      <c r="I3572" s="1178" t="s">
        <v>10791</v>
      </c>
      <c r="J3572" s="1178" t="s">
        <v>668</v>
      </c>
      <c r="K3572" s="1178" t="s">
        <v>350</v>
      </c>
      <c r="L3572" s="1178" t="s">
        <v>351</v>
      </c>
      <c r="M3572" s="1369"/>
      <c r="N3572" s="1178"/>
      <c r="O3572" s="1178">
        <v>6</v>
      </c>
      <c r="P3572" s="1178">
        <v>13.5</v>
      </c>
    </row>
    <row r="3573" spans="1:16">
      <c r="A3573" s="1178" t="s">
        <v>356</v>
      </c>
      <c r="B3573" s="1371" t="str">
        <f>HYPERLINK(IFERROR("#Main_Tariff!A"&amp;MATCH(Raeburn_Main_Tariff[[#This Row],[Product Code]],Main_Tariff!I:I,0),"#Main_Tariff!A"&amp;MATCH("*"&amp;RIGHT(A3573,8)&amp;"*",Main_Tariff!A:A,0)),Raeburn_Main_Tariff[[#This Row],[PRODUCER]])</f>
        <v>Castello di Perno</v>
      </c>
      <c r="C3573" s="1178" t="s">
        <v>351</v>
      </c>
      <c r="D3573" s="1178" t="s">
        <v>897</v>
      </c>
      <c r="E3573" s="1179">
        <v>2019</v>
      </c>
      <c r="F3573" s="1282" t="s">
        <v>20220</v>
      </c>
      <c r="G3573" s="1368">
        <v>30</v>
      </c>
      <c r="H3573" s="1178" t="s">
        <v>20221</v>
      </c>
      <c r="I3573" s="1178" t="s">
        <v>10796</v>
      </c>
      <c r="J3573" s="1178" t="s">
        <v>668</v>
      </c>
      <c r="K3573" s="1178" t="s">
        <v>350</v>
      </c>
      <c r="L3573" s="1178" t="s">
        <v>351</v>
      </c>
      <c r="M3573" s="1369"/>
      <c r="N3573" s="1178"/>
      <c r="O3573" s="1178">
        <v>6</v>
      </c>
      <c r="P3573" s="1178">
        <v>14.5</v>
      </c>
    </row>
    <row r="3574" spans="1:16">
      <c r="A3574" s="1178" t="s">
        <v>356</v>
      </c>
      <c r="B3574" s="1371" t="str">
        <f>HYPERLINK(IFERROR("#Main_Tariff!A"&amp;MATCH(Raeburn_Main_Tariff[[#This Row],[Product Code]],Main_Tariff!I:I,0),"#Main_Tariff!A"&amp;MATCH("*"&amp;RIGHT(A3574,8)&amp;"*",Main_Tariff!A:A,0)),Raeburn_Main_Tariff[[#This Row],[PRODUCER]])</f>
        <v>Castello di Perno</v>
      </c>
      <c r="C3574" s="1178" t="s">
        <v>351</v>
      </c>
      <c r="D3574" s="1178" t="s">
        <v>897</v>
      </c>
      <c r="E3574" s="1179">
        <v>2018</v>
      </c>
      <c r="F3574" s="1282" t="s">
        <v>20220</v>
      </c>
      <c r="G3574" s="1368">
        <v>29.5</v>
      </c>
      <c r="H3574" s="1178" t="s">
        <v>20221</v>
      </c>
      <c r="I3574" s="1178" t="s">
        <v>10797</v>
      </c>
      <c r="J3574" s="1178" t="s">
        <v>668</v>
      </c>
      <c r="K3574" s="1178" t="s">
        <v>350</v>
      </c>
      <c r="L3574" s="1178" t="s">
        <v>351</v>
      </c>
      <c r="M3574" s="1369"/>
      <c r="N3574" s="1178"/>
      <c r="O3574" s="1178">
        <v>6</v>
      </c>
      <c r="P3574" s="1178">
        <v>14.5</v>
      </c>
    </row>
    <row r="3575" spans="1:16">
      <c r="A3575" s="1178" t="s">
        <v>356</v>
      </c>
      <c r="B3575" s="1371" t="str">
        <f>HYPERLINK(IFERROR("#Main_Tariff!A"&amp;MATCH(Raeburn_Main_Tariff[[#This Row],[Product Code]],Main_Tariff!I:I,0),"#Main_Tariff!A"&amp;MATCH("*"&amp;RIGHT(A3575,8)&amp;"*",Main_Tariff!A:A,0)),Raeburn_Main_Tariff[[#This Row],[PRODUCER]])</f>
        <v>Castello di Perno</v>
      </c>
      <c r="C3575" s="1178" t="s">
        <v>351</v>
      </c>
      <c r="D3575" s="1178" t="s">
        <v>897</v>
      </c>
      <c r="E3575" s="1179">
        <v>2017</v>
      </c>
      <c r="F3575" s="1282" t="s">
        <v>20220</v>
      </c>
      <c r="G3575" s="1368">
        <v>29.5</v>
      </c>
      <c r="H3575" s="1178" t="s">
        <v>20221</v>
      </c>
      <c r="I3575" s="1178" t="s">
        <v>10799</v>
      </c>
      <c r="J3575" s="1178" t="s">
        <v>668</v>
      </c>
      <c r="K3575" s="1178" t="s">
        <v>350</v>
      </c>
      <c r="L3575" s="1178" t="s">
        <v>351</v>
      </c>
      <c r="M3575" s="1369"/>
      <c r="N3575" s="1178"/>
      <c r="O3575" s="1178">
        <v>6</v>
      </c>
      <c r="P3575" s="1178">
        <v>14.5</v>
      </c>
    </row>
    <row r="3576" spans="1:16">
      <c r="A3576" s="1178" t="s">
        <v>356</v>
      </c>
      <c r="B3576" s="1371" t="str">
        <f>HYPERLINK(IFERROR("#Main_Tariff!A"&amp;MATCH(Raeburn_Main_Tariff[[#This Row],[Product Code]],Main_Tariff!I:I,0),"#Main_Tariff!A"&amp;MATCH("*"&amp;RIGHT(A3576,8)&amp;"*",Main_Tariff!A:A,0)),Raeburn_Main_Tariff[[#This Row],[PRODUCER]])</f>
        <v>Castello di Perno</v>
      </c>
      <c r="C3576" s="1178" t="s">
        <v>21760</v>
      </c>
      <c r="D3576" s="1178" t="s">
        <v>897</v>
      </c>
      <c r="E3576" s="1179">
        <v>2017</v>
      </c>
      <c r="F3576" s="1282" t="s">
        <v>20240</v>
      </c>
      <c r="G3576" s="1368">
        <v>61</v>
      </c>
      <c r="H3576" s="1178" t="s">
        <v>20221</v>
      </c>
      <c r="I3576" s="1178" t="s">
        <v>10801</v>
      </c>
      <c r="J3576" s="1178" t="s">
        <v>668</v>
      </c>
      <c r="K3576" s="1178" t="s">
        <v>350</v>
      </c>
      <c r="L3576" s="1178" t="s">
        <v>351</v>
      </c>
      <c r="M3576" s="1369"/>
      <c r="N3576" s="1178"/>
      <c r="O3576" s="1178">
        <v>1</v>
      </c>
      <c r="P3576" s="1178">
        <v>14.5</v>
      </c>
    </row>
    <row r="3577" spans="1:16">
      <c r="A3577" s="1178" t="s">
        <v>356</v>
      </c>
      <c r="B3577" s="1371" t="str">
        <f>HYPERLINK(IFERROR("#Main_Tariff!A"&amp;MATCH(Raeburn_Main_Tariff[[#This Row],[Product Code]],Main_Tariff!I:I,0),"#Main_Tariff!A"&amp;MATCH("*"&amp;RIGHT(A3577,8)&amp;"*",Main_Tariff!A:A,0)),Raeburn_Main_Tariff[[#This Row],[PRODUCER]])</f>
        <v>Castello di Perno</v>
      </c>
      <c r="C3577" s="1178" t="s">
        <v>21761</v>
      </c>
      <c r="D3577" s="1178" t="s">
        <v>897</v>
      </c>
      <c r="E3577" s="1179">
        <v>2019</v>
      </c>
      <c r="F3577" s="1282" t="s">
        <v>20220</v>
      </c>
      <c r="G3577" s="1368">
        <v>38.5</v>
      </c>
      <c r="H3577" s="1178" t="s">
        <v>20221</v>
      </c>
      <c r="I3577" s="1178" t="s">
        <v>10805</v>
      </c>
      <c r="J3577" s="1178" t="s">
        <v>668</v>
      </c>
      <c r="K3577" s="1178" t="s">
        <v>350</v>
      </c>
      <c r="L3577" s="1178" t="s">
        <v>351</v>
      </c>
      <c r="M3577" s="1369"/>
      <c r="N3577" s="1178"/>
      <c r="O3577" s="1178">
        <v>6</v>
      </c>
      <c r="P3577" s="1178">
        <v>14.5</v>
      </c>
    </row>
    <row r="3578" spans="1:16">
      <c r="A3578" s="1178" t="s">
        <v>356</v>
      </c>
      <c r="B3578" s="1371" t="str">
        <f>HYPERLINK(IFERROR("#Main_Tariff!A"&amp;MATCH(Raeburn_Main_Tariff[[#This Row],[Product Code]],Main_Tariff!I:I,0),"#Main_Tariff!A"&amp;MATCH("*"&amp;RIGHT(A3578,8)&amp;"*",Main_Tariff!A:A,0)),Raeburn_Main_Tariff[[#This Row],[PRODUCER]])</f>
        <v>Castello di Perno</v>
      </c>
      <c r="C3578" s="1178" t="s">
        <v>21761</v>
      </c>
      <c r="D3578" s="1178" t="s">
        <v>897</v>
      </c>
      <c r="E3578" s="1179">
        <v>2018</v>
      </c>
      <c r="F3578" s="1282" t="s">
        <v>20220</v>
      </c>
      <c r="G3578" s="1368">
        <v>37</v>
      </c>
      <c r="H3578" s="1178" t="s">
        <v>20221</v>
      </c>
      <c r="I3578" s="1178" t="s">
        <v>10807</v>
      </c>
      <c r="J3578" s="1178" t="s">
        <v>668</v>
      </c>
      <c r="K3578" s="1178" t="s">
        <v>350</v>
      </c>
      <c r="L3578" s="1178" t="s">
        <v>351</v>
      </c>
      <c r="M3578" s="1369"/>
      <c r="N3578" s="1178"/>
      <c r="O3578" s="1178">
        <v>6</v>
      </c>
      <c r="P3578" s="1178">
        <v>14.5</v>
      </c>
    </row>
    <row r="3579" spans="1:16">
      <c r="A3579" s="1178" t="s">
        <v>356</v>
      </c>
      <c r="B3579" s="1371" t="str">
        <f>HYPERLINK(IFERROR("#Main_Tariff!A"&amp;MATCH(Raeburn_Main_Tariff[[#This Row],[Product Code]],Main_Tariff!I:I,0),"#Main_Tariff!A"&amp;MATCH("*"&amp;RIGHT(A3579,8)&amp;"*",Main_Tariff!A:A,0)),Raeburn_Main_Tariff[[#This Row],[PRODUCER]])</f>
        <v>Castello di Perno</v>
      </c>
      <c r="C3579" s="1178" t="s">
        <v>21761</v>
      </c>
      <c r="D3579" s="1178" t="s">
        <v>897</v>
      </c>
      <c r="E3579" s="1179">
        <v>2017</v>
      </c>
      <c r="F3579" s="1282" t="s">
        <v>20220</v>
      </c>
      <c r="G3579" s="1368">
        <v>37</v>
      </c>
      <c r="H3579" s="1178" t="s">
        <v>20277</v>
      </c>
      <c r="I3579" s="1178" t="s">
        <v>10809</v>
      </c>
      <c r="J3579" s="1178" t="s">
        <v>668</v>
      </c>
      <c r="K3579" s="1178" t="s">
        <v>350</v>
      </c>
      <c r="L3579" s="1178" t="s">
        <v>351</v>
      </c>
      <c r="M3579" s="1369"/>
      <c r="N3579" s="1178"/>
      <c r="O3579" s="1178">
        <v>6</v>
      </c>
      <c r="P3579" s="1178">
        <v>14.5</v>
      </c>
    </row>
    <row r="3580" spans="1:16">
      <c r="A3580" s="1178" t="s">
        <v>356</v>
      </c>
      <c r="B3580" s="1371" t="str">
        <f>HYPERLINK(IFERROR("#Main_Tariff!A"&amp;MATCH(Raeburn_Main_Tariff[[#This Row],[Product Code]],Main_Tariff!I:I,0),"#Main_Tariff!A"&amp;MATCH("*"&amp;RIGHT(A3580,8)&amp;"*",Main_Tariff!A:A,0)),Raeburn_Main_Tariff[[#This Row],[PRODUCER]])</f>
        <v>Castello di Perno</v>
      </c>
      <c r="C3580" s="1178" t="s">
        <v>21762</v>
      </c>
      <c r="D3580" s="1178" t="s">
        <v>897</v>
      </c>
      <c r="E3580" s="1179">
        <v>2018</v>
      </c>
      <c r="F3580" s="1282" t="s">
        <v>20240</v>
      </c>
      <c r="G3580" s="1368">
        <v>81</v>
      </c>
      <c r="H3580" s="1178" t="s">
        <v>20224</v>
      </c>
      <c r="I3580" s="1178" t="s">
        <v>10811</v>
      </c>
      <c r="J3580" s="1178" t="s">
        <v>668</v>
      </c>
      <c r="K3580" s="1178" t="s">
        <v>350</v>
      </c>
      <c r="L3580" s="1178" t="s">
        <v>351</v>
      </c>
      <c r="M3580" s="1369"/>
      <c r="N3580" s="1178"/>
      <c r="O3580" s="1178">
        <v>5</v>
      </c>
      <c r="P3580" s="1178">
        <v>14.5</v>
      </c>
    </row>
    <row r="3581" spans="1:16">
      <c r="A3581" s="1178" t="s">
        <v>356</v>
      </c>
      <c r="B3581" s="1371" t="str">
        <f>HYPERLINK(IFERROR("#Main_Tariff!A"&amp;MATCH(Raeburn_Main_Tariff[[#This Row],[Product Code]],Main_Tariff!I:I,0),"#Main_Tariff!A"&amp;MATCH("*"&amp;RIGHT(A3581,8)&amp;"*",Main_Tariff!A:A,0)),Raeburn_Main_Tariff[[#This Row],[PRODUCER]])</f>
        <v>Castello di Perno</v>
      </c>
      <c r="C3581" s="1178" t="s">
        <v>21762</v>
      </c>
      <c r="D3581" s="1178" t="s">
        <v>897</v>
      </c>
      <c r="E3581" s="1179">
        <v>2017</v>
      </c>
      <c r="F3581" s="1282" t="s">
        <v>20240</v>
      </c>
      <c r="G3581" s="1368">
        <v>81</v>
      </c>
      <c r="H3581" s="1178" t="s">
        <v>20221</v>
      </c>
      <c r="I3581" s="1178" t="s">
        <v>10813</v>
      </c>
      <c r="J3581" s="1178" t="s">
        <v>668</v>
      </c>
      <c r="K3581" s="1178" t="s">
        <v>350</v>
      </c>
      <c r="L3581" s="1178" t="s">
        <v>351</v>
      </c>
      <c r="M3581" s="1369"/>
      <c r="N3581" s="1178"/>
      <c r="O3581" s="1178">
        <v>1</v>
      </c>
      <c r="P3581" s="1178">
        <v>14.5</v>
      </c>
    </row>
    <row r="3582" spans="1:16">
      <c r="A3582" s="1178" t="s">
        <v>356</v>
      </c>
      <c r="B3582" s="1371" t="str">
        <f>HYPERLINK(IFERROR("#Main_Tariff!A"&amp;MATCH(Raeburn_Main_Tariff[[#This Row],[Product Code]],Main_Tariff!I:I,0),"#Main_Tariff!A"&amp;MATCH("*"&amp;RIGHT(A3582,8)&amp;"*",Main_Tariff!A:A,0)),Raeburn_Main_Tariff[[#This Row],[PRODUCER]])</f>
        <v>Castello di Perno</v>
      </c>
      <c r="C3582" s="1178" t="s">
        <v>21763</v>
      </c>
      <c r="D3582" s="1178" t="s">
        <v>897</v>
      </c>
      <c r="E3582" s="1179">
        <v>2018</v>
      </c>
      <c r="F3582" s="1282" t="s">
        <v>20220</v>
      </c>
      <c r="G3582" s="1368">
        <v>82</v>
      </c>
      <c r="H3582" s="1178" t="s">
        <v>20221</v>
      </c>
      <c r="I3582" s="1178" t="s">
        <v>10817</v>
      </c>
      <c r="J3582" s="1178" t="s">
        <v>668</v>
      </c>
      <c r="K3582" s="1178" t="s">
        <v>350</v>
      </c>
      <c r="L3582" s="1178" t="s">
        <v>351</v>
      </c>
      <c r="M3582" s="1369"/>
      <c r="N3582" s="1178"/>
      <c r="O3582" s="1178">
        <v>6</v>
      </c>
      <c r="P3582" s="1178">
        <v>14.5</v>
      </c>
    </row>
    <row r="3583" spans="1:16">
      <c r="A3583" s="1178" t="s">
        <v>356</v>
      </c>
      <c r="B3583" s="1371" t="str">
        <f>HYPERLINK(IFERROR("#Main_Tariff!A"&amp;MATCH(Raeburn_Main_Tariff[[#This Row],[Product Code]],Main_Tariff!I:I,0),"#Main_Tariff!A"&amp;MATCH("*"&amp;RIGHT(A3583,8)&amp;"*",Main_Tariff!A:A,0)),Raeburn_Main_Tariff[[#This Row],[PRODUCER]])</f>
        <v>Castello di Perno</v>
      </c>
      <c r="C3583" s="1178" t="s">
        <v>21763</v>
      </c>
      <c r="D3583" s="1178" t="s">
        <v>897</v>
      </c>
      <c r="E3583" s="1179">
        <v>2017</v>
      </c>
      <c r="F3583" s="1282" t="s">
        <v>20220</v>
      </c>
      <c r="G3583" s="1368">
        <v>80.5</v>
      </c>
      <c r="H3583" s="1178" t="s">
        <v>20221</v>
      </c>
      <c r="I3583" s="1178" t="s">
        <v>10819</v>
      </c>
      <c r="J3583" s="1178" t="s">
        <v>668</v>
      </c>
      <c r="K3583" s="1178" t="s">
        <v>350</v>
      </c>
      <c r="L3583" s="1178" t="s">
        <v>351</v>
      </c>
      <c r="M3583" s="1369"/>
      <c r="N3583" s="1178"/>
      <c r="O3583" s="1178">
        <v>6</v>
      </c>
      <c r="P3583" s="1178">
        <v>14.5</v>
      </c>
    </row>
    <row r="3584" spans="1:16">
      <c r="A3584" s="1178" t="s">
        <v>357</v>
      </c>
      <c r="B3584" s="1371" t="str">
        <f>HYPERLINK(IFERROR("#Main_Tariff!A"&amp;MATCH(Raeburn_Main_Tariff[[#This Row],[Product Code]],Main_Tariff!I:I,0),"#Main_Tariff!A"&amp;MATCH("*"&amp;RIGHT(A3584,8)&amp;"*",Main_Tariff!A:A,0)),Raeburn_Main_Tariff[[#This Row],[PRODUCER]])</f>
        <v>Poderi Colla</v>
      </c>
      <c r="C3584" s="1178" t="s">
        <v>21764</v>
      </c>
      <c r="D3584" s="1178" t="s">
        <v>897</v>
      </c>
      <c r="E3584" s="1179">
        <v>2012</v>
      </c>
      <c r="F3584" s="1282" t="s">
        <v>20220</v>
      </c>
      <c r="G3584" s="1368">
        <v>35.5</v>
      </c>
      <c r="H3584" s="1178" t="s">
        <v>20221</v>
      </c>
      <c r="I3584" s="1178" t="s">
        <v>10830</v>
      </c>
      <c r="J3584" s="1178" t="s">
        <v>668</v>
      </c>
      <c r="K3584" s="1178" t="s">
        <v>350</v>
      </c>
      <c r="L3584" s="1178" t="s">
        <v>351</v>
      </c>
      <c r="M3584" s="1369"/>
      <c r="N3584" s="1178"/>
      <c r="O3584" s="1178">
        <v>6</v>
      </c>
      <c r="P3584" s="1178">
        <v>14</v>
      </c>
    </row>
    <row r="3585" spans="1:16">
      <c r="A3585" s="1178" t="s">
        <v>358</v>
      </c>
      <c r="B3585" s="1371" t="str">
        <f>HYPERLINK(IFERROR("#Main_Tariff!A"&amp;MATCH(Raeburn_Main_Tariff[[#This Row],[Product Code]],Main_Tariff!I:I,0),"#Main_Tariff!A"&amp;MATCH("*"&amp;RIGHT(A3585,8)&amp;"*",Main_Tariff!A:A,0)),Raeburn_Main_Tariff[[#This Row],[PRODUCER]])</f>
        <v>Giacomo Conterno</v>
      </c>
      <c r="C3585" s="1178" t="s">
        <v>21765</v>
      </c>
      <c r="D3585" s="1178" t="s">
        <v>897</v>
      </c>
      <c r="E3585" s="1179"/>
      <c r="F3585" s="1282" t="s">
        <v>20220</v>
      </c>
      <c r="G3585" s="1368" t="s">
        <v>5258</v>
      </c>
      <c r="H3585" s="1178" t="s">
        <v>20221</v>
      </c>
      <c r="I3585" s="1178" t="s">
        <v>10889</v>
      </c>
      <c r="J3585" s="1178" t="s">
        <v>668</v>
      </c>
      <c r="K3585" s="1178" t="s">
        <v>350</v>
      </c>
      <c r="L3585" s="1178" t="s">
        <v>351</v>
      </c>
      <c r="M3585" s="1369"/>
      <c r="N3585" s="1178"/>
      <c r="O3585" s="1178">
        <v>6</v>
      </c>
      <c r="P3585" s="1178">
        <v>15.5</v>
      </c>
    </row>
    <row r="3586" spans="1:16">
      <c r="A3586" s="1178" t="s">
        <v>358</v>
      </c>
      <c r="B3586" s="1371" t="str">
        <f>HYPERLINK(IFERROR("#Main_Tariff!A"&amp;MATCH(Raeburn_Main_Tariff[[#This Row],[Product Code]],Main_Tariff!I:I,0),"#Main_Tariff!A"&amp;MATCH("*"&amp;RIGHT(A3586,8)&amp;"*",Main_Tariff!A:A,0)),Raeburn_Main_Tariff[[#This Row],[PRODUCER]])</f>
        <v>Giacomo Conterno</v>
      </c>
      <c r="C3586" s="1178" t="s">
        <v>21766</v>
      </c>
      <c r="D3586" s="1178" t="s">
        <v>897</v>
      </c>
      <c r="E3586" s="1179"/>
      <c r="F3586" s="1282" t="s">
        <v>20220</v>
      </c>
      <c r="G3586" s="1368" t="s">
        <v>5258</v>
      </c>
      <c r="H3586" s="1178" t="s">
        <v>20221</v>
      </c>
      <c r="I3586" s="1178" t="s">
        <v>10891</v>
      </c>
      <c r="J3586" s="1178" t="s">
        <v>668</v>
      </c>
      <c r="K3586" s="1178" t="s">
        <v>350</v>
      </c>
      <c r="L3586" s="1178" t="s">
        <v>351</v>
      </c>
      <c r="M3586" s="1369"/>
      <c r="N3586" s="1178"/>
      <c r="O3586" s="1178">
        <v>6</v>
      </c>
      <c r="P3586" s="1178">
        <v>15.5</v>
      </c>
    </row>
    <row r="3587" spans="1:16">
      <c r="A3587" s="1178" t="s">
        <v>358</v>
      </c>
      <c r="B3587" s="1371" t="str">
        <f>HYPERLINK(IFERROR("#Main_Tariff!A"&amp;MATCH(Raeburn_Main_Tariff[[#This Row],[Product Code]],Main_Tariff!I:I,0),"#Main_Tariff!A"&amp;MATCH("*"&amp;RIGHT(A3587,8)&amp;"*",Main_Tariff!A:A,0)),Raeburn_Main_Tariff[[#This Row],[PRODUCER]])</f>
        <v>Giacomo Conterno</v>
      </c>
      <c r="C3587" s="1178" t="s">
        <v>21767</v>
      </c>
      <c r="D3587" s="1178" t="s">
        <v>897</v>
      </c>
      <c r="E3587" s="1179"/>
      <c r="F3587" s="1282" t="s">
        <v>20220</v>
      </c>
      <c r="G3587" s="1368" t="s">
        <v>5258</v>
      </c>
      <c r="H3587" s="1178" t="s">
        <v>20224</v>
      </c>
      <c r="I3587" s="1178" t="s">
        <v>10893</v>
      </c>
      <c r="J3587" s="1178" t="s">
        <v>668</v>
      </c>
      <c r="K3587" s="1178" t="s">
        <v>350</v>
      </c>
      <c r="L3587" s="1178" t="s">
        <v>351</v>
      </c>
      <c r="M3587" s="1369"/>
      <c r="N3587" s="1178"/>
      <c r="O3587" s="1178">
        <v>6</v>
      </c>
      <c r="P3587" s="1178">
        <v>14.5</v>
      </c>
    </row>
    <row r="3588" spans="1:16">
      <c r="A3588" s="1178" t="s">
        <v>358</v>
      </c>
      <c r="B3588" s="1371" t="str">
        <f>HYPERLINK(IFERROR("#Main_Tariff!A"&amp;MATCH(Raeburn_Main_Tariff[[#This Row],[Product Code]],Main_Tariff!I:I,0),"#Main_Tariff!A"&amp;MATCH("*"&amp;RIGHT(A3588,8)&amp;"*",Main_Tariff!A:A,0)),Raeburn_Main_Tariff[[#This Row],[PRODUCER]])</f>
        <v>Giacomo Conterno</v>
      </c>
      <c r="C3588" s="1178" t="s">
        <v>21768</v>
      </c>
      <c r="D3588" s="1178" t="s">
        <v>897</v>
      </c>
      <c r="E3588" s="1179"/>
      <c r="F3588" s="1282" t="s">
        <v>20220</v>
      </c>
      <c r="G3588" s="1368" t="s">
        <v>5258</v>
      </c>
      <c r="H3588" s="1178" t="s">
        <v>20224</v>
      </c>
      <c r="I3588" s="1178" t="s">
        <v>10895</v>
      </c>
      <c r="J3588" s="1178" t="s">
        <v>668</v>
      </c>
      <c r="K3588" s="1178" t="s">
        <v>350</v>
      </c>
      <c r="L3588" s="1178" t="s">
        <v>351</v>
      </c>
      <c r="M3588" s="1369"/>
      <c r="N3588" s="1178"/>
      <c r="O3588" s="1178">
        <v>6</v>
      </c>
      <c r="P3588" s="1178">
        <v>13</v>
      </c>
    </row>
    <row r="3589" spans="1:16">
      <c r="A3589" s="1178" t="s">
        <v>358</v>
      </c>
      <c r="B3589" s="1371" t="str">
        <f>HYPERLINK(IFERROR("#Main_Tariff!A"&amp;MATCH(Raeburn_Main_Tariff[[#This Row],[Product Code]],Main_Tariff!I:I,0),"#Main_Tariff!A"&amp;MATCH("*"&amp;RIGHT(A3589,8)&amp;"*",Main_Tariff!A:A,0)),Raeburn_Main_Tariff[[#This Row],[PRODUCER]])</f>
        <v>Giacomo Conterno</v>
      </c>
      <c r="C3589" s="1178" t="s">
        <v>21769</v>
      </c>
      <c r="D3589" s="1178" t="s">
        <v>897</v>
      </c>
      <c r="E3589" s="1179"/>
      <c r="F3589" s="1282" t="s">
        <v>20220</v>
      </c>
      <c r="G3589" s="1368" t="s">
        <v>5258</v>
      </c>
      <c r="H3589" s="1178" t="s">
        <v>20221</v>
      </c>
      <c r="I3589" s="1178" t="s">
        <v>10897</v>
      </c>
      <c r="J3589" s="1178" t="s">
        <v>668</v>
      </c>
      <c r="K3589" s="1178" t="s">
        <v>350</v>
      </c>
      <c r="L3589" s="1178" t="s">
        <v>351</v>
      </c>
      <c r="M3589" s="1369"/>
      <c r="N3589" s="1178"/>
      <c r="O3589" s="1178">
        <v>6</v>
      </c>
      <c r="P3589" s="1178">
        <v>13</v>
      </c>
    </row>
    <row r="3590" spans="1:16">
      <c r="A3590" s="1178" t="s">
        <v>358</v>
      </c>
      <c r="B3590" s="1371" t="str">
        <f>HYPERLINK(IFERROR("#Main_Tariff!A"&amp;MATCH(Raeburn_Main_Tariff[[#This Row],[Product Code]],Main_Tariff!I:I,0),"#Main_Tariff!A"&amp;MATCH("*"&amp;RIGHT(A3590,8)&amp;"*",Main_Tariff!A:A,0)),Raeburn_Main_Tariff[[#This Row],[PRODUCER]])</f>
        <v>Giacomo Conterno</v>
      </c>
      <c r="C3590" s="1178" t="s">
        <v>21770</v>
      </c>
      <c r="D3590" s="1178" t="s">
        <v>897</v>
      </c>
      <c r="E3590" s="1179"/>
      <c r="F3590" s="1282" t="s">
        <v>20220</v>
      </c>
      <c r="G3590" s="1368" t="s">
        <v>5258</v>
      </c>
      <c r="H3590" s="1178" t="s">
        <v>20224</v>
      </c>
      <c r="I3590" s="1178" t="s">
        <v>10899</v>
      </c>
      <c r="J3590" s="1178" t="s">
        <v>668</v>
      </c>
      <c r="K3590" s="1178" t="s">
        <v>350</v>
      </c>
      <c r="L3590" s="1178" t="s">
        <v>351</v>
      </c>
      <c r="M3590" s="1369"/>
      <c r="N3590" s="1178"/>
      <c r="O3590" s="1178">
        <v>6</v>
      </c>
      <c r="P3590" s="1178">
        <v>14.5</v>
      </c>
    </row>
    <row r="3591" spans="1:16">
      <c r="A3591" s="1178" t="s">
        <v>358</v>
      </c>
      <c r="B3591" s="1371" t="str">
        <f>HYPERLINK(IFERROR("#Main_Tariff!A"&amp;MATCH(Raeburn_Main_Tariff[[#This Row],[Product Code]],Main_Tariff!I:I,0),"#Main_Tariff!A"&amp;MATCH("*"&amp;RIGHT(A3591,8)&amp;"*",Main_Tariff!A:A,0)),Raeburn_Main_Tariff[[#This Row],[PRODUCER]])</f>
        <v>Giacomo Conterno</v>
      </c>
      <c r="C3591" s="1178" t="s">
        <v>21771</v>
      </c>
      <c r="D3591" s="1178" t="s">
        <v>897</v>
      </c>
      <c r="E3591" s="1179"/>
      <c r="F3591" s="1282" t="s">
        <v>20220</v>
      </c>
      <c r="G3591" s="1368" t="s">
        <v>5258</v>
      </c>
      <c r="H3591" s="1178" t="s">
        <v>20224</v>
      </c>
      <c r="I3591" s="1178" t="s">
        <v>10901</v>
      </c>
      <c r="J3591" s="1178" t="s">
        <v>668</v>
      </c>
      <c r="K3591" s="1178" t="s">
        <v>350</v>
      </c>
      <c r="L3591" s="1178" t="s">
        <v>351</v>
      </c>
      <c r="M3591" s="1369"/>
      <c r="N3591" s="1178"/>
      <c r="O3591" s="1178">
        <v>3</v>
      </c>
      <c r="P3591" s="1178">
        <v>13</v>
      </c>
    </row>
    <row r="3592" spans="1:16">
      <c r="A3592" s="1178" t="s">
        <v>358</v>
      </c>
      <c r="B3592" s="1371" t="str">
        <f>HYPERLINK(IFERROR("#Main_Tariff!A"&amp;MATCH(Raeburn_Main_Tariff[[#This Row],[Product Code]],Main_Tariff!I:I,0),"#Main_Tariff!A"&amp;MATCH("*"&amp;RIGHT(A3592,8)&amp;"*",Main_Tariff!A:A,0)),Raeburn_Main_Tariff[[#This Row],[PRODUCER]])</f>
        <v>Giacomo Conterno</v>
      </c>
      <c r="C3592" s="1178" t="s">
        <v>21772</v>
      </c>
      <c r="D3592" s="1178" t="s">
        <v>897</v>
      </c>
      <c r="E3592" s="1179"/>
      <c r="F3592" s="1282" t="s">
        <v>20240</v>
      </c>
      <c r="G3592" s="1368" t="s">
        <v>5258</v>
      </c>
      <c r="H3592" s="1178" t="s">
        <v>20224</v>
      </c>
      <c r="I3592" s="1178" t="s">
        <v>10904</v>
      </c>
      <c r="J3592" s="1178" t="s">
        <v>668</v>
      </c>
      <c r="K3592" s="1178" t="s">
        <v>350</v>
      </c>
      <c r="L3592" s="1178" t="s">
        <v>351</v>
      </c>
      <c r="M3592" s="1369"/>
      <c r="N3592" s="1178"/>
      <c r="O3592" s="1178">
        <v>1</v>
      </c>
      <c r="P3592" s="1178">
        <v>13.5</v>
      </c>
    </row>
    <row r="3593" spans="1:16">
      <c r="A3593" s="1178" t="s">
        <v>358</v>
      </c>
      <c r="B3593" s="1371" t="str">
        <f>HYPERLINK(IFERROR("#Main_Tariff!A"&amp;MATCH(Raeburn_Main_Tariff[[#This Row],[Product Code]],Main_Tariff!I:I,0),"#Main_Tariff!A"&amp;MATCH("*"&amp;RIGHT(A3593,8)&amp;"*",Main_Tariff!A:A,0)),Raeburn_Main_Tariff[[#This Row],[PRODUCER]])</f>
        <v>Giacomo Conterno</v>
      </c>
      <c r="C3593" s="1178" t="s">
        <v>21773</v>
      </c>
      <c r="D3593" s="1178" t="s">
        <v>897</v>
      </c>
      <c r="E3593" s="1179"/>
      <c r="F3593" s="1282" t="s">
        <v>20240</v>
      </c>
      <c r="G3593" s="1368" t="s">
        <v>5258</v>
      </c>
      <c r="H3593" s="1178" t="s">
        <v>20224</v>
      </c>
      <c r="I3593" s="1178" t="s">
        <v>10906</v>
      </c>
      <c r="J3593" s="1178" t="s">
        <v>668</v>
      </c>
      <c r="K3593" s="1178" t="s">
        <v>350</v>
      </c>
      <c r="L3593" s="1178" t="s">
        <v>351</v>
      </c>
      <c r="M3593" s="1369"/>
      <c r="N3593" s="1178"/>
      <c r="O3593" s="1178">
        <v>1</v>
      </c>
      <c r="P3593" s="1178">
        <v>15</v>
      </c>
    </row>
    <row r="3594" spans="1:16">
      <c r="A3594" s="1178" t="s">
        <v>358</v>
      </c>
      <c r="B3594" s="1371" t="str">
        <f>HYPERLINK(IFERROR("#Main_Tariff!A"&amp;MATCH(Raeburn_Main_Tariff[[#This Row],[Product Code]],Main_Tariff!I:I,0),"#Main_Tariff!A"&amp;MATCH("*"&amp;RIGHT(A3594,8)&amp;"*",Main_Tariff!A:A,0)),Raeburn_Main_Tariff[[#This Row],[PRODUCER]])</f>
        <v>Giacomo Conterno</v>
      </c>
      <c r="C3594" s="1178" t="s">
        <v>21774</v>
      </c>
      <c r="D3594" s="1178" t="s">
        <v>897</v>
      </c>
      <c r="E3594" s="1179"/>
      <c r="F3594" s="1282" t="s">
        <v>20240</v>
      </c>
      <c r="G3594" s="1368" t="s">
        <v>5258</v>
      </c>
      <c r="H3594" s="1178" t="s">
        <v>20224</v>
      </c>
      <c r="I3594" s="1178" t="s">
        <v>10908</v>
      </c>
      <c r="J3594" s="1178" t="s">
        <v>668</v>
      </c>
      <c r="K3594" s="1178" t="s">
        <v>350</v>
      </c>
      <c r="L3594" s="1178" t="s">
        <v>351</v>
      </c>
      <c r="M3594" s="1369"/>
      <c r="N3594" s="1178"/>
      <c r="O3594" s="1178">
        <v>1</v>
      </c>
      <c r="P3594" s="1178">
        <v>15</v>
      </c>
    </row>
    <row r="3595" spans="1:16">
      <c r="A3595" s="1178" t="s">
        <v>358</v>
      </c>
      <c r="B3595" s="1371" t="str">
        <f>HYPERLINK(IFERROR("#Main_Tariff!A"&amp;MATCH(Raeburn_Main_Tariff[[#This Row],[Product Code]],Main_Tariff!I:I,0),"#Main_Tariff!A"&amp;MATCH("*"&amp;RIGHT(A3595,8)&amp;"*",Main_Tariff!A:A,0)),Raeburn_Main_Tariff[[#This Row],[PRODUCER]])</f>
        <v>Giacomo Conterno</v>
      </c>
      <c r="C3595" s="1178" t="s">
        <v>21775</v>
      </c>
      <c r="D3595" s="1178" t="s">
        <v>897</v>
      </c>
      <c r="E3595" s="1179"/>
      <c r="F3595" s="1282" t="s">
        <v>20240</v>
      </c>
      <c r="G3595" s="1368" t="s">
        <v>5258</v>
      </c>
      <c r="H3595" s="1178" t="s">
        <v>20224</v>
      </c>
      <c r="I3595" s="1178" t="s">
        <v>10910</v>
      </c>
      <c r="J3595" s="1178" t="s">
        <v>668</v>
      </c>
      <c r="K3595" s="1178" t="s">
        <v>350</v>
      </c>
      <c r="L3595" s="1178" t="s">
        <v>351</v>
      </c>
      <c r="M3595" s="1369"/>
      <c r="N3595" s="1178"/>
      <c r="O3595" s="1178">
        <v>1</v>
      </c>
      <c r="P3595" s="1178">
        <v>13</v>
      </c>
    </row>
    <row r="3596" spans="1:16">
      <c r="A3596" s="1178" t="s">
        <v>359</v>
      </c>
      <c r="B3596" s="1371" t="str">
        <f>HYPERLINK(IFERROR("#Main_Tariff!A"&amp;MATCH(Raeburn_Main_Tariff[[#This Row],[Product Code]],Main_Tariff!I:I,0),"#Main_Tariff!A"&amp;MATCH("*"&amp;RIGHT(A3596,8)&amp;"*",Main_Tariff!A:A,0)),Raeburn_Main_Tariff[[#This Row],[PRODUCER]])</f>
        <v>Fratelli Alessandria</v>
      </c>
      <c r="C3596" s="1178" t="s">
        <v>21719</v>
      </c>
      <c r="D3596" s="1178" t="s">
        <v>897</v>
      </c>
      <c r="E3596" s="1179">
        <v>2023</v>
      </c>
      <c r="F3596" s="1282" t="s">
        <v>20220</v>
      </c>
      <c r="G3596" s="1368">
        <v>17.75</v>
      </c>
      <c r="H3596" s="1178" t="s">
        <v>20221</v>
      </c>
      <c r="I3596" s="1178" t="s">
        <v>10947</v>
      </c>
      <c r="J3596" s="1178" t="s">
        <v>668</v>
      </c>
      <c r="K3596" s="1178" t="s">
        <v>350</v>
      </c>
      <c r="L3596" s="1178" t="s">
        <v>351</v>
      </c>
      <c r="M3596" s="1369"/>
      <c r="N3596" s="1178"/>
      <c r="O3596" s="1178">
        <v>12</v>
      </c>
      <c r="P3596" s="1178">
        <v>13</v>
      </c>
    </row>
    <row r="3597" spans="1:16">
      <c r="A3597" s="1178" t="s">
        <v>359</v>
      </c>
      <c r="B3597" s="1371" t="str">
        <f>HYPERLINK(IFERROR("#Main_Tariff!A"&amp;MATCH(Raeburn_Main_Tariff[[#This Row],[Product Code]],Main_Tariff!I:I,0),"#Main_Tariff!A"&amp;MATCH("*"&amp;RIGHT(A3597,8)&amp;"*",Main_Tariff!A:A,0)),Raeburn_Main_Tariff[[#This Row],[PRODUCER]])</f>
        <v>Fratelli Alessandria</v>
      </c>
      <c r="C3597" s="1178" t="s">
        <v>21719</v>
      </c>
      <c r="D3597" s="1178" t="s">
        <v>897</v>
      </c>
      <c r="E3597" s="1179">
        <v>2022</v>
      </c>
      <c r="F3597" s="1282" t="s">
        <v>20220</v>
      </c>
      <c r="G3597" s="1368">
        <v>17</v>
      </c>
      <c r="H3597" s="1178" t="s">
        <v>20221</v>
      </c>
      <c r="I3597" s="1178" t="s">
        <v>10949</v>
      </c>
      <c r="J3597" s="1178" t="s">
        <v>668</v>
      </c>
      <c r="K3597" s="1178" t="s">
        <v>350</v>
      </c>
      <c r="L3597" s="1178" t="s">
        <v>351</v>
      </c>
      <c r="M3597" s="1369"/>
      <c r="N3597" s="1178"/>
      <c r="O3597" s="1178">
        <v>12</v>
      </c>
      <c r="P3597" s="1178">
        <v>13.5</v>
      </c>
    </row>
    <row r="3598" spans="1:16">
      <c r="A3598" s="1178" t="s">
        <v>359</v>
      </c>
      <c r="B3598" s="1371" t="str">
        <f>HYPERLINK(IFERROR("#Main_Tariff!A"&amp;MATCH(Raeburn_Main_Tariff[[#This Row],[Product Code]],Main_Tariff!I:I,0),"#Main_Tariff!A"&amp;MATCH("*"&amp;RIGHT(A3598,8)&amp;"*",Main_Tariff!A:A,0)),Raeburn_Main_Tariff[[#This Row],[PRODUCER]])</f>
        <v>Fratelli Alessandria</v>
      </c>
      <c r="C3598" s="1178" t="s">
        <v>21719</v>
      </c>
      <c r="D3598" s="1178" t="s">
        <v>897</v>
      </c>
      <c r="E3598" s="1179">
        <v>2021</v>
      </c>
      <c r="F3598" s="1282" t="s">
        <v>20220</v>
      </c>
      <c r="G3598" s="1368">
        <v>16</v>
      </c>
      <c r="H3598" s="1178" t="s">
        <v>20221</v>
      </c>
      <c r="I3598" s="1178" t="s">
        <v>10951</v>
      </c>
      <c r="J3598" s="1178" t="s">
        <v>668</v>
      </c>
      <c r="K3598" s="1178" t="s">
        <v>350</v>
      </c>
      <c r="L3598" s="1178" t="s">
        <v>351</v>
      </c>
      <c r="M3598" s="1369"/>
      <c r="N3598" s="1178"/>
      <c r="O3598" s="1178">
        <v>12</v>
      </c>
      <c r="P3598" s="1178">
        <v>13.5</v>
      </c>
    </row>
    <row r="3599" spans="1:16">
      <c r="A3599" s="1178" t="s">
        <v>359</v>
      </c>
      <c r="B3599" s="1371" t="str">
        <f>HYPERLINK(IFERROR("#Main_Tariff!A"&amp;MATCH(Raeburn_Main_Tariff[[#This Row],[Product Code]],Main_Tariff!I:I,0),"#Main_Tariff!A"&amp;MATCH("*"&amp;RIGHT(A3599,8)&amp;"*",Main_Tariff!A:A,0)),Raeburn_Main_Tariff[[#This Row],[PRODUCER]])</f>
        <v>Fratelli Alessandria</v>
      </c>
      <c r="C3599" s="1178" t="s">
        <v>21719</v>
      </c>
      <c r="D3599" s="1178" t="s">
        <v>897</v>
      </c>
      <c r="E3599" s="1179">
        <v>2020</v>
      </c>
      <c r="F3599" s="1282" t="s">
        <v>20220</v>
      </c>
      <c r="G3599" s="1368">
        <v>16</v>
      </c>
      <c r="H3599" s="1178" t="s">
        <v>20221</v>
      </c>
      <c r="I3599" s="1178" t="s">
        <v>10953</v>
      </c>
      <c r="J3599" s="1178" t="s">
        <v>668</v>
      </c>
      <c r="K3599" s="1178" t="s">
        <v>350</v>
      </c>
      <c r="L3599" s="1178" t="s">
        <v>351</v>
      </c>
      <c r="M3599" s="1369"/>
      <c r="N3599" s="1178"/>
      <c r="O3599" s="1178">
        <v>12</v>
      </c>
      <c r="P3599" s="1178">
        <v>12</v>
      </c>
    </row>
    <row r="3600" spans="1:16">
      <c r="A3600" s="1178" t="s">
        <v>359</v>
      </c>
      <c r="B3600" s="1371" t="str">
        <f>HYPERLINK(IFERROR("#Main_Tariff!A"&amp;MATCH(Raeburn_Main_Tariff[[#This Row],[Product Code]],Main_Tariff!I:I,0),"#Main_Tariff!A"&amp;MATCH("*"&amp;RIGHT(A3600,8)&amp;"*",Main_Tariff!A:A,0)),Raeburn_Main_Tariff[[#This Row],[PRODUCER]])</f>
        <v>Fratelli Alessandria</v>
      </c>
      <c r="C3600" s="1178" t="s">
        <v>21719</v>
      </c>
      <c r="D3600" s="1178" t="s">
        <v>897</v>
      </c>
      <c r="E3600" s="1179">
        <v>2017</v>
      </c>
      <c r="F3600" s="1282" t="s">
        <v>20220</v>
      </c>
      <c r="G3600" s="1368">
        <v>16</v>
      </c>
      <c r="H3600" s="1178" t="s">
        <v>20221</v>
      </c>
      <c r="I3600" s="1178" t="s">
        <v>10955</v>
      </c>
      <c r="J3600" s="1178" t="s">
        <v>668</v>
      </c>
      <c r="K3600" s="1178" t="s">
        <v>350</v>
      </c>
      <c r="L3600" s="1178" t="s">
        <v>351</v>
      </c>
      <c r="M3600" s="1369"/>
      <c r="N3600" s="1178"/>
      <c r="O3600" s="1178">
        <v>12</v>
      </c>
      <c r="P3600" s="1178">
        <v>14</v>
      </c>
    </row>
    <row r="3601" spans="1:16">
      <c r="A3601" s="1178" t="s">
        <v>359</v>
      </c>
      <c r="B3601" s="1371" t="str">
        <f>HYPERLINK(IFERROR("#Main_Tariff!A"&amp;MATCH(Raeburn_Main_Tariff[[#This Row],[Product Code]],Main_Tariff!I:I,0),"#Main_Tariff!A"&amp;MATCH("*"&amp;RIGHT(A3601,8)&amp;"*",Main_Tariff!A:A,0)),Raeburn_Main_Tariff[[#This Row],[PRODUCER]])</f>
        <v>Fratelli Alessandria</v>
      </c>
      <c r="C3601" s="1178" t="s">
        <v>21719</v>
      </c>
      <c r="D3601" s="1178" t="s">
        <v>897</v>
      </c>
      <c r="E3601" s="1179">
        <v>2016</v>
      </c>
      <c r="F3601" s="1282" t="s">
        <v>20220</v>
      </c>
      <c r="G3601" s="1368">
        <v>17.25</v>
      </c>
      <c r="H3601" s="1178" t="s">
        <v>20221</v>
      </c>
      <c r="I3601" s="1178" t="s">
        <v>10957</v>
      </c>
      <c r="J3601" s="1178" t="s">
        <v>668</v>
      </c>
      <c r="K3601" s="1178" t="s">
        <v>350</v>
      </c>
      <c r="L3601" s="1178" t="s">
        <v>351</v>
      </c>
      <c r="M3601" s="1369"/>
      <c r="N3601" s="1178"/>
      <c r="O3601" s="1178">
        <v>6</v>
      </c>
      <c r="P3601" s="1178">
        <v>13</v>
      </c>
    </row>
    <row r="3602" spans="1:16">
      <c r="A3602" s="1178" t="s">
        <v>359</v>
      </c>
      <c r="B3602" s="1371" t="str">
        <f>HYPERLINK(IFERROR("#Main_Tariff!A"&amp;MATCH(Raeburn_Main_Tariff[[#This Row],[Product Code]],Main_Tariff!I:I,0),"#Main_Tariff!A"&amp;MATCH("*"&amp;RIGHT(A3602,8)&amp;"*",Main_Tariff!A:A,0)),Raeburn_Main_Tariff[[#This Row],[PRODUCER]])</f>
        <v>Fratelli Alessandria</v>
      </c>
      <c r="C3602" s="1178" t="s">
        <v>21719</v>
      </c>
      <c r="D3602" s="1178" t="s">
        <v>897</v>
      </c>
      <c r="E3602" s="1179">
        <v>2015</v>
      </c>
      <c r="F3602" s="1282" t="s">
        <v>20220</v>
      </c>
      <c r="G3602" s="1368">
        <v>17.25</v>
      </c>
      <c r="H3602" s="1178" t="s">
        <v>20221</v>
      </c>
      <c r="I3602" s="1178" t="s">
        <v>10959</v>
      </c>
      <c r="J3602" s="1178" t="s">
        <v>668</v>
      </c>
      <c r="K3602" s="1178" t="s">
        <v>350</v>
      </c>
      <c r="L3602" s="1178" t="s">
        <v>351</v>
      </c>
      <c r="M3602" s="1369"/>
      <c r="N3602" s="1178"/>
      <c r="O3602" s="1178">
        <v>12</v>
      </c>
      <c r="P3602" s="1178">
        <v>13.5</v>
      </c>
    </row>
    <row r="3603" spans="1:16">
      <c r="A3603" s="1178" t="s">
        <v>359</v>
      </c>
      <c r="B3603" s="1371" t="str">
        <f>HYPERLINK(IFERROR("#Main_Tariff!A"&amp;MATCH(Raeburn_Main_Tariff[[#This Row],[Product Code]],Main_Tariff!I:I,0),"#Main_Tariff!A"&amp;MATCH("*"&amp;RIGHT(A3603,8)&amp;"*",Main_Tariff!A:A,0)),Raeburn_Main_Tariff[[#This Row],[PRODUCER]])</f>
        <v>Fratelli Alessandria</v>
      </c>
      <c r="C3603" s="1178" t="s">
        <v>21716</v>
      </c>
      <c r="D3603" s="1178" t="s">
        <v>897</v>
      </c>
      <c r="E3603" s="1179">
        <v>2023</v>
      </c>
      <c r="F3603" s="1282" t="s">
        <v>20220</v>
      </c>
      <c r="G3603" s="1368">
        <v>18.5</v>
      </c>
      <c r="H3603" s="1178" t="s">
        <v>20221</v>
      </c>
      <c r="I3603" s="1178" t="s">
        <v>10961</v>
      </c>
      <c r="J3603" s="1178" t="s">
        <v>668</v>
      </c>
      <c r="K3603" s="1178" t="s">
        <v>350</v>
      </c>
      <c r="L3603" s="1178" t="s">
        <v>351</v>
      </c>
      <c r="M3603" s="1369"/>
      <c r="N3603" s="1178"/>
      <c r="O3603" s="1178">
        <v>12</v>
      </c>
      <c r="P3603" s="1178">
        <v>13.5</v>
      </c>
    </row>
    <row r="3604" spans="1:16">
      <c r="A3604" s="1178" t="s">
        <v>359</v>
      </c>
      <c r="B3604" s="1371" t="str">
        <f>HYPERLINK(IFERROR("#Main_Tariff!A"&amp;MATCH(Raeburn_Main_Tariff[[#This Row],[Product Code]],Main_Tariff!I:I,0),"#Main_Tariff!A"&amp;MATCH("*"&amp;RIGHT(A3604,8)&amp;"*",Main_Tariff!A:A,0)),Raeburn_Main_Tariff[[#This Row],[PRODUCER]])</f>
        <v>Fratelli Alessandria</v>
      </c>
      <c r="C3604" s="1178" t="s">
        <v>21716</v>
      </c>
      <c r="D3604" s="1178" t="s">
        <v>897</v>
      </c>
      <c r="E3604" s="1179">
        <v>2022</v>
      </c>
      <c r="F3604" s="1282" t="s">
        <v>20220</v>
      </c>
      <c r="G3604" s="1368">
        <v>17.75</v>
      </c>
      <c r="H3604" s="1178" t="s">
        <v>20221</v>
      </c>
      <c r="I3604" s="1178" t="s">
        <v>10963</v>
      </c>
      <c r="J3604" s="1178" t="s">
        <v>668</v>
      </c>
      <c r="K3604" s="1178" t="s">
        <v>350</v>
      </c>
      <c r="L3604" s="1178" t="s">
        <v>351</v>
      </c>
      <c r="M3604" s="1369"/>
      <c r="N3604" s="1178"/>
      <c r="O3604" s="1178">
        <v>12</v>
      </c>
      <c r="P3604" s="1178">
        <v>14.5</v>
      </c>
    </row>
    <row r="3605" spans="1:16">
      <c r="A3605" s="1178" t="s">
        <v>359</v>
      </c>
      <c r="B3605" s="1371" t="str">
        <f>HYPERLINK(IFERROR("#Main_Tariff!A"&amp;MATCH(Raeburn_Main_Tariff[[#This Row],[Product Code]],Main_Tariff!I:I,0),"#Main_Tariff!A"&amp;MATCH("*"&amp;RIGHT(A3605,8)&amp;"*",Main_Tariff!A:A,0)),Raeburn_Main_Tariff[[#This Row],[PRODUCER]])</f>
        <v>Fratelli Alessandria</v>
      </c>
      <c r="C3605" s="1178" t="s">
        <v>21716</v>
      </c>
      <c r="D3605" s="1178" t="s">
        <v>897</v>
      </c>
      <c r="E3605" s="1179">
        <v>2021</v>
      </c>
      <c r="F3605" s="1282" t="s">
        <v>20220</v>
      </c>
      <c r="G3605" s="1368">
        <v>17</v>
      </c>
      <c r="H3605" s="1178" t="s">
        <v>20221</v>
      </c>
      <c r="I3605" s="1178" t="s">
        <v>10965</v>
      </c>
      <c r="J3605" s="1178" t="s">
        <v>668</v>
      </c>
      <c r="K3605" s="1178" t="s">
        <v>350</v>
      </c>
      <c r="L3605" s="1178" t="s">
        <v>351</v>
      </c>
      <c r="M3605" s="1369"/>
      <c r="N3605" s="1178"/>
      <c r="O3605" s="1178">
        <v>12</v>
      </c>
      <c r="P3605" s="1178">
        <v>14</v>
      </c>
    </row>
    <row r="3606" spans="1:16">
      <c r="A3606" s="1178" t="s">
        <v>359</v>
      </c>
      <c r="B3606" s="1371" t="str">
        <f>HYPERLINK(IFERROR("#Main_Tariff!A"&amp;MATCH(Raeburn_Main_Tariff[[#This Row],[Product Code]],Main_Tariff!I:I,0),"#Main_Tariff!A"&amp;MATCH("*"&amp;RIGHT(A3606,8)&amp;"*",Main_Tariff!A:A,0)),Raeburn_Main_Tariff[[#This Row],[PRODUCER]])</f>
        <v>Fratelli Alessandria</v>
      </c>
      <c r="C3606" s="1178" t="s">
        <v>21716</v>
      </c>
      <c r="D3606" s="1178" t="s">
        <v>897</v>
      </c>
      <c r="E3606" s="1179">
        <v>2020</v>
      </c>
      <c r="F3606" s="1282" t="s">
        <v>20220</v>
      </c>
      <c r="G3606" s="1368">
        <v>17</v>
      </c>
      <c r="H3606" s="1178" t="s">
        <v>20221</v>
      </c>
      <c r="I3606" s="1178" t="s">
        <v>10967</v>
      </c>
      <c r="J3606" s="1178" t="s">
        <v>668</v>
      </c>
      <c r="K3606" s="1178" t="s">
        <v>350</v>
      </c>
      <c r="L3606" s="1178" t="s">
        <v>351</v>
      </c>
      <c r="M3606" s="1369"/>
      <c r="N3606" s="1178"/>
      <c r="O3606" s="1178">
        <v>12</v>
      </c>
      <c r="P3606" s="1178">
        <v>14</v>
      </c>
    </row>
    <row r="3607" spans="1:16">
      <c r="A3607" s="1178" t="s">
        <v>359</v>
      </c>
      <c r="B3607" s="1371" t="str">
        <f>HYPERLINK(IFERROR("#Main_Tariff!A"&amp;MATCH(Raeburn_Main_Tariff[[#This Row],[Product Code]],Main_Tariff!I:I,0),"#Main_Tariff!A"&amp;MATCH("*"&amp;RIGHT(A3607,8)&amp;"*",Main_Tariff!A:A,0)),Raeburn_Main_Tariff[[#This Row],[PRODUCER]])</f>
        <v>Fratelli Alessandria</v>
      </c>
      <c r="C3607" s="1178" t="s">
        <v>21716</v>
      </c>
      <c r="D3607" s="1178" t="s">
        <v>897</v>
      </c>
      <c r="E3607" s="1179">
        <v>2017</v>
      </c>
      <c r="F3607" s="1282" t="s">
        <v>20220</v>
      </c>
      <c r="G3607" s="1368">
        <v>17</v>
      </c>
      <c r="H3607" s="1178" t="s">
        <v>20221</v>
      </c>
      <c r="I3607" s="1178" t="s">
        <v>10969</v>
      </c>
      <c r="J3607" s="1178" t="s">
        <v>668</v>
      </c>
      <c r="K3607" s="1178" t="s">
        <v>350</v>
      </c>
      <c r="L3607" s="1178" t="s">
        <v>351</v>
      </c>
      <c r="M3607" s="1369"/>
      <c r="N3607" s="1178"/>
      <c r="O3607" s="1178">
        <v>12</v>
      </c>
      <c r="P3607" s="1178">
        <v>14.5</v>
      </c>
    </row>
    <row r="3608" spans="1:16">
      <c r="A3608" s="1178" t="s">
        <v>359</v>
      </c>
      <c r="B3608" s="1371" t="str">
        <f>HYPERLINK(IFERROR("#Main_Tariff!A"&amp;MATCH(Raeburn_Main_Tariff[[#This Row],[Product Code]],Main_Tariff!I:I,0),"#Main_Tariff!A"&amp;MATCH("*"&amp;RIGHT(A3608,8)&amp;"*",Main_Tariff!A:A,0)),Raeburn_Main_Tariff[[#This Row],[PRODUCER]])</f>
        <v>Fratelli Alessandria</v>
      </c>
      <c r="C3608" s="1178" t="s">
        <v>21716</v>
      </c>
      <c r="D3608" s="1178" t="s">
        <v>897</v>
      </c>
      <c r="E3608" s="1179">
        <v>2016</v>
      </c>
      <c r="F3608" s="1282" t="s">
        <v>20220</v>
      </c>
      <c r="G3608" s="1368">
        <v>17</v>
      </c>
      <c r="H3608" s="1178" t="s">
        <v>20221</v>
      </c>
      <c r="I3608" s="1178" t="s">
        <v>10971</v>
      </c>
      <c r="J3608" s="1178" t="s">
        <v>668</v>
      </c>
      <c r="K3608" s="1178" t="s">
        <v>350</v>
      </c>
      <c r="L3608" s="1178" t="s">
        <v>351</v>
      </c>
      <c r="M3608" s="1369"/>
      <c r="N3608" s="1178"/>
      <c r="O3608" s="1178">
        <v>6</v>
      </c>
      <c r="P3608" s="1178">
        <v>14.5</v>
      </c>
    </row>
    <row r="3609" spans="1:16">
      <c r="A3609" s="1178" t="s">
        <v>359</v>
      </c>
      <c r="B3609" s="1371" t="str">
        <f>HYPERLINK(IFERROR("#Main_Tariff!A"&amp;MATCH(Raeburn_Main_Tariff[[#This Row],[Product Code]],Main_Tariff!I:I,0),"#Main_Tariff!A"&amp;MATCH("*"&amp;RIGHT(A3609,8)&amp;"*",Main_Tariff!A:A,0)),Raeburn_Main_Tariff[[#This Row],[PRODUCER]])</f>
        <v>Fratelli Alessandria</v>
      </c>
      <c r="C3609" s="1178" t="s">
        <v>21716</v>
      </c>
      <c r="D3609" s="1178" t="s">
        <v>897</v>
      </c>
      <c r="E3609" s="1179">
        <v>2015</v>
      </c>
      <c r="F3609" s="1282" t="s">
        <v>20220</v>
      </c>
      <c r="G3609" s="1368">
        <v>18.5</v>
      </c>
      <c r="H3609" s="1178" t="s">
        <v>20221</v>
      </c>
      <c r="I3609" s="1178" t="s">
        <v>10973</v>
      </c>
      <c r="J3609" s="1178" t="s">
        <v>668</v>
      </c>
      <c r="K3609" s="1178" t="s">
        <v>350</v>
      </c>
      <c r="L3609" s="1178" t="s">
        <v>351</v>
      </c>
      <c r="M3609" s="1369"/>
      <c r="N3609" s="1178"/>
      <c r="O3609" s="1178">
        <v>12</v>
      </c>
      <c r="P3609" s="1178">
        <v>14.5</v>
      </c>
    </row>
    <row r="3610" spans="1:16">
      <c r="A3610" s="1178" t="s">
        <v>359</v>
      </c>
      <c r="B3610" s="1371" t="str">
        <f>HYPERLINK(IFERROR("#Main_Tariff!A"&amp;MATCH(Raeburn_Main_Tariff[[#This Row],[Product Code]],Main_Tariff!I:I,0),"#Main_Tariff!A"&amp;MATCH("*"&amp;RIGHT(A3610,8)&amp;"*",Main_Tariff!A:A,0)),Raeburn_Main_Tariff[[#This Row],[PRODUCER]])</f>
        <v>Fratelli Alessandria</v>
      </c>
      <c r="C3610" s="1178" t="s">
        <v>21776</v>
      </c>
      <c r="D3610" s="1178" t="s">
        <v>897</v>
      </c>
      <c r="E3610" s="1179">
        <v>2023</v>
      </c>
      <c r="F3610" s="1282" t="s">
        <v>20220</v>
      </c>
      <c r="G3610" s="1368">
        <v>21</v>
      </c>
      <c r="H3610" s="1178" t="s">
        <v>20221</v>
      </c>
      <c r="I3610" s="1178" t="s">
        <v>10975</v>
      </c>
      <c r="J3610" s="1178" t="s">
        <v>668</v>
      </c>
      <c r="K3610" s="1178" t="s">
        <v>350</v>
      </c>
      <c r="L3610" s="1178" t="s">
        <v>351</v>
      </c>
      <c r="M3610" s="1369"/>
      <c r="N3610" s="1178"/>
      <c r="O3610" s="1178">
        <v>12</v>
      </c>
      <c r="P3610" s="1178">
        <v>13.5</v>
      </c>
    </row>
    <row r="3611" spans="1:16">
      <c r="A3611" s="1178" t="s">
        <v>359</v>
      </c>
      <c r="B3611" s="1371" t="str">
        <f>HYPERLINK(IFERROR("#Main_Tariff!A"&amp;MATCH(Raeburn_Main_Tariff[[#This Row],[Product Code]],Main_Tariff!I:I,0),"#Main_Tariff!A"&amp;MATCH("*"&amp;RIGHT(A3611,8)&amp;"*",Main_Tariff!A:A,0)),Raeburn_Main_Tariff[[#This Row],[PRODUCER]])</f>
        <v>Fratelli Alessandria</v>
      </c>
      <c r="C3611" s="1178" t="s">
        <v>21776</v>
      </c>
      <c r="D3611" s="1178" t="s">
        <v>897</v>
      </c>
      <c r="E3611" s="1179">
        <v>2022</v>
      </c>
      <c r="F3611" s="1282" t="s">
        <v>20220</v>
      </c>
      <c r="G3611" s="1368">
        <v>20.75</v>
      </c>
      <c r="H3611" s="1178" t="s">
        <v>20221</v>
      </c>
      <c r="I3611" s="1178" t="s">
        <v>10977</v>
      </c>
      <c r="J3611" s="1178" t="s">
        <v>668</v>
      </c>
      <c r="K3611" s="1178" t="s">
        <v>350</v>
      </c>
      <c r="L3611" s="1178" t="s">
        <v>351</v>
      </c>
      <c r="M3611" s="1369"/>
      <c r="N3611" s="1178"/>
      <c r="O3611" s="1178">
        <v>12</v>
      </c>
      <c r="P3611" s="1178">
        <v>13.5</v>
      </c>
    </row>
    <row r="3612" spans="1:16">
      <c r="A3612" s="1178" t="s">
        <v>359</v>
      </c>
      <c r="B3612" s="1371" t="str">
        <f>HYPERLINK(IFERROR("#Main_Tariff!A"&amp;MATCH(Raeburn_Main_Tariff[[#This Row],[Product Code]],Main_Tariff!I:I,0),"#Main_Tariff!A"&amp;MATCH("*"&amp;RIGHT(A3612,8)&amp;"*",Main_Tariff!A:A,0)),Raeburn_Main_Tariff[[#This Row],[PRODUCER]])</f>
        <v>Fratelli Alessandria</v>
      </c>
      <c r="C3612" s="1178" t="s">
        <v>21776</v>
      </c>
      <c r="D3612" s="1178" t="s">
        <v>897</v>
      </c>
      <c r="E3612" s="1179">
        <v>2021</v>
      </c>
      <c r="F3612" s="1282" t="s">
        <v>20220</v>
      </c>
      <c r="G3612" s="1368">
        <v>19.75</v>
      </c>
      <c r="H3612" s="1178" t="s">
        <v>20221</v>
      </c>
      <c r="I3612" s="1178" t="s">
        <v>10979</v>
      </c>
      <c r="J3612" s="1178" t="s">
        <v>668</v>
      </c>
      <c r="K3612" s="1178" t="s">
        <v>350</v>
      </c>
      <c r="L3612" s="1178" t="s">
        <v>351</v>
      </c>
      <c r="M3612" s="1369"/>
      <c r="N3612" s="1178"/>
      <c r="O3612" s="1178">
        <v>12</v>
      </c>
      <c r="P3612" s="1178">
        <v>13.5</v>
      </c>
    </row>
    <row r="3613" spans="1:16">
      <c r="A3613" s="1178" t="s">
        <v>359</v>
      </c>
      <c r="B3613" s="1371" t="str">
        <f>HYPERLINK(IFERROR("#Main_Tariff!A"&amp;MATCH(Raeburn_Main_Tariff[[#This Row],[Product Code]],Main_Tariff!I:I,0),"#Main_Tariff!A"&amp;MATCH("*"&amp;RIGHT(A3613,8)&amp;"*",Main_Tariff!A:A,0)),Raeburn_Main_Tariff[[#This Row],[PRODUCER]])</f>
        <v>Fratelli Alessandria</v>
      </c>
      <c r="C3613" s="1178" t="s">
        <v>21776</v>
      </c>
      <c r="D3613" s="1178" t="s">
        <v>897</v>
      </c>
      <c r="E3613" s="1179">
        <v>2017</v>
      </c>
      <c r="F3613" s="1282" t="s">
        <v>20220</v>
      </c>
      <c r="G3613" s="1368">
        <v>19.75</v>
      </c>
      <c r="H3613" s="1178" t="s">
        <v>20221</v>
      </c>
      <c r="I3613" s="1178" t="s">
        <v>10981</v>
      </c>
      <c r="J3613" s="1178" t="s">
        <v>668</v>
      </c>
      <c r="K3613" s="1178" t="s">
        <v>350</v>
      </c>
      <c r="L3613" s="1178" t="s">
        <v>351</v>
      </c>
      <c r="M3613" s="1369"/>
      <c r="N3613" s="1178"/>
      <c r="O3613" s="1178">
        <v>12</v>
      </c>
      <c r="P3613" s="1178">
        <v>14</v>
      </c>
    </row>
    <row r="3614" spans="1:16">
      <c r="A3614" s="1178" t="s">
        <v>359</v>
      </c>
      <c r="B3614" s="1371" t="str">
        <f>HYPERLINK(IFERROR("#Main_Tariff!A"&amp;MATCH(Raeburn_Main_Tariff[[#This Row],[Product Code]],Main_Tariff!I:I,0),"#Main_Tariff!A"&amp;MATCH("*"&amp;RIGHT(A3614,8)&amp;"*",Main_Tariff!A:A,0)),Raeburn_Main_Tariff[[#This Row],[PRODUCER]])</f>
        <v>Fratelli Alessandria</v>
      </c>
      <c r="C3614" s="1178" t="s">
        <v>21777</v>
      </c>
      <c r="D3614" s="1178" t="s">
        <v>897</v>
      </c>
      <c r="E3614" s="1179">
        <v>2020</v>
      </c>
      <c r="F3614" s="1282" t="s">
        <v>20220</v>
      </c>
      <c r="G3614" s="1368">
        <v>43.25</v>
      </c>
      <c r="H3614" s="1178" t="s">
        <v>20221</v>
      </c>
      <c r="I3614" s="1178" t="s">
        <v>10984</v>
      </c>
      <c r="J3614" s="1178" t="s">
        <v>668</v>
      </c>
      <c r="K3614" s="1178" t="s">
        <v>350</v>
      </c>
      <c r="L3614" s="1178" t="s">
        <v>351</v>
      </c>
      <c r="M3614" s="1369"/>
      <c r="N3614" s="1178"/>
      <c r="O3614" s="1178">
        <v>6</v>
      </c>
      <c r="P3614" s="1178">
        <v>14.5</v>
      </c>
    </row>
    <row r="3615" spans="1:16">
      <c r="A3615" s="1178" t="s">
        <v>359</v>
      </c>
      <c r="B3615" s="1371" t="str">
        <f>HYPERLINK(IFERROR("#Main_Tariff!A"&amp;MATCH(Raeburn_Main_Tariff[[#This Row],[Product Code]],Main_Tariff!I:I,0),"#Main_Tariff!A"&amp;MATCH("*"&amp;RIGHT(A3615,8)&amp;"*",Main_Tariff!A:A,0)),Raeburn_Main_Tariff[[#This Row],[PRODUCER]])</f>
        <v>Fratelli Alessandria</v>
      </c>
      <c r="C3615" s="1178" t="s">
        <v>21777</v>
      </c>
      <c r="D3615" s="1178" t="s">
        <v>897</v>
      </c>
      <c r="E3615" s="1179">
        <v>2019</v>
      </c>
      <c r="F3615" s="1282" t="s">
        <v>20220</v>
      </c>
      <c r="G3615" s="1368">
        <v>40.25</v>
      </c>
      <c r="H3615" s="1178" t="s">
        <v>20221</v>
      </c>
      <c r="I3615" s="1178" t="s">
        <v>10986</v>
      </c>
      <c r="J3615" s="1178" t="s">
        <v>668</v>
      </c>
      <c r="K3615" s="1178" t="s">
        <v>350</v>
      </c>
      <c r="L3615" s="1178" t="s">
        <v>351</v>
      </c>
      <c r="M3615" s="1369"/>
      <c r="N3615" s="1178"/>
      <c r="O3615" s="1178">
        <v>6</v>
      </c>
      <c r="P3615" s="1178">
        <v>14.5</v>
      </c>
    </row>
    <row r="3616" spans="1:16">
      <c r="A3616" s="1178" t="s">
        <v>359</v>
      </c>
      <c r="B3616" s="1371" t="str">
        <f>HYPERLINK(IFERROR("#Main_Tariff!A"&amp;MATCH(Raeburn_Main_Tariff[[#This Row],[Product Code]],Main_Tariff!I:I,0),"#Main_Tariff!A"&amp;MATCH("*"&amp;RIGHT(A3616,8)&amp;"*",Main_Tariff!A:A,0)),Raeburn_Main_Tariff[[#This Row],[PRODUCER]])</f>
        <v>Fratelli Alessandria</v>
      </c>
      <c r="C3616" s="1178" t="s">
        <v>21777</v>
      </c>
      <c r="D3616" s="1178" t="s">
        <v>897</v>
      </c>
      <c r="E3616" s="1179">
        <v>2018</v>
      </c>
      <c r="F3616" s="1282" t="s">
        <v>20220</v>
      </c>
      <c r="G3616" s="1368">
        <v>38</v>
      </c>
      <c r="H3616" s="1178" t="s">
        <v>20221</v>
      </c>
      <c r="I3616" s="1178" t="s">
        <v>10988</v>
      </c>
      <c r="J3616" s="1178" t="s">
        <v>668</v>
      </c>
      <c r="K3616" s="1178" t="s">
        <v>350</v>
      </c>
      <c r="L3616" s="1178" t="s">
        <v>351</v>
      </c>
      <c r="M3616" s="1369"/>
      <c r="N3616" s="1178"/>
      <c r="O3616" s="1178">
        <v>6</v>
      </c>
      <c r="P3616" s="1178">
        <v>14.5</v>
      </c>
    </row>
    <row r="3617" spans="1:16">
      <c r="A3617" s="1178" t="s">
        <v>359</v>
      </c>
      <c r="B3617" s="1371" t="str">
        <f>HYPERLINK(IFERROR("#Main_Tariff!A"&amp;MATCH(Raeburn_Main_Tariff[[#This Row],[Product Code]],Main_Tariff!I:I,0),"#Main_Tariff!A"&amp;MATCH("*"&amp;RIGHT(A3617,8)&amp;"*",Main_Tariff!A:A,0)),Raeburn_Main_Tariff[[#This Row],[PRODUCER]])</f>
        <v>Fratelli Alessandria</v>
      </c>
      <c r="C3617" s="1178" t="s">
        <v>21778</v>
      </c>
      <c r="D3617" s="1178" t="s">
        <v>897</v>
      </c>
      <c r="E3617" s="1179">
        <v>2020</v>
      </c>
      <c r="F3617" s="1282" t="s">
        <v>20220</v>
      </c>
      <c r="G3617" s="1368" t="s">
        <v>5258</v>
      </c>
      <c r="H3617" s="1178" t="s">
        <v>20221</v>
      </c>
      <c r="I3617" s="1178" t="s">
        <v>10990</v>
      </c>
      <c r="J3617" s="1178" t="s">
        <v>668</v>
      </c>
      <c r="K3617" s="1178" t="s">
        <v>350</v>
      </c>
      <c r="L3617" s="1178" t="s">
        <v>351</v>
      </c>
      <c r="M3617" s="1369"/>
      <c r="N3617" s="1178"/>
      <c r="O3617" s="1178">
        <v>6</v>
      </c>
      <c r="P3617" s="1178">
        <v>14.5</v>
      </c>
    </row>
    <row r="3618" spans="1:16">
      <c r="A3618" s="1178" t="s">
        <v>359</v>
      </c>
      <c r="B3618" s="1371" t="str">
        <f>HYPERLINK(IFERROR("#Main_Tariff!A"&amp;MATCH(Raeburn_Main_Tariff[[#This Row],[Product Code]],Main_Tariff!I:I,0),"#Main_Tariff!A"&amp;MATCH("*"&amp;RIGHT(A3618,8)&amp;"*",Main_Tariff!A:A,0)),Raeburn_Main_Tariff[[#This Row],[PRODUCER]])</f>
        <v>Fratelli Alessandria</v>
      </c>
      <c r="C3618" s="1178" t="s">
        <v>21778</v>
      </c>
      <c r="D3618" s="1178" t="s">
        <v>897</v>
      </c>
      <c r="E3618" s="1179">
        <v>2019</v>
      </c>
      <c r="F3618" s="1282" t="s">
        <v>20220</v>
      </c>
      <c r="G3618" s="1368" t="s">
        <v>5258</v>
      </c>
      <c r="H3618" s="1178" t="s">
        <v>20221</v>
      </c>
      <c r="I3618" s="1178" t="s">
        <v>10992</v>
      </c>
      <c r="J3618" s="1178" t="s">
        <v>668</v>
      </c>
      <c r="K3618" s="1178" t="s">
        <v>350</v>
      </c>
      <c r="L3618" s="1178" t="s">
        <v>351</v>
      </c>
      <c r="M3618" s="1369"/>
      <c r="N3618" s="1178"/>
      <c r="O3618" s="1178">
        <v>6</v>
      </c>
      <c r="P3618" s="1178">
        <v>14.5</v>
      </c>
    </row>
    <row r="3619" spans="1:16">
      <c r="A3619" s="1178" t="s">
        <v>359</v>
      </c>
      <c r="B3619" s="1371" t="str">
        <f>HYPERLINK(IFERROR("#Main_Tariff!A"&amp;MATCH(Raeburn_Main_Tariff[[#This Row],[Product Code]],Main_Tariff!I:I,0),"#Main_Tariff!A"&amp;MATCH("*"&amp;RIGHT(A3619,8)&amp;"*",Main_Tariff!A:A,0)),Raeburn_Main_Tariff[[#This Row],[PRODUCER]])</f>
        <v>Fratelli Alessandria</v>
      </c>
      <c r="C3619" s="1178" t="s">
        <v>21778</v>
      </c>
      <c r="D3619" s="1178" t="s">
        <v>897</v>
      </c>
      <c r="E3619" s="1179">
        <v>2018</v>
      </c>
      <c r="F3619" s="1282" t="s">
        <v>20220</v>
      </c>
      <c r="G3619" s="1368" t="s">
        <v>5258</v>
      </c>
      <c r="H3619" s="1178" t="s">
        <v>20221</v>
      </c>
      <c r="I3619" s="1178" t="s">
        <v>10994</v>
      </c>
      <c r="J3619" s="1178" t="s">
        <v>668</v>
      </c>
      <c r="K3619" s="1178" t="s">
        <v>350</v>
      </c>
      <c r="L3619" s="1178" t="s">
        <v>351</v>
      </c>
      <c r="M3619" s="1369"/>
      <c r="N3619" s="1178"/>
      <c r="O3619" s="1178">
        <v>6</v>
      </c>
      <c r="P3619" s="1178">
        <v>15</v>
      </c>
    </row>
    <row r="3620" spans="1:16">
      <c r="A3620" s="1178" t="s">
        <v>359</v>
      </c>
      <c r="B3620" s="1371" t="str">
        <f>HYPERLINK(IFERROR("#Main_Tariff!A"&amp;MATCH(Raeburn_Main_Tariff[[#This Row],[Product Code]],Main_Tariff!I:I,0),"#Main_Tariff!A"&amp;MATCH("*"&amp;RIGHT(A3620,8)&amp;"*",Main_Tariff!A:A,0)),Raeburn_Main_Tariff[[#This Row],[PRODUCER]])</f>
        <v>Fratelli Alessandria</v>
      </c>
      <c r="C3620" s="1178" t="s">
        <v>21779</v>
      </c>
      <c r="D3620" s="1178" t="s">
        <v>897</v>
      </c>
      <c r="E3620" s="1179">
        <v>2020</v>
      </c>
      <c r="F3620" s="1282" t="s">
        <v>20220</v>
      </c>
      <c r="G3620" s="1368" t="s">
        <v>5258</v>
      </c>
      <c r="H3620" s="1178" t="s">
        <v>20221</v>
      </c>
      <c r="I3620" s="1178" t="s">
        <v>10996</v>
      </c>
      <c r="J3620" s="1178" t="s">
        <v>668</v>
      </c>
      <c r="K3620" s="1178" t="s">
        <v>350</v>
      </c>
      <c r="L3620" s="1178" t="s">
        <v>351</v>
      </c>
      <c r="M3620" s="1369"/>
      <c r="N3620" s="1178"/>
      <c r="O3620" s="1178">
        <v>6</v>
      </c>
      <c r="P3620" s="1178">
        <v>14.5</v>
      </c>
    </row>
    <row r="3621" spans="1:16">
      <c r="A3621" s="1178" t="s">
        <v>359</v>
      </c>
      <c r="B3621" s="1371" t="str">
        <f>HYPERLINK(IFERROR("#Main_Tariff!A"&amp;MATCH(Raeburn_Main_Tariff[[#This Row],[Product Code]],Main_Tariff!I:I,0),"#Main_Tariff!A"&amp;MATCH("*"&amp;RIGHT(A3621,8)&amp;"*",Main_Tariff!A:A,0)),Raeburn_Main_Tariff[[#This Row],[PRODUCER]])</f>
        <v>Fratelli Alessandria</v>
      </c>
      <c r="C3621" s="1178" t="s">
        <v>21779</v>
      </c>
      <c r="D3621" s="1178" t="s">
        <v>897</v>
      </c>
      <c r="E3621" s="1179">
        <v>2019</v>
      </c>
      <c r="F3621" s="1282" t="s">
        <v>20220</v>
      </c>
      <c r="G3621" s="1368" t="s">
        <v>5258</v>
      </c>
      <c r="H3621" s="1178" t="s">
        <v>20221</v>
      </c>
      <c r="I3621" s="1178" t="s">
        <v>10998</v>
      </c>
      <c r="J3621" s="1178" t="s">
        <v>668</v>
      </c>
      <c r="K3621" s="1178" t="s">
        <v>350</v>
      </c>
      <c r="L3621" s="1178" t="s">
        <v>351</v>
      </c>
      <c r="M3621" s="1369"/>
      <c r="N3621" s="1178"/>
      <c r="O3621" s="1178">
        <v>6</v>
      </c>
      <c r="P3621" s="1178">
        <v>14.5</v>
      </c>
    </row>
    <row r="3622" spans="1:16">
      <c r="A3622" s="1178" t="s">
        <v>359</v>
      </c>
      <c r="B3622" s="1371" t="str">
        <f>HYPERLINK(IFERROR("#Main_Tariff!A"&amp;MATCH(Raeburn_Main_Tariff[[#This Row],[Product Code]],Main_Tariff!I:I,0),"#Main_Tariff!A"&amp;MATCH("*"&amp;RIGHT(A3622,8)&amp;"*",Main_Tariff!A:A,0)),Raeburn_Main_Tariff[[#This Row],[PRODUCER]])</f>
        <v>Fratelli Alessandria</v>
      </c>
      <c r="C3622" s="1178" t="s">
        <v>21779</v>
      </c>
      <c r="D3622" s="1178" t="s">
        <v>897</v>
      </c>
      <c r="E3622" s="1179">
        <v>2018</v>
      </c>
      <c r="F3622" s="1282" t="s">
        <v>20220</v>
      </c>
      <c r="G3622" s="1368" t="s">
        <v>5258</v>
      </c>
      <c r="H3622" s="1178" t="s">
        <v>20221</v>
      </c>
      <c r="I3622" s="1178" t="s">
        <v>11000</v>
      </c>
      <c r="J3622" s="1178" t="s">
        <v>668</v>
      </c>
      <c r="K3622" s="1178" t="s">
        <v>350</v>
      </c>
      <c r="L3622" s="1178" t="s">
        <v>351</v>
      </c>
      <c r="M3622" s="1369"/>
      <c r="N3622" s="1178"/>
      <c r="O3622" s="1178">
        <v>6</v>
      </c>
      <c r="P3622" s="1178">
        <v>14.5</v>
      </c>
    </row>
    <row r="3623" spans="1:16">
      <c r="A3623" s="1178" t="s">
        <v>359</v>
      </c>
      <c r="B3623" s="1371" t="str">
        <f>HYPERLINK(IFERROR("#Main_Tariff!A"&amp;MATCH(Raeburn_Main_Tariff[[#This Row],[Product Code]],Main_Tariff!I:I,0),"#Main_Tariff!A"&amp;MATCH("*"&amp;RIGHT(A3623,8)&amp;"*",Main_Tariff!A:A,0)),Raeburn_Main_Tariff[[#This Row],[PRODUCER]])</f>
        <v>Fratelli Alessandria</v>
      </c>
      <c r="C3623" s="1178" t="s">
        <v>21779</v>
      </c>
      <c r="D3623" s="1178" t="s">
        <v>897</v>
      </c>
      <c r="E3623" s="1179">
        <v>2015</v>
      </c>
      <c r="F3623" s="1282" t="s">
        <v>20220</v>
      </c>
      <c r="G3623" s="1368" t="s">
        <v>5258</v>
      </c>
      <c r="H3623" s="1178" t="s">
        <v>20221</v>
      </c>
      <c r="I3623" s="1178" t="s">
        <v>11002</v>
      </c>
      <c r="J3623" s="1178" t="s">
        <v>668</v>
      </c>
      <c r="K3623" s="1178" t="s">
        <v>350</v>
      </c>
      <c r="L3623" s="1178" t="s">
        <v>351</v>
      </c>
      <c r="M3623" s="1369"/>
      <c r="N3623" s="1178"/>
      <c r="O3623" s="1178">
        <v>6</v>
      </c>
      <c r="P3623" s="1178">
        <v>14.5</v>
      </c>
    </row>
    <row r="3624" spans="1:16">
      <c r="A3624" s="1178" t="s">
        <v>359</v>
      </c>
      <c r="B3624" s="1371" t="str">
        <f>HYPERLINK(IFERROR("#Main_Tariff!A"&amp;MATCH(Raeburn_Main_Tariff[[#This Row],[Product Code]],Main_Tariff!I:I,0),"#Main_Tariff!A"&amp;MATCH("*"&amp;RIGHT(A3624,8)&amp;"*",Main_Tariff!A:A,0)),Raeburn_Main_Tariff[[#This Row],[PRODUCER]])</f>
        <v>Fratelli Alessandria</v>
      </c>
      <c r="C3624" s="1178" t="s">
        <v>21726</v>
      </c>
      <c r="D3624" s="1178" t="s">
        <v>897</v>
      </c>
      <c r="E3624" s="1179">
        <v>2020</v>
      </c>
      <c r="F3624" s="1282" t="s">
        <v>20220</v>
      </c>
      <c r="G3624" s="1368" t="s">
        <v>5258</v>
      </c>
      <c r="H3624" s="1178" t="s">
        <v>20221</v>
      </c>
      <c r="I3624" s="1178" t="s">
        <v>11004</v>
      </c>
      <c r="J3624" s="1178" t="s">
        <v>668</v>
      </c>
      <c r="K3624" s="1178" t="s">
        <v>350</v>
      </c>
      <c r="L3624" s="1178" t="s">
        <v>351</v>
      </c>
      <c r="M3624" s="1369"/>
      <c r="N3624" s="1178"/>
      <c r="O3624" s="1178">
        <v>6</v>
      </c>
      <c r="P3624" s="1178">
        <v>14.5</v>
      </c>
    </row>
    <row r="3625" spans="1:16">
      <c r="A3625" s="1178" t="s">
        <v>359</v>
      </c>
      <c r="B3625" s="1371" t="str">
        <f>HYPERLINK(IFERROR("#Main_Tariff!A"&amp;MATCH(Raeburn_Main_Tariff[[#This Row],[Product Code]],Main_Tariff!I:I,0),"#Main_Tariff!A"&amp;MATCH("*"&amp;RIGHT(A3625,8)&amp;"*",Main_Tariff!A:A,0)),Raeburn_Main_Tariff[[#This Row],[PRODUCER]])</f>
        <v>Fratelli Alessandria</v>
      </c>
      <c r="C3625" s="1178" t="s">
        <v>21726</v>
      </c>
      <c r="D3625" s="1178" t="s">
        <v>897</v>
      </c>
      <c r="E3625" s="1179">
        <v>2019</v>
      </c>
      <c r="F3625" s="1282" t="s">
        <v>20220</v>
      </c>
      <c r="G3625" s="1368" t="s">
        <v>5258</v>
      </c>
      <c r="H3625" s="1178" t="s">
        <v>20221</v>
      </c>
      <c r="I3625" s="1178" t="s">
        <v>11005</v>
      </c>
      <c r="J3625" s="1178" t="s">
        <v>668</v>
      </c>
      <c r="K3625" s="1178" t="s">
        <v>350</v>
      </c>
      <c r="L3625" s="1178" t="s">
        <v>351</v>
      </c>
      <c r="M3625" s="1369"/>
      <c r="N3625" s="1178"/>
      <c r="O3625" s="1178">
        <v>6</v>
      </c>
      <c r="P3625" s="1178">
        <v>14.5</v>
      </c>
    </row>
    <row r="3626" spans="1:16">
      <c r="A3626" s="1178" t="s">
        <v>359</v>
      </c>
      <c r="B3626" s="1371" t="str">
        <f>HYPERLINK(IFERROR("#Main_Tariff!A"&amp;MATCH(Raeburn_Main_Tariff[[#This Row],[Product Code]],Main_Tariff!I:I,0),"#Main_Tariff!A"&amp;MATCH("*"&amp;RIGHT(A3626,8)&amp;"*",Main_Tariff!A:A,0)),Raeburn_Main_Tariff[[#This Row],[PRODUCER]])</f>
        <v>Fratelli Alessandria</v>
      </c>
      <c r="C3626" s="1178" t="s">
        <v>21726</v>
      </c>
      <c r="D3626" s="1178" t="s">
        <v>897</v>
      </c>
      <c r="E3626" s="1179">
        <v>2018</v>
      </c>
      <c r="F3626" s="1282" t="s">
        <v>20220</v>
      </c>
      <c r="G3626" s="1368" t="s">
        <v>5258</v>
      </c>
      <c r="H3626" s="1178" t="s">
        <v>20221</v>
      </c>
      <c r="I3626" s="1178" t="s">
        <v>11007</v>
      </c>
      <c r="J3626" s="1178" t="s">
        <v>668</v>
      </c>
      <c r="K3626" s="1178" t="s">
        <v>350</v>
      </c>
      <c r="L3626" s="1178" t="s">
        <v>351</v>
      </c>
      <c r="M3626" s="1369"/>
      <c r="N3626" s="1178"/>
      <c r="O3626" s="1178">
        <v>6</v>
      </c>
      <c r="P3626" s="1178">
        <v>15</v>
      </c>
    </row>
    <row r="3627" spans="1:16">
      <c r="A3627" s="1178" t="s">
        <v>359</v>
      </c>
      <c r="B3627" s="1371" t="str">
        <f>HYPERLINK(IFERROR("#Main_Tariff!A"&amp;MATCH(Raeburn_Main_Tariff[[#This Row],[Product Code]],Main_Tariff!I:I,0),"#Main_Tariff!A"&amp;MATCH("*"&amp;RIGHT(A3627,8)&amp;"*",Main_Tariff!A:A,0)),Raeburn_Main_Tariff[[#This Row],[PRODUCER]])</f>
        <v>Fratelli Alessandria</v>
      </c>
      <c r="C3627" s="1178" t="s">
        <v>21726</v>
      </c>
      <c r="D3627" s="1178" t="s">
        <v>897</v>
      </c>
      <c r="E3627" s="1179">
        <v>2015</v>
      </c>
      <c r="F3627" s="1282" t="s">
        <v>20220</v>
      </c>
      <c r="G3627" s="1368" t="s">
        <v>5258</v>
      </c>
      <c r="H3627" s="1178" t="s">
        <v>20221</v>
      </c>
      <c r="I3627" s="1178" t="s">
        <v>11009</v>
      </c>
      <c r="J3627" s="1178" t="s">
        <v>668</v>
      </c>
      <c r="K3627" s="1178" t="s">
        <v>350</v>
      </c>
      <c r="L3627" s="1178" t="s">
        <v>351</v>
      </c>
      <c r="M3627" s="1369"/>
      <c r="N3627" s="1178"/>
      <c r="O3627" s="1178">
        <v>6</v>
      </c>
      <c r="P3627" s="1178">
        <v>13</v>
      </c>
    </row>
    <row r="3628" spans="1:16">
      <c r="A3628" s="1178" t="s">
        <v>359</v>
      </c>
      <c r="B3628" s="1371" t="str">
        <f>HYPERLINK(IFERROR("#Main_Tariff!A"&amp;MATCH(Raeburn_Main_Tariff[[#This Row],[Product Code]],Main_Tariff!I:I,0),"#Main_Tariff!A"&amp;MATCH("*"&amp;RIGHT(A3628,8)&amp;"*",Main_Tariff!A:A,0)),Raeburn_Main_Tariff[[#This Row],[PRODUCER]])</f>
        <v>Fratelli Alessandria</v>
      </c>
      <c r="C3628" s="1178" t="s">
        <v>21780</v>
      </c>
      <c r="D3628" s="1178" t="s">
        <v>897</v>
      </c>
      <c r="E3628" s="1179">
        <v>2020</v>
      </c>
      <c r="F3628" s="1282" t="s">
        <v>20240</v>
      </c>
      <c r="G3628" s="1368">
        <v>100</v>
      </c>
      <c r="H3628" s="1178" t="s">
        <v>20224</v>
      </c>
      <c r="I3628" s="1178" t="s">
        <v>11013</v>
      </c>
      <c r="J3628" s="1178" t="s">
        <v>668</v>
      </c>
      <c r="K3628" s="1178" t="s">
        <v>350</v>
      </c>
      <c r="L3628" s="1178" t="s">
        <v>351</v>
      </c>
      <c r="M3628" s="1369"/>
      <c r="N3628" s="1178"/>
      <c r="O3628" s="1178">
        <v>3</v>
      </c>
      <c r="P3628" s="1178">
        <v>14.5</v>
      </c>
    </row>
    <row r="3629" spans="1:16">
      <c r="A3629" s="1178" t="s">
        <v>359</v>
      </c>
      <c r="B3629" s="1371" t="str">
        <f>HYPERLINK(IFERROR("#Main_Tariff!A"&amp;MATCH(Raeburn_Main_Tariff[[#This Row],[Product Code]],Main_Tariff!I:I,0),"#Main_Tariff!A"&amp;MATCH("*"&amp;RIGHT(A3629,8)&amp;"*",Main_Tariff!A:A,0)),Raeburn_Main_Tariff[[#This Row],[PRODUCER]])</f>
        <v>Fratelli Alessandria</v>
      </c>
      <c r="C3629" s="1178" t="s">
        <v>21780</v>
      </c>
      <c r="D3629" s="1178" t="s">
        <v>897</v>
      </c>
      <c r="E3629" s="1179">
        <v>2019</v>
      </c>
      <c r="F3629" s="1282" t="s">
        <v>20240</v>
      </c>
      <c r="G3629" s="1368">
        <v>93.5</v>
      </c>
      <c r="H3629" s="1178" t="s">
        <v>20224</v>
      </c>
      <c r="I3629" s="1178" t="s">
        <v>11015</v>
      </c>
      <c r="J3629" s="1178" t="s">
        <v>668</v>
      </c>
      <c r="K3629" s="1178" t="s">
        <v>350</v>
      </c>
      <c r="L3629" s="1178" t="s">
        <v>351</v>
      </c>
      <c r="M3629" s="1369"/>
      <c r="N3629" s="1178"/>
      <c r="O3629" s="1178">
        <v>3</v>
      </c>
      <c r="P3629" s="1178">
        <v>14.5</v>
      </c>
    </row>
    <row r="3630" spans="1:16">
      <c r="A3630" s="1178" t="s">
        <v>359</v>
      </c>
      <c r="B3630" s="1371" t="str">
        <f>HYPERLINK(IFERROR("#Main_Tariff!A"&amp;MATCH(Raeburn_Main_Tariff[[#This Row],[Product Code]],Main_Tariff!I:I,0),"#Main_Tariff!A"&amp;MATCH("*"&amp;RIGHT(A3630,8)&amp;"*",Main_Tariff!A:A,0)),Raeburn_Main_Tariff[[#This Row],[PRODUCER]])</f>
        <v>Fratelli Alessandria</v>
      </c>
      <c r="C3630" s="1178" t="s">
        <v>21780</v>
      </c>
      <c r="D3630" s="1178" t="s">
        <v>897</v>
      </c>
      <c r="E3630" s="1179">
        <v>2018</v>
      </c>
      <c r="F3630" s="1282" t="s">
        <v>20240</v>
      </c>
      <c r="G3630" s="1368">
        <v>87</v>
      </c>
      <c r="H3630" s="1178" t="s">
        <v>20224</v>
      </c>
      <c r="I3630" s="1178" t="s">
        <v>11017</v>
      </c>
      <c r="J3630" s="1178" t="s">
        <v>668</v>
      </c>
      <c r="K3630" s="1178" t="s">
        <v>350</v>
      </c>
      <c r="L3630" s="1178" t="s">
        <v>351</v>
      </c>
      <c r="M3630" s="1369"/>
      <c r="N3630" s="1178"/>
      <c r="O3630" s="1178">
        <v>3</v>
      </c>
      <c r="P3630" s="1178">
        <v>14.5</v>
      </c>
    </row>
    <row r="3631" spans="1:16">
      <c r="A3631" s="1178" t="s">
        <v>359</v>
      </c>
      <c r="B3631" s="1371" t="str">
        <f>HYPERLINK(IFERROR("#Main_Tariff!A"&amp;MATCH(Raeburn_Main_Tariff[[#This Row],[Product Code]],Main_Tariff!I:I,0),"#Main_Tariff!A"&amp;MATCH("*"&amp;RIGHT(A3631,8)&amp;"*",Main_Tariff!A:A,0)),Raeburn_Main_Tariff[[#This Row],[PRODUCER]])</f>
        <v>Fratelli Alessandria</v>
      </c>
      <c r="C3631" s="1178" t="s">
        <v>21780</v>
      </c>
      <c r="D3631" s="1178" t="s">
        <v>897</v>
      </c>
      <c r="E3631" s="1179">
        <v>2017</v>
      </c>
      <c r="F3631" s="1282" t="s">
        <v>20240</v>
      </c>
      <c r="G3631" s="1368">
        <v>87</v>
      </c>
      <c r="H3631" s="1178" t="s">
        <v>20224</v>
      </c>
      <c r="I3631" s="1178" t="s">
        <v>11019</v>
      </c>
      <c r="J3631" s="1178" t="s">
        <v>668</v>
      </c>
      <c r="K3631" s="1178" t="s">
        <v>350</v>
      </c>
      <c r="L3631" s="1178" t="s">
        <v>351</v>
      </c>
      <c r="M3631" s="1369"/>
      <c r="N3631" s="1178"/>
      <c r="O3631" s="1178">
        <v>3</v>
      </c>
      <c r="P3631" s="1178">
        <v>15</v>
      </c>
    </row>
    <row r="3632" spans="1:16">
      <c r="A3632" s="1178" t="s">
        <v>359</v>
      </c>
      <c r="B3632" s="1371" t="str">
        <f>HYPERLINK(IFERROR("#Main_Tariff!A"&amp;MATCH(Raeburn_Main_Tariff[[#This Row],[Product Code]],Main_Tariff!I:I,0),"#Main_Tariff!A"&amp;MATCH("*"&amp;RIGHT(A3632,8)&amp;"*",Main_Tariff!A:A,0)),Raeburn_Main_Tariff[[#This Row],[PRODUCER]])</f>
        <v>Fratelli Alessandria</v>
      </c>
      <c r="C3632" s="1178" t="s">
        <v>21781</v>
      </c>
      <c r="D3632" s="1178" t="s">
        <v>897</v>
      </c>
      <c r="E3632" s="1179">
        <v>2020</v>
      </c>
      <c r="F3632" s="1282" t="s">
        <v>20240</v>
      </c>
      <c r="G3632" s="1368" t="s">
        <v>5258</v>
      </c>
      <c r="H3632" s="1178" t="s">
        <v>20224</v>
      </c>
      <c r="I3632" s="1178" t="s">
        <v>11023</v>
      </c>
      <c r="J3632" s="1178" t="s">
        <v>668</v>
      </c>
      <c r="K3632" s="1178" t="s">
        <v>350</v>
      </c>
      <c r="L3632" s="1178" t="s">
        <v>351</v>
      </c>
      <c r="M3632" s="1369"/>
      <c r="N3632" s="1178"/>
      <c r="O3632" s="1178">
        <v>3</v>
      </c>
      <c r="P3632" s="1178">
        <v>14.5</v>
      </c>
    </row>
    <row r="3633" spans="1:16">
      <c r="A3633" s="1178" t="s">
        <v>359</v>
      </c>
      <c r="B3633" s="1371" t="str">
        <f>HYPERLINK(IFERROR("#Main_Tariff!A"&amp;MATCH(Raeburn_Main_Tariff[[#This Row],[Product Code]],Main_Tariff!I:I,0),"#Main_Tariff!A"&amp;MATCH("*"&amp;RIGHT(A3633,8)&amp;"*",Main_Tariff!A:A,0)),Raeburn_Main_Tariff[[#This Row],[PRODUCER]])</f>
        <v>Fratelli Alessandria</v>
      </c>
      <c r="C3633" s="1178" t="s">
        <v>21781</v>
      </c>
      <c r="D3633" s="1178" t="s">
        <v>897</v>
      </c>
      <c r="E3633" s="1179">
        <v>2019</v>
      </c>
      <c r="F3633" s="1282" t="s">
        <v>20240</v>
      </c>
      <c r="G3633" s="1368" t="s">
        <v>5258</v>
      </c>
      <c r="H3633" s="1178" t="s">
        <v>20224</v>
      </c>
      <c r="I3633" s="1178" t="s">
        <v>11025</v>
      </c>
      <c r="J3633" s="1178" t="s">
        <v>668</v>
      </c>
      <c r="K3633" s="1178" t="s">
        <v>350</v>
      </c>
      <c r="L3633" s="1178" t="s">
        <v>351</v>
      </c>
      <c r="M3633" s="1369"/>
      <c r="N3633" s="1178"/>
      <c r="O3633" s="1178">
        <v>3</v>
      </c>
      <c r="P3633" s="1178">
        <v>14.5</v>
      </c>
    </row>
    <row r="3634" spans="1:16">
      <c r="A3634" s="1178" t="s">
        <v>359</v>
      </c>
      <c r="B3634" s="1371" t="str">
        <f>HYPERLINK(IFERROR("#Main_Tariff!A"&amp;MATCH(Raeburn_Main_Tariff[[#This Row],[Product Code]],Main_Tariff!I:I,0),"#Main_Tariff!A"&amp;MATCH("*"&amp;RIGHT(A3634,8)&amp;"*",Main_Tariff!A:A,0)),Raeburn_Main_Tariff[[#This Row],[PRODUCER]])</f>
        <v>Fratelli Alessandria</v>
      </c>
      <c r="C3634" s="1178" t="s">
        <v>21781</v>
      </c>
      <c r="D3634" s="1178" t="s">
        <v>897</v>
      </c>
      <c r="E3634" s="1179">
        <v>2018</v>
      </c>
      <c r="F3634" s="1282" t="s">
        <v>20240</v>
      </c>
      <c r="G3634" s="1368" t="s">
        <v>5258</v>
      </c>
      <c r="H3634" s="1178" t="s">
        <v>20224</v>
      </c>
      <c r="I3634" s="1178" t="s">
        <v>11027</v>
      </c>
      <c r="J3634" s="1178" t="s">
        <v>668</v>
      </c>
      <c r="K3634" s="1178" t="s">
        <v>350</v>
      </c>
      <c r="L3634" s="1178" t="s">
        <v>351</v>
      </c>
      <c r="M3634" s="1369"/>
      <c r="N3634" s="1178"/>
      <c r="O3634" s="1178">
        <v>3</v>
      </c>
      <c r="P3634" s="1178">
        <v>15</v>
      </c>
    </row>
    <row r="3635" spans="1:16">
      <c r="A3635" s="1178" t="s">
        <v>359</v>
      </c>
      <c r="B3635" s="1371" t="str">
        <f>HYPERLINK(IFERROR("#Main_Tariff!A"&amp;MATCH(Raeburn_Main_Tariff[[#This Row],[Product Code]],Main_Tariff!I:I,0),"#Main_Tariff!A"&amp;MATCH("*"&amp;RIGHT(A3635,8)&amp;"*",Main_Tariff!A:A,0)),Raeburn_Main_Tariff[[#This Row],[PRODUCER]])</f>
        <v>Fratelli Alessandria</v>
      </c>
      <c r="C3635" s="1178" t="s">
        <v>21782</v>
      </c>
      <c r="D3635" s="1178" t="s">
        <v>897</v>
      </c>
      <c r="E3635" s="1179">
        <v>2020</v>
      </c>
      <c r="F3635" s="1282" t="s">
        <v>20240</v>
      </c>
      <c r="G3635" s="1368" t="s">
        <v>5258</v>
      </c>
      <c r="H3635" s="1178" t="s">
        <v>20224</v>
      </c>
      <c r="I3635" s="1178" t="s">
        <v>11029</v>
      </c>
      <c r="J3635" s="1178" t="s">
        <v>668</v>
      </c>
      <c r="K3635" s="1178" t="s">
        <v>350</v>
      </c>
      <c r="L3635" s="1178" t="s">
        <v>351</v>
      </c>
      <c r="M3635" s="1369"/>
      <c r="N3635" s="1178"/>
      <c r="O3635" s="1178">
        <v>3</v>
      </c>
      <c r="P3635" s="1178">
        <v>14.5</v>
      </c>
    </row>
    <row r="3636" spans="1:16">
      <c r="A3636" s="1178" t="s">
        <v>359</v>
      </c>
      <c r="B3636" s="1371" t="str">
        <f>HYPERLINK(IFERROR("#Main_Tariff!A"&amp;MATCH(Raeburn_Main_Tariff[[#This Row],[Product Code]],Main_Tariff!I:I,0),"#Main_Tariff!A"&amp;MATCH("*"&amp;RIGHT(A3636,8)&amp;"*",Main_Tariff!A:A,0)),Raeburn_Main_Tariff[[#This Row],[PRODUCER]])</f>
        <v>Fratelli Alessandria</v>
      </c>
      <c r="C3636" s="1178" t="s">
        <v>21782</v>
      </c>
      <c r="D3636" s="1178" t="s">
        <v>897</v>
      </c>
      <c r="E3636" s="1179">
        <v>2019</v>
      </c>
      <c r="F3636" s="1282" t="s">
        <v>20240</v>
      </c>
      <c r="G3636" s="1368" t="s">
        <v>5258</v>
      </c>
      <c r="H3636" s="1178" t="s">
        <v>20224</v>
      </c>
      <c r="I3636" s="1178" t="s">
        <v>11031</v>
      </c>
      <c r="J3636" s="1178" t="s">
        <v>668</v>
      </c>
      <c r="K3636" s="1178" t="s">
        <v>350</v>
      </c>
      <c r="L3636" s="1178" t="s">
        <v>351</v>
      </c>
      <c r="M3636" s="1369"/>
      <c r="N3636" s="1178"/>
      <c r="O3636" s="1178">
        <v>3</v>
      </c>
      <c r="P3636" s="1178">
        <v>14.5</v>
      </c>
    </row>
    <row r="3637" spans="1:16">
      <c r="A3637" s="1178" t="s">
        <v>359</v>
      </c>
      <c r="B3637" s="1371" t="str">
        <f>HYPERLINK(IFERROR("#Main_Tariff!A"&amp;MATCH(Raeburn_Main_Tariff[[#This Row],[Product Code]],Main_Tariff!I:I,0),"#Main_Tariff!A"&amp;MATCH("*"&amp;RIGHT(A3637,8)&amp;"*",Main_Tariff!A:A,0)),Raeburn_Main_Tariff[[#This Row],[PRODUCER]])</f>
        <v>Fratelli Alessandria</v>
      </c>
      <c r="C3637" s="1178" t="s">
        <v>21782</v>
      </c>
      <c r="D3637" s="1178" t="s">
        <v>897</v>
      </c>
      <c r="E3637" s="1179">
        <v>2018</v>
      </c>
      <c r="F3637" s="1282" t="s">
        <v>20240</v>
      </c>
      <c r="G3637" s="1368" t="s">
        <v>5258</v>
      </c>
      <c r="H3637" s="1178" t="s">
        <v>20224</v>
      </c>
      <c r="I3637" s="1178" t="s">
        <v>11033</v>
      </c>
      <c r="J3637" s="1178" t="s">
        <v>668</v>
      </c>
      <c r="K3637" s="1178" t="s">
        <v>350</v>
      </c>
      <c r="L3637" s="1178" t="s">
        <v>351</v>
      </c>
      <c r="M3637" s="1369"/>
      <c r="N3637" s="1178"/>
      <c r="O3637" s="1178">
        <v>3</v>
      </c>
      <c r="P3637" s="1178">
        <v>14.5</v>
      </c>
    </row>
    <row r="3638" spans="1:16">
      <c r="A3638" s="1178" t="s">
        <v>359</v>
      </c>
      <c r="B3638" s="1371" t="str">
        <f>HYPERLINK(IFERROR("#Main_Tariff!A"&amp;MATCH(Raeburn_Main_Tariff[[#This Row],[Product Code]],Main_Tariff!I:I,0),"#Main_Tariff!A"&amp;MATCH("*"&amp;RIGHT(A3638,8)&amp;"*",Main_Tariff!A:A,0)),Raeburn_Main_Tariff[[#This Row],[PRODUCER]])</f>
        <v>Fratelli Alessandria</v>
      </c>
      <c r="C3638" s="1178" t="s">
        <v>21729</v>
      </c>
      <c r="D3638" s="1178" t="s">
        <v>897</v>
      </c>
      <c r="E3638" s="1179">
        <v>2020</v>
      </c>
      <c r="F3638" s="1282" t="s">
        <v>20240</v>
      </c>
      <c r="G3638" s="1368" t="s">
        <v>5258</v>
      </c>
      <c r="H3638" s="1178" t="s">
        <v>20224</v>
      </c>
      <c r="I3638" s="1178" t="s">
        <v>11035</v>
      </c>
      <c r="J3638" s="1178" t="s">
        <v>668</v>
      </c>
      <c r="K3638" s="1178" t="s">
        <v>350</v>
      </c>
      <c r="L3638" s="1178" t="s">
        <v>351</v>
      </c>
      <c r="M3638" s="1369"/>
      <c r="N3638" s="1178"/>
      <c r="O3638" s="1178">
        <v>3</v>
      </c>
      <c r="P3638" s="1178">
        <v>14.5</v>
      </c>
    </row>
    <row r="3639" spans="1:16">
      <c r="A3639" s="1178" t="s">
        <v>359</v>
      </c>
      <c r="B3639" s="1371" t="str">
        <f>HYPERLINK(IFERROR("#Main_Tariff!A"&amp;MATCH(Raeburn_Main_Tariff[[#This Row],[Product Code]],Main_Tariff!I:I,0),"#Main_Tariff!A"&amp;MATCH("*"&amp;RIGHT(A3639,8)&amp;"*",Main_Tariff!A:A,0)),Raeburn_Main_Tariff[[#This Row],[PRODUCER]])</f>
        <v>Fratelli Alessandria</v>
      </c>
      <c r="C3639" s="1178" t="s">
        <v>21729</v>
      </c>
      <c r="D3639" s="1178" t="s">
        <v>897</v>
      </c>
      <c r="E3639" s="1179">
        <v>2019</v>
      </c>
      <c r="F3639" s="1282" t="s">
        <v>20240</v>
      </c>
      <c r="G3639" s="1368" t="s">
        <v>5258</v>
      </c>
      <c r="H3639" s="1178" t="s">
        <v>20224</v>
      </c>
      <c r="I3639" s="1178" t="s">
        <v>11037</v>
      </c>
      <c r="J3639" s="1178" t="s">
        <v>668</v>
      </c>
      <c r="K3639" s="1178" t="s">
        <v>350</v>
      </c>
      <c r="L3639" s="1178" t="s">
        <v>351</v>
      </c>
      <c r="M3639" s="1369"/>
      <c r="N3639" s="1178"/>
      <c r="O3639" s="1178">
        <v>3</v>
      </c>
      <c r="P3639" s="1178">
        <v>14.5</v>
      </c>
    </row>
    <row r="3640" spans="1:16">
      <c r="A3640" s="1178" t="s">
        <v>359</v>
      </c>
      <c r="B3640" s="1371" t="str">
        <f>HYPERLINK(IFERROR("#Main_Tariff!A"&amp;MATCH(Raeburn_Main_Tariff[[#This Row],[Product Code]],Main_Tariff!I:I,0),"#Main_Tariff!A"&amp;MATCH("*"&amp;RIGHT(A3640,8)&amp;"*",Main_Tariff!A:A,0)),Raeburn_Main_Tariff[[#This Row],[PRODUCER]])</f>
        <v>Fratelli Alessandria</v>
      </c>
      <c r="C3640" s="1178" t="s">
        <v>21729</v>
      </c>
      <c r="D3640" s="1178" t="s">
        <v>897</v>
      </c>
      <c r="E3640" s="1179">
        <v>2018</v>
      </c>
      <c r="F3640" s="1282" t="s">
        <v>20240</v>
      </c>
      <c r="G3640" s="1368" t="s">
        <v>5258</v>
      </c>
      <c r="H3640" s="1178" t="s">
        <v>20224</v>
      </c>
      <c r="I3640" s="1178" t="s">
        <v>11039</v>
      </c>
      <c r="J3640" s="1178" t="s">
        <v>668</v>
      </c>
      <c r="K3640" s="1178" t="s">
        <v>350</v>
      </c>
      <c r="L3640" s="1178" t="s">
        <v>351</v>
      </c>
      <c r="M3640" s="1369"/>
      <c r="N3640" s="1178"/>
      <c r="O3640" s="1178">
        <v>3</v>
      </c>
      <c r="P3640" s="1178">
        <v>15</v>
      </c>
    </row>
    <row r="3641" spans="1:16">
      <c r="A3641" s="1178" t="s">
        <v>360</v>
      </c>
      <c r="B3641" s="1371" t="str">
        <f>HYPERLINK(IFERROR("#Main_Tariff!A"&amp;MATCH(Raeburn_Main_Tariff[[#This Row],[Product Code]],Main_Tariff!I:I,0),"#Main_Tariff!A"&amp;MATCH("*"&amp;RIGHT(A3641,8)&amp;"*",Main_Tariff!A:A,0)),Raeburn_Main_Tariff[[#This Row],[PRODUCER]])</f>
        <v>Cascina Gramolere</v>
      </c>
      <c r="C3641" s="1178" t="s">
        <v>18747</v>
      </c>
      <c r="D3641" s="1178" t="s">
        <v>897</v>
      </c>
      <c r="E3641" s="1179">
        <v>2018</v>
      </c>
      <c r="F3641" s="1282" t="s">
        <v>20220</v>
      </c>
      <c r="G3641" s="1368">
        <v>36</v>
      </c>
      <c r="H3641" s="1178" t="s">
        <v>20221</v>
      </c>
      <c r="I3641" s="1178" t="s">
        <v>11045</v>
      </c>
      <c r="J3641" s="1178" t="s">
        <v>668</v>
      </c>
      <c r="K3641" s="1178" t="s">
        <v>350</v>
      </c>
      <c r="L3641" s="1178" t="s">
        <v>351</v>
      </c>
      <c r="M3641" s="1369"/>
      <c r="N3641" s="1178"/>
      <c r="O3641" s="1178">
        <v>12</v>
      </c>
      <c r="P3641" s="1178">
        <v>14.5</v>
      </c>
    </row>
    <row r="3642" spans="1:16">
      <c r="A3642" s="1178" t="s">
        <v>361</v>
      </c>
      <c r="B3642" s="1371" t="str">
        <f>HYPERLINK(IFERROR("#Main_Tariff!A"&amp;MATCH(Raeburn_Main_Tariff[[#This Row],[Product Code]],Main_Tariff!I:I,0),"#Main_Tariff!A"&amp;MATCH("*"&amp;RIGHT(A3642,8)&amp;"*",Main_Tariff!A:A,0)),Raeburn_Main_Tariff[[#This Row],[PRODUCER]])</f>
        <v>La Briccolina</v>
      </c>
      <c r="C3642" s="1178" t="s">
        <v>21783</v>
      </c>
      <c r="D3642" s="1178" t="s">
        <v>897</v>
      </c>
      <c r="E3642" s="1179">
        <v>2020</v>
      </c>
      <c r="F3642" s="1282" t="s">
        <v>20220</v>
      </c>
      <c r="G3642" s="1368">
        <v>52</v>
      </c>
      <c r="H3642" s="1178" t="s">
        <v>20221</v>
      </c>
      <c r="I3642" s="1178" t="s">
        <v>11104</v>
      </c>
      <c r="J3642" s="1178" t="s">
        <v>668</v>
      </c>
      <c r="K3642" s="1178" t="s">
        <v>350</v>
      </c>
      <c r="L3642" s="1178" t="s">
        <v>351</v>
      </c>
      <c r="M3642" s="1369"/>
      <c r="N3642" s="1178"/>
      <c r="O3642" s="1178">
        <v>6</v>
      </c>
      <c r="P3642" s="1178">
        <v>14.5</v>
      </c>
    </row>
    <row r="3643" spans="1:16">
      <c r="A3643" s="1178" t="s">
        <v>361</v>
      </c>
      <c r="B3643" s="1371" t="str">
        <f>HYPERLINK(IFERROR("#Main_Tariff!A"&amp;MATCH(Raeburn_Main_Tariff[[#This Row],[Product Code]],Main_Tariff!I:I,0),"#Main_Tariff!A"&amp;MATCH("*"&amp;RIGHT(A3643,8)&amp;"*",Main_Tariff!A:A,0)),Raeburn_Main_Tariff[[#This Row],[PRODUCER]])</f>
        <v>La Briccolina</v>
      </c>
      <c r="C3643" s="1178" t="s">
        <v>21783</v>
      </c>
      <c r="D3643" s="1178" t="s">
        <v>897</v>
      </c>
      <c r="E3643" s="1179">
        <v>2019</v>
      </c>
      <c r="F3643" s="1282" t="s">
        <v>20220</v>
      </c>
      <c r="G3643" s="1368" t="s">
        <v>5258</v>
      </c>
      <c r="H3643" s="1178" t="s">
        <v>20221</v>
      </c>
      <c r="I3643" s="1178" t="s">
        <v>11106</v>
      </c>
      <c r="J3643" s="1178" t="s">
        <v>668</v>
      </c>
      <c r="K3643" s="1178" t="s">
        <v>350</v>
      </c>
      <c r="L3643" s="1178" t="s">
        <v>351</v>
      </c>
      <c r="M3643" s="1369"/>
      <c r="N3643" s="1178"/>
      <c r="O3643" s="1178">
        <v>6</v>
      </c>
      <c r="P3643" s="1178">
        <v>14.5</v>
      </c>
    </row>
    <row r="3644" spans="1:16">
      <c r="A3644" s="1178" t="s">
        <v>361</v>
      </c>
      <c r="B3644" s="1371" t="str">
        <f>HYPERLINK(IFERROR("#Main_Tariff!A"&amp;MATCH(Raeburn_Main_Tariff[[#This Row],[Product Code]],Main_Tariff!I:I,0),"#Main_Tariff!A"&amp;MATCH("*"&amp;RIGHT(A3644,8)&amp;"*",Main_Tariff!A:A,0)),Raeburn_Main_Tariff[[#This Row],[PRODUCER]])</f>
        <v>La Briccolina</v>
      </c>
      <c r="C3644" s="1178" t="s">
        <v>21783</v>
      </c>
      <c r="D3644" s="1178" t="s">
        <v>897</v>
      </c>
      <c r="E3644" s="1179">
        <v>2018</v>
      </c>
      <c r="F3644" s="1282" t="s">
        <v>20220</v>
      </c>
      <c r="G3644" s="1368">
        <v>49</v>
      </c>
      <c r="H3644" s="1178" t="s">
        <v>20221</v>
      </c>
      <c r="I3644" s="1178" t="s">
        <v>11108</v>
      </c>
      <c r="J3644" s="1178" t="s">
        <v>668</v>
      </c>
      <c r="K3644" s="1178" t="s">
        <v>350</v>
      </c>
      <c r="L3644" s="1178" t="s">
        <v>351</v>
      </c>
      <c r="M3644" s="1369"/>
      <c r="N3644" s="1178"/>
      <c r="O3644" s="1178">
        <v>6</v>
      </c>
      <c r="P3644" s="1178">
        <v>14.5</v>
      </c>
    </row>
    <row r="3645" spans="1:16">
      <c r="A3645" s="1178" t="s">
        <v>361</v>
      </c>
      <c r="B3645" s="1371" t="str">
        <f>HYPERLINK(IFERROR("#Main_Tariff!A"&amp;MATCH(Raeburn_Main_Tariff[[#This Row],[Product Code]],Main_Tariff!I:I,0),"#Main_Tariff!A"&amp;MATCH("*"&amp;RIGHT(A3645,8)&amp;"*",Main_Tariff!A:A,0)),Raeburn_Main_Tariff[[#This Row],[PRODUCER]])</f>
        <v>La Briccolina</v>
      </c>
      <c r="C3645" s="1178" t="s">
        <v>21783</v>
      </c>
      <c r="D3645" s="1178" t="s">
        <v>897</v>
      </c>
      <c r="E3645" s="1179">
        <v>2017</v>
      </c>
      <c r="F3645" s="1282" t="s">
        <v>20220</v>
      </c>
      <c r="G3645" s="1368">
        <v>49</v>
      </c>
      <c r="H3645" s="1178" t="s">
        <v>20221</v>
      </c>
      <c r="I3645" s="1178" t="s">
        <v>11110</v>
      </c>
      <c r="J3645" s="1178" t="s">
        <v>668</v>
      </c>
      <c r="K3645" s="1178" t="s">
        <v>350</v>
      </c>
      <c r="L3645" s="1178" t="s">
        <v>351</v>
      </c>
      <c r="M3645" s="1369"/>
      <c r="N3645" s="1178"/>
      <c r="O3645" s="1178">
        <v>6</v>
      </c>
      <c r="P3645" s="1178">
        <v>14.5</v>
      </c>
    </row>
    <row r="3646" spans="1:16">
      <c r="A3646" s="1178" t="s">
        <v>361</v>
      </c>
      <c r="B3646" s="1371" t="str">
        <f>HYPERLINK(IFERROR("#Main_Tariff!A"&amp;MATCH(Raeburn_Main_Tariff[[#This Row],[Product Code]],Main_Tariff!I:I,0),"#Main_Tariff!A"&amp;MATCH("*"&amp;RIGHT(A3646,8)&amp;"*",Main_Tariff!A:A,0)),Raeburn_Main_Tariff[[#This Row],[PRODUCER]])</f>
        <v>La Briccolina</v>
      </c>
      <c r="C3646" s="1178" t="s">
        <v>21784</v>
      </c>
      <c r="D3646" s="1178" t="s">
        <v>897</v>
      </c>
      <c r="E3646" s="1179">
        <v>2020</v>
      </c>
      <c r="F3646" s="1282" t="s">
        <v>20240</v>
      </c>
      <c r="G3646" s="1368">
        <v>114</v>
      </c>
      <c r="H3646" s="1178" t="s">
        <v>20224</v>
      </c>
      <c r="I3646" s="1178" t="s">
        <v>11112</v>
      </c>
      <c r="J3646" s="1178" t="s">
        <v>668</v>
      </c>
      <c r="K3646" s="1178" t="s">
        <v>350</v>
      </c>
      <c r="L3646" s="1178" t="s">
        <v>351</v>
      </c>
      <c r="M3646" s="1369"/>
      <c r="N3646" s="1178"/>
      <c r="O3646" s="1178">
        <v>1</v>
      </c>
      <c r="P3646" s="1178">
        <v>14.5</v>
      </c>
    </row>
    <row r="3647" spans="1:16">
      <c r="A3647" s="1178" t="s">
        <v>361</v>
      </c>
      <c r="B3647" s="1371" t="str">
        <f>HYPERLINK(IFERROR("#Main_Tariff!A"&amp;MATCH(Raeburn_Main_Tariff[[#This Row],[Product Code]],Main_Tariff!I:I,0),"#Main_Tariff!A"&amp;MATCH("*"&amp;RIGHT(A3647,8)&amp;"*",Main_Tariff!A:A,0)),Raeburn_Main_Tariff[[#This Row],[PRODUCER]])</f>
        <v>La Briccolina</v>
      </c>
      <c r="C3647" s="1178" t="s">
        <v>21784</v>
      </c>
      <c r="D3647" s="1178" t="s">
        <v>897</v>
      </c>
      <c r="E3647" s="1179">
        <v>2018</v>
      </c>
      <c r="F3647" s="1282" t="s">
        <v>20240</v>
      </c>
      <c r="G3647" s="1368">
        <v>103</v>
      </c>
      <c r="H3647" s="1178" t="s">
        <v>20224</v>
      </c>
      <c r="I3647" s="1178" t="s">
        <v>11114</v>
      </c>
      <c r="J3647" s="1178" t="s">
        <v>668</v>
      </c>
      <c r="K3647" s="1178" t="s">
        <v>350</v>
      </c>
      <c r="L3647" s="1178" t="s">
        <v>351</v>
      </c>
      <c r="M3647" s="1369"/>
      <c r="N3647" s="1178"/>
      <c r="O3647" s="1178">
        <v>1</v>
      </c>
      <c r="P3647" s="1178">
        <v>14.5</v>
      </c>
    </row>
    <row r="3648" spans="1:16">
      <c r="A3648" s="1178" t="s">
        <v>361</v>
      </c>
      <c r="B3648" s="1371" t="str">
        <f>HYPERLINK(IFERROR("#Main_Tariff!A"&amp;MATCH(Raeburn_Main_Tariff[[#This Row],[Product Code]],Main_Tariff!I:I,0),"#Main_Tariff!A"&amp;MATCH("*"&amp;RIGHT(A3648,8)&amp;"*",Main_Tariff!A:A,0)),Raeburn_Main_Tariff[[#This Row],[PRODUCER]])</f>
        <v>La Briccolina</v>
      </c>
      <c r="C3648" s="1178" t="s">
        <v>21784</v>
      </c>
      <c r="D3648" s="1178" t="s">
        <v>897</v>
      </c>
      <c r="E3648" s="1179">
        <v>2017</v>
      </c>
      <c r="F3648" s="1282" t="s">
        <v>20240</v>
      </c>
      <c r="G3648" s="1368">
        <v>103</v>
      </c>
      <c r="H3648" s="1178" t="s">
        <v>20224</v>
      </c>
      <c r="I3648" s="1178" t="s">
        <v>11115</v>
      </c>
      <c r="J3648" s="1178" t="s">
        <v>668</v>
      </c>
      <c r="K3648" s="1178" t="s">
        <v>350</v>
      </c>
      <c r="L3648" s="1178" t="s">
        <v>351</v>
      </c>
      <c r="M3648" s="1369"/>
      <c r="N3648" s="1178"/>
      <c r="O3648" s="1178">
        <v>1</v>
      </c>
      <c r="P3648" s="1178">
        <v>14.5</v>
      </c>
    </row>
    <row r="3649" spans="1:16">
      <c r="A3649" s="1178" t="s">
        <v>21785</v>
      </c>
      <c r="B3649" s="1371" t="str">
        <f>HYPERLINK(IFERROR("#Main_Tariff!A"&amp;MATCH(Raeburn_Main_Tariff[[#This Row],[Product Code]],Main_Tariff!I:I,0),"#Main_Tariff!A"&amp;MATCH("*"&amp;RIGHT(A3649,8)&amp;"*",Main_Tariff!A:A,0)),Raeburn_Main_Tariff[[#This Row],[PRODUCER]])</f>
        <v>Poderi Marcarini</v>
      </c>
      <c r="C3649" s="1178" t="s">
        <v>21786</v>
      </c>
      <c r="D3649" s="1178" t="s">
        <v>11144</v>
      </c>
      <c r="E3649" s="1179">
        <v>2022</v>
      </c>
      <c r="F3649" s="1282" t="s">
        <v>20220</v>
      </c>
      <c r="G3649" s="1368">
        <v>11</v>
      </c>
      <c r="H3649" s="1178" t="s">
        <v>20221</v>
      </c>
      <c r="I3649" s="1178" t="s">
        <v>11145</v>
      </c>
      <c r="J3649" s="1178" t="s">
        <v>668</v>
      </c>
      <c r="K3649" s="1178" t="s">
        <v>350</v>
      </c>
      <c r="L3649" s="1178" t="s">
        <v>351</v>
      </c>
      <c r="M3649" s="1369"/>
      <c r="N3649" s="1178"/>
      <c r="O3649" s="1178">
        <v>6</v>
      </c>
      <c r="P3649" s="1178">
        <v>5</v>
      </c>
    </row>
    <row r="3650" spans="1:16">
      <c r="A3650" s="1178" t="s">
        <v>21785</v>
      </c>
      <c r="B3650" s="1371" t="str">
        <f>HYPERLINK(IFERROR("#Main_Tariff!A"&amp;MATCH(Raeburn_Main_Tariff[[#This Row],[Product Code]],Main_Tariff!I:I,0),"#Main_Tariff!A"&amp;MATCH("*"&amp;RIGHT(A3650,8)&amp;"*",Main_Tariff!A:A,0)),Raeburn_Main_Tariff[[#This Row],[PRODUCER]])</f>
        <v>Poderi Marcarini</v>
      </c>
      <c r="C3650" s="1178" t="s">
        <v>21787</v>
      </c>
      <c r="D3650" s="1178" t="s">
        <v>897</v>
      </c>
      <c r="E3650" s="1179">
        <v>2016</v>
      </c>
      <c r="F3650" s="1282" t="s">
        <v>20220</v>
      </c>
      <c r="G3650" s="1368">
        <v>16.5</v>
      </c>
      <c r="H3650" s="1178" t="s">
        <v>20221</v>
      </c>
      <c r="I3650" s="1178" t="s">
        <v>11148</v>
      </c>
      <c r="J3650" s="1178" t="s">
        <v>668</v>
      </c>
      <c r="K3650" s="1178" t="s">
        <v>350</v>
      </c>
      <c r="L3650" s="1178" t="s">
        <v>351</v>
      </c>
      <c r="M3650" s="1369"/>
      <c r="N3650" s="1178"/>
      <c r="O3650" s="1178">
        <v>12</v>
      </c>
      <c r="P3650" s="1178">
        <v>12.5</v>
      </c>
    </row>
    <row r="3651" spans="1:16">
      <c r="A3651" s="1178" t="s">
        <v>21785</v>
      </c>
      <c r="B3651" s="1371" t="str">
        <f>HYPERLINK(IFERROR("#Main_Tariff!A"&amp;MATCH(Raeburn_Main_Tariff[[#This Row],[Product Code]],Main_Tariff!I:I,0),"#Main_Tariff!A"&amp;MATCH("*"&amp;RIGHT(A3651,8)&amp;"*",Main_Tariff!A:A,0)),Raeburn_Main_Tariff[[#This Row],[PRODUCER]])</f>
        <v>Poderi Marcarini</v>
      </c>
      <c r="C3651" s="1178" t="s">
        <v>21787</v>
      </c>
      <c r="D3651" s="1178" t="s">
        <v>897</v>
      </c>
      <c r="E3651" s="1179">
        <v>2015</v>
      </c>
      <c r="F3651" s="1282" t="s">
        <v>20220</v>
      </c>
      <c r="G3651" s="1368">
        <v>15.5</v>
      </c>
      <c r="H3651" s="1178" t="s">
        <v>20277</v>
      </c>
      <c r="I3651" s="1178" t="s">
        <v>11150</v>
      </c>
      <c r="J3651" s="1178" t="s">
        <v>668</v>
      </c>
      <c r="K3651" s="1178" t="s">
        <v>350</v>
      </c>
      <c r="L3651" s="1178" t="s">
        <v>351</v>
      </c>
      <c r="M3651" s="1369"/>
      <c r="N3651" s="1178"/>
      <c r="O3651" s="1178">
        <v>6</v>
      </c>
      <c r="P3651" s="1178">
        <v>12.5</v>
      </c>
    </row>
    <row r="3652" spans="1:16">
      <c r="A3652" s="1178" t="s">
        <v>21785</v>
      </c>
      <c r="B3652" s="1371" t="str">
        <f>HYPERLINK(IFERROR("#Main_Tariff!A"&amp;MATCH(Raeburn_Main_Tariff[[#This Row],[Product Code]],Main_Tariff!I:I,0),"#Main_Tariff!A"&amp;MATCH("*"&amp;RIGHT(A3652,8)&amp;"*",Main_Tariff!A:A,0)),Raeburn_Main_Tariff[[#This Row],[PRODUCER]])</f>
        <v>Poderi Marcarini</v>
      </c>
      <c r="C3652" s="1178" t="s">
        <v>21788</v>
      </c>
      <c r="D3652" s="1178" t="s">
        <v>897</v>
      </c>
      <c r="E3652" s="1179">
        <v>2014</v>
      </c>
      <c r="F3652" s="1282" t="s">
        <v>20220</v>
      </c>
      <c r="G3652" s="1368">
        <v>16.5</v>
      </c>
      <c r="H3652" s="1178" t="s">
        <v>20221</v>
      </c>
      <c r="I3652" s="1178" t="s">
        <v>11151</v>
      </c>
      <c r="J3652" s="1178" t="s">
        <v>668</v>
      </c>
      <c r="K3652" s="1178" t="s">
        <v>350</v>
      </c>
      <c r="L3652" s="1178" t="s">
        <v>351</v>
      </c>
      <c r="M3652" s="1369"/>
      <c r="N3652" s="1178"/>
      <c r="O3652" s="1178">
        <v>6</v>
      </c>
      <c r="P3652" s="1178">
        <v>13</v>
      </c>
    </row>
    <row r="3653" spans="1:16">
      <c r="A3653" s="1178" t="s">
        <v>21785</v>
      </c>
      <c r="B3653" s="1371" t="str">
        <f>HYPERLINK(IFERROR("#Main_Tariff!A"&amp;MATCH(Raeburn_Main_Tariff[[#This Row],[Product Code]],Main_Tariff!I:I,0),"#Main_Tariff!A"&amp;MATCH("*"&amp;RIGHT(A3653,8)&amp;"*",Main_Tariff!A:A,0)),Raeburn_Main_Tariff[[#This Row],[PRODUCER]])</f>
        <v>Poderi Marcarini</v>
      </c>
      <c r="C3653" s="1178" t="s">
        <v>21788</v>
      </c>
      <c r="D3653" s="1178" t="s">
        <v>897</v>
      </c>
      <c r="E3653" s="1179">
        <v>2013</v>
      </c>
      <c r="F3653" s="1282" t="s">
        <v>20220</v>
      </c>
      <c r="G3653" s="1368">
        <v>16.5</v>
      </c>
      <c r="H3653" s="1178" t="s">
        <v>20221</v>
      </c>
      <c r="I3653" s="1178" t="s">
        <v>11153</v>
      </c>
      <c r="J3653" s="1178" t="s">
        <v>668</v>
      </c>
      <c r="K3653" s="1178" t="s">
        <v>350</v>
      </c>
      <c r="L3653" s="1178" t="s">
        <v>351</v>
      </c>
      <c r="M3653" s="1369"/>
      <c r="N3653" s="1178"/>
      <c r="O3653" s="1178">
        <v>6</v>
      </c>
      <c r="P3653" s="1178">
        <v>13</v>
      </c>
    </row>
    <row r="3654" spans="1:16">
      <c r="A3654" s="1178" t="s">
        <v>21785</v>
      </c>
      <c r="B3654" s="1371" t="str">
        <f>HYPERLINK(IFERROR("#Main_Tariff!A"&amp;MATCH(Raeburn_Main_Tariff[[#This Row],[Product Code]],Main_Tariff!I:I,0),"#Main_Tariff!A"&amp;MATCH("*"&amp;RIGHT(A3654,8)&amp;"*",Main_Tariff!A:A,0)),Raeburn_Main_Tariff[[#This Row],[PRODUCER]])</f>
        <v>Poderi Marcarini</v>
      </c>
      <c r="C3654" s="1178" t="s">
        <v>21789</v>
      </c>
      <c r="D3654" s="1178" t="s">
        <v>897</v>
      </c>
      <c r="E3654" s="1179">
        <v>2019</v>
      </c>
      <c r="F3654" s="1282" t="s">
        <v>20220</v>
      </c>
      <c r="G3654" s="1368">
        <v>27.5</v>
      </c>
      <c r="H3654" s="1178" t="s">
        <v>20221</v>
      </c>
      <c r="I3654" s="1178" t="s">
        <v>11157</v>
      </c>
      <c r="J3654" s="1178" t="s">
        <v>668</v>
      </c>
      <c r="K3654" s="1178" t="s">
        <v>350</v>
      </c>
      <c r="L3654" s="1178" t="s">
        <v>351</v>
      </c>
      <c r="M3654" s="1369"/>
      <c r="N3654" s="1178"/>
      <c r="O3654" s="1178">
        <v>6</v>
      </c>
      <c r="P3654" s="1178">
        <v>14</v>
      </c>
    </row>
    <row r="3655" spans="1:16">
      <c r="A3655" s="1178" t="s">
        <v>21785</v>
      </c>
      <c r="B3655" s="1371" t="str">
        <f>HYPERLINK(IFERROR("#Main_Tariff!A"&amp;MATCH(Raeburn_Main_Tariff[[#This Row],[Product Code]],Main_Tariff!I:I,0),"#Main_Tariff!A"&amp;MATCH("*"&amp;RIGHT(A3655,8)&amp;"*",Main_Tariff!A:A,0)),Raeburn_Main_Tariff[[#This Row],[PRODUCER]])</f>
        <v>Poderi Marcarini</v>
      </c>
      <c r="C3655" s="1178" t="s">
        <v>21789</v>
      </c>
      <c r="D3655" s="1178" t="s">
        <v>897</v>
      </c>
      <c r="E3655" s="1179">
        <v>2018</v>
      </c>
      <c r="F3655" s="1282" t="s">
        <v>20220</v>
      </c>
      <c r="G3655" s="1368">
        <v>24</v>
      </c>
      <c r="H3655" s="1178" t="s">
        <v>20221</v>
      </c>
      <c r="I3655" s="1178" t="s">
        <v>11159</v>
      </c>
      <c r="J3655" s="1178" t="s">
        <v>668</v>
      </c>
      <c r="K3655" s="1178" t="s">
        <v>350</v>
      </c>
      <c r="L3655" s="1178" t="s">
        <v>351</v>
      </c>
      <c r="M3655" s="1369"/>
      <c r="N3655" s="1178"/>
      <c r="O3655" s="1178">
        <v>6</v>
      </c>
      <c r="P3655" s="1178">
        <v>14</v>
      </c>
    </row>
    <row r="3656" spans="1:16">
      <c r="A3656" s="1178" t="s">
        <v>21785</v>
      </c>
      <c r="B3656" s="1371" t="str">
        <f>HYPERLINK(IFERROR("#Main_Tariff!A"&amp;MATCH(Raeburn_Main_Tariff[[#This Row],[Product Code]],Main_Tariff!I:I,0),"#Main_Tariff!A"&amp;MATCH("*"&amp;RIGHT(A3656,8)&amp;"*",Main_Tariff!A:A,0)),Raeburn_Main_Tariff[[#This Row],[PRODUCER]])</f>
        <v>Poderi Marcarini</v>
      </c>
      <c r="C3656" s="1178" t="s">
        <v>21790</v>
      </c>
      <c r="D3656" s="1178" t="s">
        <v>897</v>
      </c>
      <c r="E3656" s="1179">
        <v>2019</v>
      </c>
      <c r="F3656" s="1282" t="s">
        <v>20220</v>
      </c>
      <c r="G3656" s="1368">
        <v>36.75</v>
      </c>
      <c r="H3656" s="1178" t="s">
        <v>20221</v>
      </c>
      <c r="I3656" s="1178" t="s">
        <v>11163</v>
      </c>
      <c r="J3656" s="1178" t="s">
        <v>668</v>
      </c>
      <c r="K3656" s="1178" t="s">
        <v>350</v>
      </c>
      <c r="L3656" s="1178" t="s">
        <v>351</v>
      </c>
      <c r="M3656" s="1369"/>
      <c r="N3656" s="1178"/>
      <c r="O3656" s="1178">
        <v>6</v>
      </c>
      <c r="P3656" s="1178">
        <v>14</v>
      </c>
    </row>
    <row r="3657" spans="1:16">
      <c r="A3657" s="1178" t="s">
        <v>21785</v>
      </c>
      <c r="B3657" s="1371" t="str">
        <f>HYPERLINK(IFERROR("#Main_Tariff!A"&amp;MATCH(Raeburn_Main_Tariff[[#This Row],[Product Code]],Main_Tariff!I:I,0),"#Main_Tariff!A"&amp;MATCH("*"&amp;RIGHT(A3657,8)&amp;"*",Main_Tariff!A:A,0)),Raeburn_Main_Tariff[[#This Row],[PRODUCER]])</f>
        <v>Poderi Marcarini</v>
      </c>
      <c r="C3657" s="1178" t="s">
        <v>21790</v>
      </c>
      <c r="D3657" s="1178" t="s">
        <v>897</v>
      </c>
      <c r="E3657" s="1179">
        <v>2018</v>
      </c>
      <c r="F3657" s="1282" t="s">
        <v>20220</v>
      </c>
      <c r="G3657" s="1368">
        <v>32.5</v>
      </c>
      <c r="H3657" s="1178" t="s">
        <v>20221</v>
      </c>
      <c r="I3657" s="1178" t="s">
        <v>11165</v>
      </c>
      <c r="J3657" s="1178" t="s">
        <v>668</v>
      </c>
      <c r="K3657" s="1178" t="s">
        <v>350</v>
      </c>
      <c r="L3657" s="1178" t="s">
        <v>351</v>
      </c>
      <c r="M3657" s="1369"/>
      <c r="N3657" s="1178"/>
      <c r="O3657" s="1178">
        <v>6</v>
      </c>
      <c r="P3657" s="1178">
        <v>14</v>
      </c>
    </row>
    <row r="3658" spans="1:16">
      <c r="A3658" s="1178" t="s">
        <v>21785</v>
      </c>
      <c r="B3658" s="1371" t="str">
        <f>HYPERLINK(IFERROR("#Main_Tariff!A"&amp;MATCH(Raeburn_Main_Tariff[[#This Row],[Product Code]],Main_Tariff!I:I,0),"#Main_Tariff!A"&amp;MATCH("*"&amp;RIGHT(A3658,8)&amp;"*",Main_Tariff!A:A,0)),Raeburn_Main_Tariff[[#This Row],[PRODUCER]])</f>
        <v>Poderi Marcarini</v>
      </c>
      <c r="C3658" s="1178" t="s">
        <v>21790</v>
      </c>
      <c r="D3658" s="1178" t="s">
        <v>897</v>
      </c>
      <c r="E3658" s="1179">
        <v>2016</v>
      </c>
      <c r="F3658" s="1282" t="s">
        <v>20220</v>
      </c>
      <c r="G3658" s="1368">
        <v>33.5</v>
      </c>
      <c r="H3658" s="1178" t="s">
        <v>20221</v>
      </c>
      <c r="I3658" s="1178" t="s">
        <v>11167</v>
      </c>
      <c r="J3658" s="1178" t="s">
        <v>668</v>
      </c>
      <c r="K3658" s="1178" t="s">
        <v>350</v>
      </c>
      <c r="L3658" s="1178" t="s">
        <v>351</v>
      </c>
      <c r="M3658" s="1369"/>
      <c r="N3658" s="1178"/>
      <c r="O3658" s="1178">
        <v>6</v>
      </c>
      <c r="P3658" s="1178">
        <v>14</v>
      </c>
    </row>
    <row r="3659" spans="1:16">
      <c r="A3659" s="1178" t="s">
        <v>21785</v>
      </c>
      <c r="B3659" s="1371" t="str">
        <f>HYPERLINK(IFERROR("#Main_Tariff!A"&amp;MATCH(Raeburn_Main_Tariff[[#This Row],[Product Code]],Main_Tariff!I:I,0),"#Main_Tariff!A"&amp;MATCH("*"&amp;RIGHT(A3659,8)&amp;"*",Main_Tariff!A:A,0)),Raeburn_Main_Tariff[[#This Row],[PRODUCER]])</f>
        <v>Poderi Marcarini</v>
      </c>
      <c r="C3659" s="1178" t="s">
        <v>21790</v>
      </c>
      <c r="D3659" s="1178" t="s">
        <v>897</v>
      </c>
      <c r="E3659" s="1179">
        <v>2015</v>
      </c>
      <c r="F3659" s="1282" t="s">
        <v>20220</v>
      </c>
      <c r="G3659" s="1368">
        <v>32.5</v>
      </c>
      <c r="H3659" s="1178" t="s">
        <v>20221</v>
      </c>
      <c r="I3659" s="1178" t="s">
        <v>11168</v>
      </c>
      <c r="J3659" s="1178" t="s">
        <v>668</v>
      </c>
      <c r="K3659" s="1178" t="s">
        <v>350</v>
      </c>
      <c r="L3659" s="1178" t="s">
        <v>351</v>
      </c>
      <c r="M3659" s="1369"/>
      <c r="N3659" s="1178"/>
      <c r="O3659" s="1178">
        <v>6</v>
      </c>
      <c r="P3659" s="1178">
        <v>14</v>
      </c>
    </row>
    <row r="3660" spans="1:16">
      <c r="A3660" s="1178" t="s">
        <v>21785</v>
      </c>
      <c r="B3660" s="1371" t="str">
        <f>HYPERLINK(IFERROR("#Main_Tariff!A"&amp;MATCH(Raeburn_Main_Tariff[[#This Row],[Product Code]],Main_Tariff!I:I,0),"#Main_Tariff!A"&amp;MATCH("*"&amp;RIGHT(A3660,8)&amp;"*",Main_Tariff!A:A,0)),Raeburn_Main_Tariff[[#This Row],[PRODUCER]])</f>
        <v>Poderi Marcarini</v>
      </c>
      <c r="C3660" s="1178" t="s">
        <v>21790</v>
      </c>
      <c r="D3660" s="1178" t="s">
        <v>897</v>
      </c>
      <c r="E3660" s="1179">
        <v>2014</v>
      </c>
      <c r="F3660" s="1282" t="s">
        <v>20220</v>
      </c>
      <c r="G3660" s="1368">
        <v>30.5</v>
      </c>
      <c r="H3660" s="1178" t="s">
        <v>20221</v>
      </c>
      <c r="I3660" s="1178" t="s">
        <v>11169</v>
      </c>
      <c r="J3660" s="1178" t="s">
        <v>668</v>
      </c>
      <c r="K3660" s="1178" t="s">
        <v>350</v>
      </c>
      <c r="L3660" s="1178" t="s">
        <v>351</v>
      </c>
      <c r="M3660" s="1369"/>
      <c r="N3660" s="1178"/>
      <c r="O3660" s="1178">
        <v>6</v>
      </c>
      <c r="P3660" s="1178">
        <v>13.5</v>
      </c>
    </row>
    <row r="3661" spans="1:16">
      <c r="A3661" s="1178" t="s">
        <v>21785</v>
      </c>
      <c r="B3661" s="1371" t="str">
        <f>HYPERLINK(IFERROR("#Main_Tariff!A"&amp;MATCH(Raeburn_Main_Tariff[[#This Row],[Product Code]],Main_Tariff!I:I,0),"#Main_Tariff!A"&amp;MATCH("*"&amp;RIGHT(A3661,8)&amp;"*",Main_Tariff!A:A,0)),Raeburn_Main_Tariff[[#This Row],[PRODUCER]])</f>
        <v>Poderi Marcarini</v>
      </c>
      <c r="C3661" s="1178" t="s">
        <v>21790</v>
      </c>
      <c r="D3661" s="1178" t="s">
        <v>897</v>
      </c>
      <c r="E3661" s="1179">
        <v>2013</v>
      </c>
      <c r="F3661" s="1282" t="s">
        <v>20220</v>
      </c>
      <c r="G3661" s="1368">
        <v>32.5</v>
      </c>
      <c r="H3661" s="1178" t="s">
        <v>20221</v>
      </c>
      <c r="I3661" s="1178" t="s">
        <v>11170</v>
      </c>
      <c r="J3661" s="1178" t="s">
        <v>668</v>
      </c>
      <c r="K3661" s="1178" t="s">
        <v>350</v>
      </c>
      <c r="L3661" s="1178" t="s">
        <v>351</v>
      </c>
      <c r="M3661" s="1369"/>
      <c r="N3661" s="1178"/>
      <c r="O3661" s="1178">
        <v>6</v>
      </c>
      <c r="P3661" s="1178">
        <v>13.5</v>
      </c>
    </row>
    <row r="3662" spans="1:16">
      <c r="A3662" s="1178" t="s">
        <v>21785</v>
      </c>
      <c r="B3662" s="1371" t="str">
        <f>HYPERLINK(IFERROR("#Main_Tariff!A"&amp;MATCH(Raeburn_Main_Tariff[[#This Row],[Product Code]],Main_Tariff!I:I,0),"#Main_Tariff!A"&amp;MATCH("*"&amp;RIGHT(A3662,8)&amp;"*",Main_Tariff!A:A,0)),Raeburn_Main_Tariff[[#This Row],[PRODUCER]])</f>
        <v>Poderi Marcarini</v>
      </c>
      <c r="C3662" s="1178" t="s">
        <v>21790</v>
      </c>
      <c r="D3662" s="1178" t="s">
        <v>897</v>
      </c>
      <c r="E3662" s="1179">
        <v>2012</v>
      </c>
      <c r="F3662" s="1282" t="s">
        <v>20220</v>
      </c>
      <c r="G3662" s="1368">
        <v>30.5</v>
      </c>
      <c r="H3662" s="1178" t="s">
        <v>20277</v>
      </c>
      <c r="I3662" s="1178" t="s">
        <v>11172</v>
      </c>
      <c r="J3662" s="1178" t="s">
        <v>668</v>
      </c>
      <c r="K3662" s="1178" t="s">
        <v>350</v>
      </c>
      <c r="L3662" s="1178" t="s">
        <v>351</v>
      </c>
      <c r="M3662" s="1369"/>
      <c r="N3662" s="1178"/>
      <c r="O3662" s="1178">
        <v>6</v>
      </c>
      <c r="P3662" s="1178">
        <v>14</v>
      </c>
    </row>
    <row r="3663" spans="1:16">
      <c r="A3663" s="1178" t="s">
        <v>21785</v>
      </c>
      <c r="B3663" s="1371" t="str">
        <f>HYPERLINK(IFERROR("#Main_Tariff!A"&amp;MATCH(Raeburn_Main_Tariff[[#This Row],[Product Code]],Main_Tariff!I:I,0),"#Main_Tariff!A"&amp;MATCH("*"&amp;RIGHT(A3663,8)&amp;"*",Main_Tariff!A:A,0)),Raeburn_Main_Tariff[[#This Row],[PRODUCER]])</f>
        <v>Poderi Marcarini</v>
      </c>
      <c r="C3663" s="1178" t="s">
        <v>21791</v>
      </c>
      <c r="D3663" s="1178" t="s">
        <v>897</v>
      </c>
      <c r="E3663" s="1179">
        <v>2018</v>
      </c>
      <c r="F3663" s="1282" t="s">
        <v>20220</v>
      </c>
      <c r="G3663" s="1368">
        <v>46.75</v>
      </c>
      <c r="H3663" s="1178" t="s">
        <v>20221</v>
      </c>
      <c r="I3663" s="1178" t="s">
        <v>11174</v>
      </c>
      <c r="J3663" s="1178" t="s">
        <v>668</v>
      </c>
      <c r="K3663" s="1178" t="s">
        <v>350</v>
      </c>
      <c r="L3663" s="1178" t="s">
        <v>351</v>
      </c>
      <c r="M3663" s="1369"/>
      <c r="N3663" s="1178"/>
      <c r="O3663" s="1178">
        <v>6</v>
      </c>
      <c r="P3663" s="1178">
        <v>14</v>
      </c>
    </row>
    <row r="3664" spans="1:16">
      <c r="A3664" s="1178" t="s">
        <v>21785</v>
      </c>
      <c r="B3664" s="1371" t="str">
        <f>HYPERLINK(IFERROR("#Main_Tariff!A"&amp;MATCH(Raeburn_Main_Tariff[[#This Row],[Product Code]],Main_Tariff!I:I,0),"#Main_Tariff!A"&amp;MATCH("*"&amp;RIGHT(A3664,8)&amp;"*",Main_Tariff!A:A,0)),Raeburn_Main_Tariff[[#This Row],[PRODUCER]])</f>
        <v>Poderi Marcarini</v>
      </c>
      <c r="C3664" s="1178" t="s">
        <v>21791</v>
      </c>
      <c r="D3664" s="1178" t="s">
        <v>897</v>
      </c>
      <c r="E3664" s="1179">
        <v>2017</v>
      </c>
      <c r="F3664" s="1282" t="s">
        <v>20220</v>
      </c>
      <c r="G3664" s="1368">
        <v>41</v>
      </c>
      <c r="H3664" s="1178" t="s">
        <v>20221</v>
      </c>
      <c r="I3664" s="1178" t="s">
        <v>11175</v>
      </c>
      <c r="J3664" s="1178" t="s">
        <v>668</v>
      </c>
      <c r="K3664" s="1178" t="s">
        <v>350</v>
      </c>
      <c r="L3664" s="1178" t="s">
        <v>351</v>
      </c>
      <c r="M3664" s="1369"/>
      <c r="N3664" s="1178"/>
      <c r="O3664" s="1178">
        <v>6</v>
      </c>
      <c r="P3664" s="1178">
        <v>14</v>
      </c>
    </row>
    <row r="3665" spans="1:16">
      <c r="A3665" s="1178" t="s">
        <v>21785</v>
      </c>
      <c r="B3665" s="1371" t="str">
        <f>HYPERLINK(IFERROR("#Main_Tariff!A"&amp;MATCH(Raeburn_Main_Tariff[[#This Row],[Product Code]],Main_Tariff!I:I,0),"#Main_Tariff!A"&amp;MATCH("*"&amp;RIGHT(A3665,8)&amp;"*",Main_Tariff!A:A,0)),Raeburn_Main_Tariff[[#This Row],[PRODUCER]])</f>
        <v>Poderi Marcarini</v>
      </c>
      <c r="C3665" s="1178" t="s">
        <v>21791</v>
      </c>
      <c r="D3665" s="1178" t="s">
        <v>897</v>
      </c>
      <c r="E3665" s="1179">
        <v>2016</v>
      </c>
      <c r="F3665" s="1282" t="s">
        <v>20220</v>
      </c>
      <c r="G3665" s="1368">
        <v>42.5</v>
      </c>
      <c r="H3665" s="1178" t="s">
        <v>20221</v>
      </c>
      <c r="I3665" s="1178" t="s">
        <v>11177</v>
      </c>
      <c r="J3665" s="1178" t="s">
        <v>668</v>
      </c>
      <c r="K3665" s="1178" t="s">
        <v>350</v>
      </c>
      <c r="L3665" s="1178" t="s">
        <v>351</v>
      </c>
      <c r="M3665" s="1369"/>
      <c r="N3665" s="1178"/>
      <c r="O3665" s="1178">
        <v>6</v>
      </c>
      <c r="P3665" s="1178">
        <v>14.5</v>
      </c>
    </row>
    <row r="3666" spans="1:16">
      <c r="A3666" s="1178" t="s">
        <v>21785</v>
      </c>
      <c r="B3666" s="1371" t="str">
        <f>HYPERLINK(IFERROR("#Main_Tariff!A"&amp;MATCH(Raeburn_Main_Tariff[[#This Row],[Product Code]],Main_Tariff!I:I,0),"#Main_Tariff!A"&amp;MATCH("*"&amp;RIGHT(A3666,8)&amp;"*",Main_Tariff!A:A,0)),Raeburn_Main_Tariff[[#This Row],[PRODUCER]])</f>
        <v>Poderi Marcarini</v>
      </c>
      <c r="C3666" s="1178" t="s">
        <v>21791</v>
      </c>
      <c r="D3666" s="1178" t="s">
        <v>897</v>
      </c>
      <c r="E3666" s="1179">
        <v>2015</v>
      </c>
      <c r="F3666" s="1282" t="s">
        <v>20220</v>
      </c>
      <c r="G3666" s="1368">
        <v>40</v>
      </c>
      <c r="H3666" s="1178" t="s">
        <v>20221</v>
      </c>
      <c r="I3666" s="1178" t="s">
        <v>11178</v>
      </c>
      <c r="J3666" s="1178" t="s">
        <v>668</v>
      </c>
      <c r="K3666" s="1178" t="s">
        <v>350</v>
      </c>
      <c r="L3666" s="1178" t="s">
        <v>351</v>
      </c>
      <c r="M3666" s="1369"/>
      <c r="N3666" s="1178"/>
      <c r="O3666" s="1178">
        <v>6</v>
      </c>
      <c r="P3666" s="1178">
        <v>14</v>
      </c>
    </row>
    <row r="3667" spans="1:16">
      <c r="A3667" s="1178" t="s">
        <v>21785</v>
      </c>
      <c r="B3667" s="1371" t="str">
        <f>HYPERLINK(IFERROR("#Main_Tariff!A"&amp;MATCH(Raeburn_Main_Tariff[[#This Row],[Product Code]],Main_Tariff!I:I,0),"#Main_Tariff!A"&amp;MATCH("*"&amp;RIGHT(A3667,8)&amp;"*",Main_Tariff!A:A,0)),Raeburn_Main_Tariff[[#This Row],[PRODUCER]])</f>
        <v>Poderi Marcarini</v>
      </c>
      <c r="C3667" s="1178" t="s">
        <v>21791</v>
      </c>
      <c r="D3667" s="1178" t="s">
        <v>897</v>
      </c>
      <c r="E3667" s="1179">
        <v>2014</v>
      </c>
      <c r="F3667" s="1282" t="s">
        <v>20220</v>
      </c>
      <c r="G3667" s="1368">
        <v>36.5</v>
      </c>
      <c r="H3667" s="1178" t="s">
        <v>20221</v>
      </c>
      <c r="I3667" s="1178" t="s">
        <v>11179</v>
      </c>
      <c r="J3667" s="1178" t="s">
        <v>668</v>
      </c>
      <c r="K3667" s="1178" t="s">
        <v>350</v>
      </c>
      <c r="L3667" s="1178" t="s">
        <v>351</v>
      </c>
      <c r="M3667" s="1369"/>
      <c r="N3667" s="1178"/>
      <c r="O3667" s="1178">
        <v>6</v>
      </c>
      <c r="P3667" s="1178">
        <v>13.5</v>
      </c>
    </row>
    <row r="3668" spans="1:16">
      <c r="A3668" s="1178" t="s">
        <v>21785</v>
      </c>
      <c r="B3668" s="1371" t="str">
        <f>HYPERLINK(IFERROR("#Main_Tariff!A"&amp;MATCH(Raeburn_Main_Tariff[[#This Row],[Product Code]],Main_Tariff!I:I,0),"#Main_Tariff!A"&amp;MATCH("*"&amp;RIGHT(A3668,8)&amp;"*",Main_Tariff!A:A,0)),Raeburn_Main_Tariff[[#This Row],[PRODUCER]])</f>
        <v>Poderi Marcarini</v>
      </c>
      <c r="C3668" s="1178" t="s">
        <v>21792</v>
      </c>
      <c r="D3668" s="1178" t="s">
        <v>897</v>
      </c>
      <c r="E3668" s="1179">
        <v>2019</v>
      </c>
      <c r="F3668" s="1282" t="s">
        <v>20240</v>
      </c>
      <c r="G3668" s="1368">
        <v>55</v>
      </c>
      <c r="H3668" s="1178" t="s">
        <v>20221</v>
      </c>
      <c r="I3668" s="1178" t="s">
        <v>11181</v>
      </c>
      <c r="J3668" s="1178" t="s">
        <v>668</v>
      </c>
      <c r="K3668" s="1178" t="s">
        <v>350</v>
      </c>
      <c r="L3668" s="1178" t="s">
        <v>351</v>
      </c>
      <c r="M3668" s="1369"/>
      <c r="N3668" s="1178"/>
      <c r="O3668" s="1178">
        <v>3</v>
      </c>
      <c r="P3668" s="1178">
        <v>14</v>
      </c>
    </row>
    <row r="3669" spans="1:16">
      <c r="A3669" s="1178" t="s">
        <v>21785</v>
      </c>
      <c r="B3669" s="1371" t="str">
        <f>HYPERLINK(IFERROR("#Main_Tariff!A"&amp;MATCH(Raeburn_Main_Tariff[[#This Row],[Product Code]],Main_Tariff!I:I,0),"#Main_Tariff!A"&amp;MATCH("*"&amp;RIGHT(A3669,8)&amp;"*",Main_Tariff!A:A,0)),Raeburn_Main_Tariff[[#This Row],[PRODUCER]])</f>
        <v>Poderi Marcarini</v>
      </c>
      <c r="C3669" s="1178" t="s">
        <v>21793</v>
      </c>
      <c r="D3669" s="1178" t="s">
        <v>897</v>
      </c>
      <c r="E3669" s="1179">
        <v>2019</v>
      </c>
      <c r="F3669" s="1282" t="s">
        <v>20240</v>
      </c>
      <c r="G3669" s="1368">
        <v>73.5</v>
      </c>
      <c r="H3669" s="1178" t="s">
        <v>20224</v>
      </c>
      <c r="I3669" s="1178" t="s">
        <v>11182</v>
      </c>
      <c r="J3669" s="1178" t="s">
        <v>668</v>
      </c>
      <c r="K3669" s="1178" t="s">
        <v>350</v>
      </c>
      <c r="L3669" s="1178" t="s">
        <v>351</v>
      </c>
      <c r="M3669" s="1369"/>
      <c r="N3669" s="1178"/>
      <c r="O3669" s="1178">
        <v>3</v>
      </c>
      <c r="P3669" s="1178">
        <v>14</v>
      </c>
    </row>
    <row r="3670" spans="1:16">
      <c r="A3670" s="1178" t="s">
        <v>21785</v>
      </c>
      <c r="B3670" s="1371" t="str">
        <f>HYPERLINK(IFERROR("#Main_Tariff!A"&amp;MATCH(Raeburn_Main_Tariff[[#This Row],[Product Code]],Main_Tariff!I:I,0),"#Main_Tariff!A"&amp;MATCH("*"&amp;RIGHT(A3670,8)&amp;"*",Main_Tariff!A:A,0)),Raeburn_Main_Tariff[[#This Row],[PRODUCER]])</f>
        <v>Poderi Marcarini</v>
      </c>
      <c r="C3670" s="1178" t="s">
        <v>21793</v>
      </c>
      <c r="D3670" s="1178" t="s">
        <v>897</v>
      </c>
      <c r="E3670" s="1179">
        <v>2016</v>
      </c>
      <c r="F3670" s="1282" t="s">
        <v>20240</v>
      </c>
      <c r="G3670" s="1368">
        <v>67</v>
      </c>
      <c r="H3670" s="1178" t="s">
        <v>20224</v>
      </c>
      <c r="I3670" s="1178" t="s">
        <v>11183</v>
      </c>
      <c r="J3670" s="1178" t="s">
        <v>668</v>
      </c>
      <c r="K3670" s="1178" t="s">
        <v>350</v>
      </c>
      <c r="L3670" s="1178" t="s">
        <v>351</v>
      </c>
      <c r="M3670" s="1369"/>
      <c r="N3670" s="1178"/>
      <c r="O3670" s="1178">
        <v>3</v>
      </c>
      <c r="P3670" s="1178">
        <v>14</v>
      </c>
    </row>
    <row r="3671" spans="1:16">
      <c r="A3671" s="1178" t="s">
        <v>21785</v>
      </c>
      <c r="B3671" s="1371" t="str">
        <f>HYPERLINK(IFERROR("#Main_Tariff!A"&amp;MATCH(Raeburn_Main_Tariff[[#This Row],[Product Code]],Main_Tariff!I:I,0),"#Main_Tariff!A"&amp;MATCH("*"&amp;RIGHT(A3671,8)&amp;"*",Main_Tariff!A:A,0)),Raeburn_Main_Tariff[[#This Row],[PRODUCER]])</f>
        <v>Poderi Marcarini</v>
      </c>
      <c r="C3671" s="1178" t="s">
        <v>21793</v>
      </c>
      <c r="D3671" s="1178" t="s">
        <v>897</v>
      </c>
      <c r="E3671" s="1179">
        <v>2015</v>
      </c>
      <c r="F3671" s="1282" t="s">
        <v>20240</v>
      </c>
      <c r="G3671" s="1368">
        <v>65.5</v>
      </c>
      <c r="H3671" s="1178" t="s">
        <v>20224</v>
      </c>
      <c r="I3671" s="1178" t="s">
        <v>11184</v>
      </c>
      <c r="J3671" s="1178" t="s">
        <v>668</v>
      </c>
      <c r="K3671" s="1178" t="s">
        <v>350</v>
      </c>
      <c r="L3671" s="1178" t="s">
        <v>351</v>
      </c>
      <c r="M3671" s="1369"/>
      <c r="N3671" s="1178"/>
      <c r="O3671" s="1178">
        <v>6</v>
      </c>
      <c r="P3671" s="1178">
        <v>14</v>
      </c>
    </row>
    <row r="3672" spans="1:16">
      <c r="A3672" s="1178" t="s">
        <v>21785</v>
      </c>
      <c r="B3672" s="1371" t="str">
        <f>HYPERLINK(IFERROR("#Main_Tariff!A"&amp;MATCH(Raeburn_Main_Tariff[[#This Row],[Product Code]],Main_Tariff!I:I,0),"#Main_Tariff!A"&amp;MATCH("*"&amp;RIGHT(A3672,8)&amp;"*",Main_Tariff!A:A,0)),Raeburn_Main_Tariff[[#This Row],[PRODUCER]])</f>
        <v>Poderi Marcarini</v>
      </c>
      <c r="C3672" s="1178" t="s">
        <v>21794</v>
      </c>
      <c r="D3672" s="1178" t="s">
        <v>897</v>
      </c>
      <c r="E3672" s="1179">
        <v>2014</v>
      </c>
      <c r="F3672" s="1282" t="s">
        <v>20240</v>
      </c>
      <c r="G3672" s="1368">
        <v>80.5</v>
      </c>
      <c r="H3672" s="1178" t="s">
        <v>20221</v>
      </c>
      <c r="I3672" s="1178" t="s">
        <v>11185</v>
      </c>
      <c r="J3672" s="1178" t="s">
        <v>668</v>
      </c>
      <c r="K3672" s="1178" t="s">
        <v>350</v>
      </c>
      <c r="L3672" s="1178" t="s">
        <v>351</v>
      </c>
      <c r="M3672" s="1369"/>
      <c r="N3672" s="1178"/>
      <c r="O3672" s="1178">
        <v>6</v>
      </c>
      <c r="P3672" s="1178">
        <v>13.5</v>
      </c>
    </row>
    <row r="3673" spans="1:16">
      <c r="A3673" s="1178" t="s">
        <v>21785</v>
      </c>
      <c r="B3673" s="1371" t="str">
        <f>HYPERLINK(IFERROR("#Main_Tariff!A"&amp;MATCH(Raeburn_Main_Tariff[[#This Row],[Product Code]],Main_Tariff!I:I,0),"#Main_Tariff!A"&amp;MATCH("*"&amp;RIGHT(A3673,8)&amp;"*",Main_Tariff!A:A,0)),Raeburn_Main_Tariff[[#This Row],[PRODUCER]])</f>
        <v>Poderi Marcarini</v>
      </c>
      <c r="C3673" s="1178" t="s">
        <v>21795</v>
      </c>
      <c r="D3673" s="1178" t="s">
        <v>897</v>
      </c>
      <c r="E3673" s="1179">
        <v>2014</v>
      </c>
      <c r="F3673" s="1282" t="s">
        <v>20288</v>
      </c>
      <c r="G3673" s="1368">
        <v>163</v>
      </c>
      <c r="H3673" s="1178" t="s">
        <v>20224</v>
      </c>
      <c r="I3673" s="1178" t="s">
        <v>11186</v>
      </c>
      <c r="J3673" s="1178" t="s">
        <v>668</v>
      </c>
      <c r="K3673" s="1178" t="s">
        <v>350</v>
      </c>
      <c r="L3673" s="1178" t="s">
        <v>351</v>
      </c>
      <c r="M3673" s="1369"/>
      <c r="N3673" s="1178"/>
      <c r="O3673" s="1178">
        <v>1</v>
      </c>
      <c r="P3673" s="1178">
        <v>13.5</v>
      </c>
    </row>
    <row r="3674" spans="1:16">
      <c r="A3674" s="1178" t="s">
        <v>21785</v>
      </c>
      <c r="B3674" s="1371" t="str">
        <f>HYPERLINK(IFERROR("#Main_Tariff!A"&amp;MATCH(Raeburn_Main_Tariff[[#This Row],[Product Code]],Main_Tariff!I:I,0),"#Main_Tariff!A"&amp;MATCH("*"&amp;RIGHT(A3674,8)&amp;"*",Main_Tariff!A:A,0)),Raeburn_Main_Tariff[[#This Row],[PRODUCER]])</f>
        <v>Poderi Marcarini</v>
      </c>
      <c r="C3674" s="1178" t="s">
        <v>21795</v>
      </c>
      <c r="D3674" s="1178" t="s">
        <v>897</v>
      </c>
      <c r="E3674" s="1179">
        <v>2013</v>
      </c>
      <c r="F3674" s="1282" t="s">
        <v>20288</v>
      </c>
      <c r="G3674" s="1368">
        <v>143</v>
      </c>
      <c r="H3674" s="1178" t="s">
        <v>20224</v>
      </c>
      <c r="I3674" s="1178" t="s">
        <v>11187</v>
      </c>
      <c r="J3674" s="1178" t="s">
        <v>668</v>
      </c>
      <c r="K3674" s="1178" t="s">
        <v>350</v>
      </c>
      <c r="L3674" s="1178" t="s">
        <v>351</v>
      </c>
      <c r="M3674" s="1369"/>
      <c r="N3674" s="1178"/>
      <c r="O3674" s="1178">
        <v>1</v>
      </c>
      <c r="P3674" s="1178">
        <v>13.5</v>
      </c>
    </row>
    <row r="3675" spans="1:16">
      <c r="A3675" s="1178" t="s">
        <v>21785</v>
      </c>
      <c r="B3675" s="1371" t="str">
        <f>HYPERLINK(IFERROR("#Main_Tariff!A"&amp;MATCH(Raeburn_Main_Tariff[[#This Row],[Product Code]],Main_Tariff!I:I,0),"#Main_Tariff!A"&amp;MATCH("*"&amp;RIGHT(A3675,8)&amp;"*",Main_Tariff!A:A,0)),Raeburn_Main_Tariff[[#This Row],[PRODUCER]])</f>
        <v>Poderi Marcarini</v>
      </c>
      <c r="C3675" s="1178" t="s">
        <v>21795</v>
      </c>
      <c r="D3675" s="1178" t="s">
        <v>897</v>
      </c>
      <c r="E3675" s="1179">
        <v>2012</v>
      </c>
      <c r="F3675" s="1282" t="s">
        <v>20288</v>
      </c>
      <c r="G3675" s="1368">
        <v>133</v>
      </c>
      <c r="H3675" s="1178" t="s">
        <v>20224</v>
      </c>
      <c r="I3675" s="1178" t="s">
        <v>11188</v>
      </c>
      <c r="J3675" s="1178" t="s">
        <v>668</v>
      </c>
      <c r="K3675" s="1178" t="s">
        <v>350</v>
      </c>
      <c r="L3675" s="1178" t="s">
        <v>351</v>
      </c>
      <c r="M3675" s="1369"/>
      <c r="N3675" s="1178"/>
      <c r="O3675" s="1178">
        <v>1</v>
      </c>
      <c r="P3675" s="1178">
        <v>14</v>
      </c>
    </row>
    <row r="3676" spans="1:16">
      <c r="A3676" s="1178" t="s">
        <v>21785</v>
      </c>
      <c r="B3676" s="1371" t="str">
        <f>HYPERLINK(IFERROR("#Main_Tariff!A"&amp;MATCH(Raeburn_Main_Tariff[[#This Row],[Product Code]],Main_Tariff!I:I,0),"#Main_Tariff!A"&amp;MATCH("*"&amp;RIGHT(A3676,8)&amp;"*",Main_Tariff!A:A,0)),Raeburn_Main_Tariff[[#This Row],[PRODUCER]])</f>
        <v>Poderi Marcarini</v>
      </c>
      <c r="C3676" s="1178" t="s">
        <v>21796</v>
      </c>
      <c r="D3676" s="1178" t="s">
        <v>11190</v>
      </c>
      <c r="E3676" s="1179" t="s">
        <v>19060</v>
      </c>
      <c r="F3676" s="1282" t="s">
        <v>20280</v>
      </c>
      <c r="G3676" s="1368" t="s">
        <v>5258</v>
      </c>
      <c r="H3676" s="1178" t="s">
        <v>20224</v>
      </c>
      <c r="I3676" s="1178" t="s">
        <v>11191</v>
      </c>
      <c r="J3676" s="1178" t="s">
        <v>668</v>
      </c>
      <c r="K3676" s="1178" t="s">
        <v>350</v>
      </c>
      <c r="L3676" s="1178" t="s">
        <v>351</v>
      </c>
      <c r="M3676" s="1369"/>
      <c r="N3676" s="1178"/>
      <c r="O3676" s="1178">
        <v>12</v>
      </c>
      <c r="P3676" s="1178">
        <v>16</v>
      </c>
    </row>
    <row r="3677" spans="1:16">
      <c r="A3677" s="1178" t="s">
        <v>363</v>
      </c>
      <c r="B3677" s="1371" t="str">
        <f>HYPERLINK(IFERROR("#Main_Tariff!A"&amp;MATCH(Raeburn_Main_Tariff[[#This Row],[Product Code]],Main_Tariff!I:I,0),"#Main_Tariff!A"&amp;MATCH("*"&amp;RIGHT(A3677,8)&amp;"*",Main_Tariff!A:A,0)),Raeburn_Main_Tariff[[#This Row],[PRODUCER]])</f>
        <v>Bartolo Mascarello</v>
      </c>
      <c r="C3677" s="1178" t="s">
        <v>21719</v>
      </c>
      <c r="D3677" s="1178" t="s">
        <v>897</v>
      </c>
      <c r="E3677" s="1179">
        <v>2023</v>
      </c>
      <c r="F3677" s="1282" t="s">
        <v>20220</v>
      </c>
      <c r="G3677" s="1368">
        <v>23.75</v>
      </c>
      <c r="H3677" s="1178" t="s">
        <v>20221</v>
      </c>
      <c r="I3677" s="1178" t="s">
        <v>11216</v>
      </c>
      <c r="J3677" s="1178" t="s">
        <v>668</v>
      </c>
      <c r="K3677" s="1178" t="s">
        <v>350</v>
      </c>
      <c r="L3677" s="1178" t="s">
        <v>351</v>
      </c>
      <c r="M3677" s="1369"/>
      <c r="N3677" s="1178"/>
      <c r="O3677" s="1178">
        <v>6</v>
      </c>
      <c r="P3677" s="1178">
        <v>13</v>
      </c>
    </row>
    <row r="3678" spans="1:16">
      <c r="A3678" s="1178" t="s">
        <v>363</v>
      </c>
      <c r="B3678" s="1371" t="str">
        <f>HYPERLINK(IFERROR("#Main_Tariff!A"&amp;MATCH(Raeburn_Main_Tariff[[#This Row],[Product Code]],Main_Tariff!I:I,0),"#Main_Tariff!A"&amp;MATCH("*"&amp;RIGHT(A3678,8)&amp;"*",Main_Tariff!A:A,0)),Raeburn_Main_Tariff[[#This Row],[PRODUCER]])</f>
        <v>Bartolo Mascarello</v>
      </c>
      <c r="C3678" s="1178" t="s">
        <v>21719</v>
      </c>
      <c r="D3678" s="1178" t="s">
        <v>897</v>
      </c>
      <c r="E3678" s="1179">
        <v>2022</v>
      </c>
      <c r="F3678" s="1282" t="s">
        <v>20220</v>
      </c>
      <c r="G3678" s="1368">
        <v>32.5</v>
      </c>
      <c r="H3678" s="1178" t="s">
        <v>20221</v>
      </c>
      <c r="I3678" s="1178" t="s">
        <v>11218</v>
      </c>
      <c r="J3678" s="1178" t="s">
        <v>668</v>
      </c>
      <c r="K3678" s="1178" t="s">
        <v>350</v>
      </c>
      <c r="L3678" s="1178" t="s">
        <v>351</v>
      </c>
      <c r="M3678" s="1369"/>
      <c r="N3678" s="1178"/>
      <c r="O3678" s="1178">
        <v>6</v>
      </c>
      <c r="P3678" s="1178">
        <v>14</v>
      </c>
    </row>
    <row r="3679" spans="1:16">
      <c r="A3679" s="1178" t="s">
        <v>363</v>
      </c>
      <c r="B3679" s="1371" t="str">
        <f>HYPERLINK(IFERROR("#Main_Tariff!A"&amp;MATCH(Raeburn_Main_Tariff[[#This Row],[Product Code]],Main_Tariff!I:I,0),"#Main_Tariff!A"&amp;MATCH("*"&amp;RIGHT(A3679,8)&amp;"*",Main_Tariff!A:A,0)),Raeburn_Main_Tariff[[#This Row],[PRODUCER]])</f>
        <v>Bartolo Mascarello</v>
      </c>
      <c r="C3679" s="1178" t="s">
        <v>21719</v>
      </c>
      <c r="D3679" s="1178" t="s">
        <v>897</v>
      </c>
      <c r="E3679" s="1179">
        <v>2021</v>
      </c>
      <c r="F3679" s="1282" t="s">
        <v>20220</v>
      </c>
      <c r="G3679" s="1368">
        <v>30.5</v>
      </c>
      <c r="H3679" s="1178" t="s">
        <v>20221</v>
      </c>
      <c r="I3679" s="1178" t="s">
        <v>11219</v>
      </c>
      <c r="J3679" s="1178" t="s">
        <v>668</v>
      </c>
      <c r="K3679" s="1178" t="s">
        <v>350</v>
      </c>
      <c r="L3679" s="1178" t="s">
        <v>351</v>
      </c>
      <c r="M3679" s="1369"/>
      <c r="N3679" s="1178"/>
      <c r="O3679" s="1178">
        <v>6</v>
      </c>
      <c r="P3679" s="1178">
        <v>14.5</v>
      </c>
    </row>
    <row r="3680" spans="1:16">
      <c r="A3680" s="1178" t="s">
        <v>363</v>
      </c>
      <c r="B3680" s="1371" t="str">
        <f>HYPERLINK(IFERROR("#Main_Tariff!A"&amp;MATCH(Raeburn_Main_Tariff[[#This Row],[Product Code]],Main_Tariff!I:I,0),"#Main_Tariff!A"&amp;MATCH("*"&amp;RIGHT(A3680,8)&amp;"*",Main_Tariff!A:A,0)),Raeburn_Main_Tariff[[#This Row],[PRODUCER]])</f>
        <v>Bartolo Mascarello</v>
      </c>
      <c r="C3680" s="1178" t="s">
        <v>21719</v>
      </c>
      <c r="D3680" s="1178" t="s">
        <v>897</v>
      </c>
      <c r="E3680" s="1179">
        <v>2020</v>
      </c>
      <c r="F3680" s="1282" t="s">
        <v>20220</v>
      </c>
      <c r="G3680" s="1368">
        <v>30.5</v>
      </c>
      <c r="H3680" s="1178" t="s">
        <v>20224</v>
      </c>
      <c r="I3680" s="1178" t="s">
        <v>11221</v>
      </c>
      <c r="J3680" s="1178" t="s">
        <v>668</v>
      </c>
      <c r="K3680" s="1178" t="s">
        <v>350</v>
      </c>
      <c r="L3680" s="1178" t="s">
        <v>351</v>
      </c>
      <c r="M3680" s="1369"/>
      <c r="N3680" s="1178"/>
      <c r="O3680" s="1178">
        <v>6</v>
      </c>
      <c r="P3680" s="1178">
        <v>15</v>
      </c>
    </row>
    <row r="3681" spans="1:16">
      <c r="A3681" s="1178" t="s">
        <v>363</v>
      </c>
      <c r="B3681" s="1371" t="str">
        <f>HYPERLINK(IFERROR("#Main_Tariff!A"&amp;MATCH(Raeburn_Main_Tariff[[#This Row],[Product Code]],Main_Tariff!I:I,0),"#Main_Tariff!A"&amp;MATCH("*"&amp;RIGHT(A3681,8)&amp;"*",Main_Tariff!A:A,0)),Raeburn_Main_Tariff[[#This Row],[PRODUCER]])</f>
        <v>Bartolo Mascarello</v>
      </c>
      <c r="C3681" s="1178" t="s">
        <v>21719</v>
      </c>
      <c r="D3681" s="1178" t="s">
        <v>897</v>
      </c>
      <c r="E3681" s="1179">
        <v>2019</v>
      </c>
      <c r="F3681" s="1282" t="s">
        <v>20220</v>
      </c>
      <c r="G3681" s="1368">
        <v>30.5</v>
      </c>
      <c r="H3681" s="1178" t="s">
        <v>20277</v>
      </c>
      <c r="I3681" s="1178" t="s">
        <v>11223</v>
      </c>
      <c r="J3681" s="1178" t="s">
        <v>668</v>
      </c>
      <c r="K3681" s="1178" t="s">
        <v>350</v>
      </c>
      <c r="L3681" s="1178" t="s">
        <v>351</v>
      </c>
      <c r="M3681" s="1369"/>
      <c r="N3681" s="1178"/>
      <c r="O3681" s="1178">
        <v>6</v>
      </c>
      <c r="P3681" s="1178">
        <v>13.5</v>
      </c>
    </row>
    <row r="3682" spans="1:16">
      <c r="A3682" s="1178" t="s">
        <v>363</v>
      </c>
      <c r="B3682" s="1371" t="str">
        <f>HYPERLINK(IFERROR("#Main_Tariff!A"&amp;MATCH(Raeburn_Main_Tariff[[#This Row],[Product Code]],Main_Tariff!I:I,0),"#Main_Tariff!A"&amp;MATCH("*"&amp;RIGHT(A3682,8)&amp;"*",Main_Tariff!A:A,0)),Raeburn_Main_Tariff[[#This Row],[PRODUCER]])</f>
        <v>Bartolo Mascarello</v>
      </c>
      <c r="C3682" s="1178" t="s">
        <v>21797</v>
      </c>
      <c r="D3682" s="1178" t="s">
        <v>897</v>
      </c>
      <c r="E3682" s="1179">
        <v>2014</v>
      </c>
      <c r="F3682" s="1282" t="s">
        <v>20220</v>
      </c>
      <c r="G3682" s="1368">
        <v>45.5</v>
      </c>
      <c r="H3682" s="1178" t="s">
        <v>20224</v>
      </c>
      <c r="I3682" s="1178" t="s">
        <v>11225</v>
      </c>
      <c r="J3682" s="1178" t="s">
        <v>668</v>
      </c>
      <c r="K3682" s="1178" t="s">
        <v>350</v>
      </c>
      <c r="L3682" s="1178" t="s">
        <v>351</v>
      </c>
      <c r="M3682" s="1369"/>
      <c r="N3682" s="1178"/>
      <c r="O3682" s="1178">
        <v>6</v>
      </c>
      <c r="P3682" s="1178">
        <v>12.5</v>
      </c>
    </row>
    <row r="3683" spans="1:16">
      <c r="A3683" s="1178" t="s">
        <v>363</v>
      </c>
      <c r="B3683" s="1371" t="str">
        <f>HYPERLINK(IFERROR("#Main_Tariff!A"&amp;MATCH(Raeburn_Main_Tariff[[#This Row],[Product Code]],Main_Tariff!I:I,0),"#Main_Tariff!A"&amp;MATCH("*"&amp;RIGHT(A3683,8)&amp;"*",Main_Tariff!A:A,0)),Raeburn_Main_Tariff[[#This Row],[PRODUCER]])</f>
        <v>Bartolo Mascarello</v>
      </c>
      <c r="C3683" s="1178" t="s">
        <v>21798</v>
      </c>
      <c r="D3683" s="1178" t="s">
        <v>897</v>
      </c>
      <c r="E3683" s="1179">
        <v>2020</v>
      </c>
      <c r="F3683" s="1282" t="s">
        <v>20220</v>
      </c>
      <c r="G3683" s="1368" t="s">
        <v>5258</v>
      </c>
      <c r="H3683" s="1178" t="s">
        <v>20221</v>
      </c>
      <c r="I3683" s="1178" t="s">
        <v>11228</v>
      </c>
      <c r="J3683" s="1178" t="s">
        <v>668</v>
      </c>
      <c r="K3683" s="1178" t="s">
        <v>350</v>
      </c>
      <c r="L3683" s="1178" t="s">
        <v>351</v>
      </c>
      <c r="M3683" s="1369"/>
      <c r="N3683" s="1178"/>
      <c r="O3683" s="1178">
        <v>3</v>
      </c>
      <c r="P3683" s="1178">
        <v>14</v>
      </c>
    </row>
    <row r="3684" spans="1:16">
      <c r="A3684" s="1178" t="s">
        <v>363</v>
      </c>
      <c r="B3684" s="1371" t="str">
        <f>HYPERLINK(IFERROR("#Main_Tariff!A"&amp;MATCH(Raeburn_Main_Tariff[[#This Row],[Product Code]],Main_Tariff!I:I,0),"#Main_Tariff!A"&amp;MATCH("*"&amp;RIGHT(A3684,8)&amp;"*",Main_Tariff!A:A,0)),Raeburn_Main_Tariff[[#This Row],[PRODUCER]])</f>
        <v>Bartolo Mascarello</v>
      </c>
      <c r="C3684" s="1178" t="s">
        <v>21798</v>
      </c>
      <c r="D3684" s="1178" t="s">
        <v>897</v>
      </c>
      <c r="E3684" s="1179">
        <v>2019</v>
      </c>
      <c r="F3684" s="1282" t="s">
        <v>20220</v>
      </c>
      <c r="G3684" s="1368" t="s">
        <v>5258</v>
      </c>
      <c r="H3684" s="1178" t="s">
        <v>20224</v>
      </c>
      <c r="I3684" s="1178" t="s">
        <v>11229</v>
      </c>
      <c r="J3684" s="1178" t="s">
        <v>668</v>
      </c>
      <c r="K3684" s="1178" t="s">
        <v>350</v>
      </c>
      <c r="L3684" s="1178" t="s">
        <v>351</v>
      </c>
      <c r="M3684" s="1369"/>
      <c r="N3684" s="1178"/>
      <c r="O3684" s="1178">
        <v>3</v>
      </c>
      <c r="P3684" s="1178">
        <v>14</v>
      </c>
    </row>
    <row r="3685" spans="1:16">
      <c r="A3685" s="1178" t="s">
        <v>363</v>
      </c>
      <c r="B3685" s="1371" t="str">
        <f>HYPERLINK(IFERROR("#Main_Tariff!A"&amp;MATCH(Raeburn_Main_Tariff[[#This Row],[Product Code]],Main_Tariff!I:I,0),"#Main_Tariff!A"&amp;MATCH("*"&amp;RIGHT(A3685,8)&amp;"*",Main_Tariff!A:A,0)),Raeburn_Main_Tariff[[#This Row],[PRODUCER]])</f>
        <v>Bartolo Mascarello</v>
      </c>
      <c r="C3685" s="1178" t="s">
        <v>21798</v>
      </c>
      <c r="D3685" s="1178" t="s">
        <v>897</v>
      </c>
      <c r="E3685" s="1179">
        <v>2018</v>
      </c>
      <c r="F3685" s="1282" t="s">
        <v>20220</v>
      </c>
      <c r="G3685" s="1368" t="s">
        <v>5258</v>
      </c>
      <c r="H3685" s="1178" t="s">
        <v>20224</v>
      </c>
      <c r="I3685" s="1178" t="s">
        <v>11231</v>
      </c>
      <c r="J3685" s="1178" t="s">
        <v>668</v>
      </c>
      <c r="K3685" s="1178" t="s">
        <v>350</v>
      </c>
      <c r="L3685" s="1178" t="s">
        <v>351</v>
      </c>
      <c r="M3685" s="1369"/>
      <c r="N3685" s="1178"/>
      <c r="O3685" s="1178">
        <v>3</v>
      </c>
      <c r="P3685" s="1178">
        <v>14.5</v>
      </c>
    </row>
    <row r="3686" spans="1:16">
      <c r="A3686" s="1178" t="s">
        <v>363</v>
      </c>
      <c r="B3686" s="1371" t="str">
        <f>HYPERLINK(IFERROR("#Main_Tariff!A"&amp;MATCH(Raeburn_Main_Tariff[[#This Row],[Product Code]],Main_Tariff!I:I,0),"#Main_Tariff!A"&amp;MATCH("*"&amp;RIGHT(A3686,8)&amp;"*",Main_Tariff!A:A,0)),Raeburn_Main_Tariff[[#This Row],[PRODUCER]])</f>
        <v>Bartolo Mascarello</v>
      </c>
      <c r="C3686" s="1178" t="s">
        <v>21798</v>
      </c>
      <c r="D3686" s="1178" t="s">
        <v>897</v>
      </c>
      <c r="E3686" s="1179">
        <v>2017</v>
      </c>
      <c r="F3686" s="1282" t="s">
        <v>20220</v>
      </c>
      <c r="G3686" s="1368" t="s">
        <v>5258</v>
      </c>
      <c r="H3686" s="1178" t="s">
        <v>20224</v>
      </c>
      <c r="I3686" s="1178" t="s">
        <v>11233</v>
      </c>
      <c r="J3686" s="1178" t="s">
        <v>668</v>
      </c>
      <c r="K3686" s="1178" t="s">
        <v>350</v>
      </c>
      <c r="L3686" s="1178" t="s">
        <v>351</v>
      </c>
      <c r="M3686" s="1369"/>
      <c r="N3686" s="1178"/>
      <c r="O3686" s="1178">
        <v>3</v>
      </c>
      <c r="P3686" s="1178">
        <v>14.5</v>
      </c>
    </row>
    <row r="3687" spans="1:16">
      <c r="A3687" s="1178" t="s">
        <v>363</v>
      </c>
      <c r="B3687" s="1371" t="str">
        <f>HYPERLINK(IFERROR("#Main_Tariff!A"&amp;MATCH(Raeburn_Main_Tariff[[#This Row],[Product Code]],Main_Tariff!I:I,0),"#Main_Tariff!A"&amp;MATCH("*"&amp;RIGHT(A3687,8)&amp;"*",Main_Tariff!A:A,0)),Raeburn_Main_Tariff[[#This Row],[PRODUCER]])</f>
        <v>Bartolo Mascarello</v>
      </c>
      <c r="C3687" s="1178" t="s">
        <v>21799</v>
      </c>
      <c r="D3687" s="1178" t="s">
        <v>897</v>
      </c>
      <c r="E3687" s="1179"/>
      <c r="F3687" s="1282" t="s">
        <v>20240</v>
      </c>
      <c r="G3687" s="1368" t="s">
        <v>5258</v>
      </c>
      <c r="H3687" s="1178" t="s">
        <v>20224</v>
      </c>
      <c r="I3687" s="1178" t="s">
        <v>11236</v>
      </c>
      <c r="J3687" s="1178" t="s">
        <v>668</v>
      </c>
      <c r="K3687" s="1178" t="s">
        <v>350</v>
      </c>
      <c r="L3687" s="1178" t="s">
        <v>351</v>
      </c>
      <c r="M3687" s="1369"/>
      <c r="N3687" s="1178"/>
      <c r="O3687" s="1178">
        <v>1</v>
      </c>
      <c r="P3687" s="1178">
        <v>14.5</v>
      </c>
    </row>
    <row r="3688" spans="1:16">
      <c r="A3688" s="1178" t="s">
        <v>364</v>
      </c>
      <c r="B3688" s="1371" t="str">
        <f>HYPERLINK(IFERROR("#Main_Tariff!A"&amp;MATCH(Raeburn_Main_Tariff[[#This Row],[Product Code]],Main_Tariff!I:I,0),"#Main_Tariff!A"&amp;MATCH("*"&amp;RIGHT(A3688,8)&amp;"*",Main_Tariff!A:A,0)),Raeburn_Main_Tariff[[#This Row],[PRODUCER]])</f>
        <v>Renato Molino</v>
      </c>
      <c r="C3688" s="1178" t="s">
        <v>21800</v>
      </c>
      <c r="D3688" s="1178" t="s">
        <v>897</v>
      </c>
      <c r="E3688" s="1179" t="s">
        <v>20253</v>
      </c>
      <c r="F3688" s="1282" t="s">
        <v>20220</v>
      </c>
      <c r="G3688" s="1368">
        <v>20</v>
      </c>
      <c r="H3688" s="1178" t="s">
        <v>20221</v>
      </c>
      <c r="I3688" s="1178" t="s">
        <v>11255</v>
      </c>
      <c r="J3688" s="1178" t="s">
        <v>668</v>
      </c>
      <c r="K3688" s="1178" t="s">
        <v>350</v>
      </c>
      <c r="L3688" s="1178" t="s">
        <v>351</v>
      </c>
      <c r="M3688" s="1369"/>
      <c r="N3688" s="1178"/>
      <c r="O3688" s="1178">
        <v>6</v>
      </c>
      <c r="P3688" s="1178">
        <v>14</v>
      </c>
    </row>
    <row r="3689" spans="1:16">
      <c r="A3689" s="1178" t="s">
        <v>364</v>
      </c>
      <c r="B3689" s="1371" t="str">
        <f>HYPERLINK(IFERROR("#Main_Tariff!A"&amp;MATCH(Raeburn_Main_Tariff[[#This Row],[Product Code]],Main_Tariff!I:I,0),"#Main_Tariff!A"&amp;MATCH("*"&amp;RIGHT(A3689,8)&amp;"*",Main_Tariff!A:A,0)),Raeburn_Main_Tariff[[#This Row],[PRODUCER]])</f>
        <v>Renato Molino</v>
      </c>
      <c r="C3689" s="1178" t="s">
        <v>351</v>
      </c>
      <c r="D3689" s="1178" t="s">
        <v>897</v>
      </c>
      <c r="E3689" s="1179">
        <v>2017</v>
      </c>
      <c r="F3689" s="1282" t="s">
        <v>20220</v>
      </c>
      <c r="G3689" s="1368">
        <v>31.5</v>
      </c>
      <c r="H3689" s="1178" t="s">
        <v>20221</v>
      </c>
      <c r="I3689" s="1178" t="s">
        <v>11260</v>
      </c>
      <c r="J3689" s="1178" t="s">
        <v>668</v>
      </c>
      <c r="K3689" s="1178" t="s">
        <v>350</v>
      </c>
      <c r="L3689" s="1178" t="s">
        <v>351</v>
      </c>
      <c r="M3689" s="1369"/>
      <c r="N3689" s="1178"/>
      <c r="O3689" s="1178">
        <v>6</v>
      </c>
      <c r="P3689" s="1178">
        <v>14.5</v>
      </c>
    </row>
    <row r="3690" spans="1:16">
      <c r="A3690" s="1178" t="s">
        <v>364</v>
      </c>
      <c r="B3690" s="1371" t="str">
        <f>HYPERLINK(IFERROR("#Main_Tariff!A"&amp;MATCH(Raeburn_Main_Tariff[[#This Row],[Product Code]],Main_Tariff!I:I,0),"#Main_Tariff!A"&amp;MATCH("*"&amp;RIGHT(A3690,8)&amp;"*",Main_Tariff!A:A,0)),Raeburn_Main_Tariff[[#This Row],[PRODUCER]])</f>
        <v>Renato Molino</v>
      </c>
      <c r="C3690" s="1178" t="s">
        <v>351</v>
      </c>
      <c r="D3690" s="1178" t="s">
        <v>897</v>
      </c>
      <c r="E3690" s="1179">
        <v>2016</v>
      </c>
      <c r="F3690" s="1282" t="s">
        <v>20220</v>
      </c>
      <c r="G3690" s="1368">
        <v>33</v>
      </c>
      <c r="H3690" s="1178" t="s">
        <v>20221</v>
      </c>
      <c r="I3690" s="1178" t="s">
        <v>11262</v>
      </c>
      <c r="J3690" s="1178" t="s">
        <v>668</v>
      </c>
      <c r="K3690" s="1178" t="s">
        <v>350</v>
      </c>
      <c r="L3690" s="1178" t="s">
        <v>351</v>
      </c>
      <c r="M3690" s="1369"/>
      <c r="N3690" s="1178"/>
      <c r="O3690" s="1178">
        <v>6</v>
      </c>
      <c r="P3690" s="1178">
        <v>14.5</v>
      </c>
    </row>
    <row r="3691" spans="1:16">
      <c r="A3691" s="1178" t="s">
        <v>364</v>
      </c>
      <c r="B3691" s="1371" t="str">
        <f>HYPERLINK(IFERROR("#Main_Tariff!A"&amp;MATCH(Raeburn_Main_Tariff[[#This Row],[Product Code]],Main_Tariff!I:I,0),"#Main_Tariff!A"&amp;MATCH("*"&amp;RIGHT(A3691,8)&amp;"*",Main_Tariff!A:A,0)),Raeburn_Main_Tariff[[#This Row],[PRODUCER]])</f>
        <v>Renato Molino</v>
      </c>
      <c r="C3691" s="1178" t="s">
        <v>21760</v>
      </c>
      <c r="D3691" s="1178" t="s">
        <v>897</v>
      </c>
      <c r="E3691" s="1179">
        <v>2016</v>
      </c>
      <c r="F3691" s="1282" t="s">
        <v>20240</v>
      </c>
      <c r="G3691" s="1368">
        <v>71</v>
      </c>
      <c r="H3691" s="1178" t="s">
        <v>20224</v>
      </c>
      <c r="I3691" s="1178" t="s">
        <v>11264</v>
      </c>
      <c r="J3691" s="1178" t="s">
        <v>668</v>
      </c>
      <c r="K3691" s="1178" t="s">
        <v>350</v>
      </c>
      <c r="L3691" s="1178" t="s">
        <v>351</v>
      </c>
      <c r="M3691" s="1369"/>
      <c r="N3691" s="1178"/>
      <c r="O3691" s="1178">
        <v>1</v>
      </c>
      <c r="P3691" s="1178">
        <v>13</v>
      </c>
    </row>
    <row r="3692" spans="1:16">
      <c r="A3692" s="1178" t="s">
        <v>364</v>
      </c>
      <c r="B3692" s="1371" t="str">
        <f>HYPERLINK(IFERROR("#Main_Tariff!A"&amp;MATCH(Raeburn_Main_Tariff[[#This Row],[Product Code]],Main_Tariff!I:I,0),"#Main_Tariff!A"&amp;MATCH("*"&amp;RIGHT(A3692,8)&amp;"*",Main_Tariff!A:A,0)),Raeburn_Main_Tariff[[#This Row],[PRODUCER]])</f>
        <v>Renato Molino</v>
      </c>
      <c r="C3692" s="1178" t="s">
        <v>21801</v>
      </c>
      <c r="D3692" s="1178" t="s">
        <v>897</v>
      </c>
      <c r="E3692" s="1179">
        <v>2017</v>
      </c>
      <c r="F3692" s="1282" t="s">
        <v>20220</v>
      </c>
      <c r="G3692" s="1368">
        <v>40.5</v>
      </c>
      <c r="H3692" s="1178" t="s">
        <v>20221</v>
      </c>
      <c r="I3692" s="1178" t="s">
        <v>11268</v>
      </c>
      <c r="J3692" s="1178" t="s">
        <v>668</v>
      </c>
      <c r="K3692" s="1178" t="s">
        <v>350</v>
      </c>
      <c r="L3692" s="1178" t="s">
        <v>351</v>
      </c>
      <c r="M3692" s="1369"/>
      <c r="N3692" s="1178"/>
      <c r="O3692" s="1178">
        <v>6</v>
      </c>
      <c r="P3692" s="1178">
        <v>14.5</v>
      </c>
    </row>
    <row r="3693" spans="1:16">
      <c r="A3693" s="1178" t="s">
        <v>364</v>
      </c>
      <c r="B3693" s="1371" t="str">
        <f>HYPERLINK(IFERROR("#Main_Tariff!A"&amp;MATCH(Raeburn_Main_Tariff[[#This Row],[Product Code]],Main_Tariff!I:I,0),"#Main_Tariff!A"&amp;MATCH("*"&amp;RIGHT(A3693,8)&amp;"*",Main_Tariff!A:A,0)),Raeburn_Main_Tariff[[#This Row],[PRODUCER]])</f>
        <v>Renato Molino</v>
      </c>
      <c r="C3693" s="1178" t="s">
        <v>21801</v>
      </c>
      <c r="D3693" s="1178" t="s">
        <v>897</v>
      </c>
      <c r="E3693" s="1179">
        <v>2016</v>
      </c>
      <c r="F3693" s="1282" t="s">
        <v>20220</v>
      </c>
      <c r="G3693" s="1368">
        <v>41.5</v>
      </c>
      <c r="H3693" s="1178" t="s">
        <v>20224</v>
      </c>
      <c r="I3693" s="1178" t="s">
        <v>11270</v>
      </c>
      <c r="J3693" s="1178" t="s">
        <v>668</v>
      </c>
      <c r="K3693" s="1178" t="s">
        <v>350</v>
      </c>
      <c r="L3693" s="1178" t="s">
        <v>351</v>
      </c>
      <c r="M3693" s="1369"/>
      <c r="N3693" s="1178"/>
      <c r="O3693" s="1178">
        <v>6</v>
      </c>
      <c r="P3693" s="1178">
        <v>13</v>
      </c>
    </row>
    <row r="3694" spans="1:16">
      <c r="A3694" s="1178" t="s">
        <v>364</v>
      </c>
      <c r="B3694" s="1371" t="str">
        <f>HYPERLINK(IFERROR("#Main_Tariff!A"&amp;MATCH(Raeburn_Main_Tariff[[#This Row],[Product Code]],Main_Tariff!I:I,0),"#Main_Tariff!A"&amp;MATCH("*"&amp;RIGHT(A3694,8)&amp;"*",Main_Tariff!A:A,0)),Raeburn_Main_Tariff[[#This Row],[PRODUCER]])</f>
        <v>Renato Molino</v>
      </c>
      <c r="C3694" s="1178" t="s">
        <v>21801</v>
      </c>
      <c r="D3694" s="1178" t="s">
        <v>897</v>
      </c>
      <c r="E3694" s="1179">
        <v>2015</v>
      </c>
      <c r="F3694" s="1282" t="s">
        <v>20220</v>
      </c>
      <c r="G3694" s="1368">
        <v>40.5</v>
      </c>
      <c r="H3694" s="1178" t="s">
        <v>20277</v>
      </c>
      <c r="I3694" s="1178" t="s">
        <v>11272</v>
      </c>
      <c r="J3694" s="1178" t="s">
        <v>668</v>
      </c>
      <c r="K3694" s="1178" t="s">
        <v>350</v>
      </c>
      <c r="L3694" s="1178" t="s">
        <v>351</v>
      </c>
      <c r="M3694" s="1369"/>
      <c r="N3694" s="1178"/>
      <c r="O3694" s="1178">
        <v>6</v>
      </c>
      <c r="P3694" s="1178">
        <v>14.5</v>
      </c>
    </row>
    <row r="3695" spans="1:16">
      <c r="A3695" s="1178" t="s">
        <v>364</v>
      </c>
      <c r="B3695" s="1371" t="str">
        <f>HYPERLINK(IFERROR("#Main_Tariff!A"&amp;MATCH(Raeburn_Main_Tariff[[#This Row],[Product Code]],Main_Tariff!I:I,0),"#Main_Tariff!A"&amp;MATCH("*"&amp;RIGHT(A3695,8)&amp;"*",Main_Tariff!A:A,0)),Raeburn_Main_Tariff[[#This Row],[PRODUCER]])</f>
        <v>Renato Molino</v>
      </c>
      <c r="C3695" s="1178" t="s">
        <v>21802</v>
      </c>
      <c r="D3695" s="1178" t="s">
        <v>897</v>
      </c>
      <c r="E3695" s="1179">
        <v>2017</v>
      </c>
      <c r="F3695" s="1282" t="s">
        <v>20240</v>
      </c>
      <c r="G3695" s="1368">
        <v>92</v>
      </c>
      <c r="H3695" s="1178" t="s">
        <v>20224</v>
      </c>
      <c r="I3695" s="1178" t="s">
        <v>11276</v>
      </c>
      <c r="J3695" s="1178" t="s">
        <v>668</v>
      </c>
      <c r="K3695" s="1178" t="s">
        <v>350</v>
      </c>
      <c r="L3695" s="1178" t="s">
        <v>351</v>
      </c>
      <c r="M3695" s="1369"/>
      <c r="N3695" s="1178"/>
      <c r="O3695" s="1178">
        <v>1</v>
      </c>
      <c r="P3695" s="1178">
        <v>14.5</v>
      </c>
    </row>
    <row r="3696" spans="1:16">
      <c r="A3696" s="1178" t="s">
        <v>364</v>
      </c>
      <c r="B3696" s="1371" t="str">
        <f>HYPERLINK(IFERROR("#Main_Tariff!A"&amp;MATCH(Raeburn_Main_Tariff[[#This Row],[Product Code]],Main_Tariff!I:I,0),"#Main_Tariff!A"&amp;MATCH("*"&amp;RIGHT(A3696,8)&amp;"*",Main_Tariff!A:A,0)),Raeburn_Main_Tariff[[#This Row],[PRODUCER]])</f>
        <v>Renato Molino</v>
      </c>
      <c r="C3696" s="1178" t="s">
        <v>21802</v>
      </c>
      <c r="D3696" s="1178" t="s">
        <v>897</v>
      </c>
      <c r="E3696" s="1179">
        <v>2016</v>
      </c>
      <c r="F3696" s="1282" t="s">
        <v>20240</v>
      </c>
      <c r="G3696" s="1368">
        <v>92</v>
      </c>
      <c r="H3696" s="1178" t="s">
        <v>20224</v>
      </c>
      <c r="I3696" s="1178" t="s">
        <v>11278</v>
      </c>
      <c r="J3696" s="1178" t="s">
        <v>668</v>
      </c>
      <c r="K3696" s="1178" t="s">
        <v>350</v>
      </c>
      <c r="L3696" s="1178" t="s">
        <v>351</v>
      </c>
      <c r="M3696" s="1369"/>
      <c r="N3696" s="1178"/>
      <c r="O3696" s="1178">
        <v>1</v>
      </c>
      <c r="P3696" s="1178">
        <v>13</v>
      </c>
    </row>
    <row r="3697" spans="1:16">
      <c r="A3697" s="1178" t="s">
        <v>364</v>
      </c>
      <c r="B3697" s="1371" t="str">
        <f>HYPERLINK(IFERROR("#Main_Tariff!A"&amp;MATCH(Raeburn_Main_Tariff[[#This Row],[Product Code]],Main_Tariff!I:I,0),"#Main_Tariff!A"&amp;MATCH("*"&amp;RIGHT(A3697,8)&amp;"*",Main_Tariff!A:A,0)),Raeburn_Main_Tariff[[#This Row],[PRODUCER]])</f>
        <v>Renato Molino</v>
      </c>
      <c r="C3697" s="1178" t="s">
        <v>21803</v>
      </c>
      <c r="D3697" s="1178" t="s">
        <v>897</v>
      </c>
      <c r="E3697" s="1179">
        <v>2017</v>
      </c>
      <c r="F3697" s="1282" t="s">
        <v>20288</v>
      </c>
      <c r="G3697" s="1368">
        <v>175</v>
      </c>
      <c r="H3697" s="1178" t="s">
        <v>20224</v>
      </c>
      <c r="I3697" s="1178" t="s">
        <v>11279</v>
      </c>
      <c r="J3697" s="1178" t="s">
        <v>668</v>
      </c>
      <c r="K3697" s="1178" t="s">
        <v>350</v>
      </c>
      <c r="L3697" s="1178" t="s">
        <v>351</v>
      </c>
      <c r="M3697" s="1369"/>
      <c r="N3697" s="1178"/>
      <c r="O3697" s="1178">
        <v>1</v>
      </c>
      <c r="P3697" s="1178">
        <v>14.5</v>
      </c>
    </row>
    <row r="3698" spans="1:16">
      <c r="A3698" s="1178" t="s">
        <v>364</v>
      </c>
      <c r="B3698" s="1371" t="str">
        <f>HYPERLINK(IFERROR("#Main_Tariff!A"&amp;MATCH(Raeburn_Main_Tariff[[#This Row],[Product Code]],Main_Tariff!I:I,0),"#Main_Tariff!A"&amp;MATCH("*"&amp;RIGHT(A3698,8)&amp;"*",Main_Tariff!A:A,0)),Raeburn_Main_Tariff[[#This Row],[PRODUCER]])</f>
        <v>Renato Molino</v>
      </c>
      <c r="C3698" s="1178" t="s">
        <v>21803</v>
      </c>
      <c r="D3698" s="1178" t="s">
        <v>897</v>
      </c>
      <c r="E3698" s="1179">
        <v>2016</v>
      </c>
      <c r="F3698" s="1282" t="s">
        <v>20288</v>
      </c>
      <c r="G3698" s="1368">
        <v>177</v>
      </c>
      <c r="H3698" s="1178" t="s">
        <v>20224</v>
      </c>
      <c r="I3698" s="1178" t="s">
        <v>11281</v>
      </c>
      <c r="J3698" s="1178" t="s">
        <v>668</v>
      </c>
      <c r="K3698" s="1178" t="s">
        <v>350</v>
      </c>
      <c r="L3698" s="1178" t="s">
        <v>351</v>
      </c>
      <c r="M3698" s="1369"/>
      <c r="N3698" s="1178"/>
      <c r="O3698" s="1178">
        <v>1</v>
      </c>
      <c r="P3698" s="1178">
        <v>13</v>
      </c>
    </row>
    <row r="3699" spans="1:16">
      <c r="A3699" s="1178" t="s">
        <v>365</v>
      </c>
      <c r="B3699" s="1371" t="str">
        <f>HYPERLINK(IFERROR("#Main_Tariff!A"&amp;MATCH(Raeburn_Main_Tariff[[#This Row],[Product Code]],Main_Tariff!I:I,0),"#Main_Tariff!A"&amp;MATCH("*"&amp;RIGHT(A3699,8)&amp;"*",Main_Tariff!A:A,0)),Raeburn_Main_Tariff[[#This Row],[PRODUCER]])</f>
        <v>Stefano Oreste</v>
      </c>
      <c r="C3699" s="1178" t="s">
        <v>21717</v>
      </c>
      <c r="D3699" s="1178" t="s">
        <v>897</v>
      </c>
      <c r="E3699" s="1179">
        <v>2021</v>
      </c>
      <c r="F3699" s="1282" t="s">
        <v>20220</v>
      </c>
      <c r="G3699" s="1368">
        <v>19.5</v>
      </c>
      <c r="H3699" s="1178" t="s">
        <v>20221</v>
      </c>
      <c r="I3699" s="1178" t="s">
        <v>11290</v>
      </c>
      <c r="J3699" s="1178" t="s">
        <v>668</v>
      </c>
      <c r="K3699" s="1178" t="s">
        <v>350</v>
      </c>
      <c r="L3699" s="1178" t="s">
        <v>351</v>
      </c>
      <c r="M3699" s="1369"/>
      <c r="N3699" s="1178"/>
      <c r="O3699" s="1178">
        <v>6</v>
      </c>
      <c r="P3699" s="1178">
        <v>14</v>
      </c>
    </row>
    <row r="3700" spans="1:16">
      <c r="A3700" s="1178" t="s">
        <v>365</v>
      </c>
      <c r="B3700" s="1371" t="str">
        <f>HYPERLINK(IFERROR("#Main_Tariff!A"&amp;MATCH(Raeburn_Main_Tariff[[#This Row],[Product Code]],Main_Tariff!I:I,0),"#Main_Tariff!A"&amp;MATCH("*"&amp;RIGHT(A3700,8)&amp;"*",Main_Tariff!A:A,0)),Raeburn_Main_Tariff[[#This Row],[PRODUCER]])</f>
        <v>Stefano Oreste</v>
      </c>
      <c r="C3700" s="1178" t="s">
        <v>21717</v>
      </c>
      <c r="D3700" s="1178" t="s">
        <v>897</v>
      </c>
      <c r="E3700" s="1179">
        <v>2020</v>
      </c>
      <c r="F3700" s="1282" t="s">
        <v>20220</v>
      </c>
      <c r="G3700" s="1368">
        <v>19.5</v>
      </c>
      <c r="H3700" s="1178" t="s">
        <v>20221</v>
      </c>
      <c r="I3700" s="1178" t="s">
        <v>11292</v>
      </c>
      <c r="J3700" s="1178" t="s">
        <v>668</v>
      </c>
      <c r="K3700" s="1178" t="s">
        <v>350</v>
      </c>
      <c r="L3700" s="1178" t="s">
        <v>351</v>
      </c>
      <c r="M3700" s="1369"/>
      <c r="N3700" s="1178"/>
      <c r="O3700" s="1178">
        <v>6</v>
      </c>
      <c r="P3700" s="1178">
        <v>14</v>
      </c>
    </row>
    <row r="3701" spans="1:16">
      <c r="A3701" s="1178" t="s">
        <v>365</v>
      </c>
      <c r="B3701" s="1371" t="str">
        <f>HYPERLINK(IFERROR("#Main_Tariff!A"&amp;MATCH(Raeburn_Main_Tariff[[#This Row],[Product Code]],Main_Tariff!I:I,0),"#Main_Tariff!A"&amp;MATCH("*"&amp;RIGHT(A3701,8)&amp;"*",Main_Tariff!A:A,0)),Raeburn_Main_Tariff[[#This Row],[PRODUCER]])</f>
        <v>Stefano Oreste</v>
      </c>
      <c r="C3701" s="1178" t="s">
        <v>21717</v>
      </c>
      <c r="D3701" s="1178" t="s">
        <v>897</v>
      </c>
      <c r="E3701" s="1179">
        <v>2018</v>
      </c>
      <c r="F3701" s="1282" t="s">
        <v>20220</v>
      </c>
      <c r="G3701" s="1368">
        <v>19.5</v>
      </c>
      <c r="H3701" s="1178" t="s">
        <v>20221</v>
      </c>
      <c r="I3701" s="1178" t="s">
        <v>11294</v>
      </c>
      <c r="J3701" s="1178" t="s">
        <v>668</v>
      </c>
      <c r="K3701" s="1178" t="s">
        <v>350</v>
      </c>
      <c r="L3701" s="1178" t="s">
        <v>351</v>
      </c>
      <c r="M3701" s="1369"/>
      <c r="N3701" s="1178"/>
      <c r="O3701" s="1178">
        <v>6</v>
      </c>
      <c r="P3701" s="1178">
        <v>14.5</v>
      </c>
    </row>
    <row r="3702" spans="1:16">
      <c r="A3702" s="1178" t="s">
        <v>365</v>
      </c>
      <c r="B3702" s="1371" t="str">
        <f>HYPERLINK(IFERROR("#Main_Tariff!A"&amp;MATCH(Raeburn_Main_Tariff[[#This Row],[Product Code]],Main_Tariff!I:I,0),"#Main_Tariff!A"&amp;MATCH("*"&amp;RIGHT(A3702,8)&amp;"*",Main_Tariff!A:A,0)),Raeburn_Main_Tariff[[#This Row],[PRODUCER]])</f>
        <v>Stefano Oreste</v>
      </c>
      <c r="C3702" s="1178" t="s">
        <v>21804</v>
      </c>
      <c r="D3702" s="1178" t="s">
        <v>897</v>
      </c>
      <c r="E3702" s="1179">
        <v>2019</v>
      </c>
      <c r="F3702" s="1282" t="s">
        <v>20220</v>
      </c>
      <c r="G3702" s="1368">
        <v>31</v>
      </c>
      <c r="H3702" s="1178" t="s">
        <v>20221</v>
      </c>
      <c r="I3702" s="1178" t="s">
        <v>11297</v>
      </c>
      <c r="J3702" s="1178" t="s">
        <v>668</v>
      </c>
      <c r="K3702" s="1178" t="s">
        <v>350</v>
      </c>
      <c r="L3702" s="1178" t="s">
        <v>351</v>
      </c>
      <c r="M3702" s="1369"/>
      <c r="N3702" s="1178"/>
      <c r="O3702" s="1178">
        <v>6</v>
      </c>
      <c r="P3702" s="1178">
        <v>14.5</v>
      </c>
    </row>
    <row r="3703" spans="1:16">
      <c r="A3703" s="1178" t="s">
        <v>365</v>
      </c>
      <c r="B3703" s="1371" t="str">
        <f>HYPERLINK(IFERROR("#Main_Tariff!A"&amp;MATCH(Raeburn_Main_Tariff[[#This Row],[Product Code]],Main_Tariff!I:I,0),"#Main_Tariff!A"&amp;MATCH("*"&amp;RIGHT(A3703,8)&amp;"*",Main_Tariff!A:A,0)),Raeburn_Main_Tariff[[#This Row],[PRODUCER]])</f>
        <v>Stefano Oreste</v>
      </c>
      <c r="C3703" s="1178" t="s">
        <v>21804</v>
      </c>
      <c r="D3703" s="1178" t="s">
        <v>897</v>
      </c>
      <c r="E3703" s="1179">
        <v>2018</v>
      </c>
      <c r="F3703" s="1282" t="s">
        <v>20220</v>
      </c>
      <c r="G3703" s="1368">
        <v>30</v>
      </c>
      <c r="H3703" s="1178" t="s">
        <v>20221</v>
      </c>
      <c r="I3703" s="1178" t="s">
        <v>11299</v>
      </c>
      <c r="J3703" s="1178" t="s">
        <v>668</v>
      </c>
      <c r="K3703" s="1178" t="s">
        <v>350</v>
      </c>
      <c r="L3703" s="1178" t="s">
        <v>351</v>
      </c>
      <c r="M3703" s="1369"/>
      <c r="N3703" s="1178"/>
      <c r="O3703" s="1178">
        <v>6</v>
      </c>
      <c r="P3703" s="1178">
        <v>14.5</v>
      </c>
    </row>
    <row r="3704" spans="1:16">
      <c r="A3704" s="1178" t="s">
        <v>365</v>
      </c>
      <c r="B3704" s="1371" t="str">
        <f>HYPERLINK(IFERROR("#Main_Tariff!A"&amp;MATCH(Raeburn_Main_Tariff[[#This Row],[Product Code]],Main_Tariff!I:I,0),"#Main_Tariff!A"&amp;MATCH("*"&amp;RIGHT(A3704,8)&amp;"*",Main_Tariff!A:A,0)),Raeburn_Main_Tariff[[#This Row],[PRODUCER]])</f>
        <v>Stefano Oreste</v>
      </c>
      <c r="C3704" s="1178" t="s">
        <v>21804</v>
      </c>
      <c r="D3704" s="1178" t="s">
        <v>897</v>
      </c>
      <c r="E3704" s="1179">
        <v>2017</v>
      </c>
      <c r="F3704" s="1282" t="s">
        <v>20220</v>
      </c>
      <c r="G3704" s="1368">
        <v>30</v>
      </c>
      <c r="H3704" s="1178" t="s">
        <v>20221</v>
      </c>
      <c r="I3704" s="1178" t="s">
        <v>11301</v>
      </c>
      <c r="J3704" s="1178" t="s">
        <v>668</v>
      </c>
      <c r="K3704" s="1178" t="s">
        <v>350</v>
      </c>
      <c r="L3704" s="1178" t="s">
        <v>351</v>
      </c>
      <c r="M3704" s="1369"/>
      <c r="N3704" s="1178"/>
      <c r="O3704" s="1178">
        <v>6</v>
      </c>
      <c r="P3704" s="1178">
        <v>14.5</v>
      </c>
    </row>
    <row r="3705" spans="1:16">
      <c r="A3705" s="1178" t="s">
        <v>365</v>
      </c>
      <c r="B3705" s="1371" t="str">
        <f>HYPERLINK(IFERROR("#Main_Tariff!A"&amp;MATCH(Raeburn_Main_Tariff[[#This Row],[Product Code]],Main_Tariff!I:I,0),"#Main_Tariff!A"&amp;MATCH("*"&amp;RIGHT(A3705,8)&amp;"*",Main_Tariff!A:A,0)),Raeburn_Main_Tariff[[#This Row],[PRODUCER]])</f>
        <v>Stefano Oreste</v>
      </c>
      <c r="C3705" s="1178" t="s">
        <v>21804</v>
      </c>
      <c r="D3705" s="1178" t="s">
        <v>897</v>
      </c>
      <c r="E3705" s="1179">
        <v>2016</v>
      </c>
      <c r="F3705" s="1282" t="s">
        <v>20220</v>
      </c>
      <c r="G3705" s="1368">
        <v>31</v>
      </c>
      <c r="H3705" s="1178" t="s">
        <v>20221</v>
      </c>
      <c r="I3705" s="1178" t="s">
        <v>11303</v>
      </c>
      <c r="J3705" s="1178" t="s">
        <v>668</v>
      </c>
      <c r="K3705" s="1178" t="s">
        <v>350</v>
      </c>
      <c r="L3705" s="1178" t="s">
        <v>351</v>
      </c>
      <c r="M3705" s="1369"/>
      <c r="N3705" s="1178"/>
      <c r="O3705" s="1178">
        <v>6</v>
      </c>
      <c r="P3705" s="1178">
        <v>14.5</v>
      </c>
    </row>
    <row r="3706" spans="1:16">
      <c r="A3706" s="1178" t="s">
        <v>365</v>
      </c>
      <c r="B3706" s="1371" t="str">
        <f>HYPERLINK(IFERROR("#Main_Tariff!A"&amp;MATCH(Raeburn_Main_Tariff[[#This Row],[Product Code]],Main_Tariff!I:I,0),"#Main_Tariff!A"&amp;MATCH("*"&amp;RIGHT(A3706,8)&amp;"*",Main_Tariff!A:A,0)),Raeburn_Main_Tariff[[#This Row],[PRODUCER]])</f>
        <v>Stefano Oreste</v>
      </c>
      <c r="C3706" s="1178" t="s">
        <v>21804</v>
      </c>
      <c r="D3706" s="1178" t="s">
        <v>897</v>
      </c>
      <c r="E3706" s="1179">
        <v>2015</v>
      </c>
      <c r="F3706" s="1282" t="s">
        <v>20220</v>
      </c>
      <c r="G3706" s="1368">
        <v>30</v>
      </c>
      <c r="H3706" s="1178" t="s">
        <v>20221</v>
      </c>
      <c r="I3706" s="1178" t="s">
        <v>11305</v>
      </c>
      <c r="J3706" s="1178" t="s">
        <v>668</v>
      </c>
      <c r="K3706" s="1178" t="s">
        <v>350</v>
      </c>
      <c r="L3706" s="1178" t="s">
        <v>351</v>
      </c>
      <c r="M3706" s="1369"/>
      <c r="N3706" s="1178"/>
      <c r="O3706" s="1178">
        <v>6</v>
      </c>
      <c r="P3706" s="1178">
        <v>14.5</v>
      </c>
    </row>
    <row r="3707" spans="1:16">
      <c r="A3707" s="1178" t="s">
        <v>365</v>
      </c>
      <c r="B3707" s="1371" t="str">
        <f>HYPERLINK(IFERROR("#Main_Tariff!A"&amp;MATCH(Raeburn_Main_Tariff[[#This Row],[Product Code]],Main_Tariff!I:I,0),"#Main_Tariff!A"&amp;MATCH("*"&amp;RIGHT(A3707,8)&amp;"*",Main_Tariff!A:A,0)),Raeburn_Main_Tariff[[#This Row],[PRODUCER]])</f>
        <v>Stefano Oreste</v>
      </c>
      <c r="C3707" s="1178" t="s">
        <v>21804</v>
      </c>
      <c r="D3707" s="1178" t="s">
        <v>897</v>
      </c>
      <c r="E3707" s="1179">
        <v>2014</v>
      </c>
      <c r="F3707" s="1282" t="s">
        <v>20220</v>
      </c>
      <c r="G3707" s="1368">
        <v>30</v>
      </c>
      <c r="H3707" s="1178" t="s">
        <v>20221</v>
      </c>
      <c r="I3707" s="1178" t="s">
        <v>11307</v>
      </c>
      <c r="J3707" s="1178" t="s">
        <v>668</v>
      </c>
      <c r="K3707" s="1178" t="s">
        <v>350</v>
      </c>
      <c r="L3707" s="1178" t="s">
        <v>351</v>
      </c>
      <c r="M3707" s="1369"/>
      <c r="N3707" s="1178"/>
      <c r="O3707" s="1178">
        <v>6</v>
      </c>
      <c r="P3707" s="1178">
        <v>14</v>
      </c>
    </row>
    <row r="3708" spans="1:16">
      <c r="A3708" s="1178" t="s">
        <v>365</v>
      </c>
      <c r="B3708" s="1371" t="str">
        <f>HYPERLINK(IFERROR("#Main_Tariff!A"&amp;MATCH(Raeburn_Main_Tariff[[#This Row],[Product Code]],Main_Tariff!I:I,0),"#Main_Tariff!A"&amp;MATCH("*"&amp;RIGHT(A3708,8)&amp;"*",Main_Tariff!A:A,0)),Raeburn_Main_Tariff[[#This Row],[PRODUCER]])</f>
        <v>Stefano Oreste</v>
      </c>
      <c r="C3708" s="1178" t="s">
        <v>21805</v>
      </c>
      <c r="D3708" s="1178" t="s">
        <v>897</v>
      </c>
      <c r="E3708" s="1179">
        <v>2016</v>
      </c>
      <c r="F3708" s="1282" t="s">
        <v>20220</v>
      </c>
      <c r="G3708" s="1368">
        <v>41.5</v>
      </c>
      <c r="H3708" s="1178" t="s">
        <v>20224</v>
      </c>
      <c r="I3708" s="1178" t="s">
        <v>11310</v>
      </c>
      <c r="J3708" s="1178" t="s">
        <v>668</v>
      </c>
      <c r="K3708" s="1178" t="s">
        <v>350</v>
      </c>
      <c r="L3708" s="1178" t="s">
        <v>351</v>
      </c>
      <c r="M3708" s="1369"/>
      <c r="N3708" s="1178"/>
      <c r="O3708" s="1178">
        <v>6</v>
      </c>
      <c r="P3708" s="1178">
        <v>14.5</v>
      </c>
    </row>
    <row r="3709" spans="1:16">
      <c r="A3709" s="1178" t="s">
        <v>365</v>
      </c>
      <c r="B3709" s="1371" t="str">
        <f>HYPERLINK(IFERROR("#Main_Tariff!A"&amp;MATCH(Raeburn_Main_Tariff[[#This Row],[Product Code]],Main_Tariff!I:I,0),"#Main_Tariff!A"&amp;MATCH("*"&amp;RIGHT(A3709,8)&amp;"*",Main_Tariff!A:A,0)),Raeburn_Main_Tariff[[#This Row],[PRODUCER]])</f>
        <v>Stefano Oreste</v>
      </c>
      <c r="C3709" s="1178" t="s">
        <v>21805</v>
      </c>
      <c r="D3709" s="1178" t="s">
        <v>897</v>
      </c>
      <c r="E3709" s="1179">
        <v>2015</v>
      </c>
      <c r="F3709" s="1282" t="s">
        <v>20220</v>
      </c>
      <c r="G3709" s="1368">
        <v>40.5</v>
      </c>
      <c r="H3709" s="1178" t="s">
        <v>20221</v>
      </c>
      <c r="I3709" s="1178" t="s">
        <v>11312</v>
      </c>
      <c r="J3709" s="1178" t="s">
        <v>668</v>
      </c>
      <c r="K3709" s="1178" t="s">
        <v>350</v>
      </c>
      <c r="L3709" s="1178" t="s">
        <v>351</v>
      </c>
      <c r="M3709" s="1369"/>
      <c r="N3709" s="1178"/>
      <c r="O3709" s="1178">
        <v>6</v>
      </c>
      <c r="P3709" s="1178">
        <v>14.5</v>
      </c>
    </row>
    <row r="3710" spans="1:16">
      <c r="A3710" s="1178" t="s">
        <v>365</v>
      </c>
      <c r="B3710" s="1371" t="str">
        <f>HYPERLINK(IFERROR("#Main_Tariff!A"&amp;MATCH(Raeburn_Main_Tariff[[#This Row],[Product Code]],Main_Tariff!I:I,0),"#Main_Tariff!A"&amp;MATCH("*"&amp;RIGHT(A3710,8)&amp;"*",Main_Tariff!A:A,0)),Raeburn_Main_Tariff[[#This Row],[PRODUCER]])</f>
        <v>Stefano Oreste</v>
      </c>
      <c r="C3710" s="1178" t="s">
        <v>21805</v>
      </c>
      <c r="D3710" s="1178" t="s">
        <v>897</v>
      </c>
      <c r="E3710" s="1179">
        <v>2013</v>
      </c>
      <c r="F3710" s="1282" t="s">
        <v>20220</v>
      </c>
      <c r="G3710" s="1368">
        <v>41.5</v>
      </c>
      <c r="H3710" s="1178" t="s">
        <v>20221</v>
      </c>
      <c r="I3710" s="1178" t="s">
        <v>11313</v>
      </c>
      <c r="J3710" s="1178" t="s">
        <v>668</v>
      </c>
      <c r="K3710" s="1178" t="s">
        <v>350</v>
      </c>
      <c r="L3710" s="1178" t="s">
        <v>351</v>
      </c>
      <c r="M3710" s="1369"/>
      <c r="N3710" s="1178"/>
      <c r="O3710" s="1178">
        <v>6</v>
      </c>
      <c r="P3710" s="1178">
        <v>14</v>
      </c>
    </row>
    <row r="3711" spans="1:16">
      <c r="A3711" s="1178" t="s">
        <v>365</v>
      </c>
      <c r="B3711" s="1371" t="str">
        <f>HYPERLINK(IFERROR("#Main_Tariff!A"&amp;MATCH(Raeburn_Main_Tariff[[#This Row],[Product Code]],Main_Tariff!I:I,0),"#Main_Tariff!A"&amp;MATCH("*"&amp;RIGHT(A3711,8)&amp;"*",Main_Tariff!A:A,0)),Raeburn_Main_Tariff[[#This Row],[PRODUCER]])</f>
        <v>Stefano Oreste</v>
      </c>
      <c r="C3711" s="1178" t="s">
        <v>21805</v>
      </c>
      <c r="D3711" s="1178" t="s">
        <v>897</v>
      </c>
      <c r="E3711" s="1179">
        <v>2012</v>
      </c>
      <c r="F3711" s="1282" t="s">
        <v>20220</v>
      </c>
      <c r="G3711" s="1368">
        <v>39.5</v>
      </c>
      <c r="H3711" s="1178" t="s">
        <v>20224</v>
      </c>
      <c r="I3711" s="1178" t="s">
        <v>11314</v>
      </c>
      <c r="J3711" s="1178" t="s">
        <v>668</v>
      </c>
      <c r="K3711" s="1178" t="s">
        <v>350</v>
      </c>
      <c r="L3711" s="1178" t="s">
        <v>351</v>
      </c>
      <c r="M3711" s="1369"/>
      <c r="N3711" s="1178"/>
      <c r="O3711" s="1178">
        <v>6</v>
      </c>
      <c r="P3711" s="1178">
        <v>14</v>
      </c>
    </row>
    <row r="3712" spans="1:16">
      <c r="A3712" s="1178" t="s">
        <v>365</v>
      </c>
      <c r="B3712" s="1371" t="str">
        <f>HYPERLINK(IFERROR("#Main_Tariff!A"&amp;MATCH(Raeburn_Main_Tariff[[#This Row],[Product Code]],Main_Tariff!I:I,0),"#Main_Tariff!A"&amp;MATCH("*"&amp;RIGHT(A3712,8)&amp;"*",Main_Tariff!A:A,0)),Raeburn_Main_Tariff[[#This Row],[PRODUCER]])</f>
        <v>Stefano Oreste</v>
      </c>
      <c r="C3712" s="1178" t="s">
        <v>21806</v>
      </c>
      <c r="D3712" s="1178" t="s">
        <v>897</v>
      </c>
      <c r="E3712" s="1179">
        <v>2019</v>
      </c>
      <c r="F3712" s="1282" t="s">
        <v>20240</v>
      </c>
      <c r="G3712" s="1368">
        <v>64</v>
      </c>
      <c r="H3712" s="1178" t="s">
        <v>20224</v>
      </c>
      <c r="I3712" s="1178" t="s">
        <v>11315</v>
      </c>
      <c r="J3712" s="1178" t="s">
        <v>668</v>
      </c>
      <c r="K3712" s="1178" t="s">
        <v>350</v>
      </c>
      <c r="L3712" s="1178" t="s">
        <v>351</v>
      </c>
      <c r="M3712" s="1369"/>
      <c r="N3712" s="1178"/>
      <c r="O3712" s="1178">
        <v>1</v>
      </c>
      <c r="P3712" s="1178">
        <v>14.5</v>
      </c>
    </row>
    <row r="3713" spans="1:16">
      <c r="A3713" s="1178" t="s">
        <v>365</v>
      </c>
      <c r="B3713" s="1371" t="str">
        <f>HYPERLINK(IFERROR("#Main_Tariff!A"&amp;MATCH(Raeburn_Main_Tariff[[#This Row],[Product Code]],Main_Tariff!I:I,0),"#Main_Tariff!A"&amp;MATCH("*"&amp;RIGHT(A3713,8)&amp;"*",Main_Tariff!A:A,0)),Raeburn_Main_Tariff[[#This Row],[PRODUCER]])</f>
        <v>Stefano Oreste</v>
      </c>
      <c r="C3713" s="1178" t="s">
        <v>21806</v>
      </c>
      <c r="D3713" s="1178" t="s">
        <v>897</v>
      </c>
      <c r="E3713" s="1179">
        <v>2018</v>
      </c>
      <c r="F3713" s="1282" t="s">
        <v>20240</v>
      </c>
      <c r="G3713" s="1368">
        <v>64</v>
      </c>
      <c r="H3713" s="1178" t="s">
        <v>20224</v>
      </c>
      <c r="I3713" s="1178" t="s">
        <v>11316</v>
      </c>
      <c r="J3713" s="1178" t="s">
        <v>668</v>
      </c>
      <c r="K3713" s="1178" t="s">
        <v>350</v>
      </c>
      <c r="L3713" s="1178" t="s">
        <v>351</v>
      </c>
      <c r="M3713" s="1369"/>
      <c r="N3713" s="1178"/>
      <c r="O3713" s="1178">
        <v>1</v>
      </c>
      <c r="P3713" s="1178">
        <v>14.5</v>
      </c>
    </row>
    <row r="3714" spans="1:16">
      <c r="A3714" s="1178" t="s">
        <v>365</v>
      </c>
      <c r="B3714" s="1371" t="str">
        <f>HYPERLINK(IFERROR("#Main_Tariff!A"&amp;MATCH(Raeburn_Main_Tariff[[#This Row],[Product Code]],Main_Tariff!I:I,0),"#Main_Tariff!A"&amp;MATCH("*"&amp;RIGHT(A3714,8)&amp;"*",Main_Tariff!A:A,0)),Raeburn_Main_Tariff[[#This Row],[PRODUCER]])</f>
        <v>Stefano Oreste</v>
      </c>
      <c r="C3714" s="1178" t="s">
        <v>21806</v>
      </c>
      <c r="D3714" s="1178" t="s">
        <v>897</v>
      </c>
      <c r="E3714" s="1179">
        <v>2012</v>
      </c>
      <c r="F3714" s="1282" t="s">
        <v>20240</v>
      </c>
      <c r="G3714" s="1368">
        <v>63</v>
      </c>
      <c r="H3714" s="1178" t="s">
        <v>20224</v>
      </c>
      <c r="I3714" s="1178" t="s">
        <v>11317</v>
      </c>
      <c r="J3714" s="1178" t="s">
        <v>668</v>
      </c>
      <c r="K3714" s="1178" t="s">
        <v>350</v>
      </c>
      <c r="L3714" s="1178" t="s">
        <v>351</v>
      </c>
      <c r="M3714" s="1369"/>
      <c r="N3714" s="1178"/>
      <c r="O3714" s="1178">
        <v>1</v>
      </c>
      <c r="P3714" s="1178">
        <v>14</v>
      </c>
    </row>
    <row r="3715" spans="1:16">
      <c r="A3715" s="1178" t="s">
        <v>365</v>
      </c>
      <c r="B3715" s="1371" t="str">
        <f>HYPERLINK(IFERROR("#Main_Tariff!A"&amp;MATCH(Raeburn_Main_Tariff[[#This Row],[Product Code]],Main_Tariff!I:I,0),"#Main_Tariff!A"&amp;MATCH("*"&amp;RIGHT(A3715,8)&amp;"*",Main_Tariff!A:A,0)),Raeburn_Main_Tariff[[#This Row],[PRODUCER]])</f>
        <v>Stefano Oreste</v>
      </c>
      <c r="C3715" s="1178" t="s">
        <v>21807</v>
      </c>
      <c r="D3715" s="1178" t="s">
        <v>897</v>
      </c>
      <c r="E3715" s="1179">
        <v>2012</v>
      </c>
      <c r="F3715" s="1282" t="s">
        <v>20240</v>
      </c>
      <c r="G3715" s="1368">
        <v>83</v>
      </c>
      <c r="H3715" s="1178" t="s">
        <v>20224</v>
      </c>
      <c r="I3715" s="1178" t="s">
        <v>11318</v>
      </c>
      <c r="J3715" s="1178" t="s">
        <v>668</v>
      </c>
      <c r="K3715" s="1178" t="s">
        <v>350</v>
      </c>
      <c r="L3715" s="1178" t="s">
        <v>351</v>
      </c>
      <c r="M3715" s="1369"/>
      <c r="N3715" s="1178"/>
      <c r="O3715" s="1178">
        <v>1</v>
      </c>
      <c r="P3715" s="1178">
        <v>14</v>
      </c>
    </row>
    <row r="3716" spans="1:16">
      <c r="A3716" s="1178" t="s">
        <v>365</v>
      </c>
      <c r="B3716" s="1371" t="str">
        <f>HYPERLINK(IFERROR("#Main_Tariff!A"&amp;MATCH(Raeburn_Main_Tariff[[#This Row],[Product Code]],Main_Tariff!I:I,0),"#Main_Tariff!A"&amp;MATCH("*"&amp;RIGHT(A3716,8)&amp;"*",Main_Tariff!A:A,0)),Raeburn_Main_Tariff[[#This Row],[PRODUCER]])</f>
        <v>Stefano Oreste</v>
      </c>
      <c r="C3716" s="1178" t="s">
        <v>21808</v>
      </c>
      <c r="D3716" s="1178" t="s">
        <v>897</v>
      </c>
      <c r="E3716" s="1179">
        <v>2015</v>
      </c>
      <c r="F3716" s="1282" t="s">
        <v>20471</v>
      </c>
      <c r="G3716" s="1368" t="s">
        <v>5258</v>
      </c>
      <c r="H3716" s="1178" t="s">
        <v>20224</v>
      </c>
      <c r="I3716" s="1178" t="s">
        <v>11320</v>
      </c>
      <c r="J3716" s="1178" t="s">
        <v>668</v>
      </c>
      <c r="K3716" s="1178" t="s">
        <v>350</v>
      </c>
      <c r="L3716" s="1178" t="s">
        <v>351</v>
      </c>
      <c r="M3716" s="1369"/>
      <c r="N3716" s="1178"/>
      <c r="O3716" s="1178">
        <v>1</v>
      </c>
      <c r="P3716" s="1178">
        <v>14.5</v>
      </c>
    </row>
    <row r="3717" spans="1:16">
      <c r="A3717" s="1178" t="s">
        <v>366</v>
      </c>
      <c r="B3717" s="1371" t="str">
        <f>HYPERLINK(IFERROR("#Main_Tariff!A"&amp;MATCH(Raeburn_Main_Tariff[[#This Row],[Product Code]],Main_Tariff!I:I,0),"#Main_Tariff!A"&amp;MATCH("*"&amp;RIGHT(A3717,8)&amp;"*",Main_Tariff!A:A,0)),Raeburn_Main_Tariff[[#This Row],[PRODUCER]])</f>
        <v>Giuseppe Rinaldi</v>
      </c>
      <c r="C3717" s="1178" t="s">
        <v>21809</v>
      </c>
      <c r="D3717" s="1178" t="s">
        <v>897</v>
      </c>
      <c r="E3717" s="1179">
        <v>2023</v>
      </c>
      <c r="F3717" s="1282" t="s">
        <v>20220</v>
      </c>
      <c r="G3717" s="1368" t="s">
        <v>5258</v>
      </c>
      <c r="H3717" s="1178" t="s">
        <v>20221</v>
      </c>
      <c r="I3717" s="1178" t="s">
        <v>11326</v>
      </c>
      <c r="J3717" s="1178" t="s">
        <v>668</v>
      </c>
      <c r="K3717" s="1178" t="s">
        <v>350</v>
      </c>
      <c r="L3717" s="1178" t="s">
        <v>351</v>
      </c>
      <c r="M3717" s="1369"/>
      <c r="N3717" s="1178"/>
      <c r="O3717" s="1178">
        <v>6</v>
      </c>
      <c r="P3717" s="1178">
        <v>13</v>
      </c>
    </row>
    <row r="3718" spans="1:16">
      <c r="A3718" s="1178" t="s">
        <v>366</v>
      </c>
      <c r="B3718" s="1371" t="str">
        <f>HYPERLINK(IFERROR("#Main_Tariff!A"&amp;MATCH(Raeburn_Main_Tariff[[#This Row],[Product Code]],Main_Tariff!I:I,0),"#Main_Tariff!A"&amp;MATCH("*"&amp;RIGHT(A3718,8)&amp;"*",Main_Tariff!A:A,0)),Raeburn_Main_Tariff[[#This Row],[PRODUCER]])</f>
        <v>Giuseppe Rinaldi</v>
      </c>
      <c r="C3718" s="1178" t="s">
        <v>21810</v>
      </c>
      <c r="D3718" s="1178" t="s">
        <v>897</v>
      </c>
      <c r="E3718" s="1179">
        <v>2023</v>
      </c>
      <c r="F3718" s="1282" t="s">
        <v>20220</v>
      </c>
      <c r="G3718" s="1368" t="s">
        <v>5258</v>
      </c>
      <c r="H3718" s="1178" t="s">
        <v>20221</v>
      </c>
      <c r="I3718" s="1178" t="s">
        <v>11328</v>
      </c>
      <c r="J3718" s="1178" t="s">
        <v>668</v>
      </c>
      <c r="K3718" s="1178" t="s">
        <v>350</v>
      </c>
      <c r="L3718" s="1178" t="s">
        <v>351</v>
      </c>
      <c r="M3718" s="1369"/>
      <c r="N3718" s="1178"/>
      <c r="O3718" s="1178">
        <v>6</v>
      </c>
      <c r="P3718" s="1178">
        <v>13.5</v>
      </c>
    </row>
    <row r="3719" spans="1:16">
      <c r="A3719" s="1178" t="s">
        <v>366</v>
      </c>
      <c r="B3719" s="1371" t="str">
        <f>HYPERLINK(IFERROR("#Main_Tariff!A"&amp;MATCH(Raeburn_Main_Tariff[[#This Row],[Product Code]],Main_Tariff!I:I,0),"#Main_Tariff!A"&amp;MATCH("*"&amp;RIGHT(A3719,8)&amp;"*",Main_Tariff!A:A,0)),Raeburn_Main_Tariff[[#This Row],[PRODUCER]])</f>
        <v>Giuseppe Rinaldi</v>
      </c>
      <c r="C3719" s="1178" t="s">
        <v>21810</v>
      </c>
      <c r="D3719" s="1178" t="s">
        <v>897</v>
      </c>
      <c r="E3719" s="1179">
        <v>2022</v>
      </c>
      <c r="F3719" s="1282" t="s">
        <v>20220</v>
      </c>
      <c r="G3719" s="1368" t="s">
        <v>5258</v>
      </c>
      <c r="H3719" s="1178" t="s">
        <v>3907</v>
      </c>
      <c r="I3719" s="1178" t="s">
        <v>11330</v>
      </c>
      <c r="J3719" s="1178" t="s">
        <v>668</v>
      </c>
      <c r="K3719" s="1178" t="s">
        <v>350</v>
      </c>
      <c r="L3719" s="1178" t="s">
        <v>351</v>
      </c>
      <c r="M3719" s="1369"/>
      <c r="N3719" s="1178"/>
      <c r="O3719" s="1178">
        <v>6</v>
      </c>
      <c r="P3719" s="1178">
        <v>14</v>
      </c>
    </row>
    <row r="3720" spans="1:16">
      <c r="A3720" s="1178" t="s">
        <v>366</v>
      </c>
      <c r="B3720" s="1371" t="str">
        <f>HYPERLINK(IFERROR("#Main_Tariff!A"&amp;MATCH(Raeburn_Main_Tariff[[#This Row],[Product Code]],Main_Tariff!I:I,0),"#Main_Tariff!A"&amp;MATCH("*"&amp;RIGHT(A3720,8)&amp;"*",Main_Tariff!A:A,0)),Raeburn_Main_Tariff[[#This Row],[PRODUCER]])</f>
        <v>Giuseppe Rinaldi</v>
      </c>
      <c r="C3720" s="1178" t="s">
        <v>21811</v>
      </c>
      <c r="D3720" s="1178" t="s">
        <v>897</v>
      </c>
      <c r="E3720" s="1179"/>
      <c r="F3720" s="1282" t="s">
        <v>20220</v>
      </c>
      <c r="G3720" s="1368" t="s">
        <v>5258</v>
      </c>
      <c r="H3720" s="1178" t="s">
        <v>20221</v>
      </c>
      <c r="I3720" s="1178" t="s">
        <v>11332</v>
      </c>
      <c r="J3720" s="1178" t="s">
        <v>668</v>
      </c>
      <c r="K3720" s="1178" t="s">
        <v>350</v>
      </c>
      <c r="L3720" s="1178" t="s">
        <v>351</v>
      </c>
      <c r="M3720" s="1369"/>
      <c r="N3720" s="1178"/>
      <c r="O3720" s="1178">
        <v>6</v>
      </c>
      <c r="P3720" s="1178">
        <v>13</v>
      </c>
    </row>
    <row r="3721" spans="1:16">
      <c r="A3721" s="1178" t="s">
        <v>366</v>
      </c>
      <c r="B3721" s="1371" t="str">
        <f>HYPERLINK(IFERROR("#Main_Tariff!A"&amp;MATCH(Raeburn_Main_Tariff[[#This Row],[Product Code]],Main_Tariff!I:I,0),"#Main_Tariff!A"&amp;MATCH("*"&amp;RIGHT(A3721,8)&amp;"*",Main_Tariff!A:A,0)),Raeburn_Main_Tariff[[#This Row],[PRODUCER]])</f>
        <v>Giuseppe Rinaldi</v>
      </c>
      <c r="C3721" s="1178" t="s">
        <v>21717</v>
      </c>
      <c r="D3721" s="1178" t="s">
        <v>897</v>
      </c>
      <c r="E3721" s="1179"/>
      <c r="F3721" s="1282" t="s">
        <v>20220</v>
      </c>
      <c r="G3721" s="1368"/>
      <c r="H3721" s="1178" t="s">
        <v>3907</v>
      </c>
      <c r="I3721" s="1178" t="s">
        <v>11334</v>
      </c>
      <c r="J3721" s="1178" t="s">
        <v>668</v>
      </c>
      <c r="K3721" s="1178" t="s">
        <v>350</v>
      </c>
      <c r="L3721" s="1178" t="s">
        <v>351</v>
      </c>
      <c r="M3721" s="1369"/>
      <c r="N3721" s="1178"/>
      <c r="O3721" s="1178">
        <v>6</v>
      </c>
      <c r="P3721" s="1178">
        <v>14.5</v>
      </c>
    </row>
    <row r="3722" spans="1:16">
      <c r="A3722" s="1178" t="s">
        <v>366</v>
      </c>
      <c r="B3722" s="1371" t="str">
        <f>HYPERLINK(IFERROR("#Main_Tariff!A"&amp;MATCH(Raeburn_Main_Tariff[[#This Row],[Product Code]],Main_Tariff!I:I,0),"#Main_Tariff!A"&amp;MATCH("*"&amp;RIGHT(A3722,8)&amp;"*",Main_Tariff!A:A,0)),Raeburn_Main_Tariff[[#This Row],[PRODUCER]])</f>
        <v>Giuseppe Rinaldi</v>
      </c>
      <c r="C3722" s="1178" t="s">
        <v>21812</v>
      </c>
      <c r="D3722" s="1178" t="s">
        <v>897</v>
      </c>
      <c r="E3722" s="1179"/>
      <c r="F3722" s="1282" t="s">
        <v>20220</v>
      </c>
      <c r="G3722" s="1368" t="s">
        <v>5258</v>
      </c>
      <c r="H3722" s="1178" t="s">
        <v>20224</v>
      </c>
      <c r="I3722" s="1178" t="s">
        <v>11336</v>
      </c>
      <c r="J3722" s="1178" t="s">
        <v>668</v>
      </c>
      <c r="K3722" s="1178" t="s">
        <v>350</v>
      </c>
      <c r="L3722" s="1178" t="s">
        <v>351</v>
      </c>
      <c r="M3722" s="1369"/>
      <c r="N3722" s="1178"/>
      <c r="O3722" s="1178">
        <v>6</v>
      </c>
      <c r="P3722" s="1178">
        <v>14</v>
      </c>
    </row>
    <row r="3723" spans="1:16">
      <c r="A3723" s="1178" t="s">
        <v>366</v>
      </c>
      <c r="B3723" s="1371" t="str">
        <f>HYPERLINK(IFERROR("#Main_Tariff!A"&amp;MATCH(Raeburn_Main_Tariff[[#This Row],[Product Code]],Main_Tariff!I:I,0),"#Main_Tariff!A"&amp;MATCH("*"&amp;RIGHT(A3723,8)&amp;"*",Main_Tariff!A:A,0)),Raeburn_Main_Tariff[[#This Row],[PRODUCER]])</f>
        <v>Giuseppe Rinaldi</v>
      </c>
      <c r="C3723" s="1178" t="s">
        <v>21725</v>
      </c>
      <c r="D3723" s="1178" t="s">
        <v>897</v>
      </c>
      <c r="E3723" s="1179"/>
      <c r="F3723" s="1282" t="s">
        <v>20220</v>
      </c>
      <c r="G3723" s="1368" t="s">
        <v>5258</v>
      </c>
      <c r="H3723" s="1178" t="s">
        <v>20221</v>
      </c>
      <c r="I3723" s="1178" t="s">
        <v>11338</v>
      </c>
      <c r="J3723" s="1178" t="s">
        <v>668</v>
      </c>
      <c r="K3723" s="1178" t="s">
        <v>350</v>
      </c>
      <c r="L3723" s="1178" t="s">
        <v>351</v>
      </c>
      <c r="M3723" s="1369"/>
      <c r="N3723" s="1178"/>
      <c r="O3723" s="1178">
        <v>6</v>
      </c>
      <c r="P3723" s="1178">
        <v>14</v>
      </c>
    </row>
    <row r="3724" spans="1:16">
      <c r="A3724" s="1178" t="s">
        <v>366</v>
      </c>
      <c r="B3724" s="1371" t="str">
        <f>HYPERLINK(IFERROR("#Main_Tariff!A"&amp;MATCH(Raeburn_Main_Tariff[[#This Row],[Product Code]],Main_Tariff!I:I,0),"#Main_Tariff!A"&amp;MATCH("*"&amp;RIGHT(A3724,8)&amp;"*",Main_Tariff!A:A,0)),Raeburn_Main_Tariff[[#This Row],[PRODUCER]])</f>
        <v>Giuseppe Rinaldi</v>
      </c>
      <c r="C3724" s="1178" t="s">
        <v>21791</v>
      </c>
      <c r="D3724" s="1178" t="s">
        <v>897</v>
      </c>
      <c r="E3724" s="1179"/>
      <c r="F3724" s="1282" t="s">
        <v>20220</v>
      </c>
      <c r="G3724" s="1368" t="s">
        <v>5258</v>
      </c>
      <c r="H3724" s="1178" t="s">
        <v>20224</v>
      </c>
      <c r="I3724" s="1178" t="s">
        <v>11340</v>
      </c>
      <c r="J3724" s="1178" t="s">
        <v>668</v>
      </c>
      <c r="K3724" s="1178" t="s">
        <v>350</v>
      </c>
      <c r="L3724" s="1178" t="s">
        <v>351</v>
      </c>
      <c r="M3724" s="1369"/>
      <c r="N3724" s="1178"/>
      <c r="O3724" s="1178">
        <v>6</v>
      </c>
      <c r="P3724" s="1178">
        <v>14</v>
      </c>
    </row>
    <row r="3725" spans="1:16">
      <c r="A3725" s="1178" t="s">
        <v>367</v>
      </c>
      <c r="B3725" s="1371" t="str">
        <f>HYPERLINK(IFERROR("#Main_Tariff!A"&amp;MATCH(Raeburn_Main_Tariff[[#This Row],[Product Code]],Main_Tariff!I:I,0),"#Main_Tariff!A"&amp;MATCH("*"&amp;RIGHT(A3725,8)&amp;"*",Main_Tariff!A:A,0)),Raeburn_Main_Tariff[[#This Row],[PRODUCER]])</f>
        <v>Arnaldo Rivera</v>
      </c>
      <c r="C3725" s="1178" t="s">
        <v>21813</v>
      </c>
      <c r="D3725" s="1178" t="s">
        <v>1129</v>
      </c>
      <c r="E3725" s="1179">
        <v>2017</v>
      </c>
      <c r="F3725" s="1282" t="s">
        <v>20220</v>
      </c>
      <c r="G3725" s="1368">
        <v>16.5</v>
      </c>
      <c r="H3725" s="1178" t="s">
        <v>20221</v>
      </c>
      <c r="I3725" s="1178" t="s">
        <v>11374</v>
      </c>
      <c r="J3725" s="1178" t="s">
        <v>668</v>
      </c>
      <c r="K3725" s="1178" t="s">
        <v>350</v>
      </c>
      <c r="L3725" s="1178" t="s">
        <v>351</v>
      </c>
      <c r="M3725" s="1369"/>
      <c r="N3725" s="1178"/>
      <c r="O3725" s="1178">
        <v>6</v>
      </c>
      <c r="P3725" s="1178">
        <v>13.5</v>
      </c>
    </row>
    <row r="3726" spans="1:16">
      <c r="A3726" s="1178" t="s">
        <v>367</v>
      </c>
      <c r="B3726" s="1371" t="str">
        <f>HYPERLINK(IFERROR("#Main_Tariff!A"&amp;MATCH(Raeburn_Main_Tariff[[#This Row],[Product Code]],Main_Tariff!I:I,0),"#Main_Tariff!A"&amp;MATCH("*"&amp;RIGHT(A3726,8)&amp;"*",Main_Tariff!A:A,0)),Raeburn_Main_Tariff[[#This Row],[PRODUCER]])</f>
        <v>Arnaldo Rivera</v>
      </c>
      <c r="C3726" s="1178" t="s">
        <v>21814</v>
      </c>
      <c r="D3726" s="1178" t="s">
        <v>897</v>
      </c>
      <c r="E3726" s="1179">
        <v>2016</v>
      </c>
      <c r="F3726" s="1282" t="s">
        <v>20220</v>
      </c>
      <c r="G3726" s="1368">
        <v>26.5</v>
      </c>
      <c r="H3726" s="1178" t="s">
        <v>20221</v>
      </c>
      <c r="I3726" s="1178" t="s">
        <v>11377</v>
      </c>
      <c r="J3726" s="1178" t="s">
        <v>668</v>
      </c>
      <c r="K3726" s="1178" t="s">
        <v>350</v>
      </c>
      <c r="L3726" s="1178" t="s">
        <v>351</v>
      </c>
      <c r="M3726" s="1369"/>
      <c r="N3726" s="1178"/>
      <c r="O3726" s="1178">
        <v>6</v>
      </c>
      <c r="P3726" s="1178">
        <v>14</v>
      </c>
    </row>
    <row r="3727" spans="1:16">
      <c r="A3727" s="1178" t="s">
        <v>367</v>
      </c>
      <c r="B3727" s="1371" t="str">
        <f>HYPERLINK(IFERROR("#Main_Tariff!A"&amp;MATCH(Raeburn_Main_Tariff[[#This Row],[Product Code]],Main_Tariff!I:I,0),"#Main_Tariff!A"&amp;MATCH("*"&amp;RIGHT(A3727,8)&amp;"*",Main_Tariff!A:A,0)),Raeburn_Main_Tariff[[#This Row],[PRODUCER]])</f>
        <v>Arnaldo Rivera</v>
      </c>
      <c r="C3727" s="1178" t="s">
        <v>21814</v>
      </c>
      <c r="D3727" s="1178" t="s">
        <v>897</v>
      </c>
      <c r="E3727" s="1179">
        <v>2014</v>
      </c>
      <c r="F3727" s="1282" t="s">
        <v>20220</v>
      </c>
      <c r="G3727" s="1368">
        <v>25.5</v>
      </c>
      <c r="H3727" s="1178" t="s">
        <v>20221</v>
      </c>
      <c r="I3727" s="1178" t="s">
        <v>11379</v>
      </c>
      <c r="J3727" s="1178" t="s">
        <v>668</v>
      </c>
      <c r="K3727" s="1178" t="s">
        <v>350</v>
      </c>
      <c r="L3727" s="1178" t="s">
        <v>351</v>
      </c>
      <c r="M3727" s="1369"/>
      <c r="N3727" s="1178"/>
      <c r="O3727" s="1178">
        <v>6</v>
      </c>
      <c r="P3727" s="1178">
        <v>14</v>
      </c>
    </row>
    <row r="3728" spans="1:16">
      <c r="A3728" s="1178" t="s">
        <v>367</v>
      </c>
      <c r="B3728" s="1371" t="str">
        <f>HYPERLINK(IFERROR("#Main_Tariff!A"&amp;MATCH(Raeburn_Main_Tariff[[#This Row],[Product Code]],Main_Tariff!I:I,0),"#Main_Tariff!A"&amp;MATCH("*"&amp;RIGHT(A3728,8)&amp;"*",Main_Tariff!A:A,0)),Raeburn_Main_Tariff[[#This Row],[PRODUCER]])</f>
        <v>Arnaldo Rivera</v>
      </c>
      <c r="C3728" s="1178" t="s">
        <v>21814</v>
      </c>
      <c r="D3728" s="1178" t="s">
        <v>897</v>
      </c>
      <c r="E3728" s="1179">
        <v>2013</v>
      </c>
      <c r="F3728" s="1282" t="s">
        <v>20220</v>
      </c>
      <c r="G3728" s="1368">
        <v>26.5</v>
      </c>
      <c r="H3728" s="1178" t="s">
        <v>20221</v>
      </c>
      <c r="I3728" s="1178" t="s">
        <v>11380</v>
      </c>
      <c r="J3728" s="1178" t="s">
        <v>668</v>
      </c>
      <c r="K3728" s="1178" t="s">
        <v>350</v>
      </c>
      <c r="L3728" s="1178" t="s">
        <v>351</v>
      </c>
      <c r="M3728" s="1369"/>
      <c r="N3728" s="1178"/>
      <c r="O3728" s="1178">
        <v>6</v>
      </c>
      <c r="P3728" s="1178">
        <v>14</v>
      </c>
    </row>
    <row r="3729" spans="1:16">
      <c r="A3729" s="1178" t="s">
        <v>367</v>
      </c>
      <c r="B3729" s="1371" t="str">
        <f>HYPERLINK(IFERROR("#Main_Tariff!A"&amp;MATCH(Raeburn_Main_Tariff[[#This Row],[Product Code]],Main_Tariff!I:I,0),"#Main_Tariff!A"&amp;MATCH("*"&amp;RIGHT(A3729,8)&amp;"*",Main_Tariff!A:A,0)),Raeburn_Main_Tariff[[#This Row],[PRODUCER]])</f>
        <v>Arnaldo Rivera</v>
      </c>
      <c r="C3729" s="1178" t="s">
        <v>21815</v>
      </c>
      <c r="D3729" s="1178" t="s">
        <v>897</v>
      </c>
      <c r="E3729" s="1179">
        <v>2016</v>
      </c>
      <c r="F3729" s="1282" t="s">
        <v>20220</v>
      </c>
      <c r="G3729" s="1368">
        <v>33.5</v>
      </c>
      <c r="H3729" s="1178" t="s">
        <v>20221</v>
      </c>
      <c r="I3729" s="1178" t="s">
        <v>11383</v>
      </c>
      <c r="J3729" s="1178" t="s">
        <v>668</v>
      </c>
      <c r="K3729" s="1178" t="s">
        <v>350</v>
      </c>
      <c r="L3729" s="1178" t="s">
        <v>351</v>
      </c>
      <c r="M3729" s="1369"/>
      <c r="N3729" s="1178"/>
      <c r="O3729" s="1178">
        <v>6</v>
      </c>
      <c r="P3729" s="1178">
        <v>14.5</v>
      </c>
    </row>
    <row r="3730" spans="1:16">
      <c r="A3730" s="1178" t="s">
        <v>367</v>
      </c>
      <c r="B3730" s="1371" t="str">
        <f>HYPERLINK(IFERROR("#Main_Tariff!A"&amp;MATCH(Raeburn_Main_Tariff[[#This Row],[Product Code]],Main_Tariff!I:I,0),"#Main_Tariff!A"&amp;MATCH("*"&amp;RIGHT(A3730,8)&amp;"*",Main_Tariff!A:A,0)),Raeburn_Main_Tariff[[#This Row],[PRODUCER]])</f>
        <v>Arnaldo Rivera</v>
      </c>
      <c r="C3730" s="1178" t="s">
        <v>21815</v>
      </c>
      <c r="D3730" s="1178" t="s">
        <v>897</v>
      </c>
      <c r="E3730" s="1179">
        <v>2014</v>
      </c>
      <c r="F3730" s="1282" t="s">
        <v>20220</v>
      </c>
      <c r="G3730" s="1368">
        <v>31</v>
      </c>
      <c r="H3730" s="1178" t="s">
        <v>20221</v>
      </c>
      <c r="I3730" s="1178" t="s">
        <v>11385</v>
      </c>
      <c r="J3730" s="1178" t="s">
        <v>668</v>
      </c>
      <c r="K3730" s="1178" t="s">
        <v>350</v>
      </c>
      <c r="L3730" s="1178" t="s">
        <v>351</v>
      </c>
      <c r="M3730" s="1369"/>
      <c r="N3730" s="1178"/>
      <c r="O3730" s="1178">
        <v>6</v>
      </c>
      <c r="P3730" s="1178">
        <v>14</v>
      </c>
    </row>
    <row r="3731" spans="1:16">
      <c r="A3731" s="1178" t="s">
        <v>367</v>
      </c>
      <c r="B3731" s="1371" t="str">
        <f>HYPERLINK(IFERROR("#Main_Tariff!A"&amp;MATCH(Raeburn_Main_Tariff[[#This Row],[Product Code]],Main_Tariff!I:I,0),"#Main_Tariff!A"&amp;MATCH("*"&amp;RIGHT(A3731,8)&amp;"*",Main_Tariff!A:A,0)),Raeburn_Main_Tariff[[#This Row],[PRODUCER]])</f>
        <v>Arnaldo Rivera</v>
      </c>
      <c r="C3731" s="1178" t="s">
        <v>21816</v>
      </c>
      <c r="D3731" s="1178" t="s">
        <v>897</v>
      </c>
      <c r="E3731" s="1179">
        <v>2016</v>
      </c>
      <c r="F3731" s="1282" t="s">
        <v>20220</v>
      </c>
      <c r="G3731" s="1368">
        <v>36.5</v>
      </c>
      <c r="H3731" s="1178" t="s">
        <v>20221</v>
      </c>
      <c r="I3731" s="1178" t="s">
        <v>11387</v>
      </c>
      <c r="J3731" s="1178" t="s">
        <v>668</v>
      </c>
      <c r="K3731" s="1178" t="s">
        <v>350</v>
      </c>
      <c r="L3731" s="1178" t="s">
        <v>351</v>
      </c>
      <c r="M3731" s="1369"/>
      <c r="N3731" s="1178"/>
      <c r="O3731" s="1178">
        <v>6</v>
      </c>
      <c r="P3731" s="1178">
        <v>14</v>
      </c>
    </row>
    <row r="3732" spans="1:16">
      <c r="A3732" s="1178" t="s">
        <v>367</v>
      </c>
      <c r="B3732" s="1371" t="str">
        <f>HYPERLINK(IFERROR("#Main_Tariff!A"&amp;MATCH(Raeburn_Main_Tariff[[#This Row],[Product Code]],Main_Tariff!I:I,0),"#Main_Tariff!A"&amp;MATCH("*"&amp;RIGHT(A3732,8)&amp;"*",Main_Tariff!A:A,0)),Raeburn_Main_Tariff[[#This Row],[PRODUCER]])</f>
        <v>Arnaldo Rivera</v>
      </c>
      <c r="C3732" s="1178" t="s">
        <v>21816</v>
      </c>
      <c r="D3732" s="1178" t="s">
        <v>897</v>
      </c>
      <c r="E3732" s="1179">
        <v>2013</v>
      </c>
      <c r="F3732" s="1282" t="s">
        <v>20220</v>
      </c>
      <c r="G3732" s="1368">
        <v>36.5</v>
      </c>
      <c r="H3732" s="1178" t="s">
        <v>20221</v>
      </c>
      <c r="I3732" s="1178" t="s">
        <v>11389</v>
      </c>
      <c r="J3732" s="1178" t="s">
        <v>668</v>
      </c>
      <c r="K3732" s="1178" t="s">
        <v>350</v>
      </c>
      <c r="L3732" s="1178" t="s">
        <v>351</v>
      </c>
      <c r="M3732" s="1369"/>
      <c r="N3732" s="1178"/>
      <c r="O3732" s="1178">
        <v>6</v>
      </c>
      <c r="P3732" s="1178">
        <v>14</v>
      </c>
    </row>
    <row r="3733" spans="1:16">
      <c r="A3733" s="1178" t="s">
        <v>367</v>
      </c>
      <c r="B3733" s="1371" t="str">
        <f>HYPERLINK(IFERROR("#Main_Tariff!A"&amp;MATCH(Raeburn_Main_Tariff[[#This Row],[Product Code]],Main_Tariff!I:I,0),"#Main_Tariff!A"&amp;MATCH("*"&amp;RIGHT(A3733,8)&amp;"*",Main_Tariff!A:A,0)),Raeburn_Main_Tariff[[#This Row],[PRODUCER]])</f>
        <v>Arnaldo Rivera</v>
      </c>
      <c r="C3733" s="1178" t="s">
        <v>21817</v>
      </c>
      <c r="D3733" s="1178" t="s">
        <v>897</v>
      </c>
      <c r="E3733" s="1179">
        <v>2013</v>
      </c>
      <c r="F3733" s="1282" t="s">
        <v>20220</v>
      </c>
      <c r="G3733" s="1368">
        <v>36</v>
      </c>
      <c r="H3733" s="1178" t="s">
        <v>20221</v>
      </c>
      <c r="I3733" s="1178" t="s">
        <v>11391</v>
      </c>
      <c r="J3733" s="1178" t="s">
        <v>668</v>
      </c>
      <c r="K3733" s="1178" t="s">
        <v>350</v>
      </c>
      <c r="L3733" s="1178" t="s">
        <v>351</v>
      </c>
      <c r="M3733" s="1369"/>
      <c r="N3733" s="1178"/>
      <c r="O3733" s="1178">
        <v>6</v>
      </c>
      <c r="P3733" s="1178">
        <v>14</v>
      </c>
    </row>
    <row r="3734" spans="1:16">
      <c r="A3734" s="1178" t="s">
        <v>367</v>
      </c>
      <c r="B3734" s="1371" t="str">
        <f>HYPERLINK(IFERROR("#Main_Tariff!A"&amp;MATCH(Raeburn_Main_Tariff[[#This Row],[Product Code]],Main_Tariff!I:I,0),"#Main_Tariff!A"&amp;MATCH("*"&amp;RIGHT(A3734,8)&amp;"*",Main_Tariff!A:A,0)),Raeburn_Main_Tariff[[#This Row],[PRODUCER]])</f>
        <v>Arnaldo Rivera</v>
      </c>
      <c r="C3734" s="1178" t="s">
        <v>21818</v>
      </c>
      <c r="D3734" s="1178" t="s">
        <v>897</v>
      </c>
      <c r="E3734" s="1179">
        <v>2016</v>
      </c>
      <c r="F3734" s="1282" t="s">
        <v>20220</v>
      </c>
      <c r="G3734" s="1368">
        <v>38</v>
      </c>
      <c r="H3734" s="1178" t="s">
        <v>20221</v>
      </c>
      <c r="I3734" s="1178" t="s">
        <v>11393</v>
      </c>
      <c r="J3734" s="1178" t="s">
        <v>668</v>
      </c>
      <c r="K3734" s="1178" t="s">
        <v>350</v>
      </c>
      <c r="L3734" s="1178" t="s">
        <v>351</v>
      </c>
      <c r="M3734" s="1369"/>
      <c r="N3734" s="1178"/>
      <c r="O3734" s="1178">
        <v>6</v>
      </c>
      <c r="P3734" s="1178">
        <v>14.5</v>
      </c>
    </row>
    <row r="3735" spans="1:16">
      <c r="A3735" s="1178" t="s">
        <v>367</v>
      </c>
      <c r="B3735" s="1371" t="str">
        <f>HYPERLINK(IFERROR("#Main_Tariff!A"&amp;MATCH(Raeburn_Main_Tariff[[#This Row],[Product Code]],Main_Tariff!I:I,0),"#Main_Tariff!A"&amp;MATCH("*"&amp;RIGHT(A3735,8)&amp;"*",Main_Tariff!A:A,0)),Raeburn_Main_Tariff[[#This Row],[PRODUCER]])</f>
        <v>Arnaldo Rivera</v>
      </c>
      <c r="C3735" s="1178" t="s">
        <v>21818</v>
      </c>
      <c r="D3735" s="1178" t="s">
        <v>897</v>
      </c>
      <c r="E3735" s="1179">
        <v>2015</v>
      </c>
      <c r="F3735" s="1282" t="s">
        <v>20220</v>
      </c>
      <c r="G3735" s="1368">
        <v>38</v>
      </c>
      <c r="H3735" s="1178" t="s">
        <v>20221</v>
      </c>
      <c r="I3735" s="1178" t="s">
        <v>11395</v>
      </c>
      <c r="J3735" s="1178" t="s">
        <v>668</v>
      </c>
      <c r="K3735" s="1178" t="s">
        <v>350</v>
      </c>
      <c r="L3735" s="1178" t="s">
        <v>351</v>
      </c>
      <c r="M3735" s="1369"/>
      <c r="N3735" s="1178"/>
      <c r="O3735" s="1178">
        <v>6</v>
      </c>
      <c r="P3735" s="1178">
        <v>14</v>
      </c>
    </row>
    <row r="3736" spans="1:16">
      <c r="A3736" s="1178" t="s">
        <v>367</v>
      </c>
      <c r="B3736" s="1371" t="str">
        <f>HYPERLINK(IFERROR("#Main_Tariff!A"&amp;MATCH(Raeburn_Main_Tariff[[#This Row],[Product Code]],Main_Tariff!I:I,0),"#Main_Tariff!A"&amp;MATCH("*"&amp;RIGHT(A3736,8)&amp;"*",Main_Tariff!A:A,0)),Raeburn_Main_Tariff[[#This Row],[PRODUCER]])</f>
        <v>Arnaldo Rivera</v>
      </c>
      <c r="C3736" s="1178" t="s">
        <v>21819</v>
      </c>
      <c r="D3736" s="1178" t="s">
        <v>897</v>
      </c>
      <c r="E3736" s="1179">
        <v>2016</v>
      </c>
      <c r="F3736" s="1282" t="s">
        <v>20220</v>
      </c>
      <c r="G3736" s="1368">
        <v>38</v>
      </c>
      <c r="H3736" s="1178" t="s">
        <v>20221</v>
      </c>
      <c r="I3736" s="1178" t="s">
        <v>11397</v>
      </c>
      <c r="J3736" s="1178" t="s">
        <v>668</v>
      </c>
      <c r="K3736" s="1178" t="s">
        <v>350</v>
      </c>
      <c r="L3736" s="1178" t="s">
        <v>351</v>
      </c>
      <c r="M3736" s="1369"/>
      <c r="N3736" s="1178"/>
      <c r="O3736" s="1178">
        <v>6</v>
      </c>
      <c r="P3736" s="1178">
        <v>14.5</v>
      </c>
    </row>
    <row r="3737" spans="1:16">
      <c r="A3737" s="1178" t="s">
        <v>367</v>
      </c>
      <c r="B3737" s="1371" t="str">
        <f>HYPERLINK(IFERROR("#Main_Tariff!A"&amp;MATCH(Raeburn_Main_Tariff[[#This Row],[Product Code]],Main_Tariff!I:I,0),"#Main_Tariff!A"&amp;MATCH("*"&amp;RIGHT(A3737,8)&amp;"*",Main_Tariff!A:A,0)),Raeburn_Main_Tariff[[#This Row],[PRODUCER]])</f>
        <v>Arnaldo Rivera</v>
      </c>
      <c r="C3737" s="1178" t="s">
        <v>21819</v>
      </c>
      <c r="D3737" s="1178" t="s">
        <v>897</v>
      </c>
      <c r="E3737" s="1179">
        <v>2013</v>
      </c>
      <c r="F3737" s="1282" t="s">
        <v>20220</v>
      </c>
      <c r="G3737" s="1368">
        <v>38</v>
      </c>
      <c r="H3737" s="1178" t="s">
        <v>20221</v>
      </c>
      <c r="I3737" s="1178" t="s">
        <v>11399</v>
      </c>
      <c r="J3737" s="1178" t="s">
        <v>668</v>
      </c>
      <c r="K3737" s="1178" t="s">
        <v>350</v>
      </c>
      <c r="L3737" s="1178" t="s">
        <v>351</v>
      </c>
      <c r="M3737" s="1369"/>
      <c r="N3737" s="1178"/>
      <c r="O3737" s="1178">
        <v>6</v>
      </c>
      <c r="P3737" s="1178">
        <v>14</v>
      </c>
    </row>
    <row r="3738" spans="1:16">
      <c r="A3738" s="1178" t="s">
        <v>367</v>
      </c>
      <c r="B3738" s="1371" t="str">
        <f>HYPERLINK(IFERROR("#Main_Tariff!A"&amp;MATCH(Raeburn_Main_Tariff[[#This Row],[Product Code]],Main_Tariff!I:I,0),"#Main_Tariff!A"&amp;MATCH("*"&amp;RIGHT(A3738,8)&amp;"*",Main_Tariff!A:A,0)),Raeburn_Main_Tariff[[#This Row],[PRODUCER]])</f>
        <v>Arnaldo Rivera</v>
      </c>
      <c r="C3738" s="1178" t="s">
        <v>21820</v>
      </c>
      <c r="D3738" s="1178" t="s">
        <v>897</v>
      </c>
      <c r="E3738" s="1179">
        <v>2016</v>
      </c>
      <c r="F3738" s="1282" t="s">
        <v>20220</v>
      </c>
      <c r="G3738" s="1368">
        <v>47.5</v>
      </c>
      <c r="H3738" s="1178" t="s">
        <v>20221</v>
      </c>
      <c r="I3738" s="1178" t="s">
        <v>11401</v>
      </c>
      <c r="J3738" s="1178" t="s">
        <v>668</v>
      </c>
      <c r="K3738" s="1178" t="s">
        <v>350</v>
      </c>
      <c r="L3738" s="1178" t="s">
        <v>351</v>
      </c>
      <c r="M3738" s="1369"/>
      <c r="N3738" s="1178"/>
      <c r="O3738" s="1178">
        <v>6</v>
      </c>
      <c r="P3738" s="1178">
        <v>14.5</v>
      </c>
    </row>
    <row r="3739" spans="1:16">
      <c r="A3739" s="1178" t="s">
        <v>367</v>
      </c>
      <c r="B3739" s="1371" t="str">
        <f>HYPERLINK(IFERROR("#Main_Tariff!A"&amp;MATCH(Raeburn_Main_Tariff[[#This Row],[Product Code]],Main_Tariff!I:I,0),"#Main_Tariff!A"&amp;MATCH("*"&amp;RIGHT(A3739,8)&amp;"*",Main_Tariff!A:A,0)),Raeburn_Main_Tariff[[#This Row],[PRODUCER]])</f>
        <v>Arnaldo Rivera</v>
      </c>
      <c r="C3739" s="1178" t="s">
        <v>21820</v>
      </c>
      <c r="D3739" s="1178" t="s">
        <v>897</v>
      </c>
      <c r="E3739" s="1179">
        <v>2014</v>
      </c>
      <c r="F3739" s="1282" t="s">
        <v>20220</v>
      </c>
      <c r="G3739" s="1368">
        <v>45.5</v>
      </c>
      <c r="H3739" s="1178" t="s">
        <v>20221</v>
      </c>
      <c r="I3739" s="1178" t="s">
        <v>11403</v>
      </c>
      <c r="J3739" s="1178" t="s">
        <v>668</v>
      </c>
      <c r="K3739" s="1178" t="s">
        <v>350</v>
      </c>
      <c r="L3739" s="1178" t="s">
        <v>351</v>
      </c>
      <c r="M3739" s="1369"/>
      <c r="N3739" s="1178"/>
      <c r="O3739" s="1178">
        <v>6</v>
      </c>
      <c r="P3739" s="1178">
        <v>14</v>
      </c>
    </row>
    <row r="3740" spans="1:16">
      <c r="A3740" s="1178" t="s">
        <v>367</v>
      </c>
      <c r="B3740" s="1371" t="str">
        <f>HYPERLINK(IFERROR("#Main_Tariff!A"&amp;MATCH(Raeburn_Main_Tariff[[#This Row],[Product Code]],Main_Tariff!I:I,0),"#Main_Tariff!A"&amp;MATCH("*"&amp;RIGHT(A3740,8)&amp;"*",Main_Tariff!A:A,0)),Raeburn_Main_Tariff[[#This Row],[PRODUCER]])</f>
        <v>Arnaldo Rivera</v>
      </c>
      <c r="C3740" s="1178" t="s">
        <v>21820</v>
      </c>
      <c r="D3740" s="1178" t="s">
        <v>897</v>
      </c>
      <c r="E3740" s="1179">
        <v>2013</v>
      </c>
      <c r="F3740" s="1282" t="s">
        <v>20220</v>
      </c>
      <c r="G3740" s="1368">
        <v>47.5</v>
      </c>
      <c r="H3740" s="1178" t="s">
        <v>20221</v>
      </c>
      <c r="I3740" s="1178" t="s">
        <v>11405</v>
      </c>
      <c r="J3740" s="1178" t="s">
        <v>668</v>
      </c>
      <c r="K3740" s="1178" t="s">
        <v>350</v>
      </c>
      <c r="L3740" s="1178" t="s">
        <v>351</v>
      </c>
      <c r="M3740" s="1369"/>
      <c r="N3740" s="1178"/>
      <c r="O3740" s="1178">
        <v>6</v>
      </c>
      <c r="P3740" s="1178">
        <v>13</v>
      </c>
    </row>
    <row r="3741" spans="1:16">
      <c r="A3741" s="1178" t="s">
        <v>367</v>
      </c>
      <c r="B3741" s="1371" t="str">
        <f>HYPERLINK(IFERROR("#Main_Tariff!A"&amp;MATCH(Raeburn_Main_Tariff[[#This Row],[Product Code]],Main_Tariff!I:I,0),"#Main_Tariff!A"&amp;MATCH("*"&amp;RIGHT(A3741,8)&amp;"*",Main_Tariff!A:A,0)),Raeburn_Main_Tariff[[#This Row],[PRODUCER]])</f>
        <v>Arnaldo Rivera</v>
      </c>
      <c r="C3741" s="1178" t="s">
        <v>21747</v>
      </c>
      <c r="D3741" s="1178" t="s">
        <v>897</v>
      </c>
      <c r="E3741" s="1179">
        <v>2016</v>
      </c>
      <c r="F3741" s="1282" t="s">
        <v>20220</v>
      </c>
      <c r="G3741" s="1368">
        <v>47.5</v>
      </c>
      <c r="H3741" s="1178" t="s">
        <v>20221</v>
      </c>
      <c r="I3741" s="1178" t="s">
        <v>11406</v>
      </c>
      <c r="J3741" s="1178" t="s">
        <v>668</v>
      </c>
      <c r="K3741" s="1178" t="s">
        <v>350</v>
      </c>
      <c r="L3741" s="1178" t="s">
        <v>351</v>
      </c>
      <c r="M3741" s="1369"/>
      <c r="N3741" s="1178"/>
      <c r="O3741" s="1178">
        <v>6</v>
      </c>
      <c r="P3741" s="1178">
        <v>14.5</v>
      </c>
    </row>
    <row r="3742" spans="1:16">
      <c r="A3742" s="1178" t="s">
        <v>367</v>
      </c>
      <c r="B3742" s="1371" t="str">
        <f>HYPERLINK(IFERROR("#Main_Tariff!A"&amp;MATCH(Raeburn_Main_Tariff[[#This Row],[Product Code]],Main_Tariff!I:I,0),"#Main_Tariff!A"&amp;MATCH("*"&amp;RIGHT(A3742,8)&amp;"*",Main_Tariff!A:A,0)),Raeburn_Main_Tariff[[#This Row],[PRODUCER]])</f>
        <v>Arnaldo Rivera</v>
      </c>
      <c r="C3742" s="1178" t="s">
        <v>21747</v>
      </c>
      <c r="D3742" s="1178" t="s">
        <v>897</v>
      </c>
      <c r="E3742" s="1179">
        <v>2014</v>
      </c>
      <c r="F3742" s="1282" t="s">
        <v>20220</v>
      </c>
      <c r="G3742" s="1368">
        <v>45.5</v>
      </c>
      <c r="H3742" s="1178" t="s">
        <v>20221</v>
      </c>
      <c r="I3742" s="1178" t="s">
        <v>11407</v>
      </c>
      <c r="J3742" s="1178" t="s">
        <v>668</v>
      </c>
      <c r="K3742" s="1178" t="s">
        <v>350</v>
      </c>
      <c r="L3742" s="1178" t="s">
        <v>351</v>
      </c>
      <c r="M3742" s="1369"/>
      <c r="N3742" s="1178"/>
      <c r="O3742" s="1178">
        <v>6</v>
      </c>
      <c r="P3742" s="1178">
        <v>14</v>
      </c>
    </row>
    <row r="3743" spans="1:16">
      <c r="A3743" s="1178" t="s">
        <v>367</v>
      </c>
      <c r="B3743" s="1371" t="str">
        <f>HYPERLINK(IFERROR("#Main_Tariff!A"&amp;MATCH(Raeburn_Main_Tariff[[#This Row],[Product Code]],Main_Tariff!I:I,0),"#Main_Tariff!A"&amp;MATCH("*"&amp;RIGHT(A3743,8)&amp;"*",Main_Tariff!A:A,0)),Raeburn_Main_Tariff[[#This Row],[PRODUCER]])</f>
        <v>Arnaldo Rivera</v>
      </c>
      <c r="C3743" s="1178" t="s">
        <v>21747</v>
      </c>
      <c r="D3743" s="1178" t="s">
        <v>897</v>
      </c>
      <c r="E3743" s="1179">
        <v>2013</v>
      </c>
      <c r="F3743" s="1282" t="s">
        <v>20220</v>
      </c>
      <c r="G3743" s="1368">
        <v>47.5</v>
      </c>
      <c r="H3743" s="1178" t="s">
        <v>20221</v>
      </c>
      <c r="I3743" s="1178" t="s">
        <v>11408</v>
      </c>
      <c r="J3743" s="1178" t="s">
        <v>668</v>
      </c>
      <c r="K3743" s="1178" t="s">
        <v>350</v>
      </c>
      <c r="L3743" s="1178" t="s">
        <v>351</v>
      </c>
      <c r="M3743" s="1369"/>
      <c r="N3743" s="1178"/>
      <c r="O3743" s="1178">
        <v>6</v>
      </c>
      <c r="P3743" s="1178">
        <v>13</v>
      </c>
    </row>
    <row r="3744" spans="1:16">
      <c r="A3744" s="1178" t="s">
        <v>367</v>
      </c>
      <c r="B3744" s="1371" t="str">
        <f>HYPERLINK(IFERROR("#Main_Tariff!A"&amp;MATCH(Raeburn_Main_Tariff[[#This Row],[Product Code]],Main_Tariff!I:I,0),"#Main_Tariff!A"&amp;MATCH("*"&amp;RIGHT(A3744,8)&amp;"*",Main_Tariff!A:A,0)),Raeburn_Main_Tariff[[#This Row],[PRODUCER]])</f>
        <v>Arnaldo Rivera</v>
      </c>
      <c r="C3744" s="1178" t="s">
        <v>21821</v>
      </c>
      <c r="D3744" s="1178" t="s">
        <v>897</v>
      </c>
      <c r="E3744" s="1179">
        <v>2016</v>
      </c>
      <c r="F3744" s="1282" t="s">
        <v>20220</v>
      </c>
      <c r="G3744" s="1368">
        <v>226</v>
      </c>
      <c r="H3744" s="1178" t="s">
        <v>20224</v>
      </c>
      <c r="I3744" s="1178" t="s">
        <v>11410</v>
      </c>
      <c r="J3744" s="1178" t="s">
        <v>668</v>
      </c>
      <c r="K3744" s="1178" t="s">
        <v>350</v>
      </c>
      <c r="L3744" s="1178" t="s">
        <v>351</v>
      </c>
      <c r="M3744" s="1369"/>
      <c r="N3744" s="1178"/>
      <c r="O3744" s="1178">
        <v>6</v>
      </c>
      <c r="P3744" s="1178">
        <v>13</v>
      </c>
    </row>
    <row r="3745" spans="1:16">
      <c r="A3745" s="1178" t="s">
        <v>367</v>
      </c>
      <c r="B3745" s="1371" t="str">
        <f>HYPERLINK(IFERROR("#Main_Tariff!A"&amp;MATCH(Raeburn_Main_Tariff[[#This Row],[Product Code]],Main_Tariff!I:I,0),"#Main_Tariff!A"&amp;MATCH("*"&amp;RIGHT(A3745,8)&amp;"*",Main_Tariff!A:A,0)),Raeburn_Main_Tariff[[#This Row],[PRODUCER]])</f>
        <v>Arnaldo Rivera</v>
      </c>
      <c r="C3745" s="1178" t="s">
        <v>21822</v>
      </c>
      <c r="D3745" s="1178" t="s">
        <v>897</v>
      </c>
      <c r="E3745" s="1179">
        <v>2016</v>
      </c>
      <c r="F3745" s="1282" t="s">
        <v>20240</v>
      </c>
      <c r="G3745" s="1368">
        <v>59</v>
      </c>
      <c r="H3745" s="1178" t="s">
        <v>20224</v>
      </c>
      <c r="I3745" s="1178" t="s">
        <v>11412</v>
      </c>
      <c r="J3745" s="1178" t="s">
        <v>668</v>
      </c>
      <c r="K3745" s="1178" t="s">
        <v>350</v>
      </c>
      <c r="L3745" s="1178" t="s">
        <v>351</v>
      </c>
      <c r="M3745" s="1369"/>
      <c r="N3745" s="1178"/>
      <c r="O3745" s="1178">
        <v>6</v>
      </c>
      <c r="P3745" s="1178">
        <v>14</v>
      </c>
    </row>
    <row r="3746" spans="1:16">
      <c r="A3746" s="1178" t="s">
        <v>367</v>
      </c>
      <c r="B3746" s="1371" t="str">
        <f>HYPERLINK(IFERROR("#Main_Tariff!A"&amp;MATCH(Raeburn_Main_Tariff[[#This Row],[Product Code]],Main_Tariff!I:I,0),"#Main_Tariff!A"&amp;MATCH("*"&amp;RIGHT(A3746,8)&amp;"*",Main_Tariff!A:A,0)),Raeburn_Main_Tariff[[#This Row],[PRODUCER]])</f>
        <v>Arnaldo Rivera</v>
      </c>
      <c r="C3746" s="1178" t="s">
        <v>21822</v>
      </c>
      <c r="D3746" s="1178" t="s">
        <v>897</v>
      </c>
      <c r="E3746" s="1179">
        <v>2014</v>
      </c>
      <c r="F3746" s="1282" t="s">
        <v>20240</v>
      </c>
      <c r="G3746" s="1368">
        <v>59</v>
      </c>
      <c r="H3746" s="1178" t="s">
        <v>20224</v>
      </c>
      <c r="I3746" s="1178" t="s">
        <v>11413</v>
      </c>
      <c r="J3746" s="1178" t="s">
        <v>668</v>
      </c>
      <c r="K3746" s="1178" t="s">
        <v>350</v>
      </c>
      <c r="L3746" s="1178" t="s">
        <v>351</v>
      </c>
      <c r="M3746" s="1369"/>
      <c r="N3746" s="1178"/>
      <c r="O3746" s="1178">
        <v>1</v>
      </c>
      <c r="P3746" s="1178">
        <v>14</v>
      </c>
    </row>
    <row r="3747" spans="1:16">
      <c r="A3747" s="1178" t="s">
        <v>367</v>
      </c>
      <c r="B3747" s="1371" t="str">
        <f>HYPERLINK(IFERROR("#Main_Tariff!A"&amp;MATCH(Raeburn_Main_Tariff[[#This Row],[Product Code]],Main_Tariff!I:I,0),"#Main_Tariff!A"&amp;MATCH("*"&amp;RIGHT(A3747,8)&amp;"*",Main_Tariff!A:A,0)),Raeburn_Main_Tariff[[#This Row],[PRODUCER]])</f>
        <v>Arnaldo Rivera</v>
      </c>
      <c r="C3747" s="1178" t="s">
        <v>21822</v>
      </c>
      <c r="D3747" s="1178" t="s">
        <v>897</v>
      </c>
      <c r="E3747" s="1179">
        <v>2013</v>
      </c>
      <c r="F3747" s="1282" t="s">
        <v>20240</v>
      </c>
      <c r="G3747" s="1368">
        <v>59</v>
      </c>
      <c r="H3747" s="1178" t="s">
        <v>20221</v>
      </c>
      <c r="I3747" s="1178" t="s">
        <v>11414</v>
      </c>
      <c r="J3747" s="1178" t="s">
        <v>668</v>
      </c>
      <c r="K3747" s="1178" t="s">
        <v>350</v>
      </c>
      <c r="L3747" s="1178" t="s">
        <v>351</v>
      </c>
      <c r="M3747" s="1369"/>
      <c r="N3747" s="1178"/>
      <c r="O3747" s="1178">
        <v>1</v>
      </c>
      <c r="P3747" s="1178">
        <v>14</v>
      </c>
    </row>
    <row r="3748" spans="1:16">
      <c r="A3748" s="1178" t="s">
        <v>367</v>
      </c>
      <c r="B3748" s="1371" t="str">
        <f>HYPERLINK(IFERROR("#Main_Tariff!A"&amp;MATCH(Raeburn_Main_Tariff[[#This Row],[Product Code]],Main_Tariff!I:I,0),"#Main_Tariff!A"&amp;MATCH("*"&amp;RIGHT(A3748,8)&amp;"*",Main_Tariff!A:A,0)),Raeburn_Main_Tariff[[#This Row],[PRODUCER]])</f>
        <v>Arnaldo Rivera</v>
      </c>
      <c r="C3748" s="1178" t="s">
        <v>21823</v>
      </c>
      <c r="D3748" s="1178" t="s">
        <v>897</v>
      </c>
      <c r="E3748" s="1179">
        <v>2016</v>
      </c>
      <c r="F3748" s="1282" t="s">
        <v>20288</v>
      </c>
      <c r="G3748" s="1368">
        <v>131</v>
      </c>
      <c r="H3748" s="1178" t="s">
        <v>20224</v>
      </c>
      <c r="I3748" s="1178" t="s">
        <v>11415</v>
      </c>
      <c r="J3748" s="1178" t="s">
        <v>668</v>
      </c>
      <c r="K3748" s="1178" t="s">
        <v>350</v>
      </c>
      <c r="L3748" s="1178" t="s">
        <v>351</v>
      </c>
      <c r="M3748" s="1369"/>
      <c r="N3748" s="1178"/>
      <c r="O3748" s="1178">
        <v>1</v>
      </c>
      <c r="P3748" s="1178">
        <v>13</v>
      </c>
    </row>
    <row r="3749" spans="1:16">
      <c r="A3749" s="1178" t="s">
        <v>367</v>
      </c>
      <c r="B3749" s="1371" t="str">
        <f>HYPERLINK(IFERROR("#Main_Tariff!A"&amp;MATCH(Raeburn_Main_Tariff[[#This Row],[Product Code]],Main_Tariff!I:I,0),"#Main_Tariff!A"&amp;MATCH("*"&amp;RIGHT(A3749,8)&amp;"*",Main_Tariff!A:A,0)),Raeburn_Main_Tariff[[#This Row],[PRODUCER]])</f>
        <v>Arnaldo Rivera</v>
      </c>
      <c r="C3749" s="1178" t="s">
        <v>21824</v>
      </c>
      <c r="D3749" s="1178" t="s">
        <v>897</v>
      </c>
      <c r="E3749" s="1179">
        <v>2014</v>
      </c>
      <c r="F3749" s="1282" t="s">
        <v>20240</v>
      </c>
      <c r="G3749" s="1368">
        <v>72</v>
      </c>
      <c r="H3749" s="1178" t="s">
        <v>20224</v>
      </c>
      <c r="I3749" s="1178" t="s">
        <v>11416</v>
      </c>
      <c r="J3749" s="1178" t="s">
        <v>668</v>
      </c>
      <c r="K3749" s="1178" t="s">
        <v>350</v>
      </c>
      <c r="L3749" s="1178" t="s">
        <v>351</v>
      </c>
      <c r="M3749" s="1369"/>
      <c r="N3749" s="1178"/>
      <c r="O3749" s="1178">
        <v>1</v>
      </c>
      <c r="P3749" s="1178">
        <v>14</v>
      </c>
    </row>
    <row r="3750" spans="1:16">
      <c r="A3750" s="1178" t="s">
        <v>367</v>
      </c>
      <c r="B3750" s="1371" t="str">
        <f>HYPERLINK(IFERROR("#Main_Tariff!A"&amp;MATCH(Raeburn_Main_Tariff[[#This Row],[Product Code]],Main_Tariff!I:I,0),"#Main_Tariff!A"&amp;MATCH("*"&amp;RIGHT(A3750,8)&amp;"*",Main_Tariff!A:A,0)),Raeburn_Main_Tariff[[#This Row],[PRODUCER]])</f>
        <v>Arnaldo Rivera</v>
      </c>
      <c r="C3750" s="1178" t="s">
        <v>21825</v>
      </c>
      <c r="D3750" s="1178" t="s">
        <v>897</v>
      </c>
      <c r="E3750" s="1179">
        <v>2013</v>
      </c>
      <c r="F3750" s="1282" t="s">
        <v>20240</v>
      </c>
      <c r="G3750" s="1368">
        <v>74</v>
      </c>
      <c r="H3750" s="1178" t="s">
        <v>20224</v>
      </c>
      <c r="I3750" s="1178" t="s">
        <v>11417</v>
      </c>
      <c r="J3750" s="1178" t="s">
        <v>668</v>
      </c>
      <c r="K3750" s="1178" t="s">
        <v>350</v>
      </c>
      <c r="L3750" s="1178" t="s">
        <v>351</v>
      </c>
      <c r="M3750" s="1369"/>
      <c r="N3750" s="1178"/>
      <c r="O3750" s="1178">
        <v>1</v>
      </c>
      <c r="P3750" s="1178">
        <v>14</v>
      </c>
    </row>
    <row r="3751" spans="1:16">
      <c r="A3751" s="1178" t="s">
        <v>367</v>
      </c>
      <c r="B3751" s="1371" t="str">
        <f>HYPERLINK(IFERROR("#Main_Tariff!A"&amp;MATCH(Raeburn_Main_Tariff[[#This Row],[Product Code]],Main_Tariff!I:I,0),"#Main_Tariff!A"&amp;MATCH("*"&amp;RIGHT(A3751,8)&amp;"*",Main_Tariff!A:A,0)),Raeburn_Main_Tariff[[#This Row],[PRODUCER]])</f>
        <v>Arnaldo Rivera</v>
      </c>
      <c r="C3751" s="1178" t="s">
        <v>21826</v>
      </c>
      <c r="D3751" s="1178" t="s">
        <v>897</v>
      </c>
      <c r="E3751" s="1179">
        <v>2013</v>
      </c>
      <c r="F3751" s="1282" t="s">
        <v>20240</v>
      </c>
      <c r="G3751" s="1368">
        <v>74</v>
      </c>
      <c r="H3751" s="1178" t="s">
        <v>20224</v>
      </c>
      <c r="I3751" s="1178" t="s">
        <v>11418</v>
      </c>
      <c r="J3751" s="1178" t="s">
        <v>668</v>
      </c>
      <c r="K3751" s="1178" t="s">
        <v>350</v>
      </c>
      <c r="L3751" s="1178" t="s">
        <v>351</v>
      </c>
      <c r="M3751" s="1369"/>
      <c r="N3751" s="1178"/>
      <c r="O3751" s="1178">
        <v>1</v>
      </c>
      <c r="P3751" s="1178">
        <v>14</v>
      </c>
    </row>
    <row r="3752" spans="1:16">
      <c r="A3752" s="1178" t="s">
        <v>367</v>
      </c>
      <c r="B3752" s="1371" t="str">
        <f>HYPERLINK(IFERROR("#Main_Tariff!A"&amp;MATCH(Raeburn_Main_Tariff[[#This Row],[Product Code]],Main_Tariff!I:I,0),"#Main_Tariff!A"&amp;MATCH("*"&amp;RIGHT(A3752,8)&amp;"*",Main_Tariff!A:A,0)),Raeburn_Main_Tariff[[#This Row],[PRODUCER]])</f>
        <v>Arnaldo Rivera</v>
      </c>
      <c r="C3752" s="1178" t="s">
        <v>21827</v>
      </c>
      <c r="D3752" s="1178" t="s">
        <v>897</v>
      </c>
      <c r="E3752" s="1179">
        <v>2016</v>
      </c>
      <c r="F3752" s="1282" t="s">
        <v>20240</v>
      </c>
      <c r="G3752" s="1368">
        <v>79</v>
      </c>
      <c r="H3752" s="1178" t="s">
        <v>20224</v>
      </c>
      <c r="I3752" s="1178" t="s">
        <v>11419</v>
      </c>
      <c r="J3752" s="1178" t="s">
        <v>668</v>
      </c>
      <c r="K3752" s="1178" t="s">
        <v>350</v>
      </c>
      <c r="L3752" s="1178" t="s">
        <v>351</v>
      </c>
      <c r="M3752" s="1369"/>
      <c r="N3752" s="1178"/>
      <c r="O3752" s="1178">
        <v>6</v>
      </c>
      <c r="P3752" s="1178">
        <v>14.5</v>
      </c>
    </row>
    <row r="3753" spans="1:16">
      <c r="A3753" s="1178" t="s">
        <v>367</v>
      </c>
      <c r="B3753" s="1371" t="str">
        <f>HYPERLINK(IFERROR("#Main_Tariff!A"&amp;MATCH(Raeburn_Main_Tariff[[#This Row],[Product Code]],Main_Tariff!I:I,0),"#Main_Tariff!A"&amp;MATCH("*"&amp;RIGHT(A3753,8)&amp;"*",Main_Tariff!A:A,0)),Raeburn_Main_Tariff[[#This Row],[PRODUCER]])</f>
        <v>Arnaldo Rivera</v>
      </c>
      <c r="C3753" s="1178" t="s">
        <v>21828</v>
      </c>
      <c r="D3753" s="1178" t="s">
        <v>897</v>
      </c>
      <c r="E3753" s="1179">
        <v>2013</v>
      </c>
      <c r="F3753" s="1282" t="s">
        <v>20240</v>
      </c>
      <c r="G3753" s="1368">
        <v>79</v>
      </c>
      <c r="H3753" s="1178" t="s">
        <v>20224</v>
      </c>
      <c r="I3753" s="1178" t="s">
        <v>11420</v>
      </c>
      <c r="J3753" s="1178" t="s">
        <v>668</v>
      </c>
      <c r="K3753" s="1178" t="s">
        <v>350</v>
      </c>
      <c r="L3753" s="1178" t="s">
        <v>351</v>
      </c>
      <c r="M3753" s="1369"/>
      <c r="N3753" s="1178"/>
      <c r="O3753" s="1178">
        <v>1</v>
      </c>
      <c r="P3753" s="1178">
        <v>14</v>
      </c>
    </row>
    <row r="3754" spans="1:16">
      <c r="A3754" s="1178" t="s">
        <v>367</v>
      </c>
      <c r="B3754" s="1371" t="str">
        <f>HYPERLINK(IFERROR("#Main_Tariff!A"&amp;MATCH(Raeburn_Main_Tariff[[#This Row],[Product Code]],Main_Tariff!I:I,0),"#Main_Tariff!A"&amp;MATCH("*"&amp;RIGHT(A3754,8)&amp;"*",Main_Tariff!A:A,0)),Raeburn_Main_Tariff[[#This Row],[PRODUCER]])</f>
        <v>Arnaldo Rivera</v>
      </c>
      <c r="C3754" s="1178" t="s">
        <v>21829</v>
      </c>
      <c r="D3754" s="1178" t="s">
        <v>897</v>
      </c>
      <c r="E3754" s="1179">
        <v>2016</v>
      </c>
      <c r="F3754" s="1282" t="s">
        <v>20240</v>
      </c>
      <c r="G3754" s="1368">
        <v>108</v>
      </c>
      <c r="H3754" s="1178" t="s">
        <v>20224</v>
      </c>
      <c r="I3754" s="1178" t="s">
        <v>11421</v>
      </c>
      <c r="J3754" s="1178" t="s">
        <v>668</v>
      </c>
      <c r="K3754" s="1178" t="s">
        <v>350</v>
      </c>
      <c r="L3754" s="1178" t="s">
        <v>351</v>
      </c>
      <c r="M3754" s="1369"/>
      <c r="N3754" s="1178"/>
      <c r="O3754" s="1178">
        <v>6</v>
      </c>
      <c r="P3754" s="1178">
        <v>14.5</v>
      </c>
    </row>
    <row r="3755" spans="1:16">
      <c r="A3755" s="1178" t="s">
        <v>367</v>
      </c>
      <c r="B3755" s="1371" t="str">
        <f>HYPERLINK(IFERROR("#Main_Tariff!A"&amp;MATCH(Raeburn_Main_Tariff[[#This Row],[Product Code]],Main_Tariff!I:I,0),"#Main_Tariff!A"&amp;MATCH("*"&amp;RIGHT(A3755,8)&amp;"*",Main_Tariff!A:A,0)),Raeburn_Main_Tariff[[#This Row],[PRODUCER]])</f>
        <v>Arnaldo Rivera</v>
      </c>
      <c r="C3755" s="1178" t="s">
        <v>21829</v>
      </c>
      <c r="D3755" s="1178" t="s">
        <v>897</v>
      </c>
      <c r="E3755" s="1179">
        <v>2014</v>
      </c>
      <c r="F3755" s="1282" t="s">
        <v>20240</v>
      </c>
      <c r="G3755" s="1368">
        <v>110.25</v>
      </c>
      <c r="H3755" s="1178" t="s">
        <v>20224</v>
      </c>
      <c r="I3755" s="1178" t="s">
        <v>11422</v>
      </c>
      <c r="J3755" s="1178" t="s">
        <v>668</v>
      </c>
      <c r="K3755" s="1178" t="s">
        <v>350</v>
      </c>
      <c r="L3755" s="1178" t="s">
        <v>351</v>
      </c>
      <c r="M3755" s="1369"/>
      <c r="N3755" s="1178"/>
      <c r="O3755" s="1178">
        <v>1</v>
      </c>
      <c r="P3755" s="1178">
        <v>14</v>
      </c>
    </row>
    <row r="3756" spans="1:16">
      <c r="A3756" s="1178" t="s">
        <v>367</v>
      </c>
      <c r="B3756" s="1371" t="str">
        <f>HYPERLINK(IFERROR("#Main_Tariff!A"&amp;MATCH(Raeburn_Main_Tariff[[#This Row],[Product Code]],Main_Tariff!I:I,0),"#Main_Tariff!A"&amp;MATCH("*"&amp;RIGHT(A3756,8)&amp;"*",Main_Tariff!A:A,0)),Raeburn_Main_Tariff[[#This Row],[PRODUCER]])</f>
        <v>Arnaldo Rivera</v>
      </c>
      <c r="C3756" s="1178" t="s">
        <v>21829</v>
      </c>
      <c r="D3756" s="1178" t="s">
        <v>897</v>
      </c>
      <c r="E3756" s="1179">
        <v>2013</v>
      </c>
      <c r="F3756" s="1282" t="s">
        <v>20240</v>
      </c>
      <c r="G3756" s="1368">
        <v>112</v>
      </c>
      <c r="H3756" s="1178" t="s">
        <v>20224</v>
      </c>
      <c r="I3756" s="1178" t="s">
        <v>11423</v>
      </c>
      <c r="J3756" s="1178" t="s">
        <v>668</v>
      </c>
      <c r="K3756" s="1178" t="s">
        <v>350</v>
      </c>
      <c r="L3756" s="1178" t="s">
        <v>351</v>
      </c>
      <c r="M3756" s="1369"/>
      <c r="N3756" s="1178"/>
      <c r="O3756" s="1178">
        <v>1</v>
      </c>
      <c r="P3756" s="1178">
        <v>13</v>
      </c>
    </row>
    <row r="3757" spans="1:16">
      <c r="A3757" s="1178" t="s">
        <v>367</v>
      </c>
      <c r="B3757" s="1371" t="str">
        <f>HYPERLINK(IFERROR("#Main_Tariff!A"&amp;MATCH(Raeburn_Main_Tariff[[#This Row],[Product Code]],Main_Tariff!I:I,0),"#Main_Tariff!A"&amp;MATCH("*"&amp;RIGHT(A3757,8)&amp;"*",Main_Tariff!A:A,0)),Raeburn_Main_Tariff[[#This Row],[PRODUCER]])</f>
        <v>Arnaldo Rivera</v>
      </c>
      <c r="C3757" s="1178" t="s">
        <v>21830</v>
      </c>
      <c r="D3757" s="1178" t="s">
        <v>897</v>
      </c>
      <c r="E3757" s="1179">
        <v>2016</v>
      </c>
      <c r="F3757" s="1282" t="s">
        <v>20240</v>
      </c>
      <c r="G3757" s="1368">
        <v>108</v>
      </c>
      <c r="H3757" s="1178" t="s">
        <v>20224</v>
      </c>
      <c r="I3757" s="1178" t="s">
        <v>11424</v>
      </c>
      <c r="J3757" s="1178" t="s">
        <v>668</v>
      </c>
      <c r="K3757" s="1178" t="s">
        <v>350</v>
      </c>
      <c r="L3757" s="1178" t="s">
        <v>351</v>
      </c>
      <c r="M3757" s="1369"/>
      <c r="N3757" s="1178"/>
      <c r="O3757" s="1178">
        <v>6</v>
      </c>
      <c r="P3757" s="1178">
        <v>14.5</v>
      </c>
    </row>
    <row r="3758" spans="1:16">
      <c r="A3758" s="1178" t="s">
        <v>367</v>
      </c>
      <c r="B3758" s="1371" t="str">
        <f>HYPERLINK(IFERROR("#Main_Tariff!A"&amp;MATCH(Raeburn_Main_Tariff[[#This Row],[Product Code]],Main_Tariff!I:I,0),"#Main_Tariff!A"&amp;MATCH("*"&amp;RIGHT(A3758,8)&amp;"*",Main_Tariff!A:A,0)),Raeburn_Main_Tariff[[#This Row],[PRODUCER]])</f>
        <v>Arnaldo Rivera</v>
      </c>
      <c r="C3758" s="1178" t="s">
        <v>21830</v>
      </c>
      <c r="D3758" s="1178" t="s">
        <v>897</v>
      </c>
      <c r="E3758" s="1179">
        <v>2014</v>
      </c>
      <c r="F3758" s="1282" t="s">
        <v>20240</v>
      </c>
      <c r="G3758" s="1368">
        <v>112</v>
      </c>
      <c r="H3758" s="1178" t="s">
        <v>20224</v>
      </c>
      <c r="I3758" s="1178" t="s">
        <v>11425</v>
      </c>
      <c r="J3758" s="1178" t="s">
        <v>668</v>
      </c>
      <c r="K3758" s="1178" t="s">
        <v>350</v>
      </c>
      <c r="L3758" s="1178" t="s">
        <v>351</v>
      </c>
      <c r="M3758" s="1369"/>
      <c r="N3758" s="1178"/>
      <c r="O3758" s="1178">
        <v>1</v>
      </c>
      <c r="P3758" s="1178">
        <v>14</v>
      </c>
    </row>
    <row r="3759" spans="1:16">
      <c r="A3759" s="1178" t="s">
        <v>367</v>
      </c>
      <c r="B3759" s="1371" t="str">
        <f>HYPERLINK(IFERROR("#Main_Tariff!A"&amp;MATCH(Raeburn_Main_Tariff[[#This Row],[Product Code]],Main_Tariff!I:I,0),"#Main_Tariff!A"&amp;MATCH("*"&amp;RIGHT(A3759,8)&amp;"*",Main_Tariff!A:A,0)),Raeburn_Main_Tariff[[#This Row],[PRODUCER]])</f>
        <v>Arnaldo Rivera</v>
      </c>
      <c r="C3759" s="1178" t="s">
        <v>21830</v>
      </c>
      <c r="D3759" s="1178" t="s">
        <v>897</v>
      </c>
      <c r="E3759" s="1179">
        <v>2013</v>
      </c>
      <c r="F3759" s="1282" t="s">
        <v>20240</v>
      </c>
      <c r="G3759" s="1368">
        <v>108</v>
      </c>
      <c r="H3759" s="1178" t="s">
        <v>20224</v>
      </c>
      <c r="I3759" s="1178" t="s">
        <v>11426</v>
      </c>
      <c r="J3759" s="1178" t="s">
        <v>668</v>
      </c>
      <c r="K3759" s="1178" t="s">
        <v>350</v>
      </c>
      <c r="L3759" s="1178" t="s">
        <v>351</v>
      </c>
      <c r="M3759" s="1369"/>
      <c r="N3759" s="1178"/>
      <c r="O3759" s="1178">
        <v>1</v>
      </c>
      <c r="P3759" s="1178">
        <v>13</v>
      </c>
    </row>
    <row r="3760" spans="1:16">
      <c r="A3760" s="1178" t="s">
        <v>368</v>
      </c>
      <c r="B3760" s="1371" t="str">
        <f>HYPERLINK(IFERROR("#Main_Tariff!A"&amp;MATCH(Raeburn_Main_Tariff[[#This Row],[Product Code]],Main_Tariff!I:I,0),"#Main_Tariff!A"&amp;MATCH("*"&amp;RIGHT(A3760,8)&amp;"*",Main_Tariff!A:A,0)),Raeburn_Main_Tariff[[#This Row],[PRODUCER]])</f>
        <v>Roagna</v>
      </c>
      <c r="C3760" s="1178" t="s">
        <v>21831</v>
      </c>
      <c r="D3760" s="1178" t="s">
        <v>1129</v>
      </c>
      <c r="E3760" s="1179">
        <v>2022</v>
      </c>
      <c r="F3760" s="1282" t="s">
        <v>20220</v>
      </c>
      <c r="G3760" s="1368">
        <v>19.5</v>
      </c>
      <c r="H3760" s="1178" t="s">
        <v>20221</v>
      </c>
      <c r="I3760" s="1178" t="s">
        <v>11457</v>
      </c>
      <c r="J3760" s="1178" t="s">
        <v>668</v>
      </c>
      <c r="K3760" s="1178" t="s">
        <v>350</v>
      </c>
      <c r="L3760" s="1178" t="s">
        <v>351</v>
      </c>
      <c r="M3760" s="1369"/>
      <c r="N3760" s="1178"/>
      <c r="O3760" s="1178">
        <v>6</v>
      </c>
      <c r="P3760" s="1178">
        <v>13</v>
      </c>
    </row>
    <row r="3761" spans="1:16">
      <c r="A3761" s="1178" t="s">
        <v>368</v>
      </c>
      <c r="B3761" s="1371" t="str">
        <f>HYPERLINK(IFERROR("#Main_Tariff!A"&amp;MATCH(Raeburn_Main_Tariff[[#This Row],[Product Code]],Main_Tariff!I:I,0),"#Main_Tariff!A"&amp;MATCH("*"&amp;RIGHT(A3761,8)&amp;"*",Main_Tariff!A:A,0)),Raeburn_Main_Tariff[[#This Row],[PRODUCER]])</f>
        <v>Roagna</v>
      </c>
      <c r="C3761" s="1178" t="s">
        <v>21831</v>
      </c>
      <c r="D3761" s="1178" t="s">
        <v>1129</v>
      </c>
      <c r="E3761" s="1179">
        <v>2021</v>
      </c>
      <c r="F3761" s="1282" t="s">
        <v>20220</v>
      </c>
      <c r="G3761" s="1368">
        <v>20</v>
      </c>
      <c r="H3761" s="1178" t="s">
        <v>20224</v>
      </c>
      <c r="I3761" s="1178" t="s">
        <v>11459</v>
      </c>
      <c r="J3761" s="1178" t="s">
        <v>668</v>
      </c>
      <c r="K3761" s="1178" t="s">
        <v>350</v>
      </c>
      <c r="L3761" s="1178" t="s">
        <v>351</v>
      </c>
      <c r="M3761" s="1369"/>
      <c r="N3761" s="1178"/>
      <c r="O3761" s="1178">
        <v>6</v>
      </c>
      <c r="P3761" s="1178">
        <v>13</v>
      </c>
    </row>
    <row r="3762" spans="1:16">
      <c r="A3762" s="1178" t="s">
        <v>368</v>
      </c>
      <c r="B3762" s="1371" t="str">
        <f>HYPERLINK(IFERROR("#Main_Tariff!A"&amp;MATCH(Raeburn_Main_Tariff[[#This Row],[Product Code]],Main_Tariff!I:I,0),"#Main_Tariff!A"&amp;MATCH("*"&amp;RIGHT(A3762,8)&amp;"*",Main_Tariff!A:A,0)),Raeburn_Main_Tariff[[#This Row],[PRODUCER]])</f>
        <v>Roagna</v>
      </c>
      <c r="C3762" s="1178" t="s">
        <v>21832</v>
      </c>
      <c r="D3762" s="1178" t="s">
        <v>1129</v>
      </c>
      <c r="E3762" s="1179">
        <v>2021</v>
      </c>
      <c r="F3762" s="1282" t="s">
        <v>20220</v>
      </c>
      <c r="G3762" s="1368">
        <v>55</v>
      </c>
      <c r="H3762" s="1178" t="s">
        <v>20277</v>
      </c>
      <c r="I3762" s="1178" t="s">
        <v>11461</v>
      </c>
      <c r="J3762" s="1178" t="s">
        <v>668</v>
      </c>
      <c r="K3762" s="1178" t="s">
        <v>350</v>
      </c>
      <c r="L3762" s="1178" t="s">
        <v>351</v>
      </c>
      <c r="M3762" s="1369"/>
      <c r="N3762" s="1178"/>
      <c r="O3762" s="1178">
        <v>6</v>
      </c>
      <c r="P3762" s="1178">
        <v>13</v>
      </c>
    </row>
    <row r="3763" spans="1:16">
      <c r="A3763" s="1178" t="s">
        <v>368</v>
      </c>
      <c r="B3763" s="1371" t="str">
        <f>HYPERLINK(IFERROR("#Main_Tariff!A"&amp;MATCH(Raeburn_Main_Tariff[[#This Row],[Product Code]],Main_Tariff!I:I,0),"#Main_Tariff!A"&amp;MATCH("*"&amp;RIGHT(A3763,8)&amp;"*",Main_Tariff!A:A,0)),Raeburn_Main_Tariff[[#This Row],[PRODUCER]])</f>
        <v>Roagna</v>
      </c>
      <c r="C3763" s="1178" t="s">
        <v>18926</v>
      </c>
      <c r="D3763" s="1178" t="s">
        <v>1129</v>
      </c>
      <c r="E3763" s="1179">
        <v>2022</v>
      </c>
      <c r="F3763" s="1282" t="s">
        <v>20220</v>
      </c>
      <c r="G3763" s="1368">
        <v>69.5</v>
      </c>
      <c r="H3763" s="1178" t="s">
        <v>20224</v>
      </c>
      <c r="I3763" s="1178" t="s">
        <v>11463</v>
      </c>
      <c r="J3763" s="1178" t="s">
        <v>668</v>
      </c>
      <c r="K3763" s="1178" t="s">
        <v>350</v>
      </c>
      <c r="L3763" s="1178" t="s">
        <v>351</v>
      </c>
      <c r="M3763" s="1369"/>
      <c r="N3763" s="1178"/>
      <c r="O3763" s="1178">
        <v>6</v>
      </c>
      <c r="P3763" s="1178">
        <v>13.5</v>
      </c>
    </row>
    <row r="3764" spans="1:16">
      <c r="A3764" s="1178" t="s">
        <v>368</v>
      </c>
      <c r="B3764" s="1371" t="str">
        <f>HYPERLINK(IFERROR("#Main_Tariff!A"&amp;MATCH(Raeburn_Main_Tariff[[#This Row],[Product Code]],Main_Tariff!I:I,0),"#Main_Tariff!A"&amp;MATCH("*"&amp;RIGHT(A3764,8)&amp;"*",Main_Tariff!A:A,0)),Raeburn_Main_Tariff[[#This Row],[PRODUCER]])</f>
        <v>Roagna</v>
      </c>
      <c r="C3764" s="1178" t="s">
        <v>18926</v>
      </c>
      <c r="D3764" s="1178" t="s">
        <v>1129</v>
      </c>
      <c r="E3764" s="1179">
        <v>2020</v>
      </c>
      <c r="F3764" s="1282" t="s">
        <v>20220</v>
      </c>
      <c r="G3764" s="1368">
        <v>69.5</v>
      </c>
      <c r="H3764" s="1178" t="s">
        <v>20224</v>
      </c>
      <c r="I3764" s="1178" t="s">
        <v>11466</v>
      </c>
      <c r="J3764" s="1178" t="s">
        <v>668</v>
      </c>
      <c r="K3764" s="1178" t="s">
        <v>350</v>
      </c>
      <c r="L3764" s="1178" t="s">
        <v>351</v>
      </c>
      <c r="M3764" s="1369"/>
      <c r="N3764" s="1178"/>
      <c r="O3764" s="1178">
        <v>6</v>
      </c>
      <c r="P3764" s="1178">
        <v>12</v>
      </c>
    </row>
    <row r="3765" spans="1:16">
      <c r="A3765" s="1178" t="s">
        <v>368</v>
      </c>
      <c r="B3765" s="1371" t="str">
        <f>HYPERLINK(IFERROR("#Main_Tariff!A"&amp;MATCH(Raeburn_Main_Tariff[[#This Row],[Product Code]],Main_Tariff!I:I,0),"#Main_Tariff!A"&amp;MATCH("*"&amp;RIGHT(A3765,8)&amp;"*",Main_Tariff!A:A,0)),Raeburn_Main_Tariff[[#This Row],[PRODUCER]])</f>
        <v>Roagna</v>
      </c>
      <c r="C3765" s="1178" t="s">
        <v>21833</v>
      </c>
      <c r="D3765" s="1178" t="s">
        <v>1129</v>
      </c>
      <c r="E3765" s="1179"/>
      <c r="F3765" s="1282" t="s">
        <v>20240</v>
      </c>
      <c r="G3765" s="1368"/>
      <c r="H3765" s="1178" t="s">
        <v>3907</v>
      </c>
      <c r="I3765" s="1178" t="s">
        <v>11470</v>
      </c>
      <c r="J3765" s="1178" t="s">
        <v>668</v>
      </c>
      <c r="K3765" s="1178" t="s">
        <v>350</v>
      </c>
      <c r="L3765" s="1178" t="s">
        <v>351</v>
      </c>
      <c r="M3765" s="1369"/>
      <c r="N3765" s="1178"/>
      <c r="O3765" s="1178">
        <v>6</v>
      </c>
      <c r="P3765" s="1178">
        <v>12</v>
      </c>
    </row>
    <row r="3766" spans="1:16">
      <c r="A3766" s="1178" t="s">
        <v>368</v>
      </c>
      <c r="B3766" s="1371" t="str">
        <f>HYPERLINK(IFERROR("#Main_Tariff!A"&amp;MATCH(Raeburn_Main_Tariff[[#This Row],[Product Code]],Main_Tariff!I:I,0),"#Main_Tariff!A"&amp;MATCH("*"&amp;RIGHT(A3766,8)&amp;"*",Main_Tariff!A:A,0)),Raeburn_Main_Tariff[[#This Row],[PRODUCER]])</f>
        <v>Roagna</v>
      </c>
      <c r="C3766" s="1178" t="s">
        <v>21834</v>
      </c>
      <c r="D3766" s="1178" t="s">
        <v>1129</v>
      </c>
      <c r="E3766" s="1179">
        <v>2021</v>
      </c>
      <c r="F3766" s="1282" t="s">
        <v>20240</v>
      </c>
      <c r="G3766" s="1368">
        <v>139</v>
      </c>
      <c r="H3766" s="1178" t="s">
        <v>20224</v>
      </c>
      <c r="I3766" s="1178" t="s">
        <v>11472</v>
      </c>
      <c r="J3766" s="1178" t="s">
        <v>668</v>
      </c>
      <c r="K3766" s="1178" t="s">
        <v>350</v>
      </c>
      <c r="L3766" s="1178" t="s">
        <v>351</v>
      </c>
      <c r="M3766" s="1369"/>
      <c r="N3766" s="1178"/>
      <c r="O3766" s="1178">
        <v>3</v>
      </c>
      <c r="P3766" s="1178">
        <v>13.5</v>
      </c>
    </row>
    <row r="3767" spans="1:16">
      <c r="A3767" s="1178" t="s">
        <v>368</v>
      </c>
      <c r="B3767" s="1371" t="str">
        <f>HYPERLINK(IFERROR("#Main_Tariff!A"&amp;MATCH(Raeburn_Main_Tariff[[#This Row],[Product Code]],Main_Tariff!I:I,0),"#Main_Tariff!A"&amp;MATCH("*"&amp;RIGHT(A3767,8)&amp;"*",Main_Tariff!A:A,0)),Raeburn_Main_Tariff[[#This Row],[PRODUCER]])</f>
        <v>Roagna</v>
      </c>
      <c r="C3767" s="1178" t="s">
        <v>21835</v>
      </c>
      <c r="D3767" s="1178" t="s">
        <v>897</v>
      </c>
      <c r="E3767" s="1179">
        <v>2019</v>
      </c>
      <c r="F3767" s="1282" t="s">
        <v>20220</v>
      </c>
      <c r="G3767" s="1368">
        <v>29.5</v>
      </c>
      <c r="H3767" s="1178" t="s">
        <v>20224</v>
      </c>
      <c r="I3767" s="1178" t="s">
        <v>11475</v>
      </c>
      <c r="J3767" s="1178" t="s">
        <v>668</v>
      </c>
      <c r="K3767" s="1178" t="s">
        <v>350</v>
      </c>
      <c r="L3767" s="1178" t="s">
        <v>351</v>
      </c>
      <c r="M3767" s="1369"/>
      <c r="N3767" s="1178"/>
      <c r="O3767" s="1178">
        <v>6</v>
      </c>
      <c r="P3767" s="1178">
        <v>13</v>
      </c>
    </row>
    <row r="3768" spans="1:16">
      <c r="A3768" s="1178" t="s">
        <v>368</v>
      </c>
      <c r="B3768" s="1371" t="str">
        <f>HYPERLINK(IFERROR("#Main_Tariff!A"&amp;MATCH(Raeburn_Main_Tariff[[#This Row],[Product Code]],Main_Tariff!I:I,0),"#Main_Tariff!A"&amp;MATCH("*"&amp;RIGHT(A3768,8)&amp;"*",Main_Tariff!A:A,0)),Raeburn_Main_Tariff[[#This Row],[PRODUCER]])</f>
        <v>Roagna</v>
      </c>
      <c r="C3768" s="1178" t="s">
        <v>21835</v>
      </c>
      <c r="D3768" s="1178" t="s">
        <v>897</v>
      </c>
      <c r="E3768" s="1179">
        <v>2018</v>
      </c>
      <c r="F3768" s="1282" t="s">
        <v>20220</v>
      </c>
      <c r="G3768" s="1368">
        <v>29</v>
      </c>
      <c r="H3768" s="1178" t="s">
        <v>20221</v>
      </c>
      <c r="I3768" s="1178" t="s">
        <v>11477</v>
      </c>
      <c r="J3768" s="1178" t="s">
        <v>668</v>
      </c>
      <c r="K3768" s="1178" t="s">
        <v>350</v>
      </c>
      <c r="L3768" s="1178" t="s">
        <v>351</v>
      </c>
      <c r="M3768" s="1369"/>
      <c r="N3768" s="1178"/>
      <c r="O3768" s="1178">
        <v>6</v>
      </c>
      <c r="P3768" s="1178">
        <v>14</v>
      </c>
    </row>
    <row r="3769" spans="1:16">
      <c r="A3769" s="1178" t="s">
        <v>368</v>
      </c>
      <c r="B3769" s="1371" t="str">
        <f>HYPERLINK(IFERROR("#Main_Tariff!A"&amp;MATCH(Raeburn_Main_Tariff[[#This Row],[Product Code]],Main_Tariff!I:I,0),"#Main_Tariff!A"&amp;MATCH("*"&amp;RIGHT(A3769,8)&amp;"*",Main_Tariff!A:A,0)),Raeburn_Main_Tariff[[#This Row],[PRODUCER]])</f>
        <v>Roagna</v>
      </c>
      <c r="C3769" s="1178" t="s">
        <v>21835</v>
      </c>
      <c r="D3769" s="1178" t="s">
        <v>897</v>
      </c>
      <c r="E3769" s="1179">
        <v>2017</v>
      </c>
      <c r="F3769" s="1282" t="s">
        <v>20220</v>
      </c>
      <c r="G3769" s="1368">
        <v>29.5</v>
      </c>
      <c r="H3769" s="1178" t="s">
        <v>20221</v>
      </c>
      <c r="I3769" s="1178" t="s">
        <v>11479</v>
      </c>
      <c r="J3769" s="1178" t="s">
        <v>668</v>
      </c>
      <c r="K3769" s="1178" t="s">
        <v>350</v>
      </c>
      <c r="L3769" s="1178" t="s">
        <v>351</v>
      </c>
      <c r="M3769" s="1369"/>
      <c r="N3769" s="1178"/>
      <c r="O3769" s="1178">
        <v>6</v>
      </c>
      <c r="P3769" s="1178">
        <v>14</v>
      </c>
    </row>
    <row r="3770" spans="1:16">
      <c r="A3770" s="1178" t="s">
        <v>368</v>
      </c>
      <c r="B3770" s="1371" t="str">
        <f>HYPERLINK(IFERROR("#Main_Tariff!A"&amp;MATCH(Raeburn_Main_Tariff[[#This Row],[Product Code]],Main_Tariff!I:I,0),"#Main_Tariff!A"&amp;MATCH("*"&amp;RIGHT(A3770,8)&amp;"*",Main_Tariff!A:A,0)),Raeburn_Main_Tariff[[#This Row],[PRODUCER]])</f>
        <v>Roagna</v>
      </c>
      <c r="C3770" s="1178" t="s">
        <v>21836</v>
      </c>
      <c r="D3770" s="1178" t="s">
        <v>897</v>
      </c>
      <c r="E3770" s="1179">
        <v>2018</v>
      </c>
      <c r="F3770" s="1282" t="s">
        <v>20220</v>
      </c>
      <c r="G3770" s="1368" t="s">
        <v>5258</v>
      </c>
      <c r="H3770" s="1178" t="s">
        <v>20221</v>
      </c>
      <c r="I3770" s="1178" t="s">
        <v>11482</v>
      </c>
      <c r="J3770" s="1178" t="s">
        <v>668</v>
      </c>
      <c r="K3770" s="1178" t="s">
        <v>350</v>
      </c>
      <c r="L3770" s="1178" t="s">
        <v>351</v>
      </c>
      <c r="M3770" s="1369"/>
      <c r="N3770" s="1178"/>
      <c r="O3770" s="1178">
        <v>6</v>
      </c>
      <c r="P3770" s="1178">
        <v>14</v>
      </c>
    </row>
    <row r="3771" spans="1:16">
      <c r="A3771" s="1178" t="s">
        <v>368</v>
      </c>
      <c r="B3771" s="1371" t="str">
        <f>HYPERLINK(IFERROR("#Main_Tariff!A"&amp;MATCH(Raeburn_Main_Tariff[[#This Row],[Product Code]],Main_Tariff!I:I,0),"#Main_Tariff!A"&amp;MATCH("*"&amp;RIGHT(A3771,8)&amp;"*",Main_Tariff!A:A,0)),Raeburn_Main_Tariff[[#This Row],[PRODUCER]])</f>
        <v>Roagna</v>
      </c>
      <c r="C3771" s="1178" t="s">
        <v>21837</v>
      </c>
      <c r="D3771" s="1178" t="s">
        <v>897</v>
      </c>
      <c r="E3771" s="1179">
        <v>2019</v>
      </c>
      <c r="F3771" s="1282" t="s">
        <v>20220</v>
      </c>
      <c r="G3771" s="1368" t="s">
        <v>5258</v>
      </c>
      <c r="H3771" s="1178" t="s">
        <v>20224</v>
      </c>
      <c r="I3771" s="1178" t="s">
        <v>11484</v>
      </c>
      <c r="J3771" s="1178" t="s">
        <v>668</v>
      </c>
      <c r="K3771" s="1178" t="s">
        <v>350</v>
      </c>
      <c r="L3771" s="1178" t="s">
        <v>351</v>
      </c>
      <c r="M3771" s="1369"/>
      <c r="N3771" s="1178"/>
      <c r="O3771" s="1178">
        <v>6</v>
      </c>
      <c r="P3771" s="1178">
        <v>14.5</v>
      </c>
    </row>
    <row r="3772" spans="1:16">
      <c r="A3772" s="1178" t="s">
        <v>368</v>
      </c>
      <c r="B3772" s="1371" t="str">
        <f>HYPERLINK(IFERROR("#Main_Tariff!A"&amp;MATCH(Raeburn_Main_Tariff[[#This Row],[Product Code]],Main_Tariff!I:I,0),"#Main_Tariff!A"&amp;MATCH("*"&amp;RIGHT(A3772,8)&amp;"*",Main_Tariff!A:A,0)),Raeburn_Main_Tariff[[#This Row],[PRODUCER]])</f>
        <v>Roagna</v>
      </c>
      <c r="C3772" s="1178" t="s">
        <v>21837</v>
      </c>
      <c r="D3772" s="1178" t="s">
        <v>897</v>
      </c>
      <c r="E3772" s="1179">
        <v>2016</v>
      </c>
      <c r="F3772" s="1282" t="s">
        <v>20220</v>
      </c>
      <c r="G3772" s="1368" t="s">
        <v>5258</v>
      </c>
      <c r="H3772" s="1178" t="s">
        <v>20224</v>
      </c>
      <c r="I3772" s="1178" t="s">
        <v>11486</v>
      </c>
      <c r="J3772" s="1178" t="s">
        <v>668</v>
      </c>
      <c r="K3772" s="1178" t="s">
        <v>350</v>
      </c>
      <c r="L3772" s="1178" t="s">
        <v>351</v>
      </c>
      <c r="M3772" s="1369"/>
      <c r="N3772" s="1178"/>
      <c r="O3772" s="1178">
        <v>6</v>
      </c>
      <c r="P3772" s="1178">
        <v>14.5</v>
      </c>
    </row>
    <row r="3773" spans="1:16">
      <c r="A3773" s="1178" t="s">
        <v>368</v>
      </c>
      <c r="B3773" s="1371" t="str">
        <f>HYPERLINK(IFERROR("#Main_Tariff!A"&amp;MATCH(Raeburn_Main_Tariff[[#This Row],[Product Code]],Main_Tariff!I:I,0),"#Main_Tariff!A"&amp;MATCH("*"&amp;RIGHT(A3773,8)&amp;"*",Main_Tariff!A:A,0)),Raeburn_Main_Tariff[[#This Row],[PRODUCER]])</f>
        <v>Roagna</v>
      </c>
      <c r="C3773" s="1178" t="s">
        <v>21838</v>
      </c>
      <c r="D3773" s="1178" t="s">
        <v>897</v>
      </c>
      <c r="E3773" s="1179">
        <v>2018</v>
      </c>
      <c r="F3773" s="1282" t="s">
        <v>20220</v>
      </c>
      <c r="G3773" s="1368" t="s">
        <v>5258</v>
      </c>
      <c r="H3773" s="1178" t="s">
        <v>20221</v>
      </c>
      <c r="I3773" s="1178" t="s">
        <v>11488</v>
      </c>
      <c r="J3773" s="1178" t="s">
        <v>668</v>
      </c>
      <c r="K3773" s="1178" t="s">
        <v>350</v>
      </c>
      <c r="L3773" s="1178" t="s">
        <v>351</v>
      </c>
      <c r="M3773" s="1369"/>
      <c r="N3773" s="1178"/>
      <c r="O3773" s="1178">
        <v>6</v>
      </c>
      <c r="P3773" s="1178">
        <v>14.5</v>
      </c>
    </row>
    <row r="3774" spans="1:16">
      <c r="A3774" s="1178" t="s">
        <v>368</v>
      </c>
      <c r="B3774" s="1371" t="str">
        <f>HYPERLINK(IFERROR("#Main_Tariff!A"&amp;MATCH(Raeburn_Main_Tariff[[#This Row],[Product Code]],Main_Tariff!I:I,0),"#Main_Tariff!A"&amp;MATCH("*"&amp;RIGHT(A3774,8)&amp;"*",Main_Tariff!A:A,0)),Raeburn_Main_Tariff[[#This Row],[PRODUCER]])</f>
        <v>Roagna</v>
      </c>
      <c r="C3774" s="1178" t="s">
        <v>21838</v>
      </c>
      <c r="D3774" s="1178" t="s">
        <v>897</v>
      </c>
      <c r="E3774" s="1179">
        <v>2017</v>
      </c>
      <c r="F3774" s="1282" t="s">
        <v>20220</v>
      </c>
      <c r="G3774" s="1368" t="s">
        <v>5258</v>
      </c>
      <c r="H3774" s="1178" t="s">
        <v>20224</v>
      </c>
      <c r="I3774" s="1178" t="s">
        <v>11490</v>
      </c>
      <c r="J3774" s="1178" t="s">
        <v>668</v>
      </c>
      <c r="K3774" s="1178" t="s">
        <v>350</v>
      </c>
      <c r="L3774" s="1178" t="s">
        <v>351</v>
      </c>
      <c r="M3774" s="1369"/>
      <c r="N3774" s="1178"/>
      <c r="O3774" s="1178">
        <v>6</v>
      </c>
      <c r="P3774" s="1178">
        <v>14.5</v>
      </c>
    </row>
    <row r="3775" spans="1:16">
      <c r="A3775" s="1178" t="s">
        <v>368</v>
      </c>
      <c r="B3775" s="1371" t="str">
        <f>HYPERLINK(IFERROR("#Main_Tariff!A"&amp;MATCH(Raeburn_Main_Tariff[[#This Row],[Product Code]],Main_Tariff!I:I,0),"#Main_Tariff!A"&amp;MATCH("*"&amp;RIGHT(A3775,8)&amp;"*",Main_Tariff!A:A,0)),Raeburn_Main_Tariff[[#This Row],[PRODUCER]])</f>
        <v>Roagna</v>
      </c>
      <c r="C3775" s="1178" t="s">
        <v>21839</v>
      </c>
      <c r="D3775" s="1178" t="s">
        <v>897</v>
      </c>
      <c r="E3775" s="1179">
        <v>2018</v>
      </c>
      <c r="F3775" s="1282" t="s">
        <v>20220</v>
      </c>
      <c r="G3775" s="1368" t="s">
        <v>5258</v>
      </c>
      <c r="H3775" s="1178" t="s">
        <v>20221</v>
      </c>
      <c r="I3775" s="1178" t="s">
        <v>11492</v>
      </c>
      <c r="J3775" s="1178" t="s">
        <v>668</v>
      </c>
      <c r="K3775" s="1178" t="s">
        <v>350</v>
      </c>
      <c r="L3775" s="1178" t="s">
        <v>351</v>
      </c>
      <c r="M3775" s="1369"/>
      <c r="N3775" s="1178"/>
      <c r="O3775" s="1178">
        <v>6</v>
      </c>
      <c r="P3775" s="1178">
        <v>14.5</v>
      </c>
    </row>
    <row r="3776" spans="1:16">
      <c r="A3776" s="1178" t="s">
        <v>368</v>
      </c>
      <c r="B3776" s="1371" t="str">
        <f>HYPERLINK(IFERROR("#Main_Tariff!A"&amp;MATCH(Raeburn_Main_Tariff[[#This Row],[Product Code]],Main_Tariff!I:I,0),"#Main_Tariff!A"&amp;MATCH("*"&amp;RIGHT(A3776,8)&amp;"*",Main_Tariff!A:A,0)),Raeburn_Main_Tariff[[#This Row],[PRODUCER]])</f>
        <v>Roagna</v>
      </c>
      <c r="C3776" s="1178" t="s">
        <v>21839</v>
      </c>
      <c r="D3776" s="1178" t="s">
        <v>897</v>
      </c>
      <c r="E3776" s="1179">
        <v>2017</v>
      </c>
      <c r="F3776" s="1282" t="s">
        <v>20220</v>
      </c>
      <c r="G3776" s="1368" t="s">
        <v>5258</v>
      </c>
      <c r="H3776" s="1178" t="s">
        <v>20221</v>
      </c>
      <c r="I3776" s="1178" t="s">
        <v>11494</v>
      </c>
      <c r="J3776" s="1178" t="s">
        <v>668</v>
      </c>
      <c r="K3776" s="1178" t="s">
        <v>350</v>
      </c>
      <c r="L3776" s="1178" t="s">
        <v>351</v>
      </c>
      <c r="M3776" s="1369"/>
      <c r="N3776" s="1178"/>
      <c r="O3776" s="1178">
        <v>6</v>
      </c>
      <c r="P3776" s="1178">
        <v>14.5</v>
      </c>
    </row>
    <row r="3777" spans="1:16">
      <c r="A3777" s="1178" t="s">
        <v>368</v>
      </c>
      <c r="B3777" s="1371" t="str">
        <f>HYPERLINK(IFERROR("#Main_Tariff!A"&amp;MATCH(Raeburn_Main_Tariff[[#This Row],[Product Code]],Main_Tariff!I:I,0),"#Main_Tariff!A"&amp;MATCH("*"&amp;RIGHT(A3777,8)&amp;"*",Main_Tariff!A:A,0)),Raeburn_Main_Tariff[[#This Row],[PRODUCER]])</f>
        <v>Roagna</v>
      </c>
      <c r="C3777" s="1178" t="s">
        <v>21840</v>
      </c>
      <c r="D3777" s="1178" t="s">
        <v>897</v>
      </c>
      <c r="E3777" s="1179">
        <v>2018</v>
      </c>
      <c r="F3777" s="1282" t="s">
        <v>20220</v>
      </c>
      <c r="G3777" s="1368" t="s">
        <v>5258</v>
      </c>
      <c r="H3777" s="1178" t="s">
        <v>20221</v>
      </c>
      <c r="I3777" s="1178" t="s">
        <v>11496</v>
      </c>
      <c r="J3777" s="1178" t="s">
        <v>668</v>
      </c>
      <c r="K3777" s="1178" t="s">
        <v>350</v>
      </c>
      <c r="L3777" s="1178" t="s">
        <v>351</v>
      </c>
      <c r="M3777" s="1369"/>
      <c r="N3777" s="1178"/>
      <c r="O3777" s="1178">
        <v>6</v>
      </c>
      <c r="P3777" s="1178">
        <v>14.5</v>
      </c>
    </row>
    <row r="3778" spans="1:16">
      <c r="A3778" s="1178" t="s">
        <v>368</v>
      </c>
      <c r="B3778" s="1371" t="str">
        <f>HYPERLINK(IFERROR("#Main_Tariff!A"&amp;MATCH(Raeburn_Main_Tariff[[#This Row],[Product Code]],Main_Tariff!I:I,0),"#Main_Tariff!A"&amp;MATCH("*"&amp;RIGHT(A3778,8)&amp;"*",Main_Tariff!A:A,0)),Raeburn_Main_Tariff[[#This Row],[PRODUCER]])</f>
        <v>Roagna</v>
      </c>
      <c r="C3778" s="1178" t="s">
        <v>21841</v>
      </c>
      <c r="D3778" s="1178" t="s">
        <v>897</v>
      </c>
      <c r="E3778" s="1179">
        <v>2019</v>
      </c>
      <c r="F3778" s="1282" t="s">
        <v>20220</v>
      </c>
      <c r="G3778" s="1368" t="s">
        <v>5258</v>
      </c>
      <c r="H3778" s="1178" t="s">
        <v>20224</v>
      </c>
      <c r="I3778" s="1178" t="s">
        <v>11498</v>
      </c>
      <c r="J3778" s="1178" t="s">
        <v>668</v>
      </c>
      <c r="K3778" s="1178" t="s">
        <v>350</v>
      </c>
      <c r="L3778" s="1178" t="s">
        <v>351</v>
      </c>
      <c r="M3778" s="1369"/>
      <c r="N3778" s="1178"/>
      <c r="O3778" s="1178">
        <v>6</v>
      </c>
      <c r="P3778" s="1178">
        <v>14.5</v>
      </c>
    </row>
    <row r="3779" spans="1:16">
      <c r="A3779" s="1178" t="s">
        <v>368</v>
      </c>
      <c r="B3779" s="1371" t="str">
        <f>HYPERLINK(IFERROR("#Main_Tariff!A"&amp;MATCH(Raeburn_Main_Tariff[[#This Row],[Product Code]],Main_Tariff!I:I,0),"#Main_Tariff!A"&amp;MATCH("*"&amp;RIGHT(A3779,8)&amp;"*",Main_Tariff!A:A,0)),Raeburn_Main_Tariff[[#This Row],[PRODUCER]])</f>
        <v>Roagna</v>
      </c>
      <c r="C3779" s="1178" t="s">
        <v>21841</v>
      </c>
      <c r="D3779" s="1178" t="s">
        <v>897</v>
      </c>
      <c r="E3779" s="1179">
        <v>2018</v>
      </c>
      <c r="F3779" s="1282" t="s">
        <v>20220</v>
      </c>
      <c r="G3779" s="1368" t="s">
        <v>5258</v>
      </c>
      <c r="H3779" s="1178" t="s">
        <v>20224</v>
      </c>
      <c r="I3779" s="1178" t="s">
        <v>11500</v>
      </c>
      <c r="J3779" s="1178" t="s">
        <v>668</v>
      </c>
      <c r="K3779" s="1178" t="s">
        <v>350</v>
      </c>
      <c r="L3779" s="1178" t="s">
        <v>351</v>
      </c>
      <c r="M3779" s="1369"/>
      <c r="N3779" s="1178"/>
      <c r="O3779" s="1178">
        <v>6</v>
      </c>
      <c r="P3779" s="1178">
        <v>14.5</v>
      </c>
    </row>
    <row r="3780" spans="1:16">
      <c r="A3780" s="1178" t="s">
        <v>368</v>
      </c>
      <c r="B3780" s="1371" t="str">
        <f>HYPERLINK(IFERROR("#Main_Tariff!A"&amp;MATCH(Raeburn_Main_Tariff[[#This Row],[Product Code]],Main_Tariff!I:I,0),"#Main_Tariff!A"&amp;MATCH("*"&amp;RIGHT(A3780,8)&amp;"*",Main_Tariff!A:A,0)),Raeburn_Main_Tariff[[#This Row],[PRODUCER]])</f>
        <v>Roagna</v>
      </c>
      <c r="C3780" s="1178" t="s">
        <v>21841</v>
      </c>
      <c r="D3780" s="1178" t="s">
        <v>897</v>
      </c>
      <c r="E3780" s="1179">
        <v>2017</v>
      </c>
      <c r="F3780" s="1282" t="s">
        <v>20220</v>
      </c>
      <c r="G3780" s="1368" t="s">
        <v>5258</v>
      </c>
      <c r="H3780" s="1178" t="s">
        <v>20277</v>
      </c>
      <c r="I3780" s="1178" t="s">
        <v>11502</v>
      </c>
      <c r="J3780" s="1178" t="s">
        <v>668</v>
      </c>
      <c r="K3780" s="1178" t="s">
        <v>350</v>
      </c>
      <c r="L3780" s="1178" t="s">
        <v>351</v>
      </c>
      <c r="M3780" s="1369"/>
      <c r="N3780" s="1178"/>
      <c r="O3780" s="1178">
        <v>6</v>
      </c>
      <c r="P3780" s="1178">
        <v>14.5</v>
      </c>
    </row>
    <row r="3781" spans="1:16">
      <c r="A3781" s="1178" t="s">
        <v>368</v>
      </c>
      <c r="B3781" s="1371" t="str">
        <f>HYPERLINK(IFERROR("#Main_Tariff!A"&amp;MATCH(Raeburn_Main_Tariff[[#This Row],[Product Code]],Main_Tariff!I:I,0),"#Main_Tariff!A"&amp;MATCH("*"&amp;RIGHT(A3781,8)&amp;"*",Main_Tariff!A:A,0)),Raeburn_Main_Tariff[[#This Row],[PRODUCER]])</f>
        <v>Roagna</v>
      </c>
      <c r="C3781" s="1178" t="s">
        <v>21841</v>
      </c>
      <c r="D3781" s="1178" t="s">
        <v>897</v>
      </c>
      <c r="E3781" s="1179">
        <v>2017</v>
      </c>
      <c r="F3781" s="1282" t="s">
        <v>20220</v>
      </c>
      <c r="G3781" s="1368" t="s">
        <v>5258</v>
      </c>
      <c r="H3781" s="1178" t="s">
        <v>20224</v>
      </c>
      <c r="I3781" s="1178" t="s">
        <v>11504</v>
      </c>
      <c r="J3781" s="1178" t="s">
        <v>668</v>
      </c>
      <c r="K3781" s="1178" t="s">
        <v>350</v>
      </c>
      <c r="L3781" s="1178" t="s">
        <v>351</v>
      </c>
      <c r="M3781" s="1369"/>
      <c r="N3781" s="1178"/>
      <c r="O3781" s="1178">
        <v>6</v>
      </c>
      <c r="P3781" s="1178">
        <v>14</v>
      </c>
    </row>
    <row r="3782" spans="1:16">
      <c r="A3782" s="1178" t="s">
        <v>368</v>
      </c>
      <c r="B3782" s="1371" t="str">
        <f>HYPERLINK(IFERROR("#Main_Tariff!A"&amp;MATCH(Raeburn_Main_Tariff[[#This Row],[Product Code]],Main_Tariff!I:I,0),"#Main_Tariff!A"&amp;MATCH("*"&amp;RIGHT(A3782,8)&amp;"*",Main_Tariff!A:A,0)),Raeburn_Main_Tariff[[#This Row],[PRODUCER]])</f>
        <v>Roagna</v>
      </c>
      <c r="C3782" s="1178" t="s">
        <v>21842</v>
      </c>
      <c r="D3782" s="1178" t="s">
        <v>897</v>
      </c>
      <c r="E3782" s="1179">
        <v>2019</v>
      </c>
      <c r="F3782" s="1282" t="s">
        <v>20220</v>
      </c>
      <c r="G3782" s="1368" t="s">
        <v>5258</v>
      </c>
      <c r="H3782" s="1178" t="s">
        <v>20224</v>
      </c>
      <c r="I3782" s="1178" t="s">
        <v>11506</v>
      </c>
      <c r="J3782" s="1178" t="s">
        <v>668</v>
      </c>
      <c r="K3782" s="1178" t="s">
        <v>350</v>
      </c>
      <c r="L3782" s="1178" t="s">
        <v>351</v>
      </c>
      <c r="M3782" s="1369"/>
      <c r="N3782" s="1178"/>
      <c r="O3782" s="1178">
        <v>6</v>
      </c>
      <c r="P3782" s="1178">
        <v>14.5</v>
      </c>
    </row>
    <row r="3783" spans="1:16">
      <c r="A3783" s="1178" t="s">
        <v>368</v>
      </c>
      <c r="B3783" s="1371" t="str">
        <f>HYPERLINK(IFERROR("#Main_Tariff!A"&amp;MATCH(Raeburn_Main_Tariff[[#This Row],[Product Code]],Main_Tariff!I:I,0),"#Main_Tariff!A"&amp;MATCH("*"&amp;RIGHT(A3783,8)&amp;"*",Main_Tariff!A:A,0)),Raeburn_Main_Tariff[[#This Row],[PRODUCER]])</f>
        <v>Roagna</v>
      </c>
      <c r="C3783" s="1178" t="s">
        <v>21842</v>
      </c>
      <c r="D3783" s="1178" t="s">
        <v>897</v>
      </c>
      <c r="E3783" s="1179">
        <v>2018</v>
      </c>
      <c r="F3783" s="1282" t="s">
        <v>20220</v>
      </c>
      <c r="G3783" s="1368" t="s">
        <v>5258</v>
      </c>
      <c r="H3783" s="1178" t="s">
        <v>20221</v>
      </c>
      <c r="I3783" s="1178" t="s">
        <v>11508</v>
      </c>
      <c r="J3783" s="1178" t="s">
        <v>668</v>
      </c>
      <c r="K3783" s="1178" t="s">
        <v>350</v>
      </c>
      <c r="L3783" s="1178" t="s">
        <v>351</v>
      </c>
      <c r="M3783" s="1369"/>
      <c r="N3783" s="1178"/>
      <c r="O3783" s="1178">
        <v>6</v>
      </c>
      <c r="P3783" s="1178">
        <v>14.5</v>
      </c>
    </row>
    <row r="3784" spans="1:16">
      <c r="A3784" s="1178" t="s">
        <v>368</v>
      </c>
      <c r="B3784" s="1371" t="str">
        <f>HYPERLINK(IFERROR("#Main_Tariff!A"&amp;MATCH(Raeburn_Main_Tariff[[#This Row],[Product Code]],Main_Tariff!I:I,0),"#Main_Tariff!A"&amp;MATCH("*"&amp;RIGHT(A3784,8)&amp;"*",Main_Tariff!A:A,0)),Raeburn_Main_Tariff[[#This Row],[PRODUCER]])</f>
        <v>Roagna</v>
      </c>
      <c r="C3784" s="1178" t="s">
        <v>21843</v>
      </c>
      <c r="D3784" s="1178" t="s">
        <v>897</v>
      </c>
      <c r="E3784" s="1179">
        <v>2017</v>
      </c>
      <c r="F3784" s="1282" t="s">
        <v>20240</v>
      </c>
      <c r="G3784" s="1368" t="s">
        <v>5258</v>
      </c>
      <c r="H3784" s="1178" t="s">
        <v>20224</v>
      </c>
      <c r="I3784" s="1178" t="s">
        <v>11512</v>
      </c>
      <c r="J3784" s="1178" t="s">
        <v>668</v>
      </c>
      <c r="K3784" s="1178" t="s">
        <v>350</v>
      </c>
      <c r="L3784" s="1178" t="s">
        <v>351</v>
      </c>
      <c r="M3784" s="1369"/>
      <c r="N3784" s="1178"/>
      <c r="O3784" s="1178">
        <v>3</v>
      </c>
      <c r="P3784" s="1178">
        <v>14</v>
      </c>
    </row>
    <row r="3785" spans="1:16">
      <c r="A3785" s="1178" t="s">
        <v>368</v>
      </c>
      <c r="B3785" s="1371" t="str">
        <f>HYPERLINK(IFERROR("#Main_Tariff!A"&amp;MATCH(Raeburn_Main_Tariff[[#This Row],[Product Code]],Main_Tariff!I:I,0),"#Main_Tariff!A"&amp;MATCH("*"&amp;RIGHT(A3785,8)&amp;"*",Main_Tariff!A:A,0)),Raeburn_Main_Tariff[[#This Row],[PRODUCER]])</f>
        <v>Roagna</v>
      </c>
      <c r="C3785" s="1178" t="s">
        <v>21844</v>
      </c>
      <c r="D3785" s="1178" t="s">
        <v>897</v>
      </c>
      <c r="E3785" s="1179">
        <v>2018</v>
      </c>
      <c r="F3785" s="1282" t="s">
        <v>20240</v>
      </c>
      <c r="G3785" s="1368" t="s">
        <v>5258</v>
      </c>
      <c r="H3785" s="1178" t="s">
        <v>20224</v>
      </c>
      <c r="I3785" s="1178" t="s">
        <v>11514</v>
      </c>
      <c r="J3785" s="1178" t="s">
        <v>668</v>
      </c>
      <c r="K3785" s="1178" t="s">
        <v>350</v>
      </c>
      <c r="L3785" s="1178" t="s">
        <v>351</v>
      </c>
      <c r="M3785" s="1369"/>
      <c r="N3785" s="1178"/>
      <c r="O3785" s="1178">
        <v>3</v>
      </c>
      <c r="P3785" s="1178">
        <v>14.5</v>
      </c>
    </row>
    <row r="3786" spans="1:16">
      <c r="A3786" s="1178" t="s">
        <v>368</v>
      </c>
      <c r="B3786" s="1371" t="str">
        <f>HYPERLINK(IFERROR("#Main_Tariff!A"&amp;MATCH(Raeburn_Main_Tariff[[#This Row],[Product Code]],Main_Tariff!I:I,0),"#Main_Tariff!A"&amp;MATCH("*"&amp;RIGHT(A3786,8)&amp;"*",Main_Tariff!A:A,0)),Raeburn_Main_Tariff[[#This Row],[PRODUCER]])</f>
        <v>Roagna</v>
      </c>
      <c r="C3786" s="1178" t="s">
        <v>21844</v>
      </c>
      <c r="D3786" s="1178" t="s">
        <v>897</v>
      </c>
      <c r="E3786" s="1179">
        <v>2017</v>
      </c>
      <c r="F3786" s="1282" t="s">
        <v>20240</v>
      </c>
      <c r="G3786" s="1368" t="s">
        <v>5258</v>
      </c>
      <c r="H3786" s="1178" t="s">
        <v>20224</v>
      </c>
      <c r="I3786" s="1178" t="s">
        <v>11516</v>
      </c>
      <c r="J3786" s="1178" t="s">
        <v>668</v>
      </c>
      <c r="K3786" s="1178" t="s">
        <v>350</v>
      </c>
      <c r="L3786" s="1178" t="s">
        <v>351</v>
      </c>
      <c r="M3786" s="1369"/>
      <c r="N3786" s="1178"/>
      <c r="O3786" s="1178">
        <v>3</v>
      </c>
      <c r="P3786" s="1178">
        <v>14.5</v>
      </c>
    </row>
    <row r="3787" spans="1:16">
      <c r="A3787" s="1178" t="s">
        <v>368</v>
      </c>
      <c r="B3787" s="1371" t="str">
        <f>HYPERLINK(IFERROR("#Main_Tariff!A"&amp;MATCH(Raeburn_Main_Tariff[[#This Row],[Product Code]],Main_Tariff!I:I,0),"#Main_Tariff!A"&amp;MATCH("*"&amp;RIGHT(A3787,8)&amp;"*",Main_Tariff!A:A,0)),Raeburn_Main_Tariff[[#This Row],[PRODUCER]])</f>
        <v>Roagna</v>
      </c>
      <c r="C3787" s="1178" t="s">
        <v>21845</v>
      </c>
      <c r="D3787" s="1178" t="s">
        <v>897</v>
      </c>
      <c r="E3787" s="1179">
        <v>2018</v>
      </c>
      <c r="F3787" s="1282" t="s">
        <v>20240</v>
      </c>
      <c r="G3787" s="1368" t="s">
        <v>5258</v>
      </c>
      <c r="H3787" s="1178" t="s">
        <v>20224</v>
      </c>
      <c r="I3787" s="1178" t="s">
        <v>11518</v>
      </c>
      <c r="J3787" s="1178" t="s">
        <v>668</v>
      </c>
      <c r="K3787" s="1178" t="s">
        <v>350</v>
      </c>
      <c r="L3787" s="1178" t="s">
        <v>351</v>
      </c>
      <c r="M3787" s="1369"/>
      <c r="N3787" s="1178"/>
      <c r="O3787" s="1178">
        <v>3</v>
      </c>
      <c r="P3787" s="1178">
        <v>14.5</v>
      </c>
    </row>
    <row r="3788" spans="1:16">
      <c r="A3788" s="1178" t="s">
        <v>368</v>
      </c>
      <c r="B3788" s="1371" t="str">
        <f>HYPERLINK(IFERROR("#Main_Tariff!A"&amp;MATCH(Raeburn_Main_Tariff[[#This Row],[Product Code]],Main_Tariff!I:I,0),"#Main_Tariff!A"&amp;MATCH("*"&amp;RIGHT(A3788,8)&amp;"*",Main_Tariff!A:A,0)),Raeburn_Main_Tariff[[#This Row],[PRODUCER]])</f>
        <v>Roagna</v>
      </c>
      <c r="C3788" s="1178" t="s">
        <v>21845</v>
      </c>
      <c r="D3788" s="1178" t="s">
        <v>897</v>
      </c>
      <c r="E3788" s="1179">
        <v>2017</v>
      </c>
      <c r="F3788" s="1282" t="s">
        <v>20240</v>
      </c>
      <c r="G3788" s="1368" t="s">
        <v>5258</v>
      </c>
      <c r="H3788" s="1178" t="s">
        <v>20224</v>
      </c>
      <c r="I3788" s="1178" t="s">
        <v>11520</v>
      </c>
      <c r="J3788" s="1178" t="s">
        <v>668</v>
      </c>
      <c r="K3788" s="1178" t="s">
        <v>350</v>
      </c>
      <c r="L3788" s="1178" t="s">
        <v>351</v>
      </c>
      <c r="M3788" s="1369"/>
      <c r="N3788" s="1178"/>
      <c r="O3788" s="1178">
        <v>3</v>
      </c>
      <c r="P3788" s="1178">
        <v>14.5</v>
      </c>
    </row>
    <row r="3789" spans="1:16">
      <c r="A3789" s="1178" t="s">
        <v>368</v>
      </c>
      <c r="B3789" s="1371" t="str">
        <f>HYPERLINK(IFERROR("#Main_Tariff!A"&amp;MATCH(Raeburn_Main_Tariff[[#This Row],[Product Code]],Main_Tariff!I:I,0),"#Main_Tariff!A"&amp;MATCH("*"&amp;RIGHT(A3789,8)&amp;"*",Main_Tariff!A:A,0)),Raeburn_Main_Tariff[[#This Row],[PRODUCER]])</f>
        <v>Roagna</v>
      </c>
      <c r="C3789" s="1178" t="s">
        <v>21846</v>
      </c>
      <c r="D3789" s="1178" t="s">
        <v>897</v>
      </c>
      <c r="E3789" s="1179">
        <v>2018</v>
      </c>
      <c r="F3789" s="1282" t="s">
        <v>20240</v>
      </c>
      <c r="G3789" s="1368" t="s">
        <v>5258</v>
      </c>
      <c r="H3789" s="1178" t="s">
        <v>20224</v>
      </c>
      <c r="I3789" s="1178" t="s">
        <v>11522</v>
      </c>
      <c r="J3789" s="1178" t="s">
        <v>668</v>
      </c>
      <c r="K3789" s="1178" t="s">
        <v>350</v>
      </c>
      <c r="L3789" s="1178" t="s">
        <v>351</v>
      </c>
      <c r="M3789" s="1369"/>
      <c r="N3789" s="1178"/>
      <c r="O3789" s="1178">
        <v>3</v>
      </c>
      <c r="P3789" s="1178">
        <v>14.5</v>
      </c>
    </row>
    <row r="3790" spans="1:16">
      <c r="A3790" s="1178" t="s">
        <v>368</v>
      </c>
      <c r="B3790" s="1371" t="str">
        <f>HYPERLINK(IFERROR("#Main_Tariff!A"&amp;MATCH(Raeburn_Main_Tariff[[#This Row],[Product Code]],Main_Tariff!I:I,0),"#Main_Tariff!A"&amp;MATCH("*"&amp;RIGHT(A3790,8)&amp;"*",Main_Tariff!A:A,0)),Raeburn_Main_Tariff[[#This Row],[PRODUCER]])</f>
        <v>Roagna</v>
      </c>
      <c r="C3790" s="1178" t="s">
        <v>21847</v>
      </c>
      <c r="D3790" s="1178" t="s">
        <v>897</v>
      </c>
      <c r="E3790" s="1179">
        <v>2017</v>
      </c>
      <c r="F3790" s="1282" t="s">
        <v>20240</v>
      </c>
      <c r="G3790" s="1368" t="s">
        <v>5258</v>
      </c>
      <c r="H3790" s="1178" t="s">
        <v>20224</v>
      </c>
      <c r="I3790" s="1178" t="s">
        <v>11524</v>
      </c>
      <c r="J3790" s="1178" t="s">
        <v>668</v>
      </c>
      <c r="K3790" s="1178" t="s">
        <v>350</v>
      </c>
      <c r="L3790" s="1178" t="s">
        <v>351</v>
      </c>
      <c r="M3790" s="1369"/>
      <c r="N3790" s="1178"/>
      <c r="O3790" s="1178">
        <v>3</v>
      </c>
      <c r="P3790" s="1178">
        <v>14</v>
      </c>
    </row>
    <row r="3791" spans="1:16">
      <c r="A3791" s="1178" t="s">
        <v>368</v>
      </c>
      <c r="B3791" s="1371" t="str">
        <f>HYPERLINK(IFERROR("#Main_Tariff!A"&amp;MATCH(Raeburn_Main_Tariff[[#This Row],[Product Code]],Main_Tariff!I:I,0),"#Main_Tariff!A"&amp;MATCH("*"&amp;RIGHT(A3791,8)&amp;"*",Main_Tariff!A:A,0)),Raeburn_Main_Tariff[[#This Row],[PRODUCER]])</f>
        <v>Roagna</v>
      </c>
      <c r="C3791" s="1178" t="s">
        <v>21848</v>
      </c>
      <c r="D3791" s="1178" t="s">
        <v>897</v>
      </c>
      <c r="E3791" s="1179">
        <v>2017</v>
      </c>
      <c r="F3791" s="1282" t="s">
        <v>20240</v>
      </c>
      <c r="G3791" s="1368" t="s">
        <v>5258</v>
      </c>
      <c r="H3791" s="1178" t="s">
        <v>20224</v>
      </c>
      <c r="I3791" s="1178" t="s">
        <v>11526</v>
      </c>
      <c r="J3791" s="1178" t="s">
        <v>668</v>
      </c>
      <c r="K3791" s="1178" t="s">
        <v>350</v>
      </c>
      <c r="L3791" s="1178" t="s">
        <v>351</v>
      </c>
      <c r="M3791" s="1369"/>
      <c r="N3791" s="1178"/>
      <c r="O3791" s="1178">
        <v>3</v>
      </c>
      <c r="P3791" s="1178">
        <v>14</v>
      </c>
    </row>
    <row r="3792" spans="1:16">
      <c r="A3792" s="1178" t="s">
        <v>368</v>
      </c>
      <c r="B3792" s="1371" t="str">
        <f>HYPERLINK(IFERROR("#Main_Tariff!A"&amp;MATCH(Raeburn_Main_Tariff[[#This Row],[Product Code]],Main_Tariff!I:I,0),"#Main_Tariff!A"&amp;MATCH("*"&amp;RIGHT(A3792,8)&amp;"*",Main_Tariff!A:A,0)),Raeburn_Main_Tariff[[#This Row],[PRODUCER]])</f>
        <v>Roagna</v>
      </c>
      <c r="C3792" s="1178" t="s">
        <v>21849</v>
      </c>
      <c r="D3792" s="1178" t="s">
        <v>897</v>
      </c>
      <c r="E3792" s="1179">
        <v>2016</v>
      </c>
      <c r="F3792" s="1282" t="s">
        <v>20220</v>
      </c>
      <c r="G3792" s="1368" t="s">
        <v>5258</v>
      </c>
      <c r="H3792" s="1178" t="s">
        <v>20224</v>
      </c>
      <c r="I3792" s="1178" t="s">
        <v>11530</v>
      </c>
      <c r="J3792" s="1178" t="s">
        <v>668</v>
      </c>
      <c r="K3792" s="1178" t="s">
        <v>350</v>
      </c>
      <c r="L3792" s="1178" t="s">
        <v>351</v>
      </c>
      <c r="M3792" s="1369"/>
      <c r="N3792" s="1178"/>
      <c r="O3792" s="1178">
        <v>1</v>
      </c>
      <c r="P3792" s="1178">
        <v>14.5</v>
      </c>
    </row>
    <row r="3793" spans="1:16">
      <c r="A3793" s="1178" t="s">
        <v>368</v>
      </c>
      <c r="B3793" s="1371" t="str">
        <f>HYPERLINK(IFERROR("#Main_Tariff!A"&amp;MATCH(Raeburn_Main_Tariff[[#This Row],[Product Code]],Main_Tariff!I:I,0),"#Main_Tariff!A"&amp;MATCH("*"&amp;RIGHT(A3793,8)&amp;"*",Main_Tariff!A:A,0)),Raeburn_Main_Tariff[[#This Row],[PRODUCER]])</f>
        <v>Roagna</v>
      </c>
      <c r="C3793" s="1178" t="s">
        <v>21849</v>
      </c>
      <c r="D3793" s="1178" t="s">
        <v>897</v>
      </c>
      <c r="E3793" s="1179">
        <v>2015</v>
      </c>
      <c r="F3793" s="1282" t="s">
        <v>20220</v>
      </c>
      <c r="G3793" s="1368" t="s">
        <v>5258</v>
      </c>
      <c r="H3793" s="1178" t="s">
        <v>20224</v>
      </c>
      <c r="I3793" s="1178" t="s">
        <v>11532</v>
      </c>
      <c r="J3793" s="1178" t="s">
        <v>668</v>
      </c>
      <c r="K3793" s="1178" t="s">
        <v>350</v>
      </c>
      <c r="L3793" s="1178" t="s">
        <v>351</v>
      </c>
      <c r="M3793" s="1369"/>
      <c r="N3793" s="1178"/>
      <c r="O3793" s="1178">
        <v>1</v>
      </c>
      <c r="P3793" s="1178">
        <v>14</v>
      </c>
    </row>
    <row r="3794" spans="1:16">
      <c r="A3794" s="1178" t="s">
        <v>368</v>
      </c>
      <c r="B3794" s="1371" t="str">
        <f>HYPERLINK(IFERROR("#Main_Tariff!A"&amp;MATCH(Raeburn_Main_Tariff[[#This Row],[Product Code]],Main_Tariff!I:I,0),"#Main_Tariff!A"&amp;MATCH("*"&amp;RIGHT(A3794,8)&amp;"*",Main_Tariff!A:A,0)),Raeburn_Main_Tariff[[#This Row],[PRODUCER]])</f>
        <v>Roagna</v>
      </c>
      <c r="C3794" s="1178" t="s">
        <v>21850</v>
      </c>
      <c r="D3794" s="1178" t="s">
        <v>897</v>
      </c>
      <c r="E3794" s="1179">
        <v>2015</v>
      </c>
      <c r="F3794" s="1282" t="s">
        <v>20240</v>
      </c>
      <c r="G3794" s="1368" t="s">
        <v>5258</v>
      </c>
      <c r="H3794" s="1178" t="s">
        <v>20224</v>
      </c>
      <c r="I3794" s="1178" t="s">
        <v>11534</v>
      </c>
      <c r="J3794" s="1178" t="s">
        <v>668</v>
      </c>
      <c r="K3794" s="1178" t="s">
        <v>350</v>
      </c>
      <c r="L3794" s="1178" t="s">
        <v>351</v>
      </c>
      <c r="M3794" s="1369"/>
      <c r="N3794" s="1178"/>
      <c r="O3794" s="1178">
        <v>1</v>
      </c>
      <c r="P3794" s="1178">
        <v>14</v>
      </c>
    </row>
    <row r="3795" spans="1:16">
      <c r="A3795" s="1178" t="s">
        <v>368</v>
      </c>
      <c r="B3795" s="1371" t="str">
        <f>HYPERLINK(IFERROR("#Main_Tariff!A"&amp;MATCH(Raeburn_Main_Tariff[[#This Row],[Product Code]],Main_Tariff!I:I,0),"#Main_Tariff!A"&amp;MATCH("*"&amp;RIGHT(A3795,8)&amp;"*",Main_Tariff!A:A,0)),Raeburn_Main_Tariff[[#This Row],[PRODUCER]])</f>
        <v>Roagna</v>
      </c>
      <c r="C3795" s="1178" t="s">
        <v>21851</v>
      </c>
      <c r="D3795" s="1178" t="s">
        <v>897</v>
      </c>
      <c r="E3795" s="1179">
        <v>2012</v>
      </c>
      <c r="F3795" s="1282" t="s">
        <v>20288</v>
      </c>
      <c r="G3795" s="1368" t="s">
        <v>5258</v>
      </c>
      <c r="H3795" s="1178" t="s">
        <v>20224</v>
      </c>
      <c r="I3795" s="1178" t="s">
        <v>11536</v>
      </c>
      <c r="J3795" s="1178" t="s">
        <v>668</v>
      </c>
      <c r="K3795" s="1178" t="s">
        <v>350</v>
      </c>
      <c r="L3795" s="1178" t="s">
        <v>351</v>
      </c>
      <c r="M3795" s="1369"/>
      <c r="N3795" s="1178"/>
      <c r="O3795" s="1178">
        <v>1</v>
      </c>
      <c r="P3795" s="1178">
        <v>14</v>
      </c>
    </row>
    <row r="3796" spans="1:16">
      <c r="A3796" s="1178" t="s">
        <v>368</v>
      </c>
      <c r="B3796" s="1371" t="str">
        <f>HYPERLINK(IFERROR("#Main_Tariff!A"&amp;MATCH(Raeburn_Main_Tariff[[#This Row],[Product Code]],Main_Tariff!I:I,0),"#Main_Tariff!A"&amp;MATCH("*"&amp;RIGHT(A3796,8)&amp;"*",Main_Tariff!A:A,0)),Raeburn_Main_Tariff[[#This Row],[PRODUCER]])</f>
        <v>Roagna</v>
      </c>
      <c r="C3796" s="1178" t="s">
        <v>21852</v>
      </c>
      <c r="D3796" s="1178" t="s">
        <v>897</v>
      </c>
      <c r="E3796" s="1179">
        <v>2014</v>
      </c>
      <c r="F3796" s="1282" t="s">
        <v>20471</v>
      </c>
      <c r="G3796" s="1368" t="s">
        <v>5258</v>
      </c>
      <c r="H3796" s="1178" t="s">
        <v>20224</v>
      </c>
      <c r="I3796" s="1178" t="s">
        <v>11538</v>
      </c>
      <c r="J3796" s="1178" t="s">
        <v>668</v>
      </c>
      <c r="K3796" s="1178" t="s">
        <v>350</v>
      </c>
      <c r="L3796" s="1178" t="s">
        <v>351</v>
      </c>
      <c r="M3796" s="1369"/>
      <c r="N3796" s="1178"/>
      <c r="O3796" s="1178">
        <v>1</v>
      </c>
      <c r="P3796" s="1178">
        <v>13</v>
      </c>
    </row>
    <row r="3797" spans="1:16">
      <c r="A3797" s="1178" t="s">
        <v>368</v>
      </c>
      <c r="B3797" s="1371" t="str">
        <f>HYPERLINK(IFERROR("#Main_Tariff!A"&amp;MATCH(Raeburn_Main_Tariff[[#This Row],[Product Code]],Main_Tariff!I:I,0),"#Main_Tariff!A"&amp;MATCH("*"&amp;RIGHT(A3797,8)&amp;"*",Main_Tariff!A:A,0)),Raeburn_Main_Tariff[[#This Row],[PRODUCER]])</f>
        <v>Roagna</v>
      </c>
      <c r="C3797" s="1178" t="s">
        <v>21853</v>
      </c>
      <c r="D3797" s="1178" t="s">
        <v>897</v>
      </c>
      <c r="E3797" s="1179">
        <v>2014</v>
      </c>
      <c r="F3797" s="1282" t="s">
        <v>21854</v>
      </c>
      <c r="G3797" s="1368" t="s">
        <v>5258</v>
      </c>
      <c r="H3797" s="1178" t="s">
        <v>20224</v>
      </c>
      <c r="I3797" s="1178" t="s">
        <v>11540</v>
      </c>
      <c r="J3797" s="1178" t="s">
        <v>668</v>
      </c>
      <c r="K3797" s="1178" t="s">
        <v>350</v>
      </c>
      <c r="L3797" s="1178" t="s">
        <v>351</v>
      </c>
      <c r="M3797" s="1369"/>
      <c r="N3797" s="1178"/>
      <c r="O3797" s="1178">
        <v>1</v>
      </c>
      <c r="P3797" s="1178">
        <v>13</v>
      </c>
    </row>
    <row r="3798" spans="1:16">
      <c r="A3798" s="1178" t="s">
        <v>368</v>
      </c>
      <c r="B3798" s="1371" t="str">
        <f>HYPERLINK(IFERROR("#Main_Tariff!A"&amp;MATCH(Raeburn_Main_Tariff[[#This Row],[Product Code]],Main_Tariff!I:I,0),"#Main_Tariff!A"&amp;MATCH("*"&amp;RIGHT(A3798,8)&amp;"*",Main_Tariff!A:A,0)),Raeburn_Main_Tariff[[#This Row],[PRODUCER]])</f>
        <v>Roagna</v>
      </c>
      <c r="C3798" s="1178" t="s">
        <v>21855</v>
      </c>
      <c r="D3798" s="1178" t="s">
        <v>897</v>
      </c>
      <c r="E3798" s="1179">
        <v>2014</v>
      </c>
      <c r="F3798" s="1282" t="s">
        <v>21856</v>
      </c>
      <c r="G3798" s="1368" t="s">
        <v>5258</v>
      </c>
      <c r="H3798" s="1178" t="s">
        <v>20224</v>
      </c>
      <c r="I3798" s="1178" t="s">
        <v>11542</v>
      </c>
      <c r="J3798" s="1178" t="s">
        <v>668</v>
      </c>
      <c r="K3798" s="1178" t="s">
        <v>350</v>
      </c>
      <c r="L3798" s="1178" t="s">
        <v>351</v>
      </c>
      <c r="M3798" s="1369"/>
      <c r="N3798" s="1178"/>
      <c r="O3798" s="1178">
        <v>1</v>
      </c>
      <c r="P3798" s="1178">
        <v>13</v>
      </c>
    </row>
    <row r="3799" spans="1:16">
      <c r="A3799" s="1178" t="s">
        <v>368</v>
      </c>
      <c r="B3799" s="1371" t="str">
        <f>HYPERLINK(IFERROR("#Main_Tariff!A"&amp;MATCH(Raeburn_Main_Tariff[[#This Row],[Product Code]],Main_Tariff!I:I,0),"#Main_Tariff!A"&amp;MATCH("*"&amp;RIGHT(A3799,8)&amp;"*",Main_Tariff!A:A,0)),Raeburn_Main_Tariff[[#This Row],[PRODUCER]])</f>
        <v>Roagna</v>
      </c>
      <c r="C3799" s="1178" t="s">
        <v>21857</v>
      </c>
      <c r="D3799" s="1178" t="s">
        <v>897</v>
      </c>
      <c r="E3799" s="1179">
        <v>2018</v>
      </c>
      <c r="F3799" s="1282" t="s">
        <v>20220</v>
      </c>
      <c r="G3799" s="1368" t="s">
        <v>5258</v>
      </c>
      <c r="H3799" s="1178" t="s">
        <v>20224</v>
      </c>
      <c r="I3799" s="1178" t="s">
        <v>11545</v>
      </c>
      <c r="J3799" s="1178" t="s">
        <v>668</v>
      </c>
      <c r="K3799" s="1178" t="s">
        <v>350</v>
      </c>
      <c r="L3799" s="1178" t="s">
        <v>351</v>
      </c>
      <c r="M3799" s="1369"/>
      <c r="N3799" s="1178"/>
      <c r="O3799" s="1178">
        <v>6</v>
      </c>
      <c r="P3799" s="1178">
        <v>14</v>
      </c>
    </row>
    <row r="3800" spans="1:16">
      <c r="A3800" s="1178" t="s">
        <v>368</v>
      </c>
      <c r="B3800" s="1371" t="str">
        <f>HYPERLINK(IFERROR("#Main_Tariff!A"&amp;MATCH(Raeburn_Main_Tariff[[#This Row],[Product Code]],Main_Tariff!I:I,0),"#Main_Tariff!A"&amp;MATCH("*"&amp;RIGHT(A3800,8)&amp;"*",Main_Tariff!A:A,0)),Raeburn_Main_Tariff[[#This Row],[PRODUCER]])</f>
        <v>Roagna</v>
      </c>
      <c r="C3800" s="1178" t="s">
        <v>21747</v>
      </c>
      <c r="D3800" s="1178" t="s">
        <v>897</v>
      </c>
      <c r="E3800" s="1179">
        <v>2019</v>
      </c>
      <c r="F3800" s="1282" t="s">
        <v>20220</v>
      </c>
      <c r="G3800" s="1368" t="s">
        <v>5258</v>
      </c>
      <c r="H3800" s="1178" t="s">
        <v>20221</v>
      </c>
      <c r="I3800" s="1178" t="s">
        <v>11547</v>
      </c>
      <c r="J3800" s="1178" t="s">
        <v>668</v>
      </c>
      <c r="K3800" s="1178" t="s">
        <v>350</v>
      </c>
      <c r="L3800" s="1178" t="s">
        <v>351</v>
      </c>
      <c r="M3800" s="1369"/>
      <c r="N3800" s="1178"/>
      <c r="O3800" s="1178">
        <v>6</v>
      </c>
      <c r="P3800" s="1178">
        <v>14</v>
      </c>
    </row>
    <row r="3801" spans="1:16">
      <c r="A3801" s="1178" t="s">
        <v>368</v>
      </c>
      <c r="B3801" s="1371" t="str">
        <f>HYPERLINK(IFERROR("#Main_Tariff!A"&amp;MATCH(Raeburn_Main_Tariff[[#This Row],[Product Code]],Main_Tariff!I:I,0),"#Main_Tariff!A"&amp;MATCH("*"&amp;RIGHT(A3801,8)&amp;"*",Main_Tariff!A:A,0)),Raeburn_Main_Tariff[[#This Row],[PRODUCER]])</f>
        <v>Roagna</v>
      </c>
      <c r="C3801" s="1178" t="s">
        <v>21747</v>
      </c>
      <c r="D3801" s="1178" t="s">
        <v>897</v>
      </c>
      <c r="E3801" s="1179">
        <v>2018</v>
      </c>
      <c r="F3801" s="1282" t="s">
        <v>20220</v>
      </c>
      <c r="G3801" s="1368" t="s">
        <v>5258</v>
      </c>
      <c r="H3801" s="1178" t="s">
        <v>20221</v>
      </c>
      <c r="I3801" s="1178" t="s">
        <v>11549</v>
      </c>
      <c r="J3801" s="1178" t="s">
        <v>668</v>
      </c>
      <c r="K3801" s="1178" t="s">
        <v>350</v>
      </c>
      <c r="L3801" s="1178" t="s">
        <v>351</v>
      </c>
      <c r="M3801" s="1369"/>
      <c r="N3801" s="1178"/>
      <c r="O3801" s="1178">
        <v>6</v>
      </c>
      <c r="P3801" s="1178">
        <v>14</v>
      </c>
    </row>
    <row r="3802" spans="1:16">
      <c r="A3802" s="1178" t="s">
        <v>368</v>
      </c>
      <c r="B3802" s="1371" t="str">
        <f>HYPERLINK(IFERROR("#Main_Tariff!A"&amp;MATCH(Raeburn_Main_Tariff[[#This Row],[Product Code]],Main_Tariff!I:I,0),"#Main_Tariff!A"&amp;MATCH("*"&amp;RIGHT(A3802,8)&amp;"*",Main_Tariff!A:A,0)),Raeburn_Main_Tariff[[#This Row],[PRODUCER]])</f>
        <v>Roagna</v>
      </c>
      <c r="C3802" s="1178" t="s">
        <v>21747</v>
      </c>
      <c r="D3802" s="1178" t="s">
        <v>897</v>
      </c>
      <c r="E3802" s="1179">
        <v>2017</v>
      </c>
      <c r="F3802" s="1282" t="s">
        <v>20220</v>
      </c>
      <c r="G3802" s="1368" t="s">
        <v>5258</v>
      </c>
      <c r="H3802" s="1178" t="s">
        <v>20224</v>
      </c>
      <c r="I3802" s="1178" t="s">
        <v>11551</v>
      </c>
      <c r="J3802" s="1178" t="s">
        <v>668</v>
      </c>
      <c r="K3802" s="1178" t="s">
        <v>350</v>
      </c>
      <c r="L3802" s="1178" t="s">
        <v>351</v>
      </c>
      <c r="M3802" s="1369"/>
      <c r="N3802" s="1178"/>
      <c r="O3802" s="1178">
        <v>6</v>
      </c>
      <c r="P3802" s="1178">
        <v>14</v>
      </c>
    </row>
    <row r="3803" spans="1:16">
      <c r="A3803" s="1178" t="s">
        <v>368</v>
      </c>
      <c r="B3803" s="1371" t="str">
        <f>HYPERLINK(IFERROR("#Main_Tariff!A"&amp;MATCH(Raeburn_Main_Tariff[[#This Row],[Product Code]],Main_Tariff!I:I,0),"#Main_Tariff!A"&amp;MATCH("*"&amp;RIGHT(A3803,8)&amp;"*",Main_Tariff!A:A,0)),Raeburn_Main_Tariff[[#This Row],[PRODUCER]])</f>
        <v>Roagna</v>
      </c>
      <c r="C3803" s="1178" t="s">
        <v>21858</v>
      </c>
      <c r="D3803" s="1178" t="s">
        <v>897</v>
      </c>
      <c r="E3803" s="1179">
        <v>2019</v>
      </c>
      <c r="F3803" s="1282" t="s">
        <v>20220</v>
      </c>
      <c r="G3803" s="1368" t="s">
        <v>5258</v>
      </c>
      <c r="H3803" s="1178" t="s">
        <v>20224</v>
      </c>
      <c r="I3803" s="1178" t="s">
        <v>11553</v>
      </c>
      <c r="J3803" s="1178" t="s">
        <v>668</v>
      </c>
      <c r="K3803" s="1178" t="s">
        <v>350</v>
      </c>
      <c r="L3803" s="1178" t="s">
        <v>351</v>
      </c>
      <c r="M3803" s="1369"/>
      <c r="N3803" s="1178"/>
      <c r="O3803" s="1178">
        <v>6</v>
      </c>
      <c r="P3803" s="1178">
        <v>14</v>
      </c>
    </row>
    <row r="3804" spans="1:16">
      <c r="A3804" s="1178" t="s">
        <v>368</v>
      </c>
      <c r="B3804" s="1371" t="str">
        <f>HYPERLINK(IFERROR("#Main_Tariff!A"&amp;MATCH(Raeburn_Main_Tariff[[#This Row],[Product Code]],Main_Tariff!I:I,0),"#Main_Tariff!A"&amp;MATCH("*"&amp;RIGHT(A3804,8)&amp;"*",Main_Tariff!A:A,0)),Raeburn_Main_Tariff[[#This Row],[PRODUCER]])</f>
        <v>Roagna</v>
      </c>
      <c r="C3804" s="1178" t="s">
        <v>21858</v>
      </c>
      <c r="D3804" s="1178" t="s">
        <v>897</v>
      </c>
      <c r="E3804" s="1179">
        <v>2018</v>
      </c>
      <c r="F3804" s="1282" t="s">
        <v>20220</v>
      </c>
      <c r="G3804" s="1368" t="s">
        <v>5258</v>
      </c>
      <c r="H3804" s="1178" t="s">
        <v>20221</v>
      </c>
      <c r="I3804" s="1178" t="s">
        <v>11555</v>
      </c>
      <c r="J3804" s="1178" t="s">
        <v>668</v>
      </c>
      <c r="K3804" s="1178" t="s">
        <v>350</v>
      </c>
      <c r="L3804" s="1178" t="s">
        <v>351</v>
      </c>
      <c r="M3804" s="1369"/>
      <c r="N3804" s="1178"/>
      <c r="O3804" s="1178">
        <v>6</v>
      </c>
      <c r="P3804" s="1178">
        <v>14</v>
      </c>
    </row>
    <row r="3805" spans="1:16">
      <c r="A3805" s="1178" t="s">
        <v>368</v>
      </c>
      <c r="B3805" s="1371" t="str">
        <f>HYPERLINK(IFERROR("#Main_Tariff!A"&amp;MATCH(Raeburn_Main_Tariff[[#This Row],[Product Code]],Main_Tariff!I:I,0),"#Main_Tariff!A"&amp;MATCH("*"&amp;RIGHT(A3805,8)&amp;"*",Main_Tariff!A:A,0)),Raeburn_Main_Tariff[[#This Row],[PRODUCER]])</f>
        <v>Roagna</v>
      </c>
      <c r="C3805" s="1178" t="s">
        <v>21858</v>
      </c>
      <c r="D3805" s="1178" t="s">
        <v>897</v>
      </c>
      <c r="E3805" s="1179">
        <v>2017</v>
      </c>
      <c r="F3805" s="1282" t="s">
        <v>20220</v>
      </c>
      <c r="G3805" s="1368" t="s">
        <v>5258</v>
      </c>
      <c r="H3805" s="1178" t="s">
        <v>20224</v>
      </c>
      <c r="I3805" s="1178" t="s">
        <v>11557</v>
      </c>
      <c r="J3805" s="1178" t="s">
        <v>668</v>
      </c>
      <c r="K3805" s="1178" t="s">
        <v>350</v>
      </c>
      <c r="L3805" s="1178" t="s">
        <v>351</v>
      </c>
      <c r="M3805" s="1369"/>
      <c r="N3805" s="1178"/>
      <c r="O3805" s="1178">
        <v>6</v>
      </c>
      <c r="P3805" s="1178">
        <v>14</v>
      </c>
    </row>
    <row r="3806" spans="1:16">
      <c r="A3806" s="1178" t="s">
        <v>368</v>
      </c>
      <c r="B3806" s="1371" t="str">
        <f>HYPERLINK(IFERROR("#Main_Tariff!A"&amp;MATCH(Raeburn_Main_Tariff[[#This Row],[Product Code]],Main_Tariff!I:I,0),"#Main_Tariff!A"&amp;MATCH("*"&amp;RIGHT(A3806,8)&amp;"*",Main_Tariff!A:A,0)),Raeburn_Main_Tariff[[#This Row],[PRODUCER]])</f>
        <v>Roagna</v>
      </c>
      <c r="C3806" s="1178" t="s">
        <v>21859</v>
      </c>
      <c r="D3806" s="1178" t="s">
        <v>897</v>
      </c>
      <c r="E3806" s="1179">
        <v>2018</v>
      </c>
      <c r="F3806" s="1282" t="s">
        <v>20220</v>
      </c>
      <c r="G3806" s="1368" t="s">
        <v>5258</v>
      </c>
      <c r="H3806" s="1178" t="s">
        <v>20221</v>
      </c>
      <c r="I3806" s="1178" t="s">
        <v>11559</v>
      </c>
      <c r="J3806" s="1178" t="s">
        <v>668</v>
      </c>
      <c r="K3806" s="1178" t="s">
        <v>350</v>
      </c>
      <c r="L3806" s="1178" t="s">
        <v>351</v>
      </c>
      <c r="M3806" s="1369"/>
      <c r="N3806" s="1178"/>
      <c r="O3806" s="1178">
        <v>6</v>
      </c>
      <c r="P3806" s="1178">
        <v>14</v>
      </c>
    </row>
    <row r="3807" spans="1:16">
      <c r="A3807" s="1178" t="s">
        <v>368</v>
      </c>
      <c r="B3807" s="1371" t="str">
        <f>HYPERLINK(IFERROR("#Main_Tariff!A"&amp;MATCH(Raeburn_Main_Tariff[[#This Row],[Product Code]],Main_Tariff!I:I,0),"#Main_Tariff!A"&amp;MATCH("*"&amp;RIGHT(A3807,8)&amp;"*",Main_Tariff!A:A,0)),Raeburn_Main_Tariff[[#This Row],[PRODUCER]])</f>
        <v>Roagna</v>
      </c>
      <c r="C3807" s="1178" t="s">
        <v>21859</v>
      </c>
      <c r="D3807" s="1178" t="s">
        <v>897</v>
      </c>
      <c r="E3807" s="1179">
        <v>2017</v>
      </c>
      <c r="F3807" s="1282" t="s">
        <v>20220</v>
      </c>
      <c r="G3807" s="1368" t="s">
        <v>5258</v>
      </c>
      <c r="H3807" s="1178" t="s">
        <v>20224</v>
      </c>
      <c r="I3807" s="1178" t="s">
        <v>11561</v>
      </c>
      <c r="J3807" s="1178" t="s">
        <v>668</v>
      </c>
      <c r="K3807" s="1178" t="s">
        <v>350</v>
      </c>
      <c r="L3807" s="1178" t="s">
        <v>351</v>
      </c>
      <c r="M3807" s="1369"/>
      <c r="N3807" s="1178"/>
      <c r="O3807" s="1178">
        <v>3</v>
      </c>
      <c r="P3807" s="1178">
        <v>14</v>
      </c>
    </row>
    <row r="3808" spans="1:16">
      <c r="A3808" s="1178" t="s">
        <v>368</v>
      </c>
      <c r="B3808" s="1371" t="str">
        <f>HYPERLINK(IFERROR("#Main_Tariff!A"&amp;MATCH(Raeburn_Main_Tariff[[#This Row],[Product Code]],Main_Tariff!I:I,0),"#Main_Tariff!A"&amp;MATCH("*"&amp;RIGHT(A3808,8)&amp;"*",Main_Tariff!A:A,0)),Raeburn_Main_Tariff[[#This Row],[PRODUCER]])</f>
        <v>Roagna</v>
      </c>
      <c r="C3808" s="1178" t="s">
        <v>21860</v>
      </c>
      <c r="D3808" s="1178" t="s">
        <v>897</v>
      </c>
      <c r="E3808" s="1179">
        <v>2018</v>
      </c>
      <c r="F3808" s="1282" t="s">
        <v>20240</v>
      </c>
      <c r="G3808" s="1368" t="s">
        <v>5258</v>
      </c>
      <c r="H3808" s="1178" t="s">
        <v>20224</v>
      </c>
      <c r="I3808" s="1178" t="s">
        <v>11564</v>
      </c>
      <c r="J3808" s="1178" t="s">
        <v>668</v>
      </c>
      <c r="K3808" s="1178" t="s">
        <v>350</v>
      </c>
      <c r="L3808" s="1178" t="s">
        <v>351</v>
      </c>
      <c r="M3808" s="1369"/>
      <c r="N3808" s="1178"/>
      <c r="O3808" s="1178">
        <v>3</v>
      </c>
      <c r="P3808" s="1178">
        <v>14</v>
      </c>
    </row>
    <row r="3809" spans="1:16">
      <c r="A3809" s="1178" t="s">
        <v>368</v>
      </c>
      <c r="B3809" s="1371" t="str">
        <f>HYPERLINK(IFERROR("#Main_Tariff!A"&amp;MATCH(Raeburn_Main_Tariff[[#This Row],[Product Code]],Main_Tariff!I:I,0),"#Main_Tariff!A"&amp;MATCH("*"&amp;RIGHT(A3809,8)&amp;"*",Main_Tariff!A:A,0)),Raeburn_Main_Tariff[[#This Row],[PRODUCER]])</f>
        <v>Roagna</v>
      </c>
      <c r="C3809" s="1178" t="s">
        <v>21860</v>
      </c>
      <c r="D3809" s="1178" t="s">
        <v>897</v>
      </c>
      <c r="E3809" s="1179">
        <v>2017</v>
      </c>
      <c r="F3809" s="1282" t="s">
        <v>20240</v>
      </c>
      <c r="G3809" s="1368" t="s">
        <v>5258</v>
      </c>
      <c r="H3809" s="1178" t="s">
        <v>20224</v>
      </c>
      <c r="I3809" s="1178" t="s">
        <v>11566</v>
      </c>
      <c r="J3809" s="1178" t="s">
        <v>668</v>
      </c>
      <c r="K3809" s="1178" t="s">
        <v>350</v>
      </c>
      <c r="L3809" s="1178" t="s">
        <v>351</v>
      </c>
      <c r="M3809" s="1369"/>
      <c r="N3809" s="1178"/>
      <c r="O3809" s="1178">
        <v>3</v>
      </c>
      <c r="P3809" s="1178">
        <v>13.5</v>
      </c>
    </row>
    <row r="3810" spans="1:16">
      <c r="A3810" s="1178" t="s">
        <v>368</v>
      </c>
      <c r="B3810" s="1371" t="str">
        <f>HYPERLINK(IFERROR("#Main_Tariff!A"&amp;MATCH(Raeburn_Main_Tariff[[#This Row],[Product Code]],Main_Tariff!I:I,0),"#Main_Tariff!A"&amp;MATCH("*"&amp;RIGHT(A3810,8)&amp;"*",Main_Tariff!A:A,0)),Raeburn_Main_Tariff[[#This Row],[PRODUCER]])</f>
        <v>Roagna</v>
      </c>
      <c r="C3810" s="1178" t="s">
        <v>21830</v>
      </c>
      <c r="D3810" s="1178" t="s">
        <v>897</v>
      </c>
      <c r="E3810" s="1179">
        <v>2019</v>
      </c>
      <c r="F3810" s="1282" t="s">
        <v>20240</v>
      </c>
      <c r="G3810" s="1368" t="s">
        <v>5258</v>
      </c>
      <c r="H3810" s="1178" t="s">
        <v>20224</v>
      </c>
      <c r="I3810" s="1178" t="s">
        <v>11568</v>
      </c>
      <c r="J3810" s="1178" t="s">
        <v>668</v>
      </c>
      <c r="K3810" s="1178" t="s">
        <v>350</v>
      </c>
      <c r="L3810" s="1178" t="s">
        <v>351</v>
      </c>
      <c r="M3810" s="1369"/>
      <c r="N3810" s="1178"/>
      <c r="O3810" s="1178">
        <v>3</v>
      </c>
      <c r="P3810" s="1178">
        <v>14</v>
      </c>
    </row>
    <row r="3811" spans="1:16">
      <c r="A3811" s="1178" t="s">
        <v>368</v>
      </c>
      <c r="B3811" s="1371" t="str">
        <f>HYPERLINK(IFERROR("#Main_Tariff!A"&amp;MATCH(Raeburn_Main_Tariff[[#This Row],[Product Code]],Main_Tariff!I:I,0),"#Main_Tariff!A"&amp;MATCH("*"&amp;RIGHT(A3811,8)&amp;"*",Main_Tariff!A:A,0)),Raeburn_Main_Tariff[[#This Row],[PRODUCER]])</f>
        <v>Roagna</v>
      </c>
      <c r="C3811" s="1178" t="s">
        <v>21830</v>
      </c>
      <c r="D3811" s="1178" t="s">
        <v>897</v>
      </c>
      <c r="E3811" s="1179">
        <v>2018</v>
      </c>
      <c r="F3811" s="1282" t="s">
        <v>20240</v>
      </c>
      <c r="G3811" s="1368" t="s">
        <v>5258</v>
      </c>
      <c r="H3811" s="1178" t="s">
        <v>20221</v>
      </c>
      <c r="I3811" s="1178" t="s">
        <v>11570</v>
      </c>
      <c r="J3811" s="1178" t="s">
        <v>668</v>
      </c>
      <c r="K3811" s="1178" t="s">
        <v>350</v>
      </c>
      <c r="L3811" s="1178" t="s">
        <v>351</v>
      </c>
      <c r="M3811" s="1369"/>
      <c r="N3811" s="1178"/>
      <c r="O3811" s="1178">
        <v>3</v>
      </c>
      <c r="P3811" s="1178">
        <v>14</v>
      </c>
    </row>
    <row r="3812" spans="1:16">
      <c r="A3812" s="1178" t="s">
        <v>368</v>
      </c>
      <c r="B3812" s="1371" t="str">
        <f>HYPERLINK(IFERROR("#Main_Tariff!A"&amp;MATCH(Raeburn_Main_Tariff[[#This Row],[Product Code]],Main_Tariff!I:I,0),"#Main_Tariff!A"&amp;MATCH("*"&amp;RIGHT(A3812,8)&amp;"*",Main_Tariff!A:A,0)),Raeburn_Main_Tariff[[#This Row],[PRODUCER]])</f>
        <v>Roagna</v>
      </c>
      <c r="C3812" s="1178" t="s">
        <v>21861</v>
      </c>
      <c r="D3812" s="1178" t="s">
        <v>897</v>
      </c>
      <c r="E3812" s="1179">
        <v>2018</v>
      </c>
      <c r="F3812" s="1282" t="s">
        <v>20240</v>
      </c>
      <c r="G3812" s="1368" t="s">
        <v>5258</v>
      </c>
      <c r="H3812" s="1178" t="s">
        <v>20224</v>
      </c>
      <c r="I3812" s="1178" t="s">
        <v>11572</v>
      </c>
      <c r="J3812" s="1178" t="s">
        <v>668</v>
      </c>
      <c r="K3812" s="1178" t="s">
        <v>350</v>
      </c>
      <c r="L3812" s="1178" t="s">
        <v>351</v>
      </c>
      <c r="M3812" s="1369"/>
      <c r="N3812" s="1178"/>
      <c r="O3812" s="1178">
        <v>3</v>
      </c>
      <c r="P3812" s="1178">
        <v>14</v>
      </c>
    </row>
    <row r="3813" spans="1:16">
      <c r="A3813" s="1178" t="s">
        <v>368</v>
      </c>
      <c r="B3813" s="1371" t="str">
        <f>HYPERLINK(IFERROR("#Main_Tariff!A"&amp;MATCH(Raeburn_Main_Tariff[[#This Row],[Product Code]],Main_Tariff!I:I,0),"#Main_Tariff!A"&amp;MATCH("*"&amp;RIGHT(A3813,8)&amp;"*",Main_Tariff!A:A,0)),Raeburn_Main_Tariff[[#This Row],[PRODUCER]])</f>
        <v>Roagna</v>
      </c>
      <c r="C3813" s="1178" t="s">
        <v>21862</v>
      </c>
      <c r="D3813" s="1178" t="s">
        <v>897</v>
      </c>
      <c r="E3813" s="1179"/>
      <c r="F3813" s="1282" t="s">
        <v>20220</v>
      </c>
      <c r="G3813" s="1368"/>
      <c r="H3813" s="1178" t="s">
        <v>3907</v>
      </c>
      <c r="I3813" s="1178" t="s">
        <v>11576</v>
      </c>
      <c r="J3813" s="1178" t="s">
        <v>668</v>
      </c>
      <c r="K3813" s="1178" t="s">
        <v>350</v>
      </c>
      <c r="L3813" s="1178" t="s">
        <v>351</v>
      </c>
      <c r="M3813" s="1369"/>
      <c r="N3813" s="1178"/>
      <c r="O3813" s="1178">
        <v>1</v>
      </c>
      <c r="P3813" s="1178">
        <v>14.5</v>
      </c>
    </row>
    <row r="3814" spans="1:16">
      <c r="A3814" s="1178" t="s">
        <v>368</v>
      </c>
      <c r="B3814" s="1371" t="str">
        <f>HYPERLINK(IFERROR("#Main_Tariff!A"&amp;MATCH(Raeburn_Main_Tariff[[#This Row],[Product Code]],Main_Tariff!I:I,0),"#Main_Tariff!A"&amp;MATCH("*"&amp;RIGHT(A3814,8)&amp;"*",Main_Tariff!A:A,0)),Raeburn_Main_Tariff[[#This Row],[PRODUCER]])</f>
        <v>Roagna</v>
      </c>
      <c r="C3814" s="1178" t="s">
        <v>21863</v>
      </c>
      <c r="D3814" s="1178" t="s">
        <v>897</v>
      </c>
      <c r="E3814" s="1179">
        <v>2006</v>
      </c>
      <c r="F3814" s="1282" t="s">
        <v>20240</v>
      </c>
      <c r="G3814" s="1368" t="s">
        <v>5258</v>
      </c>
      <c r="H3814" s="1178" t="s">
        <v>20224</v>
      </c>
      <c r="I3814" s="1178" t="s">
        <v>11578</v>
      </c>
      <c r="J3814" s="1178" t="s">
        <v>668</v>
      </c>
      <c r="K3814" s="1178" t="s">
        <v>350</v>
      </c>
      <c r="L3814" s="1178" t="s">
        <v>351</v>
      </c>
      <c r="M3814" s="1369"/>
      <c r="N3814" s="1178"/>
      <c r="O3814" s="1178">
        <v>1</v>
      </c>
      <c r="P3814" s="1178">
        <v>14.5</v>
      </c>
    </row>
    <row r="3815" spans="1:16">
      <c r="A3815" s="1178" t="s">
        <v>368</v>
      </c>
      <c r="B3815" s="1371" t="str">
        <f>HYPERLINK(IFERROR("#Main_Tariff!A"&amp;MATCH(Raeburn_Main_Tariff[[#This Row],[Product Code]],Main_Tariff!I:I,0),"#Main_Tariff!A"&amp;MATCH("*"&amp;RIGHT(A3815,8)&amp;"*",Main_Tariff!A:A,0)),Raeburn_Main_Tariff[[#This Row],[PRODUCER]])</f>
        <v>Roagna</v>
      </c>
      <c r="C3815" s="1178" t="s">
        <v>21864</v>
      </c>
      <c r="D3815" s="1178" t="s">
        <v>897</v>
      </c>
      <c r="E3815" s="1179">
        <v>2017</v>
      </c>
      <c r="F3815" s="1282" t="s">
        <v>21865</v>
      </c>
      <c r="G3815" s="1368" t="s">
        <v>5258</v>
      </c>
      <c r="H3815" s="1178" t="s">
        <v>20224</v>
      </c>
      <c r="I3815" s="1178" t="s">
        <v>11582</v>
      </c>
      <c r="J3815" s="1178" t="s">
        <v>668</v>
      </c>
      <c r="K3815" s="1178" t="s">
        <v>350</v>
      </c>
      <c r="L3815" s="1178" t="s">
        <v>351</v>
      </c>
      <c r="M3815" s="1369"/>
      <c r="N3815" s="1178"/>
      <c r="O3815" s="1178">
        <v>6</v>
      </c>
      <c r="P3815" s="1178">
        <v>13</v>
      </c>
    </row>
    <row r="3816" spans="1:16">
      <c r="A3816" s="1178" t="s">
        <v>368</v>
      </c>
      <c r="B3816" s="1371" t="str">
        <f>HYPERLINK(IFERROR("#Main_Tariff!A"&amp;MATCH(Raeburn_Main_Tariff[[#This Row],[Product Code]],Main_Tariff!I:I,0),"#Main_Tariff!A"&amp;MATCH("*"&amp;RIGHT(A3816,8)&amp;"*",Main_Tariff!A:A,0)),Raeburn_Main_Tariff[[#This Row],[PRODUCER]])</f>
        <v>Roagna</v>
      </c>
      <c r="C3816" s="1178" t="s">
        <v>21866</v>
      </c>
      <c r="D3816" s="1178" t="s">
        <v>897</v>
      </c>
      <c r="E3816" s="1179">
        <v>2017</v>
      </c>
      <c r="F3816" s="1282" t="s">
        <v>21867</v>
      </c>
      <c r="G3816" s="1368" t="s">
        <v>5258</v>
      </c>
      <c r="H3816" s="1178" t="s">
        <v>20224</v>
      </c>
      <c r="I3816" s="1178" t="s">
        <v>11583</v>
      </c>
      <c r="J3816" s="1178" t="s">
        <v>668</v>
      </c>
      <c r="K3816" s="1178" t="s">
        <v>350</v>
      </c>
      <c r="L3816" s="1178" t="s">
        <v>351</v>
      </c>
      <c r="M3816" s="1369"/>
      <c r="N3816" s="1178"/>
      <c r="O3816" s="1178">
        <v>6</v>
      </c>
      <c r="P3816" s="1178">
        <v>13</v>
      </c>
    </row>
    <row r="3817" spans="1:16">
      <c r="A3817" s="1178" t="s">
        <v>368</v>
      </c>
      <c r="B3817" s="1371" t="str">
        <f>HYPERLINK(IFERROR("#Main_Tariff!A"&amp;MATCH(Raeburn_Main_Tariff[[#This Row],[Product Code]],Main_Tariff!I:I,0),"#Main_Tariff!A"&amp;MATCH("*"&amp;RIGHT(A3817,8)&amp;"*",Main_Tariff!A:A,0)),Raeburn_Main_Tariff[[#This Row],[PRODUCER]])</f>
        <v>Roagna</v>
      </c>
      <c r="C3817" s="1178" t="s">
        <v>21868</v>
      </c>
      <c r="D3817" s="1178" t="s">
        <v>11190</v>
      </c>
      <c r="E3817" s="1179"/>
      <c r="F3817" s="1282" t="s">
        <v>20220</v>
      </c>
      <c r="G3817" s="1368">
        <v>69.5</v>
      </c>
      <c r="H3817" s="1178" t="s">
        <v>20224</v>
      </c>
      <c r="I3817" s="1178" t="s">
        <v>11587</v>
      </c>
      <c r="J3817" s="1178" t="s">
        <v>668</v>
      </c>
      <c r="K3817" s="1178" t="s">
        <v>350</v>
      </c>
      <c r="L3817" s="1178" t="s">
        <v>351</v>
      </c>
      <c r="M3817" s="1369"/>
      <c r="N3817" s="1178"/>
      <c r="O3817" s="1178">
        <v>6</v>
      </c>
      <c r="P3817" s="1178">
        <v>16</v>
      </c>
    </row>
    <row r="3818" spans="1:16">
      <c r="A3818" s="1178" t="s">
        <v>368</v>
      </c>
      <c r="B3818" s="1371" t="str">
        <f>HYPERLINK(IFERROR("#Main_Tariff!A"&amp;MATCH(Raeburn_Main_Tariff[[#This Row],[Product Code]],Main_Tariff!I:I,0),"#Main_Tariff!A"&amp;MATCH("*"&amp;RIGHT(A3818,8)&amp;"*",Main_Tariff!A:A,0)),Raeburn_Main_Tariff[[#This Row],[PRODUCER]])</f>
        <v>Roagna</v>
      </c>
      <c r="C3818" s="1178" t="s">
        <v>21869</v>
      </c>
      <c r="D3818" s="1178" t="s">
        <v>11190</v>
      </c>
      <c r="E3818" s="1179"/>
      <c r="F3818" s="1282" t="s">
        <v>20220</v>
      </c>
      <c r="G3818" s="1368" t="s">
        <v>5258</v>
      </c>
      <c r="H3818" s="1178" t="s">
        <v>20224</v>
      </c>
      <c r="I3818" s="1178" t="s">
        <v>11589</v>
      </c>
      <c r="J3818" s="1178" t="s">
        <v>668</v>
      </c>
      <c r="K3818" s="1178" t="s">
        <v>350</v>
      </c>
      <c r="L3818" s="1178" t="s">
        <v>351</v>
      </c>
      <c r="M3818" s="1369"/>
      <c r="N3818" s="1178"/>
      <c r="O3818" s="1178">
        <v>1</v>
      </c>
      <c r="P3818" s="1178">
        <v>20</v>
      </c>
    </row>
    <row r="3819" spans="1:16">
      <c r="A3819" s="1178" t="s">
        <v>368</v>
      </c>
      <c r="B3819" s="1371" t="str">
        <f>HYPERLINK(IFERROR("#Main_Tariff!A"&amp;MATCH(Raeburn_Main_Tariff[[#This Row],[Product Code]],Main_Tariff!I:I,0),"#Main_Tariff!A"&amp;MATCH("*"&amp;RIGHT(A3819,8)&amp;"*",Main_Tariff!A:A,0)),Raeburn_Main_Tariff[[#This Row],[PRODUCER]])</f>
        <v>Roagna</v>
      </c>
      <c r="C3819" s="1178" t="s">
        <v>21870</v>
      </c>
      <c r="D3819" s="1178" t="s">
        <v>6904</v>
      </c>
      <c r="E3819" s="1179"/>
      <c r="F3819" s="1282" t="s">
        <v>21392</v>
      </c>
      <c r="G3819" s="1368">
        <v>70</v>
      </c>
      <c r="H3819" s="1178" t="s">
        <v>20224</v>
      </c>
      <c r="I3819" s="1178" t="s">
        <v>11593</v>
      </c>
      <c r="J3819" s="1178" t="s">
        <v>668</v>
      </c>
      <c r="K3819" s="1178" t="s">
        <v>350</v>
      </c>
      <c r="L3819" s="1178" t="s">
        <v>351</v>
      </c>
      <c r="M3819" s="1369"/>
      <c r="N3819" s="1178"/>
      <c r="O3819" s="1178">
        <v>6</v>
      </c>
      <c r="P3819" s="1178">
        <v>45</v>
      </c>
    </row>
    <row r="3820" spans="1:16">
      <c r="A3820" s="1178" t="s">
        <v>368</v>
      </c>
      <c r="B3820" s="1371" t="str">
        <f>HYPERLINK(IFERROR("#Main_Tariff!A"&amp;MATCH(Raeburn_Main_Tariff[[#This Row],[Product Code]],Main_Tariff!I:I,0),"#Main_Tariff!A"&amp;MATCH("*"&amp;RIGHT(A3820,8)&amp;"*",Main_Tariff!A:A,0)),Raeburn_Main_Tariff[[#This Row],[PRODUCER]])</f>
        <v>Roagna</v>
      </c>
      <c r="C3820" s="1178" t="s">
        <v>21871</v>
      </c>
      <c r="D3820" s="1178" t="s">
        <v>6904</v>
      </c>
      <c r="E3820" s="1179"/>
      <c r="F3820" s="1282" t="s">
        <v>21392</v>
      </c>
      <c r="G3820" s="1368">
        <v>70</v>
      </c>
      <c r="H3820" s="1178" t="s">
        <v>20224</v>
      </c>
      <c r="I3820" s="1178" t="s">
        <v>11595</v>
      </c>
      <c r="J3820" s="1178" t="s">
        <v>668</v>
      </c>
      <c r="K3820" s="1178" t="s">
        <v>350</v>
      </c>
      <c r="L3820" s="1178" t="s">
        <v>351</v>
      </c>
      <c r="M3820" s="1369"/>
      <c r="N3820" s="1178"/>
      <c r="O3820" s="1178">
        <v>6</v>
      </c>
      <c r="P3820" s="1178">
        <v>45</v>
      </c>
    </row>
    <row r="3821" spans="1:16">
      <c r="A3821" s="1178" t="s">
        <v>369</v>
      </c>
      <c r="B3821" s="1371" t="str">
        <f>HYPERLINK(IFERROR("#Main_Tariff!A"&amp;MATCH(Raeburn_Main_Tariff[[#This Row],[Product Code]],Main_Tariff!I:I,0),"#Main_Tariff!A"&amp;MATCH("*"&amp;RIGHT(A3821,8)&amp;"*",Main_Tariff!A:A,0)),Raeburn_Main_Tariff[[#This Row],[PRODUCER]])</f>
        <v>Sandrone</v>
      </c>
      <c r="C3821" s="1178" t="s">
        <v>21716</v>
      </c>
      <c r="D3821" s="1178" t="s">
        <v>897</v>
      </c>
      <c r="E3821" s="1179">
        <v>2014</v>
      </c>
      <c r="F3821" s="1282" t="s">
        <v>20220</v>
      </c>
      <c r="G3821" s="1368">
        <v>25</v>
      </c>
      <c r="H3821" s="1178" t="s">
        <v>20221</v>
      </c>
      <c r="I3821" s="1178" t="s">
        <v>11640</v>
      </c>
      <c r="J3821" s="1178" t="s">
        <v>668</v>
      </c>
      <c r="K3821" s="1178" t="s">
        <v>350</v>
      </c>
      <c r="L3821" s="1178" t="s">
        <v>351</v>
      </c>
      <c r="M3821" s="1369"/>
      <c r="N3821" s="1178"/>
      <c r="O3821" s="1178">
        <v>6</v>
      </c>
      <c r="P3821" s="1178">
        <v>13</v>
      </c>
    </row>
    <row r="3822" spans="1:16">
      <c r="A3822" s="1178" t="s">
        <v>369</v>
      </c>
      <c r="B3822" s="1371" t="str">
        <f>HYPERLINK(IFERROR("#Main_Tariff!A"&amp;MATCH(Raeburn_Main_Tariff[[#This Row],[Product Code]],Main_Tariff!I:I,0),"#Main_Tariff!A"&amp;MATCH("*"&amp;RIGHT(A3822,8)&amp;"*",Main_Tariff!A:A,0)),Raeburn_Main_Tariff[[#This Row],[PRODUCER]])</f>
        <v>Sandrone</v>
      </c>
      <c r="C3822" s="1178" t="s">
        <v>21872</v>
      </c>
      <c r="D3822" s="1178" t="s">
        <v>897</v>
      </c>
      <c r="E3822" s="1179">
        <v>2014</v>
      </c>
      <c r="F3822" s="1282" t="s">
        <v>20220</v>
      </c>
      <c r="G3822" s="1368">
        <v>31</v>
      </c>
      <c r="H3822" s="1178" t="s">
        <v>20224</v>
      </c>
      <c r="I3822" s="1178" t="s">
        <v>11643</v>
      </c>
      <c r="J3822" s="1178" t="s">
        <v>668</v>
      </c>
      <c r="K3822" s="1178" t="s">
        <v>350</v>
      </c>
      <c r="L3822" s="1178" t="s">
        <v>351</v>
      </c>
      <c r="M3822" s="1369"/>
      <c r="N3822" s="1178"/>
      <c r="O3822" s="1178">
        <v>3</v>
      </c>
      <c r="P3822" s="1178">
        <v>13</v>
      </c>
    </row>
    <row r="3823" spans="1:16">
      <c r="A3823" s="1178" t="s">
        <v>369</v>
      </c>
      <c r="B3823" s="1371" t="str">
        <f>HYPERLINK(IFERROR("#Main_Tariff!A"&amp;MATCH(Raeburn_Main_Tariff[[#This Row],[Product Code]],Main_Tariff!I:I,0),"#Main_Tariff!A"&amp;MATCH("*"&amp;RIGHT(A3823,8)&amp;"*",Main_Tariff!A:A,0)),Raeburn_Main_Tariff[[#This Row],[PRODUCER]])</f>
        <v>Sandrone</v>
      </c>
      <c r="C3823" s="1178" t="s">
        <v>21873</v>
      </c>
      <c r="D3823" s="1178" t="s">
        <v>897</v>
      </c>
      <c r="E3823" s="1179">
        <v>2017</v>
      </c>
      <c r="F3823" s="1282" t="s">
        <v>20220</v>
      </c>
      <c r="G3823" s="1368" t="s">
        <v>5258</v>
      </c>
      <c r="H3823" s="1178" t="s">
        <v>20221</v>
      </c>
      <c r="I3823" s="1178" t="s">
        <v>11647</v>
      </c>
      <c r="J3823" s="1178" t="s">
        <v>668</v>
      </c>
      <c r="K3823" s="1178" t="s">
        <v>350</v>
      </c>
      <c r="L3823" s="1178" t="s">
        <v>351</v>
      </c>
      <c r="M3823" s="1369"/>
      <c r="N3823" s="1178"/>
      <c r="O3823" s="1178">
        <v>6</v>
      </c>
      <c r="P3823" s="1178">
        <v>14.5</v>
      </c>
    </row>
    <row r="3824" spans="1:16">
      <c r="A3824" s="1178" t="s">
        <v>369</v>
      </c>
      <c r="B3824" s="1371" t="str">
        <f>HYPERLINK(IFERROR("#Main_Tariff!A"&amp;MATCH(Raeburn_Main_Tariff[[#This Row],[Product Code]],Main_Tariff!I:I,0),"#Main_Tariff!A"&amp;MATCH("*"&amp;RIGHT(A3824,8)&amp;"*",Main_Tariff!A:A,0)),Raeburn_Main_Tariff[[#This Row],[PRODUCER]])</f>
        <v>Sandrone</v>
      </c>
      <c r="C3824" s="1178" t="s">
        <v>21874</v>
      </c>
      <c r="D3824" s="1178" t="s">
        <v>897</v>
      </c>
      <c r="E3824" s="1179">
        <v>2017</v>
      </c>
      <c r="F3824" s="1282" t="s">
        <v>20240</v>
      </c>
      <c r="G3824" s="1368" t="s">
        <v>5258</v>
      </c>
      <c r="H3824" s="1178" t="s">
        <v>20224</v>
      </c>
      <c r="I3824" s="1178" t="s">
        <v>11649</v>
      </c>
      <c r="J3824" s="1178" t="s">
        <v>668</v>
      </c>
      <c r="K3824" s="1178" t="s">
        <v>350</v>
      </c>
      <c r="L3824" s="1178" t="s">
        <v>351</v>
      </c>
      <c r="M3824" s="1369"/>
      <c r="N3824" s="1178"/>
      <c r="O3824" s="1178">
        <v>1</v>
      </c>
      <c r="P3824" s="1178">
        <v>14.5</v>
      </c>
    </row>
    <row r="3825" spans="1:16">
      <c r="A3825" s="1178" t="s">
        <v>369</v>
      </c>
      <c r="B3825" s="1371" t="str">
        <f>HYPERLINK(IFERROR("#Main_Tariff!A"&amp;MATCH(Raeburn_Main_Tariff[[#This Row],[Product Code]],Main_Tariff!I:I,0),"#Main_Tariff!A"&amp;MATCH("*"&amp;RIGHT(A3825,8)&amp;"*",Main_Tariff!A:A,0)),Raeburn_Main_Tariff[[#This Row],[PRODUCER]])</f>
        <v>Sandrone</v>
      </c>
      <c r="C3825" s="1178" t="s">
        <v>21875</v>
      </c>
      <c r="D3825" s="1178" t="s">
        <v>897</v>
      </c>
      <c r="E3825" s="1179">
        <v>2017</v>
      </c>
      <c r="F3825" s="1282" t="s">
        <v>20288</v>
      </c>
      <c r="G3825" s="1368" t="s">
        <v>5258</v>
      </c>
      <c r="H3825" s="1178" t="s">
        <v>3907</v>
      </c>
      <c r="I3825" s="1178" t="s">
        <v>11651</v>
      </c>
      <c r="J3825" s="1178" t="s">
        <v>668</v>
      </c>
      <c r="K3825" s="1178" t="s">
        <v>350</v>
      </c>
      <c r="L3825" s="1178" t="s">
        <v>351</v>
      </c>
      <c r="M3825" s="1369"/>
      <c r="N3825" s="1178"/>
      <c r="O3825" s="1178">
        <v>1</v>
      </c>
      <c r="P3825" s="1178">
        <v>14.5</v>
      </c>
    </row>
    <row r="3826" spans="1:16">
      <c r="A3826" s="1178" t="s">
        <v>369</v>
      </c>
      <c r="B3826" s="1371" t="str">
        <f>HYPERLINK(IFERROR("#Main_Tariff!A"&amp;MATCH(Raeburn_Main_Tariff[[#This Row],[Product Code]],Main_Tariff!I:I,0),"#Main_Tariff!A"&amp;MATCH("*"&amp;RIGHT(A3826,8)&amp;"*",Main_Tariff!A:A,0)),Raeburn_Main_Tariff[[#This Row],[PRODUCER]])</f>
        <v>Sandrone</v>
      </c>
      <c r="C3826" s="1178" t="s">
        <v>21875</v>
      </c>
      <c r="D3826" s="1178" t="s">
        <v>897</v>
      </c>
      <c r="E3826" s="1179">
        <v>2016</v>
      </c>
      <c r="F3826" s="1282" t="s">
        <v>20288</v>
      </c>
      <c r="G3826" s="1368" t="s">
        <v>5258</v>
      </c>
      <c r="H3826" s="1178" t="s">
        <v>20224</v>
      </c>
      <c r="I3826" s="1178" t="s">
        <v>11653</v>
      </c>
      <c r="J3826" s="1178" t="s">
        <v>668</v>
      </c>
      <c r="K3826" s="1178" t="s">
        <v>350</v>
      </c>
      <c r="L3826" s="1178" t="s">
        <v>351</v>
      </c>
      <c r="M3826" s="1369"/>
      <c r="N3826" s="1178"/>
      <c r="O3826" s="1178">
        <v>1</v>
      </c>
      <c r="P3826" s="1178">
        <v>13</v>
      </c>
    </row>
    <row r="3827" spans="1:16">
      <c r="A3827" s="1178" t="s">
        <v>369</v>
      </c>
      <c r="B3827" s="1371" t="str">
        <f>HYPERLINK(IFERROR("#Main_Tariff!A"&amp;MATCH(Raeburn_Main_Tariff[[#This Row],[Product Code]],Main_Tariff!I:I,0),"#Main_Tariff!A"&amp;MATCH("*"&amp;RIGHT(A3827,8)&amp;"*",Main_Tariff!A:A,0)),Raeburn_Main_Tariff[[#This Row],[PRODUCER]])</f>
        <v>Sandrone</v>
      </c>
      <c r="C3827" s="1178" t="s">
        <v>21876</v>
      </c>
      <c r="D3827" s="1178" t="s">
        <v>897</v>
      </c>
      <c r="E3827" s="1179">
        <v>2017</v>
      </c>
      <c r="F3827" s="1282" t="s">
        <v>20240</v>
      </c>
      <c r="G3827" s="1368" t="s">
        <v>5258</v>
      </c>
      <c r="H3827" s="1178" t="s">
        <v>20224</v>
      </c>
      <c r="I3827" s="1178" t="s">
        <v>11656</v>
      </c>
      <c r="J3827" s="1178" t="s">
        <v>668</v>
      </c>
      <c r="K3827" s="1178" t="s">
        <v>350</v>
      </c>
      <c r="L3827" s="1178" t="s">
        <v>351</v>
      </c>
      <c r="M3827" s="1369"/>
      <c r="N3827" s="1178"/>
      <c r="O3827" s="1178">
        <v>1</v>
      </c>
      <c r="P3827" s="1178">
        <v>14.5</v>
      </c>
    </row>
    <row r="3828" spans="1:16">
      <c r="A3828" s="1178" t="s">
        <v>369</v>
      </c>
      <c r="B3828" s="1371" t="str">
        <f>HYPERLINK(IFERROR("#Main_Tariff!A"&amp;MATCH(Raeburn_Main_Tariff[[#This Row],[Product Code]],Main_Tariff!I:I,0),"#Main_Tariff!A"&amp;MATCH("*"&amp;RIGHT(A3828,8)&amp;"*",Main_Tariff!A:A,0)),Raeburn_Main_Tariff[[#This Row],[PRODUCER]])</f>
        <v>Sandrone</v>
      </c>
      <c r="C3828" s="1178" t="s">
        <v>21876</v>
      </c>
      <c r="D3828" s="1178" t="s">
        <v>897</v>
      </c>
      <c r="E3828" s="1179">
        <v>2016</v>
      </c>
      <c r="F3828" s="1282" t="s">
        <v>20240</v>
      </c>
      <c r="G3828" s="1368" t="s">
        <v>5258</v>
      </c>
      <c r="H3828" s="1178" t="s">
        <v>20224</v>
      </c>
      <c r="I3828" s="1178" t="s">
        <v>11658</v>
      </c>
      <c r="J3828" s="1178" t="s">
        <v>668</v>
      </c>
      <c r="K3828" s="1178" t="s">
        <v>350</v>
      </c>
      <c r="L3828" s="1178" t="s">
        <v>351</v>
      </c>
      <c r="M3828" s="1369"/>
      <c r="N3828" s="1178"/>
      <c r="O3828" s="1178">
        <v>1</v>
      </c>
      <c r="P3828" s="1178">
        <v>13</v>
      </c>
    </row>
    <row r="3829" spans="1:16">
      <c r="A3829" s="1178" t="s">
        <v>369</v>
      </c>
      <c r="B3829" s="1371" t="str">
        <f>HYPERLINK(IFERROR("#Main_Tariff!A"&amp;MATCH(Raeburn_Main_Tariff[[#This Row],[Product Code]],Main_Tariff!I:I,0),"#Main_Tariff!A"&amp;MATCH("*"&amp;RIGHT(A3829,8)&amp;"*",Main_Tariff!A:A,0)),Raeburn_Main_Tariff[[#This Row],[PRODUCER]])</f>
        <v>Sandrone</v>
      </c>
      <c r="C3829" s="1178" t="s">
        <v>21877</v>
      </c>
      <c r="D3829" s="1178" t="s">
        <v>897</v>
      </c>
      <c r="E3829" s="1179">
        <v>2017</v>
      </c>
      <c r="F3829" s="1282" t="s">
        <v>20288</v>
      </c>
      <c r="G3829" s="1368" t="s">
        <v>5258</v>
      </c>
      <c r="H3829" s="1178" t="s">
        <v>20224</v>
      </c>
      <c r="I3829" s="1178" t="s">
        <v>11660</v>
      </c>
      <c r="J3829" s="1178" t="s">
        <v>668</v>
      </c>
      <c r="K3829" s="1178" t="s">
        <v>350</v>
      </c>
      <c r="L3829" s="1178" t="s">
        <v>351</v>
      </c>
      <c r="M3829" s="1369"/>
      <c r="N3829" s="1178"/>
      <c r="O3829" s="1178">
        <v>1</v>
      </c>
      <c r="P3829" s="1178">
        <v>14.5</v>
      </c>
    </row>
    <row r="3830" spans="1:16">
      <c r="A3830" s="1178" t="s">
        <v>369</v>
      </c>
      <c r="B3830" s="1371" t="str">
        <f>HYPERLINK(IFERROR("#Main_Tariff!A"&amp;MATCH(Raeburn_Main_Tariff[[#This Row],[Product Code]],Main_Tariff!I:I,0),"#Main_Tariff!A"&amp;MATCH("*"&amp;RIGHT(A3830,8)&amp;"*",Main_Tariff!A:A,0)),Raeburn_Main_Tariff[[#This Row],[PRODUCER]])</f>
        <v>Sandrone</v>
      </c>
      <c r="C3830" s="1178" t="s">
        <v>21877</v>
      </c>
      <c r="D3830" s="1178" t="s">
        <v>897</v>
      </c>
      <c r="E3830" s="1179">
        <v>2014</v>
      </c>
      <c r="F3830" s="1282" t="s">
        <v>20288</v>
      </c>
      <c r="G3830" s="1368" t="s">
        <v>5258</v>
      </c>
      <c r="H3830" s="1178" t="s">
        <v>20224</v>
      </c>
      <c r="I3830" s="1178" t="s">
        <v>11662</v>
      </c>
      <c r="J3830" s="1178" t="s">
        <v>668</v>
      </c>
      <c r="K3830" s="1178" t="s">
        <v>350</v>
      </c>
      <c r="L3830" s="1178" t="s">
        <v>351</v>
      </c>
      <c r="M3830" s="1369"/>
      <c r="N3830" s="1178"/>
      <c r="O3830" s="1178">
        <v>1</v>
      </c>
      <c r="P3830" s="1178">
        <v>13</v>
      </c>
    </row>
    <row r="3831" spans="1:16">
      <c r="A3831" s="1178" t="s">
        <v>371</v>
      </c>
      <c r="B3831" s="1371" t="str">
        <f>HYPERLINK(IFERROR("#Main_Tariff!A"&amp;MATCH(Raeburn_Main_Tariff[[#This Row],[Product Code]],Main_Tariff!I:I,0),"#Main_Tariff!A"&amp;MATCH("*"&amp;RIGHT(A3831,8)&amp;"*",Main_Tariff!A:A,0)),Raeburn_Main_Tariff[[#This Row],[PRODUCER]])</f>
        <v>Cascina Luisin</v>
      </c>
      <c r="C3831" s="1178" t="s">
        <v>21878</v>
      </c>
      <c r="D3831" s="1178" t="s">
        <v>897</v>
      </c>
      <c r="E3831" s="1179">
        <v>2021</v>
      </c>
      <c r="F3831" s="1282" t="s">
        <v>20220</v>
      </c>
      <c r="G3831" s="1368">
        <v>16.5</v>
      </c>
      <c r="H3831" s="1178" t="s">
        <v>20221</v>
      </c>
      <c r="I3831" s="1178" t="s">
        <v>11706</v>
      </c>
      <c r="J3831" s="1178" t="s">
        <v>668</v>
      </c>
      <c r="K3831" s="1178" t="s">
        <v>350</v>
      </c>
      <c r="L3831" s="1178" t="s">
        <v>370</v>
      </c>
      <c r="M3831" s="1369"/>
      <c r="N3831" s="1178"/>
      <c r="O3831" s="1178">
        <v>6</v>
      </c>
      <c r="P3831" s="1178">
        <v>14</v>
      </c>
    </row>
    <row r="3832" spans="1:16">
      <c r="A3832" s="1178" t="s">
        <v>371</v>
      </c>
      <c r="B3832" s="1371" t="str">
        <f>HYPERLINK(IFERROR("#Main_Tariff!A"&amp;MATCH(Raeburn_Main_Tariff[[#This Row],[Product Code]],Main_Tariff!I:I,0),"#Main_Tariff!A"&amp;MATCH("*"&amp;RIGHT(A3832,8)&amp;"*",Main_Tariff!A:A,0)),Raeburn_Main_Tariff[[#This Row],[PRODUCER]])</f>
        <v>Cascina Luisin</v>
      </c>
      <c r="C3832" s="1178" t="s">
        <v>21878</v>
      </c>
      <c r="D3832" s="1178" t="s">
        <v>897</v>
      </c>
      <c r="E3832" s="1179">
        <v>2020</v>
      </c>
      <c r="F3832" s="1282" t="s">
        <v>20220</v>
      </c>
      <c r="G3832" s="1368">
        <v>16.5</v>
      </c>
      <c r="H3832" s="1178" t="s">
        <v>20221</v>
      </c>
      <c r="I3832" s="1178" t="s">
        <v>11708</v>
      </c>
      <c r="J3832" s="1178" t="s">
        <v>668</v>
      </c>
      <c r="K3832" s="1178" t="s">
        <v>350</v>
      </c>
      <c r="L3832" s="1178" t="s">
        <v>370</v>
      </c>
      <c r="M3832" s="1369"/>
      <c r="N3832" s="1178"/>
      <c r="O3832" s="1178">
        <v>6</v>
      </c>
      <c r="P3832" s="1178">
        <v>14</v>
      </c>
    </row>
    <row r="3833" spans="1:16">
      <c r="A3833" s="1178" t="s">
        <v>371</v>
      </c>
      <c r="B3833" s="1371" t="str">
        <f>HYPERLINK(IFERROR("#Main_Tariff!A"&amp;MATCH(Raeburn_Main_Tariff[[#This Row],[Product Code]],Main_Tariff!I:I,0),"#Main_Tariff!A"&amp;MATCH("*"&amp;RIGHT(A3833,8)&amp;"*",Main_Tariff!A:A,0)),Raeburn_Main_Tariff[[#This Row],[PRODUCER]])</f>
        <v>Cascina Luisin</v>
      </c>
      <c r="C3833" s="1178" t="s">
        <v>21878</v>
      </c>
      <c r="D3833" s="1178" t="s">
        <v>897</v>
      </c>
      <c r="E3833" s="1179">
        <v>2018</v>
      </c>
      <c r="F3833" s="1282" t="s">
        <v>20220</v>
      </c>
      <c r="G3833" s="1368">
        <v>16</v>
      </c>
      <c r="H3833" s="1178" t="s">
        <v>20277</v>
      </c>
      <c r="I3833" s="1178" t="s">
        <v>11710</v>
      </c>
      <c r="J3833" s="1178" t="s">
        <v>668</v>
      </c>
      <c r="K3833" s="1178" t="s">
        <v>350</v>
      </c>
      <c r="L3833" s="1178" t="s">
        <v>370</v>
      </c>
      <c r="M3833" s="1369"/>
      <c r="N3833" s="1178"/>
      <c r="O3833" s="1178">
        <v>6</v>
      </c>
      <c r="P3833" s="1178">
        <v>13.5</v>
      </c>
    </row>
    <row r="3834" spans="1:16">
      <c r="A3834" s="1178" t="s">
        <v>371</v>
      </c>
      <c r="B3834" s="1371" t="str">
        <f>HYPERLINK(IFERROR("#Main_Tariff!A"&amp;MATCH(Raeburn_Main_Tariff[[#This Row],[Product Code]],Main_Tariff!I:I,0),"#Main_Tariff!A"&amp;MATCH("*"&amp;RIGHT(A3834,8)&amp;"*",Main_Tariff!A:A,0)),Raeburn_Main_Tariff[[#This Row],[PRODUCER]])</f>
        <v>Cascina Luisin</v>
      </c>
      <c r="C3834" s="1178" t="s">
        <v>21879</v>
      </c>
      <c r="D3834" s="1178" t="s">
        <v>897</v>
      </c>
      <c r="E3834" s="1179">
        <v>2022</v>
      </c>
      <c r="F3834" s="1282" t="s">
        <v>20220</v>
      </c>
      <c r="G3834" s="1368">
        <v>20.5</v>
      </c>
      <c r="H3834" s="1178" t="s">
        <v>20221</v>
      </c>
      <c r="I3834" s="1178" t="s">
        <v>11712</v>
      </c>
      <c r="J3834" s="1178" t="s">
        <v>668</v>
      </c>
      <c r="K3834" s="1178" t="s">
        <v>350</v>
      </c>
      <c r="L3834" s="1178" t="s">
        <v>370</v>
      </c>
      <c r="M3834" s="1369"/>
      <c r="N3834" s="1178"/>
      <c r="O3834" s="1178">
        <v>6</v>
      </c>
      <c r="P3834" s="1178">
        <v>14</v>
      </c>
    </row>
    <row r="3835" spans="1:16">
      <c r="A3835" s="1178" t="s">
        <v>371</v>
      </c>
      <c r="B3835" s="1371" t="str">
        <f>HYPERLINK(IFERROR("#Main_Tariff!A"&amp;MATCH(Raeburn_Main_Tariff[[#This Row],[Product Code]],Main_Tariff!I:I,0),"#Main_Tariff!A"&amp;MATCH("*"&amp;RIGHT(A3835,8)&amp;"*",Main_Tariff!A:A,0)),Raeburn_Main_Tariff[[#This Row],[PRODUCER]])</f>
        <v>Cascina Luisin</v>
      </c>
      <c r="C3835" s="1178" t="s">
        <v>21879</v>
      </c>
      <c r="D3835" s="1178" t="s">
        <v>897</v>
      </c>
      <c r="E3835" s="1179">
        <v>2020</v>
      </c>
      <c r="F3835" s="1282" t="s">
        <v>20220</v>
      </c>
      <c r="G3835" s="1368">
        <v>20.5</v>
      </c>
      <c r="H3835" s="1178" t="s">
        <v>20221</v>
      </c>
      <c r="I3835" s="1178" t="s">
        <v>11714</v>
      </c>
      <c r="J3835" s="1178" t="s">
        <v>668</v>
      </c>
      <c r="K3835" s="1178" t="s">
        <v>350</v>
      </c>
      <c r="L3835" s="1178" t="s">
        <v>370</v>
      </c>
      <c r="M3835" s="1369"/>
      <c r="N3835" s="1178"/>
      <c r="O3835" s="1178">
        <v>6</v>
      </c>
      <c r="P3835" s="1178">
        <v>14</v>
      </c>
    </row>
    <row r="3836" spans="1:16">
      <c r="A3836" s="1178" t="s">
        <v>371</v>
      </c>
      <c r="B3836" s="1371" t="str">
        <f>HYPERLINK(IFERROR("#Main_Tariff!A"&amp;MATCH(Raeburn_Main_Tariff[[#This Row],[Product Code]],Main_Tariff!I:I,0),"#Main_Tariff!A"&amp;MATCH("*"&amp;RIGHT(A3836,8)&amp;"*",Main_Tariff!A:A,0)),Raeburn_Main_Tariff[[#This Row],[PRODUCER]])</f>
        <v>Cascina Luisin</v>
      </c>
      <c r="C3836" s="1178" t="s">
        <v>21880</v>
      </c>
      <c r="D3836" s="1178" t="s">
        <v>897</v>
      </c>
      <c r="E3836" s="1179">
        <v>2019</v>
      </c>
      <c r="F3836" s="1282" t="s">
        <v>20220</v>
      </c>
      <c r="G3836" s="1368">
        <v>20</v>
      </c>
      <c r="H3836" s="1178" t="s">
        <v>20221</v>
      </c>
      <c r="I3836" s="1178" t="s">
        <v>11716</v>
      </c>
      <c r="J3836" s="1178" t="s">
        <v>668</v>
      </c>
      <c r="K3836" s="1178" t="s">
        <v>350</v>
      </c>
      <c r="L3836" s="1178" t="s">
        <v>370</v>
      </c>
      <c r="M3836" s="1369"/>
      <c r="N3836" s="1178"/>
      <c r="O3836" s="1178">
        <v>12</v>
      </c>
      <c r="P3836" s="1178">
        <v>13.5</v>
      </c>
    </row>
    <row r="3837" spans="1:16">
      <c r="A3837" s="1178" t="s">
        <v>371</v>
      </c>
      <c r="B3837" s="1371" t="str">
        <f>HYPERLINK(IFERROR("#Main_Tariff!A"&amp;MATCH(Raeburn_Main_Tariff[[#This Row],[Product Code]],Main_Tariff!I:I,0),"#Main_Tariff!A"&amp;MATCH("*"&amp;RIGHT(A3837,8)&amp;"*",Main_Tariff!A:A,0)),Raeburn_Main_Tariff[[#This Row],[PRODUCER]])</f>
        <v>Cascina Luisin</v>
      </c>
      <c r="C3837" s="1178" t="s">
        <v>21881</v>
      </c>
      <c r="D3837" s="1178" t="s">
        <v>897</v>
      </c>
      <c r="E3837" s="1179">
        <v>2020</v>
      </c>
      <c r="F3837" s="1282" t="s">
        <v>20220</v>
      </c>
      <c r="G3837" s="1368">
        <v>29</v>
      </c>
      <c r="H3837" s="1178" t="s">
        <v>20221</v>
      </c>
      <c r="I3837" s="1178" t="s">
        <v>11718</v>
      </c>
      <c r="J3837" s="1178" t="s">
        <v>668</v>
      </c>
      <c r="K3837" s="1178" t="s">
        <v>350</v>
      </c>
      <c r="L3837" s="1178" t="s">
        <v>370</v>
      </c>
      <c r="M3837" s="1369"/>
      <c r="N3837" s="1178"/>
      <c r="O3837" s="1178">
        <v>6</v>
      </c>
      <c r="P3837" s="1178">
        <v>13.5</v>
      </c>
    </row>
    <row r="3838" spans="1:16">
      <c r="A3838" s="1178" t="s">
        <v>371</v>
      </c>
      <c r="B3838" s="1371" t="str">
        <f>HYPERLINK(IFERROR("#Main_Tariff!A"&amp;MATCH(Raeburn_Main_Tariff[[#This Row],[Product Code]],Main_Tariff!I:I,0),"#Main_Tariff!A"&amp;MATCH("*"&amp;RIGHT(A3838,8)&amp;"*",Main_Tariff!A:A,0)),Raeburn_Main_Tariff[[#This Row],[PRODUCER]])</f>
        <v>Cascina Luisin</v>
      </c>
      <c r="C3838" s="1178" t="s">
        <v>21881</v>
      </c>
      <c r="D3838" s="1178" t="s">
        <v>897</v>
      </c>
      <c r="E3838" s="1179">
        <v>2018</v>
      </c>
      <c r="F3838" s="1282" t="s">
        <v>20220</v>
      </c>
      <c r="G3838" s="1368">
        <v>29</v>
      </c>
      <c r="H3838" s="1178" t="s">
        <v>20221</v>
      </c>
      <c r="I3838" s="1178" t="s">
        <v>11720</v>
      </c>
      <c r="J3838" s="1178" t="s">
        <v>668</v>
      </c>
      <c r="K3838" s="1178" t="s">
        <v>350</v>
      </c>
      <c r="L3838" s="1178" t="s">
        <v>370</v>
      </c>
      <c r="M3838" s="1369"/>
      <c r="N3838" s="1178"/>
      <c r="O3838" s="1178">
        <v>12</v>
      </c>
      <c r="P3838" s="1178">
        <v>13.5</v>
      </c>
    </row>
    <row r="3839" spans="1:16">
      <c r="A3839" s="1178" t="s">
        <v>371</v>
      </c>
      <c r="B3839" s="1371" t="str">
        <f>HYPERLINK(IFERROR("#Main_Tariff!A"&amp;MATCH(Raeburn_Main_Tariff[[#This Row],[Product Code]],Main_Tariff!I:I,0),"#Main_Tariff!A"&amp;MATCH("*"&amp;RIGHT(A3839,8)&amp;"*",Main_Tariff!A:A,0)),Raeburn_Main_Tariff[[#This Row],[PRODUCER]])</f>
        <v>Cascina Luisin</v>
      </c>
      <c r="C3839" s="1178" t="s">
        <v>21881</v>
      </c>
      <c r="D3839" s="1178" t="s">
        <v>897</v>
      </c>
      <c r="E3839" s="1179">
        <v>2017</v>
      </c>
      <c r="F3839" s="1282" t="s">
        <v>20220</v>
      </c>
      <c r="G3839" s="1368">
        <v>29</v>
      </c>
      <c r="H3839" s="1178" t="s">
        <v>20277</v>
      </c>
      <c r="I3839" s="1178" t="s">
        <v>11722</v>
      </c>
      <c r="J3839" s="1178" t="s">
        <v>668</v>
      </c>
      <c r="K3839" s="1178" t="s">
        <v>350</v>
      </c>
      <c r="L3839" s="1178" t="s">
        <v>370</v>
      </c>
      <c r="M3839" s="1369"/>
      <c r="N3839" s="1178"/>
      <c r="O3839" s="1178">
        <v>6</v>
      </c>
      <c r="P3839" s="1178">
        <v>14</v>
      </c>
    </row>
    <row r="3840" spans="1:16">
      <c r="A3840" s="1178" t="s">
        <v>371</v>
      </c>
      <c r="B3840" s="1371" t="str">
        <f>HYPERLINK(IFERROR("#Main_Tariff!A"&amp;MATCH(Raeburn_Main_Tariff[[#This Row],[Product Code]],Main_Tariff!I:I,0),"#Main_Tariff!A"&amp;MATCH("*"&amp;RIGHT(A3840,8)&amp;"*",Main_Tariff!A:A,0)),Raeburn_Main_Tariff[[#This Row],[PRODUCER]])</f>
        <v>Cascina Luisin</v>
      </c>
      <c r="C3840" s="1178" t="s">
        <v>21882</v>
      </c>
      <c r="D3840" s="1178" t="s">
        <v>897</v>
      </c>
      <c r="E3840" s="1179">
        <v>2020</v>
      </c>
      <c r="F3840" s="1282" t="s">
        <v>20220</v>
      </c>
      <c r="G3840" s="1368">
        <v>36</v>
      </c>
      <c r="H3840" s="1178" t="s">
        <v>20221</v>
      </c>
      <c r="I3840" s="1178" t="s">
        <v>11724</v>
      </c>
      <c r="J3840" s="1178" t="s">
        <v>668</v>
      </c>
      <c r="K3840" s="1178" t="s">
        <v>350</v>
      </c>
      <c r="L3840" s="1178" t="s">
        <v>370</v>
      </c>
      <c r="M3840" s="1369"/>
      <c r="N3840" s="1178"/>
      <c r="O3840" s="1178">
        <v>6</v>
      </c>
      <c r="P3840" s="1178">
        <v>13.5</v>
      </c>
    </row>
    <row r="3841" spans="1:16">
      <c r="A3841" s="1178" t="s">
        <v>371</v>
      </c>
      <c r="B3841" s="1371" t="str">
        <f>HYPERLINK(IFERROR("#Main_Tariff!A"&amp;MATCH(Raeburn_Main_Tariff[[#This Row],[Product Code]],Main_Tariff!I:I,0),"#Main_Tariff!A"&amp;MATCH("*"&amp;RIGHT(A3841,8)&amp;"*",Main_Tariff!A:A,0)),Raeburn_Main_Tariff[[#This Row],[PRODUCER]])</f>
        <v>Cascina Luisin</v>
      </c>
      <c r="C3841" s="1178" t="s">
        <v>21882</v>
      </c>
      <c r="D3841" s="1178" t="s">
        <v>897</v>
      </c>
      <c r="E3841" s="1179">
        <v>2019</v>
      </c>
      <c r="F3841" s="1282" t="s">
        <v>20220</v>
      </c>
      <c r="G3841" s="1368">
        <v>36</v>
      </c>
      <c r="H3841" s="1178" t="s">
        <v>20221</v>
      </c>
      <c r="I3841" s="1178" t="s">
        <v>11726</v>
      </c>
      <c r="J3841" s="1178" t="s">
        <v>668</v>
      </c>
      <c r="K3841" s="1178" t="s">
        <v>350</v>
      </c>
      <c r="L3841" s="1178" t="s">
        <v>370</v>
      </c>
      <c r="M3841" s="1369"/>
      <c r="N3841" s="1178"/>
      <c r="O3841" s="1178">
        <v>6</v>
      </c>
      <c r="P3841" s="1178">
        <v>13.5</v>
      </c>
    </row>
    <row r="3842" spans="1:16">
      <c r="A3842" s="1178" t="s">
        <v>371</v>
      </c>
      <c r="B3842" s="1371" t="str">
        <f>HYPERLINK(IFERROR("#Main_Tariff!A"&amp;MATCH(Raeburn_Main_Tariff[[#This Row],[Product Code]],Main_Tariff!I:I,0),"#Main_Tariff!A"&amp;MATCH("*"&amp;RIGHT(A3842,8)&amp;"*",Main_Tariff!A:A,0)),Raeburn_Main_Tariff[[#This Row],[PRODUCER]])</f>
        <v>Cascina Luisin</v>
      </c>
      <c r="C3842" s="1178" t="s">
        <v>21882</v>
      </c>
      <c r="D3842" s="1178" t="s">
        <v>897</v>
      </c>
      <c r="E3842" s="1179">
        <v>2018</v>
      </c>
      <c r="F3842" s="1282" t="s">
        <v>20220</v>
      </c>
      <c r="G3842" s="1368">
        <v>34.5</v>
      </c>
      <c r="H3842" s="1178" t="s">
        <v>20221</v>
      </c>
      <c r="I3842" s="1178" t="s">
        <v>11728</v>
      </c>
      <c r="J3842" s="1178" t="s">
        <v>668</v>
      </c>
      <c r="K3842" s="1178" t="s">
        <v>350</v>
      </c>
      <c r="L3842" s="1178" t="s">
        <v>370</v>
      </c>
      <c r="M3842" s="1369"/>
      <c r="N3842" s="1178"/>
      <c r="O3842" s="1178">
        <v>12</v>
      </c>
      <c r="P3842" s="1178">
        <v>14</v>
      </c>
    </row>
    <row r="3843" spans="1:16">
      <c r="A3843" s="1178" t="s">
        <v>371</v>
      </c>
      <c r="B3843" s="1371" t="str">
        <f>HYPERLINK(IFERROR("#Main_Tariff!A"&amp;MATCH(Raeburn_Main_Tariff[[#This Row],[Product Code]],Main_Tariff!I:I,0),"#Main_Tariff!A"&amp;MATCH("*"&amp;RIGHT(A3843,8)&amp;"*",Main_Tariff!A:A,0)),Raeburn_Main_Tariff[[#This Row],[PRODUCER]])</f>
        <v>Cascina Luisin</v>
      </c>
      <c r="C3843" s="1178" t="s">
        <v>21882</v>
      </c>
      <c r="D3843" s="1178" t="s">
        <v>897</v>
      </c>
      <c r="E3843" s="1179">
        <v>2016</v>
      </c>
      <c r="F3843" s="1282" t="s">
        <v>20220</v>
      </c>
      <c r="G3843" s="1368" t="s">
        <v>5258</v>
      </c>
      <c r="H3843" s="1178" t="s">
        <v>20224</v>
      </c>
      <c r="I3843" s="1178" t="s">
        <v>11730</v>
      </c>
      <c r="J3843" s="1178" t="s">
        <v>668</v>
      </c>
      <c r="K3843" s="1178" t="s">
        <v>350</v>
      </c>
      <c r="L3843" s="1178" t="s">
        <v>370</v>
      </c>
      <c r="M3843" s="1369"/>
      <c r="N3843" s="1178"/>
      <c r="O3843" s="1178">
        <v>6</v>
      </c>
      <c r="P3843" s="1178">
        <v>14</v>
      </c>
    </row>
    <row r="3844" spans="1:16">
      <c r="A3844" s="1178" t="s">
        <v>371</v>
      </c>
      <c r="B3844" s="1371" t="str">
        <f>HYPERLINK(IFERROR("#Main_Tariff!A"&amp;MATCH(Raeburn_Main_Tariff[[#This Row],[Product Code]],Main_Tariff!I:I,0),"#Main_Tariff!A"&amp;MATCH("*"&amp;RIGHT(A3844,8)&amp;"*",Main_Tariff!A:A,0)),Raeburn_Main_Tariff[[#This Row],[PRODUCER]])</f>
        <v>Cascina Luisin</v>
      </c>
      <c r="C3844" s="1178" t="s">
        <v>21883</v>
      </c>
      <c r="D3844" s="1178" t="s">
        <v>897</v>
      </c>
      <c r="E3844" s="1179">
        <v>2020</v>
      </c>
      <c r="F3844" s="1282" t="s">
        <v>20220</v>
      </c>
      <c r="G3844" s="1368">
        <v>36</v>
      </c>
      <c r="H3844" s="1178" t="s">
        <v>20221</v>
      </c>
      <c r="I3844" s="1178" t="s">
        <v>11732</v>
      </c>
      <c r="J3844" s="1178" t="s">
        <v>668</v>
      </c>
      <c r="K3844" s="1178" t="s">
        <v>350</v>
      </c>
      <c r="L3844" s="1178" t="s">
        <v>370</v>
      </c>
      <c r="M3844" s="1369"/>
      <c r="N3844" s="1178"/>
      <c r="O3844" s="1178">
        <v>6</v>
      </c>
      <c r="P3844" s="1178">
        <v>13.5</v>
      </c>
    </row>
    <row r="3845" spans="1:16">
      <c r="A3845" s="1178" t="s">
        <v>371</v>
      </c>
      <c r="B3845" s="1371" t="str">
        <f>HYPERLINK(IFERROR("#Main_Tariff!A"&amp;MATCH(Raeburn_Main_Tariff[[#This Row],[Product Code]],Main_Tariff!I:I,0),"#Main_Tariff!A"&amp;MATCH("*"&amp;RIGHT(A3845,8)&amp;"*",Main_Tariff!A:A,0)),Raeburn_Main_Tariff[[#This Row],[PRODUCER]])</f>
        <v>Cascina Luisin</v>
      </c>
      <c r="C3845" s="1178" t="s">
        <v>21884</v>
      </c>
      <c r="D3845" s="1178" t="s">
        <v>897</v>
      </c>
      <c r="E3845" s="1179">
        <v>2020</v>
      </c>
      <c r="F3845" s="1282" t="s">
        <v>20220</v>
      </c>
      <c r="G3845" s="1368">
        <v>36</v>
      </c>
      <c r="H3845" s="1178" t="s">
        <v>20221</v>
      </c>
      <c r="I3845" s="1178" t="s">
        <v>11734</v>
      </c>
      <c r="J3845" s="1178" t="s">
        <v>668</v>
      </c>
      <c r="K3845" s="1178" t="s">
        <v>350</v>
      </c>
      <c r="L3845" s="1178" t="s">
        <v>370</v>
      </c>
      <c r="M3845" s="1369"/>
      <c r="N3845" s="1178"/>
      <c r="O3845" s="1178">
        <v>6</v>
      </c>
      <c r="P3845" s="1178">
        <v>13.5</v>
      </c>
    </row>
    <row r="3846" spans="1:16">
      <c r="A3846" s="1178" t="s">
        <v>371</v>
      </c>
      <c r="B3846" s="1371" t="str">
        <f>HYPERLINK(IFERROR("#Main_Tariff!A"&amp;MATCH(Raeburn_Main_Tariff[[#This Row],[Product Code]],Main_Tariff!I:I,0),"#Main_Tariff!A"&amp;MATCH("*"&amp;RIGHT(A3846,8)&amp;"*",Main_Tariff!A:A,0)),Raeburn_Main_Tariff[[#This Row],[PRODUCER]])</f>
        <v>Cascina Luisin</v>
      </c>
      <c r="C3846" s="1178" t="s">
        <v>21884</v>
      </c>
      <c r="D3846" s="1178" t="s">
        <v>897</v>
      </c>
      <c r="E3846" s="1179">
        <v>2019</v>
      </c>
      <c r="F3846" s="1282" t="s">
        <v>20220</v>
      </c>
      <c r="G3846" s="1368">
        <v>36</v>
      </c>
      <c r="H3846" s="1178" t="s">
        <v>20221</v>
      </c>
      <c r="I3846" s="1178" t="s">
        <v>11736</v>
      </c>
      <c r="J3846" s="1178" t="s">
        <v>668</v>
      </c>
      <c r="K3846" s="1178" t="s">
        <v>350</v>
      </c>
      <c r="L3846" s="1178" t="s">
        <v>370</v>
      </c>
      <c r="M3846" s="1369"/>
      <c r="N3846" s="1178"/>
      <c r="O3846" s="1178">
        <v>6</v>
      </c>
      <c r="P3846" s="1178">
        <v>13.5</v>
      </c>
    </row>
    <row r="3847" spans="1:16">
      <c r="A3847" s="1178" t="s">
        <v>371</v>
      </c>
      <c r="B3847" s="1371" t="str">
        <f>HYPERLINK(IFERROR("#Main_Tariff!A"&amp;MATCH(Raeburn_Main_Tariff[[#This Row],[Product Code]],Main_Tariff!I:I,0),"#Main_Tariff!A"&amp;MATCH("*"&amp;RIGHT(A3847,8)&amp;"*",Main_Tariff!A:A,0)),Raeburn_Main_Tariff[[#This Row],[PRODUCER]])</f>
        <v>Cascina Luisin</v>
      </c>
      <c r="C3847" s="1178" t="s">
        <v>21885</v>
      </c>
      <c r="D3847" s="1178" t="s">
        <v>897</v>
      </c>
      <c r="E3847" s="1179">
        <v>2019</v>
      </c>
      <c r="F3847" s="1282" t="s">
        <v>20220</v>
      </c>
      <c r="G3847" s="1368">
        <v>36</v>
      </c>
      <c r="H3847" s="1178" t="s">
        <v>20221</v>
      </c>
      <c r="I3847" s="1178" t="s">
        <v>11738</v>
      </c>
      <c r="J3847" s="1178" t="s">
        <v>668</v>
      </c>
      <c r="K3847" s="1178" t="s">
        <v>350</v>
      </c>
      <c r="L3847" s="1178" t="s">
        <v>370</v>
      </c>
      <c r="M3847" s="1369"/>
      <c r="N3847" s="1178"/>
      <c r="O3847" s="1178">
        <v>6</v>
      </c>
      <c r="P3847" s="1178">
        <v>13.5</v>
      </c>
    </row>
    <row r="3848" spans="1:16">
      <c r="A3848" s="1178" t="s">
        <v>371</v>
      </c>
      <c r="B3848" s="1371" t="str">
        <f>HYPERLINK(IFERROR("#Main_Tariff!A"&amp;MATCH(Raeburn_Main_Tariff[[#This Row],[Product Code]],Main_Tariff!I:I,0),"#Main_Tariff!A"&amp;MATCH("*"&amp;RIGHT(A3848,8)&amp;"*",Main_Tariff!A:A,0)),Raeburn_Main_Tariff[[#This Row],[PRODUCER]])</f>
        <v>Cascina Luisin</v>
      </c>
      <c r="C3848" s="1178" t="s">
        <v>21885</v>
      </c>
      <c r="D3848" s="1178" t="s">
        <v>897</v>
      </c>
      <c r="E3848" s="1179">
        <v>2018</v>
      </c>
      <c r="F3848" s="1282" t="s">
        <v>20220</v>
      </c>
      <c r="G3848" s="1368">
        <v>34.5</v>
      </c>
      <c r="H3848" s="1178" t="s">
        <v>20221</v>
      </c>
      <c r="I3848" s="1178" t="s">
        <v>11740</v>
      </c>
      <c r="J3848" s="1178" t="s">
        <v>668</v>
      </c>
      <c r="K3848" s="1178" t="s">
        <v>350</v>
      </c>
      <c r="L3848" s="1178" t="s">
        <v>370</v>
      </c>
      <c r="M3848" s="1369"/>
      <c r="N3848" s="1178"/>
      <c r="O3848" s="1178">
        <v>12</v>
      </c>
      <c r="P3848" s="1178">
        <v>13.5</v>
      </c>
    </row>
    <row r="3849" spans="1:16">
      <c r="A3849" s="1178" t="s">
        <v>371</v>
      </c>
      <c r="B3849" s="1371" t="str">
        <f>HYPERLINK(IFERROR("#Main_Tariff!A"&amp;MATCH(Raeburn_Main_Tariff[[#This Row],[Product Code]],Main_Tariff!I:I,0),"#Main_Tariff!A"&amp;MATCH("*"&amp;RIGHT(A3849,8)&amp;"*",Main_Tariff!A:A,0)),Raeburn_Main_Tariff[[#This Row],[PRODUCER]])</f>
        <v>Cascina Luisin</v>
      </c>
      <c r="C3849" s="1178" t="s">
        <v>21885</v>
      </c>
      <c r="D3849" s="1178" t="s">
        <v>897</v>
      </c>
      <c r="E3849" s="1179">
        <v>2016</v>
      </c>
      <c r="F3849" s="1282" t="s">
        <v>20220</v>
      </c>
      <c r="G3849" s="1368" t="s">
        <v>5258</v>
      </c>
      <c r="H3849" s="1178" t="s">
        <v>20221</v>
      </c>
      <c r="I3849" s="1178" t="s">
        <v>11742</v>
      </c>
      <c r="J3849" s="1178" t="s">
        <v>668</v>
      </c>
      <c r="K3849" s="1178" t="s">
        <v>350</v>
      </c>
      <c r="L3849" s="1178" t="s">
        <v>370</v>
      </c>
      <c r="M3849" s="1369"/>
      <c r="N3849" s="1178"/>
      <c r="O3849" s="1178">
        <v>6</v>
      </c>
      <c r="P3849" s="1178">
        <v>14</v>
      </c>
    </row>
    <row r="3850" spans="1:16">
      <c r="A3850" s="1178" t="s">
        <v>371</v>
      </c>
      <c r="B3850" s="1371" t="str">
        <f>HYPERLINK(IFERROR("#Main_Tariff!A"&amp;MATCH(Raeburn_Main_Tariff[[#This Row],[Product Code]],Main_Tariff!I:I,0),"#Main_Tariff!A"&amp;MATCH("*"&amp;RIGHT(A3850,8)&amp;"*",Main_Tariff!A:A,0)),Raeburn_Main_Tariff[[#This Row],[PRODUCER]])</f>
        <v>Cascina Luisin</v>
      </c>
      <c r="C3850" s="1178" t="s">
        <v>21885</v>
      </c>
      <c r="D3850" s="1178" t="s">
        <v>897</v>
      </c>
      <c r="E3850" s="1179">
        <v>2015</v>
      </c>
      <c r="F3850" s="1282" t="s">
        <v>20220</v>
      </c>
      <c r="G3850" s="1368">
        <v>37.5</v>
      </c>
      <c r="H3850" s="1178" t="s">
        <v>20224</v>
      </c>
      <c r="I3850" s="1178" t="s">
        <v>11744</v>
      </c>
      <c r="J3850" s="1178" t="s">
        <v>668</v>
      </c>
      <c r="K3850" s="1178" t="s">
        <v>350</v>
      </c>
      <c r="L3850" s="1178" t="s">
        <v>370</v>
      </c>
      <c r="M3850" s="1369"/>
      <c r="N3850" s="1178"/>
      <c r="O3850" s="1178">
        <v>6</v>
      </c>
      <c r="P3850" s="1178">
        <v>14</v>
      </c>
    </row>
    <row r="3851" spans="1:16">
      <c r="A3851" s="1178" t="s">
        <v>371</v>
      </c>
      <c r="B3851" s="1371" t="str">
        <f>HYPERLINK(IFERROR("#Main_Tariff!A"&amp;MATCH(Raeburn_Main_Tariff[[#This Row],[Product Code]],Main_Tariff!I:I,0),"#Main_Tariff!A"&amp;MATCH("*"&amp;RIGHT(A3851,8)&amp;"*",Main_Tariff!A:A,0)),Raeburn_Main_Tariff[[#This Row],[PRODUCER]])</f>
        <v>Cascina Luisin</v>
      </c>
      <c r="C3851" s="1178" t="s">
        <v>21886</v>
      </c>
      <c r="D3851" s="1178" t="s">
        <v>897</v>
      </c>
      <c r="E3851" s="1179">
        <v>2018</v>
      </c>
      <c r="F3851" s="1282" t="s">
        <v>20220</v>
      </c>
      <c r="G3851" s="1368">
        <v>40</v>
      </c>
      <c r="H3851" s="1178" t="s">
        <v>20221</v>
      </c>
      <c r="I3851" s="1178" t="s">
        <v>11748</v>
      </c>
      <c r="J3851" s="1178" t="s">
        <v>668</v>
      </c>
      <c r="K3851" s="1178" t="s">
        <v>350</v>
      </c>
      <c r="L3851" s="1178" t="s">
        <v>370</v>
      </c>
      <c r="M3851" s="1369"/>
      <c r="N3851" s="1178"/>
      <c r="O3851" s="1178">
        <v>6</v>
      </c>
      <c r="P3851" s="1178">
        <v>14.5</v>
      </c>
    </row>
    <row r="3852" spans="1:16">
      <c r="A3852" s="1178" t="s">
        <v>371</v>
      </c>
      <c r="B3852" s="1371" t="str">
        <f>HYPERLINK(IFERROR("#Main_Tariff!A"&amp;MATCH(Raeburn_Main_Tariff[[#This Row],[Product Code]],Main_Tariff!I:I,0),"#Main_Tariff!A"&amp;MATCH("*"&amp;RIGHT(A3852,8)&amp;"*",Main_Tariff!A:A,0)),Raeburn_Main_Tariff[[#This Row],[PRODUCER]])</f>
        <v>Cascina Luisin</v>
      </c>
      <c r="C3852" s="1178" t="s">
        <v>21886</v>
      </c>
      <c r="D3852" s="1178" t="s">
        <v>897</v>
      </c>
      <c r="E3852" s="1179">
        <v>2016</v>
      </c>
      <c r="F3852" s="1282" t="s">
        <v>20220</v>
      </c>
      <c r="G3852" s="1368">
        <v>42.5</v>
      </c>
      <c r="H3852" s="1178" t="s">
        <v>20221</v>
      </c>
      <c r="I3852" s="1178" t="s">
        <v>11750</v>
      </c>
      <c r="J3852" s="1178" t="s">
        <v>668</v>
      </c>
      <c r="K3852" s="1178" t="s">
        <v>350</v>
      </c>
      <c r="L3852" s="1178" t="s">
        <v>370</v>
      </c>
      <c r="M3852" s="1369"/>
      <c r="N3852" s="1178"/>
      <c r="O3852" s="1178">
        <v>12</v>
      </c>
      <c r="P3852" s="1178">
        <v>14.5</v>
      </c>
    </row>
    <row r="3853" spans="1:16">
      <c r="A3853" s="1178" t="s">
        <v>371</v>
      </c>
      <c r="B3853" s="1371" t="str">
        <f>HYPERLINK(IFERROR("#Main_Tariff!A"&amp;MATCH(Raeburn_Main_Tariff[[#This Row],[Product Code]],Main_Tariff!I:I,0),"#Main_Tariff!A"&amp;MATCH("*"&amp;RIGHT(A3853,8)&amp;"*",Main_Tariff!A:A,0)),Raeburn_Main_Tariff[[#This Row],[PRODUCER]])</f>
        <v>Cascina Luisin</v>
      </c>
      <c r="C3853" s="1178" t="s">
        <v>21887</v>
      </c>
      <c r="D3853" s="1178" t="s">
        <v>897</v>
      </c>
      <c r="E3853" s="1179">
        <v>2019</v>
      </c>
      <c r="F3853" s="1282" t="s">
        <v>20220</v>
      </c>
      <c r="G3853" s="1368">
        <v>35</v>
      </c>
      <c r="H3853" s="1178" t="s">
        <v>20221</v>
      </c>
      <c r="I3853" s="1178" t="s">
        <v>11754</v>
      </c>
      <c r="J3853" s="1178" t="s">
        <v>668</v>
      </c>
      <c r="K3853" s="1178" t="s">
        <v>350</v>
      </c>
      <c r="L3853" s="1178" t="s">
        <v>370</v>
      </c>
      <c r="M3853" s="1369"/>
      <c r="N3853" s="1178"/>
      <c r="O3853" s="1178">
        <v>6</v>
      </c>
      <c r="P3853" s="1178">
        <v>14</v>
      </c>
    </row>
    <row r="3854" spans="1:16">
      <c r="A3854" s="1178" t="s">
        <v>371</v>
      </c>
      <c r="B3854" s="1371" t="str">
        <f>HYPERLINK(IFERROR("#Main_Tariff!A"&amp;MATCH(Raeburn_Main_Tariff[[#This Row],[Product Code]],Main_Tariff!I:I,0),"#Main_Tariff!A"&amp;MATCH("*"&amp;RIGHT(A3854,8)&amp;"*",Main_Tariff!A:A,0)),Raeburn_Main_Tariff[[#This Row],[PRODUCER]])</f>
        <v>Cascina Luisin</v>
      </c>
      <c r="C3854" s="1178" t="s">
        <v>21887</v>
      </c>
      <c r="D3854" s="1178" t="s">
        <v>897</v>
      </c>
      <c r="E3854" s="1179">
        <v>2018</v>
      </c>
      <c r="F3854" s="1282" t="s">
        <v>20220</v>
      </c>
      <c r="G3854" s="1368">
        <v>35</v>
      </c>
      <c r="H3854" s="1178" t="s">
        <v>20221</v>
      </c>
      <c r="I3854" s="1178" t="s">
        <v>11756</v>
      </c>
      <c r="J3854" s="1178" t="s">
        <v>668</v>
      </c>
      <c r="K3854" s="1178" t="s">
        <v>350</v>
      </c>
      <c r="L3854" s="1178" t="s">
        <v>370</v>
      </c>
      <c r="M3854" s="1369"/>
      <c r="N3854" s="1178"/>
      <c r="O3854" s="1178">
        <v>6</v>
      </c>
      <c r="P3854" s="1178">
        <v>14</v>
      </c>
    </row>
    <row r="3855" spans="1:16">
      <c r="A3855" s="1178" t="s">
        <v>371</v>
      </c>
      <c r="B3855" s="1371" t="str">
        <f>HYPERLINK(IFERROR("#Main_Tariff!A"&amp;MATCH(Raeburn_Main_Tariff[[#This Row],[Product Code]],Main_Tariff!I:I,0),"#Main_Tariff!A"&amp;MATCH("*"&amp;RIGHT(A3855,8)&amp;"*",Main_Tariff!A:A,0)),Raeburn_Main_Tariff[[#This Row],[PRODUCER]])</f>
        <v>Cascina Luisin</v>
      </c>
      <c r="C3855" s="1178" t="s">
        <v>21887</v>
      </c>
      <c r="D3855" s="1178" t="s">
        <v>897</v>
      </c>
      <c r="E3855" s="1179">
        <v>2016</v>
      </c>
      <c r="F3855" s="1282" t="s">
        <v>20220</v>
      </c>
      <c r="G3855" s="1368">
        <v>37.5</v>
      </c>
      <c r="H3855" s="1178" t="s">
        <v>20221</v>
      </c>
      <c r="I3855" s="1178" t="s">
        <v>11758</v>
      </c>
      <c r="J3855" s="1178" t="s">
        <v>668</v>
      </c>
      <c r="K3855" s="1178" t="s">
        <v>350</v>
      </c>
      <c r="L3855" s="1178" t="s">
        <v>370</v>
      </c>
      <c r="M3855" s="1369"/>
      <c r="N3855" s="1178"/>
      <c r="O3855" s="1178">
        <v>12</v>
      </c>
      <c r="P3855" s="1178">
        <v>14</v>
      </c>
    </row>
    <row r="3856" spans="1:16">
      <c r="A3856" s="1178" t="s">
        <v>371</v>
      </c>
      <c r="B3856" s="1371" t="str">
        <f>HYPERLINK(IFERROR("#Main_Tariff!A"&amp;MATCH(Raeburn_Main_Tariff[[#This Row],[Product Code]],Main_Tariff!I:I,0),"#Main_Tariff!A"&amp;MATCH("*"&amp;RIGHT(A3856,8)&amp;"*",Main_Tariff!A:A,0)),Raeburn_Main_Tariff[[#This Row],[PRODUCER]])</f>
        <v>Cascina Luisin</v>
      </c>
      <c r="C3856" s="1178" t="s">
        <v>21887</v>
      </c>
      <c r="D3856" s="1178" t="s">
        <v>897</v>
      </c>
      <c r="E3856" s="1179">
        <v>2015</v>
      </c>
      <c r="F3856" s="1282" t="s">
        <v>20220</v>
      </c>
      <c r="G3856" s="1368">
        <v>35.5</v>
      </c>
      <c r="H3856" s="1178" t="s">
        <v>20221</v>
      </c>
      <c r="I3856" s="1178" t="s">
        <v>11760</v>
      </c>
      <c r="J3856" s="1178" t="s">
        <v>668</v>
      </c>
      <c r="K3856" s="1178" t="s">
        <v>350</v>
      </c>
      <c r="L3856" s="1178" t="s">
        <v>370</v>
      </c>
      <c r="M3856" s="1369"/>
      <c r="N3856" s="1178"/>
      <c r="O3856" s="1178">
        <v>6</v>
      </c>
      <c r="P3856" s="1178">
        <v>14</v>
      </c>
    </row>
    <row r="3857" spans="1:16">
      <c r="A3857" s="1178" t="s">
        <v>371</v>
      </c>
      <c r="B3857" s="1371" t="str">
        <f>HYPERLINK(IFERROR("#Main_Tariff!A"&amp;MATCH(Raeburn_Main_Tariff[[#This Row],[Product Code]],Main_Tariff!I:I,0),"#Main_Tariff!A"&amp;MATCH("*"&amp;RIGHT(A3857,8)&amp;"*",Main_Tariff!A:A,0)),Raeburn_Main_Tariff[[#This Row],[PRODUCER]])</f>
        <v>Cascina Luisin</v>
      </c>
      <c r="C3857" s="1178" t="s">
        <v>21887</v>
      </c>
      <c r="D3857" s="1178" t="s">
        <v>897</v>
      </c>
      <c r="E3857" s="1179">
        <v>2001</v>
      </c>
      <c r="F3857" s="1282" t="s">
        <v>20220</v>
      </c>
      <c r="G3857" s="1368">
        <v>88.5</v>
      </c>
      <c r="H3857" s="1178" t="s">
        <v>20224</v>
      </c>
      <c r="I3857" s="1178" t="s">
        <v>11761</v>
      </c>
      <c r="J3857" s="1178" t="s">
        <v>668</v>
      </c>
      <c r="K3857" s="1178" t="s">
        <v>350</v>
      </c>
      <c r="L3857" s="1178" t="s">
        <v>370</v>
      </c>
      <c r="M3857" s="1369"/>
      <c r="N3857" s="1178"/>
      <c r="O3857" s="1178">
        <v>6</v>
      </c>
      <c r="P3857" s="1178">
        <v>14</v>
      </c>
    </row>
    <row r="3858" spans="1:16">
      <c r="A3858" s="1178" t="s">
        <v>372</v>
      </c>
      <c r="B3858" s="1371" t="str">
        <f>HYPERLINK(IFERROR("#Main_Tariff!A"&amp;MATCH(Raeburn_Main_Tariff[[#This Row],[Product Code]],Main_Tariff!I:I,0),"#Main_Tariff!A"&amp;MATCH("*"&amp;RIGHT(A3858,8)&amp;"*",Main_Tariff!A:A,0)),Raeburn_Main_Tariff[[#This Row],[PRODUCER]])</f>
        <v>Cecilia Monte</v>
      </c>
      <c r="C3858" s="1178" t="s">
        <v>21888</v>
      </c>
      <c r="D3858" s="1178" t="s">
        <v>1129</v>
      </c>
      <c r="E3858" s="1179">
        <v>2021</v>
      </c>
      <c r="F3858" s="1282" t="s">
        <v>20220</v>
      </c>
      <c r="G3858" s="1368">
        <v>20.5</v>
      </c>
      <c r="H3858" s="1178" t="s">
        <v>20221</v>
      </c>
      <c r="I3858" s="1178" t="s">
        <v>11787</v>
      </c>
      <c r="J3858" s="1178" t="s">
        <v>668</v>
      </c>
      <c r="K3858" s="1178" t="s">
        <v>350</v>
      </c>
      <c r="L3858" s="1178" t="s">
        <v>370</v>
      </c>
      <c r="M3858" s="1369"/>
      <c r="N3858" s="1178"/>
      <c r="O3858" s="1178">
        <v>6</v>
      </c>
      <c r="P3858" s="1178">
        <v>13.5</v>
      </c>
    </row>
    <row r="3859" spans="1:16">
      <c r="A3859" s="1178" t="s">
        <v>372</v>
      </c>
      <c r="B3859" s="1371" t="str">
        <f>HYPERLINK(IFERROR("#Main_Tariff!A"&amp;MATCH(Raeburn_Main_Tariff[[#This Row],[Product Code]],Main_Tariff!I:I,0),"#Main_Tariff!A"&amp;MATCH("*"&amp;RIGHT(A3859,8)&amp;"*",Main_Tariff!A:A,0)),Raeburn_Main_Tariff[[#This Row],[PRODUCER]])</f>
        <v>Cecilia Monte</v>
      </c>
      <c r="C3859" s="1178" t="s">
        <v>21889</v>
      </c>
      <c r="D3859" s="1178" t="s">
        <v>1129</v>
      </c>
      <c r="E3859" s="1179">
        <v>2021</v>
      </c>
      <c r="F3859" s="1282" t="s">
        <v>20220</v>
      </c>
      <c r="G3859" s="1368">
        <v>22</v>
      </c>
      <c r="H3859" s="1178" t="s">
        <v>20221</v>
      </c>
      <c r="I3859" s="1178" t="s">
        <v>11789</v>
      </c>
      <c r="J3859" s="1178" t="s">
        <v>668</v>
      </c>
      <c r="K3859" s="1178" t="s">
        <v>350</v>
      </c>
      <c r="L3859" s="1178" t="s">
        <v>370</v>
      </c>
      <c r="M3859" s="1369"/>
      <c r="N3859" s="1178"/>
      <c r="O3859" s="1178">
        <v>6</v>
      </c>
      <c r="P3859" s="1178">
        <v>14</v>
      </c>
    </row>
    <row r="3860" spans="1:16">
      <c r="A3860" s="1178" t="s">
        <v>372</v>
      </c>
      <c r="B3860" s="1371" t="str">
        <f>HYPERLINK(IFERROR("#Main_Tariff!A"&amp;MATCH(Raeburn_Main_Tariff[[#This Row],[Product Code]],Main_Tariff!I:I,0),"#Main_Tariff!A"&amp;MATCH("*"&amp;RIGHT(A3860,8)&amp;"*",Main_Tariff!A:A,0)),Raeburn_Main_Tariff[[#This Row],[PRODUCER]])</f>
        <v>Cecilia Monte</v>
      </c>
      <c r="C3860" s="1178" t="s">
        <v>21890</v>
      </c>
      <c r="D3860" s="1178" t="s">
        <v>897</v>
      </c>
      <c r="E3860" s="1179">
        <v>2022</v>
      </c>
      <c r="F3860" s="1282" t="s">
        <v>20220</v>
      </c>
      <c r="G3860" s="1368">
        <v>15.5</v>
      </c>
      <c r="H3860" s="1178" t="s">
        <v>20221</v>
      </c>
      <c r="I3860" s="1178" t="s">
        <v>11792</v>
      </c>
      <c r="J3860" s="1178" t="s">
        <v>668</v>
      </c>
      <c r="K3860" s="1178" t="s">
        <v>350</v>
      </c>
      <c r="L3860" s="1178" t="s">
        <v>370</v>
      </c>
      <c r="M3860" s="1369"/>
      <c r="N3860" s="1178"/>
      <c r="O3860" s="1178">
        <v>6</v>
      </c>
      <c r="P3860" s="1178">
        <v>13</v>
      </c>
    </row>
    <row r="3861" spans="1:16">
      <c r="A3861" s="1178" t="s">
        <v>372</v>
      </c>
      <c r="B3861" s="1371" t="str">
        <f>HYPERLINK(IFERROR("#Main_Tariff!A"&amp;MATCH(Raeburn_Main_Tariff[[#This Row],[Product Code]],Main_Tariff!I:I,0),"#Main_Tariff!A"&amp;MATCH("*"&amp;RIGHT(A3861,8)&amp;"*",Main_Tariff!A:A,0)),Raeburn_Main_Tariff[[#This Row],[PRODUCER]])</f>
        <v>Cecilia Monte</v>
      </c>
      <c r="C3861" s="1178" t="s">
        <v>21890</v>
      </c>
      <c r="D3861" s="1178" t="s">
        <v>897</v>
      </c>
      <c r="E3861" s="1179">
        <v>2017</v>
      </c>
      <c r="F3861" s="1282" t="s">
        <v>20220</v>
      </c>
      <c r="G3861" s="1368">
        <v>15</v>
      </c>
      <c r="H3861" s="1178" t="s">
        <v>20224</v>
      </c>
      <c r="I3861" s="1178" t="s">
        <v>11793</v>
      </c>
      <c r="J3861" s="1178" t="s">
        <v>668</v>
      </c>
      <c r="K3861" s="1178" t="s">
        <v>350</v>
      </c>
      <c r="L3861" s="1178" t="s">
        <v>370</v>
      </c>
      <c r="M3861" s="1369"/>
      <c r="N3861" s="1178"/>
      <c r="O3861" s="1178">
        <v>6</v>
      </c>
      <c r="P3861" s="1178">
        <v>12.5</v>
      </c>
    </row>
    <row r="3862" spans="1:16">
      <c r="A3862" s="1178" t="s">
        <v>372</v>
      </c>
      <c r="B3862" s="1371" t="str">
        <f>HYPERLINK(IFERROR("#Main_Tariff!A"&amp;MATCH(Raeburn_Main_Tariff[[#This Row],[Product Code]],Main_Tariff!I:I,0),"#Main_Tariff!A"&amp;MATCH("*"&amp;RIGHT(A3862,8)&amp;"*",Main_Tariff!A:A,0)),Raeburn_Main_Tariff[[#This Row],[PRODUCER]])</f>
        <v>Cecilia Monte</v>
      </c>
      <c r="C3862" s="1178" t="s">
        <v>21890</v>
      </c>
      <c r="D3862" s="1178" t="s">
        <v>897</v>
      </c>
      <c r="E3862" s="1179">
        <v>2016</v>
      </c>
      <c r="F3862" s="1282" t="s">
        <v>20220</v>
      </c>
      <c r="G3862" s="1368">
        <v>15</v>
      </c>
      <c r="H3862" s="1178" t="s">
        <v>20221</v>
      </c>
      <c r="I3862" s="1178" t="s">
        <v>11795</v>
      </c>
      <c r="J3862" s="1178" t="s">
        <v>668</v>
      </c>
      <c r="K3862" s="1178" t="s">
        <v>350</v>
      </c>
      <c r="L3862" s="1178" t="s">
        <v>370</v>
      </c>
      <c r="M3862" s="1369"/>
      <c r="N3862" s="1178"/>
      <c r="O3862" s="1178">
        <v>6</v>
      </c>
      <c r="P3862" s="1178">
        <v>12.5</v>
      </c>
    </row>
    <row r="3863" spans="1:16">
      <c r="A3863" s="1178" t="s">
        <v>372</v>
      </c>
      <c r="B3863" s="1371" t="str">
        <f>HYPERLINK(IFERROR("#Main_Tariff!A"&amp;MATCH(Raeburn_Main_Tariff[[#This Row],[Product Code]],Main_Tariff!I:I,0),"#Main_Tariff!A"&amp;MATCH("*"&amp;RIGHT(A3863,8)&amp;"*",Main_Tariff!A:A,0)),Raeburn_Main_Tariff[[#This Row],[PRODUCER]])</f>
        <v>Cecilia Monte</v>
      </c>
      <c r="C3863" s="1178" t="s">
        <v>21891</v>
      </c>
      <c r="D3863" s="1178" t="s">
        <v>897</v>
      </c>
      <c r="E3863" s="1179">
        <v>2018</v>
      </c>
      <c r="F3863" s="1282" t="s">
        <v>20220</v>
      </c>
      <c r="G3863" s="1368">
        <v>20</v>
      </c>
      <c r="H3863" s="1178" t="s">
        <v>20221</v>
      </c>
      <c r="I3863" s="1178" t="s">
        <v>11797</v>
      </c>
      <c r="J3863" s="1178" t="s">
        <v>668</v>
      </c>
      <c r="K3863" s="1178" t="s">
        <v>350</v>
      </c>
      <c r="L3863" s="1178" t="s">
        <v>370</v>
      </c>
      <c r="M3863" s="1369"/>
      <c r="N3863" s="1178"/>
      <c r="O3863" s="1178">
        <v>6</v>
      </c>
      <c r="P3863" s="1178">
        <v>14.5</v>
      </c>
    </row>
    <row r="3864" spans="1:16">
      <c r="A3864" s="1178" t="s">
        <v>372</v>
      </c>
      <c r="B3864" s="1371" t="str">
        <f>HYPERLINK(IFERROR("#Main_Tariff!A"&amp;MATCH(Raeburn_Main_Tariff[[#This Row],[Product Code]],Main_Tariff!I:I,0),"#Main_Tariff!A"&amp;MATCH("*"&amp;RIGHT(A3864,8)&amp;"*",Main_Tariff!A:A,0)),Raeburn_Main_Tariff[[#This Row],[PRODUCER]])</f>
        <v>Cecilia Monte</v>
      </c>
      <c r="C3864" s="1178" t="s">
        <v>21892</v>
      </c>
      <c r="D3864" s="1178" t="s">
        <v>897</v>
      </c>
      <c r="E3864" s="1179">
        <v>2016</v>
      </c>
      <c r="F3864" s="1282" t="s">
        <v>20220</v>
      </c>
      <c r="G3864" s="1368">
        <v>37</v>
      </c>
      <c r="H3864" s="1178" t="s">
        <v>20221</v>
      </c>
      <c r="I3864" s="1178" t="s">
        <v>11800</v>
      </c>
      <c r="J3864" s="1178" t="s">
        <v>668</v>
      </c>
      <c r="K3864" s="1178" t="s">
        <v>350</v>
      </c>
      <c r="L3864" s="1178" t="s">
        <v>370</v>
      </c>
      <c r="M3864" s="1369"/>
      <c r="N3864" s="1178"/>
      <c r="O3864" s="1178">
        <v>6</v>
      </c>
      <c r="P3864" s="1178">
        <v>15</v>
      </c>
    </row>
    <row r="3865" spans="1:16">
      <c r="A3865" s="1178" t="s">
        <v>372</v>
      </c>
      <c r="B3865" s="1371" t="str">
        <f>HYPERLINK(IFERROR("#Main_Tariff!A"&amp;MATCH(Raeburn_Main_Tariff[[#This Row],[Product Code]],Main_Tariff!I:I,0),"#Main_Tariff!A"&amp;MATCH("*"&amp;RIGHT(A3865,8)&amp;"*",Main_Tariff!A:A,0)),Raeburn_Main_Tariff[[#This Row],[PRODUCER]])</f>
        <v>Cecilia Monte</v>
      </c>
      <c r="C3865" s="1178" t="s">
        <v>21892</v>
      </c>
      <c r="D3865" s="1178" t="s">
        <v>897</v>
      </c>
      <c r="E3865" s="1179">
        <v>2013</v>
      </c>
      <c r="F3865" s="1282" t="s">
        <v>20220</v>
      </c>
      <c r="G3865" s="1368">
        <v>33</v>
      </c>
      <c r="H3865" s="1178" t="s">
        <v>20221</v>
      </c>
      <c r="I3865" s="1178" t="s">
        <v>11802</v>
      </c>
      <c r="J3865" s="1178" t="s">
        <v>668</v>
      </c>
      <c r="K3865" s="1178" t="s">
        <v>350</v>
      </c>
      <c r="L3865" s="1178" t="s">
        <v>370</v>
      </c>
      <c r="M3865" s="1369"/>
      <c r="N3865" s="1178"/>
      <c r="O3865" s="1178">
        <v>6</v>
      </c>
      <c r="P3865" s="1178">
        <v>13</v>
      </c>
    </row>
    <row r="3866" spans="1:16">
      <c r="A3866" s="1178" t="s">
        <v>372</v>
      </c>
      <c r="B3866" s="1371" t="str">
        <f>HYPERLINK(IFERROR("#Main_Tariff!A"&amp;MATCH(Raeburn_Main_Tariff[[#This Row],[Product Code]],Main_Tariff!I:I,0),"#Main_Tariff!A"&amp;MATCH("*"&amp;RIGHT(A3866,8)&amp;"*",Main_Tariff!A:A,0)),Raeburn_Main_Tariff[[#This Row],[PRODUCER]])</f>
        <v>Cecilia Monte</v>
      </c>
      <c r="C3866" s="1178" t="s">
        <v>21893</v>
      </c>
      <c r="D3866" s="1178" t="s">
        <v>897</v>
      </c>
      <c r="E3866" s="1179">
        <v>2016</v>
      </c>
      <c r="F3866" s="1282" t="s">
        <v>20220</v>
      </c>
      <c r="G3866" s="1368">
        <v>44.5</v>
      </c>
      <c r="H3866" s="1178" t="s">
        <v>20221</v>
      </c>
      <c r="I3866" s="1178" t="s">
        <v>11804</v>
      </c>
      <c r="J3866" s="1178" t="s">
        <v>668</v>
      </c>
      <c r="K3866" s="1178" t="s">
        <v>350</v>
      </c>
      <c r="L3866" s="1178" t="s">
        <v>370</v>
      </c>
      <c r="M3866" s="1369"/>
      <c r="N3866" s="1178"/>
      <c r="O3866" s="1178">
        <v>6</v>
      </c>
      <c r="P3866" s="1178">
        <v>15</v>
      </c>
    </row>
    <row r="3867" spans="1:16">
      <c r="A3867" s="1178" t="s">
        <v>372</v>
      </c>
      <c r="B3867" s="1371" t="str">
        <f>HYPERLINK(IFERROR("#Main_Tariff!A"&amp;MATCH(Raeburn_Main_Tariff[[#This Row],[Product Code]],Main_Tariff!I:I,0),"#Main_Tariff!A"&amp;MATCH("*"&amp;RIGHT(A3867,8)&amp;"*",Main_Tariff!A:A,0)),Raeburn_Main_Tariff[[#This Row],[PRODUCER]])</f>
        <v>Cecilia Monte</v>
      </c>
      <c r="C3867" s="1178" t="s">
        <v>21893</v>
      </c>
      <c r="D3867" s="1178" t="s">
        <v>897</v>
      </c>
      <c r="E3867" s="1179">
        <v>2015</v>
      </c>
      <c r="F3867" s="1282" t="s">
        <v>20220</v>
      </c>
      <c r="G3867" s="1368">
        <v>43</v>
      </c>
      <c r="H3867" s="1178" t="s">
        <v>20221</v>
      </c>
      <c r="I3867" s="1178" t="s">
        <v>11806</v>
      </c>
      <c r="J3867" s="1178" t="s">
        <v>668</v>
      </c>
      <c r="K3867" s="1178" t="s">
        <v>350</v>
      </c>
      <c r="L3867" s="1178" t="s">
        <v>370</v>
      </c>
      <c r="M3867" s="1369"/>
      <c r="N3867" s="1178"/>
      <c r="O3867" s="1178">
        <v>3</v>
      </c>
      <c r="P3867" s="1178">
        <v>15</v>
      </c>
    </row>
    <row r="3868" spans="1:16">
      <c r="A3868" s="1178" t="s">
        <v>372</v>
      </c>
      <c r="B3868" s="1371" t="str">
        <f>HYPERLINK(IFERROR("#Main_Tariff!A"&amp;MATCH(Raeburn_Main_Tariff[[#This Row],[Product Code]],Main_Tariff!I:I,0),"#Main_Tariff!A"&amp;MATCH("*"&amp;RIGHT(A3868,8)&amp;"*",Main_Tariff!A:A,0)),Raeburn_Main_Tariff[[#This Row],[PRODUCER]])</f>
        <v>Cecilia Monte</v>
      </c>
      <c r="C3868" s="1178" t="s">
        <v>21893</v>
      </c>
      <c r="D3868" s="1178" t="s">
        <v>897</v>
      </c>
      <c r="E3868" s="1179">
        <v>2013</v>
      </c>
      <c r="F3868" s="1282" t="s">
        <v>20220</v>
      </c>
      <c r="G3868" s="1368">
        <v>42</v>
      </c>
      <c r="H3868" s="1178" t="s">
        <v>20221</v>
      </c>
      <c r="I3868" s="1178" t="s">
        <v>11808</v>
      </c>
      <c r="J3868" s="1178" t="s">
        <v>668</v>
      </c>
      <c r="K3868" s="1178" t="s">
        <v>350</v>
      </c>
      <c r="L3868" s="1178" t="s">
        <v>370</v>
      </c>
      <c r="M3868" s="1369"/>
      <c r="N3868" s="1178"/>
      <c r="O3868" s="1178">
        <v>3</v>
      </c>
      <c r="P3868" s="1178">
        <v>13</v>
      </c>
    </row>
    <row r="3869" spans="1:16">
      <c r="A3869" s="1178" t="s">
        <v>372</v>
      </c>
      <c r="B3869" s="1371" t="str">
        <f>HYPERLINK(IFERROR("#Main_Tariff!A"&amp;MATCH(Raeburn_Main_Tariff[[#This Row],[Product Code]],Main_Tariff!I:I,0),"#Main_Tariff!A"&amp;MATCH("*"&amp;RIGHT(A3869,8)&amp;"*",Main_Tariff!A:A,0)),Raeburn_Main_Tariff[[#This Row],[PRODUCER]])</f>
        <v>Cecilia Monte</v>
      </c>
      <c r="C3869" s="1178" t="s">
        <v>21894</v>
      </c>
      <c r="D3869" s="1178" t="s">
        <v>897</v>
      </c>
      <c r="E3869" s="1179">
        <v>2016</v>
      </c>
      <c r="F3869" s="1282" t="s">
        <v>20240</v>
      </c>
      <c r="G3869" s="1368">
        <v>30.5</v>
      </c>
      <c r="H3869" s="1178" t="s">
        <v>20224</v>
      </c>
      <c r="I3869" s="1178" t="s">
        <v>11809</v>
      </c>
      <c r="J3869" s="1178" t="s">
        <v>668</v>
      </c>
      <c r="K3869" s="1178" t="s">
        <v>350</v>
      </c>
      <c r="L3869" s="1178" t="s">
        <v>370</v>
      </c>
      <c r="M3869" s="1369"/>
      <c r="N3869" s="1178"/>
      <c r="O3869" s="1178">
        <v>6</v>
      </c>
      <c r="P3869" s="1178">
        <v>12.5</v>
      </c>
    </row>
    <row r="3870" spans="1:16">
      <c r="A3870" s="1178" t="s">
        <v>372</v>
      </c>
      <c r="B3870" s="1371" t="str">
        <f>HYPERLINK(IFERROR("#Main_Tariff!A"&amp;MATCH(Raeburn_Main_Tariff[[#This Row],[Product Code]],Main_Tariff!I:I,0),"#Main_Tariff!A"&amp;MATCH("*"&amp;RIGHT(A3870,8)&amp;"*",Main_Tariff!A:A,0)),Raeburn_Main_Tariff[[#This Row],[PRODUCER]])</f>
        <v>Cecilia Monte</v>
      </c>
      <c r="C3870" s="1178" t="s">
        <v>21895</v>
      </c>
      <c r="D3870" s="1178" t="s">
        <v>897</v>
      </c>
      <c r="E3870" s="1179">
        <v>2006</v>
      </c>
      <c r="F3870" s="1282" t="s">
        <v>20240</v>
      </c>
      <c r="G3870" s="1368">
        <v>95</v>
      </c>
      <c r="H3870" s="1178" t="s">
        <v>20221</v>
      </c>
      <c r="I3870" s="1178" t="s">
        <v>11810</v>
      </c>
      <c r="J3870" s="1178" t="s">
        <v>668</v>
      </c>
      <c r="K3870" s="1178" t="s">
        <v>350</v>
      </c>
      <c r="L3870" s="1178" t="s">
        <v>370</v>
      </c>
      <c r="M3870" s="1369"/>
      <c r="N3870" s="1178"/>
      <c r="O3870" s="1178">
        <v>3</v>
      </c>
      <c r="P3870" s="1178">
        <v>14</v>
      </c>
    </row>
    <row r="3871" spans="1:16">
      <c r="A3871" s="1178" t="s">
        <v>373</v>
      </c>
      <c r="B3871" s="1371" t="str">
        <f>HYPERLINK(IFERROR("#Main_Tariff!A"&amp;MATCH(Raeburn_Main_Tariff[[#This Row],[Product Code]],Main_Tariff!I:I,0),"#Main_Tariff!A"&amp;MATCH("*"&amp;RIGHT(A3871,8)&amp;"*",Main_Tariff!A:A,0)),Raeburn_Main_Tariff[[#This Row],[PRODUCER]])</f>
        <v>Runchet</v>
      </c>
      <c r="C3871" s="1178" t="s">
        <v>21896</v>
      </c>
      <c r="D3871" s="1178" t="s">
        <v>11144</v>
      </c>
      <c r="E3871" s="1179">
        <v>2023</v>
      </c>
      <c r="F3871" s="1282" t="s">
        <v>20280</v>
      </c>
      <c r="G3871" s="1368">
        <v>5.95</v>
      </c>
      <c r="H3871" s="1178" t="s">
        <v>20221</v>
      </c>
      <c r="I3871" s="1178" t="s">
        <v>11822</v>
      </c>
      <c r="J3871" s="1178" t="s">
        <v>668</v>
      </c>
      <c r="K3871" s="1178" t="s">
        <v>350</v>
      </c>
      <c r="L3871" s="1178" t="s">
        <v>370</v>
      </c>
      <c r="M3871" s="1369"/>
      <c r="N3871" s="1178"/>
      <c r="O3871" s="1178">
        <v>12</v>
      </c>
      <c r="P3871" s="1178">
        <v>5.5</v>
      </c>
    </row>
    <row r="3872" spans="1:16">
      <c r="A3872" s="1178" t="s">
        <v>373</v>
      </c>
      <c r="B3872" s="1371" t="str">
        <f>HYPERLINK(IFERROR("#Main_Tariff!A"&amp;MATCH(Raeburn_Main_Tariff[[#This Row],[Product Code]],Main_Tariff!I:I,0),"#Main_Tariff!A"&amp;MATCH("*"&amp;RIGHT(A3872,8)&amp;"*",Main_Tariff!A:A,0)),Raeburn_Main_Tariff[[#This Row],[PRODUCER]])</f>
        <v>Runchet</v>
      </c>
      <c r="C3872" s="1178" t="s">
        <v>21897</v>
      </c>
      <c r="D3872" s="1178" t="s">
        <v>11144</v>
      </c>
      <c r="E3872" s="1179">
        <v>2023</v>
      </c>
      <c r="F3872" s="1282" t="s">
        <v>20220</v>
      </c>
      <c r="G3872" s="1368">
        <v>11.25</v>
      </c>
      <c r="H3872" s="1178" t="s">
        <v>20221</v>
      </c>
      <c r="I3872" s="1178" t="s">
        <v>11824</v>
      </c>
      <c r="J3872" s="1178" t="s">
        <v>668</v>
      </c>
      <c r="K3872" s="1178" t="s">
        <v>350</v>
      </c>
      <c r="L3872" s="1178" t="s">
        <v>370</v>
      </c>
      <c r="M3872" s="1369"/>
      <c r="N3872" s="1178"/>
      <c r="O3872" s="1178">
        <v>6</v>
      </c>
      <c r="P3872" s="1178">
        <v>5.5</v>
      </c>
    </row>
    <row r="3873" spans="1:16">
      <c r="A3873" s="1178" t="s">
        <v>373</v>
      </c>
      <c r="B3873" s="1371" t="str">
        <f>HYPERLINK(IFERROR("#Main_Tariff!A"&amp;MATCH(Raeburn_Main_Tariff[[#This Row],[Product Code]],Main_Tariff!I:I,0),"#Main_Tariff!A"&amp;MATCH("*"&amp;RIGHT(A3873,8)&amp;"*",Main_Tariff!A:A,0)),Raeburn_Main_Tariff[[#This Row],[PRODUCER]])</f>
        <v>Runchet</v>
      </c>
      <c r="C3873" s="1178" t="s">
        <v>21897</v>
      </c>
      <c r="D3873" s="1178" t="s">
        <v>11144</v>
      </c>
      <c r="E3873" s="1179">
        <v>2022</v>
      </c>
      <c r="F3873" s="1282" t="s">
        <v>20220</v>
      </c>
      <c r="G3873" s="1368">
        <v>11</v>
      </c>
      <c r="H3873" s="1178" t="s">
        <v>20277</v>
      </c>
      <c r="I3873" s="1178" t="s">
        <v>11826</v>
      </c>
      <c r="J3873" s="1178" t="s">
        <v>668</v>
      </c>
      <c r="K3873" s="1178" t="s">
        <v>350</v>
      </c>
      <c r="L3873" s="1178" t="s">
        <v>370</v>
      </c>
      <c r="M3873" s="1369"/>
      <c r="N3873" s="1178"/>
      <c r="O3873" s="1178">
        <v>6</v>
      </c>
      <c r="P3873" s="1178">
        <v>5.5</v>
      </c>
    </row>
    <row r="3874" spans="1:16">
      <c r="A3874" s="1178" t="s">
        <v>373</v>
      </c>
      <c r="B3874" s="1371" t="str">
        <f>HYPERLINK(IFERROR("#Main_Tariff!A"&amp;MATCH(Raeburn_Main_Tariff[[#This Row],[Product Code]],Main_Tariff!I:I,0),"#Main_Tariff!A"&amp;MATCH("*"&amp;RIGHT(A3874,8)&amp;"*",Main_Tariff!A:A,0)),Raeburn_Main_Tariff[[#This Row],[PRODUCER]])</f>
        <v>Runchet</v>
      </c>
      <c r="C3874" s="1178" t="s">
        <v>21898</v>
      </c>
      <c r="D3874" s="1178" t="s">
        <v>1129</v>
      </c>
      <c r="E3874" s="1179">
        <v>2017</v>
      </c>
      <c r="F3874" s="1282" t="s">
        <v>20220</v>
      </c>
      <c r="G3874" s="1368">
        <v>14.5</v>
      </c>
      <c r="H3874" s="1178" t="s">
        <v>20221</v>
      </c>
      <c r="I3874" s="1178" t="s">
        <v>11827</v>
      </c>
      <c r="J3874" s="1178" t="s">
        <v>668</v>
      </c>
      <c r="K3874" s="1178" t="s">
        <v>350</v>
      </c>
      <c r="L3874" s="1178" t="s">
        <v>370</v>
      </c>
      <c r="M3874" s="1369"/>
      <c r="N3874" s="1178"/>
      <c r="O3874" s="1178">
        <v>6</v>
      </c>
      <c r="P3874" s="1178">
        <v>12.5</v>
      </c>
    </row>
    <row r="3875" spans="1:16">
      <c r="A3875" s="1178" t="s">
        <v>373</v>
      </c>
      <c r="B3875" s="1371" t="str">
        <f>HYPERLINK(IFERROR("#Main_Tariff!A"&amp;MATCH(Raeburn_Main_Tariff[[#This Row],[Product Code]],Main_Tariff!I:I,0),"#Main_Tariff!A"&amp;MATCH("*"&amp;RIGHT(A3875,8)&amp;"*",Main_Tariff!A:A,0)),Raeburn_Main_Tariff[[#This Row],[PRODUCER]])</f>
        <v>Runchet</v>
      </c>
      <c r="C3875" s="1178" t="s">
        <v>21898</v>
      </c>
      <c r="D3875" s="1178" t="s">
        <v>1129</v>
      </c>
      <c r="E3875" s="1179">
        <v>2016</v>
      </c>
      <c r="F3875" s="1282" t="s">
        <v>20220</v>
      </c>
      <c r="G3875" s="1368">
        <v>14.5</v>
      </c>
      <c r="H3875" s="1178" t="s">
        <v>20221</v>
      </c>
      <c r="I3875" s="1178" t="s">
        <v>11829</v>
      </c>
      <c r="J3875" s="1178" t="s">
        <v>668</v>
      </c>
      <c r="K3875" s="1178" t="s">
        <v>350</v>
      </c>
      <c r="L3875" s="1178" t="s">
        <v>370</v>
      </c>
      <c r="M3875" s="1369"/>
      <c r="N3875" s="1178"/>
      <c r="O3875" s="1178">
        <v>6</v>
      </c>
      <c r="P3875" s="1178">
        <v>12.5</v>
      </c>
    </row>
    <row r="3876" spans="1:16">
      <c r="A3876" s="1178" t="s">
        <v>373</v>
      </c>
      <c r="B3876" s="1371" t="str">
        <f>HYPERLINK(IFERROR("#Main_Tariff!A"&amp;MATCH(Raeburn_Main_Tariff[[#This Row],[Product Code]],Main_Tariff!I:I,0),"#Main_Tariff!A"&amp;MATCH("*"&amp;RIGHT(A3876,8)&amp;"*",Main_Tariff!A:A,0)),Raeburn_Main_Tariff[[#This Row],[PRODUCER]])</f>
        <v>Runchet</v>
      </c>
      <c r="C3876" s="1178" t="s">
        <v>21716</v>
      </c>
      <c r="D3876" s="1178" t="s">
        <v>897</v>
      </c>
      <c r="E3876" s="1179">
        <v>2016</v>
      </c>
      <c r="F3876" s="1282" t="s">
        <v>20220</v>
      </c>
      <c r="G3876" s="1368">
        <v>14.5</v>
      </c>
      <c r="H3876" s="1178" t="s">
        <v>20221</v>
      </c>
      <c r="I3876" s="1178" t="s">
        <v>11832</v>
      </c>
      <c r="J3876" s="1178" t="s">
        <v>668</v>
      </c>
      <c r="K3876" s="1178" t="s">
        <v>350</v>
      </c>
      <c r="L3876" s="1178" t="s">
        <v>370</v>
      </c>
      <c r="M3876" s="1369"/>
      <c r="N3876" s="1178"/>
      <c r="O3876" s="1178">
        <v>6</v>
      </c>
      <c r="P3876" s="1178">
        <v>14</v>
      </c>
    </row>
    <row r="3877" spans="1:16">
      <c r="A3877" s="1178" t="s">
        <v>373</v>
      </c>
      <c r="B3877" s="1371" t="str">
        <f>HYPERLINK(IFERROR("#Main_Tariff!A"&amp;MATCH(Raeburn_Main_Tariff[[#This Row],[Product Code]],Main_Tariff!I:I,0),"#Main_Tariff!A"&amp;MATCH("*"&amp;RIGHT(A3877,8)&amp;"*",Main_Tariff!A:A,0)),Raeburn_Main_Tariff[[#This Row],[PRODUCER]])</f>
        <v>Runchet</v>
      </c>
      <c r="C3877" s="1178" t="s">
        <v>21716</v>
      </c>
      <c r="D3877" s="1178" t="s">
        <v>897</v>
      </c>
      <c r="E3877" s="1179">
        <v>2015</v>
      </c>
      <c r="F3877" s="1282" t="s">
        <v>20220</v>
      </c>
      <c r="G3877" s="1368">
        <v>14.5</v>
      </c>
      <c r="H3877" s="1178" t="s">
        <v>20221</v>
      </c>
      <c r="I3877" s="1178" t="s">
        <v>11834</v>
      </c>
      <c r="J3877" s="1178" t="s">
        <v>668</v>
      </c>
      <c r="K3877" s="1178" t="s">
        <v>350</v>
      </c>
      <c r="L3877" s="1178" t="s">
        <v>370</v>
      </c>
      <c r="M3877" s="1369"/>
      <c r="N3877" s="1178"/>
      <c r="O3877" s="1178">
        <v>6</v>
      </c>
      <c r="P3877" s="1178">
        <v>13</v>
      </c>
    </row>
    <row r="3878" spans="1:16">
      <c r="A3878" s="1178" t="s">
        <v>373</v>
      </c>
      <c r="B3878" s="1371" t="str">
        <f>HYPERLINK(IFERROR("#Main_Tariff!A"&amp;MATCH(Raeburn_Main_Tariff[[#This Row],[Product Code]],Main_Tariff!I:I,0),"#Main_Tariff!A"&amp;MATCH("*"&amp;RIGHT(A3878,8)&amp;"*",Main_Tariff!A:A,0)),Raeburn_Main_Tariff[[#This Row],[PRODUCER]])</f>
        <v>Runchet</v>
      </c>
      <c r="C3878" s="1178" t="s">
        <v>21716</v>
      </c>
      <c r="D3878" s="1178" t="s">
        <v>897</v>
      </c>
      <c r="E3878" s="1179">
        <v>2014</v>
      </c>
      <c r="F3878" s="1282" t="s">
        <v>20220</v>
      </c>
      <c r="G3878" s="1368">
        <v>14</v>
      </c>
      <c r="H3878" s="1178" t="s">
        <v>20221</v>
      </c>
      <c r="I3878" s="1178" t="s">
        <v>11836</v>
      </c>
      <c r="J3878" s="1178" t="s">
        <v>668</v>
      </c>
      <c r="K3878" s="1178" t="s">
        <v>350</v>
      </c>
      <c r="L3878" s="1178" t="s">
        <v>370</v>
      </c>
      <c r="M3878" s="1369"/>
      <c r="N3878" s="1178"/>
      <c r="O3878" s="1178">
        <v>6</v>
      </c>
      <c r="P3878" s="1178">
        <v>13</v>
      </c>
    </row>
    <row r="3879" spans="1:16">
      <c r="A3879" s="1178" t="s">
        <v>373</v>
      </c>
      <c r="B3879" s="1371" t="str">
        <f>HYPERLINK(IFERROR("#Main_Tariff!A"&amp;MATCH(Raeburn_Main_Tariff[[#This Row],[Product Code]],Main_Tariff!I:I,0),"#Main_Tariff!A"&amp;MATCH("*"&amp;RIGHT(A3879,8)&amp;"*",Main_Tariff!A:A,0)),Raeburn_Main_Tariff[[#This Row],[PRODUCER]])</f>
        <v>Runchet</v>
      </c>
      <c r="C3879" s="1178" t="s">
        <v>21717</v>
      </c>
      <c r="D3879" s="1178" t="s">
        <v>897</v>
      </c>
      <c r="E3879" s="1179">
        <v>2021</v>
      </c>
      <c r="F3879" s="1282" t="s">
        <v>20220</v>
      </c>
      <c r="G3879" s="1368">
        <v>16</v>
      </c>
      <c r="H3879" s="1178" t="s">
        <v>20221</v>
      </c>
      <c r="I3879" s="1178" t="s">
        <v>11838</v>
      </c>
      <c r="J3879" s="1178" t="s">
        <v>668</v>
      </c>
      <c r="K3879" s="1178" t="s">
        <v>350</v>
      </c>
      <c r="L3879" s="1178" t="s">
        <v>370</v>
      </c>
      <c r="M3879" s="1369"/>
      <c r="N3879" s="1178"/>
      <c r="O3879" s="1178">
        <v>6</v>
      </c>
      <c r="P3879" s="1178">
        <v>14.5</v>
      </c>
    </row>
    <row r="3880" spans="1:16">
      <c r="A3880" s="1178" t="s">
        <v>373</v>
      </c>
      <c r="B3880" s="1371" t="str">
        <f>HYPERLINK(IFERROR("#Main_Tariff!A"&amp;MATCH(Raeburn_Main_Tariff[[#This Row],[Product Code]],Main_Tariff!I:I,0),"#Main_Tariff!A"&amp;MATCH("*"&amp;RIGHT(A3880,8)&amp;"*",Main_Tariff!A:A,0)),Raeburn_Main_Tariff[[#This Row],[PRODUCER]])</f>
        <v>Runchet</v>
      </c>
      <c r="C3880" s="1178" t="s">
        <v>21717</v>
      </c>
      <c r="D3880" s="1178" t="s">
        <v>897</v>
      </c>
      <c r="E3880" s="1179">
        <v>2016</v>
      </c>
      <c r="F3880" s="1282" t="s">
        <v>20220</v>
      </c>
      <c r="G3880" s="1368">
        <v>16</v>
      </c>
      <c r="H3880" s="1178" t="s">
        <v>20221</v>
      </c>
      <c r="I3880" s="1178" t="s">
        <v>11840</v>
      </c>
      <c r="J3880" s="1178" t="s">
        <v>668</v>
      </c>
      <c r="K3880" s="1178" t="s">
        <v>350</v>
      </c>
      <c r="L3880" s="1178" t="s">
        <v>370</v>
      </c>
      <c r="M3880" s="1369"/>
      <c r="N3880" s="1178"/>
      <c r="O3880" s="1178">
        <v>6</v>
      </c>
      <c r="P3880" s="1178">
        <v>14.5</v>
      </c>
    </row>
    <row r="3881" spans="1:16">
      <c r="A3881" s="1178" t="s">
        <v>373</v>
      </c>
      <c r="B3881" s="1371" t="str">
        <f>HYPERLINK(IFERROR("#Main_Tariff!A"&amp;MATCH(Raeburn_Main_Tariff[[#This Row],[Product Code]],Main_Tariff!I:I,0),"#Main_Tariff!A"&amp;MATCH("*"&amp;RIGHT(A3881,8)&amp;"*",Main_Tariff!A:A,0)),Raeburn_Main_Tariff[[#This Row],[PRODUCER]])</f>
        <v>Runchet</v>
      </c>
      <c r="C3881" s="1178" t="s">
        <v>21717</v>
      </c>
      <c r="D3881" s="1178" t="s">
        <v>897</v>
      </c>
      <c r="E3881" s="1179">
        <v>2015</v>
      </c>
      <c r="F3881" s="1282" t="s">
        <v>20220</v>
      </c>
      <c r="G3881" s="1368">
        <v>16</v>
      </c>
      <c r="H3881" s="1178" t="s">
        <v>20221</v>
      </c>
      <c r="I3881" s="1178" t="s">
        <v>11841</v>
      </c>
      <c r="J3881" s="1178" t="s">
        <v>668</v>
      </c>
      <c r="K3881" s="1178" t="s">
        <v>350</v>
      </c>
      <c r="L3881" s="1178" t="s">
        <v>370</v>
      </c>
      <c r="M3881" s="1369"/>
      <c r="N3881" s="1178"/>
      <c r="O3881" s="1178">
        <v>6</v>
      </c>
      <c r="P3881" s="1178">
        <v>14.5</v>
      </c>
    </row>
    <row r="3882" spans="1:16">
      <c r="A3882" s="1178" t="s">
        <v>373</v>
      </c>
      <c r="B3882" s="1371" t="str">
        <f>HYPERLINK(IFERROR("#Main_Tariff!A"&amp;MATCH(Raeburn_Main_Tariff[[#This Row],[Product Code]],Main_Tariff!I:I,0),"#Main_Tariff!A"&amp;MATCH("*"&amp;RIGHT(A3882,8)&amp;"*",Main_Tariff!A:A,0)),Raeburn_Main_Tariff[[#This Row],[PRODUCER]])</f>
        <v>Runchet</v>
      </c>
      <c r="C3882" s="1178" t="s">
        <v>21899</v>
      </c>
      <c r="D3882" s="1178" t="s">
        <v>897</v>
      </c>
      <c r="E3882" s="1179">
        <v>2020</v>
      </c>
      <c r="F3882" s="1282" t="s">
        <v>20220</v>
      </c>
      <c r="G3882" s="1368">
        <v>27.75</v>
      </c>
      <c r="H3882" s="1178" t="s">
        <v>20221</v>
      </c>
      <c r="I3882" s="1178" t="s">
        <v>11843</v>
      </c>
      <c r="J3882" s="1178" t="s">
        <v>668</v>
      </c>
      <c r="K3882" s="1178" t="s">
        <v>350</v>
      </c>
      <c r="L3882" s="1178" t="s">
        <v>370</v>
      </c>
      <c r="M3882" s="1369"/>
      <c r="N3882" s="1178"/>
      <c r="O3882" s="1178">
        <v>6</v>
      </c>
      <c r="P3882" s="1178">
        <v>15</v>
      </c>
    </row>
    <row r="3883" spans="1:16">
      <c r="A3883" s="1178" t="s">
        <v>373</v>
      </c>
      <c r="B3883" s="1371" t="str">
        <f>HYPERLINK(IFERROR("#Main_Tariff!A"&amp;MATCH(Raeburn_Main_Tariff[[#This Row],[Product Code]],Main_Tariff!I:I,0),"#Main_Tariff!A"&amp;MATCH("*"&amp;RIGHT(A3883,8)&amp;"*",Main_Tariff!A:A,0)),Raeburn_Main_Tariff[[#This Row],[PRODUCER]])</f>
        <v>Runchet</v>
      </c>
      <c r="C3883" s="1178" t="s">
        <v>21900</v>
      </c>
      <c r="D3883" s="1178" t="s">
        <v>897</v>
      </c>
      <c r="E3883" s="1179">
        <v>2019</v>
      </c>
      <c r="F3883" s="1282" t="s">
        <v>20220</v>
      </c>
      <c r="G3883" s="1368">
        <v>26.5</v>
      </c>
      <c r="H3883" s="1178" t="s">
        <v>20221</v>
      </c>
      <c r="I3883" s="1178" t="s">
        <v>11844</v>
      </c>
      <c r="J3883" s="1178" t="s">
        <v>668</v>
      </c>
      <c r="K3883" s="1178" t="s">
        <v>350</v>
      </c>
      <c r="L3883" s="1178" t="s">
        <v>370</v>
      </c>
      <c r="M3883" s="1369"/>
      <c r="N3883" s="1178"/>
      <c r="O3883" s="1178">
        <v>6</v>
      </c>
      <c r="P3883" s="1178">
        <v>14.5</v>
      </c>
    </row>
    <row r="3884" spans="1:16">
      <c r="A3884" s="1178" t="s">
        <v>373</v>
      </c>
      <c r="B3884" s="1371" t="str">
        <f>HYPERLINK(IFERROR("#Main_Tariff!A"&amp;MATCH(Raeburn_Main_Tariff[[#This Row],[Product Code]],Main_Tariff!I:I,0),"#Main_Tariff!A"&amp;MATCH("*"&amp;RIGHT(A3884,8)&amp;"*",Main_Tariff!A:A,0)),Raeburn_Main_Tariff[[#This Row],[PRODUCER]])</f>
        <v>Runchet</v>
      </c>
      <c r="C3884" s="1178" t="s">
        <v>21899</v>
      </c>
      <c r="D3884" s="1178" t="s">
        <v>897</v>
      </c>
      <c r="E3884" s="1179">
        <v>2016</v>
      </c>
      <c r="F3884" s="1282" t="s">
        <v>20220</v>
      </c>
      <c r="G3884" s="1368">
        <v>28.25</v>
      </c>
      <c r="H3884" s="1178" t="s">
        <v>20221</v>
      </c>
      <c r="I3884" s="1178" t="s">
        <v>11845</v>
      </c>
      <c r="J3884" s="1178" t="s">
        <v>668</v>
      </c>
      <c r="K3884" s="1178" t="s">
        <v>350</v>
      </c>
      <c r="L3884" s="1178" t="s">
        <v>370</v>
      </c>
      <c r="M3884" s="1369"/>
      <c r="N3884" s="1178"/>
      <c r="O3884" s="1178">
        <v>6</v>
      </c>
      <c r="P3884" s="1178">
        <v>15</v>
      </c>
    </row>
    <row r="3885" spans="1:16">
      <c r="A3885" s="1178" t="s">
        <v>373</v>
      </c>
      <c r="B3885" s="1371" t="str">
        <f>HYPERLINK(IFERROR("#Main_Tariff!A"&amp;MATCH(Raeburn_Main_Tariff[[#This Row],[Product Code]],Main_Tariff!I:I,0),"#Main_Tariff!A"&amp;MATCH("*"&amp;RIGHT(A3885,8)&amp;"*",Main_Tariff!A:A,0)),Raeburn_Main_Tariff[[#This Row],[PRODUCER]])</f>
        <v>Runchet</v>
      </c>
      <c r="C3885" s="1178" t="s">
        <v>370</v>
      </c>
      <c r="D3885" s="1178" t="s">
        <v>897</v>
      </c>
      <c r="E3885" s="1179">
        <v>2015</v>
      </c>
      <c r="F3885" s="1282" t="s">
        <v>20220</v>
      </c>
      <c r="G3885" s="1368">
        <v>24.75</v>
      </c>
      <c r="H3885" s="1178" t="s">
        <v>20221</v>
      </c>
      <c r="I3885" s="1178" t="s">
        <v>11846</v>
      </c>
      <c r="J3885" s="1178" t="s">
        <v>668</v>
      </c>
      <c r="K3885" s="1178" t="s">
        <v>350</v>
      </c>
      <c r="L3885" s="1178" t="s">
        <v>370</v>
      </c>
      <c r="M3885" s="1369"/>
      <c r="N3885" s="1178"/>
      <c r="O3885" s="1178">
        <v>6</v>
      </c>
      <c r="P3885" s="1178">
        <v>14</v>
      </c>
    </row>
    <row r="3886" spans="1:16">
      <c r="A3886" s="1178" t="s">
        <v>373</v>
      </c>
      <c r="B3886" s="1371" t="str">
        <f>HYPERLINK(IFERROR("#Main_Tariff!A"&amp;MATCH(Raeburn_Main_Tariff[[#This Row],[Product Code]],Main_Tariff!I:I,0),"#Main_Tariff!A"&amp;MATCH("*"&amp;RIGHT(A3886,8)&amp;"*",Main_Tariff!A:A,0)),Raeburn_Main_Tariff[[#This Row],[PRODUCER]])</f>
        <v>Runchet</v>
      </c>
      <c r="C3886" s="1178" t="s">
        <v>351</v>
      </c>
      <c r="D3886" s="1178" t="s">
        <v>897</v>
      </c>
      <c r="E3886" s="1179">
        <v>2016</v>
      </c>
      <c r="F3886" s="1282" t="s">
        <v>20220</v>
      </c>
      <c r="G3886" s="1368">
        <v>28.5</v>
      </c>
      <c r="H3886" s="1178" t="s">
        <v>20221</v>
      </c>
      <c r="I3886" s="1178" t="s">
        <v>11847</v>
      </c>
      <c r="J3886" s="1178" t="s">
        <v>668</v>
      </c>
      <c r="K3886" s="1178" t="s">
        <v>350</v>
      </c>
      <c r="L3886" s="1178" t="s">
        <v>370</v>
      </c>
      <c r="M3886" s="1369"/>
      <c r="N3886" s="1178"/>
      <c r="O3886" s="1178">
        <v>6</v>
      </c>
      <c r="P3886" s="1178">
        <v>14</v>
      </c>
    </row>
    <row r="3887" spans="1:16">
      <c r="A3887" s="1178" t="s">
        <v>373</v>
      </c>
      <c r="B3887" s="1371" t="str">
        <f>HYPERLINK(IFERROR("#Main_Tariff!A"&amp;MATCH(Raeburn_Main_Tariff[[#This Row],[Product Code]],Main_Tariff!I:I,0),"#Main_Tariff!A"&amp;MATCH("*"&amp;RIGHT(A3887,8)&amp;"*",Main_Tariff!A:A,0)),Raeburn_Main_Tariff[[#This Row],[PRODUCER]])</f>
        <v>Runchet</v>
      </c>
      <c r="C3887" s="1178" t="s">
        <v>351</v>
      </c>
      <c r="D3887" s="1178" t="s">
        <v>897</v>
      </c>
      <c r="E3887" s="1179">
        <v>2013</v>
      </c>
      <c r="F3887" s="1282" t="s">
        <v>20220</v>
      </c>
      <c r="G3887" s="1368">
        <v>29.25</v>
      </c>
      <c r="H3887" s="1178" t="s">
        <v>20221</v>
      </c>
      <c r="I3887" s="1178" t="s">
        <v>11848</v>
      </c>
      <c r="J3887" s="1178" t="s">
        <v>668</v>
      </c>
      <c r="K3887" s="1178" t="s">
        <v>350</v>
      </c>
      <c r="L3887" s="1178" t="s">
        <v>370</v>
      </c>
      <c r="M3887" s="1369"/>
      <c r="N3887" s="1178"/>
      <c r="O3887" s="1178">
        <v>6</v>
      </c>
      <c r="P3887" s="1178">
        <v>14.5</v>
      </c>
    </row>
    <row r="3888" spans="1:16">
      <c r="A3888" s="1178" t="s">
        <v>373</v>
      </c>
      <c r="B3888" s="1371" t="str">
        <f>HYPERLINK(IFERROR("#Main_Tariff!A"&amp;MATCH(Raeburn_Main_Tariff[[#This Row],[Product Code]],Main_Tariff!I:I,0),"#Main_Tariff!A"&amp;MATCH("*"&amp;RIGHT(A3888,8)&amp;"*",Main_Tariff!A:A,0)),Raeburn_Main_Tariff[[#This Row],[PRODUCER]])</f>
        <v>Runchet</v>
      </c>
      <c r="C3888" s="1178" t="s">
        <v>351</v>
      </c>
      <c r="D3888" s="1178" t="s">
        <v>897</v>
      </c>
      <c r="E3888" s="1179">
        <v>2012</v>
      </c>
      <c r="F3888" s="1282" t="s">
        <v>20220</v>
      </c>
      <c r="G3888" s="1368">
        <v>29.25</v>
      </c>
      <c r="H3888" s="1178" t="s">
        <v>20221</v>
      </c>
      <c r="I3888" s="1178" t="s">
        <v>11849</v>
      </c>
      <c r="J3888" s="1178" t="s">
        <v>668</v>
      </c>
      <c r="K3888" s="1178" t="s">
        <v>350</v>
      </c>
      <c r="L3888" s="1178" t="s">
        <v>370</v>
      </c>
      <c r="M3888" s="1369"/>
      <c r="N3888" s="1178"/>
      <c r="O3888" s="1178">
        <v>6</v>
      </c>
      <c r="P3888" s="1178">
        <v>14.5</v>
      </c>
    </row>
    <row r="3889" spans="1:16">
      <c r="A3889" s="1178" t="s">
        <v>373</v>
      </c>
      <c r="B3889" s="1371" t="str">
        <f>HYPERLINK(IFERROR("#Main_Tariff!A"&amp;MATCH(Raeburn_Main_Tariff[[#This Row],[Product Code]],Main_Tariff!I:I,0),"#Main_Tariff!A"&amp;MATCH("*"&amp;RIGHT(A3889,8)&amp;"*",Main_Tariff!A:A,0)),Raeburn_Main_Tariff[[#This Row],[PRODUCER]])</f>
        <v>Runchet</v>
      </c>
      <c r="C3889" s="1178" t="s">
        <v>21760</v>
      </c>
      <c r="D3889" s="1178" t="s">
        <v>897</v>
      </c>
      <c r="E3889" s="1179">
        <v>2015</v>
      </c>
      <c r="F3889" s="1282" t="s">
        <v>20240</v>
      </c>
      <c r="G3889" s="1368">
        <v>63.25</v>
      </c>
      <c r="H3889" s="1178" t="s">
        <v>20221</v>
      </c>
      <c r="I3889" s="1178" t="s">
        <v>11850</v>
      </c>
      <c r="J3889" s="1178" t="s">
        <v>668</v>
      </c>
      <c r="K3889" s="1178" t="s">
        <v>350</v>
      </c>
      <c r="L3889" s="1178" t="s">
        <v>370</v>
      </c>
      <c r="M3889" s="1369"/>
      <c r="N3889" s="1178"/>
      <c r="O3889" s="1178">
        <v>3</v>
      </c>
      <c r="P3889" s="1178">
        <v>14.5</v>
      </c>
    </row>
    <row r="3890" spans="1:16">
      <c r="A3890" s="1178" t="s">
        <v>374</v>
      </c>
      <c r="B3890" s="1371" t="str">
        <f>HYPERLINK(IFERROR("#Main_Tariff!A"&amp;MATCH(Raeburn_Main_Tariff[[#This Row],[Product Code]],Main_Tariff!I:I,0),"#Main_Tariff!A"&amp;MATCH("*"&amp;RIGHT(A3890,8)&amp;"*",Main_Tariff!A:A,0)),Raeburn_Main_Tariff[[#This Row],[PRODUCER]])</f>
        <v>Serafino Rivella</v>
      </c>
      <c r="C3890" s="1178" t="s">
        <v>21901</v>
      </c>
      <c r="D3890" s="1178" t="s">
        <v>897</v>
      </c>
      <c r="E3890" s="1179">
        <v>2020</v>
      </c>
      <c r="F3890" s="1282" t="s">
        <v>20220</v>
      </c>
      <c r="G3890" s="1368" t="s">
        <v>5258</v>
      </c>
      <c r="H3890" s="1178" t="s">
        <v>20221</v>
      </c>
      <c r="I3890" s="1178" t="s">
        <v>11857</v>
      </c>
      <c r="J3890" s="1178" t="s">
        <v>668</v>
      </c>
      <c r="K3890" s="1178" t="s">
        <v>350</v>
      </c>
      <c r="L3890" s="1178" t="s">
        <v>370</v>
      </c>
      <c r="M3890" s="1369"/>
      <c r="N3890" s="1178"/>
      <c r="O3890" s="1178">
        <v>6</v>
      </c>
      <c r="P3890" s="1178">
        <v>14.5</v>
      </c>
    </row>
    <row r="3891" spans="1:16">
      <c r="A3891" s="1178" t="s">
        <v>374</v>
      </c>
      <c r="B3891" s="1371" t="str">
        <f>HYPERLINK(IFERROR("#Main_Tariff!A"&amp;MATCH(Raeburn_Main_Tariff[[#This Row],[Product Code]],Main_Tariff!I:I,0),"#Main_Tariff!A"&amp;MATCH("*"&amp;RIGHT(A3891,8)&amp;"*",Main_Tariff!A:A,0)),Raeburn_Main_Tariff[[#This Row],[PRODUCER]])</f>
        <v>Serafino Rivella</v>
      </c>
      <c r="C3891" s="1178" t="s">
        <v>21901</v>
      </c>
      <c r="D3891" s="1178" t="s">
        <v>897</v>
      </c>
      <c r="E3891" s="1179">
        <v>2019</v>
      </c>
      <c r="F3891" s="1282" t="s">
        <v>20220</v>
      </c>
      <c r="G3891" s="1368" t="s">
        <v>5258</v>
      </c>
      <c r="H3891" s="1178" t="s">
        <v>20224</v>
      </c>
      <c r="I3891" s="1178" t="s">
        <v>11859</v>
      </c>
      <c r="J3891" s="1178" t="s">
        <v>668</v>
      </c>
      <c r="K3891" s="1178" t="s">
        <v>350</v>
      </c>
      <c r="L3891" s="1178" t="s">
        <v>370</v>
      </c>
      <c r="M3891" s="1369"/>
      <c r="N3891" s="1178"/>
      <c r="O3891" s="1178">
        <v>6</v>
      </c>
      <c r="P3891" s="1178">
        <v>14</v>
      </c>
    </row>
    <row r="3892" spans="1:16">
      <c r="A3892" s="1178" t="s">
        <v>375</v>
      </c>
      <c r="B3892" s="1371" t="str">
        <f>HYPERLINK(IFERROR("#Main_Tariff!A"&amp;MATCH(Raeburn_Main_Tariff[[#This Row],[Product Code]],Main_Tariff!I:I,0),"#Main_Tariff!A"&amp;MATCH("*"&amp;RIGHT(A3892,8)&amp;"*",Main_Tariff!A:A,0)),Raeburn_Main_Tariff[[#This Row],[PRODUCER]])</f>
        <v>Socré</v>
      </c>
      <c r="C3892" s="1178" t="s">
        <v>21902</v>
      </c>
      <c r="D3892" s="1178" t="s">
        <v>879</v>
      </c>
      <c r="E3892" s="1179"/>
      <c r="F3892" s="1282" t="s">
        <v>20220</v>
      </c>
      <c r="G3892" s="1368"/>
      <c r="H3892" s="1178" t="s">
        <v>3907</v>
      </c>
      <c r="I3892" s="1178" t="s">
        <v>11868</v>
      </c>
      <c r="J3892" s="1178" t="s">
        <v>668</v>
      </c>
      <c r="K3892" s="1178" t="s">
        <v>350</v>
      </c>
      <c r="L3892" s="1178" t="s">
        <v>370</v>
      </c>
      <c r="M3892" s="1369"/>
      <c r="N3892" s="1178"/>
      <c r="O3892" s="1178">
        <v>6</v>
      </c>
      <c r="P3892" s="1178">
        <v>12.5</v>
      </c>
    </row>
    <row r="3893" spans="1:16">
      <c r="A3893" s="1178" t="s">
        <v>375</v>
      </c>
      <c r="B3893" s="1371" t="str">
        <f>HYPERLINK(IFERROR("#Main_Tariff!A"&amp;MATCH(Raeburn_Main_Tariff[[#This Row],[Product Code]],Main_Tariff!I:I,0),"#Main_Tariff!A"&amp;MATCH("*"&amp;RIGHT(A3893,8)&amp;"*",Main_Tariff!A:A,0)),Raeburn_Main_Tariff[[#This Row],[PRODUCER]])</f>
        <v>Socré</v>
      </c>
      <c r="C3893" s="1178" t="s">
        <v>21903</v>
      </c>
      <c r="D3893" s="1178" t="s">
        <v>897</v>
      </c>
      <c r="E3893" s="1179">
        <v>2020</v>
      </c>
      <c r="F3893" s="1282" t="s">
        <v>20220</v>
      </c>
      <c r="G3893" s="1368">
        <v>15</v>
      </c>
      <c r="H3893" s="1178" t="s">
        <v>20221</v>
      </c>
      <c r="I3893" s="1178" t="s">
        <v>11871</v>
      </c>
      <c r="J3893" s="1178" t="s">
        <v>668</v>
      </c>
      <c r="K3893" s="1178" t="s">
        <v>350</v>
      </c>
      <c r="L3893" s="1178" t="s">
        <v>370</v>
      </c>
      <c r="M3893" s="1369"/>
      <c r="N3893" s="1178"/>
      <c r="O3893" s="1178">
        <v>6</v>
      </c>
      <c r="P3893" s="1178">
        <v>14.5</v>
      </c>
    </row>
    <row r="3894" spans="1:16">
      <c r="A3894" s="1178" t="s">
        <v>375</v>
      </c>
      <c r="B3894" s="1371" t="str">
        <f>HYPERLINK(IFERROR("#Main_Tariff!A"&amp;MATCH(Raeburn_Main_Tariff[[#This Row],[Product Code]],Main_Tariff!I:I,0),"#Main_Tariff!A"&amp;MATCH("*"&amp;RIGHT(A3894,8)&amp;"*",Main_Tariff!A:A,0)),Raeburn_Main_Tariff[[#This Row],[PRODUCER]])</f>
        <v>Socré</v>
      </c>
      <c r="C3894" s="1178" t="s">
        <v>21811</v>
      </c>
      <c r="D3894" s="1178" t="s">
        <v>897</v>
      </c>
      <c r="E3894" s="1179">
        <v>2016</v>
      </c>
      <c r="F3894" s="1282" t="s">
        <v>20220</v>
      </c>
      <c r="G3894" s="1368">
        <v>17</v>
      </c>
      <c r="H3894" s="1178" t="s">
        <v>20221</v>
      </c>
      <c r="I3894" s="1178" t="s">
        <v>11872</v>
      </c>
      <c r="J3894" s="1178" t="s">
        <v>668</v>
      </c>
      <c r="K3894" s="1178" t="s">
        <v>350</v>
      </c>
      <c r="L3894" s="1178" t="s">
        <v>370</v>
      </c>
      <c r="M3894" s="1369"/>
      <c r="N3894" s="1178"/>
      <c r="O3894" s="1178">
        <v>6</v>
      </c>
      <c r="P3894" s="1178">
        <v>14.5</v>
      </c>
    </row>
    <row r="3895" spans="1:16">
      <c r="A3895" s="1178" t="s">
        <v>375</v>
      </c>
      <c r="B3895" s="1371" t="str">
        <f>HYPERLINK(IFERROR("#Main_Tariff!A"&amp;MATCH(Raeburn_Main_Tariff[[#This Row],[Product Code]],Main_Tariff!I:I,0),"#Main_Tariff!A"&amp;MATCH("*"&amp;RIGHT(A3895,8)&amp;"*",Main_Tariff!A:A,0)),Raeburn_Main_Tariff[[#This Row],[PRODUCER]])</f>
        <v>Socré</v>
      </c>
      <c r="C3895" s="1178" t="s">
        <v>21904</v>
      </c>
      <c r="D3895" s="1178" t="s">
        <v>897</v>
      </c>
      <c r="E3895" s="1179">
        <v>2016</v>
      </c>
      <c r="F3895" s="1282" t="s">
        <v>20240</v>
      </c>
      <c r="G3895" s="1368">
        <v>34</v>
      </c>
      <c r="H3895" s="1178" t="s">
        <v>20224</v>
      </c>
      <c r="I3895" s="1178" t="s">
        <v>11874</v>
      </c>
      <c r="J3895" s="1178" t="s">
        <v>668</v>
      </c>
      <c r="K3895" s="1178" t="s">
        <v>350</v>
      </c>
      <c r="L3895" s="1178" t="s">
        <v>370</v>
      </c>
      <c r="M3895" s="1369"/>
      <c r="N3895" s="1178"/>
      <c r="O3895" s="1178">
        <v>3</v>
      </c>
      <c r="P3895" s="1178">
        <v>14.5</v>
      </c>
    </row>
    <row r="3896" spans="1:16">
      <c r="A3896" s="1178" t="s">
        <v>375</v>
      </c>
      <c r="B3896" s="1371" t="str">
        <f>HYPERLINK(IFERROR("#Main_Tariff!A"&amp;MATCH(Raeburn_Main_Tariff[[#This Row],[Product Code]],Main_Tariff!I:I,0),"#Main_Tariff!A"&amp;MATCH("*"&amp;RIGHT(A3896,8)&amp;"*",Main_Tariff!A:A,0)),Raeburn_Main_Tariff[[#This Row],[PRODUCER]])</f>
        <v>Socré</v>
      </c>
      <c r="C3896" s="1178" t="s">
        <v>370</v>
      </c>
      <c r="D3896" s="1178" t="s">
        <v>897</v>
      </c>
      <c r="E3896" s="1179">
        <v>2020</v>
      </c>
      <c r="F3896" s="1282" t="s">
        <v>20220</v>
      </c>
      <c r="G3896" s="1368">
        <v>24.25</v>
      </c>
      <c r="H3896" s="1178" t="s">
        <v>20221</v>
      </c>
      <c r="I3896" s="1178" t="s">
        <v>11876</v>
      </c>
      <c r="J3896" s="1178" t="s">
        <v>668</v>
      </c>
      <c r="K3896" s="1178" t="s">
        <v>350</v>
      </c>
      <c r="L3896" s="1178" t="s">
        <v>370</v>
      </c>
      <c r="M3896" s="1369"/>
      <c r="N3896" s="1178"/>
      <c r="O3896" s="1178">
        <v>6</v>
      </c>
      <c r="P3896" s="1178">
        <v>14.5</v>
      </c>
    </row>
    <row r="3897" spans="1:16">
      <c r="A3897" s="1178" t="s">
        <v>375</v>
      </c>
      <c r="B3897" s="1371" t="str">
        <f>HYPERLINK(IFERROR("#Main_Tariff!A"&amp;MATCH(Raeburn_Main_Tariff[[#This Row],[Product Code]],Main_Tariff!I:I,0),"#Main_Tariff!A"&amp;MATCH("*"&amp;RIGHT(A3897,8)&amp;"*",Main_Tariff!A:A,0)),Raeburn_Main_Tariff[[#This Row],[PRODUCER]])</f>
        <v>Socré</v>
      </c>
      <c r="C3897" s="1178" t="s">
        <v>370</v>
      </c>
      <c r="D3897" s="1178" t="s">
        <v>897</v>
      </c>
      <c r="E3897" s="1179">
        <v>2019</v>
      </c>
      <c r="F3897" s="1282" t="s">
        <v>20220</v>
      </c>
      <c r="G3897" s="1368">
        <v>24</v>
      </c>
      <c r="H3897" s="1178" t="s">
        <v>20221</v>
      </c>
      <c r="I3897" s="1178" t="s">
        <v>11878</v>
      </c>
      <c r="J3897" s="1178" t="s">
        <v>668</v>
      </c>
      <c r="K3897" s="1178" t="s">
        <v>350</v>
      </c>
      <c r="L3897" s="1178" t="s">
        <v>370</v>
      </c>
      <c r="M3897" s="1369"/>
      <c r="N3897" s="1178"/>
      <c r="O3897" s="1178">
        <v>6</v>
      </c>
      <c r="P3897" s="1178">
        <v>14.5</v>
      </c>
    </row>
    <row r="3898" spans="1:16">
      <c r="A3898" s="1178" t="s">
        <v>375</v>
      </c>
      <c r="B3898" s="1371" t="str">
        <f>HYPERLINK(IFERROR("#Main_Tariff!A"&amp;MATCH(Raeburn_Main_Tariff[[#This Row],[Product Code]],Main_Tariff!I:I,0),"#Main_Tariff!A"&amp;MATCH("*"&amp;RIGHT(A3898,8)&amp;"*",Main_Tariff!A:A,0)),Raeburn_Main_Tariff[[#This Row],[PRODUCER]])</f>
        <v>Socré</v>
      </c>
      <c r="C3898" s="1178" t="s">
        <v>370</v>
      </c>
      <c r="D3898" s="1178" t="s">
        <v>897</v>
      </c>
      <c r="E3898" s="1179">
        <v>2017</v>
      </c>
      <c r="F3898" s="1282" t="s">
        <v>20220</v>
      </c>
      <c r="G3898" s="1368">
        <v>24</v>
      </c>
      <c r="H3898" s="1178" t="s">
        <v>20277</v>
      </c>
      <c r="I3898" s="1178" t="s">
        <v>11880</v>
      </c>
      <c r="J3898" s="1178" t="s">
        <v>668</v>
      </c>
      <c r="K3898" s="1178" t="s">
        <v>350</v>
      </c>
      <c r="L3898" s="1178" t="s">
        <v>370</v>
      </c>
      <c r="M3898" s="1369"/>
      <c r="N3898" s="1178"/>
      <c r="O3898" s="1178">
        <v>6</v>
      </c>
      <c r="P3898" s="1178">
        <v>14.5</v>
      </c>
    </row>
    <row r="3899" spans="1:16">
      <c r="A3899" s="1178" t="s">
        <v>375</v>
      </c>
      <c r="B3899" s="1371" t="str">
        <f>HYPERLINK(IFERROR("#Main_Tariff!A"&amp;MATCH(Raeburn_Main_Tariff[[#This Row],[Product Code]],Main_Tariff!I:I,0),"#Main_Tariff!A"&amp;MATCH("*"&amp;RIGHT(A3899,8)&amp;"*",Main_Tariff!A:A,0)),Raeburn_Main_Tariff[[#This Row],[PRODUCER]])</f>
        <v>Socré</v>
      </c>
      <c r="C3899" s="1178" t="s">
        <v>21905</v>
      </c>
      <c r="D3899" s="1178" t="s">
        <v>897</v>
      </c>
      <c r="E3899" s="1179">
        <v>2019</v>
      </c>
      <c r="F3899" s="1282" t="s">
        <v>20220</v>
      </c>
      <c r="G3899" s="1368">
        <v>33</v>
      </c>
      <c r="H3899" s="1178" t="s">
        <v>20221</v>
      </c>
      <c r="I3899" s="1178" t="s">
        <v>11882</v>
      </c>
      <c r="J3899" s="1178" t="s">
        <v>668</v>
      </c>
      <c r="K3899" s="1178" t="s">
        <v>350</v>
      </c>
      <c r="L3899" s="1178" t="s">
        <v>370</v>
      </c>
      <c r="M3899" s="1369"/>
      <c r="N3899" s="1178"/>
      <c r="O3899" s="1178">
        <v>6</v>
      </c>
      <c r="P3899" s="1178">
        <v>14</v>
      </c>
    </row>
    <row r="3900" spans="1:16">
      <c r="A3900" s="1178" t="s">
        <v>375</v>
      </c>
      <c r="B3900" s="1371" t="str">
        <f>HYPERLINK(IFERROR("#Main_Tariff!A"&amp;MATCH(Raeburn_Main_Tariff[[#This Row],[Product Code]],Main_Tariff!I:I,0),"#Main_Tariff!A"&amp;MATCH("*"&amp;RIGHT(A3900,8)&amp;"*",Main_Tariff!A:A,0)),Raeburn_Main_Tariff[[#This Row],[PRODUCER]])</f>
        <v>Socré</v>
      </c>
      <c r="C3900" s="1178" t="s">
        <v>21905</v>
      </c>
      <c r="D3900" s="1178" t="s">
        <v>897</v>
      </c>
      <c r="E3900" s="1179">
        <v>2016</v>
      </c>
      <c r="F3900" s="1282" t="s">
        <v>20220</v>
      </c>
      <c r="G3900" s="1368">
        <v>33</v>
      </c>
      <c r="H3900" s="1178" t="s">
        <v>20221</v>
      </c>
      <c r="I3900" s="1178" t="s">
        <v>11884</v>
      </c>
      <c r="J3900" s="1178" t="s">
        <v>668</v>
      </c>
      <c r="K3900" s="1178" t="s">
        <v>350</v>
      </c>
      <c r="L3900" s="1178" t="s">
        <v>370</v>
      </c>
      <c r="M3900" s="1369"/>
      <c r="N3900" s="1178"/>
      <c r="O3900" s="1178">
        <v>6</v>
      </c>
      <c r="P3900" s="1178">
        <v>14.5</v>
      </c>
    </row>
    <row r="3901" spans="1:16">
      <c r="A3901" s="1178" t="s">
        <v>375</v>
      </c>
      <c r="B3901" s="1371" t="str">
        <f>HYPERLINK(IFERROR("#Main_Tariff!A"&amp;MATCH(Raeburn_Main_Tariff[[#This Row],[Product Code]],Main_Tariff!I:I,0),"#Main_Tariff!A"&amp;MATCH("*"&amp;RIGHT(A3901,8)&amp;"*",Main_Tariff!A:A,0)),Raeburn_Main_Tariff[[#This Row],[PRODUCER]])</f>
        <v>Socré</v>
      </c>
      <c r="C3901" s="1178" t="s">
        <v>21905</v>
      </c>
      <c r="D3901" s="1178" t="s">
        <v>897</v>
      </c>
      <c r="E3901" s="1179">
        <v>2015</v>
      </c>
      <c r="F3901" s="1282" t="s">
        <v>20220</v>
      </c>
      <c r="G3901" s="1368">
        <v>33</v>
      </c>
      <c r="H3901" s="1178" t="s">
        <v>20224</v>
      </c>
      <c r="I3901" s="1178" t="s">
        <v>11885</v>
      </c>
      <c r="J3901" s="1178" t="s">
        <v>668</v>
      </c>
      <c r="K3901" s="1178" t="s">
        <v>350</v>
      </c>
      <c r="L3901" s="1178" t="s">
        <v>370</v>
      </c>
      <c r="M3901" s="1369"/>
      <c r="N3901" s="1178"/>
      <c r="O3901" s="1178">
        <v>6</v>
      </c>
      <c r="P3901" s="1178">
        <v>15</v>
      </c>
    </row>
    <row r="3902" spans="1:16">
      <c r="A3902" s="1178" t="s">
        <v>375</v>
      </c>
      <c r="B3902" s="1371" t="str">
        <f>HYPERLINK(IFERROR("#Main_Tariff!A"&amp;MATCH(Raeburn_Main_Tariff[[#This Row],[Product Code]],Main_Tariff!I:I,0),"#Main_Tariff!A"&amp;MATCH("*"&amp;RIGHT(A3902,8)&amp;"*",Main_Tariff!A:A,0)),Raeburn_Main_Tariff[[#This Row],[PRODUCER]])</f>
        <v>Socré</v>
      </c>
      <c r="C3902" s="1178" t="s">
        <v>21905</v>
      </c>
      <c r="D3902" s="1178" t="s">
        <v>897</v>
      </c>
      <c r="E3902" s="1179">
        <v>2014</v>
      </c>
      <c r="F3902" s="1282" t="s">
        <v>20220</v>
      </c>
      <c r="G3902" s="1368">
        <v>31</v>
      </c>
      <c r="H3902" s="1178" t="s">
        <v>20221</v>
      </c>
      <c r="I3902" s="1178" t="s">
        <v>11887</v>
      </c>
      <c r="J3902" s="1178" t="s">
        <v>668</v>
      </c>
      <c r="K3902" s="1178" t="s">
        <v>350</v>
      </c>
      <c r="L3902" s="1178" t="s">
        <v>370</v>
      </c>
      <c r="M3902" s="1369"/>
      <c r="N3902" s="1178"/>
      <c r="O3902" s="1178">
        <v>6</v>
      </c>
      <c r="P3902" s="1178">
        <v>14.5</v>
      </c>
    </row>
    <row r="3903" spans="1:16">
      <c r="A3903" s="1178" t="s">
        <v>375</v>
      </c>
      <c r="B3903" s="1371" t="str">
        <f>HYPERLINK(IFERROR("#Main_Tariff!A"&amp;MATCH(Raeburn_Main_Tariff[[#This Row],[Product Code]],Main_Tariff!I:I,0),"#Main_Tariff!A"&amp;MATCH("*"&amp;RIGHT(A3903,8)&amp;"*",Main_Tariff!A:A,0)),Raeburn_Main_Tariff[[#This Row],[PRODUCER]])</f>
        <v>Socré</v>
      </c>
      <c r="C3903" s="1178" t="s">
        <v>21905</v>
      </c>
      <c r="D3903" s="1178" t="s">
        <v>897</v>
      </c>
      <c r="E3903" s="1179">
        <v>2013</v>
      </c>
      <c r="F3903" s="1282" t="s">
        <v>20220</v>
      </c>
      <c r="G3903" s="1368">
        <v>32.5</v>
      </c>
      <c r="H3903" s="1178" t="s">
        <v>20277</v>
      </c>
      <c r="I3903" s="1178" t="s">
        <v>11889</v>
      </c>
      <c r="J3903" s="1178" t="s">
        <v>668</v>
      </c>
      <c r="K3903" s="1178" t="s">
        <v>350</v>
      </c>
      <c r="L3903" s="1178" t="s">
        <v>370</v>
      </c>
      <c r="M3903" s="1369"/>
      <c r="N3903" s="1178"/>
      <c r="O3903" s="1178">
        <v>6</v>
      </c>
      <c r="P3903" s="1178">
        <v>14.5</v>
      </c>
    </row>
    <row r="3904" spans="1:16">
      <c r="A3904" s="1178" t="s">
        <v>375</v>
      </c>
      <c r="B3904" s="1371" t="str">
        <f>HYPERLINK(IFERROR("#Main_Tariff!A"&amp;MATCH(Raeburn_Main_Tariff[[#This Row],[Product Code]],Main_Tariff!I:I,0),"#Main_Tariff!A"&amp;MATCH("*"&amp;RIGHT(A3904,8)&amp;"*",Main_Tariff!A:A,0)),Raeburn_Main_Tariff[[#This Row],[PRODUCER]])</f>
        <v>Socré</v>
      </c>
      <c r="C3904" s="1178" t="s">
        <v>21905</v>
      </c>
      <c r="D3904" s="1178" t="s">
        <v>897</v>
      </c>
      <c r="E3904" s="1179">
        <v>2011</v>
      </c>
      <c r="F3904" s="1282" t="s">
        <v>20220</v>
      </c>
      <c r="G3904" s="1368">
        <v>38.5</v>
      </c>
      <c r="H3904" s="1178" t="s">
        <v>20221</v>
      </c>
      <c r="I3904" s="1178" t="s">
        <v>11891</v>
      </c>
      <c r="J3904" s="1178" t="s">
        <v>668</v>
      </c>
      <c r="K3904" s="1178" t="s">
        <v>350</v>
      </c>
      <c r="L3904" s="1178" t="s">
        <v>370</v>
      </c>
      <c r="M3904" s="1369"/>
      <c r="N3904" s="1178"/>
      <c r="O3904" s="1178">
        <v>6</v>
      </c>
      <c r="P3904" s="1178">
        <v>14.5</v>
      </c>
    </row>
    <row r="3905" spans="1:16">
      <c r="A3905" s="1178" t="s">
        <v>375</v>
      </c>
      <c r="B3905" s="1371" t="str">
        <f>HYPERLINK(IFERROR("#Main_Tariff!A"&amp;MATCH(Raeburn_Main_Tariff[[#This Row],[Product Code]],Main_Tariff!I:I,0),"#Main_Tariff!A"&amp;MATCH("*"&amp;RIGHT(A3905,8)&amp;"*",Main_Tariff!A:A,0)),Raeburn_Main_Tariff[[#This Row],[PRODUCER]])</f>
        <v>Socré</v>
      </c>
      <c r="C3905" s="1178" t="s">
        <v>21906</v>
      </c>
      <c r="D3905" s="1178" t="s">
        <v>897</v>
      </c>
      <c r="E3905" s="1179">
        <v>2018</v>
      </c>
      <c r="F3905" s="1282" t="s">
        <v>20220</v>
      </c>
      <c r="G3905" s="1368">
        <v>43</v>
      </c>
      <c r="H3905" s="1178" t="s">
        <v>20221</v>
      </c>
      <c r="I3905" s="1178" t="s">
        <v>11892</v>
      </c>
      <c r="J3905" s="1178" t="s">
        <v>668</v>
      </c>
      <c r="K3905" s="1178" t="s">
        <v>350</v>
      </c>
      <c r="L3905" s="1178" t="s">
        <v>370</v>
      </c>
      <c r="M3905" s="1369"/>
      <c r="N3905" s="1178"/>
      <c r="O3905" s="1178">
        <v>6</v>
      </c>
      <c r="P3905" s="1178">
        <v>14</v>
      </c>
    </row>
    <row r="3906" spans="1:16">
      <c r="A3906" s="1178" t="s">
        <v>375</v>
      </c>
      <c r="B3906" s="1371" t="str">
        <f>HYPERLINK(IFERROR("#Main_Tariff!A"&amp;MATCH(Raeburn_Main_Tariff[[#This Row],[Product Code]],Main_Tariff!I:I,0),"#Main_Tariff!A"&amp;MATCH("*"&amp;RIGHT(A3906,8)&amp;"*",Main_Tariff!A:A,0)),Raeburn_Main_Tariff[[#This Row],[PRODUCER]])</f>
        <v>Socré</v>
      </c>
      <c r="C3906" s="1178" t="s">
        <v>21906</v>
      </c>
      <c r="D3906" s="1178" t="s">
        <v>897</v>
      </c>
      <c r="E3906" s="1179">
        <v>2016</v>
      </c>
      <c r="F3906" s="1282" t="s">
        <v>20220</v>
      </c>
      <c r="G3906" s="1368">
        <v>43</v>
      </c>
      <c r="H3906" s="1178" t="s">
        <v>20221</v>
      </c>
      <c r="I3906" s="1178" t="s">
        <v>11894</v>
      </c>
      <c r="J3906" s="1178" t="s">
        <v>668</v>
      </c>
      <c r="K3906" s="1178" t="s">
        <v>350</v>
      </c>
      <c r="L3906" s="1178" t="s">
        <v>370</v>
      </c>
      <c r="M3906" s="1369"/>
      <c r="N3906" s="1178"/>
      <c r="O3906" s="1178">
        <v>6</v>
      </c>
      <c r="P3906" s="1178">
        <v>15</v>
      </c>
    </row>
    <row r="3907" spans="1:16">
      <c r="A3907" s="1178" t="s">
        <v>375</v>
      </c>
      <c r="B3907" s="1371" t="str">
        <f>HYPERLINK(IFERROR("#Main_Tariff!A"&amp;MATCH(Raeburn_Main_Tariff[[#This Row],[Product Code]],Main_Tariff!I:I,0),"#Main_Tariff!A"&amp;MATCH("*"&amp;RIGHT(A3907,8)&amp;"*",Main_Tariff!A:A,0)),Raeburn_Main_Tariff[[#This Row],[PRODUCER]])</f>
        <v>Socré</v>
      </c>
      <c r="C3907" s="1178" t="s">
        <v>21907</v>
      </c>
      <c r="D3907" s="1178" t="s">
        <v>897</v>
      </c>
      <c r="E3907" s="1179">
        <v>2015</v>
      </c>
      <c r="F3907" s="1282" t="s">
        <v>20220</v>
      </c>
      <c r="G3907" s="1368">
        <v>37.5</v>
      </c>
      <c r="H3907" s="1178" t="s">
        <v>20221</v>
      </c>
      <c r="I3907" s="1178" t="s">
        <v>11896</v>
      </c>
      <c r="J3907" s="1178" t="s">
        <v>668</v>
      </c>
      <c r="K3907" s="1178" t="s">
        <v>350</v>
      </c>
      <c r="L3907" s="1178" t="s">
        <v>370</v>
      </c>
      <c r="M3907" s="1369"/>
      <c r="N3907" s="1178"/>
      <c r="O3907" s="1178">
        <v>6</v>
      </c>
      <c r="P3907" s="1178">
        <v>13</v>
      </c>
    </row>
    <row r="3908" spans="1:16">
      <c r="A3908" s="1178" t="s">
        <v>375</v>
      </c>
      <c r="B3908" s="1371" t="str">
        <f>HYPERLINK(IFERROR("#Main_Tariff!A"&amp;MATCH(Raeburn_Main_Tariff[[#This Row],[Product Code]],Main_Tariff!I:I,0),"#Main_Tariff!A"&amp;MATCH("*"&amp;RIGHT(A3908,8)&amp;"*",Main_Tariff!A:A,0)),Raeburn_Main_Tariff[[#This Row],[PRODUCER]])</f>
        <v>Socré</v>
      </c>
      <c r="C3908" s="1178" t="s">
        <v>21723</v>
      </c>
      <c r="D3908" s="1178" t="s">
        <v>897</v>
      </c>
      <c r="E3908" s="1179">
        <v>2019</v>
      </c>
      <c r="F3908" s="1282" t="s">
        <v>20220</v>
      </c>
      <c r="G3908" s="1368">
        <v>35</v>
      </c>
      <c r="H3908" s="1178" t="s">
        <v>20221</v>
      </c>
      <c r="I3908" s="1178" t="s">
        <v>11898</v>
      </c>
      <c r="J3908" s="1178" t="s">
        <v>668</v>
      </c>
      <c r="K3908" s="1178" t="s">
        <v>350</v>
      </c>
      <c r="L3908" s="1178" t="s">
        <v>370</v>
      </c>
      <c r="M3908" s="1369"/>
      <c r="N3908" s="1178"/>
      <c r="O3908" s="1178">
        <v>6</v>
      </c>
      <c r="P3908" s="1178">
        <v>14.5</v>
      </c>
    </row>
    <row r="3909" spans="1:16">
      <c r="A3909" s="1178" t="s">
        <v>375</v>
      </c>
      <c r="B3909" s="1371" t="str">
        <f>HYPERLINK(IFERROR("#Main_Tariff!A"&amp;MATCH(Raeburn_Main_Tariff[[#This Row],[Product Code]],Main_Tariff!I:I,0),"#Main_Tariff!A"&amp;MATCH("*"&amp;RIGHT(A3909,8)&amp;"*",Main_Tariff!A:A,0)),Raeburn_Main_Tariff[[#This Row],[PRODUCER]])</f>
        <v>Socré</v>
      </c>
      <c r="C3909" s="1178" t="s">
        <v>21908</v>
      </c>
      <c r="D3909" s="1178" t="s">
        <v>897</v>
      </c>
      <c r="E3909" s="1179">
        <v>2019</v>
      </c>
      <c r="F3909" s="1282" t="s">
        <v>20240</v>
      </c>
      <c r="G3909" s="1368">
        <v>60</v>
      </c>
      <c r="H3909" s="1178" t="s">
        <v>20224</v>
      </c>
      <c r="I3909" s="1178" t="s">
        <v>11901</v>
      </c>
      <c r="J3909" s="1178" t="s">
        <v>668</v>
      </c>
      <c r="K3909" s="1178" t="s">
        <v>350</v>
      </c>
      <c r="L3909" s="1178" t="s">
        <v>370</v>
      </c>
      <c r="M3909" s="1369"/>
      <c r="N3909" s="1178"/>
      <c r="O3909" s="1178">
        <v>3</v>
      </c>
      <c r="P3909" s="1178">
        <v>14.5</v>
      </c>
    </row>
    <row r="3910" spans="1:16">
      <c r="A3910" s="1178" t="s">
        <v>375</v>
      </c>
      <c r="B3910" s="1371" t="str">
        <f>HYPERLINK(IFERROR("#Main_Tariff!A"&amp;MATCH(Raeburn_Main_Tariff[[#This Row],[Product Code]],Main_Tariff!I:I,0),"#Main_Tariff!A"&amp;MATCH("*"&amp;RIGHT(A3910,8)&amp;"*",Main_Tariff!A:A,0)),Raeburn_Main_Tariff[[#This Row],[PRODUCER]])</f>
        <v>Socré</v>
      </c>
      <c r="C3910" s="1178" t="s">
        <v>21908</v>
      </c>
      <c r="D3910" s="1178" t="s">
        <v>897</v>
      </c>
      <c r="E3910" s="1179">
        <v>2016</v>
      </c>
      <c r="F3910" s="1282" t="s">
        <v>20240</v>
      </c>
      <c r="G3910" s="1368">
        <v>59</v>
      </c>
      <c r="H3910" s="1178" t="s">
        <v>20224</v>
      </c>
      <c r="I3910" s="1178" t="s">
        <v>11903</v>
      </c>
      <c r="J3910" s="1178" t="s">
        <v>668</v>
      </c>
      <c r="K3910" s="1178" t="s">
        <v>350</v>
      </c>
      <c r="L3910" s="1178" t="s">
        <v>370</v>
      </c>
      <c r="M3910" s="1369"/>
      <c r="N3910" s="1178"/>
      <c r="O3910" s="1178">
        <v>3</v>
      </c>
      <c r="P3910" s="1178">
        <v>15</v>
      </c>
    </row>
    <row r="3911" spans="1:16">
      <c r="A3911" s="1178" t="s">
        <v>375</v>
      </c>
      <c r="B3911" s="1371" t="str">
        <f>HYPERLINK(IFERROR("#Main_Tariff!A"&amp;MATCH(Raeburn_Main_Tariff[[#This Row],[Product Code]],Main_Tariff!I:I,0),"#Main_Tariff!A"&amp;MATCH("*"&amp;RIGHT(A3911,8)&amp;"*",Main_Tariff!A:A,0)),Raeburn_Main_Tariff[[#This Row],[PRODUCER]])</f>
        <v>Socré</v>
      </c>
      <c r="C3911" s="1178" t="s">
        <v>21909</v>
      </c>
      <c r="D3911" s="1178" t="s">
        <v>897</v>
      </c>
      <c r="E3911" s="1179">
        <v>2016</v>
      </c>
      <c r="F3911" s="1282" t="s">
        <v>20240</v>
      </c>
      <c r="G3911" s="1368">
        <v>79</v>
      </c>
      <c r="H3911" s="1178" t="s">
        <v>20224</v>
      </c>
      <c r="I3911" s="1178" t="s">
        <v>11905</v>
      </c>
      <c r="J3911" s="1178" t="s">
        <v>668</v>
      </c>
      <c r="K3911" s="1178" t="s">
        <v>350</v>
      </c>
      <c r="L3911" s="1178" t="s">
        <v>370</v>
      </c>
      <c r="M3911" s="1369"/>
      <c r="N3911" s="1178"/>
      <c r="O3911" s="1178">
        <v>3</v>
      </c>
      <c r="P3911" s="1178">
        <v>14.5</v>
      </c>
    </row>
    <row r="3912" spans="1:16">
      <c r="A3912" s="1178" t="s">
        <v>375</v>
      </c>
      <c r="B3912" s="1371" t="str">
        <f>HYPERLINK(IFERROR("#Main_Tariff!A"&amp;MATCH(Raeburn_Main_Tariff[[#This Row],[Product Code]],Main_Tariff!I:I,0),"#Main_Tariff!A"&amp;MATCH("*"&amp;RIGHT(A3912,8)&amp;"*",Main_Tariff!A:A,0)),Raeburn_Main_Tariff[[#This Row],[PRODUCER]])</f>
        <v>Socré</v>
      </c>
      <c r="C3912" s="1178" t="s">
        <v>21910</v>
      </c>
      <c r="D3912" s="1178" t="s">
        <v>897</v>
      </c>
      <c r="E3912" s="1179">
        <v>2016</v>
      </c>
      <c r="F3912" s="1282" t="s">
        <v>20240</v>
      </c>
      <c r="G3912" s="1368">
        <v>103.5</v>
      </c>
      <c r="H3912" s="1178" t="s">
        <v>20224</v>
      </c>
      <c r="I3912" s="1178" t="s">
        <v>11906</v>
      </c>
      <c r="J3912" s="1178" t="s">
        <v>668</v>
      </c>
      <c r="K3912" s="1178" t="s">
        <v>350</v>
      </c>
      <c r="L3912" s="1178" t="s">
        <v>370</v>
      </c>
      <c r="M3912" s="1369"/>
      <c r="N3912" s="1178"/>
      <c r="O3912" s="1178">
        <v>3</v>
      </c>
      <c r="P3912" s="1178">
        <v>15</v>
      </c>
    </row>
    <row r="3913" spans="1:16">
      <c r="A3913" s="1178" t="s">
        <v>21911</v>
      </c>
      <c r="B3913" s="1371" t="str">
        <f>HYPERLINK(IFERROR("#Main_Tariff!A"&amp;MATCH(Raeburn_Main_Tariff[[#This Row],[Product Code]],Main_Tariff!I:I,0),"#Main_Tariff!A"&amp;MATCH("*"&amp;RIGHT(A3913,8)&amp;"*",Main_Tariff!A:A,0)),Raeburn_Main_Tariff[[#This Row],[PRODUCER]])</f>
        <v>Conterno-Nervi</v>
      </c>
      <c r="C3913" s="1178" t="s">
        <v>21912</v>
      </c>
      <c r="D3913" s="1178" t="s">
        <v>1129</v>
      </c>
      <c r="E3913" s="1179">
        <v>2014</v>
      </c>
      <c r="F3913" s="1282" t="s">
        <v>20220</v>
      </c>
      <c r="G3913" s="1368">
        <v>12</v>
      </c>
      <c r="H3913" s="1178" t="s">
        <v>20221</v>
      </c>
      <c r="I3913" s="1178" t="s">
        <v>11920</v>
      </c>
      <c r="J3913" s="1178" t="s">
        <v>668</v>
      </c>
      <c r="K3913" s="1178" t="s">
        <v>350</v>
      </c>
      <c r="L3913" s="1178" t="s">
        <v>376</v>
      </c>
      <c r="M3913" s="1369"/>
      <c r="N3913" s="1178"/>
      <c r="O3913" s="1178">
        <v>6</v>
      </c>
      <c r="P3913" s="1178">
        <v>12</v>
      </c>
    </row>
    <row r="3914" spans="1:16">
      <c r="A3914" s="1178" t="s">
        <v>21911</v>
      </c>
      <c r="B3914" s="1371" t="str">
        <f>HYPERLINK(IFERROR("#Main_Tariff!A"&amp;MATCH(Raeburn_Main_Tariff[[#This Row],[Product Code]],Main_Tariff!I:I,0),"#Main_Tariff!A"&amp;MATCH("*"&amp;RIGHT(A3914,8)&amp;"*",Main_Tariff!A:A,0)),Raeburn_Main_Tariff[[#This Row],[PRODUCER]])</f>
        <v>Conterno-Nervi</v>
      </c>
      <c r="C3914" s="1178" t="s">
        <v>376</v>
      </c>
      <c r="D3914" s="1178" t="s">
        <v>897</v>
      </c>
      <c r="E3914" s="1179">
        <v>2021</v>
      </c>
      <c r="F3914" s="1282" t="s">
        <v>20220</v>
      </c>
      <c r="G3914" s="1368" t="s">
        <v>5258</v>
      </c>
      <c r="H3914" s="1178" t="s">
        <v>20221</v>
      </c>
      <c r="I3914" s="1178" t="s">
        <v>23316</v>
      </c>
      <c r="J3914" s="1178" t="s">
        <v>668</v>
      </c>
      <c r="K3914" s="1178" t="s">
        <v>350</v>
      </c>
      <c r="L3914" s="1178" t="s">
        <v>376</v>
      </c>
      <c r="M3914" s="1369"/>
      <c r="N3914" s="1178"/>
      <c r="O3914" s="1178">
        <v>6</v>
      </c>
      <c r="P3914" s="1178">
        <v>14</v>
      </c>
    </row>
    <row r="3915" spans="1:16">
      <c r="A3915" s="1178" t="s">
        <v>21911</v>
      </c>
      <c r="B3915" s="1371" t="str">
        <f>HYPERLINK(IFERROR("#Main_Tariff!A"&amp;MATCH(Raeburn_Main_Tariff[[#This Row],[Product Code]],Main_Tariff!I:I,0),"#Main_Tariff!A"&amp;MATCH("*"&amp;RIGHT(A3915,8)&amp;"*",Main_Tariff!A:A,0)),Raeburn_Main_Tariff[[#This Row],[PRODUCER]])</f>
        <v>Conterno-Nervi</v>
      </c>
      <c r="C3915" s="1178" t="s">
        <v>376</v>
      </c>
      <c r="D3915" s="1178" t="s">
        <v>897</v>
      </c>
      <c r="E3915" s="1179">
        <v>2020</v>
      </c>
      <c r="F3915" s="1282" t="s">
        <v>20220</v>
      </c>
      <c r="G3915" s="1368" t="s">
        <v>5258</v>
      </c>
      <c r="H3915" s="1178" t="s">
        <v>20221</v>
      </c>
      <c r="I3915" s="1178" t="s">
        <v>23317</v>
      </c>
      <c r="J3915" s="1178" t="s">
        <v>668</v>
      </c>
      <c r="K3915" s="1178" t="s">
        <v>350</v>
      </c>
      <c r="L3915" s="1178" t="s">
        <v>376</v>
      </c>
      <c r="M3915" s="1369"/>
      <c r="N3915" s="1178"/>
      <c r="O3915" s="1178">
        <v>6</v>
      </c>
      <c r="P3915" s="1178">
        <v>14</v>
      </c>
    </row>
    <row r="3916" spans="1:16">
      <c r="A3916" s="1178" t="s">
        <v>21911</v>
      </c>
      <c r="B3916" s="1371" t="str">
        <f>HYPERLINK(IFERROR("#Main_Tariff!A"&amp;MATCH(Raeburn_Main_Tariff[[#This Row],[Product Code]],Main_Tariff!I:I,0),"#Main_Tariff!A"&amp;MATCH("*"&amp;RIGHT(A3916,8)&amp;"*",Main_Tariff!A:A,0)),Raeburn_Main_Tariff[[#This Row],[PRODUCER]])</f>
        <v>Conterno-Nervi</v>
      </c>
      <c r="C3916" s="1178" t="s">
        <v>376</v>
      </c>
      <c r="D3916" s="1178" t="s">
        <v>897</v>
      </c>
      <c r="E3916" s="1179">
        <v>2019</v>
      </c>
      <c r="F3916" s="1282" t="s">
        <v>20220</v>
      </c>
      <c r="G3916" s="1368" t="s">
        <v>5258</v>
      </c>
      <c r="H3916" s="1178" t="s">
        <v>20221</v>
      </c>
      <c r="I3916" s="1178" t="s">
        <v>23318</v>
      </c>
      <c r="J3916" s="1178" t="s">
        <v>668</v>
      </c>
      <c r="K3916" s="1178" t="s">
        <v>350</v>
      </c>
      <c r="L3916" s="1178" t="s">
        <v>376</v>
      </c>
      <c r="M3916" s="1369"/>
      <c r="N3916" s="1178"/>
      <c r="O3916" s="1178">
        <v>6</v>
      </c>
      <c r="P3916" s="1178">
        <v>14</v>
      </c>
    </row>
    <row r="3917" spans="1:16">
      <c r="A3917" s="1178" t="s">
        <v>21911</v>
      </c>
      <c r="B3917" s="1371" t="str">
        <f>HYPERLINK(IFERROR("#Main_Tariff!A"&amp;MATCH(Raeburn_Main_Tariff[[#This Row],[Product Code]],Main_Tariff!I:I,0),"#Main_Tariff!A"&amp;MATCH("*"&amp;RIGHT(A3917,8)&amp;"*",Main_Tariff!A:A,0)),Raeburn_Main_Tariff[[#This Row],[PRODUCER]])</f>
        <v>Conterno-Nervi</v>
      </c>
      <c r="C3917" s="1178" t="s">
        <v>376</v>
      </c>
      <c r="D3917" s="1178" t="s">
        <v>897</v>
      </c>
      <c r="E3917" s="1179">
        <v>2018</v>
      </c>
      <c r="F3917" s="1282" t="s">
        <v>20220</v>
      </c>
      <c r="G3917" s="1368" t="s">
        <v>5258</v>
      </c>
      <c r="H3917" s="1178" t="s">
        <v>20224</v>
      </c>
      <c r="I3917" s="1178" t="s">
        <v>23319</v>
      </c>
      <c r="J3917" s="1178" t="s">
        <v>668</v>
      </c>
      <c r="K3917" s="1178" t="s">
        <v>350</v>
      </c>
      <c r="L3917" s="1178" t="s">
        <v>376</v>
      </c>
      <c r="M3917" s="1369"/>
      <c r="N3917" s="1178"/>
      <c r="O3917" s="1178">
        <v>6</v>
      </c>
      <c r="P3917" s="1178">
        <v>14.5</v>
      </c>
    </row>
    <row r="3918" spans="1:16">
      <c r="A3918" s="1178" t="s">
        <v>21911</v>
      </c>
      <c r="B3918" s="1371" t="str">
        <f>HYPERLINK(IFERROR("#Main_Tariff!A"&amp;MATCH(Raeburn_Main_Tariff[[#This Row],[Product Code]],Main_Tariff!I:I,0),"#Main_Tariff!A"&amp;MATCH("*"&amp;RIGHT(A3918,8)&amp;"*",Main_Tariff!A:A,0)),Raeburn_Main_Tariff[[#This Row],[PRODUCER]])</f>
        <v>Conterno-Nervi</v>
      </c>
      <c r="C3918" s="1178" t="s">
        <v>376</v>
      </c>
      <c r="D3918" s="1178" t="s">
        <v>897</v>
      </c>
      <c r="E3918" s="1179">
        <v>2017</v>
      </c>
      <c r="F3918" s="1282" t="s">
        <v>20220</v>
      </c>
      <c r="G3918" s="1368" t="s">
        <v>5258</v>
      </c>
      <c r="H3918" s="1178" t="s">
        <v>20224</v>
      </c>
      <c r="I3918" s="1178" t="s">
        <v>23320</v>
      </c>
      <c r="J3918" s="1178" t="s">
        <v>668</v>
      </c>
      <c r="K3918" s="1178" t="s">
        <v>350</v>
      </c>
      <c r="L3918" s="1178" t="s">
        <v>376</v>
      </c>
      <c r="M3918" s="1369"/>
      <c r="N3918" s="1178"/>
      <c r="O3918" s="1178">
        <v>6</v>
      </c>
      <c r="P3918" s="1178">
        <v>14.5</v>
      </c>
    </row>
    <row r="3919" spans="1:16">
      <c r="A3919" s="1178" t="s">
        <v>21911</v>
      </c>
      <c r="B3919" s="1371" t="str">
        <f>HYPERLINK(IFERROR("#Main_Tariff!A"&amp;MATCH(Raeburn_Main_Tariff[[#This Row],[Product Code]],Main_Tariff!I:I,0),"#Main_Tariff!A"&amp;MATCH("*"&amp;RIGHT(A3919,8)&amp;"*",Main_Tariff!A:A,0)),Raeburn_Main_Tariff[[#This Row],[PRODUCER]])</f>
        <v>Conterno-Nervi</v>
      </c>
      <c r="C3919" s="1178" t="s">
        <v>11924</v>
      </c>
      <c r="D3919" s="1178" t="s">
        <v>897</v>
      </c>
      <c r="E3919" s="1179">
        <v>2020</v>
      </c>
      <c r="F3919" s="1282" t="s">
        <v>20220</v>
      </c>
      <c r="G3919" s="1368" t="s">
        <v>5258</v>
      </c>
      <c r="H3919" s="1178" t="s">
        <v>20221</v>
      </c>
      <c r="I3919" s="1178" t="s">
        <v>23321</v>
      </c>
      <c r="J3919" s="1178" t="s">
        <v>668</v>
      </c>
      <c r="K3919" s="1178" t="s">
        <v>350</v>
      </c>
      <c r="L3919" s="1178" t="s">
        <v>376</v>
      </c>
      <c r="M3919" s="1369"/>
      <c r="N3919" s="1178"/>
      <c r="O3919" s="1178">
        <v>6</v>
      </c>
      <c r="P3919" s="1178">
        <v>14</v>
      </c>
    </row>
    <row r="3920" spans="1:16">
      <c r="A3920" s="1178" t="s">
        <v>21911</v>
      </c>
      <c r="B3920" s="1371" t="str">
        <f>HYPERLINK(IFERROR("#Main_Tariff!A"&amp;MATCH(Raeburn_Main_Tariff[[#This Row],[Product Code]],Main_Tariff!I:I,0),"#Main_Tariff!A"&amp;MATCH("*"&amp;RIGHT(A3920,8)&amp;"*",Main_Tariff!A:A,0)),Raeburn_Main_Tariff[[#This Row],[PRODUCER]])</f>
        <v>Conterno-Nervi</v>
      </c>
      <c r="C3920" s="1178" t="s">
        <v>11924</v>
      </c>
      <c r="D3920" s="1178" t="s">
        <v>897</v>
      </c>
      <c r="E3920" s="1179">
        <v>2019</v>
      </c>
      <c r="F3920" s="1282" t="s">
        <v>20220</v>
      </c>
      <c r="G3920" s="1368" t="s">
        <v>5258</v>
      </c>
      <c r="H3920" s="1178" t="s">
        <v>20221</v>
      </c>
      <c r="I3920" s="1178" t="s">
        <v>23322</v>
      </c>
      <c r="J3920" s="1178" t="s">
        <v>668</v>
      </c>
      <c r="K3920" s="1178" t="s">
        <v>350</v>
      </c>
      <c r="L3920" s="1178" t="s">
        <v>376</v>
      </c>
      <c r="M3920" s="1369"/>
      <c r="N3920" s="1178"/>
      <c r="O3920" s="1178">
        <v>6</v>
      </c>
      <c r="P3920" s="1178">
        <v>14</v>
      </c>
    </row>
    <row r="3921" spans="1:16">
      <c r="A3921" s="1178" t="s">
        <v>21911</v>
      </c>
      <c r="B3921" s="1371" t="str">
        <f>HYPERLINK(IFERROR("#Main_Tariff!A"&amp;MATCH(Raeburn_Main_Tariff[[#This Row],[Product Code]],Main_Tariff!I:I,0),"#Main_Tariff!A"&amp;MATCH("*"&amp;RIGHT(A3921,8)&amp;"*",Main_Tariff!A:A,0)),Raeburn_Main_Tariff[[#This Row],[PRODUCER]])</f>
        <v>Conterno-Nervi</v>
      </c>
      <c r="C3921" s="1178" t="s">
        <v>11924</v>
      </c>
      <c r="D3921" s="1178" t="s">
        <v>897</v>
      </c>
      <c r="E3921" s="1179">
        <v>2018</v>
      </c>
      <c r="F3921" s="1282" t="s">
        <v>20220</v>
      </c>
      <c r="G3921" s="1368" t="s">
        <v>5258</v>
      </c>
      <c r="H3921" s="1178" t="s">
        <v>20221</v>
      </c>
      <c r="I3921" s="1178" t="s">
        <v>23323</v>
      </c>
      <c r="J3921" s="1178" t="s">
        <v>668</v>
      </c>
      <c r="K3921" s="1178" t="s">
        <v>350</v>
      </c>
      <c r="L3921" s="1178" t="s">
        <v>376</v>
      </c>
      <c r="M3921" s="1369"/>
      <c r="N3921" s="1178"/>
      <c r="O3921" s="1178">
        <v>6</v>
      </c>
      <c r="P3921" s="1178">
        <v>14.5</v>
      </c>
    </row>
    <row r="3922" spans="1:16">
      <c r="A3922" s="1178" t="s">
        <v>21911</v>
      </c>
      <c r="B3922" s="1371" t="str">
        <f>HYPERLINK(IFERROR("#Main_Tariff!A"&amp;MATCH(Raeburn_Main_Tariff[[#This Row],[Product Code]],Main_Tariff!I:I,0),"#Main_Tariff!A"&amp;MATCH("*"&amp;RIGHT(A3922,8)&amp;"*",Main_Tariff!A:A,0)),Raeburn_Main_Tariff[[#This Row],[PRODUCER]])</f>
        <v>Conterno-Nervi</v>
      </c>
      <c r="C3922" s="1178" t="s">
        <v>11926</v>
      </c>
      <c r="D3922" s="1178" t="s">
        <v>897</v>
      </c>
      <c r="E3922" s="1179">
        <v>2020</v>
      </c>
      <c r="F3922" s="1282" t="s">
        <v>20220</v>
      </c>
      <c r="G3922" s="1368" t="s">
        <v>5258</v>
      </c>
      <c r="H3922" s="1178" t="s">
        <v>20221</v>
      </c>
      <c r="I3922" s="1178" t="s">
        <v>23324</v>
      </c>
      <c r="J3922" s="1178" t="s">
        <v>668</v>
      </c>
      <c r="K3922" s="1178" t="s">
        <v>350</v>
      </c>
      <c r="L3922" s="1178" t="s">
        <v>376</v>
      </c>
      <c r="M3922" s="1369"/>
      <c r="N3922" s="1178"/>
      <c r="O3922" s="1178">
        <v>6</v>
      </c>
      <c r="P3922" s="1178">
        <v>14</v>
      </c>
    </row>
    <row r="3923" spans="1:16">
      <c r="A3923" s="1178" t="s">
        <v>21911</v>
      </c>
      <c r="B3923" s="1371" t="str">
        <f>HYPERLINK(IFERROR("#Main_Tariff!A"&amp;MATCH(Raeburn_Main_Tariff[[#This Row],[Product Code]],Main_Tariff!I:I,0),"#Main_Tariff!A"&amp;MATCH("*"&amp;RIGHT(A3923,8)&amp;"*",Main_Tariff!A:A,0)),Raeburn_Main_Tariff[[#This Row],[PRODUCER]])</f>
        <v>Conterno-Nervi</v>
      </c>
      <c r="C3923" s="1178" t="s">
        <v>11926</v>
      </c>
      <c r="D3923" s="1178" t="s">
        <v>897</v>
      </c>
      <c r="E3923" s="1179">
        <v>2019</v>
      </c>
      <c r="F3923" s="1282" t="s">
        <v>20220</v>
      </c>
      <c r="G3923" s="1368" t="s">
        <v>5258</v>
      </c>
      <c r="H3923" s="1178" t="s">
        <v>20224</v>
      </c>
      <c r="I3923" s="1178" t="s">
        <v>23325</v>
      </c>
      <c r="J3923" s="1178" t="s">
        <v>668</v>
      </c>
      <c r="K3923" s="1178" t="s">
        <v>350</v>
      </c>
      <c r="L3923" s="1178" t="s">
        <v>376</v>
      </c>
      <c r="M3923" s="1369"/>
      <c r="N3923" s="1178"/>
      <c r="O3923" s="1178">
        <v>6</v>
      </c>
      <c r="P3923" s="1178">
        <v>14.5</v>
      </c>
    </row>
    <row r="3924" spans="1:16">
      <c r="A3924" s="1178" t="s">
        <v>21911</v>
      </c>
      <c r="B3924" s="1371" t="str">
        <f>HYPERLINK(IFERROR("#Main_Tariff!A"&amp;MATCH(Raeburn_Main_Tariff[[#This Row],[Product Code]],Main_Tariff!I:I,0),"#Main_Tariff!A"&amp;MATCH("*"&amp;RIGHT(A3924,8)&amp;"*",Main_Tariff!A:A,0)),Raeburn_Main_Tariff[[#This Row],[PRODUCER]])</f>
        <v>Conterno-Nervi</v>
      </c>
      <c r="C3924" s="1178" t="s">
        <v>11926</v>
      </c>
      <c r="D3924" s="1178" t="s">
        <v>897</v>
      </c>
      <c r="E3924" s="1179">
        <v>2018</v>
      </c>
      <c r="F3924" s="1282" t="s">
        <v>20220</v>
      </c>
      <c r="G3924" s="1368" t="s">
        <v>5258</v>
      </c>
      <c r="H3924" s="1178" t="s">
        <v>20224</v>
      </c>
      <c r="I3924" s="1178" t="s">
        <v>23326</v>
      </c>
      <c r="J3924" s="1178" t="s">
        <v>668</v>
      </c>
      <c r="K3924" s="1178" t="s">
        <v>350</v>
      </c>
      <c r="L3924" s="1178" t="s">
        <v>376</v>
      </c>
      <c r="M3924" s="1369"/>
      <c r="N3924" s="1178"/>
      <c r="O3924" s="1178">
        <v>6</v>
      </c>
      <c r="P3924" s="1178">
        <v>14.5</v>
      </c>
    </row>
    <row r="3925" spans="1:16">
      <c r="A3925" s="1178" t="s">
        <v>21911</v>
      </c>
      <c r="B3925" s="1371" t="str">
        <f>HYPERLINK(IFERROR("#Main_Tariff!A"&amp;MATCH(Raeburn_Main_Tariff[[#This Row],[Product Code]],Main_Tariff!I:I,0),"#Main_Tariff!A"&amp;MATCH("*"&amp;RIGHT(A3925,8)&amp;"*",Main_Tariff!A:A,0)),Raeburn_Main_Tariff[[#This Row],[PRODUCER]])</f>
        <v>Conterno-Nervi</v>
      </c>
      <c r="C3925" s="1178" t="s">
        <v>11926</v>
      </c>
      <c r="D3925" s="1178" t="s">
        <v>897</v>
      </c>
      <c r="E3925" s="1179">
        <v>2016</v>
      </c>
      <c r="F3925" s="1282" t="s">
        <v>20220</v>
      </c>
      <c r="G3925" s="1368" t="s">
        <v>5258</v>
      </c>
      <c r="H3925" s="1178" t="s">
        <v>20277</v>
      </c>
      <c r="I3925" s="1178" t="s">
        <v>23327</v>
      </c>
      <c r="J3925" s="1178" t="s">
        <v>668</v>
      </c>
      <c r="K3925" s="1178" t="s">
        <v>350</v>
      </c>
      <c r="L3925" s="1178" t="s">
        <v>376</v>
      </c>
      <c r="M3925" s="1369"/>
      <c r="N3925" s="1178"/>
      <c r="O3925" s="1178">
        <v>6</v>
      </c>
      <c r="P3925" s="1178">
        <v>14</v>
      </c>
    </row>
    <row r="3926" spans="1:16">
      <c r="A3926" s="1178" t="s">
        <v>21911</v>
      </c>
      <c r="B3926" s="1371" t="str">
        <f>HYPERLINK(IFERROR("#Main_Tariff!A"&amp;MATCH(Raeburn_Main_Tariff[[#This Row],[Product Code]],Main_Tariff!I:I,0),"#Main_Tariff!A"&amp;MATCH("*"&amp;RIGHT(A3926,8)&amp;"*",Main_Tariff!A:A,0)),Raeburn_Main_Tariff[[#This Row],[PRODUCER]])</f>
        <v>Conterno-Nervi</v>
      </c>
      <c r="C3926" s="1178" t="s">
        <v>11926</v>
      </c>
      <c r="D3926" s="1178" t="s">
        <v>897</v>
      </c>
      <c r="E3926" s="1179">
        <v>2013</v>
      </c>
      <c r="F3926" s="1282" t="s">
        <v>20220</v>
      </c>
      <c r="G3926" s="1368" t="s">
        <v>5258</v>
      </c>
      <c r="H3926" s="1178" t="s">
        <v>20221</v>
      </c>
      <c r="I3926" s="1178" t="s">
        <v>23328</v>
      </c>
      <c r="J3926" s="1178" t="s">
        <v>668</v>
      </c>
      <c r="K3926" s="1178" t="s">
        <v>350</v>
      </c>
      <c r="L3926" s="1178" t="s">
        <v>376</v>
      </c>
      <c r="M3926" s="1369"/>
      <c r="N3926" s="1178"/>
      <c r="O3926" s="1178">
        <v>6</v>
      </c>
      <c r="P3926" s="1178">
        <v>13.5</v>
      </c>
    </row>
    <row r="3927" spans="1:16">
      <c r="A3927" s="1178" t="s">
        <v>21911</v>
      </c>
      <c r="B3927" s="1371" t="str">
        <f>HYPERLINK(IFERROR("#Main_Tariff!A"&amp;MATCH(Raeburn_Main_Tariff[[#This Row],[Product Code]],Main_Tariff!I:I,0),"#Main_Tariff!A"&amp;MATCH("*"&amp;RIGHT(A3927,8)&amp;"*",Main_Tariff!A:A,0)),Raeburn_Main_Tariff[[#This Row],[PRODUCER]])</f>
        <v>Conterno-Nervi</v>
      </c>
      <c r="C3927" s="1178" t="s">
        <v>11926</v>
      </c>
      <c r="D3927" s="1178" t="s">
        <v>897</v>
      </c>
      <c r="E3927" s="1179">
        <v>2014</v>
      </c>
      <c r="F3927" s="1282" t="s">
        <v>20220</v>
      </c>
      <c r="G3927" s="1368" t="s">
        <v>5258</v>
      </c>
      <c r="H3927" s="1178" t="s">
        <v>20224</v>
      </c>
      <c r="I3927" s="1178" t="s">
        <v>23329</v>
      </c>
      <c r="J3927" s="1178" t="s">
        <v>668</v>
      </c>
      <c r="K3927" s="1178" t="s">
        <v>350</v>
      </c>
      <c r="L3927" s="1178" t="s">
        <v>376</v>
      </c>
      <c r="M3927" s="1369"/>
      <c r="N3927" s="1178"/>
      <c r="O3927" s="1178">
        <v>6</v>
      </c>
      <c r="P3927" s="1178">
        <v>13.5</v>
      </c>
    </row>
    <row r="3928" spans="1:16">
      <c r="A3928" s="1178" t="s">
        <v>21911</v>
      </c>
      <c r="B3928" s="1371" t="str">
        <f>HYPERLINK(IFERROR("#Main_Tariff!A"&amp;MATCH(Raeburn_Main_Tariff[[#This Row],[Product Code]],Main_Tariff!I:I,0),"#Main_Tariff!A"&amp;MATCH("*"&amp;RIGHT(A3928,8)&amp;"*",Main_Tariff!A:A,0)),Raeburn_Main_Tariff[[#This Row],[PRODUCER]])</f>
        <v>Conterno-Nervi</v>
      </c>
      <c r="C3928" s="1178" t="s">
        <v>11930</v>
      </c>
      <c r="D3928" s="1178" t="s">
        <v>897</v>
      </c>
      <c r="E3928" s="1179">
        <v>2020</v>
      </c>
      <c r="F3928" s="1282" t="s">
        <v>20240</v>
      </c>
      <c r="G3928" s="1368" t="s">
        <v>5258</v>
      </c>
      <c r="H3928" s="1178" t="s">
        <v>20224</v>
      </c>
      <c r="I3928" s="1178" t="s">
        <v>23330</v>
      </c>
      <c r="J3928" s="1178" t="s">
        <v>668</v>
      </c>
      <c r="K3928" s="1178" t="s">
        <v>350</v>
      </c>
      <c r="L3928" s="1178" t="s">
        <v>376</v>
      </c>
      <c r="M3928" s="1369"/>
      <c r="N3928" s="1178"/>
      <c r="O3928" s="1178">
        <v>6</v>
      </c>
      <c r="P3928" s="1178">
        <v>14</v>
      </c>
    </row>
    <row r="3929" spans="1:16">
      <c r="A3929" s="1178" t="s">
        <v>21911</v>
      </c>
      <c r="B3929" s="1371" t="str">
        <f>HYPERLINK(IFERROR("#Main_Tariff!A"&amp;MATCH(Raeburn_Main_Tariff[[#This Row],[Product Code]],Main_Tariff!I:I,0),"#Main_Tariff!A"&amp;MATCH("*"&amp;RIGHT(A3929,8)&amp;"*",Main_Tariff!A:A,0)),Raeburn_Main_Tariff[[#This Row],[PRODUCER]])</f>
        <v>Conterno-Nervi</v>
      </c>
      <c r="C3929" s="1178" t="s">
        <v>11930</v>
      </c>
      <c r="D3929" s="1178" t="s">
        <v>897</v>
      </c>
      <c r="E3929" s="1179">
        <v>2019</v>
      </c>
      <c r="F3929" s="1282" t="s">
        <v>20240</v>
      </c>
      <c r="G3929" s="1368" t="s">
        <v>5258</v>
      </c>
      <c r="H3929" s="1178" t="s">
        <v>20224</v>
      </c>
      <c r="I3929" s="1178" t="s">
        <v>23331</v>
      </c>
      <c r="J3929" s="1178" t="s">
        <v>668</v>
      </c>
      <c r="K3929" s="1178" t="s">
        <v>350</v>
      </c>
      <c r="L3929" s="1178" t="s">
        <v>376</v>
      </c>
      <c r="M3929" s="1369"/>
      <c r="N3929" s="1178"/>
      <c r="O3929" s="1178">
        <v>6</v>
      </c>
      <c r="P3929" s="1178">
        <v>14</v>
      </c>
    </row>
    <row r="3930" spans="1:16">
      <c r="A3930" s="1178" t="s">
        <v>21911</v>
      </c>
      <c r="B3930" s="1371" t="str">
        <f>HYPERLINK(IFERROR("#Main_Tariff!A"&amp;MATCH(Raeburn_Main_Tariff[[#This Row],[Product Code]],Main_Tariff!I:I,0),"#Main_Tariff!A"&amp;MATCH("*"&amp;RIGHT(A3930,8)&amp;"*",Main_Tariff!A:A,0)),Raeburn_Main_Tariff[[#This Row],[PRODUCER]])</f>
        <v>Conterno-Nervi</v>
      </c>
      <c r="C3930" s="1178" t="s">
        <v>11930</v>
      </c>
      <c r="D3930" s="1178" t="s">
        <v>897</v>
      </c>
      <c r="E3930" s="1179">
        <v>2017</v>
      </c>
      <c r="F3930" s="1282" t="s">
        <v>20240</v>
      </c>
      <c r="G3930" s="1368" t="s">
        <v>5258</v>
      </c>
      <c r="H3930" s="1178" t="s">
        <v>20221</v>
      </c>
      <c r="I3930" s="1178" t="s">
        <v>23332</v>
      </c>
      <c r="J3930" s="1178" t="s">
        <v>668</v>
      </c>
      <c r="K3930" s="1178" t="s">
        <v>350</v>
      </c>
      <c r="L3930" s="1178" t="s">
        <v>376</v>
      </c>
      <c r="M3930" s="1369"/>
      <c r="N3930" s="1178"/>
      <c r="O3930" s="1178">
        <v>6</v>
      </c>
      <c r="P3930" s="1178">
        <v>14.5</v>
      </c>
    </row>
    <row r="3931" spans="1:16">
      <c r="A3931" s="1178" t="s">
        <v>21911</v>
      </c>
      <c r="B3931" s="1371" t="str">
        <f>HYPERLINK(IFERROR("#Main_Tariff!A"&amp;MATCH(Raeburn_Main_Tariff[[#This Row],[Product Code]],Main_Tariff!I:I,0),"#Main_Tariff!A"&amp;MATCH("*"&amp;RIGHT(A3931,8)&amp;"*",Main_Tariff!A:A,0)),Raeburn_Main_Tariff[[#This Row],[PRODUCER]])</f>
        <v>Conterno-Nervi</v>
      </c>
      <c r="C3931" s="1178" t="s">
        <v>11930</v>
      </c>
      <c r="D3931" s="1178" t="s">
        <v>897</v>
      </c>
      <c r="E3931" s="1179">
        <v>2016</v>
      </c>
      <c r="F3931" s="1282" t="s">
        <v>20240</v>
      </c>
      <c r="G3931" s="1368" t="s">
        <v>5258</v>
      </c>
      <c r="H3931" s="1178" t="s">
        <v>20221</v>
      </c>
      <c r="I3931" s="1178" t="s">
        <v>23333</v>
      </c>
      <c r="J3931" s="1178" t="s">
        <v>668</v>
      </c>
      <c r="K3931" s="1178" t="s">
        <v>350</v>
      </c>
      <c r="L3931" s="1178" t="s">
        <v>376</v>
      </c>
      <c r="M3931" s="1369"/>
      <c r="N3931" s="1178"/>
      <c r="O3931" s="1178">
        <v>6</v>
      </c>
      <c r="P3931" s="1178">
        <v>14</v>
      </c>
    </row>
    <row r="3932" spans="1:16">
      <c r="A3932" s="1178" t="s">
        <v>21911</v>
      </c>
      <c r="B3932" s="1371" t="str">
        <f>HYPERLINK(IFERROR("#Main_Tariff!A"&amp;MATCH(Raeburn_Main_Tariff[[#This Row],[Product Code]],Main_Tariff!I:I,0),"#Main_Tariff!A"&amp;MATCH("*"&amp;RIGHT(A3932,8)&amp;"*",Main_Tariff!A:A,0)),Raeburn_Main_Tariff[[#This Row],[PRODUCER]])</f>
        <v>Conterno-Nervi</v>
      </c>
      <c r="C3932" s="1178" t="s">
        <v>11932</v>
      </c>
      <c r="D3932" s="1178" t="s">
        <v>897</v>
      </c>
      <c r="E3932" s="1179">
        <v>2020</v>
      </c>
      <c r="F3932" s="1282" t="s">
        <v>20240</v>
      </c>
      <c r="G3932" s="1368" t="s">
        <v>5258</v>
      </c>
      <c r="H3932" s="1178" t="s">
        <v>20224</v>
      </c>
      <c r="I3932" s="1178" t="s">
        <v>23334</v>
      </c>
      <c r="J3932" s="1178" t="s">
        <v>668</v>
      </c>
      <c r="K3932" s="1178" t="s">
        <v>350</v>
      </c>
      <c r="L3932" s="1178" t="s">
        <v>376</v>
      </c>
      <c r="M3932" s="1369"/>
      <c r="N3932" s="1178"/>
      <c r="O3932" s="1178">
        <v>6</v>
      </c>
      <c r="P3932" s="1178">
        <v>14</v>
      </c>
    </row>
    <row r="3933" spans="1:16">
      <c r="A3933" s="1178" t="s">
        <v>21911</v>
      </c>
      <c r="B3933" s="1371" t="str">
        <f>HYPERLINK(IFERROR("#Main_Tariff!A"&amp;MATCH(Raeburn_Main_Tariff[[#This Row],[Product Code]],Main_Tariff!I:I,0),"#Main_Tariff!A"&amp;MATCH("*"&amp;RIGHT(A3933,8)&amp;"*",Main_Tariff!A:A,0)),Raeburn_Main_Tariff[[#This Row],[PRODUCER]])</f>
        <v>Conterno-Nervi</v>
      </c>
      <c r="C3933" s="1178" t="s">
        <v>11932</v>
      </c>
      <c r="D3933" s="1178" t="s">
        <v>897</v>
      </c>
      <c r="E3933" s="1179">
        <v>2019</v>
      </c>
      <c r="F3933" s="1282" t="s">
        <v>20240</v>
      </c>
      <c r="G3933" s="1368" t="s">
        <v>5258</v>
      </c>
      <c r="H3933" s="1178" t="s">
        <v>20224</v>
      </c>
      <c r="I3933" s="1178" t="s">
        <v>23335</v>
      </c>
      <c r="J3933" s="1178" t="s">
        <v>668</v>
      </c>
      <c r="K3933" s="1178" t="s">
        <v>350</v>
      </c>
      <c r="L3933" s="1178" t="s">
        <v>376</v>
      </c>
      <c r="M3933" s="1369"/>
      <c r="N3933" s="1178"/>
      <c r="O3933" s="1178">
        <v>6</v>
      </c>
      <c r="P3933" s="1178">
        <v>14</v>
      </c>
    </row>
    <row r="3934" spans="1:16">
      <c r="A3934" s="1178" t="s">
        <v>21911</v>
      </c>
      <c r="B3934" s="1371" t="str">
        <f>HYPERLINK(IFERROR("#Main_Tariff!A"&amp;MATCH(Raeburn_Main_Tariff[[#This Row],[Product Code]],Main_Tariff!I:I,0),"#Main_Tariff!A"&amp;MATCH("*"&amp;RIGHT(A3934,8)&amp;"*",Main_Tariff!A:A,0)),Raeburn_Main_Tariff[[#This Row],[PRODUCER]])</f>
        <v>Conterno-Nervi</v>
      </c>
      <c r="C3934" s="1178" t="s">
        <v>11934</v>
      </c>
      <c r="D3934" s="1178" t="s">
        <v>897</v>
      </c>
      <c r="E3934" s="1179">
        <v>2020</v>
      </c>
      <c r="F3934" s="1282" t="s">
        <v>20240</v>
      </c>
      <c r="G3934" s="1368" t="s">
        <v>5258</v>
      </c>
      <c r="H3934" s="1178" t="s">
        <v>20224</v>
      </c>
      <c r="I3934" s="1178" t="s">
        <v>23336</v>
      </c>
      <c r="J3934" s="1178" t="s">
        <v>668</v>
      </c>
      <c r="K3934" s="1178" t="s">
        <v>350</v>
      </c>
      <c r="L3934" s="1178" t="s">
        <v>376</v>
      </c>
      <c r="M3934" s="1369"/>
      <c r="N3934" s="1178"/>
      <c r="O3934" s="1178">
        <v>6</v>
      </c>
      <c r="P3934" s="1178">
        <v>14</v>
      </c>
    </row>
    <row r="3935" spans="1:16">
      <c r="A3935" s="1178" t="s">
        <v>21911</v>
      </c>
      <c r="B3935" s="1371" t="str">
        <f>HYPERLINK(IFERROR("#Main_Tariff!A"&amp;MATCH(Raeburn_Main_Tariff[[#This Row],[Product Code]],Main_Tariff!I:I,0),"#Main_Tariff!A"&amp;MATCH("*"&amp;RIGHT(A3935,8)&amp;"*",Main_Tariff!A:A,0)),Raeburn_Main_Tariff[[#This Row],[PRODUCER]])</f>
        <v>Conterno-Nervi</v>
      </c>
      <c r="C3935" s="1178" t="s">
        <v>11934</v>
      </c>
      <c r="D3935" s="1178" t="s">
        <v>897</v>
      </c>
      <c r="E3935" s="1179">
        <v>2019</v>
      </c>
      <c r="F3935" s="1282" t="s">
        <v>20240</v>
      </c>
      <c r="G3935" s="1368" t="s">
        <v>5258</v>
      </c>
      <c r="H3935" s="1178" t="s">
        <v>20224</v>
      </c>
      <c r="I3935" s="1178" t="s">
        <v>23337</v>
      </c>
      <c r="J3935" s="1178" t="s">
        <v>668</v>
      </c>
      <c r="K3935" s="1178" t="s">
        <v>350</v>
      </c>
      <c r="L3935" s="1178" t="s">
        <v>376</v>
      </c>
      <c r="M3935" s="1369"/>
      <c r="N3935" s="1178"/>
      <c r="O3935" s="1178">
        <v>6</v>
      </c>
      <c r="P3935" s="1178">
        <v>14.5</v>
      </c>
    </row>
    <row r="3936" spans="1:16">
      <c r="A3936" s="1178" t="s">
        <v>21911</v>
      </c>
      <c r="B3936" s="1371" t="str">
        <f>HYPERLINK(IFERROR("#Main_Tariff!A"&amp;MATCH(Raeburn_Main_Tariff[[#This Row],[Product Code]],Main_Tariff!I:I,0),"#Main_Tariff!A"&amp;MATCH("*"&amp;RIGHT(A3936,8)&amp;"*",Main_Tariff!A:A,0)),Raeburn_Main_Tariff[[#This Row],[PRODUCER]])</f>
        <v>Conterno-Nervi</v>
      </c>
      <c r="C3936" s="1178" t="s">
        <v>11934</v>
      </c>
      <c r="D3936" s="1178" t="s">
        <v>897</v>
      </c>
      <c r="E3936" s="1179">
        <v>2018</v>
      </c>
      <c r="F3936" s="1282" t="s">
        <v>20240</v>
      </c>
      <c r="G3936" s="1368" t="s">
        <v>5258</v>
      </c>
      <c r="H3936" s="1178" t="s">
        <v>20224</v>
      </c>
      <c r="I3936" s="1178" t="s">
        <v>23338</v>
      </c>
      <c r="J3936" s="1178" t="s">
        <v>668</v>
      </c>
      <c r="K3936" s="1178" t="s">
        <v>350</v>
      </c>
      <c r="L3936" s="1178" t="s">
        <v>376</v>
      </c>
      <c r="M3936" s="1369"/>
      <c r="N3936" s="1178"/>
      <c r="O3936" s="1178">
        <v>6</v>
      </c>
      <c r="P3936" s="1178">
        <v>14.5</v>
      </c>
    </row>
    <row r="3937" spans="1:16">
      <c r="A3937" s="1178" t="s">
        <v>21911</v>
      </c>
      <c r="B3937" s="1371" t="str">
        <f>HYPERLINK(IFERROR("#Main_Tariff!A"&amp;MATCH(Raeburn_Main_Tariff[[#This Row],[Product Code]],Main_Tariff!I:I,0),"#Main_Tariff!A"&amp;MATCH("*"&amp;RIGHT(A3937,8)&amp;"*",Main_Tariff!A:A,0)),Raeburn_Main_Tariff[[#This Row],[PRODUCER]])</f>
        <v>Conterno-Nervi</v>
      </c>
      <c r="C3937" s="1178" t="s">
        <v>21913</v>
      </c>
      <c r="D3937" s="1178" t="s">
        <v>897</v>
      </c>
      <c r="E3937" s="1179">
        <v>2019</v>
      </c>
      <c r="F3937" s="1282" t="s">
        <v>20288</v>
      </c>
      <c r="G3937" s="1368" t="s">
        <v>5258</v>
      </c>
      <c r="H3937" s="1178" t="s">
        <v>20224</v>
      </c>
      <c r="I3937" s="1178" t="s">
        <v>23339</v>
      </c>
      <c r="J3937" s="1178" t="s">
        <v>668</v>
      </c>
      <c r="K3937" s="1178" t="s">
        <v>350</v>
      </c>
      <c r="L3937" s="1178" t="s">
        <v>376</v>
      </c>
      <c r="M3937" s="1369"/>
      <c r="N3937" s="1178"/>
      <c r="O3937" s="1178">
        <v>1</v>
      </c>
      <c r="P3937" s="1178">
        <v>14</v>
      </c>
    </row>
    <row r="3938" spans="1:16">
      <c r="A3938" s="1178" t="s">
        <v>21911</v>
      </c>
      <c r="B3938" s="1371" t="str">
        <f>HYPERLINK(IFERROR("#Main_Tariff!A"&amp;MATCH(Raeburn_Main_Tariff[[#This Row],[Product Code]],Main_Tariff!I:I,0),"#Main_Tariff!A"&amp;MATCH("*"&amp;RIGHT(A3938,8)&amp;"*",Main_Tariff!A:A,0)),Raeburn_Main_Tariff[[#This Row],[PRODUCER]])</f>
        <v>Conterno-Nervi</v>
      </c>
      <c r="C3938" s="1178" t="s">
        <v>21914</v>
      </c>
      <c r="D3938" s="1178" t="s">
        <v>897</v>
      </c>
      <c r="E3938" s="1179">
        <v>2016</v>
      </c>
      <c r="F3938" s="1282" t="s">
        <v>20288</v>
      </c>
      <c r="G3938" s="1368" t="s">
        <v>5258</v>
      </c>
      <c r="H3938" s="1178" t="s">
        <v>20224</v>
      </c>
      <c r="I3938" s="1178" t="s">
        <v>23340</v>
      </c>
      <c r="J3938" s="1178" t="s">
        <v>668</v>
      </c>
      <c r="K3938" s="1178" t="s">
        <v>350</v>
      </c>
      <c r="L3938" s="1178" t="s">
        <v>376</v>
      </c>
      <c r="M3938" s="1369"/>
      <c r="N3938" s="1178"/>
      <c r="O3938" s="1178">
        <v>1</v>
      </c>
      <c r="P3938" s="1178">
        <v>13</v>
      </c>
    </row>
    <row r="3939" spans="1:16">
      <c r="A3939" s="1178" t="s">
        <v>21911</v>
      </c>
      <c r="B3939" s="1371" t="str">
        <f>HYPERLINK(IFERROR("#Main_Tariff!A"&amp;MATCH(Raeburn_Main_Tariff[[#This Row],[Product Code]],Main_Tariff!I:I,0),"#Main_Tariff!A"&amp;MATCH("*"&amp;RIGHT(A3939,8)&amp;"*",Main_Tariff!A:A,0)),Raeburn_Main_Tariff[[#This Row],[PRODUCER]])</f>
        <v>Conterno-Nervi</v>
      </c>
      <c r="C3939" s="1178" t="s">
        <v>21915</v>
      </c>
      <c r="D3939" s="1178" t="s">
        <v>897</v>
      </c>
      <c r="E3939" s="1179">
        <v>2016</v>
      </c>
      <c r="F3939" s="1282" t="s">
        <v>20288</v>
      </c>
      <c r="G3939" s="1368"/>
      <c r="H3939" s="1178" t="s">
        <v>3907</v>
      </c>
      <c r="I3939" s="1178" t="s">
        <v>23341</v>
      </c>
      <c r="J3939" s="1178" t="s">
        <v>668</v>
      </c>
      <c r="K3939" s="1178" t="s">
        <v>350</v>
      </c>
      <c r="L3939" s="1178" t="s">
        <v>376</v>
      </c>
      <c r="M3939" s="1369"/>
      <c r="N3939" s="1178"/>
      <c r="O3939" s="1178">
        <v>6</v>
      </c>
      <c r="P3939" s="1178">
        <v>14</v>
      </c>
    </row>
    <row r="3940" spans="1:16">
      <c r="A3940" s="1178" t="s">
        <v>378</v>
      </c>
      <c r="B3940" s="1371" t="str">
        <f>HYPERLINK(IFERROR("#Main_Tariff!A"&amp;MATCH(Raeburn_Main_Tariff[[#This Row],[Product Code]],Main_Tariff!I:I,0),"#Main_Tariff!A"&amp;MATCH("*"&amp;RIGHT(A3940,8)&amp;"*",Main_Tariff!A:A,0)),Raeburn_Main_Tariff[[#This Row],[PRODUCER]])</f>
        <v>Marco Petterino</v>
      </c>
      <c r="C3940" s="1178" t="s">
        <v>21916</v>
      </c>
      <c r="D3940" s="1178" t="s">
        <v>897</v>
      </c>
      <c r="E3940" s="1179">
        <v>2017</v>
      </c>
      <c r="F3940" s="1282" t="s">
        <v>20220</v>
      </c>
      <c r="G3940" s="1368">
        <v>36</v>
      </c>
      <c r="H3940" s="1178" t="s">
        <v>20221</v>
      </c>
      <c r="I3940" s="1178" t="s">
        <v>11973</v>
      </c>
      <c r="J3940" s="1178" t="s">
        <v>668</v>
      </c>
      <c r="K3940" s="1178" t="s">
        <v>350</v>
      </c>
      <c r="L3940" s="1178" t="s">
        <v>376</v>
      </c>
      <c r="M3940" s="1369"/>
      <c r="N3940" s="1178"/>
      <c r="O3940" s="1178">
        <v>6</v>
      </c>
      <c r="P3940" s="1178">
        <v>13.5</v>
      </c>
    </row>
    <row r="3941" spans="1:16">
      <c r="A3941" s="1178" t="s">
        <v>378</v>
      </c>
      <c r="B3941" s="1371" t="str">
        <f>HYPERLINK(IFERROR("#Main_Tariff!A"&amp;MATCH(Raeburn_Main_Tariff[[#This Row],[Product Code]],Main_Tariff!I:I,0),"#Main_Tariff!A"&amp;MATCH("*"&amp;RIGHT(A3941,8)&amp;"*",Main_Tariff!A:A,0)),Raeburn_Main_Tariff[[#This Row],[PRODUCER]])</f>
        <v>Marco Petterino</v>
      </c>
      <c r="C3941" s="1178" t="s">
        <v>21916</v>
      </c>
      <c r="D3941" s="1178" t="s">
        <v>897</v>
      </c>
      <c r="E3941" s="1179">
        <v>2016</v>
      </c>
      <c r="F3941" s="1282" t="s">
        <v>20220</v>
      </c>
      <c r="G3941" s="1368">
        <v>34</v>
      </c>
      <c r="H3941" s="1178" t="s">
        <v>20221</v>
      </c>
      <c r="I3941" s="1178" t="s">
        <v>11975</v>
      </c>
      <c r="J3941" s="1178" t="s">
        <v>668</v>
      </c>
      <c r="K3941" s="1178" t="s">
        <v>350</v>
      </c>
      <c r="L3941" s="1178" t="s">
        <v>376</v>
      </c>
      <c r="M3941" s="1369"/>
      <c r="N3941" s="1178"/>
      <c r="O3941" s="1178">
        <v>6</v>
      </c>
      <c r="P3941" s="1178">
        <v>14</v>
      </c>
    </row>
    <row r="3942" spans="1:16">
      <c r="A3942" s="1178" t="s">
        <v>378</v>
      </c>
      <c r="B3942" s="1371" t="str">
        <f>HYPERLINK(IFERROR("#Main_Tariff!A"&amp;MATCH(Raeburn_Main_Tariff[[#This Row],[Product Code]],Main_Tariff!I:I,0),"#Main_Tariff!A"&amp;MATCH("*"&amp;RIGHT(A3942,8)&amp;"*",Main_Tariff!A:A,0)),Raeburn_Main_Tariff[[#This Row],[PRODUCER]])</f>
        <v>Marco Petterino</v>
      </c>
      <c r="C3942" s="1178" t="s">
        <v>21916</v>
      </c>
      <c r="D3942" s="1178" t="s">
        <v>897</v>
      </c>
      <c r="E3942" s="1179">
        <v>2015</v>
      </c>
      <c r="F3942" s="1282" t="s">
        <v>20220</v>
      </c>
      <c r="G3942" s="1368">
        <v>32.5</v>
      </c>
      <c r="H3942" s="1178" t="s">
        <v>20221</v>
      </c>
      <c r="I3942" s="1178" t="s">
        <v>11977</v>
      </c>
      <c r="J3942" s="1178" t="s">
        <v>668</v>
      </c>
      <c r="K3942" s="1178" t="s">
        <v>350</v>
      </c>
      <c r="L3942" s="1178" t="s">
        <v>376</v>
      </c>
      <c r="M3942" s="1369"/>
      <c r="N3942" s="1178"/>
      <c r="O3942" s="1178">
        <v>6</v>
      </c>
      <c r="P3942" s="1178">
        <v>13.5</v>
      </c>
    </row>
    <row r="3943" spans="1:16">
      <c r="A3943" s="1178" t="s">
        <v>378</v>
      </c>
      <c r="B3943" s="1371" t="str">
        <f>HYPERLINK(IFERROR("#Main_Tariff!A"&amp;MATCH(Raeburn_Main_Tariff[[#This Row],[Product Code]],Main_Tariff!I:I,0),"#Main_Tariff!A"&amp;MATCH("*"&amp;RIGHT(A3943,8)&amp;"*",Main_Tariff!A:A,0)),Raeburn_Main_Tariff[[#This Row],[PRODUCER]])</f>
        <v>Marco Petterino</v>
      </c>
      <c r="C3943" s="1178" t="s">
        <v>376</v>
      </c>
      <c r="D3943" s="1178" t="s">
        <v>897</v>
      </c>
      <c r="E3943" s="1179">
        <v>2014</v>
      </c>
      <c r="F3943" s="1282" t="s">
        <v>20220</v>
      </c>
      <c r="G3943" s="1368">
        <v>29</v>
      </c>
      <c r="H3943" s="1178" t="s">
        <v>20277</v>
      </c>
      <c r="I3943" s="1178" t="s">
        <v>11979</v>
      </c>
      <c r="J3943" s="1178" t="s">
        <v>668</v>
      </c>
      <c r="K3943" s="1178" t="s">
        <v>350</v>
      </c>
      <c r="L3943" s="1178" t="s">
        <v>376</v>
      </c>
      <c r="M3943" s="1369"/>
      <c r="N3943" s="1178"/>
      <c r="O3943" s="1178">
        <v>6</v>
      </c>
      <c r="P3943" s="1178">
        <v>13</v>
      </c>
    </row>
    <row r="3944" spans="1:16">
      <c r="A3944" s="1178" t="s">
        <v>378</v>
      </c>
      <c r="B3944" s="1371" t="str">
        <f>HYPERLINK(IFERROR("#Main_Tariff!A"&amp;MATCH(Raeburn_Main_Tariff[[#This Row],[Product Code]],Main_Tariff!I:I,0),"#Main_Tariff!A"&amp;MATCH("*"&amp;RIGHT(A3944,8)&amp;"*",Main_Tariff!A:A,0)),Raeburn_Main_Tariff[[#This Row],[PRODUCER]])</f>
        <v>Marco Petterino</v>
      </c>
      <c r="C3944" s="1178" t="s">
        <v>21917</v>
      </c>
      <c r="D3944" s="1178" t="s">
        <v>897</v>
      </c>
      <c r="E3944" s="1179">
        <v>2016</v>
      </c>
      <c r="F3944" s="1282" t="s">
        <v>20240</v>
      </c>
      <c r="G3944" s="1368">
        <v>72</v>
      </c>
      <c r="H3944" s="1178" t="s">
        <v>20277</v>
      </c>
      <c r="I3944" s="1178" t="s">
        <v>11982</v>
      </c>
      <c r="J3944" s="1178" t="s">
        <v>668</v>
      </c>
      <c r="K3944" s="1178" t="s">
        <v>350</v>
      </c>
      <c r="L3944" s="1178" t="s">
        <v>376</v>
      </c>
      <c r="M3944" s="1369"/>
      <c r="N3944" s="1178"/>
      <c r="O3944" s="1178">
        <v>6</v>
      </c>
      <c r="P3944" s="1178">
        <v>14</v>
      </c>
    </row>
    <row r="3945" spans="1:16">
      <c r="A3945" s="1178" t="s">
        <v>378</v>
      </c>
      <c r="B3945" s="1371" t="str">
        <f>HYPERLINK(IFERROR("#Main_Tariff!A"&amp;MATCH(Raeburn_Main_Tariff[[#This Row],[Product Code]],Main_Tariff!I:I,0),"#Main_Tariff!A"&amp;MATCH("*"&amp;RIGHT(A3945,8)&amp;"*",Main_Tariff!A:A,0)),Raeburn_Main_Tariff[[#This Row],[PRODUCER]])</f>
        <v>Marco Petterino</v>
      </c>
      <c r="C3945" s="1178" t="s">
        <v>21917</v>
      </c>
      <c r="D3945" s="1178" t="s">
        <v>897</v>
      </c>
      <c r="E3945" s="1179">
        <v>2015</v>
      </c>
      <c r="F3945" s="1282" t="s">
        <v>20240</v>
      </c>
      <c r="G3945" s="1368">
        <v>69.5</v>
      </c>
      <c r="H3945" s="1178" t="s">
        <v>20224</v>
      </c>
      <c r="I3945" s="1178" t="s">
        <v>11983</v>
      </c>
      <c r="J3945" s="1178" t="s">
        <v>668</v>
      </c>
      <c r="K3945" s="1178" t="s">
        <v>350</v>
      </c>
      <c r="L3945" s="1178" t="s">
        <v>376</v>
      </c>
      <c r="M3945" s="1369"/>
      <c r="N3945" s="1178"/>
      <c r="O3945" s="1178">
        <v>6</v>
      </c>
      <c r="P3945" s="1178">
        <v>13.5</v>
      </c>
    </row>
    <row r="3946" spans="1:16">
      <c r="A3946" s="1178" t="s">
        <v>378</v>
      </c>
      <c r="B3946" s="1371" t="str">
        <f>HYPERLINK(IFERROR("#Main_Tariff!A"&amp;MATCH(Raeburn_Main_Tariff[[#This Row],[Product Code]],Main_Tariff!I:I,0),"#Main_Tariff!A"&amp;MATCH("*"&amp;RIGHT(A3946,8)&amp;"*",Main_Tariff!A:A,0)),Raeburn_Main_Tariff[[#This Row],[PRODUCER]])</f>
        <v>Marco Petterino</v>
      </c>
      <c r="C3946" s="1178" t="s">
        <v>21918</v>
      </c>
      <c r="D3946" s="1178" t="s">
        <v>897</v>
      </c>
      <c r="E3946" s="1179">
        <v>2016</v>
      </c>
      <c r="F3946" s="1282" t="s">
        <v>20288</v>
      </c>
      <c r="G3946" s="1368">
        <v>150</v>
      </c>
      <c r="H3946" s="1178" t="s">
        <v>20224</v>
      </c>
      <c r="I3946" s="1178" t="s">
        <v>11986</v>
      </c>
      <c r="J3946" s="1178" t="s">
        <v>668</v>
      </c>
      <c r="K3946" s="1178" t="s">
        <v>350</v>
      </c>
      <c r="L3946" s="1178" t="s">
        <v>376</v>
      </c>
      <c r="M3946" s="1369"/>
      <c r="N3946" s="1178"/>
      <c r="O3946" s="1178">
        <v>1</v>
      </c>
      <c r="P3946" s="1178">
        <v>14</v>
      </c>
    </row>
    <row r="3947" spans="1:16">
      <c r="A3947" s="1178" t="s">
        <v>380</v>
      </c>
      <c r="B3947" s="1371" t="str">
        <f>HYPERLINK(IFERROR("#Main_Tariff!A"&amp;MATCH(Raeburn_Main_Tariff[[#This Row],[Product Code]],Main_Tariff!I:I,0),"#Main_Tariff!A"&amp;MATCH("*"&amp;RIGHT(A3947,8)&amp;"*",Main_Tariff!A:A,0)),Raeburn_Main_Tariff[[#This Row],[PRODUCER]])</f>
        <v>La Colombera</v>
      </c>
      <c r="C3947" s="1178" t="s">
        <v>21919</v>
      </c>
      <c r="D3947" s="1178" t="s">
        <v>1129</v>
      </c>
      <c r="E3947" s="1179">
        <v>2016</v>
      </c>
      <c r="F3947" s="1282" t="s">
        <v>20220</v>
      </c>
      <c r="G3947" s="1368">
        <v>13.95</v>
      </c>
      <c r="H3947" s="1178" t="s">
        <v>20221</v>
      </c>
      <c r="I3947" s="1178" t="s">
        <v>11997</v>
      </c>
      <c r="J3947" s="1178" t="s">
        <v>668</v>
      </c>
      <c r="K3947" s="1178" t="s">
        <v>350</v>
      </c>
      <c r="L3947" s="1178" t="s">
        <v>379</v>
      </c>
      <c r="M3947" s="1369"/>
      <c r="N3947" s="1178"/>
      <c r="O3947" s="1178">
        <v>6</v>
      </c>
      <c r="P3947" s="1178">
        <v>13</v>
      </c>
    </row>
    <row r="3948" spans="1:16">
      <c r="A3948" s="1178" t="s">
        <v>380</v>
      </c>
      <c r="B3948" s="1371" t="str">
        <f>HYPERLINK(IFERROR("#Main_Tariff!A"&amp;MATCH(Raeburn_Main_Tariff[[#This Row],[Product Code]],Main_Tariff!I:I,0),"#Main_Tariff!A"&amp;MATCH("*"&amp;RIGHT(A3948,8)&amp;"*",Main_Tariff!A:A,0)),Raeburn_Main_Tariff[[#This Row],[PRODUCER]])</f>
        <v>La Colombera</v>
      </c>
      <c r="C3948" s="1178" t="s">
        <v>21920</v>
      </c>
      <c r="D3948" s="1178" t="s">
        <v>1129</v>
      </c>
      <c r="E3948" s="1179">
        <v>2014</v>
      </c>
      <c r="F3948" s="1282" t="s">
        <v>20220</v>
      </c>
      <c r="G3948" s="1368">
        <v>22.75</v>
      </c>
      <c r="H3948" s="1178" t="s">
        <v>20277</v>
      </c>
      <c r="I3948" s="1178" t="s">
        <v>11999</v>
      </c>
      <c r="J3948" s="1178" t="s">
        <v>668</v>
      </c>
      <c r="K3948" s="1178" t="s">
        <v>350</v>
      </c>
      <c r="L3948" s="1178" t="s">
        <v>379</v>
      </c>
      <c r="M3948" s="1369"/>
      <c r="N3948" s="1178"/>
      <c r="O3948" s="1178">
        <v>6</v>
      </c>
      <c r="P3948" s="1178">
        <v>12.5</v>
      </c>
    </row>
    <row r="3949" spans="1:16">
      <c r="A3949" s="1178" t="s">
        <v>21921</v>
      </c>
      <c r="B3949" s="1371" t="str">
        <f>HYPERLINK(IFERROR("#Main_Tariff!A"&amp;MATCH(Raeburn_Main_Tariff[[#This Row],[Product Code]],Main_Tariff!I:I,0),"#Main_Tariff!A"&amp;MATCH("*"&amp;RIGHT(A3949,8)&amp;"*",Main_Tariff!A:A,0)),Raeburn_Main_Tariff[[#This Row],[PRODUCER]])</f>
        <v>Cascina Conti Bronda</v>
      </c>
      <c r="C3949" s="1178" t="s">
        <v>21922</v>
      </c>
      <c r="D3949" s="1178" t="s">
        <v>8904</v>
      </c>
      <c r="E3949" s="1179" t="s">
        <v>19060</v>
      </c>
      <c r="F3949" s="1282" t="s">
        <v>20220</v>
      </c>
      <c r="G3949" s="1368">
        <v>13</v>
      </c>
      <c r="H3949" s="1178" t="s">
        <v>20224</v>
      </c>
      <c r="I3949" s="1178" t="s">
        <v>12012</v>
      </c>
      <c r="J3949" s="1178" t="s">
        <v>668</v>
      </c>
      <c r="K3949" s="1178" t="s">
        <v>350</v>
      </c>
      <c r="L3949" s="1178" t="s">
        <v>381</v>
      </c>
      <c r="M3949" s="1369"/>
      <c r="N3949" s="1178"/>
      <c r="O3949" s="1178">
        <v>6</v>
      </c>
      <c r="P3949" s="1178">
        <v>6</v>
      </c>
    </row>
    <row r="3950" spans="1:16">
      <c r="A3950" s="1178" t="s">
        <v>384</v>
      </c>
      <c r="B3950" s="1371" t="str">
        <f>HYPERLINK(IFERROR("#Main_Tariff!A"&amp;MATCH(Raeburn_Main_Tariff[[#This Row],[Product Code]],Main_Tariff!I:I,0),"#Main_Tariff!A"&amp;MATCH("*"&amp;RIGHT(A3950,8)&amp;"*",Main_Tariff!A:A,0)),Raeburn_Main_Tariff[[#This Row],[PRODUCER]])</f>
        <v>La Mesma</v>
      </c>
      <c r="C3950" s="1178" t="s">
        <v>21923</v>
      </c>
      <c r="D3950" s="1178" t="s">
        <v>884</v>
      </c>
      <c r="E3950" s="1179" t="s">
        <v>20253</v>
      </c>
      <c r="F3950" s="1282" t="s">
        <v>20220</v>
      </c>
      <c r="G3950" s="1368">
        <v>14.5</v>
      </c>
      <c r="H3950" s="1178" t="s">
        <v>20221</v>
      </c>
      <c r="I3950" s="1178" t="s">
        <v>12028</v>
      </c>
      <c r="J3950" s="1178" t="s">
        <v>668</v>
      </c>
      <c r="K3950" s="1178" t="s">
        <v>350</v>
      </c>
      <c r="L3950" s="1178" t="s">
        <v>383</v>
      </c>
      <c r="M3950" s="1369"/>
      <c r="N3950" s="1178" t="s">
        <v>20244</v>
      </c>
      <c r="O3950" s="1178">
        <v>12</v>
      </c>
      <c r="P3950" s="1178">
        <v>13</v>
      </c>
    </row>
    <row r="3951" spans="1:16">
      <c r="A3951" s="1178" t="s">
        <v>384</v>
      </c>
      <c r="B3951" s="1371" t="str">
        <f>HYPERLINK(IFERROR("#Main_Tariff!A"&amp;MATCH(Raeburn_Main_Tariff[[#This Row],[Product Code]],Main_Tariff!I:I,0),"#Main_Tariff!A"&amp;MATCH("*"&amp;RIGHT(A3951,8)&amp;"*",Main_Tariff!A:A,0)),Raeburn_Main_Tariff[[#This Row],[PRODUCER]])</f>
        <v>La Mesma</v>
      </c>
      <c r="C3951" s="1178" t="s">
        <v>21924</v>
      </c>
      <c r="D3951" s="1178" t="s">
        <v>884</v>
      </c>
      <c r="E3951" s="1179">
        <v>2011</v>
      </c>
      <c r="F3951" s="1282" t="s">
        <v>20220</v>
      </c>
      <c r="G3951" s="1368">
        <v>23</v>
      </c>
      <c r="H3951" s="1178" t="s">
        <v>20277</v>
      </c>
      <c r="I3951" s="1178" t="s">
        <v>12030</v>
      </c>
      <c r="J3951" s="1178" t="s">
        <v>668</v>
      </c>
      <c r="K3951" s="1178" t="s">
        <v>350</v>
      </c>
      <c r="L3951" s="1178" t="s">
        <v>383</v>
      </c>
      <c r="M3951" s="1369"/>
      <c r="N3951" s="1178"/>
      <c r="O3951" s="1178">
        <v>6</v>
      </c>
      <c r="P3951" s="1178">
        <v>13</v>
      </c>
    </row>
    <row r="3952" spans="1:16">
      <c r="A3952" s="1178" t="s">
        <v>384</v>
      </c>
      <c r="B3952" s="1371" t="str">
        <f>HYPERLINK(IFERROR("#Main_Tariff!A"&amp;MATCH(Raeburn_Main_Tariff[[#This Row],[Product Code]],Main_Tariff!I:I,0),"#Main_Tariff!A"&amp;MATCH("*"&amp;RIGHT(A3952,8)&amp;"*",Main_Tariff!A:A,0)),Raeburn_Main_Tariff[[#This Row],[PRODUCER]])</f>
        <v>La Mesma</v>
      </c>
      <c r="C3952" s="1178" t="s">
        <v>21925</v>
      </c>
      <c r="D3952" s="1178" t="s">
        <v>884</v>
      </c>
      <c r="E3952" s="1179">
        <v>2009</v>
      </c>
      <c r="F3952" s="1282" t="s">
        <v>20240</v>
      </c>
      <c r="G3952" s="1368">
        <v>46</v>
      </c>
      <c r="H3952" s="1178" t="s">
        <v>20277</v>
      </c>
      <c r="I3952" s="1178" t="s">
        <v>12032</v>
      </c>
      <c r="J3952" s="1178" t="s">
        <v>668</v>
      </c>
      <c r="K3952" s="1178" t="s">
        <v>350</v>
      </c>
      <c r="L3952" s="1178" t="s">
        <v>383</v>
      </c>
      <c r="M3952" s="1369"/>
      <c r="N3952" s="1178"/>
      <c r="O3952" s="1178">
        <v>1</v>
      </c>
      <c r="P3952" s="1178">
        <v>13</v>
      </c>
    </row>
    <row r="3953" spans="1:16">
      <c r="A3953" s="1178" t="s">
        <v>384</v>
      </c>
      <c r="B3953" s="1371" t="str">
        <f>HYPERLINK(IFERROR("#Main_Tariff!A"&amp;MATCH(Raeburn_Main_Tariff[[#This Row],[Product Code]],Main_Tariff!I:I,0),"#Main_Tariff!A"&amp;MATCH("*"&amp;RIGHT(A3953,8)&amp;"*",Main_Tariff!A:A,0)),Raeburn_Main_Tariff[[#This Row],[PRODUCER]])</f>
        <v>La Mesma</v>
      </c>
      <c r="C3953" s="1178" t="s">
        <v>21926</v>
      </c>
      <c r="D3953" s="1178" t="s">
        <v>1129</v>
      </c>
      <c r="E3953" s="1179">
        <v>2024</v>
      </c>
      <c r="F3953" s="1282" t="s">
        <v>20220</v>
      </c>
      <c r="G3953" s="1368">
        <v>13.5</v>
      </c>
      <c r="H3953" s="1178" t="s">
        <v>20221</v>
      </c>
      <c r="I3953" s="1178" t="s">
        <v>12036</v>
      </c>
      <c r="J3953" s="1178" t="s">
        <v>668</v>
      </c>
      <c r="K3953" s="1178" t="s">
        <v>350</v>
      </c>
      <c r="L3953" s="1178" t="s">
        <v>383</v>
      </c>
      <c r="M3953" s="1369"/>
      <c r="N3953" s="1178"/>
      <c r="O3953" s="1178">
        <v>12</v>
      </c>
      <c r="P3953" s="1178">
        <v>12</v>
      </c>
    </row>
    <row r="3954" spans="1:16">
      <c r="A3954" s="1178" t="s">
        <v>384</v>
      </c>
      <c r="B3954" s="1371" t="str">
        <f>HYPERLINK(IFERROR("#Main_Tariff!A"&amp;MATCH(Raeburn_Main_Tariff[[#This Row],[Product Code]],Main_Tariff!I:I,0),"#Main_Tariff!A"&amp;MATCH("*"&amp;RIGHT(A3954,8)&amp;"*",Main_Tariff!A:A,0)),Raeburn_Main_Tariff[[#This Row],[PRODUCER]])</f>
        <v>La Mesma</v>
      </c>
      <c r="C3954" s="1178" t="s">
        <v>21926</v>
      </c>
      <c r="D3954" s="1178" t="s">
        <v>1129</v>
      </c>
      <c r="E3954" s="1179">
        <v>2023</v>
      </c>
      <c r="F3954" s="1282" t="s">
        <v>20220</v>
      </c>
      <c r="G3954" s="1368">
        <v>13.25</v>
      </c>
      <c r="H3954" s="1178" t="s">
        <v>20277</v>
      </c>
      <c r="I3954" s="1178" t="s">
        <v>12038</v>
      </c>
      <c r="J3954" s="1178" t="s">
        <v>668</v>
      </c>
      <c r="K3954" s="1178" t="s">
        <v>350</v>
      </c>
      <c r="L3954" s="1178" t="s">
        <v>383</v>
      </c>
      <c r="M3954" s="1369"/>
      <c r="N3954" s="1178" t="s">
        <v>20244</v>
      </c>
      <c r="O3954" s="1178">
        <v>12</v>
      </c>
      <c r="P3954" s="1178">
        <v>13</v>
      </c>
    </row>
    <row r="3955" spans="1:16">
      <c r="A3955" s="1178" t="s">
        <v>384</v>
      </c>
      <c r="B3955" s="1371" t="str">
        <f>HYPERLINK(IFERROR("#Main_Tariff!A"&amp;MATCH(Raeburn_Main_Tariff[[#This Row],[Product Code]],Main_Tariff!I:I,0),"#Main_Tariff!A"&amp;MATCH("*"&amp;RIGHT(A3955,8)&amp;"*",Main_Tariff!A:A,0)),Raeburn_Main_Tariff[[#This Row],[PRODUCER]])</f>
        <v>La Mesma</v>
      </c>
      <c r="C3955" s="1178" t="s">
        <v>21927</v>
      </c>
      <c r="D3955" s="1178" t="s">
        <v>1129</v>
      </c>
      <c r="E3955" s="1179">
        <v>2023</v>
      </c>
      <c r="F3955" s="1282" t="s">
        <v>20220</v>
      </c>
      <c r="G3955" s="1368">
        <v>15.95</v>
      </c>
      <c r="H3955" s="1178" t="s">
        <v>20221</v>
      </c>
      <c r="I3955" s="1178" t="s">
        <v>23280</v>
      </c>
      <c r="J3955" s="1178" t="s">
        <v>668</v>
      </c>
      <c r="K3955" s="1178" t="s">
        <v>350</v>
      </c>
      <c r="L3955" s="1178" t="s">
        <v>383</v>
      </c>
      <c r="M3955" s="1369"/>
      <c r="N3955" s="1178" t="s">
        <v>20244</v>
      </c>
      <c r="O3955" s="1178">
        <v>6</v>
      </c>
      <c r="P3955" s="1178">
        <v>13</v>
      </c>
    </row>
    <row r="3956" spans="1:16">
      <c r="A3956" s="1178" t="s">
        <v>384</v>
      </c>
      <c r="B3956" s="1371" t="str">
        <f>HYPERLINK(IFERROR("#Main_Tariff!A"&amp;MATCH(Raeburn_Main_Tariff[[#This Row],[Product Code]],Main_Tariff!I:I,0),"#Main_Tariff!A"&amp;MATCH("*"&amp;RIGHT(A3956,8)&amp;"*",Main_Tariff!A:A,0)),Raeburn_Main_Tariff[[#This Row],[PRODUCER]])</f>
        <v>La Mesma</v>
      </c>
      <c r="C3956" s="1178" t="s">
        <v>21927</v>
      </c>
      <c r="D3956" s="1178" t="s">
        <v>1129</v>
      </c>
      <c r="E3956" s="1179">
        <v>2021</v>
      </c>
      <c r="F3956" s="1282" t="s">
        <v>20220</v>
      </c>
      <c r="G3956" s="1368">
        <v>14.5</v>
      </c>
      <c r="H3956" s="1178" t="s">
        <v>20224</v>
      </c>
      <c r="I3956" s="1178" t="s">
        <v>12039</v>
      </c>
      <c r="J3956" s="1178" t="s">
        <v>668</v>
      </c>
      <c r="K3956" s="1178" t="s">
        <v>350</v>
      </c>
      <c r="L3956" s="1178" t="s">
        <v>383</v>
      </c>
      <c r="M3956" s="1369"/>
      <c r="N3956" s="1178" t="s">
        <v>20244</v>
      </c>
      <c r="O3956" s="1178">
        <v>6</v>
      </c>
      <c r="P3956" s="1178">
        <v>13</v>
      </c>
    </row>
    <row r="3957" spans="1:16">
      <c r="A3957" s="1178" t="s">
        <v>384</v>
      </c>
      <c r="B3957" s="1371" t="str">
        <f>HYPERLINK(IFERROR("#Main_Tariff!A"&amp;MATCH(Raeburn_Main_Tariff[[#This Row],[Product Code]],Main_Tariff!I:I,0),"#Main_Tariff!A"&amp;MATCH("*"&amp;RIGHT(A3957,8)&amp;"*",Main_Tariff!A:A,0)),Raeburn_Main_Tariff[[#This Row],[PRODUCER]])</f>
        <v>La Mesma</v>
      </c>
      <c r="C3957" s="1178" t="s">
        <v>21927</v>
      </c>
      <c r="D3957" s="1178" t="s">
        <v>1129</v>
      </c>
      <c r="E3957" s="1179">
        <v>2020</v>
      </c>
      <c r="F3957" s="1282" t="s">
        <v>20220</v>
      </c>
      <c r="G3957" s="1368">
        <v>14.25</v>
      </c>
      <c r="H3957" s="1178" t="s">
        <v>20277</v>
      </c>
      <c r="I3957" s="1178" t="s">
        <v>12041</v>
      </c>
      <c r="J3957" s="1178" t="s">
        <v>668</v>
      </c>
      <c r="K3957" s="1178" t="s">
        <v>350</v>
      </c>
      <c r="L3957" s="1178" t="s">
        <v>383</v>
      </c>
      <c r="M3957" s="1369"/>
      <c r="N3957" s="1178" t="s">
        <v>20244</v>
      </c>
      <c r="O3957" s="1178">
        <v>6</v>
      </c>
      <c r="P3957" s="1178">
        <v>13</v>
      </c>
    </row>
    <row r="3958" spans="1:16">
      <c r="A3958" s="1178" t="s">
        <v>384</v>
      </c>
      <c r="B3958" s="1371" t="str">
        <f>HYPERLINK(IFERROR("#Main_Tariff!A"&amp;MATCH(Raeburn_Main_Tariff[[#This Row],[Product Code]],Main_Tariff!I:I,0),"#Main_Tariff!A"&amp;MATCH("*"&amp;RIGHT(A3958,8)&amp;"*",Main_Tariff!A:A,0)),Raeburn_Main_Tariff[[#This Row],[PRODUCER]])</f>
        <v>La Mesma</v>
      </c>
      <c r="C3958" s="1178" t="s">
        <v>21928</v>
      </c>
      <c r="D3958" s="1178" t="s">
        <v>1129</v>
      </c>
      <c r="E3958" s="1179">
        <v>2021</v>
      </c>
      <c r="F3958" s="1282" t="s">
        <v>20220</v>
      </c>
      <c r="G3958" s="1368">
        <v>14.5</v>
      </c>
      <c r="H3958" s="1178" t="s">
        <v>20221</v>
      </c>
      <c r="I3958" s="1178" t="s">
        <v>12043</v>
      </c>
      <c r="J3958" s="1178" t="s">
        <v>668</v>
      </c>
      <c r="K3958" s="1178" t="s">
        <v>350</v>
      </c>
      <c r="L3958" s="1178" t="s">
        <v>383</v>
      </c>
      <c r="M3958" s="1369"/>
      <c r="N3958" s="1178" t="s">
        <v>20244</v>
      </c>
      <c r="O3958" s="1178">
        <v>6</v>
      </c>
      <c r="P3958" s="1178">
        <v>12.5</v>
      </c>
    </row>
    <row r="3959" spans="1:16">
      <c r="A3959" s="1178" t="s">
        <v>384</v>
      </c>
      <c r="B3959" s="1371" t="str">
        <f>HYPERLINK(IFERROR("#Main_Tariff!A"&amp;MATCH(Raeburn_Main_Tariff[[#This Row],[Product Code]],Main_Tariff!I:I,0),"#Main_Tariff!A"&amp;MATCH("*"&amp;RIGHT(A3959,8)&amp;"*",Main_Tariff!A:A,0)),Raeburn_Main_Tariff[[#This Row],[PRODUCER]])</f>
        <v>La Mesma</v>
      </c>
      <c r="C3959" s="1178" t="s">
        <v>21928</v>
      </c>
      <c r="D3959" s="1178" t="s">
        <v>1129</v>
      </c>
      <c r="E3959" s="1179">
        <v>2020</v>
      </c>
      <c r="F3959" s="1282" t="s">
        <v>20220</v>
      </c>
      <c r="G3959" s="1368">
        <v>14.5</v>
      </c>
      <c r="H3959" s="1178" t="s">
        <v>20221</v>
      </c>
      <c r="I3959" s="1178" t="s">
        <v>12045</v>
      </c>
      <c r="J3959" s="1178" t="s">
        <v>668</v>
      </c>
      <c r="K3959" s="1178" t="s">
        <v>350</v>
      </c>
      <c r="L3959" s="1178" t="s">
        <v>383</v>
      </c>
      <c r="M3959" s="1369"/>
      <c r="N3959" s="1178" t="s">
        <v>20244</v>
      </c>
      <c r="O3959" s="1178">
        <v>6</v>
      </c>
      <c r="P3959" s="1178">
        <v>12.5</v>
      </c>
    </row>
    <row r="3960" spans="1:16">
      <c r="A3960" s="1178" t="s">
        <v>384</v>
      </c>
      <c r="B3960" s="1371" t="str">
        <f>HYPERLINK(IFERROR("#Main_Tariff!A"&amp;MATCH(Raeburn_Main_Tariff[[#This Row],[Product Code]],Main_Tariff!I:I,0),"#Main_Tariff!A"&amp;MATCH("*"&amp;RIGHT(A3960,8)&amp;"*",Main_Tariff!A:A,0)),Raeburn_Main_Tariff[[#This Row],[PRODUCER]])</f>
        <v>La Mesma</v>
      </c>
      <c r="C3960" s="1178" t="s">
        <v>21928</v>
      </c>
      <c r="D3960" s="1178" t="s">
        <v>1129</v>
      </c>
      <c r="E3960" s="1179">
        <v>2015</v>
      </c>
      <c r="F3960" s="1282" t="s">
        <v>20220</v>
      </c>
      <c r="G3960" s="1368">
        <v>14.5</v>
      </c>
      <c r="H3960" s="1178" t="s">
        <v>20224</v>
      </c>
      <c r="I3960" s="1178" t="s">
        <v>12047</v>
      </c>
      <c r="J3960" s="1178" t="s">
        <v>668</v>
      </c>
      <c r="K3960" s="1178" t="s">
        <v>350</v>
      </c>
      <c r="L3960" s="1178" t="s">
        <v>383</v>
      </c>
      <c r="M3960" s="1369"/>
      <c r="N3960" s="1178"/>
      <c r="O3960" s="1178">
        <v>6</v>
      </c>
      <c r="P3960" s="1178">
        <v>13</v>
      </c>
    </row>
    <row r="3961" spans="1:16">
      <c r="A3961" s="1178" t="s">
        <v>384</v>
      </c>
      <c r="B3961" s="1371" t="str">
        <f>HYPERLINK(IFERROR("#Main_Tariff!A"&amp;MATCH(Raeburn_Main_Tariff[[#This Row],[Product Code]],Main_Tariff!I:I,0),"#Main_Tariff!A"&amp;MATCH("*"&amp;RIGHT(A3961,8)&amp;"*",Main_Tariff!A:A,0)),Raeburn_Main_Tariff[[#This Row],[PRODUCER]])</f>
        <v>La Mesma</v>
      </c>
      <c r="C3961" s="1178" t="s">
        <v>21929</v>
      </c>
      <c r="D3961" s="1178" t="s">
        <v>1129</v>
      </c>
      <c r="E3961" s="1179">
        <v>2020</v>
      </c>
      <c r="F3961" s="1282" t="s">
        <v>20220</v>
      </c>
      <c r="G3961" s="1368">
        <v>21.5</v>
      </c>
      <c r="H3961" s="1178" t="s">
        <v>20221</v>
      </c>
      <c r="I3961" s="1178" t="s">
        <v>12051</v>
      </c>
      <c r="J3961" s="1178" t="s">
        <v>668</v>
      </c>
      <c r="K3961" s="1178" t="s">
        <v>350</v>
      </c>
      <c r="L3961" s="1178" t="s">
        <v>383</v>
      </c>
      <c r="M3961" s="1369"/>
      <c r="N3961" s="1178"/>
      <c r="O3961" s="1178">
        <v>6</v>
      </c>
      <c r="P3961" s="1178">
        <v>13</v>
      </c>
    </row>
    <row r="3962" spans="1:16">
      <c r="A3962" s="1178" t="s">
        <v>384</v>
      </c>
      <c r="B3962" s="1371" t="str">
        <f>HYPERLINK(IFERROR("#Main_Tariff!A"&amp;MATCH(Raeburn_Main_Tariff[[#This Row],[Product Code]],Main_Tariff!I:I,0),"#Main_Tariff!A"&amp;MATCH("*"&amp;RIGHT(A3962,8)&amp;"*",Main_Tariff!A:A,0)),Raeburn_Main_Tariff[[#This Row],[PRODUCER]])</f>
        <v>La Mesma</v>
      </c>
      <c r="C3962" s="1178" t="s">
        <v>21930</v>
      </c>
      <c r="D3962" s="1178" t="s">
        <v>1129</v>
      </c>
      <c r="E3962" s="1179">
        <v>2014</v>
      </c>
      <c r="F3962" s="1282" t="s">
        <v>20240</v>
      </c>
      <c r="G3962" s="1368">
        <v>41</v>
      </c>
      <c r="H3962" s="1178" t="s">
        <v>20224</v>
      </c>
      <c r="I3962" s="1178" t="s">
        <v>12053</v>
      </c>
      <c r="J3962" s="1178" t="s">
        <v>668</v>
      </c>
      <c r="K3962" s="1178" t="s">
        <v>350</v>
      </c>
      <c r="L3962" s="1178" t="s">
        <v>383</v>
      </c>
      <c r="M3962" s="1369"/>
      <c r="N3962" s="1178"/>
      <c r="O3962" s="1178">
        <v>6</v>
      </c>
      <c r="P3962" s="1178">
        <v>13</v>
      </c>
    </row>
    <row r="3963" spans="1:16">
      <c r="A3963" s="1178" t="s">
        <v>384</v>
      </c>
      <c r="B3963" s="1371" t="str">
        <f>HYPERLINK(IFERROR("#Main_Tariff!A"&amp;MATCH(Raeburn_Main_Tariff[[#This Row],[Product Code]],Main_Tariff!I:I,0),"#Main_Tariff!A"&amp;MATCH("*"&amp;RIGHT(A3963,8)&amp;"*",Main_Tariff!A:A,0)),Raeburn_Main_Tariff[[#This Row],[PRODUCER]])</f>
        <v>La Mesma</v>
      </c>
      <c r="C3963" s="1178" t="s">
        <v>21930</v>
      </c>
      <c r="D3963" s="1178" t="s">
        <v>1129</v>
      </c>
      <c r="E3963" s="1179">
        <v>2013</v>
      </c>
      <c r="F3963" s="1282" t="s">
        <v>20240</v>
      </c>
      <c r="G3963" s="1368">
        <v>41</v>
      </c>
      <c r="H3963" s="1178" t="s">
        <v>20224</v>
      </c>
      <c r="I3963" s="1178" t="s">
        <v>12055</v>
      </c>
      <c r="J3963" s="1178" t="s">
        <v>668</v>
      </c>
      <c r="K3963" s="1178" t="s">
        <v>350</v>
      </c>
      <c r="L3963" s="1178" t="s">
        <v>383</v>
      </c>
      <c r="M3963" s="1369"/>
      <c r="N3963" s="1178"/>
      <c r="O3963" s="1178">
        <v>1</v>
      </c>
      <c r="P3963" s="1178">
        <v>12.5</v>
      </c>
    </row>
    <row r="3964" spans="1:16">
      <c r="A3964" s="1178" t="s">
        <v>384</v>
      </c>
      <c r="B3964" s="1371" t="str">
        <f>HYPERLINK(IFERROR("#Main_Tariff!A"&amp;MATCH(Raeburn_Main_Tariff[[#This Row],[Product Code]],Main_Tariff!I:I,0),"#Main_Tariff!A"&amp;MATCH("*"&amp;RIGHT(A3964,8)&amp;"*",Main_Tariff!A:A,0)),Raeburn_Main_Tariff[[#This Row],[PRODUCER]])</f>
        <v>La Mesma</v>
      </c>
      <c r="C3964" s="1178" t="s">
        <v>21931</v>
      </c>
      <c r="D3964" s="1178" t="s">
        <v>1129</v>
      </c>
      <c r="E3964" s="1179">
        <v>2014</v>
      </c>
      <c r="F3964" s="1282" t="s">
        <v>20280</v>
      </c>
      <c r="G3964" s="1368">
        <v>10</v>
      </c>
      <c r="H3964" s="1178" t="s">
        <v>20221</v>
      </c>
      <c r="I3964" s="1178" t="s">
        <v>12059</v>
      </c>
      <c r="J3964" s="1178" t="s">
        <v>668</v>
      </c>
      <c r="K3964" s="1178" t="s">
        <v>350</v>
      </c>
      <c r="L3964" s="1178" t="s">
        <v>383</v>
      </c>
      <c r="M3964" s="1369"/>
      <c r="N3964" s="1178"/>
      <c r="O3964" s="1178">
        <v>12</v>
      </c>
      <c r="P3964" s="1178">
        <v>12.5</v>
      </c>
    </row>
    <row r="3965" spans="1:16">
      <c r="A3965" s="1178" t="s">
        <v>384</v>
      </c>
      <c r="B3965" s="1371" t="str">
        <f>HYPERLINK(IFERROR("#Main_Tariff!A"&amp;MATCH(Raeburn_Main_Tariff[[#This Row],[Product Code]],Main_Tariff!I:I,0),"#Main_Tariff!A"&amp;MATCH("*"&amp;RIGHT(A3965,8)&amp;"*",Main_Tariff!A:A,0)),Raeburn_Main_Tariff[[#This Row],[PRODUCER]])</f>
        <v>La Mesma</v>
      </c>
      <c r="C3965" s="1178" t="s">
        <v>21932</v>
      </c>
      <c r="D3965" s="1178" t="s">
        <v>1129</v>
      </c>
      <c r="E3965" s="1179">
        <v>2016</v>
      </c>
      <c r="F3965" s="1282" t="s">
        <v>20220</v>
      </c>
      <c r="G3965" s="1368">
        <v>21</v>
      </c>
      <c r="H3965" s="1178" t="s">
        <v>20224</v>
      </c>
      <c r="I3965" s="1178" t="s">
        <v>12061</v>
      </c>
      <c r="J3965" s="1178" t="s">
        <v>668</v>
      </c>
      <c r="K3965" s="1178" t="s">
        <v>350</v>
      </c>
      <c r="L3965" s="1178" t="s">
        <v>383</v>
      </c>
      <c r="M3965" s="1369"/>
      <c r="N3965" s="1178" t="s">
        <v>20244</v>
      </c>
      <c r="O3965" s="1178">
        <v>6</v>
      </c>
      <c r="P3965" s="1178">
        <v>12.5</v>
      </c>
    </row>
    <row r="3966" spans="1:16">
      <c r="A3966" s="1178" t="s">
        <v>384</v>
      </c>
      <c r="B3966" s="1371" t="str">
        <f>HYPERLINK(IFERROR("#Main_Tariff!A"&amp;MATCH(Raeburn_Main_Tariff[[#This Row],[Product Code]],Main_Tariff!I:I,0),"#Main_Tariff!A"&amp;MATCH("*"&amp;RIGHT(A3966,8)&amp;"*",Main_Tariff!A:A,0)),Raeburn_Main_Tariff[[#This Row],[PRODUCER]])</f>
        <v>La Mesma</v>
      </c>
      <c r="C3966" s="1178" t="s">
        <v>21933</v>
      </c>
      <c r="D3966" s="1178" t="s">
        <v>1129</v>
      </c>
      <c r="E3966" s="1179">
        <v>2008</v>
      </c>
      <c r="F3966" s="1282" t="s">
        <v>20220</v>
      </c>
      <c r="G3966" s="1368">
        <v>21</v>
      </c>
      <c r="H3966" s="1178" t="s">
        <v>20224</v>
      </c>
      <c r="I3966" s="1178" t="s">
        <v>12063</v>
      </c>
      <c r="J3966" s="1178" t="s">
        <v>668</v>
      </c>
      <c r="K3966" s="1178" t="s">
        <v>350</v>
      </c>
      <c r="L3966" s="1178" t="s">
        <v>383</v>
      </c>
      <c r="M3966" s="1369"/>
      <c r="N3966" s="1178"/>
      <c r="O3966" s="1178">
        <v>3</v>
      </c>
      <c r="P3966" s="1178">
        <v>12.5</v>
      </c>
    </row>
    <row r="3967" spans="1:16">
      <c r="A3967" s="1178" t="s">
        <v>385</v>
      </c>
      <c r="B3967" s="1371" t="str">
        <f>HYPERLINK(IFERROR("#Main_Tariff!A"&amp;MATCH(Raeburn_Main_Tariff[[#This Row],[Product Code]],Main_Tariff!I:I,0),"#Main_Tariff!A"&amp;MATCH("*"&amp;RIGHT(A3967,8)&amp;"*",Main_Tariff!A:A,0)),Raeburn_Main_Tariff[[#This Row],[PRODUCER]])</f>
        <v>Rugra</v>
      </c>
      <c r="C3967" s="1178" t="s">
        <v>21934</v>
      </c>
      <c r="D3967" s="1178" t="s">
        <v>1129</v>
      </c>
      <c r="E3967" s="1179">
        <v>2017</v>
      </c>
      <c r="F3967" s="1282" t="s">
        <v>20220</v>
      </c>
      <c r="G3967" s="1368">
        <v>13.5</v>
      </c>
      <c r="H3967" s="1178" t="s">
        <v>20221</v>
      </c>
      <c r="I3967" s="1178" t="s">
        <v>12086</v>
      </c>
      <c r="J3967" s="1178" t="s">
        <v>668</v>
      </c>
      <c r="K3967" s="1178" t="s">
        <v>350</v>
      </c>
      <c r="L3967" s="1178" t="s">
        <v>383</v>
      </c>
      <c r="M3967" s="1369"/>
      <c r="N3967" s="1178"/>
      <c r="O3967" s="1178">
        <v>6</v>
      </c>
      <c r="P3967" s="1178">
        <v>13</v>
      </c>
    </row>
    <row r="3968" spans="1:16">
      <c r="A3968" s="1178" t="s">
        <v>385</v>
      </c>
      <c r="B3968" s="1371" t="str">
        <f>HYPERLINK(IFERROR("#Main_Tariff!A"&amp;MATCH(Raeburn_Main_Tariff[[#This Row],[Product Code]],Main_Tariff!I:I,0),"#Main_Tariff!A"&amp;MATCH("*"&amp;RIGHT(A3968,8)&amp;"*",Main_Tariff!A:A,0)),Raeburn_Main_Tariff[[#This Row],[PRODUCER]])</f>
        <v>Rugra</v>
      </c>
      <c r="C3968" s="1178" t="s">
        <v>21934</v>
      </c>
      <c r="D3968" s="1178" t="s">
        <v>1129</v>
      </c>
      <c r="E3968" s="1179">
        <v>2016</v>
      </c>
      <c r="F3968" s="1282" t="s">
        <v>20220</v>
      </c>
      <c r="G3968" s="1368">
        <v>13.5</v>
      </c>
      <c r="H3968" s="1178" t="s">
        <v>20221</v>
      </c>
      <c r="I3968" s="1178" t="s">
        <v>12088</v>
      </c>
      <c r="J3968" s="1178" t="s">
        <v>668</v>
      </c>
      <c r="K3968" s="1178" t="s">
        <v>350</v>
      </c>
      <c r="L3968" s="1178" t="s">
        <v>383</v>
      </c>
      <c r="M3968" s="1369"/>
      <c r="N3968" s="1178"/>
      <c r="O3968" s="1178">
        <v>6</v>
      </c>
      <c r="P3968" s="1178">
        <v>12.5</v>
      </c>
    </row>
    <row r="3969" spans="1:16">
      <c r="A3969" s="1178" t="s">
        <v>385</v>
      </c>
      <c r="B3969" s="1371" t="str">
        <f>HYPERLINK(IFERROR("#Main_Tariff!A"&amp;MATCH(Raeburn_Main_Tariff[[#This Row],[Product Code]],Main_Tariff!I:I,0),"#Main_Tariff!A"&amp;MATCH("*"&amp;RIGHT(A3969,8)&amp;"*",Main_Tariff!A:A,0)),Raeburn_Main_Tariff[[#This Row],[PRODUCER]])</f>
        <v>Rugra</v>
      </c>
      <c r="C3969" s="1178" t="s">
        <v>21934</v>
      </c>
      <c r="D3969" s="1178" t="s">
        <v>1129</v>
      </c>
      <c r="E3969" s="1179">
        <v>2014</v>
      </c>
      <c r="F3969" s="1282" t="s">
        <v>20220</v>
      </c>
      <c r="G3969" s="1368">
        <v>13</v>
      </c>
      <c r="H3969" s="1178" t="s">
        <v>20465</v>
      </c>
      <c r="I3969" s="1178" t="s">
        <v>12090</v>
      </c>
      <c r="J3969" s="1178" t="s">
        <v>668</v>
      </c>
      <c r="K3969" s="1178" t="s">
        <v>350</v>
      </c>
      <c r="L3969" s="1178" t="s">
        <v>383</v>
      </c>
      <c r="M3969" s="1369"/>
      <c r="N3969" s="1178"/>
      <c r="O3969" s="1178">
        <v>6</v>
      </c>
      <c r="P3969" s="1178">
        <v>12</v>
      </c>
    </row>
    <row r="3970" spans="1:16">
      <c r="A3970" s="1178" t="s">
        <v>385</v>
      </c>
      <c r="B3970" s="1371" t="str">
        <f>HYPERLINK(IFERROR("#Main_Tariff!A"&amp;MATCH(Raeburn_Main_Tariff[[#This Row],[Product Code]],Main_Tariff!I:I,0),"#Main_Tariff!A"&amp;MATCH("*"&amp;RIGHT(A3970,8)&amp;"*",Main_Tariff!A:A,0)),Raeburn_Main_Tariff[[#This Row],[PRODUCER]])</f>
        <v>Rugra</v>
      </c>
      <c r="C3970" s="1178" t="s">
        <v>21935</v>
      </c>
      <c r="D3970" s="1178" t="s">
        <v>897</v>
      </c>
      <c r="E3970" s="1179">
        <v>2011</v>
      </c>
      <c r="F3970" s="1282" t="s">
        <v>20220</v>
      </c>
      <c r="G3970" s="1368">
        <v>16.5</v>
      </c>
      <c r="H3970" s="1178" t="s">
        <v>20277</v>
      </c>
      <c r="I3970" s="1178" t="s">
        <v>12093</v>
      </c>
      <c r="J3970" s="1178" t="s">
        <v>668</v>
      </c>
      <c r="K3970" s="1178" t="s">
        <v>350</v>
      </c>
      <c r="L3970" s="1178" t="s">
        <v>383</v>
      </c>
      <c r="M3970" s="1369"/>
      <c r="N3970" s="1178"/>
      <c r="O3970" s="1178">
        <v>6</v>
      </c>
      <c r="P3970" s="1178">
        <v>13.5</v>
      </c>
    </row>
    <row r="3971" spans="1:16">
      <c r="A3971" s="1178" t="s">
        <v>385</v>
      </c>
      <c r="B3971" s="1371" t="str">
        <f>HYPERLINK(IFERROR("#Main_Tariff!A"&amp;MATCH(Raeburn_Main_Tariff[[#This Row],[Product Code]],Main_Tariff!I:I,0),"#Main_Tariff!A"&amp;MATCH("*"&amp;RIGHT(A3971,8)&amp;"*",Main_Tariff!A:A,0)),Raeburn_Main_Tariff[[#This Row],[PRODUCER]])</f>
        <v>Rugra</v>
      </c>
      <c r="C3971" s="1178" t="s">
        <v>21936</v>
      </c>
      <c r="D3971" s="1178" t="s">
        <v>897</v>
      </c>
      <c r="E3971" s="1179">
        <v>2011</v>
      </c>
      <c r="F3971" s="1282" t="s">
        <v>20220</v>
      </c>
      <c r="G3971" s="1368">
        <v>19.95</v>
      </c>
      <c r="H3971" s="1178" t="s">
        <v>20221</v>
      </c>
      <c r="I3971" s="1178" t="s">
        <v>12092</v>
      </c>
      <c r="J3971" s="1178" t="s">
        <v>668</v>
      </c>
      <c r="K3971" s="1178" t="s">
        <v>350</v>
      </c>
      <c r="L3971" s="1178" t="s">
        <v>383</v>
      </c>
      <c r="M3971" s="1369"/>
      <c r="N3971" s="1178"/>
      <c r="O3971" s="1178">
        <v>6</v>
      </c>
      <c r="P3971" s="1178">
        <v>14.5</v>
      </c>
    </row>
    <row r="3972" spans="1:16">
      <c r="A3972" s="1178" t="s">
        <v>386</v>
      </c>
      <c r="B3972" s="1371" t="str">
        <f>HYPERLINK(IFERROR("#Main_Tariff!A"&amp;MATCH(Raeburn_Main_Tariff[[#This Row],[Product Code]],Main_Tariff!I:I,0),"#Main_Tariff!A"&amp;MATCH("*"&amp;RIGHT(A3972,8)&amp;"*",Main_Tariff!A:A,0)),Raeburn_Main_Tariff[[#This Row],[PRODUCER]])</f>
        <v>Daniele Coutandin</v>
      </c>
      <c r="C3972" s="1178" t="s">
        <v>21937</v>
      </c>
      <c r="D3972" s="1178" t="s">
        <v>897</v>
      </c>
      <c r="E3972" s="1179">
        <v>2020</v>
      </c>
      <c r="F3972" s="1282" t="s">
        <v>20220</v>
      </c>
      <c r="G3972" s="1368">
        <v>28</v>
      </c>
      <c r="H3972" s="1178" t="s">
        <v>20221</v>
      </c>
      <c r="I3972" s="1178" t="s">
        <v>12097</v>
      </c>
      <c r="J3972" s="1178" t="s">
        <v>668</v>
      </c>
      <c r="K3972" s="1178" t="s">
        <v>350</v>
      </c>
      <c r="L3972" s="1178"/>
      <c r="M3972" s="1369"/>
      <c r="N3972" s="1178"/>
      <c r="O3972" s="1178">
        <v>6</v>
      </c>
      <c r="P3972" s="1178">
        <v>14</v>
      </c>
    </row>
    <row r="3973" spans="1:16">
      <c r="A3973" s="1178" t="s">
        <v>386</v>
      </c>
      <c r="B3973" s="1371" t="str">
        <f>HYPERLINK(IFERROR("#Main_Tariff!A"&amp;MATCH(Raeburn_Main_Tariff[[#This Row],[Product Code]],Main_Tariff!I:I,0),"#Main_Tariff!A"&amp;MATCH("*"&amp;RIGHT(A3973,8)&amp;"*",Main_Tariff!A:A,0)),Raeburn_Main_Tariff[[#This Row],[PRODUCER]])</f>
        <v>Daniele Coutandin</v>
      </c>
      <c r="C3973" s="1178" t="s">
        <v>21937</v>
      </c>
      <c r="D3973" s="1178" t="s">
        <v>897</v>
      </c>
      <c r="E3973" s="1179">
        <v>2019</v>
      </c>
      <c r="F3973" s="1282" t="s">
        <v>20220</v>
      </c>
      <c r="G3973" s="1368">
        <v>27.5</v>
      </c>
      <c r="H3973" s="1178" t="s">
        <v>20221</v>
      </c>
      <c r="I3973" s="1178" t="s">
        <v>12099</v>
      </c>
      <c r="J3973" s="1178" t="s">
        <v>668</v>
      </c>
      <c r="K3973" s="1178" t="s">
        <v>350</v>
      </c>
      <c r="L3973" s="1178"/>
      <c r="M3973" s="1369"/>
      <c r="N3973" s="1178"/>
      <c r="O3973" s="1178">
        <v>6</v>
      </c>
      <c r="P3973" s="1178">
        <v>14</v>
      </c>
    </row>
    <row r="3974" spans="1:16">
      <c r="A3974" s="1178" t="s">
        <v>386</v>
      </c>
      <c r="B3974" s="1371" t="str">
        <f>HYPERLINK(IFERROR("#Main_Tariff!A"&amp;MATCH(Raeburn_Main_Tariff[[#This Row],[Product Code]],Main_Tariff!I:I,0),"#Main_Tariff!A"&amp;MATCH("*"&amp;RIGHT(A3974,8)&amp;"*",Main_Tariff!A:A,0)),Raeburn_Main_Tariff[[#This Row],[PRODUCER]])</f>
        <v>Daniele Coutandin</v>
      </c>
      <c r="C3974" s="1178" t="s">
        <v>21937</v>
      </c>
      <c r="D3974" s="1178" t="s">
        <v>897</v>
      </c>
      <c r="E3974" s="1179">
        <v>2017</v>
      </c>
      <c r="F3974" s="1282" t="s">
        <v>20220</v>
      </c>
      <c r="G3974" s="1368">
        <v>26</v>
      </c>
      <c r="H3974" s="1178" t="s">
        <v>20221</v>
      </c>
      <c r="I3974" s="1178" t="s">
        <v>12101</v>
      </c>
      <c r="J3974" s="1178" t="s">
        <v>668</v>
      </c>
      <c r="K3974" s="1178" t="s">
        <v>350</v>
      </c>
      <c r="L3974" s="1178"/>
      <c r="M3974" s="1369"/>
      <c r="N3974" s="1178"/>
      <c r="O3974" s="1178">
        <v>6</v>
      </c>
      <c r="P3974" s="1178">
        <v>14.5</v>
      </c>
    </row>
    <row r="3975" spans="1:16">
      <c r="A3975" s="1178" t="s">
        <v>388</v>
      </c>
      <c r="B3975" s="1371" t="str">
        <f>HYPERLINK(IFERROR("#Main_Tariff!A"&amp;MATCH(Raeburn_Main_Tariff[[#This Row],[Product Code]],Main_Tariff!I:I,0),"#Main_Tariff!A"&amp;MATCH("*"&amp;RIGHT(A3975,8)&amp;"*",Main_Tariff!A:A,0)),Raeburn_Main_Tariff[[#This Row],[PRODUCER]])</f>
        <v>Barbacan</v>
      </c>
      <c r="C3975" s="1178" t="s">
        <v>21938</v>
      </c>
      <c r="D3975" s="1178" t="s">
        <v>897</v>
      </c>
      <c r="E3975" s="1179">
        <v>2022</v>
      </c>
      <c r="F3975" s="1282" t="s">
        <v>20220</v>
      </c>
      <c r="G3975" s="1368">
        <v>19.75</v>
      </c>
      <c r="H3975" s="1178" t="s">
        <v>20221</v>
      </c>
      <c r="I3975" s="1178" t="s">
        <v>12131</v>
      </c>
      <c r="J3975" s="1178" t="s">
        <v>668</v>
      </c>
      <c r="K3975" s="1178" t="s">
        <v>19419</v>
      </c>
      <c r="L3975" s="1178"/>
      <c r="M3975" s="1369"/>
      <c r="N3975" s="1178"/>
      <c r="O3975" s="1178">
        <v>6</v>
      </c>
      <c r="P3975" s="1178">
        <v>13</v>
      </c>
    </row>
    <row r="3976" spans="1:16">
      <c r="A3976" s="1178" t="s">
        <v>388</v>
      </c>
      <c r="B3976" s="1371" t="str">
        <f>HYPERLINK(IFERROR("#Main_Tariff!A"&amp;MATCH(Raeburn_Main_Tariff[[#This Row],[Product Code]],Main_Tariff!I:I,0),"#Main_Tariff!A"&amp;MATCH("*"&amp;RIGHT(A3976,8)&amp;"*",Main_Tariff!A:A,0)),Raeburn_Main_Tariff[[#This Row],[PRODUCER]])</f>
        <v>Barbacan</v>
      </c>
      <c r="C3976" s="1178" t="s">
        <v>21938</v>
      </c>
      <c r="D3976" s="1178" t="s">
        <v>897</v>
      </c>
      <c r="E3976" s="1179">
        <v>2021</v>
      </c>
      <c r="F3976" s="1282" t="s">
        <v>20220</v>
      </c>
      <c r="G3976" s="1368">
        <v>19.75</v>
      </c>
      <c r="H3976" s="1178" t="s">
        <v>20221</v>
      </c>
      <c r="I3976" s="1178" t="s">
        <v>12133</v>
      </c>
      <c r="J3976" s="1178" t="s">
        <v>668</v>
      </c>
      <c r="K3976" s="1178" t="s">
        <v>19419</v>
      </c>
      <c r="L3976" s="1178"/>
      <c r="M3976" s="1369"/>
      <c r="N3976" s="1178"/>
      <c r="O3976" s="1178">
        <v>6</v>
      </c>
      <c r="P3976" s="1178">
        <v>12.5</v>
      </c>
    </row>
    <row r="3977" spans="1:16">
      <c r="A3977" s="1178" t="s">
        <v>388</v>
      </c>
      <c r="B3977" s="1371" t="str">
        <f>HYPERLINK(IFERROR("#Main_Tariff!A"&amp;MATCH(Raeburn_Main_Tariff[[#This Row],[Product Code]],Main_Tariff!I:I,0),"#Main_Tariff!A"&amp;MATCH("*"&amp;RIGHT(A3977,8)&amp;"*",Main_Tariff!A:A,0)),Raeburn_Main_Tariff[[#This Row],[PRODUCER]])</f>
        <v>Barbacan</v>
      </c>
      <c r="C3977" s="1178" t="s">
        <v>21939</v>
      </c>
      <c r="D3977" s="1178" t="s">
        <v>897</v>
      </c>
      <c r="E3977" s="1179">
        <v>2022</v>
      </c>
      <c r="F3977" s="1282" t="s">
        <v>20220</v>
      </c>
      <c r="G3977" s="1368">
        <v>27</v>
      </c>
      <c r="H3977" s="1178" t="s">
        <v>20221</v>
      </c>
      <c r="I3977" s="1178" t="s">
        <v>12137</v>
      </c>
      <c r="J3977" s="1178" t="s">
        <v>668</v>
      </c>
      <c r="K3977" s="1178" t="s">
        <v>19419</v>
      </c>
      <c r="L3977" s="1178"/>
      <c r="M3977" s="1369"/>
      <c r="N3977" s="1178"/>
      <c r="O3977" s="1178">
        <v>6</v>
      </c>
      <c r="P3977" s="1178">
        <v>13.5</v>
      </c>
    </row>
    <row r="3978" spans="1:16">
      <c r="A3978" s="1178" t="s">
        <v>388</v>
      </c>
      <c r="B3978" s="1371" t="str">
        <f>HYPERLINK(IFERROR("#Main_Tariff!A"&amp;MATCH(Raeburn_Main_Tariff[[#This Row],[Product Code]],Main_Tariff!I:I,0),"#Main_Tariff!A"&amp;MATCH("*"&amp;RIGHT(A3978,8)&amp;"*",Main_Tariff!A:A,0)),Raeburn_Main_Tariff[[#This Row],[PRODUCER]])</f>
        <v>Barbacan</v>
      </c>
      <c r="C3978" s="1178" t="s">
        <v>21940</v>
      </c>
      <c r="D3978" s="1178" t="s">
        <v>897</v>
      </c>
      <c r="E3978" s="1179">
        <v>2021</v>
      </c>
      <c r="F3978" s="1282" t="s">
        <v>20220</v>
      </c>
      <c r="G3978" s="1368">
        <v>25.75</v>
      </c>
      <c r="H3978" s="1178" t="s">
        <v>20221</v>
      </c>
      <c r="I3978" s="1178" t="s">
        <v>12141</v>
      </c>
      <c r="J3978" s="1178" t="s">
        <v>668</v>
      </c>
      <c r="K3978" s="1178" t="s">
        <v>19419</v>
      </c>
      <c r="L3978" s="1178"/>
      <c r="M3978" s="1369"/>
      <c r="N3978" s="1178"/>
      <c r="O3978" s="1178">
        <v>6</v>
      </c>
      <c r="P3978" s="1178">
        <v>13.5</v>
      </c>
    </row>
    <row r="3979" spans="1:16">
      <c r="A3979" s="1178" t="s">
        <v>388</v>
      </c>
      <c r="B3979" s="1371" t="str">
        <f>HYPERLINK(IFERROR("#Main_Tariff!A"&amp;MATCH(Raeburn_Main_Tariff[[#This Row],[Product Code]],Main_Tariff!I:I,0),"#Main_Tariff!A"&amp;MATCH("*"&amp;RIGHT(A3979,8)&amp;"*",Main_Tariff!A:A,0)),Raeburn_Main_Tariff[[#This Row],[PRODUCER]])</f>
        <v>Barbacan</v>
      </c>
      <c r="C3979" s="1178" t="s">
        <v>21941</v>
      </c>
      <c r="D3979" s="1178" t="s">
        <v>897</v>
      </c>
      <c r="E3979" s="1179">
        <v>2021</v>
      </c>
      <c r="F3979" s="1282" t="s">
        <v>20220</v>
      </c>
      <c r="G3979" s="1368">
        <v>30</v>
      </c>
      <c r="H3979" s="1178" t="s">
        <v>20221</v>
      </c>
      <c r="I3979" s="1178" t="s">
        <v>12143</v>
      </c>
      <c r="J3979" s="1178" t="s">
        <v>668</v>
      </c>
      <c r="K3979" s="1178" t="s">
        <v>19419</v>
      </c>
      <c r="L3979" s="1178"/>
      <c r="M3979" s="1369"/>
      <c r="N3979" s="1178"/>
      <c r="O3979" s="1178">
        <v>6</v>
      </c>
      <c r="P3979" s="1178">
        <v>13.5</v>
      </c>
    </row>
    <row r="3980" spans="1:16">
      <c r="A3980" s="1178" t="s">
        <v>388</v>
      </c>
      <c r="B3980" s="1371" t="str">
        <f>HYPERLINK(IFERROR("#Main_Tariff!A"&amp;MATCH(Raeburn_Main_Tariff[[#This Row],[Product Code]],Main_Tariff!I:I,0),"#Main_Tariff!A"&amp;MATCH("*"&amp;RIGHT(A3980,8)&amp;"*",Main_Tariff!A:A,0)),Raeburn_Main_Tariff[[#This Row],[PRODUCER]])</f>
        <v>Barbacan</v>
      </c>
      <c r="C3980" s="1178" t="s">
        <v>21941</v>
      </c>
      <c r="D3980" s="1178" t="s">
        <v>897</v>
      </c>
      <c r="E3980" s="1179">
        <v>2019</v>
      </c>
      <c r="F3980" s="1282" t="s">
        <v>20220</v>
      </c>
      <c r="G3980" s="1368">
        <v>30</v>
      </c>
      <c r="H3980" s="1178" t="s">
        <v>20221</v>
      </c>
      <c r="I3980" s="1178" t="s">
        <v>12145</v>
      </c>
      <c r="J3980" s="1178" t="s">
        <v>668</v>
      </c>
      <c r="K3980" s="1178" t="s">
        <v>19419</v>
      </c>
      <c r="L3980" s="1178"/>
      <c r="M3980" s="1369"/>
      <c r="N3980" s="1178"/>
      <c r="O3980" s="1178">
        <v>6</v>
      </c>
      <c r="P3980" s="1178">
        <v>13.5</v>
      </c>
    </row>
    <row r="3981" spans="1:16">
      <c r="A3981" s="1178" t="s">
        <v>388</v>
      </c>
      <c r="B3981" s="1371" t="str">
        <f>HYPERLINK(IFERROR("#Main_Tariff!A"&amp;MATCH(Raeburn_Main_Tariff[[#This Row],[Product Code]],Main_Tariff!I:I,0),"#Main_Tariff!A"&amp;MATCH("*"&amp;RIGHT(A3981,8)&amp;"*",Main_Tariff!A:A,0)),Raeburn_Main_Tariff[[#This Row],[PRODUCER]])</f>
        <v>Barbacan</v>
      </c>
      <c r="C3981" s="1178" t="s">
        <v>21942</v>
      </c>
      <c r="D3981" s="1178" t="s">
        <v>897</v>
      </c>
      <c r="E3981" s="1179">
        <v>2017</v>
      </c>
      <c r="F3981" s="1282" t="s">
        <v>20220</v>
      </c>
      <c r="G3981" s="1368">
        <v>32.5</v>
      </c>
      <c r="H3981" s="1178" t="s">
        <v>20277</v>
      </c>
      <c r="I3981" s="1178" t="s">
        <v>12147</v>
      </c>
      <c r="J3981" s="1178" t="s">
        <v>668</v>
      </c>
      <c r="K3981" s="1178" t="s">
        <v>19419</v>
      </c>
      <c r="L3981" s="1178"/>
      <c r="M3981" s="1369"/>
      <c r="N3981" s="1178"/>
      <c r="O3981" s="1178">
        <v>6</v>
      </c>
      <c r="P3981" s="1178">
        <v>13.5</v>
      </c>
    </row>
    <row r="3982" spans="1:16">
      <c r="A3982" s="1178" t="s">
        <v>388</v>
      </c>
      <c r="B3982" s="1371" t="str">
        <f>HYPERLINK(IFERROR("#Main_Tariff!A"&amp;MATCH(Raeburn_Main_Tariff[[#This Row],[Product Code]],Main_Tariff!I:I,0),"#Main_Tariff!A"&amp;MATCH("*"&amp;RIGHT(A3982,8)&amp;"*",Main_Tariff!A:A,0)),Raeburn_Main_Tariff[[#This Row],[PRODUCER]])</f>
        <v>Barbacan</v>
      </c>
      <c r="C3982" s="1178" t="s">
        <v>21943</v>
      </c>
      <c r="D3982" s="1178" t="s">
        <v>897</v>
      </c>
      <c r="E3982" s="1179">
        <v>2018</v>
      </c>
      <c r="F3982" s="1282" t="s">
        <v>20220</v>
      </c>
      <c r="G3982" s="1368">
        <v>42</v>
      </c>
      <c r="H3982" s="1178" t="s">
        <v>20221</v>
      </c>
      <c r="I3982" s="1178" t="s">
        <v>12150</v>
      </c>
      <c r="J3982" s="1178" t="s">
        <v>668</v>
      </c>
      <c r="K3982" s="1178" t="s">
        <v>19419</v>
      </c>
      <c r="L3982" s="1178"/>
      <c r="M3982" s="1369"/>
      <c r="N3982" s="1178"/>
      <c r="O3982" s="1178">
        <v>6</v>
      </c>
      <c r="P3982" s="1178">
        <v>13.5</v>
      </c>
    </row>
    <row r="3983" spans="1:16">
      <c r="A3983" s="1178" t="s">
        <v>388</v>
      </c>
      <c r="B3983" s="1371" t="str">
        <f>HYPERLINK(IFERROR("#Main_Tariff!A"&amp;MATCH(Raeburn_Main_Tariff[[#This Row],[Product Code]],Main_Tariff!I:I,0),"#Main_Tariff!A"&amp;MATCH("*"&amp;RIGHT(A3983,8)&amp;"*",Main_Tariff!A:A,0)),Raeburn_Main_Tariff[[#This Row],[PRODUCER]])</f>
        <v>Barbacan</v>
      </c>
      <c r="C3983" s="1178" t="s">
        <v>21943</v>
      </c>
      <c r="D3983" s="1178" t="s">
        <v>897</v>
      </c>
      <c r="E3983" s="1179">
        <v>2017</v>
      </c>
      <c r="F3983" s="1282" t="s">
        <v>20220</v>
      </c>
      <c r="G3983" s="1368">
        <v>36.5</v>
      </c>
      <c r="H3983" s="1178" t="s">
        <v>20221</v>
      </c>
      <c r="I3983" s="1178" t="s">
        <v>12152</v>
      </c>
      <c r="J3983" s="1178" t="s">
        <v>668</v>
      </c>
      <c r="K3983" s="1178" t="s">
        <v>19419</v>
      </c>
      <c r="L3983" s="1178"/>
      <c r="M3983" s="1369"/>
      <c r="N3983" s="1178"/>
      <c r="O3983" s="1178">
        <v>6</v>
      </c>
      <c r="P3983" s="1178">
        <v>13.5</v>
      </c>
    </row>
    <row r="3984" spans="1:16">
      <c r="A3984" s="1178" t="s">
        <v>388</v>
      </c>
      <c r="B3984" s="1371" t="str">
        <f>HYPERLINK(IFERROR("#Main_Tariff!A"&amp;MATCH(Raeburn_Main_Tariff[[#This Row],[Product Code]],Main_Tariff!I:I,0),"#Main_Tariff!A"&amp;MATCH("*"&amp;RIGHT(A3984,8)&amp;"*",Main_Tariff!A:A,0)),Raeburn_Main_Tariff[[#This Row],[PRODUCER]])</f>
        <v>Barbacan</v>
      </c>
      <c r="C3984" s="1178" t="s">
        <v>21944</v>
      </c>
      <c r="D3984" s="1178" t="s">
        <v>897</v>
      </c>
      <c r="E3984" s="1179">
        <v>2016</v>
      </c>
      <c r="F3984" s="1282" t="s">
        <v>20220</v>
      </c>
      <c r="G3984" s="1368">
        <v>38.25</v>
      </c>
      <c r="H3984" s="1178" t="s">
        <v>20221</v>
      </c>
      <c r="I3984" s="1178" t="s">
        <v>12154</v>
      </c>
      <c r="J3984" s="1178" t="s">
        <v>668</v>
      </c>
      <c r="K3984" s="1178" t="s">
        <v>19419</v>
      </c>
      <c r="L3984" s="1178"/>
      <c r="M3984" s="1369"/>
      <c r="N3984" s="1178"/>
      <c r="O3984" s="1178">
        <v>6</v>
      </c>
      <c r="P3984" s="1178">
        <v>13.5</v>
      </c>
    </row>
    <row r="3985" spans="1:16">
      <c r="A3985" s="1178" t="s">
        <v>388</v>
      </c>
      <c r="B3985" s="1371" t="str">
        <f>HYPERLINK(IFERROR("#Main_Tariff!A"&amp;MATCH(Raeburn_Main_Tariff[[#This Row],[Product Code]],Main_Tariff!I:I,0),"#Main_Tariff!A"&amp;MATCH("*"&amp;RIGHT(A3985,8)&amp;"*",Main_Tariff!A:A,0)),Raeburn_Main_Tariff[[#This Row],[PRODUCER]])</f>
        <v>Barbacan</v>
      </c>
      <c r="C3985" s="1178" t="s">
        <v>21945</v>
      </c>
      <c r="D3985" s="1178" t="s">
        <v>897</v>
      </c>
      <c r="E3985" s="1179">
        <v>2018</v>
      </c>
      <c r="F3985" s="1282" t="s">
        <v>20220</v>
      </c>
      <c r="G3985" s="1368">
        <v>44.5</v>
      </c>
      <c r="H3985" s="1178" t="s">
        <v>20221</v>
      </c>
      <c r="I3985" s="1178" t="s">
        <v>12158</v>
      </c>
      <c r="J3985" s="1178" t="s">
        <v>668</v>
      </c>
      <c r="K3985" s="1178" t="s">
        <v>19419</v>
      </c>
      <c r="L3985" s="1178"/>
      <c r="M3985" s="1369"/>
      <c r="N3985" s="1178"/>
      <c r="O3985" s="1178">
        <v>6</v>
      </c>
      <c r="P3985" s="1178">
        <v>15</v>
      </c>
    </row>
    <row r="3986" spans="1:16">
      <c r="A3986" s="1178" t="s">
        <v>388</v>
      </c>
      <c r="B3986" s="1371" t="str">
        <f>HYPERLINK(IFERROR("#Main_Tariff!A"&amp;MATCH(Raeburn_Main_Tariff[[#This Row],[Product Code]],Main_Tariff!I:I,0),"#Main_Tariff!A"&amp;MATCH("*"&amp;RIGHT(A3986,8)&amp;"*",Main_Tariff!A:A,0)),Raeburn_Main_Tariff[[#This Row],[PRODUCER]])</f>
        <v>Barbacan</v>
      </c>
      <c r="C3986" s="1178" t="s">
        <v>21946</v>
      </c>
      <c r="D3986" s="1178" t="s">
        <v>897</v>
      </c>
      <c r="E3986" s="1179">
        <v>2019</v>
      </c>
      <c r="F3986" s="1282" t="s">
        <v>20240</v>
      </c>
      <c r="G3986" s="1368">
        <v>40</v>
      </c>
      <c r="H3986" s="1178" t="s">
        <v>20224</v>
      </c>
      <c r="I3986" s="1178" t="s">
        <v>12161</v>
      </c>
      <c r="J3986" s="1178" t="s">
        <v>668</v>
      </c>
      <c r="K3986" s="1178" t="s">
        <v>19419</v>
      </c>
      <c r="L3986" s="1178"/>
      <c r="M3986" s="1369"/>
      <c r="N3986" s="1178"/>
      <c r="O3986" s="1178">
        <v>1</v>
      </c>
      <c r="P3986" s="1178">
        <v>12.5</v>
      </c>
    </row>
    <row r="3987" spans="1:16">
      <c r="A3987" s="1178" t="s">
        <v>388</v>
      </c>
      <c r="B3987" s="1371" t="str">
        <f>HYPERLINK(IFERROR("#Main_Tariff!A"&amp;MATCH(Raeburn_Main_Tariff[[#This Row],[Product Code]],Main_Tariff!I:I,0),"#Main_Tariff!A"&amp;MATCH("*"&amp;RIGHT(A3987,8)&amp;"*",Main_Tariff!A:A,0)),Raeburn_Main_Tariff[[#This Row],[PRODUCER]])</f>
        <v>Barbacan</v>
      </c>
      <c r="C3987" s="1178" t="s">
        <v>21946</v>
      </c>
      <c r="D3987" s="1178" t="s">
        <v>897</v>
      </c>
      <c r="E3987" s="1179">
        <v>2018</v>
      </c>
      <c r="F3987" s="1282" t="s">
        <v>20240</v>
      </c>
      <c r="G3987" s="1368">
        <v>40</v>
      </c>
      <c r="H3987" s="1178" t="s">
        <v>20224</v>
      </c>
      <c r="I3987" s="1178" t="s">
        <v>12163</v>
      </c>
      <c r="J3987" s="1178" t="s">
        <v>668</v>
      </c>
      <c r="K3987" s="1178" t="s">
        <v>19419</v>
      </c>
      <c r="L3987" s="1178"/>
      <c r="M3987" s="1369"/>
      <c r="N3987" s="1178"/>
      <c r="O3987" s="1178">
        <v>1</v>
      </c>
      <c r="P3987" s="1178">
        <v>12.5</v>
      </c>
    </row>
    <row r="3988" spans="1:16">
      <c r="A3988" s="1178" t="s">
        <v>388</v>
      </c>
      <c r="B3988" s="1371" t="str">
        <f>HYPERLINK(IFERROR("#Main_Tariff!A"&amp;MATCH(Raeburn_Main_Tariff[[#This Row],[Product Code]],Main_Tariff!I:I,0),"#Main_Tariff!A"&amp;MATCH("*"&amp;RIGHT(A3988,8)&amp;"*",Main_Tariff!A:A,0)),Raeburn_Main_Tariff[[#This Row],[PRODUCER]])</f>
        <v>Barbacan</v>
      </c>
      <c r="C3988" s="1178" t="s">
        <v>21947</v>
      </c>
      <c r="D3988" s="1178" t="s">
        <v>897</v>
      </c>
      <c r="E3988" s="1179">
        <v>2017</v>
      </c>
      <c r="F3988" s="1282" t="s">
        <v>20240</v>
      </c>
      <c r="G3988" s="1368">
        <v>58</v>
      </c>
      <c r="H3988" s="1178" t="s">
        <v>20224</v>
      </c>
      <c r="I3988" s="1178" t="s">
        <v>12164</v>
      </c>
      <c r="J3988" s="1178" t="s">
        <v>668</v>
      </c>
      <c r="K3988" s="1178" t="s">
        <v>19419</v>
      </c>
      <c r="L3988" s="1178"/>
      <c r="M3988" s="1369"/>
      <c r="N3988" s="1178"/>
      <c r="O3988" s="1178">
        <v>1</v>
      </c>
      <c r="P3988" s="1178">
        <v>13.5</v>
      </c>
    </row>
    <row r="3989" spans="1:16">
      <c r="A3989" s="1178" t="s">
        <v>388</v>
      </c>
      <c r="B3989" s="1371" t="str">
        <f>HYPERLINK(IFERROR("#Main_Tariff!A"&amp;MATCH(Raeburn_Main_Tariff[[#This Row],[Product Code]],Main_Tariff!I:I,0),"#Main_Tariff!A"&amp;MATCH("*"&amp;RIGHT(A3989,8)&amp;"*",Main_Tariff!A:A,0)),Raeburn_Main_Tariff[[#This Row],[PRODUCER]])</f>
        <v>Barbacan</v>
      </c>
      <c r="C3989" s="1178" t="s">
        <v>21948</v>
      </c>
      <c r="D3989" s="1178" t="s">
        <v>897</v>
      </c>
      <c r="E3989" s="1179">
        <v>2017</v>
      </c>
      <c r="F3989" s="1282" t="s">
        <v>20240</v>
      </c>
      <c r="G3989" s="1368">
        <v>67</v>
      </c>
      <c r="H3989" s="1178" t="s">
        <v>20224</v>
      </c>
      <c r="I3989" s="1178" t="s">
        <v>12166</v>
      </c>
      <c r="J3989" s="1178" t="s">
        <v>668</v>
      </c>
      <c r="K3989" s="1178" t="s">
        <v>19419</v>
      </c>
      <c r="L3989" s="1178"/>
      <c r="M3989" s="1369"/>
      <c r="N3989" s="1178"/>
      <c r="O3989" s="1178">
        <v>1</v>
      </c>
      <c r="P3989" s="1178">
        <v>13.5</v>
      </c>
    </row>
    <row r="3990" spans="1:16">
      <c r="A3990" s="1178" t="s">
        <v>388</v>
      </c>
      <c r="B3990" s="1371" t="str">
        <f>HYPERLINK(IFERROR("#Main_Tariff!A"&amp;MATCH(Raeburn_Main_Tariff[[#This Row],[Product Code]],Main_Tariff!I:I,0),"#Main_Tariff!A"&amp;MATCH("*"&amp;RIGHT(A3990,8)&amp;"*",Main_Tariff!A:A,0)),Raeburn_Main_Tariff[[#This Row],[PRODUCER]])</f>
        <v>Barbacan</v>
      </c>
      <c r="C3990" s="1178" t="s">
        <v>21949</v>
      </c>
      <c r="D3990" s="1178" t="s">
        <v>897</v>
      </c>
      <c r="E3990" s="1179">
        <v>2017</v>
      </c>
      <c r="F3990" s="1282" t="s">
        <v>20240</v>
      </c>
      <c r="G3990" s="1368">
        <v>74</v>
      </c>
      <c r="H3990" s="1178" t="s">
        <v>20224</v>
      </c>
      <c r="I3990" s="1178" t="s">
        <v>12168</v>
      </c>
      <c r="J3990" s="1178" t="s">
        <v>668</v>
      </c>
      <c r="K3990" s="1178" t="s">
        <v>19419</v>
      </c>
      <c r="L3990" s="1178"/>
      <c r="M3990" s="1369"/>
      <c r="N3990" s="1178"/>
      <c r="O3990" s="1178">
        <v>1</v>
      </c>
      <c r="P3990" s="1178">
        <v>13.5</v>
      </c>
    </row>
    <row r="3991" spans="1:16">
      <c r="A3991" s="1178" t="s">
        <v>21950</v>
      </c>
      <c r="B3991" s="1371" t="str">
        <f>HYPERLINK(IFERROR("#Main_Tariff!A"&amp;MATCH(Raeburn_Main_Tariff[[#This Row],[Product Code]],Main_Tariff!I:I,0),"#Main_Tariff!A"&amp;MATCH("*"&amp;RIGHT(A3991,8)&amp;"*",Main_Tariff!A:A,0)),Raeburn_Main_Tariff[[#This Row],[PRODUCER]])</f>
        <v>Cantina Mezzacane</v>
      </c>
      <c r="C3991" s="1178" t="s">
        <v>21951</v>
      </c>
      <c r="D3991" s="1178" t="s">
        <v>1370</v>
      </c>
      <c r="E3991" s="1179">
        <v>2019</v>
      </c>
      <c r="F3991" s="1282" t="s">
        <v>20220</v>
      </c>
      <c r="G3991" s="1368">
        <v>29</v>
      </c>
      <c r="H3991" s="1178" t="s">
        <v>20221</v>
      </c>
      <c r="I3991" s="1178" t="s">
        <v>12193</v>
      </c>
      <c r="J3991" s="1178" t="s">
        <v>668</v>
      </c>
      <c r="K3991" s="1178" t="s">
        <v>19419</v>
      </c>
      <c r="L3991" s="1178"/>
      <c r="M3991" s="1369"/>
      <c r="N3991" s="1178"/>
      <c r="O3991" s="1178">
        <v>6</v>
      </c>
      <c r="P3991" s="1178">
        <v>14</v>
      </c>
    </row>
    <row r="3992" spans="1:16">
      <c r="A3992" s="1178" t="s">
        <v>21950</v>
      </c>
      <c r="B3992" s="1371" t="str">
        <f>HYPERLINK(IFERROR("#Main_Tariff!A"&amp;MATCH(Raeburn_Main_Tariff[[#This Row],[Product Code]],Main_Tariff!I:I,0),"#Main_Tariff!A"&amp;MATCH("*"&amp;RIGHT(A3992,8)&amp;"*",Main_Tariff!A:A,0)),Raeburn_Main_Tariff[[#This Row],[PRODUCER]])</f>
        <v>Cantina Mezzacane</v>
      </c>
      <c r="C3992" s="1178" t="s">
        <v>21952</v>
      </c>
      <c r="D3992" s="1178" t="s">
        <v>1370</v>
      </c>
      <c r="E3992" s="1179">
        <v>2020</v>
      </c>
      <c r="F3992" s="1282" t="s">
        <v>20220</v>
      </c>
      <c r="G3992" s="1368">
        <v>29</v>
      </c>
      <c r="H3992" s="1178" t="s">
        <v>20221</v>
      </c>
      <c r="I3992" s="1178" t="s">
        <v>12195</v>
      </c>
      <c r="J3992" s="1178" t="s">
        <v>668</v>
      </c>
      <c r="K3992" s="1178" t="s">
        <v>19419</v>
      </c>
      <c r="L3992" s="1178"/>
      <c r="M3992" s="1369"/>
      <c r="N3992" s="1178"/>
      <c r="O3992" s="1178">
        <v>6</v>
      </c>
      <c r="P3992" s="1178">
        <v>14.5</v>
      </c>
    </row>
    <row r="3993" spans="1:16">
      <c r="A3993" s="1178" t="s">
        <v>21950</v>
      </c>
      <c r="B3993" s="1371" t="str">
        <f>HYPERLINK(IFERROR("#Main_Tariff!A"&amp;MATCH(Raeburn_Main_Tariff[[#This Row],[Product Code]],Main_Tariff!I:I,0),"#Main_Tariff!A"&amp;MATCH("*"&amp;RIGHT(A3993,8)&amp;"*",Main_Tariff!A:A,0)),Raeburn_Main_Tariff[[#This Row],[PRODUCER]])</f>
        <v>Cantina Mezzacane</v>
      </c>
      <c r="C3993" s="1178" t="s">
        <v>21953</v>
      </c>
      <c r="D3993" s="1178" t="s">
        <v>1370</v>
      </c>
      <c r="E3993" s="1179">
        <v>2020</v>
      </c>
      <c r="F3993" s="1282" t="s">
        <v>20220</v>
      </c>
      <c r="G3993" s="1368">
        <v>35.25</v>
      </c>
      <c r="H3993" s="1178" t="s">
        <v>20221</v>
      </c>
      <c r="I3993" s="1178" t="s">
        <v>12197</v>
      </c>
      <c r="J3993" s="1178" t="s">
        <v>668</v>
      </c>
      <c r="K3993" s="1178" t="s">
        <v>19419</v>
      </c>
      <c r="L3993" s="1178"/>
      <c r="M3993" s="1369"/>
      <c r="N3993" s="1178"/>
      <c r="O3993" s="1178">
        <v>6</v>
      </c>
      <c r="P3993" s="1178">
        <v>13.5</v>
      </c>
    </row>
    <row r="3994" spans="1:16">
      <c r="A3994" s="1178" t="s">
        <v>21950</v>
      </c>
      <c r="B3994" s="1371" t="str">
        <f>HYPERLINK(IFERROR("#Main_Tariff!A"&amp;MATCH(Raeburn_Main_Tariff[[#This Row],[Product Code]],Main_Tariff!I:I,0),"#Main_Tariff!A"&amp;MATCH("*"&amp;RIGHT(A3994,8)&amp;"*",Main_Tariff!A:A,0)),Raeburn_Main_Tariff[[#This Row],[PRODUCER]])</f>
        <v>Cantina Mezzacane</v>
      </c>
      <c r="C3994" s="1178" t="s">
        <v>21954</v>
      </c>
      <c r="D3994" s="1178" t="s">
        <v>1370</v>
      </c>
      <c r="E3994" s="1179">
        <v>2020</v>
      </c>
      <c r="F3994" s="1282" t="s">
        <v>20220</v>
      </c>
      <c r="G3994" s="1368">
        <v>35.25</v>
      </c>
      <c r="H3994" s="1178" t="s">
        <v>20221</v>
      </c>
      <c r="I3994" s="1178" t="s">
        <v>12198</v>
      </c>
      <c r="J3994" s="1178" t="s">
        <v>668</v>
      </c>
      <c r="K3994" s="1178" t="s">
        <v>19419</v>
      </c>
      <c r="L3994" s="1178"/>
      <c r="M3994" s="1369"/>
      <c r="N3994" s="1178"/>
      <c r="O3994" s="1178">
        <v>6</v>
      </c>
      <c r="P3994" s="1178">
        <v>14</v>
      </c>
    </row>
    <row r="3995" spans="1:16">
      <c r="A3995" s="1178" t="s">
        <v>21950</v>
      </c>
      <c r="B3995" s="1371" t="str">
        <f>HYPERLINK(IFERROR("#Main_Tariff!A"&amp;MATCH(Raeburn_Main_Tariff[[#This Row],[Product Code]],Main_Tariff!I:I,0),"#Main_Tariff!A"&amp;MATCH("*"&amp;RIGHT(A3995,8)&amp;"*",Main_Tariff!A:A,0)),Raeburn_Main_Tariff[[#This Row],[PRODUCER]])</f>
        <v>Cantina Mezzacane</v>
      </c>
      <c r="C3995" s="1178" t="s">
        <v>21955</v>
      </c>
      <c r="D3995" s="1178" t="s">
        <v>1370</v>
      </c>
      <c r="E3995" s="1179">
        <v>2020</v>
      </c>
      <c r="F3995" s="1282" t="s">
        <v>20220</v>
      </c>
      <c r="G3995" s="1368">
        <v>37.75</v>
      </c>
      <c r="H3995" s="1178" t="s">
        <v>20221</v>
      </c>
      <c r="I3995" s="1178" t="s">
        <v>12199</v>
      </c>
      <c r="J3995" s="1178" t="s">
        <v>668</v>
      </c>
      <c r="K3995" s="1178" t="s">
        <v>19419</v>
      </c>
      <c r="L3995" s="1178"/>
      <c r="M3995" s="1369"/>
      <c r="N3995" s="1178"/>
      <c r="O3995" s="1178">
        <v>6</v>
      </c>
      <c r="P3995" s="1178">
        <v>14.5</v>
      </c>
    </row>
    <row r="3996" spans="1:16">
      <c r="A3996" s="1178" t="s">
        <v>21950</v>
      </c>
      <c r="B3996" s="1371" t="str">
        <f>HYPERLINK(IFERROR("#Main_Tariff!A"&amp;MATCH(Raeburn_Main_Tariff[[#This Row],[Product Code]],Main_Tariff!I:I,0),"#Main_Tariff!A"&amp;MATCH("*"&amp;RIGHT(A3996,8)&amp;"*",Main_Tariff!A:A,0)),Raeburn_Main_Tariff[[#This Row],[PRODUCER]])</f>
        <v>Cantina Mezzacane</v>
      </c>
      <c r="C3996" s="1178" t="s">
        <v>21956</v>
      </c>
      <c r="D3996" s="1178" t="s">
        <v>1370</v>
      </c>
      <c r="E3996" s="1179">
        <v>2019</v>
      </c>
      <c r="F3996" s="1282" t="s">
        <v>20240</v>
      </c>
      <c r="G3996" s="1368">
        <v>59.5</v>
      </c>
      <c r="H3996" s="1178" t="s">
        <v>20221</v>
      </c>
      <c r="I3996" s="1178" t="s">
        <v>12203</v>
      </c>
      <c r="J3996" s="1178" t="s">
        <v>668</v>
      </c>
      <c r="K3996" s="1178" t="s">
        <v>19419</v>
      </c>
      <c r="L3996" s="1178"/>
      <c r="M3996" s="1369"/>
      <c r="N3996" s="1178"/>
      <c r="O3996" s="1178">
        <v>1</v>
      </c>
      <c r="P3996" s="1178">
        <v>14</v>
      </c>
    </row>
    <row r="3997" spans="1:16">
      <c r="A3997" s="1178" t="s">
        <v>21950</v>
      </c>
      <c r="B3997" s="1371" t="str">
        <f>HYPERLINK(IFERROR("#Main_Tariff!A"&amp;MATCH(Raeburn_Main_Tariff[[#This Row],[Product Code]],Main_Tariff!I:I,0),"#Main_Tariff!A"&amp;MATCH("*"&amp;RIGHT(A3997,8)&amp;"*",Main_Tariff!A:A,0)),Raeburn_Main_Tariff[[#This Row],[PRODUCER]])</f>
        <v>Cantina Mezzacane</v>
      </c>
      <c r="C3997" s="1178" t="s">
        <v>21957</v>
      </c>
      <c r="D3997" s="1178" t="s">
        <v>1370</v>
      </c>
      <c r="E3997" s="1179">
        <v>2020</v>
      </c>
      <c r="F3997" s="1282" t="s">
        <v>20240</v>
      </c>
      <c r="G3997" s="1368">
        <v>59.5</v>
      </c>
      <c r="H3997" s="1178" t="s">
        <v>20221</v>
      </c>
      <c r="I3997" s="1178" t="s">
        <v>12205</v>
      </c>
      <c r="J3997" s="1178" t="s">
        <v>668</v>
      </c>
      <c r="K3997" s="1178" t="s">
        <v>19419</v>
      </c>
      <c r="L3997" s="1178"/>
      <c r="M3997" s="1369"/>
      <c r="N3997" s="1178"/>
      <c r="O3997" s="1178">
        <v>1</v>
      </c>
      <c r="P3997" s="1178">
        <v>14.5</v>
      </c>
    </row>
    <row r="3998" spans="1:16">
      <c r="A3998" s="1178" t="s">
        <v>21950</v>
      </c>
      <c r="B3998" s="1371" t="str">
        <f>HYPERLINK(IFERROR("#Main_Tariff!A"&amp;MATCH(Raeburn_Main_Tariff[[#This Row],[Product Code]],Main_Tariff!I:I,0),"#Main_Tariff!A"&amp;MATCH("*"&amp;RIGHT(A3998,8)&amp;"*",Main_Tariff!A:A,0)),Raeburn_Main_Tariff[[#This Row],[PRODUCER]])</f>
        <v>Cantina Mezzacane</v>
      </c>
      <c r="C3998" s="1178" t="s">
        <v>21958</v>
      </c>
      <c r="D3998" s="1178" t="s">
        <v>1370</v>
      </c>
      <c r="E3998" s="1179">
        <v>2020</v>
      </c>
      <c r="F3998" s="1282" t="s">
        <v>20240</v>
      </c>
      <c r="G3998" s="1368">
        <v>71.5</v>
      </c>
      <c r="H3998" s="1178" t="s">
        <v>20221</v>
      </c>
      <c r="I3998" s="1178" t="s">
        <v>12207</v>
      </c>
      <c r="J3998" s="1178" t="s">
        <v>668</v>
      </c>
      <c r="K3998" s="1178" t="s">
        <v>19419</v>
      </c>
      <c r="L3998" s="1178"/>
      <c r="M3998" s="1369"/>
      <c r="N3998" s="1178"/>
      <c r="O3998" s="1178">
        <v>1</v>
      </c>
      <c r="P3998" s="1178">
        <v>14</v>
      </c>
    </row>
    <row r="3999" spans="1:16">
      <c r="A3999" s="1178" t="s">
        <v>21950</v>
      </c>
      <c r="B3999" s="1371" t="str">
        <f>HYPERLINK(IFERROR("#Main_Tariff!A"&amp;MATCH(Raeburn_Main_Tariff[[#This Row],[Product Code]],Main_Tariff!I:I,0),"#Main_Tariff!A"&amp;MATCH("*"&amp;RIGHT(A3999,8)&amp;"*",Main_Tariff!A:A,0)),Raeburn_Main_Tariff[[#This Row],[PRODUCER]])</f>
        <v>Cantina Mezzacane</v>
      </c>
      <c r="C3999" s="1178" t="s">
        <v>21959</v>
      </c>
      <c r="D3999" s="1178" t="s">
        <v>897</v>
      </c>
      <c r="E3999" s="1179">
        <v>2021</v>
      </c>
      <c r="F3999" s="1282" t="s">
        <v>20220</v>
      </c>
      <c r="G3999" s="1368">
        <v>29.5</v>
      </c>
      <c r="H3999" s="1178" t="s">
        <v>20221</v>
      </c>
      <c r="I3999" s="1178" t="s">
        <v>12210</v>
      </c>
      <c r="J3999" s="1178" t="s">
        <v>668</v>
      </c>
      <c r="K3999" s="1178" t="s">
        <v>19419</v>
      </c>
      <c r="L3999" s="1178"/>
      <c r="M3999" s="1369"/>
      <c r="N3999" s="1178"/>
      <c r="O3999" s="1178">
        <v>6</v>
      </c>
      <c r="P3999" s="1178">
        <v>15</v>
      </c>
    </row>
    <row r="4000" spans="1:16">
      <c r="A4000" s="1178" t="s">
        <v>21950</v>
      </c>
      <c r="B4000" s="1371" t="str">
        <f>HYPERLINK(IFERROR("#Main_Tariff!A"&amp;MATCH(Raeburn_Main_Tariff[[#This Row],[Product Code]],Main_Tariff!I:I,0),"#Main_Tariff!A"&amp;MATCH("*"&amp;RIGHT(A4000,8)&amp;"*",Main_Tariff!A:A,0)),Raeburn_Main_Tariff[[#This Row],[PRODUCER]])</f>
        <v>Cantina Mezzacane</v>
      </c>
      <c r="C4000" s="1178" t="s">
        <v>21960</v>
      </c>
      <c r="D4000" s="1178" t="s">
        <v>897</v>
      </c>
      <c r="E4000" s="1179">
        <v>2020</v>
      </c>
      <c r="F4000" s="1282" t="s">
        <v>20220</v>
      </c>
      <c r="G4000" s="1368">
        <v>30</v>
      </c>
      <c r="H4000" s="1178" t="s">
        <v>20221</v>
      </c>
      <c r="I4000" s="1178" t="s">
        <v>12212</v>
      </c>
      <c r="J4000" s="1178" t="s">
        <v>668</v>
      </c>
      <c r="K4000" s="1178" t="s">
        <v>19419</v>
      </c>
      <c r="L4000" s="1178"/>
      <c r="M4000" s="1369"/>
      <c r="N4000" s="1178"/>
      <c r="O4000" s="1178">
        <v>6</v>
      </c>
      <c r="P4000" s="1178">
        <v>15</v>
      </c>
    </row>
    <row r="4001" spans="1:16">
      <c r="A4001" s="1178" t="s">
        <v>21950</v>
      </c>
      <c r="B4001" s="1371" t="str">
        <f>HYPERLINK(IFERROR("#Main_Tariff!A"&amp;MATCH(Raeburn_Main_Tariff[[#This Row],[Product Code]],Main_Tariff!I:I,0),"#Main_Tariff!A"&amp;MATCH("*"&amp;RIGHT(A4001,8)&amp;"*",Main_Tariff!A:A,0)),Raeburn_Main_Tariff[[#This Row],[PRODUCER]])</f>
        <v>Cantina Mezzacane</v>
      </c>
      <c r="C4001" s="1178" t="s">
        <v>21961</v>
      </c>
      <c r="D4001" s="1178" t="s">
        <v>897</v>
      </c>
      <c r="E4001" s="1179">
        <v>2020</v>
      </c>
      <c r="F4001" s="1282" t="s">
        <v>20240</v>
      </c>
      <c r="G4001" s="1368">
        <v>60</v>
      </c>
      <c r="H4001" s="1178" t="s">
        <v>20221</v>
      </c>
      <c r="I4001" s="1178" t="s">
        <v>12214</v>
      </c>
      <c r="J4001" s="1178" t="s">
        <v>668</v>
      </c>
      <c r="K4001" s="1178" t="s">
        <v>19419</v>
      </c>
      <c r="L4001" s="1178"/>
      <c r="M4001" s="1369"/>
      <c r="N4001" s="1178"/>
      <c r="O4001" s="1178">
        <v>1</v>
      </c>
      <c r="P4001" s="1178">
        <v>15</v>
      </c>
    </row>
    <row r="4002" spans="1:16">
      <c r="A4002" s="1178" t="s">
        <v>21962</v>
      </c>
      <c r="B4002" s="1371" t="str">
        <f>HYPERLINK(IFERROR("#Main_Tariff!A"&amp;MATCH(Raeburn_Main_Tariff[[#This Row],[Product Code]],Main_Tariff!I:I,0),"#Main_Tariff!A"&amp;MATCH("*"&amp;RIGHT(A4002,8)&amp;"*",Main_Tariff!A:A,0)),Raeburn_Main_Tariff[[#This Row],[PRODUCER]])</f>
        <v>Podere Il Santo</v>
      </c>
      <c r="C4002" s="1178" t="s">
        <v>21963</v>
      </c>
      <c r="D4002" s="1178" t="s">
        <v>897</v>
      </c>
      <c r="E4002" s="1179">
        <v>2008</v>
      </c>
      <c r="F4002" s="1282" t="s">
        <v>20220</v>
      </c>
      <c r="G4002" s="1368">
        <v>25.5</v>
      </c>
      <c r="H4002" s="1178" t="s">
        <v>20221</v>
      </c>
      <c r="I4002" s="1178" t="s">
        <v>12241</v>
      </c>
      <c r="J4002" s="1178" t="s">
        <v>668</v>
      </c>
      <c r="K4002" s="1178" t="s">
        <v>19419</v>
      </c>
      <c r="L4002" s="1178"/>
      <c r="M4002" s="1369"/>
      <c r="N4002" s="1178"/>
      <c r="O4002" s="1178">
        <v>12</v>
      </c>
      <c r="P4002" s="1178">
        <v>14.5</v>
      </c>
    </row>
    <row r="4003" spans="1:16">
      <c r="A4003" s="1178" t="s">
        <v>21962</v>
      </c>
      <c r="B4003" s="1371" t="str">
        <f>HYPERLINK(IFERROR("#Main_Tariff!A"&amp;MATCH(Raeburn_Main_Tariff[[#This Row],[Product Code]],Main_Tariff!I:I,0),"#Main_Tariff!A"&amp;MATCH("*"&amp;RIGHT(A4003,8)&amp;"*",Main_Tariff!A:A,0)),Raeburn_Main_Tariff[[#This Row],[PRODUCER]])</f>
        <v>Podere Il Santo</v>
      </c>
      <c r="C4003" s="1178" t="s">
        <v>21964</v>
      </c>
      <c r="D4003" s="1178" t="s">
        <v>897</v>
      </c>
      <c r="E4003" s="1179">
        <v>2006</v>
      </c>
      <c r="F4003" s="1282" t="s">
        <v>20220</v>
      </c>
      <c r="G4003" s="1368">
        <v>29.5</v>
      </c>
      <c r="H4003" s="1178" t="s">
        <v>20221</v>
      </c>
      <c r="I4003" s="1178" t="s">
        <v>12242</v>
      </c>
      <c r="J4003" s="1178" t="s">
        <v>668</v>
      </c>
      <c r="K4003" s="1178" t="s">
        <v>19419</v>
      </c>
      <c r="L4003" s="1178"/>
      <c r="M4003" s="1369"/>
      <c r="N4003" s="1178"/>
      <c r="O4003" s="1178">
        <v>12</v>
      </c>
      <c r="P4003" s="1178">
        <v>15</v>
      </c>
    </row>
    <row r="4004" spans="1:16">
      <c r="A4004" s="1178" t="s">
        <v>21962</v>
      </c>
      <c r="B4004" s="1371" t="str">
        <f>HYPERLINK(IFERROR("#Main_Tariff!A"&amp;MATCH(Raeburn_Main_Tariff[[#This Row],[Product Code]],Main_Tariff!I:I,0),"#Main_Tariff!A"&amp;MATCH("*"&amp;RIGHT(A4004,8)&amp;"*",Main_Tariff!A:A,0)),Raeburn_Main_Tariff[[#This Row],[PRODUCER]])</f>
        <v>Podere Il Santo</v>
      </c>
      <c r="C4004" s="1178" t="s">
        <v>21965</v>
      </c>
      <c r="D4004" s="1178" t="s">
        <v>897</v>
      </c>
      <c r="E4004" s="1179">
        <v>2005</v>
      </c>
      <c r="F4004" s="1282" t="s">
        <v>20220</v>
      </c>
      <c r="G4004" s="1368">
        <v>29.5</v>
      </c>
      <c r="H4004" s="1178" t="s">
        <v>20221</v>
      </c>
      <c r="I4004" s="1178" t="s">
        <v>12244</v>
      </c>
      <c r="J4004" s="1178" t="s">
        <v>668</v>
      </c>
      <c r="K4004" s="1178" t="s">
        <v>19419</v>
      </c>
      <c r="L4004" s="1178"/>
      <c r="M4004" s="1369"/>
      <c r="N4004" s="1178"/>
      <c r="O4004" s="1178">
        <v>12</v>
      </c>
      <c r="P4004" s="1178">
        <v>15</v>
      </c>
    </row>
    <row r="4005" spans="1:16">
      <c r="A4005" s="1178" t="s">
        <v>392</v>
      </c>
      <c r="B4005" s="1371" t="str">
        <f>HYPERLINK(IFERROR("#Main_Tariff!A"&amp;MATCH(Raeburn_Main_Tariff[[#This Row],[Product Code]],Main_Tariff!I:I,0),"#Main_Tariff!A"&amp;MATCH("*"&amp;RIGHT(A4005,8)&amp;"*",Main_Tariff!A:A,0)),Raeburn_Main_Tariff[[#This Row],[PRODUCER]])</f>
        <v>Nusserhof</v>
      </c>
      <c r="C4005" s="1178" t="s">
        <v>21966</v>
      </c>
      <c r="D4005" s="1178" t="s">
        <v>21143</v>
      </c>
      <c r="E4005" s="1179" t="s">
        <v>21967</v>
      </c>
      <c r="F4005" s="1282" t="s">
        <v>20220</v>
      </c>
      <c r="G4005" s="1368">
        <v>19</v>
      </c>
      <c r="H4005" s="1178" t="s">
        <v>20221</v>
      </c>
      <c r="I4005" s="1178" t="s">
        <v>12277</v>
      </c>
      <c r="J4005" s="1178" t="s">
        <v>668</v>
      </c>
      <c r="K4005" s="1178" t="s">
        <v>391</v>
      </c>
      <c r="L4005" s="1178"/>
      <c r="M4005" s="1369"/>
      <c r="N4005" s="1178"/>
      <c r="O4005" s="1178">
        <v>6</v>
      </c>
      <c r="P4005" s="1178">
        <v>11.5</v>
      </c>
    </row>
    <row r="4006" spans="1:16">
      <c r="A4006" s="1178" t="s">
        <v>392</v>
      </c>
      <c r="B4006" s="1371" t="str">
        <f>HYPERLINK(IFERROR("#Main_Tariff!A"&amp;MATCH(Raeburn_Main_Tariff[[#This Row],[Product Code]],Main_Tariff!I:I,0),"#Main_Tariff!A"&amp;MATCH("*"&amp;RIGHT(A4006,8)&amp;"*",Main_Tariff!A:A,0)),Raeburn_Main_Tariff[[#This Row],[PRODUCER]])</f>
        <v>Nusserhof</v>
      </c>
      <c r="C4006" s="1178" t="s">
        <v>21968</v>
      </c>
      <c r="D4006" s="1178" t="s">
        <v>21143</v>
      </c>
      <c r="E4006" s="1179">
        <v>2016</v>
      </c>
      <c r="F4006" s="1282" t="s">
        <v>20220</v>
      </c>
      <c r="G4006" s="1368">
        <v>19.5</v>
      </c>
      <c r="H4006" s="1178" t="s">
        <v>20277</v>
      </c>
      <c r="I4006" s="1178" t="s">
        <v>12279</v>
      </c>
      <c r="J4006" s="1178" t="s">
        <v>668</v>
      </c>
      <c r="K4006" s="1178" t="s">
        <v>391</v>
      </c>
      <c r="L4006" s="1178"/>
      <c r="M4006" s="1369"/>
      <c r="N4006" s="1178"/>
      <c r="O4006" s="1178">
        <v>6</v>
      </c>
      <c r="P4006" s="1178">
        <v>12.5</v>
      </c>
    </row>
    <row r="4007" spans="1:16">
      <c r="A4007" s="1178" t="s">
        <v>392</v>
      </c>
      <c r="B4007" s="1371" t="str">
        <f>HYPERLINK(IFERROR("#Main_Tariff!A"&amp;MATCH(Raeburn_Main_Tariff[[#This Row],[Product Code]],Main_Tariff!I:I,0),"#Main_Tariff!A"&amp;MATCH("*"&amp;RIGHT(A4007,8)&amp;"*",Main_Tariff!A:A,0)),Raeburn_Main_Tariff[[#This Row],[PRODUCER]])</f>
        <v>Nusserhof</v>
      </c>
      <c r="C4007" s="1178" t="s">
        <v>21969</v>
      </c>
      <c r="D4007" s="1178" t="s">
        <v>2573</v>
      </c>
      <c r="E4007" s="1179"/>
      <c r="F4007" s="1282" t="s">
        <v>20220</v>
      </c>
      <c r="G4007" s="1368"/>
      <c r="H4007" s="1178" t="s">
        <v>3907</v>
      </c>
      <c r="I4007" s="1178" t="s">
        <v>12283</v>
      </c>
      <c r="J4007" s="1178" t="s">
        <v>668</v>
      </c>
      <c r="K4007" s="1178" t="s">
        <v>391</v>
      </c>
      <c r="L4007" s="1178"/>
      <c r="M4007" s="1369"/>
      <c r="N4007" s="1178"/>
      <c r="O4007" s="1178">
        <v>6</v>
      </c>
      <c r="P4007" s="1178">
        <v>13</v>
      </c>
    </row>
    <row r="4008" spans="1:16">
      <c r="A4008" s="1178" t="s">
        <v>392</v>
      </c>
      <c r="B4008" s="1371" t="str">
        <f>HYPERLINK(IFERROR("#Main_Tariff!A"&amp;MATCH(Raeburn_Main_Tariff[[#This Row],[Product Code]],Main_Tariff!I:I,0),"#Main_Tariff!A"&amp;MATCH("*"&amp;RIGHT(A4008,8)&amp;"*",Main_Tariff!A:A,0)),Raeburn_Main_Tariff[[#This Row],[PRODUCER]])</f>
        <v>Nusserhof</v>
      </c>
      <c r="C4008" s="1178" t="s">
        <v>21970</v>
      </c>
      <c r="D4008" s="1178" t="s">
        <v>2573</v>
      </c>
      <c r="E4008" s="1179"/>
      <c r="F4008" s="1282" t="s">
        <v>20220</v>
      </c>
      <c r="G4008" s="1368"/>
      <c r="H4008" s="1178" t="s">
        <v>3907</v>
      </c>
      <c r="I4008" s="1178" t="s">
        <v>12285</v>
      </c>
      <c r="J4008" s="1178" t="s">
        <v>668</v>
      </c>
      <c r="K4008" s="1178" t="s">
        <v>391</v>
      </c>
      <c r="L4008" s="1178"/>
      <c r="M4008" s="1369"/>
      <c r="N4008" s="1178"/>
      <c r="O4008" s="1178">
        <v>6</v>
      </c>
      <c r="P4008" s="1178">
        <v>13</v>
      </c>
    </row>
    <row r="4009" spans="1:16">
      <c r="A4009" s="1178" t="s">
        <v>392</v>
      </c>
      <c r="B4009" s="1371" t="str">
        <f>HYPERLINK(IFERROR("#Main_Tariff!A"&amp;MATCH(Raeburn_Main_Tariff[[#This Row],[Product Code]],Main_Tariff!I:I,0),"#Main_Tariff!A"&amp;MATCH("*"&amp;RIGHT(A4009,8)&amp;"*",Main_Tariff!A:A,0)),Raeburn_Main_Tariff[[#This Row],[PRODUCER]])</f>
        <v>Nusserhof</v>
      </c>
      <c r="C4009" s="1178" t="s">
        <v>21971</v>
      </c>
      <c r="D4009" s="1178" t="s">
        <v>897</v>
      </c>
      <c r="E4009" s="1179">
        <v>2019</v>
      </c>
      <c r="F4009" s="1282" t="s">
        <v>20220</v>
      </c>
      <c r="G4009" s="1368">
        <v>25.25</v>
      </c>
      <c r="H4009" s="1178" t="s">
        <v>20221</v>
      </c>
      <c r="I4009" s="1178" t="s">
        <v>12288</v>
      </c>
      <c r="J4009" s="1178" t="s">
        <v>668</v>
      </c>
      <c r="K4009" s="1178" t="s">
        <v>391</v>
      </c>
      <c r="L4009" s="1178"/>
      <c r="M4009" s="1369"/>
      <c r="N4009" s="1178"/>
      <c r="O4009" s="1178">
        <v>6</v>
      </c>
      <c r="P4009" s="1178">
        <v>12</v>
      </c>
    </row>
    <row r="4010" spans="1:16">
      <c r="A4010" s="1178" t="s">
        <v>392</v>
      </c>
      <c r="B4010" s="1371" t="str">
        <f>HYPERLINK(IFERROR("#Main_Tariff!A"&amp;MATCH(Raeburn_Main_Tariff[[#This Row],[Product Code]],Main_Tariff!I:I,0),"#Main_Tariff!A"&amp;MATCH("*"&amp;RIGHT(A4010,8)&amp;"*",Main_Tariff!A:A,0)),Raeburn_Main_Tariff[[#This Row],[PRODUCER]])</f>
        <v>Nusserhof</v>
      </c>
      <c r="C4010" s="1178" t="s">
        <v>21971</v>
      </c>
      <c r="D4010" s="1178" t="s">
        <v>897</v>
      </c>
      <c r="E4010" s="1179" t="s">
        <v>21972</v>
      </c>
      <c r="F4010" s="1282" t="s">
        <v>20220</v>
      </c>
      <c r="G4010" s="1368">
        <v>25.25</v>
      </c>
      <c r="H4010" s="1178" t="s">
        <v>20221</v>
      </c>
      <c r="I4010" s="1178" t="s">
        <v>12290</v>
      </c>
      <c r="J4010" s="1178" t="s">
        <v>668</v>
      </c>
      <c r="K4010" s="1178" t="s">
        <v>391</v>
      </c>
      <c r="L4010" s="1178"/>
      <c r="M4010" s="1369"/>
      <c r="N4010" s="1178"/>
      <c r="O4010" s="1178">
        <v>6</v>
      </c>
      <c r="P4010" s="1178">
        <v>12</v>
      </c>
    </row>
    <row r="4011" spans="1:16">
      <c r="A4011" s="1178" t="s">
        <v>392</v>
      </c>
      <c r="B4011" s="1371" t="str">
        <f>HYPERLINK(IFERROR("#Main_Tariff!A"&amp;MATCH(Raeburn_Main_Tariff[[#This Row],[Product Code]],Main_Tariff!I:I,0),"#Main_Tariff!A"&amp;MATCH("*"&amp;RIGHT(A4011,8)&amp;"*",Main_Tariff!A:A,0)),Raeburn_Main_Tariff[[#This Row],[PRODUCER]])</f>
        <v>Nusserhof</v>
      </c>
      <c r="C4011" s="1178" t="s">
        <v>21971</v>
      </c>
      <c r="D4011" s="1178" t="s">
        <v>897</v>
      </c>
      <c r="E4011" s="1179">
        <v>2014</v>
      </c>
      <c r="F4011" s="1282" t="s">
        <v>20220</v>
      </c>
      <c r="G4011" s="1368">
        <v>25.25</v>
      </c>
      <c r="H4011" s="1178" t="s">
        <v>20277</v>
      </c>
      <c r="I4011" s="1178" t="s">
        <v>12292</v>
      </c>
      <c r="J4011" s="1178" t="s">
        <v>668</v>
      </c>
      <c r="K4011" s="1178" t="s">
        <v>391</v>
      </c>
      <c r="L4011" s="1178"/>
      <c r="M4011" s="1369"/>
      <c r="N4011" s="1178"/>
      <c r="O4011" s="1178">
        <v>6</v>
      </c>
      <c r="P4011" s="1178">
        <v>12</v>
      </c>
    </row>
    <row r="4012" spans="1:16">
      <c r="A4012" s="1178" t="s">
        <v>392</v>
      </c>
      <c r="B4012" s="1371" t="str">
        <f>HYPERLINK(IFERROR("#Main_Tariff!A"&amp;MATCH(Raeburn_Main_Tariff[[#This Row],[Product Code]],Main_Tariff!I:I,0),"#Main_Tariff!A"&amp;MATCH("*"&amp;RIGHT(A4012,8)&amp;"*",Main_Tariff!A:A,0)),Raeburn_Main_Tariff[[#This Row],[PRODUCER]])</f>
        <v>Nusserhof</v>
      </c>
      <c r="C4012" s="1178" t="s">
        <v>21973</v>
      </c>
      <c r="D4012" s="1178" t="s">
        <v>897</v>
      </c>
      <c r="E4012" s="1179">
        <v>2014</v>
      </c>
      <c r="F4012" s="1282" t="s">
        <v>20220</v>
      </c>
      <c r="G4012" s="1368">
        <v>28</v>
      </c>
      <c r="H4012" s="1178" t="s">
        <v>20221</v>
      </c>
      <c r="I4012" s="1178" t="s">
        <v>12294</v>
      </c>
      <c r="J4012" s="1178" t="s">
        <v>668</v>
      </c>
      <c r="K4012" s="1178" t="s">
        <v>391</v>
      </c>
      <c r="L4012" s="1178"/>
      <c r="M4012" s="1369"/>
      <c r="N4012" s="1178"/>
      <c r="O4012" s="1178">
        <v>6</v>
      </c>
      <c r="P4012" s="1178">
        <v>13</v>
      </c>
    </row>
    <row r="4013" spans="1:16">
      <c r="A4013" s="1178" t="s">
        <v>392</v>
      </c>
      <c r="B4013" s="1371" t="str">
        <f>HYPERLINK(IFERROR("#Main_Tariff!A"&amp;MATCH(Raeburn_Main_Tariff[[#This Row],[Product Code]],Main_Tariff!I:I,0),"#Main_Tariff!A"&amp;MATCH("*"&amp;RIGHT(A4013,8)&amp;"*",Main_Tariff!A:A,0)),Raeburn_Main_Tariff[[#This Row],[PRODUCER]])</f>
        <v>Nusserhof</v>
      </c>
      <c r="C4013" s="1178" t="s">
        <v>21973</v>
      </c>
      <c r="D4013" s="1178" t="s">
        <v>897</v>
      </c>
      <c r="E4013" s="1179">
        <v>2013</v>
      </c>
      <c r="F4013" s="1282" t="s">
        <v>20220</v>
      </c>
      <c r="G4013" s="1368">
        <v>27.5</v>
      </c>
      <c r="H4013" s="1178" t="s">
        <v>20221</v>
      </c>
      <c r="I4013" s="1178" t="s">
        <v>12296</v>
      </c>
      <c r="J4013" s="1178" t="s">
        <v>668</v>
      </c>
      <c r="K4013" s="1178" t="s">
        <v>391</v>
      </c>
      <c r="L4013" s="1178"/>
      <c r="M4013" s="1369"/>
      <c r="N4013" s="1178"/>
      <c r="O4013" s="1178">
        <v>6</v>
      </c>
      <c r="P4013" s="1178">
        <v>12.5</v>
      </c>
    </row>
    <row r="4014" spans="1:16">
      <c r="A4014" s="1178" t="s">
        <v>392</v>
      </c>
      <c r="B4014" s="1371" t="str">
        <f>HYPERLINK(IFERROR("#Main_Tariff!A"&amp;MATCH(Raeburn_Main_Tariff[[#This Row],[Product Code]],Main_Tariff!I:I,0),"#Main_Tariff!A"&amp;MATCH("*"&amp;RIGHT(A4014,8)&amp;"*",Main_Tariff!A:A,0)),Raeburn_Main_Tariff[[#This Row],[PRODUCER]])</f>
        <v>Nusserhof</v>
      </c>
      <c r="C4014" s="1178" t="s">
        <v>21974</v>
      </c>
      <c r="D4014" s="1178" t="s">
        <v>897</v>
      </c>
      <c r="E4014" s="1179">
        <v>2020</v>
      </c>
      <c r="F4014" s="1282" t="s">
        <v>20220</v>
      </c>
      <c r="G4014" s="1368">
        <v>26.75</v>
      </c>
      <c r="H4014" s="1178" t="s">
        <v>20221</v>
      </c>
      <c r="I4014" s="1178" t="s">
        <v>12298</v>
      </c>
      <c r="J4014" s="1178" t="s">
        <v>668</v>
      </c>
      <c r="K4014" s="1178" t="s">
        <v>391</v>
      </c>
      <c r="L4014" s="1178"/>
      <c r="M4014" s="1369"/>
      <c r="N4014" s="1178"/>
      <c r="O4014" s="1178">
        <v>6</v>
      </c>
      <c r="P4014" s="1178">
        <v>12</v>
      </c>
    </row>
    <row r="4015" spans="1:16">
      <c r="A4015" s="1178" t="s">
        <v>392</v>
      </c>
      <c r="B4015" s="1371" t="str">
        <f>HYPERLINK(IFERROR("#Main_Tariff!A"&amp;MATCH(Raeburn_Main_Tariff[[#This Row],[Product Code]],Main_Tariff!I:I,0),"#Main_Tariff!A"&amp;MATCH("*"&amp;RIGHT(A4015,8)&amp;"*",Main_Tariff!A:A,0)),Raeburn_Main_Tariff[[#This Row],[PRODUCER]])</f>
        <v>Nusserhof</v>
      </c>
      <c r="C4015" s="1178" t="s">
        <v>21975</v>
      </c>
      <c r="D4015" s="1178" t="s">
        <v>897</v>
      </c>
      <c r="E4015" s="1179">
        <v>2013</v>
      </c>
      <c r="F4015" s="1282" t="s">
        <v>20220</v>
      </c>
      <c r="G4015" s="1368">
        <v>69.5</v>
      </c>
      <c r="H4015" s="1178" t="s">
        <v>20221</v>
      </c>
      <c r="I4015" s="1178" t="s">
        <v>12300</v>
      </c>
      <c r="J4015" s="1178" t="s">
        <v>668</v>
      </c>
      <c r="K4015" s="1178" t="s">
        <v>391</v>
      </c>
      <c r="L4015" s="1178"/>
      <c r="M4015" s="1369"/>
      <c r="N4015" s="1178"/>
      <c r="O4015" s="1178">
        <v>6</v>
      </c>
      <c r="P4015" s="1178">
        <v>12.5</v>
      </c>
    </row>
    <row r="4016" spans="1:16">
      <c r="A4016" s="1178" t="s">
        <v>392</v>
      </c>
      <c r="B4016" s="1371" t="str">
        <f>HYPERLINK(IFERROR("#Main_Tariff!A"&amp;MATCH(Raeburn_Main_Tariff[[#This Row],[Product Code]],Main_Tariff!I:I,0),"#Main_Tariff!A"&amp;MATCH("*"&amp;RIGHT(A4016,8)&amp;"*",Main_Tariff!A:A,0)),Raeburn_Main_Tariff[[#This Row],[PRODUCER]])</f>
        <v>Nusserhof</v>
      </c>
      <c r="C4016" s="1178" t="s">
        <v>21975</v>
      </c>
      <c r="D4016" s="1178" t="s">
        <v>897</v>
      </c>
      <c r="E4016" s="1179">
        <v>2011</v>
      </c>
      <c r="F4016" s="1282" t="s">
        <v>20220</v>
      </c>
      <c r="G4016" s="1368">
        <v>67.5</v>
      </c>
      <c r="H4016" s="1178" t="s">
        <v>20221</v>
      </c>
      <c r="I4016" s="1178" t="s">
        <v>12302</v>
      </c>
      <c r="J4016" s="1178" t="s">
        <v>668</v>
      </c>
      <c r="K4016" s="1178" t="s">
        <v>391</v>
      </c>
      <c r="L4016" s="1178"/>
      <c r="M4016" s="1369"/>
      <c r="N4016" s="1178"/>
      <c r="O4016" s="1178">
        <v>6</v>
      </c>
      <c r="P4016" s="1178">
        <v>13</v>
      </c>
    </row>
    <row r="4017" spans="1:16">
      <c r="A4017" s="1178" t="s">
        <v>21976</v>
      </c>
      <c r="B4017" s="1371" t="str">
        <f>HYPERLINK(IFERROR("#Main_Tariff!A"&amp;MATCH(Raeburn_Main_Tariff[[#This Row],[Product Code]],Main_Tariff!I:I,0),"#Main_Tariff!A"&amp;MATCH("*"&amp;RIGHT(A4017,8)&amp;"*",Main_Tariff!A:A,0)),Raeburn_Main_Tariff[[#This Row],[PRODUCER]])</f>
        <v>Cantina Caldaro aka Kellerei Kaltern</v>
      </c>
      <c r="C4017" s="1178" t="s">
        <v>21977</v>
      </c>
      <c r="D4017" s="1178" t="s">
        <v>1129</v>
      </c>
      <c r="E4017" s="1179">
        <v>2022</v>
      </c>
      <c r="F4017" s="1282" t="s">
        <v>20220</v>
      </c>
      <c r="G4017" s="1368">
        <v>14</v>
      </c>
      <c r="H4017" s="1178" t="s">
        <v>20465</v>
      </c>
      <c r="I4017" s="1178" t="s">
        <v>12325</v>
      </c>
      <c r="J4017" s="1178" t="s">
        <v>668</v>
      </c>
      <c r="K4017" s="1178" t="s">
        <v>391</v>
      </c>
      <c r="L4017" s="1178"/>
      <c r="M4017" s="1369"/>
      <c r="N4017" s="1178"/>
      <c r="O4017" s="1178">
        <v>6</v>
      </c>
      <c r="P4017" s="1178">
        <v>13.5</v>
      </c>
    </row>
    <row r="4018" spans="1:16">
      <c r="A4018" s="1178" t="s">
        <v>21976</v>
      </c>
      <c r="B4018" s="1371" t="str">
        <f>HYPERLINK(IFERROR("#Main_Tariff!A"&amp;MATCH(Raeburn_Main_Tariff[[#This Row],[Product Code]],Main_Tariff!I:I,0),"#Main_Tariff!A"&amp;MATCH("*"&amp;RIGHT(A4018,8)&amp;"*",Main_Tariff!A:A,0)),Raeburn_Main_Tariff[[#This Row],[PRODUCER]])</f>
        <v>Cantina Caldaro aka Kellerei Kaltern</v>
      </c>
      <c r="C4018" s="1178" t="s">
        <v>21978</v>
      </c>
      <c r="D4018" s="1178" t="s">
        <v>1129</v>
      </c>
      <c r="E4018" s="1179">
        <v>2017</v>
      </c>
      <c r="F4018" s="1282" t="s">
        <v>20220</v>
      </c>
      <c r="G4018" s="1368">
        <v>14</v>
      </c>
      <c r="H4018" s="1178" t="s">
        <v>20221</v>
      </c>
      <c r="I4018" s="1178" t="s">
        <v>12327</v>
      </c>
      <c r="J4018" s="1178" t="s">
        <v>668</v>
      </c>
      <c r="K4018" s="1178" t="s">
        <v>391</v>
      </c>
      <c r="L4018" s="1178"/>
      <c r="M4018" s="1369"/>
      <c r="N4018" s="1178"/>
      <c r="O4018" s="1178">
        <v>6</v>
      </c>
      <c r="P4018" s="1178">
        <v>12.5</v>
      </c>
    </row>
    <row r="4019" spans="1:16">
      <c r="A4019" s="1178" t="s">
        <v>21976</v>
      </c>
      <c r="B4019" s="1371" t="str">
        <f>HYPERLINK(IFERROR("#Main_Tariff!A"&amp;MATCH(Raeburn_Main_Tariff[[#This Row],[Product Code]],Main_Tariff!I:I,0),"#Main_Tariff!A"&amp;MATCH("*"&amp;RIGHT(A4019,8)&amp;"*",Main_Tariff!A:A,0)),Raeburn_Main_Tariff[[#This Row],[PRODUCER]])</f>
        <v>Cantina Caldaro aka Kellerei Kaltern</v>
      </c>
      <c r="C4019" s="1178" t="s">
        <v>21979</v>
      </c>
      <c r="D4019" s="1178" t="s">
        <v>1129</v>
      </c>
      <c r="E4019" s="1179">
        <v>2017</v>
      </c>
      <c r="F4019" s="1282" t="s">
        <v>20220</v>
      </c>
      <c r="G4019" s="1368">
        <v>14</v>
      </c>
      <c r="H4019" s="1178" t="s">
        <v>20277</v>
      </c>
      <c r="I4019" s="1178" t="s">
        <v>12329</v>
      </c>
      <c r="J4019" s="1178" t="s">
        <v>668</v>
      </c>
      <c r="K4019" s="1178" t="s">
        <v>391</v>
      </c>
      <c r="L4019" s="1178"/>
      <c r="M4019" s="1369"/>
      <c r="N4019" s="1178"/>
      <c r="O4019" s="1178">
        <v>6</v>
      </c>
      <c r="P4019" s="1178">
        <v>13.5</v>
      </c>
    </row>
    <row r="4020" spans="1:16">
      <c r="A4020" s="1178" t="s">
        <v>21976</v>
      </c>
      <c r="B4020" s="1371" t="str">
        <f>HYPERLINK(IFERROR("#Main_Tariff!A"&amp;MATCH(Raeburn_Main_Tariff[[#This Row],[Product Code]],Main_Tariff!I:I,0),"#Main_Tariff!A"&amp;MATCH("*"&amp;RIGHT(A4020,8)&amp;"*",Main_Tariff!A:A,0)),Raeburn_Main_Tariff[[#This Row],[PRODUCER]])</f>
        <v>Cantina Caldaro aka Kellerei Kaltern</v>
      </c>
      <c r="C4020" s="1178" t="s">
        <v>21980</v>
      </c>
      <c r="D4020" s="1178" t="s">
        <v>1129</v>
      </c>
      <c r="E4020" s="1179">
        <v>2017</v>
      </c>
      <c r="F4020" s="1282" t="s">
        <v>20220</v>
      </c>
      <c r="G4020" s="1368">
        <v>14</v>
      </c>
      <c r="H4020" s="1178" t="s">
        <v>20277</v>
      </c>
      <c r="I4020" s="1178" t="s">
        <v>12331</v>
      </c>
      <c r="J4020" s="1178" t="s">
        <v>668</v>
      </c>
      <c r="K4020" s="1178" t="s">
        <v>391</v>
      </c>
      <c r="L4020" s="1178"/>
      <c r="M4020" s="1369"/>
      <c r="N4020" s="1178"/>
      <c r="O4020" s="1178">
        <v>6</v>
      </c>
      <c r="P4020" s="1178">
        <v>13</v>
      </c>
    </row>
    <row r="4021" spans="1:16">
      <c r="A4021" s="1178" t="s">
        <v>21976</v>
      </c>
      <c r="B4021" s="1371" t="str">
        <f>HYPERLINK(IFERROR("#Main_Tariff!A"&amp;MATCH(Raeburn_Main_Tariff[[#This Row],[Product Code]],Main_Tariff!I:I,0),"#Main_Tariff!A"&amp;MATCH("*"&amp;RIGHT(A4021,8)&amp;"*",Main_Tariff!A:A,0)),Raeburn_Main_Tariff[[#This Row],[PRODUCER]])</f>
        <v>Cantina Caldaro aka Kellerei Kaltern</v>
      </c>
      <c r="C4021" s="1178" t="s">
        <v>21981</v>
      </c>
      <c r="D4021" s="1178" t="s">
        <v>1129</v>
      </c>
      <c r="E4021" s="1179">
        <v>2016</v>
      </c>
      <c r="F4021" s="1282" t="s">
        <v>20220</v>
      </c>
      <c r="G4021" s="1368">
        <v>21.5</v>
      </c>
      <c r="H4021" s="1178" t="s">
        <v>20221</v>
      </c>
      <c r="I4021" s="1178" t="s">
        <v>12333</v>
      </c>
      <c r="J4021" s="1178" t="s">
        <v>668</v>
      </c>
      <c r="K4021" s="1178" t="s">
        <v>391</v>
      </c>
      <c r="L4021" s="1178"/>
      <c r="M4021" s="1369"/>
      <c r="N4021" s="1178"/>
      <c r="O4021" s="1178">
        <v>6</v>
      </c>
      <c r="P4021" s="1178">
        <v>14</v>
      </c>
    </row>
    <row r="4022" spans="1:16">
      <c r="A4022" s="1178" t="s">
        <v>21976</v>
      </c>
      <c r="B4022" s="1371" t="str">
        <f>HYPERLINK(IFERROR("#Main_Tariff!A"&amp;MATCH(Raeburn_Main_Tariff[[#This Row],[Product Code]],Main_Tariff!I:I,0),"#Main_Tariff!A"&amp;MATCH("*"&amp;RIGHT(A4022,8)&amp;"*",Main_Tariff!A:A,0)),Raeburn_Main_Tariff[[#This Row],[PRODUCER]])</f>
        <v>Cantina Caldaro aka Kellerei Kaltern</v>
      </c>
      <c r="C4022" s="1178" t="s">
        <v>21982</v>
      </c>
      <c r="D4022" s="1178" t="s">
        <v>897</v>
      </c>
      <c r="E4022" s="1179">
        <v>2021</v>
      </c>
      <c r="F4022" s="1282" t="s">
        <v>20220</v>
      </c>
      <c r="G4022" s="1368">
        <v>13</v>
      </c>
      <c r="H4022" s="1178" t="s">
        <v>20277</v>
      </c>
      <c r="I4022" s="1178" t="s">
        <v>12337</v>
      </c>
      <c r="J4022" s="1178" t="s">
        <v>668</v>
      </c>
      <c r="K4022" s="1178" t="s">
        <v>391</v>
      </c>
      <c r="L4022" s="1178"/>
      <c r="M4022" s="1369"/>
      <c r="N4022" s="1178"/>
      <c r="O4022" s="1178">
        <v>6</v>
      </c>
      <c r="P4022" s="1178">
        <v>12.5</v>
      </c>
    </row>
    <row r="4023" spans="1:16">
      <c r="A4023" s="1178" t="s">
        <v>21976</v>
      </c>
      <c r="B4023" s="1371" t="str">
        <f>HYPERLINK(IFERROR("#Main_Tariff!A"&amp;MATCH(Raeburn_Main_Tariff[[#This Row],[Product Code]],Main_Tariff!I:I,0),"#Main_Tariff!A"&amp;MATCH("*"&amp;RIGHT(A4023,8)&amp;"*",Main_Tariff!A:A,0)),Raeburn_Main_Tariff[[#This Row],[PRODUCER]])</f>
        <v>Cantina Caldaro aka Kellerei Kaltern</v>
      </c>
      <c r="C4023" s="1178" t="s">
        <v>21983</v>
      </c>
      <c r="D4023" s="1178" t="s">
        <v>897</v>
      </c>
      <c r="E4023" s="1179">
        <v>1997</v>
      </c>
      <c r="F4023" s="1282" t="s">
        <v>20220</v>
      </c>
      <c r="G4023" s="1368">
        <v>55.5</v>
      </c>
      <c r="H4023" s="1178" t="s">
        <v>20277</v>
      </c>
      <c r="I4023" s="1178" t="s">
        <v>12338</v>
      </c>
      <c r="J4023" s="1178" t="s">
        <v>668</v>
      </c>
      <c r="K4023" s="1178" t="s">
        <v>391</v>
      </c>
      <c r="L4023" s="1178"/>
      <c r="M4023" s="1369"/>
      <c r="N4023" s="1178"/>
      <c r="O4023" s="1178">
        <v>6</v>
      </c>
      <c r="P4023" s="1178">
        <v>13.5</v>
      </c>
    </row>
    <row r="4024" spans="1:16">
      <c r="A4024" s="1178" t="s">
        <v>395</v>
      </c>
      <c r="B4024" s="1371" t="str">
        <f>HYPERLINK(IFERROR("#Main_Tariff!A"&amp;MATCH(Raeburn_Main_Tariff[[#This Row],[Product Code]],Main_Tariff!I:I,0),"#Main_Tariff!A"&amp;MATCH("*"&amp;RIGHT(A4024,8)&amp;"*",Main_Tariff!A:A,0)),Raeburn_Main_Tariff[[#This Row],[PRODUCER]])</f>
        <v>Elisabetta Dalzocchio</v>
      </c>
      <c r="C4024" s="1178" t="s">
        <v>21389</v>
      </c>
      <c r="D4024" s="1178" t="s">
        <v>897</v>
      </c>
      <c r="E4024" s="1179">
        <v>2015</v>
      </c>
      <c r="F4024" s="1282" t="s">
        <v>20220</v>
      </c>
      <c r="G4024" s="1368">
        <v>23.5</v>
      </c>
      <c r="H4024" s="1178" t="s">
        <v>20221</v>
      </c>
      <c r="I4024" s="1178" t="s">
        <v>12345</v>
      </c>
      <c r="J4024" s="1178" t="s">
        <v>668</v>
      </c>
      <c r="K4024" s="1178" t="s">
        <v>394</v>
      </c>
      <c r="L4024" s="1178"/>
      <c r="M4024" s="1369"/>
      <c r="N4024" s="1178"/>
      <c r="O4024" s="1178">
        <v>6</v>
      </c>
      <c r="P4024" s="1178">
        <v>12.5</v>
      </c>
    </row>
    <row r="4025" spans="1:16">
      <c r="A4025" s="1178" t="s">
        <v>395</v>
      </c>
      <c r="B4025" s="1371" t="str">
        <f>HYPERLINK(IFERROR("#Main_Tariff!A"&amp;MATCH(Raeburn_Main_Tariff[[#This Row],[Product Code]],Main_Tariff!I:I,0),"#Main_Tariff!A"&amp;MATCH("*"&amp;RIGHT(A4025,8)&amp;"*",Main_Tariff!A:A,0)),Raeburn_Main_Tariff[[#This Row],[PRODUCER]])</f>
        <v>Elisabetta Dalzocchio</v>
      </c>
      <c r="C4025" s="1178" t="s">
        <v>21984</v>
      </c>
      <c r="D4025" s="1178" t="s">
        <v>897</v>
      </c>
      <c r="E4025" s="1179">
        <v>2011</v>
      </c>
      <c r="F4025" s="1282" t="s">
        <v>20240</v>
      </c>
      <c r="G4025" s="1368">
        <v>47</v>
      </c>
      <c r="H4025" s="1178" t="s">
        <v>20224</v>
      </c>
      <c r="I4025" s="1178" t="s">
        <v>12347</v>
      </c>
      <c r="J4025" s="1178" t="s">
        <v>668</v>
      </c>
      <c r="K4025" s="1178" t="s">
        <v>394</v>
      </c>
      <c r="L4025" s="1178"/>
      <c r="M4025" s="1369"/>
      <c r="N4025" s="1178"/>
      <c r="O4025" s="1178">
        <v>3</v>
      </c>
      <c r="P4025" s="1178">
        <v>13</v>
      </c>
    </row>
    <row r="4026" spans="1:16">
      <c r="A4026" s="1178" t="s">
        <v>398</v>
      </c>
      <c r="B4026" s="1371" t="str">
        <f>HYPERLINK(IFERROR("#Main_Tariff!A"&amp;MATCH(Raeburn_Main_Tariff[[#This Row],[Product Code]],Main_Tariff!I:I,0),"#Main_Tariff!A"&amp;MATCH("*"&amp;RIGHT(A4026,8)&amp;"*",Main_Tariff!A:A,0)),Raeburn_Main_Tariff[[#This Row],[PRODUCER]])</f>
        <v>Corte Lenguin</v>
      </c>
      <c r="C4026" s="1178" t="s">
        <v>397</v>
      </c>
      <c r="D4026" s="1178" t="s">
        <v>897</v>
      </c>
      <c r="E4026" s="1179">
        <v>2017</v>
      </c>
      <c r="F4026" s="1282" t="s">
        <v>20220</v>
      </c>
      <c r="G4026" s="1368">
        <v>13</v>
      </c>
      <c r="H4026" s="1178" t="s">
        <v>20221</v>
      </c>
      <c r="I4026" s="1178" t="s">
        <v>12357</v>
      </c>
      <c r="J4026" s="1178" t="s">
        <v>668</v>
      </c>
      <c r="K4026" s="1178" t="s">
        <v>396</v>
      </c>
      <c r="L4026" s="1178" t="s">
        <v>397</v>
      </c>
      <c r="M4026" s="1369"/>
      <c r="N4026" s="1178"/>
      <c r="O4026" s="1178">
        <v>6</v>
      </c>
      <c r="P4026" s="1178">
        <v>12.5</v>
      </c>
    </row>
    <row r="4027" spans="1:16">
      <c r="A4027" s="1178" t="s">
        <v>398</v>
      </c>
      <c r="B4027" s="1371" t="str">
        <f>HYPERLINK(IFERROR("#Main_Tariff!A"&amp;MATCH(Raeburn_Main_Tariff[[#This Row],[Product Code]],Main_Tariff!I:I,0),"#Main_Tariff!A"&amp;MATCH("*"&amp;RIGHT(A4027,8)&amp;"*",Main_Tariff!A:A,0)),Raeburn_Main_Tariff[[#This Row],[PRODUCER]])</f>
        <v>Corte Lenguin</v>
      </c>
      <c r="C4027" s="1178" t="s">
        <v>21985</v>
      </c>
      <c r="D4027" s="1178" t="s">
        <v>897</v>
      </c>
      <c r="E4027" s="1179">
        <v>2016</v>
      </c>
      <c r="F4027" s="1282" t="s">
        <v>20220</v>
      </c>
      <c r="G4027" s="1368">
        <v>15</v>
      </c>
      <c r="H4027" s="1178" t="s">
        <v>20277</v>
      </c>
      <c r="I4027" s="1178" t="s">
        <v>12360</v>
      </c>
      <c r="J4027" s="1178" t="s">
        <v>668</v>
      </c>
      <c r="K4027" s="1178" t="s">
        <v>396</v>
      </c>
      <c r="L4027" s="1178" t="s">
        <v>397</v>
      </c>
      <c r="M4027" s="1369"/>
      <c r="N4027" s="1178"/>
      <c r="O4027" s="1178">
        <v>6</v>
      </c>
      <c r="P4027" s="1178">
        <v>13.5</v>
      </c>
    </row>
    <row r="4028" spans="1:16">
      <c r="A4028" s="1178" t="s">
        <v>398</v>
      </c>
      <c r="B4028" s="1371" t="str">
        <f>HYPERLINK(IFERROR("#Main_Tariff!A"&amp;MATCH(Raeburn_Main_Tariff[[#This Row],[Product Code]],Main_Tariff!I:I,0),"#Main_Tariff!A"&amp;MATCH("*"&amp;RIGHT(A4028,8)&amp;"*",Main_Tariff!A:A,0)),Raeburn_Main_Tariff[[#This Row],[PRODUCER]])</f>
        <v>Corte Lenguin</v>
      </c>
      <c r="C4028" s="1178" t="s">
        <v>21986</v>
      </c>
      <c r="D4028" s="1178" t="s">
        <v>897</v>
      </c>
      <c r="E4028" s="1179">
        <v>2020</v>
      </c>
      <c r="F4028" s="1282" t="s">
        <v>20220</v>
      </c>
      <c r="G4028" s="1368">
        <v>24</v>
      </c>
      <c r="H4028" s="1178" t="s">
        <v>20221</v>
      </c>
      <c r="I4028" s="1178" t="s">
        <v>12362</v>
      </c>
      <c r="J4028" s="1178" t="s">
        <v>668</v>
      </c>
      <c r="K4028" s="1178" t="s">
        <v>396</v>
      </c>
      <c r="L4028" s="1178" t="s">
        <v>397</v>
      </c>
      <c r="M4028" s="1369"/>
      <c r="N4028" s="1178"/>
      <c r="O4028" s="1178">
        <v>6</v>
      </c>
      <c r="P4028" s="1178">
        <v>16</v>
      </c>
    </row>
    <row r="4029" spans="1:16">
      <c r="A4029" s="1178" t="s">
        <v>398</v>
      </c>
      <c r="B4029" s="1371" t="str">
        <f>HYPERLINK(IFERROR("#Main_Tariff!A"&amp;MATCH(Raeburn_Main_Tariff[[#This Row],[Product Code]],Main_Tariff!I:I,0),"#Main_Tariff!A"&amp;MATCH("*"&amp;RIGHT(A4029,8)&amp;"*",Main_Tariff!A:A,0)),Raeburn_Main_Tariff[[#This Row],[PRODUCER]])</f>
        <v>Corte Lenguin</v>
      </c>
      <c r="C4029" s="1178" t="s">
        <v>21986</v>
      </c>
      <c r="D4029" s="1178" t="s">
        <v>897</v>
      </c>
      <c r="E4029" s="1179">
        <v>2018</v>
      </c>
      <c r="F4029" s="1282" t="s">
        <v>20220</v>
      </c>
      <c r="G4029" s="1368">
        <v>23.5</v>
      </c>
      <c r="H4029" s="1178" t="s">
        <v>20277</v>
      </c>
      <c r="I4029" s="1178" t="s">
        <v>12364</v>
      </c>
      <c r="J4029" s="1178" t="s">
        <v>668</v>
      </c>
      <c r="K4029" s="1178" t="s">
        <v>396</v>
      </c>
      <c r="L4029" s="1178" t="s">
        <v>397</v>
      </c>
      <c r="M4029" s="1369"/>
      <c r="N4029" s="1178"/>
      <c r="O4029" s="1178">
        <v>6</v>
      </c>
      <c r="P4029" s="1178">
        <v>16</v>
      </c>
    </row>
    <row r="4030" spans="1:16">
      <c r="A4030" s="1178" t="s">
        <v>398</v>
      </c>
      <c r="B4030" s="1371" t="str">
        <f>HYPERLINK(IFERROR("#Main_Tariff!A"&amp;MATCH(Raeburn_Main_Tariff[[#This Row],[Product Code]],Main_Tariff!I:I,0),"#Main_Tariff!A"&amp;MATCH("*"&amp;RIGHT(A4030,8)&amp;"*",Main_Tariff!A:A,0)),Raeburn_Main_Tariff[[#This Row],[PRODUCER]])</f>
        <v>Corte Lenguin</v>
      </c>
      <c r="C4030" s="1178" t="s">
        <v>21987</v>
      </c>
      <c r="D4030" s="1178" t="s">
        <v>10182</v>
      </c>
      <c r="E4030" s="1179">
        <v>2022</v>
      </c>
      <c r="F4030" s="1282" t="s">
        <v>20313</v>
      </c>
      <c r="G4030" s="1368">
        <v>21.25</v>
      </c>
      <c r="H4030" s="1178" t="s">
        <v>20221</v>
      </c>
      <c r="I4030" s="1178" t="s">
        <v>12368</v>
      </c>
      <c r="J4030" s="1178" t="s">
        <v>668</v>
      </c>
      <c r="K4030" s="1178" t="s">
        <v>396</v>
      </c>
      <c r="L4030" s="1178" t="s">
        <v>397</v>
      </c>
      <c r="M4030" s="1369"/>
      <c r="N4030" s="1178"/>
      <c r="O4030" s="1178">
        <v>6</v>
      </c>
      <c r="P4030" s="1178">
        <v>13.5</v>
      </c>
    </row>
    <row r="4031" spans="1:16">
      <c r="A4031" s="1178" t="s">
        <v>21988</v>
      </c>
      <c r="B4031" s="1371" t="str">
        <f>HYPERLINK(IFERROR("#Main_Tariff!A"&amp;MATCH(Raeburn_Main_Tariff[[#This Row],[Product Code]],Main_Tariff!I:I,0),"#Main_Tariff!A"&amp;MATCH("*"&amp;RIGHT(A4031,8)&amp;"*",Main_Tariff!A:A,0)),Raeburn_Main_Tariff[[#This Row],[PRODUCER]])</f>
        <v>Corte Lavel by Marion</v>
      </c>
      <c r="C4031" s="1178" t="s">
        <v>21989</v>
      </c>
      <c r="D4031" s="1178" t="s">
        <v>897</v>
      </c>
      <c r="E4031" s="1179">
        <v>2015</v>
      </c>
      <c r="F4031" s="1282" t="s">
        <v>20220</v>
      </c>
      <c r="G4031" s="1368">
        <v>16.5</v>
      </c>
      <c r="H4031" s="1178" t="s">
        <v>20221</v>
      </c>
      <c r="I4031" s="1178" t="s">
        <v>12377</v>
      </c>
      <c r="J4031" s="1178" t="s">
        <v>668</v>
      </c>
      <c r="K4031" s="1178" t="s">
        <v>396</v>
      </c>
      <c r="L4031" s="1178" t="s">
        <v>397</v>
      </c>
      <c r="M4031" s="1369"/>
      <c r="N4031" s="1178"/>
      <c r="O4031" s="1178">
        <v>6</v>
      </c>
      <c r="P4031" s="1178">
        <v>14.5</v>
      </c>
    </row>
    <row r="4032" spans="1:16">
      <c r="A4032" s="1178" t="s">
        <v>21988</v>
      </c>
      <c r="B4032" s="1371" t="str">
        <f>HYPERLINK(IFERROR("#Main_Tariff!A"&amp;MATCH(Raeburn_Main_Tariff[[#This Row],[Product Code]],Main_Tariff!I:I,0),"#Main_Tariff!A"&amp;MATCH("*"&amp;RIGHT(A4032,8)&amp;"*",Main_Tariff!A:A,0)),Raeburn_Main_Tariff[[#This Row],[PRODUCER]])</f>
        <v>Corte Lavel by Marion</v>
      </c>
      <c r="C4032" s="1178" t="s">
        <v>21989</v>
      </c>
      <c r="D4032" s="1178" t="s">
        <v>897</v>
      </c>
      <c r="E4032" s="1179">
        <v>2014</v>
      </c>
      <c r="F4032" s="1282" t="s">
        <v>20220</v>
      </c>
      <c r="G4032" s="1368">
        <v>17.75</v>
      </c>
      <c r="H4032" s="1178" t="s">
        <v>20221</v>
      </c>
      <c r="I4032" s="1178" t="s">
        <v>12379</v>
      </c>
      <c r="J4032" s="1178" t="s">
        <v>668</v>
      </c>
      <c r="K4032" s="1178" t="s">
        <v>396</v>
      </c>
      <c r="L4032" s="1178" t="s">
        <v>397</v>
      </c>
      <c r="M4032" s="1369"/>
      <c r="N4032" s="1178"/>
      <c r="O4032" s="1178">
        <v>6</v>
      </c>
      <c r="P4032" s="1178">
        <v>14.5</v>
      </c>
    </row>
    <row r="4033" spans="1:16">
      <c r="A4033" s="1178" t="s">
        <v>21988</v>
      </c>
      <c r="B4033" s="1371" t="str">
        <f>HYPERLINK(IFERROR("#Main_Tariff!A"&amp;MATCH(Raeburn_Main_Tariff[[#This Row],[Product Code]],Main_Tariff!I:I,0),"#Main_Tariff!A"&amp;MATCH("*"&amp;RIGHT(A4033,8)&amp;"*",Main_Tariff!A:A,0)),Raeburn_Main_Tariff[[#This Row],[PRODUCER]])</f>
        <v>Corte Lavel by Marion</v>
      </c>
      <c r="C4033" s="1178" t="s">
        <v>21990</v>
      </c>
      <c r="D4033" s="1178" t="s">
        <v>897</v>
      </c>
      <c r="E4033" s="1179">
        <v>2020</v>
      </c>
      <c r="F4033" s="1282" t="s">
        <v>20220</v>
      </c>
      <c r="G4033" s="1368">
        <v>29.5</v>
      </c>
      <c r="H4033" s="1178" t="s">
        <v>20221</v>
      </c>
      <c r="I4033" s="1178" t="s">
        <v>12383</v>
      </c>
      <c r="J4033" s="1178" t="s">
        <v>668</v>
      </c>
      <c r="K4033" s="1178" t="s">
        <v>396</v>
      </c>
      <c r="L4033" s="1178" t="s">
        <v>397</v>
      </c>
      <c r="M4033" s="1369"/>
      <c r="N4033" s="1178"/>
      <c r="O4033" s="1178">
        <v>6</v>
      </c>
      <c r="P4033" s="1178">
        <v>16</v>
      </c>
    </row>
    <row r="4034" spans="1:16">
      <c r="A4034" s="1178" t="s">
        <v>400</v>
      </c>
      <c r="B4034" s="1371" t="str">
        <f>HYPERLINK(IFERROR("#Main_Tariff!A"&amp;MATCH(Raeburn_Main_Tariff[[#This Row],[Product Code]],Main_Tariff!I:I,0),"#Main_Tariff!A"&amp;MATCH("*"&amp;RIGHT(A4034,8)&amp;"*",Main_Tariff!A:A,0)),Raeburn_Main_Tariff[[#This Row],[PRODUCER]])</f>
        <v>Marion</v>
      </c>
      <c r="C4034" s="1178" t="s">
        <v>21991</v>
      </c>
      <c r="D4034" s="1178" t="s">
        <v>897</v>
      </c>
      <c r="E4034" s="1179">
        <v>2018</v>
      </c>
      <c r="F4034" s="1282" t="s">
        <v>20280</v>
      </c>
      <c r="G4034" s="1368">
        <v>13.25</v>
      </c>
      <c r="H4034" s="1178" t="s">
        <v>20221</v>
      </c>
      <c r="I4034" s="1178" t="s">
        <v>12398</v>
      </c>
      <c r="J4034" s="1178" t="s">
        <v>668</v>
      </c>
      <c r="K4034" s="1178" t="s">
        <v>396</v>
      </c>
      <c r="L4034" s="1178" t="s">
        <v>397</v>
      </c>
      <c r="M4034" s="1369"/>
      <c r="N4034" s="1178"/>
      <c r="O4034" s="1178">
        <v>6</v>
      </c>
      <c r="P4034" s="1178">
        <v>14</v>
      </c>
    </row>
    <row r="4035" spans="1:16">
      <c r="A4035" s="1178" t="s">
        <v>400</v>
      </c>
      <c r="B4035" s="1371" t="str">
        <f>HYPERLINK(IFERROR("#Main_Tariff!A"&amp;MATCH(Raeburn_Main_Tariff[[#This Row],[Product Code]],Main_Tariff!I:I,0),"#Main_Tariff!A"&amp;MATCH("*"&amp;RIGHT(A4035,8)&amp;"*",Main_Tariff!A:A,0)),Raeburn_Main_Tariff[[#This Row],[PRODUCER]])</f>
        <v>Marion</v>
      </c>
      <c r="C4035" s="1178" t="s">
        <v>21992</v>
      </c>
      <c r="D4035" s="1178" t="s">
        <v>897</v>
      </c>
      <c r="E4035" s="1179">
        <v>2018</v>
      </c>
      <c r="F4035" s="1282" t="s">
        <v>20280</v>
      </c>
      <c r="G4035" s="1368">
        <v>23.75</v>
      </c>
      <c r="H4035" s="1178" t="s">
        <v>20221</v>
      </c>
      <c r="I4035" s="1178" t="s">
        <v>12400</v>
      </c>
      <c r="J4035" s="1178" t="s">
        <v>668</v>
      </c>
      <c r="K4035" s="1178" t="s">
        <v>396</v>
      </c>
      <c r="L4035" s="1178" t="s">
        <v>397</v>
      </c>
      <c r="M4035" s="1369"/>
      <c r="N4035" s="1178"/>
      <c r="O4035" s="1178">
        <v>6</v>
      </c>
      <c r="P4035" s="1178">
        <v>16</v>
      </c>
    </row>
    <row r="4036" spans="1:16">
      <c r="A4036" s="1178" t="s">
        <v>400</v>
      </c>
      <c r="B4036" s="1371" t="str">
        <f>HYPERLINK(IFERROR("#Main_Tariff!A"&amp;MATCH(Raeburn_Main_Tariff[[#This Row],[Product Code]],Main_Tariff!I:I,0),"#Main_Tariff!A"&amp;MATCH("*"&amp;RIGHT(A4036,8)&amp;"*",Main_Tariff!A:A,0)),Raeburn_Main_Tariff[[#This Row],[PRODUCER]])</f>
        <v>Marion</v>
      </c>
      <c r="C4036" s="1178" t="s">
        <v>21993</v>
      </c>
      <c r="D4036" s="1178" t="s">
        <v>897</v>
      </c>
      <c r="E4036" s="1179">
        <v>2020</v>
      </c>
      <c r="F4036" s="1282" t="s">
        <v>20220</v>
      </c>
      <c r="G4036" s="1368">
        <v>23.75</v>
      </c>
      <c r="H4036" s="1178" t="s">
        <v>20221</v>
      </c>
      <c r="I4036" s="1178" t="s">
        <v>12402</v>
      </c>
      <c r="J4036" s="1178" t="s">
        <v>668</v>
      </c>
      <c r="K4036" s="1178" t="s">
        <v>396</v>
      </c>
      <c r="L4036" s="1178" t="s">
        <v>397</v>
      </c>
      <c r="M4036" s="1369"/>
      <c r="N4036" s="1178"/>
      <c r="O4036" s="1178">
        <v>6</v>
      </c>
      <c r="P4036" s="1178">
        <v>13.5</v>
      </c>
    </row>
    <row r="4037" spans="1:16">
      <c r="A4037" s="1178" t="s">
        <v>400</v>
      </c>
      <c r="B4037" s="1371" t="str">
        <f>HYPERLINK(IFERROR("#Main_Tariff!A"&amp;MATCH(Raeburn_Main_Tariff[[#This Row],[Product Code]],Main_Tariff!I:I,0),"#Main_Tariff!A"&amp;MATCH("*"&amp;RIGHT(A4037,8)&amp;"*",Main_Tariff!A:A,0)),Raeburn_Main_Tariff[[#This Row],[PRODUCER]])</f>
        <v>Marion</v>
      </c>
      <c r="C4037" s="1178" t="s">
        <v>21994</v>
      </c>
      <c r="D4037" s="1178" t="s">
        <v>897</v>
      </c>
      <c r="E4037" s="1179">
        <v>2016</v>
      </c>
      <c r="F4037" s="1282" t="s">
        <v>20220</v>
      </c>
      <c r="G4037" s="1368">
        <v>27.5</v>
      </c>
      <c r="H4037" s="1178" t="s">
        <v>20221</v>
      </c>
      <c r="I4037" s="1178" t="s">
        <v>12403</v>
      </c>
      <c r="J4037" s="1178" t="s">
        <v>668</v>
      </c>
      <c r="K4037" s="1178" t="s">
        <v>396</v>
      </c>
      <c r="L4037" s="1178" t="s">
        <v>397</v>
      </c>
      <c r="M4037" s="1369"/>
      <c r="N4037" s="1178"/>
      <c r="O4037" s="1178">
        <v>6</v>
      </c>
      <c r="P4037" s="1178">
        <v>14.5</v>
      </c>
    </row>
    <row r="4038" spans="1:16">
      <c r="A4038" s="1178" t="s">
        <v>400</v>
      </c>
      <c r="B4038" s="1371" t="str">
        <f>HYPERLINK(IFERROR("#Main_Tariff!A"&amp;MATCH(Raeburn_Main_Tariff[[#This Row],[Product Code]],Main_Tariff!I:I,0),"#Main_Tariff!A"&amp;MATCH("*"&amp;RIGHT(A4038,8)&amp;"*",Main_Tariff!A:A,0)),Raeburn_Main_Tariff[[#This Row],[PRODUCER]])</f>
        <v>Marion</v>
      </c>
      <c r="C4038" s="1178" t="s">
        <v>21995</v>
      </c>
      <c r="D4038" s="1178" t="s">
        <v>897</v>
      </c>
      <c r="E4038" s="1179">
        <v>2018</v>
      </c>
      <c r="F4038" s="1282" t="s">
        <v>20220</v>
      </c>
      <c r="G4038" s="1368">
        <v>27.5</v>
      </c>
      <c r="H4038" s="1178" t="s">
        <v>20221</v>
      </c>
      <c r="I4038" s="1178" t="s">
        <v>12404</v>
      </c>
      <c r="J4038" s="1178" t="s">
        <v>668</v>
      </c>
      <c r="K4038" s="1178" t="s">
        <v>396</v>
      </c>
      <c r="L4038" s="1178" t="s">
        <v>397</v>
      </c>
      <c r="M4038" s="1369"/>
      <c r="N4038" s="1178"/>
      <c r="O4038" s="1178">
        <v>6</v>
      </c>
      <c r="P4038" s="1178">
        <v>14.5</v>
      </c>
    </row>
    <row r="4039" spans="1:16">
      <c r="A4039" s="1178" t="s">
        <v>400</v>
      </c>
      <c r="B4039" s="1371" t="str">
        <f>HYPERLINK(IFERROR("#Main_Tariff!A"&amp;MATCH(Raeburn_Main_Tariff[[#This Row],[Product Code]],Main_Tariff!I:I,0),"#Main_Tariff!A"&amp;MATCH("*"&amp;RIGHT(A4039,8)&amp;"*",Main_Tariff!A:A,0)),Raeburn_Main_Tariff[[#This Row],[PRODUCER]])</f>
        <v>Marion</v>
      </c>
      <c r="C4039" s="1178" t="s">
        <v>21995</v>
      </c>
      <c r="D4039" s="1178" t="s">
        <v>897</v>
      </c>
      <c r="E4039" s="1179">
        <v>2016</v>
      </c>
      <c r="F4039" s="1282" t="s">
        <v>20220</v>
      </c>
      <c r="G4039" s="1368">
        <v>27.5</v>
      </c>
      <c r="H4039" s="1178" t="s">
        <v>20277</v>
      </c>
      <c r="I4039" s="1178" t="s">
        <v>12405</v>
      </c>
      <c r="J4039" s="1178" t="s">
        <v>668</v>
      </c>
      <c r="K4039" s="1178" t="s">
        <v>396</v>
      </c>
      <c r="L4039" s="1178" t="s">
        <v>397</v>
      </c>
      <c r="M4039" s="1369"/>
      <c r="N4039" s="1178"/>
      <c r="O4039" s="1178">
        <v>6</v>
      </c>
      <c r="P4039" s="1178">
        <v>14.5</v>
      </c>
    </row>
    <row r="4040" spans="1:16">
      <c r="A4040" s="1178" t="s">
        <v>400</v>
      </c>
      <c r="B4040" s="1371" t="str">
        <f>HYPERLINK(IFERROR("#Main_Tariff!A"&amp;MATCH(Raeburn_Main_Tariff[[#This Row],[Product Code]],Main_Tariff!I:I,0),"#Main_Tariff!A"&amp;MATCH("*"&amp;RIGHT(A4040,8)&amp;"*",Main_Tariff!A:A,0)),Raeburn_Main_Tariff[[#This Row],[PRODUCER]])</f>
        <v>Marion</v>
      </c>
      <c r="C4040" s="1178" t="s">
        <v>21986</v>
      </c>
      <c r="D4040" s="1178" t="s">
        <v>897</v>
      </c>
      <c r="E4040" s="1179">
        <v>2019</v>
      </c>
      <c r="F4040" s="1282" t="s">
        <v>20220</v>
      </c>
      <c r="G4040" s="1368">
        <v>46.5</v>
      </c>
      <c r="H4040" s="1178" t="s">
        <v>20221</v>
      </c>
      <c r="I4040" s="1178" t="s">
        <v>12406</v>
      </c>
      <c r="J4040" s="1178" t="s">
        <v>668</v>
      </c>
      <c r="K4040" s="1178" t="s">
        <v>396</v>
      </c>
      <c r="L4040" s="1178" t="s">
        <v>397</v>
      </c>
      <c r="M4040" s="1369"/>
      <c r="N4040" s="1178"/>
      <c r="O4040" s="1178">
        <v>6</v>
      </c>
      <c r="P4040" s="1178">
        <v>16</v>
      </c>
    </row>
    <row r="4041" spans="1:16">
      <c r="A4041" s="1178" t="s">
        <v>400</v>
      </c>
      <c r="B4041" s="1371" t="str">
        <f>HYPERLINK(IFERROR("#Main_Tariff!A"&amp;MATCH(Raeburn_Main_Tariff[[#This Row],[Product Code]],Main_Tariff!I:I,0),"#Main_Tariff!A"&amp;MATCH("*"&amp;RIGHT(A4041,8)&amp;"*",Main_Tariff!A:A,0)),Raeburn_Main_Tariff[[#This Row],[PRODUCER]])</f>
        <v>Marion</v>
      </c>
      <c r="C4041" s="1178" t="s">
        <v>21996</v>
      </c>
      <c r="D4041" s="1178" t="s">
        <v>897</v>
      </c>
      <c r="E4041" s="1179">
        <v>2015</v>
      </c>
      <c r="F4041" s="1282" t="s">
        <v>20240</v>
      </c>
      <c r="G4041" s="1368">
        <v>59</v>
      </c>
      <c r="H4041" s="1178" t="s">
        <v>20224</v>
      </c>
      <c r="I4041" s="1178" t="s">
        <v>12408</v>
      </c>
      <c r="J4041" s="1178" t="s">
        <v>668</v>
      </c>
      <c r="K4041" s="1178" t="s">
        <v>396</v>
      </c>
      <c r="L4041" s="1178" t="s">
        <v>397</v>
      </c>
      <c r="M4041" s="1369"/>
      <c r="N4041" s="1178"/>
      <c r="O4041" s="1178">
        <v>6</v>
      </c>
      <c r="P4041" s="1178">
        <v>14.5</v>
      </c>
    </row>
    <row r="4042" spans="1:16">
      <c r="A4042" s="1178" t="s">
        <v>400</v>
      </c>
      <c r="B4042" s="1371" t="str">
        <f>HYPERLINK(IFERROR("#Main_Tariff!A"&amp;MATCH(Raeburn_Main_Tariff[[#This Row],[Product Code]],Main_Tariff!I:I,0),"#Main_Tariff!A"&amp;MATCH("*"&amp;RIGHT(A4042,8)&amp;"*",Main_Tariff!A:A,0)),Raeburn_Main_Tariff[[#This Row],[PRODUCER]])</f>
        <v>Marion</v>
      </c>
      <c r="C4042" s="1178" t="s">
        <v>21997</v>
      </c>
      <c r="D4042" s="1178" t="s">
        <v>897</v>
      </c>
      <c r="E4042" s="1179">
        <v>2014</v>
      </c>
      <c r="F4042" s="1282" t="s">
        <v>20240</v>
      </c>
      <c r="G4042" s="1368">
        <v>59</v>
      </c>
      <c r="H4042" s="1178" t="s">
        <v>20224</v>
      </c>
      <c r="I4042" s="1178" t="s">
        <v>12409</v>
      </c>
      <c r="J4042" s="1178" t="s">
        <v>668</v>
      </c>
      <c r="K4042" s="1178" t="s">
        <v>396</v>
      </c>
      <c r="L4042" s="1178" t="s">
        <v>397</v>
      </c>
      <c r="M4042" s="1369"/>
      <c r="N4042" s="1178"/>
      <c r="O4042" s="1178">
        <v>6</v>
      </c>
      <c r="P4042" s="1178">
        <v>14</v>
      </c>
    </row>
    <row r="4043" spans="1:16">
      <c r="A4043" s="1178" t="s">
        <v>400</v>
      </c>
      <c r="B4043" s="1371" t="str">
        <f>HYPERLINK(IFERROR("#Main_Tariff!A"&amp;MATCH(Raeburn_Main_Tariff[[#This Row],[Product Code]],Main_Tariff!I:I,0),"#Main_Tariff!A"&amp;MATCH("*"&amp;RIGHT(A4043,8)&amp;"*",Main_Tariff!A:A,0)),Raeburn_Main_Tariff[[#This Row],[PRODUCER]])</f>
        <v>Marion</v>
      </c>
      <c r="C4043" s="1178" t="s">
        <v>21997</v>
      </c>
      <c r="D4043" s="1178" t="s">
        <v>897</v>
      </c>
      <c r="E4043" s="1179">
        <v>2010</v>
      </c>
      <c r="F4043" s="1282" t="s">
        <v>20240</v>
      </c>
      <c r="G4043" s="1368">
        <v>59</v>
      </c>
      <c r="H4043" s="1178" t="s">
        <v>20224</v>
      </c>
      <c r="I4043" s="1178" t="s">
        <v>12410</v>
      </c>
      <c r="J4043" s="1178" t="s">
        <v>668</v>
      </c>
      <c r="K4043" s="1178" t="s">
        <v>396</v>
      </c>
      <c r="L4043" s="1178" t="s">
        <v>397</v>
      </c>
      <c r="M4043" s="1369"/>
      <c r="N4043" s="1178"/>
      <c r="O4043" s="1178">
        <v>6</v>
      </c>
      <c r="P4043" s="1178">
        <v>16</v>
      </c>
    </row>
    <row r="4044" spans="1:16">
      <c r="A4044" s="1178" t="s">
        <v>400</v>
      </c>
      <c r="B4044" s="1371" t="str">
        <f>HYPERLINK(IFERROR("#Main_Tariff!A"&amp;MATCH(Raeburn_Main_Tariff[[#This Row],[Product Code]],Main_Tariff!I:I,0),"#Main_Tariff!A"&amp;MATCH("*"&amp;RIGHT(A4044,8)&amp;"*",Main_Tariff!A:A,0)),Raeburn_Main_Tariff[[#This Row],[PRODUCER]])</f>
        <v>Marion</v>
      </c>
      <c r="C4044" s="1178" t="s">
        <v>21998</v>
      </c>
      <c r="D4044" s="1178" t="s">
        <v>897</v>
      </c>
      <c r="E4044" s="1179">
        <v>2013</v>
      </c>
      <c r="F4044" s="1282" t="s">
        <v>20240</v>
      </c>
      <c r="G4044" s="1368">
        <v>99</v>
      </c>
      <c r="H4044" s="1178" t="s">
        <v>20224</v>
      </c>
      <c r="I4044" s="1178" t="s">
        <v>12411</v>
      </c>
      <c r="J4044" s="1178" t="s">
        <v>668</v>
      </c>
      <c r="K4044" s="1178" t="s">
        <v>396</v>
      </c>
      <c r="L4044" s="1178" t="s">
        <v>397</v>
      </c>
      <c r="M4044" s="1369"/>
      <c r="N4044" s="1178"/>
      <c r="O4044" s="1178">
        <v>6</v>
      </c>
      <c r="P4044" s="1178">
        <v>16</v>
      </c>
    </row>
    <row r="4045" spans="1:16">
      <c r="A4045" s="1178" t="s">
        <v>400</v>
      </c>
      <c r="B4045" s="1371" t="str">
        <f>HYPERLINK(IFERROR("#Main_Tariff!A"&amp;MATCH(Raeburn_Main_Tariff[[#This Row],[Product Code]],Main_Tariff!I:I,0),"#Main_Tariff!A"&amp;MATCH("*"&amp;RIGHT(A4045,8)&amp;"*",Main_Tariff!A:A,0)),Raeburn_Main_Tariff[[#This Row],[PRODUCER]])</f>
        <v>Marion</v>
      </c>
      <c r="C4045" s="1178" t="s">
        <v>21998</v>
      </c>
      <c r="D4045" s="1178" t="s">
        <v>897</v>
      </c>
      <c r="E4045" s="1179">
        <v>2010</v>
      </c>
      <c r="F4045" s="1282" t="s">
        <v>20240</v>
      </c>
      <c r="G4045" s="1368">
        <v>99</v>
      </c>
      <c r="H4045" s="1178" t="s">
        <v>20224</v>
      </c>
      <c r="I4045" s="1178" t="s">
        <v>12412</v>
      </c>
      <c r="J4045" s="1178" t="s">
        <v>668</v>
      </c>
      <c r="K4045" s="1178" t="s">
        <v>396</v>
      </c>
      <c r="L4045" s="1178" t="s">
        <v>397</v>
      </c>
      <c r="M4045" s="1369"/>
      <c r="N4045" s="1178"/>
      <c r="O4045" s="1178">
        <v>6</v>
      </c>
      <c r="P4045" s="1178">
        <v>16</v>
      </c>
    </row>
    <row r="4046" spans="1:16">
      <c r="A4046" s="1178" t="s">
        <v>21999</v>
      </c>
      <c r="B4046" s="1371" t="str">
        <f>HYPERLINK(IFERROR("#Main_Tariff!A"&amp;MATCH(Raeburn_Main_Tariff[[#This Row],[Product Code]],Main_Tariff!I:I,0),"#Main_Tariff!A"&amp;MATCH("*"&amp;RIGHT(A4046,8)&amp;"*",Main_Tariff!A:A,0)),Raeburn_Main_Tariff[[#This Row],[PRODUCER]])</f>
        <v>Dal’Forno Romano</v>
      </c>
      <c r="C4046" s="1178" t="s">
        <v>22000</v>
      </c>
      <c r="D4046" s="1178" t="s">
        <v>897</v>
      </c>
      <c r="E4046" s="1179">
        <v>2007</v>
      </c>
      <c r="F4046" s="1282" t="s">
        <v>20288</v>
      </c>
      <c r="G4046" s="1368">
        <v>274</v>
      </c>
      <c r="H4046" s="1178" t="s">
        <v>20224</v>
      </c>
      <c r="I4046" s="1178" t="s">
        <v>12415</v>
      </c>
      <c r="J4046" s="1178" t="s">
        <v>668</v>
      </c>
      <c r="K4046" s="1178" t="s">
        <v>396</v>
      </c>
      <c r="L4046" s="1178" t="s">
        <v>397</v>
      </c>
      <c r="M4046" s="1369"/>
      <c r="N4046" s="1178"/>
      <c r="O4046" s="1178">
        <v>1</v>
      </c>
      <c r="P4046" s="1178">
        <v>14</v>
      </c>
    </row>
    <row r="4047" spans="1:16">
      <c r="A4047" s="1178" t="s">
        <v>21999</v>
      </c>
      <c r="B4047" s="1371" t="str">
        <f>HYPERLINK(IFERROR("#Main_Tariff!A"&amp;MATCH(Raeburn_Main_Tariff[[#This Row],[Product Code]],Main_Tariff!I:I,0),"#Main_Tariff!A"&amp;MATCH("*"&amp;RIGHT(A4047,8)&amp;"*",Main_Tariff!A:A,0)),Raeburn_Main_Tariff[[#This Row],[PRODUCER]])</f>
        <v>Dal’Forno Romano</v>
      </c>
      <c r="C4047" s="1178" t="s">
        <v>23304</v>
      </c>
      <c r="D4047" s="1178" t="s">
        <v>897</v>
      </c>
      <c r="E4047" s="1179" t="s">
        <v>22001</v>
      </c>
      <c r="F4047" s="1282" t="s">
        <v>20220</v>
      </c>
      <c r="G4047" s="1368">
        <v>777.5</v>
      </c>
      <c r="H4047" s="1178" t="s">
        <v>20221</v>
      </c>
      <c r="I4047" s="1178" t="s">
        <v>12417</v>
      </c>
      <c r="J4047" s="1178" t="s">
        <v>668</v>
      </c>
      <c r="K4047" s="1178" t="s">
        <v>396</v>
      </c>
      <c r="L4047" s="1178" t="s">
        <v>397</v>
      </c>
      <c r="M4047" s="1369"/>
      <c r="N4047" s="1178"/>
      <c r="O4047" s="1178">
        <v>3</v>
      </c>
      <c r="P4047" s="1178">
        <v>16.5</v>
      </c>
    </row>
    <row r="4048" spans="1:16">
      <c r="A4048" s="1178" t="s">
        <v>21999</v>
      </c>
      <c r="B4048" s="1371" t="str">
        <f>HYPERLINK(IFERROR("#Main_Tariff!A"&amp;MATCH(Raeburn_Main_Tariff[[#This Row],[Product Code]],Main_Tariff!I:I,0),"#Main_Tariff!A"&amp;MATCH("*"&amp;RIGHT(A4048,8)&amp;"*",Main_Tariff!A:A,0)),Raeburn_Main_Tariff[[#This Row],[PRODUCER]])</f>
        <v>Dal’Forno Romano</v>
      </c>
      <c r="C4048" s="1178" t="s">
        <v>22002</v>
      </c>
      <c r="D4048" s="1178" t="s">
        <v>10182</v>
      </c>
      <c r="E4048" s="1179">
        <v>2004</v>
      </c>
      <c r="F4048" s="1282" t="s">
        <v>20280</v>
      </c>
      <c r="G4048" s="1368">
        <v>89.75</v>
      </c>
      <c r="H4048" s="1178" t="s">
        <v>20224</v>
      </c>
      <c r="I4048" s="1178" t="s">
        <v>12419</v>
      </c>
      <c r="J4048" s="1178" t="s">
        <v>668</v>
      </c>
      <c r="K4048" s="1178" t="s">
        <v>396</v>
      </c>
      <c r="L4048" s="1178" t="s">
        <v>397</v>
      </c>
      <c r="M4048" s="1369"/>
      <c r="N4048" s="1178"/>
      <c r="O4048" s="1178">
        <v>6</v>
      </c>
      <c r="P4048" s="1178">
        <v>14</v>
      </c>
    </row>
    <row r="4049" spans="1:16">
      <c r="A4049" s="1178" t="s">
        <v>21999</v>
      </c>
      <c r="B4049" s="1371" t="str">
        <f>HYPERLINK(IFERROR("#Main_Tariff!A"&amp;MATCH(Raeburn_Main_Tariff[[#This Row],[Product Code]],Main_Tariff!I:I,0),"#Main_Tariff!A"&amp;MATCH("*"&amp;RIGHT(A4049,8)&amp;"*",Main_Tariff!A:A,0)),Raeburn_Main_Tariff[[#This Row],[PRODUCER]])</f>
        <v>Dal’Forno Romano</v>
      </c>
      <c r="C4049" s="1178" t="s">
        <v>22003</v>
      </c>
      <c r="D4049" s="1178" t="s">
        <v>10182</v>
      </c>
      <c r="E4049" s="1179">
        <v>1997</v>
      </c>
      <c r="F4049" s="1282" t="s">
        <v>20240</v>
      </c>
      <c r="G4049" s="1368">
        <v>697</v>
      </c>
      <c r="H4049" s="1178" t="s">
        <v>20224</v>
      </c>
      <c r="I4049" s="1178" t="s">
        <v>12421</v>
      </c>
      <c r="J4049" s="1178" t="s">
        <v>668</v>
      </c>
      <c r="K4049" s="1178" t="s">
        <v>396</v>
      </c>
      <c r="L4049" s="1178" t="s">
        <v>397</v>
      </c>
      <c r="M4049" s="1369"/>
      <c r="N4049" s="1178"/>
      <c r="O4049" s="1178">
        <v>1</v>
      </c>
      <c r="P4049" s="1178">
        <v>13.5</v>
      </c>
    </row>
    <row r="4050" spans="1:16">
      <c r="A4050" s="1178" t="s">
        <v>403</v>
      </c>
      <c r="B4050" s="1371" t="str">
        <f>HYPERLINK(IFERROR("#Main_Tariff!A"&amp;MATCH(Raeburn_Main_Tariff[[#This Row],[Product Code]],Main_Tariff!I:I,0),"#Main_Tariff!A"&amp;MATCH("*"&amp;RIGHT(A4050,8)&amp;"*",Main_Tariff!A:A,0)),Raeburn_Main_Tariff[[#This Row],[PRODUCER]])</f>
        <v>Corte Sermana</v>
      </c>
      <c r="C4050" s="1178" t="s">
        <v>22004</v>
      </c>
      <c r="D4050" s="1178" t="s">
        <v>1129</v>
      </c>
      <c r="E4050" s="1179">
        <v>2021</v>
      </c>
      <c r="F4050" s="1282" t="s">
        <v>20220</v>
      </c>
      <c r="G4050" s="1368">
        <v>15.75</v>
      </c>
      <c r="H4050" s="1178" t="s">
        <v>20221</v>
      </c>
      <c r="I4050" s="1178" t="s">
        <v>12437</v>
      </c>
      <c r="J4050" s="1178" t="s">
        <v>668</v>
      </c>
      <c r="K4050" s="1178" t="s">
        <v>396</v>
      </c>
      <c r="L4050" s="1178" t="s">
        <v>402</v>
      </c>
      <c r="M4050" s="1369"/>
      <c r="N4050" s="1178"/>
      <c r="O4050" s="1178">
        <v>6</v>
      </c>
      <c r="P4050" s="1178">
        <v>12</v>
      </c>
    </row>
    <row r="4051" spans="1:16">
      <c r="A4051" s="1178" t="s">
        <v>403</v>
      </c>
      <c r="B4051" s="1371" t="str">
        <f>HYPERLINK(IFERROR("#Main_Tariff!A"&amp;MATCH(Raeburn_Main_Tariff[[#This Row],[Product Code]],Main_Tariff!I:I,0),"#Main_Tariff!A"&amp;MATCH("*"&amp;RIGHT(A4051,8)&amp;"*",Main_Tariff!A:A,0)),Raeburn_Main_Tariff[[#This Row],[PRODUCER]])</f>
        <v>Corte Sermana</v>
      </c>
      <c r="C4051" s="1178" t="s">
        <v>22004</v>
      </c>
      <c r="D4051" s="1178" t="s">
        <v>1129</v>
      </c>
      <c r="E4051" s="1179">
        <v>2019</v>
      </c>
      <c r="F4051" s="1282" t="s">
        <v>20220</v>
      </c>
      <c r="G4051" s="1368">
        <v>15.5</v>
      </c>
      <c r="H4051" s="1178" t="s">
        <v>20277</v>
      </c>
      <c r="I4051" s="1178" t="s">
        <v>12439</v>
      </c>
      <c r="J4051" s="1178" t="s">
        <v>668</v>
      </c>
      <c r="K4051" s="1178" t="s">
        <v>396</v>
      </c>
      <c r="L4051" s="1178" t="s">
        <v>402</v>
      </c>
      <c r="M4051" s="1369"/>
      <c r="N4051" s="1178"/>
      <c r="O4051" s="1178">
        <v>6</v>
      </c>
      <c r="P4051" s="1178">
        <v>13</v>
      </c>
    </row>
    <row r="4052" spans="1:16">
      <c r="A4052" s="1178" t="s">
        <v>403</v>
      </c>
      <c r="B4052" s="1371" t="str">
        <f>HYPERLINK(IFERROR("#Main_Tariff!A"&amp;MATCH(Raeburn_Main_Tariff[[#This Row],[Product Code]],Main_Tariff!I:I,0),"#Main_Tariff!A"&amp;MATCH("*"&amp;RIGHT(A4052,8)&amp;"*",Main_Tariff!A:A,0)),Raeburn_Main_Tariff[[#This Row],[PRODUCER]])</f>
        <v>Corte Sermana</v>
      </c>
      <c r="C4052" s="1178" t="s">
        <v>22005</v>
      </c>
      <c r="D4052" s="1178" t="s">
        <v>1129</v>
      </c>
      <c r="E4052" s="1179">
        <v>2017</v>
      </c>
      <c r="F4052" s="1282" t="s">
        <v>20220</v>
      </c>
      <c r="G4052" s="1368">
        <v>21</v>
      </c>
      <c r="H4052" s="1178" t="s">
        <v>20221</v>
      </c>
      <c r="I4052" s="1178" t="s">
        <v>12441</v>
      </c>
      <c r="J4052" s="1178" t="s">
        <v>668</v>
      </c>
      <c r="K4052" s="1178" t="s">
        <v>396</v>
      </c>
      <c r="L4052" s="1178" t="s">
        <v>402</v>
      </c>
      <c r="M4052" s="1369"/>
      <c r="N4052" s="1178"/>
      <c r="O4052" s="1178">
        <v>6</v>
      </c>
      <c r="P4052" s="1178">
        <v>13</v>
      </c>
    </row>
    <row r="4053" spans="1:16">
      <c r="A4053" s="1178" t="s">
        <v>403</v>
      </c>
      <c r="B4053" s="1371" t="str">
        <f>HYPERLINK(IFERROR("#Main_Tariff!A"&amp;MATCH(Raeburn_Main_Tariff[[#This Row],[Product Code]],Main_Tariff!I:I,0),"#Main_Tariff!A"&amp;MATCH("*"&amp;RIGHT(A4053,8)&amp;"*",Main_Tariff!A:A,0)),Raeburn_Main_Tariff[[#This Row],[PRODUCER]])</f>
        <v>Corte Sermana</v>
      </c>
      <c r="C4053" s="1178" t="s">
        <v>22005</v>
      </c>
      <c r="D4053" s="1178" t="s">
        <v>1129</v>
      </c>
      <c r="E4053" s="1179">
        <v>2015</v>
      </c>
      <c r="F4053" s="1282" t="s">
        <v>20220</v>
      </c>
      <c r="G4053" s="1368">
        <v>20.5</v>
      </c>
      <c r="H4053" s="1178" t="s">
        <v>20221</v>
      </c>
      <c r="I4053" s="1178" t="s">
        <v>12443</v>
      </c>
      <c r="J4053" s="1178" t="s">
        <v>668</v>
      </c>
      <c r="K4053" s="1178" t="s">
        <v>396</v>
      </c>
      <c r="L4053" s="1178" t="s">
        <v>402</v>
      </c>
      <c r="M4053" s="1369"/>
      <c r="N4053" s="1178"/>
      <c r="O4053" s="1178">
        <v>6</v>
      </c>
      <c r="P4053" s="1178">
        <v>13.5</v>
      </c>
    </row>
    <row r="4054" spans="1:16">
      <c r="A4054" s="1178" t="s">
        <v>405</v>
      </c>
      <c r="B4054" s="1371" t="str">
        <f>HYPERLINK(IFERROR("#Main_Tariff!A"&amp;MATCH(Raeburn_Main_Tariff[[#This Row],[Product Code]],Main_Tariff!I:I,0),"#Main_Tariff!A"&amp;MATCH("*"&amp;RIGHT(A4054,8)&amp;"*",Main_Tariff!A:A,0)),Raeburn_Main_Tariff[[#This Row],[PRODUCER]])</f>
        <v>Raval</v>
      </c>
      <c r="C4054" s="1178" t="s">
        <v>22006</v>
      </c>
      <c r="D4054" s="1178" t="s">
        <v>1129</v>
      </c>
      <c r="E4054" s="1179">
        <v>2023</v>
      </c>
      <c r="F4054" s="1282" t="s">
        <v>20220</v>
      </c>
      <c r="G4054" s="1368">
        <v>11.75</v>
      </c>
      <c r="H4054" s="1178" t="s">
        <v>20221</v>
      </c>
      <c r="I4054" s="1178" t="s">
        <v>12453</v>
      </c>
      <c r="J4054" s="1178" t="s">
        <v>668</v>
      </c>
      <c r="K4054" s="1178" t="s">
        <v>396</v>
      </c>
      <c r="L4054" s="1178" t="s">
        <v>404</v>
      </c>
      <c r="M4054" s="1369"/>
      <c r="N4054" s="1178"/>
      <c r="O4054" s="1178">
        <v>6</v>
      </c>
      <c r="P4054" s="1178">
        <v>12.5</v>
      </c>
    </row>
    <row r="4055" spans="1:16">
      <c r="A4055" s="1178" t="s">
        <v>405</v>
      </c>
      <c r="B4055" s="1371" t="str">
        <f>HYPERLINK(IFERROR("#Main_Tariff!A"&amp;MATCH(Raeburn_Main_Tariff[[#This Row],[Product Code]],Main_Tariff!I:I,0),"#Main_Tariff!A"&amp;MATCH("*"&amp;RIGHT(A4055,8)&amp;"*",Main_Tariff!A:A,0)),Raeburn_Main_Tariff[[#This Row],[PRODUCER]])</f>
        <v>Raval</v>
      </c>
      <c r="C4055" s="1178" t="s">
        <v>22006</v>
      </c>
      <c r="D4055" s="1178" t="s">
        <v>1129</v>
      </c>
      <c r="E4055" s="1179">
        <v>2021</v>
      </c>
      <c r="F4055" s="1282" t="s">
        <v>20220</v>
      </c>
      <c r="G4055" s="1368">
        <v>11.75</v>
      </c>
      <c r="H4055" s="1178" t="s">
        <v>20277</v>
      </c>
      <c r="I4055" s="1178" t="s">
        <v>12454</v>
      </c>
      <c r="J4055" s="1178" t="s">
        <v>668</v>
      </c>
      <c r="K4055" s="1178" t="s">
        <v>396</v>
      </c>
      <c r="L4055" s="1178" t="s">
        <v>404</v>
      </c>
      <c r="M4055" s="1369"/>
      <c r="N4055" s="1178"/>
      <c r="O4055" s="1178">
        <v>6</v>
      </c>
      <c r="P4055" s="1178">
        <v>12.5</v>
      </c>
    </row>
    <row r="4056" spans="1:16">
      <c r="A4056" s="1178" t="s">
        <v>405</v>
      </c>
      <c r="B4056" s="1371" t="str">
        <f>HYPERLINK(IFERROR("#Main_Tariff!A"&amp;MATCH(Raeburn_Main_Tariff[[#This Row],[Product Code]],Main_Tariff!I:I,0),"#Main_Tariff!A"&amp;MATCH("*"&amp;RIGHT(A4056,8)&amp;"*",Main_Tariff!A:A,0)),Raeburn_Main_Tariff[[#This Row],[PRODUCER]])</f>
        <v>Raval</v>
      </c>
      <c r="C4056" s="1178" t="s">
        <v>22007</v>
      </c>
      <c r="D4056" s="1178" t="s">
        <v>2573</v>
      </c>
      <c r="E4056" s="1179">
        <v>2024</v>
      </c>
      <c r="F4056" s="1282" t="s">
        <v>20220</v>
      </c>
      <c r="G4056" s="1368">
        <v>11.75</v>
      </c>
      <c r="H4056" s="1178" t="s">
        <v>20221</v>
      </c>
      <c r="I4056" s="1178" t="s">
        <v>23371</v>
      </c>
      <c r="J4056" s="1178" t="s">
        <v>668</v>
      </c>
      <c r="K4056" s="1178" t="s">
        <v>396</v>
      </c>
      <c r="L4056" s="1178" t="s">
        <v>404</v>
      </c>
      <c r="M4056" s="1369"/>
      <c r="N4056" s="1178"/>
      <c r="O4056" s="1178">
        <v>6</v>
      </c>
      <c r="P4056" s="1178">
        <v>12.5</v>
      </c>
    </row>
    <row r="4057" spans="1:16">
      <c r="A4057" s="1178" t="s">
        <v>405</v>
      </c>
      <c r="B4057" s="1371" t="str">
        <f>HYPERLINK(IFERROR("#Main_Tariff!A"&amp;MATCH(Raeburn_Main_Tariff[[#This Row],[Product Code]],Main_Tariff!I:I,0),"#Main_Tariff!A"&amp;MATCH("*"&amp;RIGHT(A4057,8)&amp;"*",Main_Tariff!A:A,0)),Raeburn_Main_Tariff[[#This Row],[PRODUCER]])</f>
        <v>Raval</v>
      </c>
      <c r="C4057" s="1178" t="s">
        <v>22007</v>
      </c>
      <c r="D4057" s="1178" t="s">
        <v>2573</v>
      </c>
      <c r="E4057" s="1179">
        <v>2023</v>
      </c>
      <c r="F4057" s="1282" t="s">
        <v>20220</v>
      </c>
      <c r="G4057" s="1368">
        <v>11.75</v>
      </c>
      <c r="H4057" s="1178" t="s">
        <v>20221</v>
      </c>
      <c r="I4057" s="1178" t="s">
        <v>12458</v>
      </c>
      <c r="J4057" s="1178" t="s">
        <v>668</v>
      </c>
      <c r="K4057" s="1178" t="s">
        <v>396</v>
      </c>
      <c r="L4057" s="1178" t="s">
        <v>404</v>
      </c>
      <c r="M4057" s="1369"/>
      <c r="N4057" s="1178"/>
      <c r="O4057" s="1178">
        <v>6</v>
      </c>
      <c r="P4057" s="1178">
        <v>12.5</v>
      </c>
    </row>
    <row r="4058" spans="1:16">
      <c r="A4058" s="1178" t="s">
        <v>405</v>
      </c>
      <c r="B4058" s="1371" t="str">
        <f>HYPERLINK(IFERROR("#Main_Tariff!A"&amp;MATCH(Raeburn_Main_Tariff[[#This Row],[Product Code]],Main_Tariff!I:I,0),"#Main_Tariff!A"&amp;MATCH("*"&amp;RIGHT(A4058,8)&amp;"*",Main_Tariff!A:A,0)),Raeburn_Main_Tariff[[#This Row],[PRODUCER]])</f>
        <v>Raval</v>
      </c>
      <c r="C4058" s="1178" t="s">
        <v>22007</v>
      </c>
      <c r="D4058" s="1178" t="s">
        <v>2573</v>
      </c>
      <c r="E4058" s="1179">
        <v>2022</v>
      </c>
      <c r="F4058" s="1282" t="s">
        <v>20220</v>
      </c>
      <c r="G4058" s="1368">
        <v>11.75</v>
      </c>
      <c r="H4058" s="1178" t="s">
        <v>20221</v>
      </c>
      <c r="I4058" s="1178" t="s">
        <v>12459</v>
      </c>
      <c r="J4058" s="1178" t="s">
        <v>668</v>
      </c>
      <c r="K4058" s="1178" t="s">
        <v>396</v>
      </c>
      <c r="L4058" s="1178" t="s">
        <v>404</v>
      </c>
      <c r="M4058" s="1369"/>
      <c r="N4058" s="1178"/>
      <c r="O4058" s="1178">
        <v>6</v>
      </c>
      <c r="P4058" s="1178">
        <v>12.5</v>
      </c>
    </row>
    <row r="4059" spans="1:16">
      <c r="A4059" s="1178" t="s">
        <v>405</v>
      </c>
      <c r="B4059" s="1371" t="str">
        <f>HYPERLINK(IFERROR("#Main_Tariff!A"&amp;MATCH(Raeburn_Main_Tariff[[#This Row],[Product Code]],Main_Tariff!I:I,0),"#Main_Tariff!A"&amp;MATCH("*"&amp;RIGHT(A4059,8)&amp;"*",Main_Tariff!A:A,0)),Raeburn_Main_Tariff[[#This Row],[PRODUCER]])</f>
        <v>Raval</v>
      </c>
      <c r="C4059" s="1178" t="s">
        <v>22008</v>
      </c>
      <c r="D4059" s="1178" t="s">
        <v>897</v>
      </c>
      <c r="E4059" s="1179">
        <v>2024</v>
      </c>
      <c r="F4059" s="1282" t="s">
        <v>20220</v>
      </c>
      <c r="G4059" s="1368">
        <v>11.75</v>
      </c>
      <c r="H4059" s="1178" t="s">
        <v>20221</v>
      </c>
      <c r="I4059" s="1178" t="s">
        <v>23372</v>
      </c>
      <c r="J4059" s="1178" t="s">
        <v>668</v>
      </c>
      <c r="K4059" s="1178" t="s">
        <v>396</v>
      </c>
      <c r="L4059" s="1178" t="s">
        <v>404</v>
      </c>
      <c r="M4059" s="1369"/>
      <c r="N4059" s="1178"/>
      <c r="O4059" s="1178">
        <v>6</v>
      </c>
      <c r="P4059" s="1178">
        <v>12.5</v>
      </c>
    </row>
    <row r="4060" spans="1:16">
      <c r="A4060" s="1178" t="s">
        <v>405</v>
      </c>
      <c r="B4060" s="1371" t="str">
        <f>HYPERLINK(IFERROR("#Main_Tariff!A"&amp;MATCH(Raeburn_Main_Tariff[[#This Row],[Product Code]],Main_Tariff!I:I,0),"#Main_Tariff!A"&amp;MATCH("*"&amp;RIGHT(A4060,8)&amp;"*",Main_Tariff!A:A,0)),Raeburn_Main_Tariff[[#This Row],[PRODUCER]])</f>
        <v>Raval</v>
      </c>
      <c r="C4060" s="1178" t="s">
        <v>22008</v>
      </c>
      <c r="D4060" s="1178" t="s">
        <v>897</v>
      </c>
      <c r="E4060" s="1179">
        <v>2023</v>
      </c>
      <c r="F4060" s="1282" t="s">
        <v>20220</v>
      </c>
      <c r="G4060" s="1368">
        <v>11.75</v>
      </c>
      <c r="H4060" s="1178" t="s">
        <v>20221</v>
      </c>
      <c r="I4060" s="1178" t="s">
        <v>12461</v>
      </c>
      <c r="J4060" s="1178" t="s">
        <v>668</v>
      </c>
      <c r="K4060" s="1178" t="s">
        <v>396</v>
      </c>
      <c r="L4060" s="1178" t="s">
        <v>404</v>
      </c>
      <c r="M4060" s="1369"/>
      <c r="N4060" s="1178"/>
      <c r="O4060" s="1178">
        <v>6</v>
      </c>
      <c r="P4060" s="1178">
        <v>12.5</v>
      </c>
    </row>
    <row r="4061" spans="1:16">
      <c r="A4061" s="1178" t="s">
        <v>22009</v>
      </c>
      <c r="B4061" s="1371" t="str">
        <f>HYPERLINK(IFERROR("#Main_Tariff!A"&amp;MATCH(Raeburn_Main_Tariff[[#This Row],[Product Code]],Main_Tariff!I:I,0),"#Main_Tariff!A"&amp;MATCH("*"&amp;RIGHT(A4061,8)&amp;"*",Main_Tariff!A:A,0)),Raeburn_Main_Tariff[[#This Row],[PRODUCER]])</f>
        <v>Alessandro Filippi</v>
      </c>
      <c r="C4061" s="1178" t="s">
        <v>22010</v>
      </c>
      <c r="D4061" s="1178" t="s">
        <v>1370</v>
      </c>
      <c r="E4061" s="1179">
        <v>2018</v>
      </c>
      <c r="F4061" s="1282" t="s">
        <v>20220</v>
      </c>
      <c r="G4061" s="1368">
        <v>17</v>
      </c>
      <c r="H4061" s="1178" t="s">
        <v>20221</v>
      </c>
      <c r="I4061" s="1178" t="s">
        <v>12463</v>
      </c>
      <c r="J4061" s="1178" t="s">
        <v>668</v>
      </c>
      <c r="K4061" s="1178" t="s">
        <v>396</v>
      </c>
      <c r="L4061" s="1178" t="s">
        <v>406</v>
      </c>
      <c r="M4061" s="1369"/>
      <c r="N4061" s="1178"/>
      <c r="O4061" s="1178">
        <v>12</v>
      </c>
      <c r="P4061" s="1178">
        <v>13</v>
      </c>
    </row>
    <row r="4062" spans="1:16">
      <c r="A4062" s="1178" t="s">
        <v>22009</v>
      </c>
      <c r="B4062" s="1371" t="str">
        <f>HYPERLINK(IFERROR("#Main_Tariff!A"&amp;MATCH(Raeburn_Main_Tariff[[#This Row],[Product Code]],Main_Tariff!I:I,0),"#Main_Tariff!A"&amp;MATCH("*"&amp;RIGHT(A4062,8)&amp;"*",Main_Tariff!A:A,0)),Raeburn_Main_Tariff[[#This Row],[PRODUCER]])</f>
        <v>Alessandro Filippi</v>
      </c>
      <c r="C4062" s="1178" t="s">
        <v>22011</v>
      </c>
      <c r="D4062" s="1178" t="s">
        <v>21143</v>
      </c>
      <c r="E4062" s="1179">
        <v>2017</v>
      </c>
      <c r="F4062" s="1282" t="s">
        <v>20220</v>
      </c>
      <c r="G4062" s="1368">
        <v>16</v>
      </c>
      <c r="H4062" s="1178" t="s">
        <v>20221</v>
      </c>
      <c r="I4062" s="1178" t="s">
        <v>12465</v>
      </c>
      <c r="J4062" s="1178" t="s">
        <v>668</v>
      </c>
      <c r="K4062" s="1178" t="s">
        <v>396</v>
      </c>
      <c r="L4062" s="1178" t="s">
        <v>406</v>
      </c>
      <c r="M4062" s="1369"/>
      <c r="N4062" s="1178"/>
      <c r="O4062" s="1178">
        <v>12</v>
      </c>
      <c r="P4062" s="1178">
        <v>13</v>
      </c>
    </row>
    <row r="4063" spans="1:16">
      <c r="A4063" s="1178" t="s">
        <v>22012</v>
      </c>
      <c r="B4063" s="1371" t="str">
        <f>HYPERLINK(IFERROR("#Main_Tariff!A"&amp;MATCH(Raeburn_Main_Tariff[[#This Row],[Product Code]],Main_Tariff!I:I,0),"#Main_Tariff!A"&amp;MATCH("*"&amp;RIGHT(A4063,8)&amp;"*",Main_Tariff!A:A,0)),Raeburn_Main_Tariff[[#This Row],[PRODUCER]])</f>
        <v>Cristiana Meggiolaro</v>
      </c>
      <c r="C4063" s="1178" t="s">
        <v>22013</v>
      </c>
      <c r="D4063" s="1178" t="s">
        <v>1129</v>
      </c>
      <c r="E4063" s="1179">
        <v>2015</v>
      </c>
      <c r="F4063" s="1282" t="s">
        <v>20220</v>
      </c>
      <c r="G4063" s="1368">
        <v>13.5</v>
      </c>
      <c r="H4063" s="1178" t="s">
        <v>20221</v>
      </c>
      <c r="I4063" s="1178" t="s">
        <v>12473</v>
      </c>
      <c r="J4063" s="1178" t="s">
        <v>668</v>
      </c>
      <c r="K4063" s="1178" t="s">
        <v>396</v>
      </c>
      <c r="L4063" s="1178" t="s">
        <v>406</v>
      </c>
      <c r="M4063" s="1369"/>
      <c r="N4063" s="1178"/>
      <c r="O4063" s="1178">
        <v>12</v>
      </c>
      <c r="P4063" s="1178">
        <v>12.5</v>
      </c>
    </row>
    <row r="4064" spans="1:16">
      <c r="A4064" s="1178" t="s">
        <v>410</v>
      </c>
      <c r="B4064" s="1371" t="str">
        <f>HYPERLINK(IFERROR("#Main_Tariff!A"&amp;MATCH(Raeburn_Main_Tariff[[#This Row],[Product Code]],Main_Tariff!I:I,0),"#Main_Tariff!A"&amp;MATCH("*"&amp;RIGHT(A4064,8)&amp;"*",Main_Tariff!A:A,0)),Raeburn_Main_Tariff[[#This Row],[PRODUCER]])</f>
        <v>La Biancara</v>
      </c>
      <c r="C4064" s="1178" t="s">
        <v>22014</v>
      </c>
      <c r="D4064" s="1178" t="s">
        <v>897</v>
      </c>
      <c r="E4064" s="1179">
        <v>2012</v>
      </c>
      <c r="F4064" s="1282" t="s">
        <v>20220</v>
      </c>
      <c r="G4064" s="1368">
        <v>26.5</v>
      </c>
      <c r="H4064" s="1178" t="s">
        <v>20221</v>
      </c>
      <c r="I4064" s="1178" t="s">
        <v>12482</v>
      </c>
      <c r="J4064" s="1178" t="s">
        <v>668</v>
      </c>
      <c r="K4064" s="1178" t="s">
        <v>396</v>
      </c>
      <c r="L4064" s="1178" t="s">
        <v>406</v>
      </c>
      <c r="M4064" s="1369"/>
      <c r="N4064" s="1178"/>
      <c r="O4064" s="1178">
        <v>6</v>
      </c>
      <c r="P4064" s="1178">
        <v>13</v>
      </c>
    </row>
    <row r="4065" spans="1:16">
      <c r="A4065" s="1178" t="s">
        <v>410</v>
      </c>
      <c r="B4065" s="1371" t="str">
        <f>HYPERLINK(IFERROR("#Main_Tariff!A"&amp;MATCH(Raeburn_Main_Tariff[[#This Row],[Product Code]],Main_Tariff!I:I,0),"#Main_Tariff!A"&amp;MATCH("*"&amp;RIGHT(A4065,8)&amp;"*",Main_Tariff!A:A,0)),Raeburn_Main_Tariff[[#This Row],[PRODUCER]])</f>
        <v>La Biancara</v>
      </c>
      <c r="C4065" s="1178" t="s">
        <v>22015</v>
      </c>
      <c r="D4065" s="1178" t="s">
        <v>897</v>
      </c>
      <c r="E4065" s="1179">
        <v>2008</v>
      </c>
      <c r="F4065" s="1282" t="s">
        <v>20220</v>
      </c>
      <c r="G4065" s="1368">
        <v>12.5</v>
      </c>
      <c r="H4065" s="1178" t="s">
        <v>20224</v>
      </c>
      <c r="I4065" s="1178" t="s">
        <v>12484</v>
      </c>
      <c r="J4065" s="1178" t="s">
        <v>668</v>
      </c>
      <c r="K4065" s="1178" t="s">
        <v>396</v>
      </c>
      <c r="L4065" s="1178" t="s">
        <v>406</v>
      </c>
      <c r="M4065" s="1369"/>
      <c r="N4065" s="1178"/>
      <c r="O4065" s="1178">
        <v>12</v>
      </c>
      <c r="P4065" s="1178">
        <v>13.5</v>
      </c>
    </row>
    <row r="4066" spans="1:16">
      <c r="A4066" s="1178" t="s">
        <v>412</v>
      </c>
      <c r="B4066" s="1371" t="str">
        <f>HYPERLINK(IFERROR("#Main_Tariff!A"&amp;MATCH(Raeburn_Main_Tariff[[#This Row],[Product Code]],Main_Tariff!I:I,0),"#Main_Tariff!A"&amp;MATCH("*"&amp;RIGHT(A4066,8)&amp;"*",Main_Tariff!A:A,0)),Raeburn_Main_Tariff[[#This Row],[PRODUCER]])</f>
        <v>Orto</v>
      </c>
      <c r="C4066" s="1178" t="s">
        <v>412</v>
      </c>
      <c r="D4066" s="1178" t="s">
        <v>1129</v>
      </c>
      <c r="E4066" s="1179">
        <v>2016</v>
      </c>
      <c r="F4066" s="1282" t="s">
        <v>20220</v>
      </c>
      <c r="G4066" s="1368">
        <v>25.5</v>
      </c>
      <c r="H4066" s="1178" t="s">
        <v>20221</v>
      </c>
      <c r="I4066" s="1178" t="s">
        <v>12491</v>
      </c>
      <c r="J4066" s="1178" t="s">
        <v>668</v>
      </c>
      <c r="K4066" s="1178" t="s">
        <v>396</v>
      </c>
      <c r="L4066" s="1178" t="s">
        <v>411</v>
      </c>
      <c r="M4066" s="1369"/>
      <c r="N4066" s="1178"/>
      <c r="O4066" s="1178">
        <v>6</v>
      </c>
      <c r="P4066" s="1178">
        <v>13.5</v>
      </c>
    </row>
    <row r="4067" spans="1:16">
      <c r="A4067" s="1178" t="s">
        <v>412</v>
      </c>
      <c r="B4067" s="1371" t="str">
        <f>HYPERLINK(IFERROR("#Main_Tariff!A"&amp;MATCH(Raeburn_Main_Tariff[[#This Row],[Product Code]],Main_Tariff!I:I,0),"#Main_Tariff!A"&amp;MATCH("*"&amp;RIGHT(A4067,8)&amp;"*",Main_Tariff!A:A,0)),Raeburn_Main_Tariff[[#This Row],[PRODUCER]])</f>
        <v>Orto</v>
      </c>
      <c r="C4067" s="1178" t="s">
        <v>412</v>
      </c>
      <c r="D4067" s="1178" t="s">
        <v>1129</v>
      </c>
      <c r="E4067" s="1179">
        <v>2015</v>
      </c>
      <c r="F4067" s="1282" t="s">
        <v>20220</v>
      </c>
      <c r="G4067" s="1368">
        <v>26.5</v>
      </c>
      <c r="H4067" s="1178" t="s">
        <v>20221</v>
      </c>
      <c r="I4067" s="1178" t="s">
        <v>12493</v>
      </c>
      <c r="J4067" s="1178" t="s">
        <v>668</v>
      </c>
      <c r="K4067" s="1178" t="s">
        <v>396</v>
      </c>
      <c r="L4067" s="1178" t="s">
        <v>411</v>
      </c>
      <c r="M4067" s="1369"/>
      <c r="N4067" s="1178"/>
      <c r="O4067" s="1178">
        <v>6</v>
      </c>
      <c r="P4067" s="1178">
        <v>13.5</v>
      </c>
    </row>
    <row r="4068" spans="1:16">
      <c r="A4068" s="1178" t="s">
        <v>412</v>
      </c>
      <c r="B4068" s="1371" t="str">
        <f>HYPERLINK(IFERROR("#Main_Tariff!A"&amp;MATCH(Raeburn_Main_Tariff[[#This Row],[Product Code]],Main_Tariff!I:I,0),"#Main_Tariff!A"&amp;MATCH("*"&amp;RIGHT(A4068,8)&amp;"*",Main_Tariff!A:A,0)),Raeburn_Main_Tariff[[#This Row],[PRODUCER]])</f>
        <v>Orto</v>
      </c>
      <c r="C4068" s="1178" t="s">
        <v>22016</v>
      </c>
      <c r="D4068" s="1178" t="s">
        <v>1129</v>
      </c>
      <c r="E4068" s="1179">
        <v>2014</v>
      </c>
      <c r="F4068" s="1282" t="s">
        <v>20288</v>
      </c>
      <c r="G4068" s="1368">
        <v>124</v>
      </c>
      <c r="H4068" s="1178" t="s">
        <v>20224</v>
      </c>
      <c r="I4068" s="1178" t="s">
        <v>12495</v>
      </c>
      <c r="J4068" s="1178" t="s">
        <v>668</v>
      </c>
      <c r="K4068" s="1178" t="s">
        <v>396</v>
      </c>
      <c r="L4068" s="1178" t="s">
        <v>411</v>
      </c>
      <c r="M4068" s="1369"/>
      <c r="N4068" s="1178"/>
      <c r="O4068" s="1178">
        <v>1</v>
      </c>
      <c r="P4068" s="1178">
        <v>13.5</v>
      </c>
    </row>
    <row r="4069" spans="1:16">
      <c r="A4069" s="1178" t="s">
        <v>22017</v>
      </c>
      <c r="B4069" s="1371" t="str">
        <f>HYPERLINK(IFERROR("#Main_Tariff!A"&amp;MATCH(Raeburn_Main_Tariff[[#This Row],[Product Code]],Main_Tariff!I:I,0),"#Main_Tariff!A"&amp;MATCH("*"&amp;RIGHT(A4069,8)&amp;"*",Main_Tariff!A:A,0)),Raeburn_Main_Tariff[[#This Row],[PRODUCER]])</f>
        <v>Borgo Frare Il Colle</v>
      </c>
      <c r="C4069" s="1178" t="s">
        <v>22018</v>
      </c>
      <c r="D4069" s="1178" t="s">
        <v>884</v>
      </c>
      <c r="E4069" s="1179" t="s">
        <v>19060</v>
      </c>
      <c r="F4069" s="1282" t="s">
        <v>20220</v>
      </c>
      <c r="G4069" s="1368">
        <v>12</v>
      </c>
      <c r="H4069" s="1178" t="s">
        <v>20221</v>
      </c>
      <c r="I4069" s="1178" t="s">
        <v>12502</v>
      </c>
      <c r="J4069" s="1178" t="s">
        <v>668</v>
      </c>
      <c r="K4069" s="1178" t="s">
        <v>396</v>
      </c>
      <c r="L4069" s="1178" t="s">
        <v>413</v>
      </c>
      <c r="M4069" s="1369"/>
      <c r="N4069" s="1178"/>
      <c r="O4069" s="1178">
        <v>6</v>
      </c>
      <c r="P4069" s="1178">
        <v>11</v>
      </c>
    </row>
    <row r="4070" spans="1:16">
      <c r="A4070" s="1178" t="s">
        <v>22017</v>
      </c>
      <c r="B4070" s="1371" t="str">
        <f>HYPERLINK(IFERROR("#Main_Tariff!A"&amp;MATCH(Raeburn_Main_Tariff[[#This Row],[Product Code]],Main_Tariff!I:I,0),"#Main_Tariff!A"&amp;MATCH("*"&amp;RIGHT(A4070,8)&amp;"*",Main_Tariff!A:A,0)),Raeburn_Main_Tariff[[#This Row],[PRODUCER]])</f>
        <v>Borgo Frare Il Colle</v>
      </c>
      <c r="C4070" s="1178" t="s">
        <v>22019</v>
      </c>
      <c r="D4070" s="1178" t="s">
        <v>884</v>
      </c>
      <c r="E4070" s="1179" t="s">
        <v>19060</v>
      </c>
      <c r="F4070" s="1282" t="s">
        <v>20220</v>
      </c>
      <c r="G4070" s="1368">
        <v>14.25</v>
      </c>
      <c r="H4070" s="1178" t="s">
        <v>20221</v>
      </c>
      <c r="I4070" s="1178" t="s">
        <v>12504</v>
      </c>
      <c r="J4070" s="1178" t="s">
        <v>668</v>
      </c>
      <c r="K4070" s="1178" t="s">
        <v>396</v>
      </c>
      <c r="L4070" s="1178" t="s">
        <v>413</v>
      </c>
      <c r="M4070" s="1369"/>
      <c r="N4070" s="1178" t="s">
        <v>20244</v>
      </c>
      <c r="O4070" s="1178">
        <v>6</v>
      </c>
      <c r="P4070" s="1178">
        <v>11</v>
      </c>
    </row>
    <row r="4071" spans="1:16">
      <c r="A4071" s="1178" t="s">
        <v>22020</v>
      </c>
      <c r="B4071" s="1371" t="str">
        <f>HYPERLINK(IFERROR("#Main_Tariff!A"&amp;MATCH(Raeburn_Main_Tariff[[#This Row],[Product Code]],Main_Tariff!I:I,0),"#Main_Tariff!A"&amp;MATCH("*"&amp;RIGHT(A4071,8)&amp;"*",Main_Tariff!A:A,0)),Raeburn_Main_Tariff[[#This Row],[PRODUCER]])</f>
        <v>Ca'Dei Zago</v>
      </c>
      <c r="C4071" s="1178" t="s">
        <v>22021</v>
      </c>
      <c r="D4071" s="1178" t="s">
        <v>884</v>
      </c>
      <c r="E4071" s="1179">
        <v>2018</v>
      </c>
      <c r="F4071" s="1282" t="s">
        <v>20220</v>
      </c>
      <c r="G4071" s="1368">
        <v>15.5</v>
      </c>
      <c r="H4071" s="1178" t="s">
        <v>20221</v>
      </c>
      <c r="I4071" s="1178" t="s">
        <v>12519</v>
      </c>
      <c r="J4071" s="1178" t="s">
        <v>668</v>
      </c>
      <c r="K4071" s="1178" t="s">
        <v>396</v>
      </c>
      <c r="L4071" s="1178" t="s">
        <v>413</v>
      </c>
      <c r="M4071" s="1369"/>
      <c r="N4071" s="1178"/>
      <c r="O4071" s="1178">
        <v>6</v>
      </c>
      <c r="P4071" s="1178">
        <v>11</v>
      </c>
    </row>
    <row r="4072" spans="1:16">
      <c r="A4072" s="1178" t="s">
        <v>22020</v>
      </c>
      <c r="B4072" s="1371" t="str">
        <f>HYPERLINK(IFERROR("#Main_Tariff!A"&amp;MATCH(Raeburn_Main_Tariff[[#This Row],[Product Code]],Main_Tariff!I:I,0),"#Main_Tariff!A"&amp;MATCH("*"&amp;RIGHT(A4072,8)&amp;"*",Main_Tariff!A:A,0)),Raeburn_Main_Tariff[[#This Row],[PRODUCER]])</f>
        <v>Ca'Dei Zago</v>
      </c>
      <c r="C4072" s="1178" t="s">
        <v>22021</v>
      </c>
      <c r="D4072" s="1178" t="s">
        <v>884</v>
      </c>
      <c r="E4072" s="1179">
        <v>2017</v>
      </c>
      <c r="F4072" s="1282" t="s">
        <v>20220</v>
      </c>
      <c r="G4072" s="1368">
        <v>15.5</v>
      </c>
      <c r="H4072" s="1178" t="s">
        <v>20277</v>
      </c>
      <c r="I4072" s="1178" t="s">
        <v>12521</v>
      </c>
      <c r="J4072" s="1178" t="s">
        <v>668</v>
      </c>
      <c r="K4072" s="1178" t="s">
        <v>396</v>
      </c>
      <c r="L4072" s="1178" t="s">
        <v>413</v>
      </c>
      <c r="M4072" s="1369"/>
      <c r="N4072" s="1178"/>
      <c r="O4072" s="1178">
        <v>12</v>
      </c>
      <c r="P4072" s="1178">
        <v>10.5</v>
      </c>
    </row>
    <row r="4073" spans="1:16">
      <c r="A4073" s="1178" t="s">
        <v>22020</v>
      </c>
      <c r="B4073" s="1371" t="str">
        <f>HYPERLINK(IFERROR("#Main_Tariff!A"&amp;MATCH(Raeburn_Main_Tariff[[#This Row],[Product Code]],Main_Tariff!I:I,0),"#Main_Tariff!A"&amp;MATCH("*"&amp;RIGHT(A4073,8)&amp;"*",Main_Tariff!A:A,0)),Raeburn_Main_Tariff[[#This Row],[PRODUCER]])</f>
        <v>Ca'Dei Zago</v>
      </c>
      <c r="C4073" s="1178" t="s">
        <v>22022</v>
      </c>
      <c r="D4073" s="1178" t="s">
        <v>884</v>
      </c>
      <c r="E4073" s="1179">
        <v>2017</v>
      </c>
      <c r="F4073" s="1282" t="s">
        <v>20240</v>
      </c>
      <c r="G4073" s="1368">
        <v>33</v>
      </c>
      <c r="H4073" s="1178" t="s">
        <v>20221</v>
      </c>
      <c r="I4073" s="1178" t="s">
        <v>12523</v>
      </c>
      <c r="J4073" s="1178" t="s">
        <v>668</v>
      </c>
      <c r="K4073" s="1178" t="s">
        <v>396</v>
      </c>
      <c r="L4073" s="1178" t="s">
        <v>413</v>
      </c>
      <c r="M4073" s="1369"/>
      <c r="N4073" s="1178"/>
      <c r="O4073" s="1178">
        <v>6</v>
      </c>
      <c r="P4073" s="1178">
        <v>10.5</v>
      </c>
    </row>
    <row r="4074" spans="1:16">
      <c r="A4074" s="1178" t="s">
        <v>416</v>
      </c>
      <c r="B4074" s="1371" t="str">
        <f>HYPERLINK(IFERROR("#Main_Tariff!A"&amp;MATCH(Raeburn_Main_Tariff[[#This Row],[Product Code]],Main_Tariff!I:I,0),"#Main_Tariff!A"&amp;MATCH("*"&amp;RIGHT(A4074,8)&amp;"*",Main_Tariff!A:A,0)),Raeburn_Main_Tariff[[#This Row],[PRODUCER]])</f>
        <v>Casa Coste Piane</v>
      </c>
      <c r="C4074" s="1178" t="s">
        <v>22023</v>
      </c>
      <c r="D4074" s="1178" t="s">
        <v>884</v>
      </c>
      <c r="E4074" s="1179" t="s">
        <v>19060</v>
      </c>
      <c r="F4074" s="1282" t="s">
        <v>20220</v>
      </c>
      <c r="G4074" s="1368" t="s">
        <v>20342</v>
      </c>
      <c r="H4074" s="1178" t="s">
        <v>20343</v>
      </c>
      <c r="I4074" s="1178" t="s">
        <v>12536</v>
      </c>
      <c r="J4074" s="1178" t="s">
        <v>668</v>
      </c>
      <c r="K4074" s="1178" t="s">
        <v>396</v>
      </c>
      <c r="L4074" s="1178" t="s">
        <v>413</v>
      </c>
      <c r="M4074" s="1369"/>
      <c r="N4074" s="1178"/>
      <c r="O4074" s="1178">
        <v>12</v>
      </c>
      <c r="P4074" s="1178">
        <v>11</v>
      </c>
    </row>
    <row r="4075" spans="1:16">
      <c r="A4075" s="1178" t="s">
        <v>416</v>
      </c>
      <c r="B4075" s="1371" t="str">
        <f>HYPERLINK(IFERROR("#Main_Tariff!A"&amp;MATCH(Raeburn_Main_Tariff[[#This Row],[Product Code]],Main_Tariff!I:I,0),"#Main_Tariff!A"&amp;MATCH("*"&amp;RIGHT(A4075,8)&amp;"*",Main_Tariff!A:A,0)),Raeburn_Main_Tariff[[#This Row],[PRODUCER]])</f>
        <v>Casa Coste Piane</v>
      </c>
      <c r="C4075" s="1178" t="s">
        <v>22024</v>
      </c>
      <c r="D4075" s="1178" t="s">
        <v>884</v>
      </c>
      <c r="E4075" s="1179" t="s">
        <v>19060</v>
      </c>
      <c r="F4075" s="1282" t="s">
        <v>20288</v>
      </c>
      <c r="G4075" s="1368" t="s">
        <v>5258</v>
      </c>
      <c r="H4075" s="1178" t="s">
        <v>3907</v>
      </c>
      <c r="I4075" s="1178" t="s">
        <v>12538</v>
      </c>
      <c r="J4075" s="1178" t="s">
        <v>668</v>
      </c>
      <c r="K4075" s="1178" t="s">
        <v>396</v>
      </c>
      <c r="L4075" s="1178" t="s">
        <v>413</v>
      </c>
      <c r="M4075" s="1369"/>
      <c r="N4075" s="1178"/>
      <c r="O4075" s="1178">
        <v>1</v>
      </c>
      <c r="P4075" s="1178">
        <v>11</v>
      </c>
    </row>
    <row r="4076" spans="1:16">
      <c r="A4076" s="1178" t="s">
        <v>419</v>
      </c>
      <c r="B4076" s="1371" t="str">
        <f>HYPERLINK(IFERROR("#Main_Tariff!A"&amp;MATCH(Raeburn_Main_Tariff[[#This Row],[Product Code]],Main_Tariff!I:I,0),"#Main_Tariff!A"&amp;MATCH("*"&amp;RIGHT(A4076,8)&amp;"*",Main_Tariff!A:A,0)),Raeburn_Main_Tariff[[#This Row],[PRODUCER]])</f>
        <v>Vignai da Duline</v>
      </c>
      <c r="C4076" s="1178" t="s">
        <v>22025</v>
      </c>
      <c r="D4076" s="1178" t="s">
        <v>1129</v>
      </c>
      <c r="E4076" s="1179">
        <v>2022</v>
      </c>
      <c r="F4076" s="1282" t="s">
        <v>20220</v>
      </c>
      <c r="G4076" s="1368">
        <v>23.75</v>
      </c>
      <c r="H4076" s="1178" t="s">
        <v>20221</v>
      </c>
      <c r="I4076" s="1178" t="s">
        <v>12575</v>
      </c>
      <c r="J4076" s="1178" t="s">
        <v>668</v>
      </c>
      <c r="K4076" s="1178" t="s">
        <v>396</v>
      </c>
      <c r="L4076" s="1178" t="s">
        <v>418</v>
      </c>
      <c r="M4076" s="1369"/>
      <c r="N4076" s="1178"/>
      <c r="O4076" s="1178">
        <v>6</v>
      </c>
      <c r="P4076" s="1178">
        <v>13.5</v>
      </c>
    </row>
    <row r="4077" spans="1:16">
      <c r="A4077" s="1178" t="s">
        <v>419</v>
      </c>
      <c r="B4077" s="1371" t="str">
        <f>HYPERLINK(IFERROR("#Main_Tariff!A"&amp;MATCH(Raeburn_Main_Tariff[[#This Row],[Product Code]],Main_Tariff!I:I,0),"#Main_Tariff!A"&amp;MATCH("*"&amp;RIGHT(A4077,8)&amp;"*",Main_Tariff!A:A,0)),Raeburn_Main_Tariff[[#This Row],[PRODUCER]])</f>
        <v>Vignai da Duline</v>
      </c>
      <c r="C4077" s="1178" t="s">
        <v>22025</v>
      </c>
      <c r="D4077" s="1178" t="s">
        <v>1129</v>
      </c>
      <c r="E4077" s="1179">
        <v>2021</v>
      </c>
      <c r="F4077" s="1282" t="s">
        <v>20220</v>
      </c>
      <c r="G4077" s="1368">
        <v>22</v>
      </c>
      <c r="H4077" s="1178" t="s">
        <v>20221</v>
      </c>
      <c r="I4077" s="1178" t="s">
        <v>12577</v>
      </c>
      <c r="J4077" s="1178" t="s">
        <v>668</v>
      </c>
      <c r="K4077" s="1178" t="s">
        <v>396</v>
      </c>
      <c r="L4077" s="1178" t="s">
        <v>418</v>
      </c>
      <c r="M4077" s="1369"/>
      <c r="N4077" s="1178"/>
      <c r="O4077" s="1178">
        <v>6</v>
      </c>
      <c r="P4077" s="1178">
        <v>13.5</v>
      </c>
    </row>
    <row r="4078" spans="1:16">
      <c r="A4078" s="1178" t="s">
        <v>419</v>
      </c>
      <c r="B4078" s="1371" t="str">
        <f>HYPERLINK(IFERROR("#Main_Tariff!A"&amp;MATCH(Raeburn_Main_Tariff[[#This Row],[Product Code]],Main_Tariff!I:I,0),"#Main_Tariff!A"&amp;MATCH("*"&amp;RIGHT(A4078,8)&amp;"*",Main_Tariff!A:A,0)),Raeburn_Main_Tariff[[#This Row],[PRODUCER]])</f>
        <v>Vignai da Duline</v>
      </c>
      <c r="C4078" s="1178" t="s">
        <v>22025</v>
      </c>
      <c r="D4078" s="1178" t="s">
        <v>1129</v>
      </c>
      <c r="E4078" s="1179">
        <v>2020</v>
      </c>
      <c r="F4078" s="1282" t="s">
        <v>20220</v>
      </c>
      <c r="G4078" s="1368">
        <v>21.5</v>
      </c>
      <c r="H4078" s="1178" t="s">
        <v>20221</v>
      </c>
      <c r="I4078" s="1178" t="s">
        <v>12579</v>
      </c>
      <c r="J4078" s="1178" t="s">
        <v>668</v>
      </c>
      <c r="K4078" s="1178" t="s">
        <v>396</v>
      </c>
      <c r="L4078" s="1178" t="s">
        <v>418</v>
      </c>
      <c r="M4078" s="1369"/>
      <c r="N4078" s="1178"/>
      <c r="O4078" s="1178">
        <v>6</v>
      </c>
      <c r="P4078" s="1178">
        <v>12.5</v>
      </c>
    </row>
    <row r="4079" spans="1:16">
      <c r="A4079" s="1178" t="s">
        <v>419</v>
      </c>
      <c r="B4079" s="1371" t="str">
        <f>HYPERLINK(IFERROR("#Main_Tariff!A"&amp;MATCH(Raeburn_Main_Tariff[[#This Row],[Product Code]],Main_Tariff!I:I,0),"#Main_Tariff!A"&amp;MATCH("*"&amp;RIGHT(A4079,8)&amp;"*",Main_Tariff!A:A,0)),Raeburn_Main_Tariff[[#This Row],[PRODUCER]])</f>
        <v>Vignai da Duline</v>
      </c>
      <c r="C4079" s="1178" t="s">
        <v>22025</v>
      </c>
      <c r="D4079" s="1178" t="s">
        <v>1129</v>
      </c>
      <c r="E4079" s="1179">
        <v>2019</v>
      </c>
      <c r="F4079" s="1282" t="s">
        <v>20220</v>
      </c>
      <c r="G4079" s="1368">
        <v>21.5</v>
      </c>
      <c r="H4079" s="1178" t="s">
        <v>20224</v>
      </c>
      <c r="I4079" s="1178" t="s">
        <v>12581</v>
      </c>
      <c r="J4079" s="1178" t="s">
        <v>668</v>
      </c>
      <c r="K4079" s="1178" t="s">
        <v>396</v>
      </c>
      <c r="L4079" s="1178" t="s">
        <v>418</v>
      </c>
      <c r="M4079" s="1369"/>
      <c r="N4079" s="1178"/>
      <c r="O4079" s="1178">
        <v>6</v>
      </c>
      <c r="P4079" s="1178">
        <v>13.5</v>
      </c>
    </row>
    <row r="4080" spans="1:16">
      <c r="A4080" s="1178" t="s">
        <v>419</v>
      </c>
      <c r="B4080" s="1371" t="str">
        <f>HYPERLINK(IFERROR("#Main_Tariff!A"&amp;MATCH(Raeburn_Main_Tariff[[#This Row],[Product Code]],Main_Tariff!I:I,0),"#Main_Tariff!A"&amp;MATCH("*"&amp;RIGHT(A4080,8)&amp;"*",Main_Tariff!A:A,0)),Raeburn_Main_Tariff[[#This Row],[PRODUCER]])</f>
        <v>Vignai da Duline</v>
      </c>
      <c r="C4080" s="1178" t="s">
        <v>22025</v>
      </c>
      <c r="D4080" s="1178" t="s">
        <v>1129</v>
      </c>
      <c r="E4080" s="1179">
        <v>2018</v>
      </c>
      <c r="F4080" s="1282" t="s">
        <v>20220</v>
      </c>
      <c r="G4080" s="1368">
        <v>21</v>
      </c>
      <c r="H4080" s="1178" t="s">
        <v>20221</v>
      </c>
      <c r="I4080" s="1178" t="s">
        <v>12583</v>
      </c>
      <c r="J4080" s="1178" t="s">
        <v>668</v>
      </c>
      <c r="K4080" s="1178" t="s">
        <v>396</v>
      </c>
      <c r="L4080" s="1178" t="s">
        <v>418</v>
      </c>
      <c r="M4080" s="1369"/>
      <c r="N4080" s="1178"/>
      <c r="O4080" s="1178">
        <v>6</v>
      </c>
      <c r="P4080" s="1178">
        <v>13</v>
      </c>
    </row>
    <row r="4081" spans="1:16">
      <c r="A4081" s="1178" t="s">
        <v>419</v>
      </c>
      <c r="B4081" s="1371" t="str">
        <f>HYPERLINK(IFERROR("#Main_Tariff!A"&amp;MATCH(Raeburn_Main_Tariff[[#This Row],[Product Code]],Main_Tariff!I:I,0),"#Main_Tariff!A"&amp;MATCH("*"&amp;RIGHT(A4081,8)&amp;"*",Main_Tariff!A:A,0)),Raeburn_Main_Tariff[[#This Row],[PRODUCER]])</f>
        <v>Vignai da Duline</v>
      </c>
      <c r="C4081" s="1178" t="s">
        <v>22026</v>
      </c>
      <c r="D4081" s="1178" t="s">
        <v>1129</v>
      </c>
      <c r="E4081" s="1179">
        <v>2022</v>
      </c>
      <c r="F4081" s="1282" t="s">
        <v>20220</v>
      </c>
      <c r="G4081" s="1368">
        <v>22.75</v>
      </c>
      <c r="H4081" s="1178" t="s">
        <v>20221</v>
      </c>
      <c r="I4081" s="1178" t="s">
        <v>12590</v>
      </c>
      <c r="J4081" s="1178" t="s">
        <v>668</v>
      </c>
      <c r="K4081" s="1178" t="s">
        <v>396</v>
      </c>
      <c r="L4081" s="1178" t="s">
        <v>418</v>
      </c>
      <c r="M4081" s="1369"/>
      <c r="N4081" s="1178"/>
      <c r="O4081" s="1178">
        <v>6</v>
      </c>
      <c r="P4081" s="1178">
        <v>12.5</v>
      </c>
    </row>
    <row r="4082" spans="1:16">
      <c r="A4082" s="1178" t="s">
        <v>419</v>
      </c>
      <c r="B4082" s="1371" t="str">
        <f>HYPERLINK(IFERROR("#Main_Tariff!A"&amp;MATCH(Raeburn_Main_Tariff[[#This Row],[Product Code]],Main_Tariff!I:I,0),"#Main_Tariff!A"&amp;MATCH("*"&amp;RIGHT(A4082,8)&amp;"*",Main_Tariff!A:A,0)),Raeburn_Main_Tariff[[#This Row],[PRODUCER]])</f>
        <v>Vignai da Duline</v>
      </c>
      <c r="C4082" s="1178" t="s">
        <v>22026</v>
      </c>
      <c r="D4082" s="1178" t="s">
        <v>1129</v>
      </c>
      <c r="E4082" s="1179">
        <v>2021</v>
      </c>
      <c r="F4082" s="1282" t="s">
        <v>20220</v>
      </c>
      <c r="G4082" s="1368">
        <v>22</v>
      </c>
      <c r="H4082" s="1178" t="s">
        <v>20221</v>
      </c>
      <c r="I4082" s="1178" t="s">
        <v>12592</v>
      </c>
      <c r="J4082" s="1178" t="s">
        <v>668</v>
      </c>
      <c r="K4082" s="1178" t="s">
        <v>396</v>
      </c>
      <c r="L4082" s="1178" t="s">
        <v>418</v>
      </c>
      <c r="M4082" s="1369"/>
      <c r="N4082" s="1178"/>
      <c r="O4082" s="1178">
        <v>6</v>
      </c>
      <c r="P4082" s="1178">
        <v>13.5</v>
      </c>
    </row>
    <row r="4083" spans="1:16">
      <c r="A4083" s="1178" t="s">
        <v>419</v>
      </c>
      <c r="B4083" s="1371" t="str">
        <f>HYPERLINK(IFERROR("#Main_Tariff!A"&amp;MATCH(Raeburn_Main_Tariff[[#This Row],[Product Code]],Main_Tariff!I:I,0),"#Main_Tariff!A"&amp;MATCH("*"&amp;RIGHT(A4083,8)&amp;"*",Main_Tariff!A:A,0)),Raeburn_Main_Tariff[[#This Row],[PRODUCER]])</f>
        <v>Vignai da Duline</v>
      </c>
      <c r="C4083" s="1178" t="s">
        <v>22026</v>
      </c>
      <c r="D4083" s="1178" t="s">
        <v>1129</v>
      </c>
      <c r="E4083" s="1179">
        <v>2016</v>
      </c>
      <c r="F4083" s="1282" t="s">
        <v>20220</v>
      </c>
      <c r="G4083" s="1368">
        <v>21.5</v>
      </c>
      <c r="H4083" s="1178" t="s">
        <v>20221</v>
      </c>
      <c r="I4083" s="1178" t="s">
        <v>12594</v>
      </c>
      <c r="J4083" s="1178" t="s">
        <v>668</v>
      </c>
      <c r="K4083" s="1178" t="s">
        <v>396</v>
      </c>
      <c r="L4083" s="1178" t="s">
        <v>418</v>
      </c>
      <c r="M4083" s="1369"/>
      <c r="N4083" s="1178"/>
      <c r="O4083" s="1178">
        <v>6</v>
      </c>
      <c r="P4083" s="1178">
        <v>13</v>
      </c>
    </row>
    <row r="4084" spans="1:16">
      <c r="A4084" s="1178" t="s">
        <v>419</v>
      </c>
      <c r="B4084" s="1371" t="str">
        <f>HYPERLINK(IFERROR("#Main_Tariff!A"&amp;MATCH(Raeburn_Main_Tariff[[#This Row],[Product Code]],Main_Tariff!I:I,0),"#Main_Tariff!A"&amp;MATCH("*"&amp;RIGHT(A4084,8)&amp;"*",Main_Tariff!A:A,0)),Raeburn_Main_Tariff[[#This Row],[PRODUCER]])</f>
        <v>Vignai da Duline</v>
      </c>
      <c r="C4084" s="1178" t="s">
        <v>22026</v>
      </c>
      <c r="D4084" s="1178" t="s">
        <v>1129</v>
      </c>
      <c r="E4084" s="1179">
        <v>2015</v>
      </c>
      <c r="F4084" s="1282" t="s">
        <v>20220</v>
      </c>
      <c r="G4084" s="1368">
        <v>21.5</v>
      </c>
      <c r="H4084" s="1178" t="s">
        <v>20224</v>
      </c>
      <c r="I4084" s="1178" t="s">
        <v>12596</v>
      </c>
      <c r="J4084" s="1178" t="s">
        <v>668</v>
      </c>
      <c r="K4084" s="1178" t="s">
        <v>396</v>
      </c>
      <c r="L4084" s="1178" t="s">
        <v>418</v>
      </c>
      <c r="M4084" s="1369"/>
      <c r="N4084" s="1178"/>
      <c r="O4084" s="1178">
        <v>6</v>
      </c>
      <c r="P4084" s="1178">
        <v>12.5</v>
      </c>
    </row>
    <row r="4085" spans="1:16">
      <c r="A4085" s="1178" t="s">
        <v>419</v>
      </c>
      <c r="B4085" s="1371" t="str">
        <f>HYPERLINK(IFERROR("#Main_Tariff!A"&amp;MATCH(Raeburn_Main_Tariff[[#This Row],[Product Code]],Main_Tariff!I:I,0),"#Main_Tariff!A"&amp;MATCH("*"&amp;RIGHT(A4085,8)&amp;"*",Main_Tariff!A:A,0)),Raeburn_Main_Tariff[[#This Row],[PRODUCER]])</f>
        <v>Vignai da Duline</v>
      </c>
      <c r="C4085" s="1178" t="s">
        <v>22027</v>
      </c>
      <c r="D4085" s="1178" t="s">
        <v>1129</v>
      </c>
      <c r="E4085" s="1179">
        <v>2022</v>
      </c>
      <c r="F4085" s="1282" t="s">
        <v>20220</v>
      </c>
      <c r="G4085" s="1368">
        <v>22.5</v>
      </c>
      <c r="H4085" s="1178" t="s">
        <v>20221</v>
      </c>
      <c r="I4085" s="1178" t="s">
        <v>12602</v>
      </c>
      <c r="J4085" s="1178" t="s">
        <v>668</v>
      </c>
      <c r="K4085" s="1178" t="s">
        <v>396</v>
      </c>
      <c r="L4085" s="1178" t="s">
        <v>418</v>
      </c>
      <c r="M4085" s="1369"/>
      <c r="N4085" s="1178"/>
      <c r="O4085" s="1178">
        <v>6</v>
      </c>
      <c r="P4085" s="1178">
        <v>13.5</v>
      </c>
    </row>
    <row r="4086" spans="1:16">
      <c r="A4086" s="1178" t="s">
        <v>419</v>
      </c>
      <c r="B4086" s="1371" t="str">
        <f>HYPERLINK(IFERROR("#Main_Tariff!A"&amp;MATCH(Raeburn_Main_Tariff[[#This Row],[Product Code]],Main_Tariff!I:I,0),"#Main_Tariff!A"&amp;MATCH("*"&amp;RIGHT(A4086,8)&amp;"*",Main_Tariff!A:A,0)),Raeburn_Main_Tariff[[#This Row],[PRODUCER]])</f>
        <v>Vignai da Duline</v>
      </c>
      <c r="C4086" s="1178" t="s">
        <v>22027</v>
      </c>
      <c r="D4086" s="1178" t="s">
        <v>1129</v>
      </c>
      <c r="E4086" s="1179">
        <v>2021</v>
      </c>
      <c r="F4086" s="1282" t="s">
        <v>20220</v>
      </c>
      <c r="G4086" s="1368">
        <v>22</v>
      </c>
      <c r="H4086" s="1178" t="s">
        <v>20221</v>
      </c>
      <c r="I4086" s="1178" t="s">
        <v>12604</v>
      </c>
      <c r="J4086" s="1178" t="s">
        <v>668</v>
      </c>
      <c r="K4086" s="1178" t="s">
        <v>396</v>
      </c>
      <c r="L4086" s="1178" t="s">
        <v>418</v>
      </c>
      <c r="M4086" s="1369"/>
      <c r="N4086" s="1178"/>
      <c r="O4086" s="1178">
        <v>6</v>
      </c>
      <c r="P4086" s="1178">
        <v>13.5</v>
      </c>
    </row>
    <row r="4087" spans="1:16">
      <c r="A4087" s="1178" t="s">
        <v>419</v>
      </c>
      <c r="B4087" s="1371" t="str">
        <f>HYPERLINK(IFERROR("#Main_Tariff!A"&amp;MATCH(Raeburn_Main_Tariff[[#This Row],[Product Code]],Main_Tariff!I:I,0),"#Main_Tariff!A"&amp;MATCH("*"&amp;RIGHT(A4087,8)&amp;"*",Main_Tariff!A:A,0)),Raeburn_Main_Tariff[[#This Row],[PRODUCER]])</f>
        <v>Vignai da Duline</v>
      </c>
      <c r="C4087" s="1178" t="s">
        <v>22027</v>
      </c>
      <c r="D4087" s="1178" t="s">
        <v>1129</v>
      </c>
      <c r="E4087" s="1179">
        <v>2020</v>
      </c>
      <c r="F4087" s="1282" t="s">
        <v>20220</v>
      </c>
      <c r="G4087" s="1368">
        <v>21.5</v>
      </c>
      <c r="H4087" s="1178" t="s">
        <v>20221</v>
      </c>
      <c r="I4087" s="1178" t="s">
        <v>12606</v>
      </c>
      <c r="J4087" s="1178" t="s">
        <v>668</v>
      </c>
      <c r="K4087" s="1178" t="s">
        <v>396</v>
      </c>
      <c r="L4087" s="1178" t="s">
        <v>418</v>
      </c>
      <c r="M4087" s="1369"/>
      <c r="N4087" s="1178"/>
      <c r="O4087" s="1178">
        <v>6</v>
      </c>
      <c r="P4087" s="1178">
        <v>13</v>
      </c>
    </row>
    <row r="4088" spans="1:16">
      <c r="A4088" s="1178" t="s">
        <v>419</v>
      </c>
      <c r="B4088" s="1371" t="str">
        <f>HYPERLINK(IFERROR("#Main_Tariff!A"&amp;MATCH(Raeburn_Main_Tariff[[#This Row],[Product Code]],Main_Tariff!I:I,0),"#Main_Tariff!A"&amp;MATCH("*"&amp;RIGHT(A4088,8)&amp;"*",Main_Tariff!A:A,0)),Raeburn_Main_Tariff[[#This Row],[PRODUCER]])</f>
        <v>Vignai da Duline</v>
      </c>
      <c r="C4088" s="1178" t="s">
        <v>22027</v>
      </c>
      <c r="D4088" s="1178" t="s">
        <v>1129</v>
      </c>
      <c r="E4088" s="1179">
        <v>2018</v>
      </c>
      <c r="F4088" s="1282" t="s">
        <v>20220</v>
      </c>
      <c r="G4088" s="1368">
        <v>21</v>
      </c>
      <c r="H4088" s="1178" t="s">
        <v>20221</v>
      </c>
      <c r="I4088" s="1178" t="s">
        <v>12608</v>
      </c>
      <c r="J4088" s="1178" t="s">
        <v>668</v>
      </c>
      <c r="K4088" s="1178" t="s">
        <v>396</v>
      </c>
      <c r="L4088" s="1178" t="s">
        <v>418</v>
      </c>
      <c r="M4088" s="1369"/>
      <c r="N4088" s="1178"/>
      <c r="O4088" s="1178">
        <v>6</v>
      </c>
      <c r="P4088" s="1178">
        <v>12.5</v>
      </c>
    </row>
    <row r="4089" spans="1:16">
      <c r="A4089" s="1178" t="s">
        <v>419</v>
      </c>
      <c r="B4089" s="1371" t="str">
        <f>HYPERLINK(IFERROR("#Main_Tariff!A"&amp;MATCH(Raeburn_Main_Tariff[[#This Row],[Product Code]],Main_Tariff!I:I,0),"#Main_Tariff!A"&amp;MATCH("*"&amp;RIGHT(A4089,8)&amp;"*",Main_Tariff!A:A,0)),Raeburn_Main_Tariff[[#This Row],[PRODUCER]])</f>
        <v>Vignai da Duline</v>
      </c>
      <c r="C4089" s="1178" t="s">
        <v>22027</v>
      </c>
      <c r="D4089" s="1178" t="s">
        <v>1129</v>
      </c>
      <c r="E4089" s="1179">
        <v>2017</v>
      </c>
      <c r="F4089" s="1282" t="s">
        <v>20220</v>
      </c>
      <c r="G4089" s="1368">
        <v>21</v>
      </c>
      <c r="H4089" s="1178" t="s">
        <v>20221</v>
      </c>
      <c r="I4089" s="1178" t="s">
        <v>12610</v>
      </c>
      <c r="J4089" s="1178" t="s">
        <v>668</v>
      </c>
      <c r="K4089" s="1178" t="s">
        <v>396</v>
      </c>
      <c r="L4089" s="1178" t="s">
        <v>418</v>
      </c>
      <c r="M4089" s="1369"/>
      <c r="N4089" s="1178"/>
      <c r="O4089" s="1178">
        <v>6</v>
      </c>
      <c r="P4089" s="1178">
        <v>13</v>
      </c>
    </row>
    <row r="4090" spans="1:16">
      <c r="A4090" s="1178" t="s">
        <v>419</v>
      </c>
      <c r="B4090" s="1371" t="str">
        <f>HYPERLINK(IFERROR("#Main_Tariff!A"&amp;MATCH(Raeburn_Main_Tariff[[#This Row],[Product Code]],Main_Tariff!I:I,0),"#Main_Tariff!A"&amp;MATCH("*"&amp;RIGHT(A4090,8)&amp;"*",Main_Tariff!A:A,0)),Raeburn_Main_Tariff[[#This Row],[PRODUCER]])</f>
        <v>Vignai da Duline</v>
      </c>
      <c r="C4090" s="1178" t="s">
        <v>22027</v>
      </c>
      <c r="D4090" s="1178" t="s">
        <v>1129</v>
      </c>
      <c r="E4090" s="1179">
        <v>2016</v>
      </c>
      <c r="F4090" s="1282" t="s">
        <v>20220</v>
      </c>
      <c r="G4090" s="1368">
        <v>21</v>
      </c>
      <c r="H4090" s="1178" t="s">
        <v>20221</v>
      </c>
      <c r="I4090" s="1178" t="s">
        <v>12612</v>
      </c>
      <c r="J4090" s="1178" t="s">
        <v>668</v>
      </c>
      <c r="K4090" s="1178" t="s">
        <v>396</v>
      </c>
      <c r="L4090" s="1178" t="s">
        <v>418</v>
      </c>
      <c r="M4090" s="1369"/>
      <c r="N4090" s="1178"/>
      <c r="O4090" s="1178">
        <v>6</v>
      </c>
      <c r="P4090" s="1178">
        <v>12.5</v>
      </c>
    </row>
    <row r="4091" spans="1:16">
      <c r="A4091" s="1178" t="s">
        <v>419</v>
      </c>
      <c r="B4091" s="1371" t="str">
        <f>HYPERLINK(IFERROR("#Main_Tariff!A"&amp;MATCH(Raeburn_Main_Tariff[[#This Row],[Product Code]],Main_Tariff!I:I,0),"#Main_Tariff!A"&amp;MATCH("*"&amp;RIGHT(A4091,8)&amp;"*",Main_Tariff!A:A,0)),Raeburn_Main_Tariff[[#This Row],[PRODUCER]])</f>
        <v>Vignai da Duline</v>
      </c>
      <c r="C4091" s="1178" t="s">
        <v>22027</v>
      </c>
      <c r="D4091" s="1178" t="s">
        <v>1129</v>
      </c>
      <c r="E4091" s="1179">
        <v>2015</v>
      </c>
      <c r="F4091" s="1282" t="s">
        <v>20220</v>
      </c>
      <c r="G4091" s="1368">
        <v>21</v>
      </c>
      <c r="H4091" s="1178" t="s">
        <v>20221</v>
      </c>
      <c r="I4091" s="1178" t="s">
        <v>12614</v>
      </c>
      <c r="J4091" s="1178" t="s">
        <v>668</v>
      </c>
      <c r="K4091" s="1178" t="s">
        <v>396</v>
      </c>
      <c r="L4091" s="1178" t="s">
        <v>418</v>
      </c>
      <c r="M4091" s="1369"/>
      <c r="N4091" s="1178"/>
      <c r="O4091" s="1178">
        <v>6</v>
      </c>
      <c r="P4091" s="1178">
        <v>12.5</v>
      </c>
    </row>
    <row r="4092" spans="1:16">
      <c r="A4092" s="1178" t="s">
        <v>419</v>
      </c>
      <c r="B4092" s="1371" t="str">
        <f>HYPERLINK(IFERROR("#Main_Tariff!A"&amp;MATCH(Raeburn_Main_Tariff[[#This Row],[Product Code]],Main_Tariff!I:I,0),"#Main_Tariff!A"&amp;MATCH("*"&amp;RIGHT(A4092,8)&amp;"*",Main_Tariff!A:A,0)),Raeburn_Main_Tariff[[#This Row],[PRODUCER]])</f>
        <v>Vignai da Duline</v>
      </c>
      <c r="C4092" s="1178" t="s">
        <v>22027</v>
      </c>
      <c r="D4092" s="1178" t="s">
        <v>1129</v>
      </c>
      <c r="E4092" s="1179">
        <v>2014</v>
      </c>
      <c r="F4092" s="1282" t="s">
        <v>20220</v>
      </c>
      <c r="G4092" s="1368">
        <v>23.25</v>
      </c>
      <c r="H4092" s="1178" t="s">
        <v>20221</v>
      </c>
      <c r="I4092" s="1178" t="s">
        <v>12616</v>
      </c>
      <c r="J4092" s="1178" t="s">
        <v>668</v>
      </c>
      <c r="K4092" s="1178" t="s">
        <v>396</v>
      </c>
      <c r="L4092" s="1178" t="s">
        <v>418</v>
      </c>
      <c r="M4092" s="1369"/>
      <c r="N4092" s="1178"/>
      <c r="O4092" s="1178">
        <v>6</v>
      </c>
      <c r="P4092" s="1178">
        <v>12.5</v>
      </c>
    </row>
    <row r="4093" spans="1:16">
      <c r="A4093" s="1178" t="s">
        <v>419</v>
      </c>
      <c r="B4093" s="1371" t="str">
        <f>HYPERLINK(IFERROR("#Main_Tariff!A"&amp;MATCH(Raeburn_Main_Tariff[[#This Row],[Product Code]],Main_Tariff!I:I,0),"#Main_Tariff!A"&amp;MATCH("*"&amp;RIGHT(A4093,8)&amp;"*",Main_Tariff!A:A,0)),Raeburn_Main_Tariff[[#This Row],[PRODUCER]])</f>
        <v>Vignai da Duline</v>
      </c>
      <c r="C4093" s="1178" t="s">
        <v>22027</v>
      </c>
      <c r="D4093" s="1178" t="s">
        <v>1129</v>
      </c>
      <c r="E4093" s="1179">
        <v>2013</v>
      </c>
      <c r="F4093" s="1282" t="s">
        <v>20220</v>
      </c>
      <c r="G4093" s="1368">
        <v>23</v>
      </c>
      <c r="H4093" s="1178" t="s">
        <v>20221</v>
      </c>
      <c r="I4093" s="1178" t="s">
        <v>12618</v>
      </c>
      <c r="J4093" s="1178" t="s">
        <v>668</v>
      </c>
      <c r="K4093" s="1178" t="s">
        <v>396</v>
      </c>
      <c r="L4093" s="1178" t="s">
        <v>418</v>
      </c>
      <c r="M4093" s="1369"/>
      <c r="N4093" s="1178"/>
      <c r="O4093" s="1178">
        <v>6</v>
      </c>
      <c r="P4093" s="1178">
        <v>13</v>
      </c>
    </row>
    <row r="4094" spans="1:16">
      <c r="A4094" s="1178" t="s">
        <v>419</v>
      </c>
      <c r="B4094" s="1371" t="str">
        <f>HYPERLINK(IFERROR("#Main_Tariff!A"&amp;MATCH(Raeburn_Main_Tariff[[#This Row],[Product Code]],Main_Tariff!I:I,0),"#Main_Tariff!A"&amp;MATCH("*"&amp;RIGHT(A4094,8)&amp;"*",Main_Tariff!A:A,0)),Raeburn_Main_Tariff[[#This Row],[PRODUCER]])</f>
        <v>Vignai da Duline</v>
      </c>
      <c r="C4094" s="1178" t="s">
        <v>22027</v>
      </c>
      <c r="D4094" s="1178" t="s">
        <v>1129</v>
      </c>
      <c r="E4094" s="1179">
        <v>2011</v>
      </c>
      <c r="F4094" s="1282" t="s">
        <v>20220</v>
      </c>
      <c r="G4094" s="1368">
        <v>22.75</v>
      </c>
      <c r="H4094" s="1178" t="s">
        <v>20224</v>
      </c>
      <c r="I4094" s="1178" t="s">
        <v>12620</v>
      </c>
      <c r="J4094" s="1178" t="s">
        <v>668</v>
      </c>
      <c r="K4094" s="1178" t="s">
        <v>396</v>
      </c>
      <c r="L4094" s="1178" t="s">
        <v>418</v>
      </c>
      <c r="M4094" s="1369"/>
      <c r="N4094" s="1178"/>
      <c r="O4094" s="1178">
        <v>6</v>
      </c>
      <c r="P4094" s="1178">
        <v>15</v>
      </c>
    </row>
    <row r="4095" spans="1:16">
      <c r="A4095" s="1178" t="s">
        <v>419</v>
      </c>
      <c r="B4095" s="1371" t="str">
        <f>HYPERLINK(IFERROR("#Main_Tariff!A"&amp;MATCH(Raeburn_Main_Tariff[[#This Row],[Product Code]],Main_Tariff!I:I,0),"#Main_Tariff!A"&amp;MATCH("*"&amp;RIGHT(A4095,8)&amp;"*",Main_Tariff!A:A,0)),Raeburn_Main_Tariff[[#This Row],[PRODUCER]])</f>
        <v>Vignai da Duline</v>
      </c>
      <c r="C4095" s="1178" t="s">
        <v>22028</v>
      </c>
      <c r="D4095" s="1178" t="s">
        <v>1129</v>
      </c>
      <c r="E4095" s="1179">
        <v>2021</v>
      </c>
      <c r="F4095" s="1282" t="s">
        <v>20220</v>
      </c>
      <c r="G4095" s="1368">
        <v>29.95</v>
      </c>
      <c r="H4095" s="1178" t="s">
        <v>20221</v>
      </c>
      <c r="I4095" s="1178" t="s">
        <v>12626</v>
      </c>
      <c r="J4095" s="1178" t="s">
        <v>668</v>
      </c>
      <c r="K4095" s="1178" t="s">
        <v>396</v>
      </c>
      <c r="L4095" s="1178" t="s">
        <v>418</v>
      </c>
      <c r="M4095" s="1369"/>
      <c r="N4095" s="1178"/>
      <c r="O4095" s="1178">
        <v>6</v>
      </c>
      <c r="P4095" s="1178">
        <v>14</v>
      </c>
    </row>
    <row r="4096" spans="1:16">
      <c r="A4096" s="1178" t="s">
        <v>419</v>
      </c>
      <c r="B4096" s="1371" t="str">
        <f>HYPERLINK(IFERROR("#Main_Tariff!A"&amp;MATCH(Raeburn_Main_Tariff[[#This Row],[Product Code]],Main_Tariff!I:I,0),"#Main_Tariff!A"&amp;MATCH("*"&amp;RIGHT(A4096,8)&amp;"*",Main_Tariff!A:A,0)),Raeburn_Main_Tariff[[#This Row],[PRODUCER]])</f>
        <v>Vignai da Duline</v>
      </c>
      <c r="C4096" s="1178" t="s">
        <v>22028</v>
      </c>
      <c r="D4096" s="1178" t="s">
        <v>1129</v>
      </c>
      <c r="E4096" s="1179">
        <v>2020</v>
      </c>
      <c r="F4096" s="1282" t="s">
        <v>20220</v>
      </c>
      <c r="G4096" s="1368">
        <v>29.95</v>
      </c>
      <c r="H4096" s="1178" t="s">
        <v>20221</v>
      </c>
      <c r="I4096" s="1178" t="s">
        <v>12628</v>
      </c>
      <c r="J4096" s="1178" t="s">
        <v>668</v>
      </c>
      <c r="K4096" s="1178" t="s">
        <v>396</v>
      </c>
      <c r="L4096" s="1178" t="s">
        <v>418</v>
      </c>
      <c r="M4096" s="1369"/>
      <c r="N4096" s="1178"/>
      <c r="O4096" s="1178">
        <v>6</v>
      </c>
      <c r="P4096" s="1178">
        <v>13.5</v>
      </c>
    </row>
    <row r="4097" spans="1:16">
      <c r="A4097" s="1178" t="s">
        <v>419</v>
      </c>
      <c r="B4097" s="1371" t="str">
        <f>HYPERLINK(IFERROR("#Main_Tariff!A"&amp;MATCH(Raeburn_Main_Tariff[[#This Row],[Product Code]],Main_Tariff!I:I,0),"#Main_Tariff!A"&amp;MATCH("*"&amp;RIGHT(A4097,8)&amp;"*",Main_Tariff!A:A,0)),Raeburn_Main_Tariff[[#This Row],[PRODUCER]])</f>
        <v>Vignai da Duline</v>
      </c>
      <c r="C4097" s="1178" t="s">
        <v>22028</v>
      </c>
      <c r="D4097" s="1178" t="s">
        <v>1129</v>
      </c>
      <c r="E4097" s="1179">
        <v>2019</v>
      </c>
      <c r="F4097" s="1282" t="s">
        <v>20220</v>
      </c>
      <c r="G4097" s="1368">
        <v>29</v>
      </c>
      <c r="H4097" s="1178" t="s">
        <v>20221</v>
      </c>
      <c r="I4097" s="1178" t="s">
        <v>12630</v>
      </c>
      <c r="J4097" s="1178" t="s">
        <v>668</v>
      </c>
      <c r="K4097" s="1178" t="s">
        <v>396</v>
      </c>
      <c r="L4097" s="1178" t="s">
        <v>418</v>
      </c>
      <c r="M4097" s="1369"/>
      <c r="N4097" s="1178"/>
      <c r="O4097" s="1178">
        <v>6</v>
      </c>
      <c r="P4097" s="1178">
        <v>14.5</v>
      </c>
    </row>
    <row r="4098" spans="1:16">
      <c r="A4098" s="1178" t="s">
        <v>419</v>
      </c>
      <c r="B4098" s="1371" t="str">
        <f>HYPERLINK(IFERROR("#Main_Tariff!A"&amp;MATCH(Raeburn_Main_Tariff[[#This Row],[Product Code]],Main_Tariff!I:I,0),"#Main_Tariff!A"&amp;MATCH("*"&amp;RIGHT(A4098,8)&amp;"*",Main_Tariff!A:A,0)),Raeburn_Main_Tariff[[#This Row],[PRODUCER]])</f>
        <v>Vignai da Duline</v>
      </c>
      <c r="C4098" s="1178" t="s">
        <v>22028</v>
      </c>
      <c r="D4098" s="1178" t="s">
        <v>1129</v>
      </c>
      <c r="E4098" s="1179">
        <v>2017</v>
      </c>
      <c r="F4098" s="1282" t="s">
        <v>20220</v>
      </c>
      <c r="G4098" s="1368">
        <v>29</v>
      </c>
      <c r="H4098" s="1178" t="s">
        <v>20221</v>
      </c>
      <c r="I4098" s="1178" t="s">
        <v>12632</v>
      </c>
      <c r="J4098" s="1178" t="s">
        <v>668</v>
      </c>
      <c r="K4098" s="1178" t="s">
        <v>396</v>
      </c>
      <c r="L4098" s="1178" t="s">
        <v>418</v>
      </c>
      <c r="M4098" s="1369"/>
      <c r="N4098" s="1178"/>
      <c r="O4098" s="1178">
        <v>6</v>
      </c>
      <c r="P4098" s="1178">
        <v>13.5</v>
      </c>
    </row>
    <row r="4099" spans="1:16">
      <c r="A4099" s="1178" t="s">
        <v>419</v>
      </c>
      <c r="B4099" s="1371" t="str">
        <f>HYPERLINK(IFERROR("#Main_Tariff!A"&amp;MATCH(Raeburn_Main_Tariff[[#This Row],[Product Code]],Main_Tariff!I:I,0),"#Main_Tariff!A"&amp;MATCH("*"&amp;RIGHT(A4099,8)&amp;"*",Main_Tariff!A:A,0)),Raeburn_Main_Tariff[[#This Row],[PRODUCER]])</f>
        <v>Vignai da Duline</v>
      </c>
      <c r="C4099" s="1178" t="s">
        <v>22028</v>
      </c>
      <c r="D4099" s="1178" t="s">
        <v>1129</v>
      </c>
      <c r="E4099" s="1179">
        <v>2016</v>
      </c>
      <c r="F4099" s="1282" t="s">
        <v>20220</v>
      </c>
      <c r="G4099" s="1368">
        <v>28.5</v>
      </c>
      <c r="H4099" s="1178" t="s">
        <v>20221</v>
      </c>
      <c r="I4099" s="1178" t="s">
        <v>12634</v>
      </c>
      <c r="J4099" s="1178" t="s">
        <v>668</v>
      </c>
      <c r="K4099" s="1178" t="s">
        <v>396</v>
      </c>
      <c r="L4099" s="1178" t="s">
        <v>418</v>
      </c>
      <c r="M4099" s="1369"/>
      <c r="N4099" s="1178"/>
      <c r="O4099" s="1178">
        <v>6</v>
      </c>
      <c r="P4099" s="1178">
        <v>13</v>
      </c>
    </row>
    <row r="4100" spans="1:16">
      <c r="A4100" s="1178" t="s">
        <v>419</v>
      </c>
      <c r="B4100" s="1371" t="str">
        <f>HYPERLINK(IFERROR("#Main_Tariff!A"&amp;MATCH(Raeburn_Main_Tariff[[#This Row],[Product Code]],Main_Tariff!I:I,0),"#Main_Tariff!A"&amp;MATCH("*"&amp;RIGHT(A4100,8)&amp;"*",Main_Tariff!A:A,0)),Raeburn_Main_Tariff[[#This Row],[PRODUCER]])</f>
        <v>Vignai da Duline</v>
      </c>
      <c r="C4100" s="1178" t="s">
        <v>22028</v>
      </c>
      <c r="D4100" s="1178" t="s">
        <v>1129</v>
      </c>
      <c r="E4100" s="1179">
        <v>2015</v>
      </c>
      <c r="F4100" s="1282" t="s">
        <v>20220</v>
      </c>
      <c r="G4100" s="1368">
        <v>28.5</v>
      </c>
      <c r="H4100" s="1178" t="s">
        <v>20221</v>
      </c>
      <c r="I4100" s="1178" t="s">
        <v>12636</v>
      </c>
      <c r="J4100" s="1178" t="s">
        <v>668</v>
      </c>
      <c r="K4100" s="1178" t="s">
        <v>396</v>
      </c>
      <c r="L4100" s="1178" t="s">
        <v>418</v>
      </c>
      <c r="M4100" s="1369"/>
      <c r="N4100" s="1178"/>
      <c r="O4100" s="1178">
        <v>6</v>
      </c>
      <c r="P4100" s="1178">
        <v>13</v>
      </c>
    </row>
    <row r="4101" spans="1:16">
      <c r="A4101" s="1178" t="s">
        <v>419</v>
      </c>
      <c r="B4101" s="1371" t="str">
        <f>HYPERLINK(IFERROR("#Main_Tariff!A"&amp;MATCH(Raeburn_Main_Tariff[[#This Row],[Product Code]],Main_Tariff!I:I,0),"#Main_Tariff!A"&amp;MATCH("*"&amp;RIGHT(A4101,8)&amp;"*",Main_Tariff!A:A,0)),Raeburn_Main_Tariff[[#This Row],[PRODUCER]])</f>
        <v>Vignai da Duline</v>
      </c>
      <c r="C4101" s="1178" t="s">
        <v>22028</v>
      </c>
      <c r="D4101" s="1178" t="s">
        <v>1129</v>
      </c>
      <c r="E4101" s="1179">
        <v>2014</v>
      </c>
      <c r="F4101" s="1282" t="s">
        <v>20220</v>
      </c>
      <c r="G4101" s="1368">
        <v>28</v>
      </c>
      <c r="H4101" s="1178" t="s">
        <v>20277</v>
      </c>
      <c r="I4101" s="1178" t="s">
        <v>12638</v>
      </c>
      <c r="J4101" s="1178" t="s">
        <v>668</v>
      </c>
      <c r="K4101" s="1178" t="s">
        <v>396</v>
      </c>
      <c r="L4101" s="1178" t="s">
        <v>418</v>
      </c>
      <c r="M4101" s="1369"/>
      <c r="N4101" s="1178"/>
      <c r="O4101" s="1178">
        <v>6</v>
      </c>
      <c r="P4101" s="1178">
        <v>13</v>
      </c>
    </row>
    <row r="4102" spans="1:16">
      <c r="A4102" s="1178" t="s">
        <v>419</v>
      </c>
      <c r="B4102" s="1371" t="str">
        <f>HYPERLINK(IFERROR("#Main_Tariff!A"&amp;MATCH(Raeburn_Main_Tariff[[#This Row],[Product Code]],Main_Tariff!I:I,0),"#Main_Tariff!A"&amp;MATCH("*"&amp;RIGHT(A4102,8)&amp;"*",Main_Tariff!A:A,0)),Raeburn_Main_Tariff[[#This Row],[PRODUCER]])</f>
        <v>Vignai da Duline</v>
      </c>
      <c r="C4102" s="1178" t="s">
        <v>22029</v>
      </c>
      <c r="D4102" s="1178" t="s">
        <v>1129</v>
      </c>
      <c r="E4102" s="1179">
        <v>2020</v>
      </c>
      <c r="F4102" s="1282" t="s">
        <v>20220</v>
      </c>
      <c r="G4102" s="1368">
        <v>29.95</v>
      </c>
      <c r="H4102" s="1178" t="s">
        <v>20221</v>
      </c>
      <c r="I4102" s="1178" t="s">
        <v>12645</v>
      </c>
      <c r="J4102" s="1178" t="s">
        <v>668</v>
      </c>
      <c r="K4102" s="1178" t="s">
        <v>396</v>
      </c>
      <c r="L4102" s="1178" t="s">
        <v>418</v>
      </c>
      <c r="M4102" s="1369"/>
      <c r="N4102" s="1178"/>
      <c r="O4102" s="1178">
        <v>6</v>
      </c>
      <c r="P4102" s="1178">
        <v>13.5</v>
      </c>
    </row>
    <row r="4103" spans="1:16">
      <c r="A4103" s="1178" t="s">
        <v>419</v>
      </c>
      <c r="B4103" s="1371" t="str">
        <f>HYPERLINK(IFERROR("#Main_Tariff!A"&amp;MATCH(Raeburn_Main_Tariff[[#This Row],[Product Code]],Main_Tariff!I:I,0),"#Main_Tariff!A"&amp;MATCH("*"&amp;RIGHT(A4103,8)&amp;"*",Main_Tariff!A:A,0)),Raeburn_Main_Tariff[[#This Row],[PRODUCER]])</f>
        <v>Vignai da Duline</v>
      </c>
      <c r="C4103" s="1178" t="s">
        <v>22029</v>
      </c>
      <c r="D4103" s="1178" t="s">
        <v>1129</v>
      </c>
      <c r="E4103" s="1179">
        <v>2019</v>
      </c>
      <c r="F4103" s="1282" t="s">
        <v>20220</v>
      </c>
      <c r="G4103" s="1368">
        <v>28.5</v>
      </c>
      <c r="H4103" s="1178" t="s">
        <v>20221</v>
      </c>
      <c r="I4103" s="1178" t="s">
        <v>12647</v>
      </c>
      <c r="J4103" s="1178" t="s">
        <v>668</v>
      </c>
      <c r="K4103" s="1178" t="s">
        <v>396</v>
      </c>
      <c r="L4103" s="1178" t="s">
        <v>418</v>
      </c>
      <c r="M4103" s="1369"/>
      <c r="N4103" s="1178"/>
      <c r="O4103" s="1178">
        <v>6</v>
      </c>
      <c r="P4103" s="1178">
        <v>14</v>
      </c>
    </row>
    <row r="4104" spans="1:16">
      <c r="A4104" s="1178" t="s">
        <v>419</v>
      </c>
      <c r="B4104" s="1371" t="str">
        <f>HYPERLINK(IFERROR("#Main_Tariff!A"&amp;MATCH(Raeburn_Main_Tariff[[#This Row],[Product Code]],Main_Tariff!I:I,0),"#Main_Tariff!A"&amp;MATCH("*"&amp;RIGHT(A4104,8)&amp;"*",Main_Tariff!A:A,0)),Raeburn_Main_Tariff[[#This Row],[PRODUCER]])</f>
        <v>Vignai da Duline</v>
      </c>
      <c r="C4104" s="1178" t="s">
        <v>22029</v>
      </c>
      <c r="D4104" s="1178" t="s">
        <v>1129</v>
      </c>
      <c r="E4104" s="1179">
        <v>2018</v>
      </c>
      <c r="F4104" s="1282" t="s">
        <v>20220</v>
      </c>
      <c r="G4104" s="1368">
        <v>28.5</v>
      </c>
      <c r="H4104" s="1178" t="s">
        <v>20221</v>
      </c>
      <c r="I4104" s="1178" t="s">
        <v>12649</v>
      </c>
      <c r="J4104" s="1178" t="s">
        <v>668</v>
      </c>
      <c r="K4104" s="1178" t="s">
        <v>396</v>
      </c>
      <c r="L4104" s="1178" t="s">
        <v>418</v>
      </c>
      <c r="M4104" s="1369"/>
      <c r="N4104" s="1178"/>
      <c r="O4104" s="1178">
        <v>6</v>
      </c>
      <c r="P4104" s="1178">
        <v>13.5</v>
      </c>
    </row>
    <row r="4105" spans="1:16">
      <c r="A4105" s="1178" t="s">
        <v>419</v>
      </c>
      <c r="B4105" s="1371" t="str">
        <f>HYPERLINK(IFERROR("#Main_Tariff!A"&amp;MATCH(Raeburn_Main_Tariff[[#This Row],[Product Code]],Main_Tariff!I:I,0),"#Main_Tariff!A"&amp;MATCH("*"&amp;RIGHT(A4105,8)&amp;"*",Main_Tariff!A:A,0)),Raeburn_Main_Tariff[[#This Row],[PRODUCER]])</f>
        <v>Vignai da Duline</v>
      </c>
      <c r="C4105" s="1178" t="s">
        <v>22029</v>
      </c>
      <c r="D4105" s="1178" t="s">
        <v>1129</v>
      </c>
      <c r="E4105" s="1179">
        <v>2017</v>
      </c>
      <c r="F4105" s="1282" t="s">
        <v>20220</v>
      </c>
      <c r="G4105" s="1368">
        <v>28.5</v>
      </c>
      <c r="H4105" s="1178" t="s">
        <v>20221</v>
      </c>
      <c r="I4105" s="1178" t="s">
        <v>12651</v>
      </c>
      <c r="J4105" s="1178" t="s">
        <v>668</v>
      </c>
      <c r="K4105" s="1178" t="s">
        <v>396</v>
      </c>
      <c r="L4105" s="1178" t="s">
        <v>418</v>
      </c>
      <c r="M4105" s="1369"/>
      <c r="N4105" s="1178"/>
      <c r="O4105" s="1178">
        <v>6</v>
      </c>
      <c r="P4105" s="1178">
        <v>13.5</v>
      </c>
    </row>
    <row r="4106" spans="1:16">
      <c r="A4106" s="1178" t="s">
        <v>419</v>
      </c>
      <c r="B4106" s="1371" t="str">
        <f>HYPERLINK(IFERROR("#Main_Tariff!A"&amp;MATCH(Raeburn_Main_Tariff[[#This Row],[Product Code]],Main_Tariff!I:I,0),"#Main_Tariff!A"&amp;MATCH("*"&amp;RIGHT(A4106,8)&amp;"*",Main_Tariff!A:A,0)),Raeburn_Main_Tariff[[#This Row],[PRODUCER]])</f>
        <v>Vignai da Duline</v>
      </c>
      <c r="C4106" s="1178" t="s">
        <v>22029</v>
      </c>
      <c r="D4106" s="1178" t="s">
        <v>1129</v>
      </c>
      <c r="E4106" s="1179">
        <v>2016</v>
      </c>
      <c r="F4106" s="1282" t="s">
        <v>20220</v>
      </c>
      <c r="G4106" s="1368">
        <v>28.5</v>
      </c>
      <c r="H4106" s="1178" t="s">
        <v>20221</v>
      </c>
      <c r="I4106" s="1178" t="s">
        <v>12653</v>
      </c>
      <c r="J4106" s="1178" t="s">
        <v>668</v>
      </c>
      <c r="K4106" s="1178" t="s">
        <v>396</v>
      </c>
      <c r="L4106" s="1178" t="s">
        <v>418</v>
      </c>
      <c r="M4106" s="1369"/>
      <c r="N4106" s="1178"/>
      <c r="O4106" s="1178">
        <v>6</v>
      </c>
      <c r="P4106" s="1178">
        <v>13</v>
      </c>
    </row>
    <row r="4107" spans="1:16">
      <c r="A4107" s="1178" t="s">
        <v>419</v>
      </c>
      <c r="B4107" s="1371" t="str">
        <f>HYPERLINK(IFERROR("#Main_Tariff!A"&amp;MATCH(Raeburn_Main_Tariff[[#This Row],[Product Code]],Main_Tariff!I:I,0),"#Main_Tariff!A"&amp;MATCH("*"&amp;RIGHT(A4107,8)&amp;"*",Main_Tariff!A:A,0)),Raeburn_Main_Tariff[[#This Row],[PRODUCER]])</f>
        <v>Vignai da Duline</v>
      </c>
      <c r="C4107" s="1178" t="s">
        <v>22029</v>
      </c>
      <c r="D4107" s="1178" t="s">
        <v>1129</v>
      </c>
      <c r="E4107" s="1179">
        <v>2015</v>
      </c>
      <c r="F4107" s="1282" t="s">
        <v>20220</v>
      </c>
      <c r="G4107" s="1368">
        <v>28.5</v>
      </c>
      <c r="H4107" s="1178" t="s">
        <v>20224</v>
      </c>
      <c r="I4107" s="1178" t="s">
        <v>12655</v>
      </c>
      <c r="J4107" s="1178" t="s">
        <v>668</v>
      </c>
      <c r="K4107" s="1178" t="s">
        <v>396</v>
      </c>
      <c r="L4107" s="1178" t="s">
        <v>418</v>
      </c>
      <c r="M4107" s="1369"/>
      <c r="N4107" s="1178"/>
      <c r="O4107" s="1178">
        <v>6</v>
      </c>
      <c r="P4107" s="1178">
        <v>13.5</v>
      </c>
    </row>
    <row r="4108" spans="1:16">
      <c r="A4108" s="1178" t="s">
        <v>419</v>
      </c>
      <c r="B4108" s="1371" t="str">
        <f>HYPERLINK(IFERROR("#Main_Tariff!A"&amp;MATCH(Raeburn_Main_Tariff[[#This Row],[Product Code]],Main_Tariff!I:I,0),"#Main_Tariff!A"&amp;MATCH("*"&amp;RIGHT(A4108,8)&amp;"*",Main_Tariff!A:A,0)),Raeburn_Main_Tariff[[#This Row],[PRODUCER]])</f>
        <v>Vignai da Duline</v>
      </c>
      <c r="C4108" s="1178" t="s">
        <v>22029</v>
      </c>
      <c r="D4108" s="1178" t="s">
        <v>1129</v>
      </c>
      <c r="E4108" s="1179">
        <v>2014</v>
      </c>
      <c r="F4108" s="1282" t="s">
        <v>20220</v>
      </c>
      <c r="G4108" s="1368">
        <v>27.5</v>
      </c>
      <c r="H4108" s="1178" t="s">
        <v>20221</v>
      </c>
      <c r="I4108" s="1178" t="s">
        <v>12657</v>
      </c>
      <c r="J4108" s="1178" t="s">
        <v>668</v>
      </c>
      <c r="K4108" s="1178" t="s">
        <v>396</v>
      </c>
      <c r="L4108" s="1178" t="s">
        <v>418</v>
      </c>
      <c r="M4108" s="1369"/>
      <c r="N4108" s="1178"/>
      <c r="O4108" s="1178">
        <v>6</v>
      </c>
      <c r="P4108" s="1178">
        <v>13</v>
      </c>
    </row>
    <row r="4109" spans="1:16">
      <c r="A4109" s="1178" t="s">
        <v>419</v>
      </c>
      <c r="B4109" s="1371" t="str">
        <f>HYPERLINK(IFERROR("#Main_Tariff!A"&amp;MATCH(Raeburn_Main_Tariff[[#This Row],[Product Code]],Main_Tariff!I:I,0),"#Main_Tariff!A"&amp;MATCH("*"&amp;RIGHT(A4109,8)&amp;"*",Main_Tariff!A:A,0)),Raeburn_Main_Tariff[[#This Row],[PRODUCER]])</f>
        <v>Vignai da Duline</v>
      </c>
      <c r="C4109" s="1178" t="s">
        <v>22030</v>
      </c>
      <c r="D4109" s="1178" t="s">
        <v>1129</v>
      </c>
      <c r="E4109" s="1179">
        <v>2019</v>
      </c>
      <c r="F4109" s="1282" t="s">
        <v>20220</v>
      </c>
      <c r="G4109" s="1368">
        <v>50.5</v>
      </c>
      <c r="H4109" s="1178" t="s">
        <v>20224</v>
      </c>
      <c r="I4109" s="1178" t="s">
        <v>12665</v>
      </c>
      <c r="J4109" s="1178" t="s">
        <v>668</v>
      </c>
      <c r="K4109" s="1178" t="s">
        <v>396</v>
      </c>
      <c r="L4109" s="1178" t="s">
        <v>418</v>
      </c>
      <c r="M4109" s="1369"/>
      <c r="N4109" s="1178"/>
      <c r="O4109" s="1178">
        <v>6</v>
      </c>
      <c r="P4109" s="1178">
        <v>14.5</v>
      </c>
    </row>
    <row r="4110" spans="1:16">
      <c r="A4110" s="1178" t="s">
        <v>419</v>
      </c>
      <c r="B4110" s="1371" t="str">
        <f>HYPERLINK(IFERROR("#Main_Tariff!A"&amp;MATCH(Raeburn_Main_Tariff[[#This Row],[Product Code]],Main_Tariff!I:I,0),"#Main_Tariff!A"&amp;MATCH("*"&amp;RIGHT(A4110,8)&amp;"*",Main_Tariff!A:A,0)),Raeburn_Main_Tariff[[#This Row],[PRODUCER]])</f>
        <v>Vignai da Duline</v>
      </c>
      <c r="C4110" s="1178" t="s">
        <v>22030</v>
      </c>
      <c r="D4110" s="1178" t="s">
        <v>1129</v>
      </c>
      <c r="E4110" s="1179">
        <v>2016</v>
      </c>
      <c r="F4110" s="1282" t="s">
        <v>20220</v>
      </c>
      <c r="G4110" s="1368">
        <v>50.5</v>
      </c>
      <c r="H4110" s="1178" t="s">
        <v>20224</v>
      </c>
      <c r="I4110" s="1178" t="s">
        <v>12667</v>
      </c>
      <c r="J4110" s="1178" t="s">
        <v>668</v>
      </c>
      <c r="K4110" s="1178" t="s">
        <v>396</v>
      </c>
      <c r="L4110" s="1178" t="s">
        <v>418</v>
      </c>
      <c r="M4110" s="1369"/>
      <c r="N4110" s="1178"/>
      <c r="O4110" s="1178">
        <v>6</v>
      </c>
      <c r="P4110" s="1178">
        <v>13</v>
      </c>
    </row>
    <row r="4111" spans="1:16">
      <c r="A4111" s="1178" t="s">
        <v>419</v>
      </c>
      <c r="B4111" s="1371" t="str">
        <f>HYPERLINK(IFERROR("#Main_Tariff!A"&amp;MATCH(Raeburn_Main_Tariff[[#This Row],[Product Code]],Main_Tariff!I:I,0),"#Main_Tariff!A"&amp;MATCH("*"&amp;RIGHT(A4111,8)&amp;"*",Main_Tariff!A:A,0)),Raeburn_Main_Tariff[[#This Row],[PRODUCER]])</f>
        <v>Vignai da Duline</v>
      </c>
      <c r="C4111" s="1178" t="s">
        <v>22031</v>
      </c>
      <c r="D4111" s="1178" t="s">
        <v>1129</v>
      </c>
      <c r="E4111" s="1179">
        <v>2022</v>
      </c>
      <c r="F4111" s="1282" t="s">
        <v>20240</v>
      </c>
      <c r="G4111" s="1368">
        <v>69.95</v>
      </c>
      <c r="H4111" s="1178" t="s">
        <v>20224</v>
      </c>
      <c r="I4111" s="1178" t="s">
        <v>12675</v>
      </c>
      <c r="J4111" s="1178" t="s">
        <v>668</v>
      </c>
      <c r="K4111" s="1178" t="s">
        <v>396</v>
      </c>
      <c r="L4111" s="1178" t="s">
        <v>418</v>
      </c>
      <c r="M4111" s="1369"/>
      <c r="N4111" s="1178"/>
      <c r="O4111" s="1178">
        <v>6</v>
      </c>
      <c r="P4111" s="1178">
        <v>14.5</v>
      </c>
    </row>
    <row r="4112" spans="1:16">
      <c r="A4112" s="1178" t="s">
        <v>419</v>
      </c>
      <c r="B4112" s="1371" t="str">
        <f>HYPERLINK(IFERROR("#Main_Tariff!A"&amp;MATCH(Raeburn_Main_Tariff[[#This Row],[Product Code]],Main_Tariff!I:I,0),"#Main_Tariff!A"&amp;MATCH("*"&amp;RIGHT(A4112,8)&amp;"*",Main_Tariff!A:A,0)),Raeburn_Main_Tariff[[#This Row],[PRODUCER]])</f>
        <v>Vignai da Duline</v>
      </c>
      <c r="C4112" s="1178" t="s">
        <v>22031</v>
      </c>
      <c r="D4112" s="1178" t="s">
        <v>1129</v>
      </c>
      <c r="E4112" s="1179">
        <v>2021</v>
      </c>
      <c r="F4112" s="1282" t="s">
        <v>20240</v>
      </c>
      <c r="G4112" s="1368">
        <v>69.95</v>
      </c>
      <c r="H4112" s="1178" t="s">
        <v>20221</v>
      </c>
      <c r="I4112" s="1178" t="s">
        <v>12677</v>
      </c>
      <c r="J4112" s="1178" t="s">
        <v>668</v>
      </c>
      <c r="K4112" s="1178" t="s">
        <v>396</v>
      </c>
      <c r="L4112" s="1178" t="s">
        <v>418</v>
      </c>
      <c r="M4112" s="1369"/>
      <c r="N4112" s="1178"/>
      <c r="O4112" s="1178">
        <v>6</v>
      </c>
      <c r="P4112" s="1178">
        <v>14.5</v>
      </c>
    </row>
    <row r="4113" spans="1:16">
      <c r="A4113" s="1178" t="s">
        <v>419</v>
      </c>
      <c r="B4113" s="1371" t="str">
        <f>HYPERLINK(IFERROR("#Main_Tariff!A"&amp;MATCH(Raeburn_Main_Tariff[[#This Row],[Product Code]],Main_Tariff!I:I,0),"#Main_Tariff!A"&amp;MATCH("*"&amp;RIGHT(A4113,8)&amp;"*",Main_Tariff!A:A,0)),Raeburn_Main_Tariff[[#This Row],[PRODUCER]])</f>
        <v>Vignai da Duline</v>
      </c>
      <c r="C4113" s="1178" t="s">
        <v>22031</v>
      </c>
      <c r="D4113" s="1178" t="s">
        <v>1129</v>
      </c>
      <c r="E4113" s="1179">
        <v>2020</v>
      </c>
      <c r="F4113" s="1282" t="s">
        <v>20240</v>
      </c>
      <c r="G4113" s="1368">
        <v>69</v>
      </c>
      <c r="H4113" s="1178" t="s">
        <v>20221</v>
      </c>
      <c r="I4113" s="1178" t="s">
        <v>12679</v>
      </c>
      <c r="J4113" s="1178" t="s">
        <v>668</v>
      </c>
      <c r="K4113" s="1178" t="s">
        <v>396</v>
      </c>
      <c r="L4113" s="1178" t="s">
        <v>418</v>
      </c>
      <c r="M4113" s="1369"/>
      <c r="N4113" s="1178"/>
      <c r="O4113" s="1178">
        <v>6</v>
      </c>
      <c r="P4113" s="1178">
        <v>13.5</v>
      </c>
    </row>
    <row r="4114" spans="1:16">
      <c r="A4114" s="1178" t="s">
        <v>419</v>
      </c>
      <c r="B4114" s="1371" t="str">
        <f>HYPERLINK(IFERROR("#Main_Tariff!A"&amp;MATCH(Raeburn_Main_Tariff[[#This Row],[Product Code]],Main_Tariff!I:I,0),"#Main_Tariff!A"&amp;MATCH("*"&amp;RIGHT(A4114,8)&amp;"*",Main_Tariff!A:A,0)),Raeburn_Main_Tariff[[#This Row],[PRODUCER]])</f>
        <v>Vignai da Duline</v>
      </c>
      <c r="C4114" s="1178" t="s">
        <v>22031</v>
      </c>
      <c r="D4114" s="1178" t="s">
        <v>1129</v>
      </c>
      <c r="E4114" s="1179">
        <v>2019</v>
      </c>
      <c r="F4114" s="1282" t="s">
        <v>20240</v>
      </c>
      <c r="G4114" s="1368">
        <v>69</v>
      </c>
      <c r="H4114" s="1178" t="s">
        <v>20221</v>
      </c>
      <c r="I4114" s="1178" t="s">
        <v>12680</v>
      </c>
      <c r="J4114" s="1178" t="s">
        <v>668</v>
      </c>
      <c r="K4114" s="1178" t="s">
        <v>396</v>
      </c>
      <c r="L4114" s="1178" t="s">
        <v>418</v>
      </c>
      <c r="M4114" s="1369"/>
      <c r="N4114" s="1178"/>
      <c r="O4114" s="1178">
        <v>6</v>
      </c>
      <c r="P4114" s="1178">
        <v>14</v>
      </c>
    </row>
    <row r="4115" spans="1:16">
      <c r="A4115" s="1178" t="s">
        <v>419</v>
      </c>
      <c r="B4115" s="1371" t="str">
        <f>HYPERLINK(IFERROR("#Main_Tariff!A"&amp;MATCH(Raeburn_Main_Tariff[[#This Row],[Product Code]],Main_Tariff!I:I,0),"#Main_Tariff!A"&amp;MATCH("*"&amp;RIGHT(A4115,8)&amp;"*",Main_Tariff!A:A,0)),Raeburn_Main_Tariff[[#This Row],[PRODUCER]])</f>
        <v>Vignai da Duline</v>
      </c>
      <c r="C4115" s="1178" t="s">
        <v>22031</v>
      </c>
      <c r="D4115" s="1178" t="s">
        <v>1129</v>
      </c>
      <c r="E4115" s="1179">
        <v>2018</v>
      </c>
      <c r="F4115" s="1282" t="s">
        <v>20240</v>
      </c>
      <c r="G4115" s="1368">
        <v>69</v>
      </c>
      <c r="H4115" s="1178" t="s">
        <v>20221</v>
      </c>
      <c r="I4115" s="1178" t="s">
        <v>12682</v>
      </c>
      <c r="J4115" s="1178" t="s">
        <v>668</v>
      </c>
      <c r="K4115" s="1178" t="s">
        <v>396</v>
      </c>
      <c r="L4115" s="1178" t="s">
        <v>418</v>
      </c>
      <c r="M4115" s="1369"/>
      <c r="N4115" s="1178"/>
      <c r="O4115" s="1178">
        <v>6</v>
      </c>
      <c r="P4115" s="1178">
        <v>13</v>
      </c>
    </row>
    <row r="4116" spans="1:16">
      <c r="A4116" s="1178" t="s">
        <v>419</v>
      </c>
      <c r="B4116" s="1371" t="str">
        <f>HYPERLINK(IFERROR("#Main_Tariff!A"&amp;MATCH(Raeburn_Main_Tariff[[#This Row],[Product Code]],Main_Tariff!I:I,0),"#Main_Tariff!A"&amp;MATCH("*"&amp;RIGHT(A4116,8)&amp;"*",Main_Tariff!A:A,0)),Raeburn_Main_Tariff[[#This Row],[PRODUCER]])</f>
        <v>Vignai da Duline</v>
      </c>
      <c r="C4116" s="1178" t="s">
        <v>22031</v>
      </c>
      <c r="D4116" s="1178" t="s">
        <v>1129</v>
      </c>
      <c r="E4116" s="1179">
        <v>2016</v>
      </c>
      <c r="F4116" s="1282" t="s">
        <v>20240</v>
      </c>
      <c r="G4116" s="1368">
        <v>68</v>
      </c>
      <c r="H4116" s="1178" t="s">
        <v>20221</v>
      </c>
      <c r="I4116" s="1178" t="s">
        <v>12684</v>
      </c>
      <c r="J4116" s="1178" t="s">
        <v>668</v>
      </c>
      <c r="K4116" s="1178" t="s">
        <v>396</v>
      </c>
      <c r="L4116" s="1178" t="s">
        <v>418</v>
      </c>
      <c r="M4116" s="1369"/>
      <c r="N4116" s="1178"/>
      <c r="O4116" s="1178">
        <v>6</v>
      </c>
      <c r="P4116" s="1178">
        <v>13.5</v>
      </c>
    </row>
    <row r="4117" spans="1:16">
      <c r="A4117" s="1178" t="s">
        <v>419</v>
      </c>
      <c r="B4117" s="1371" t="str">
        <f>HYPERLINK(IFERROR("#Main_Tariff!A"&amp;MATCH(Raeburn_Main_Tariff[[#This Row],[Product Code]],Main_Tariff!I:I,0),"#Main_Tariff!A"&amp;MATCH("*"&amp;RIGHT(A4117,8)&amp;"*",Main_Tariff!A:A,0)),Raeburn_Main_Tariff[[#This Row],[PRODUCER]])</f>
        <v>Vignai da Duline</v>
      </c>
      <c r="C4117" s="1178" t="s">
        <v>22031</v>
      </c>
      <c r="D4117" s="1178" t="s">
        <v>1129</v>
      </c>
      <c r="E4117" s="1179">
        <v>2015</v>
      </c>
      <c r="F4117" s="1282" t="s">
        <v>20240</v>
      </c>
      <c r="G4117" s="1368">
        <v>66</v>
      </c>
      <c r="H4117" s="1178" t="s">
        <v>20221</v>
      </c>
      <c r="I4117" s="1178" t="s">
        <v>12685</v>
      </c>
      <c r="J4117" s="1178" t="s">
        <v>668</v>
      </c>
      <c r="K4117" s="1178" t="s">
        <v>396</v>
      </c>
      <c r="L4117" s="1178" t="s">
        <v>418</v>
      </c>
      <c r="M4117" s="1369"/>
      <c r="N4117" s="1178"/>
      <c r="O4117" s="1178">
        <v>6</v>
      </c>
      <c r="P4117" s="1178">
        <v>13.5</v>
      </c>
    </row>
    <row r="4118" spans="1:16">
      <c r="A4118" s="1178" t="s">
        <v>419</v>
      </c>
      <c r="B4118" s="1371" t="str">
        <f>HYPERLINK(IFERROR("#Main_Tariff!A"&amp;MATCH(Raeburn_Main_Tariff[[#This Row],[Product Code]],Main_Tariff!I:I,0),"#Main_Tariff!A"&amp;MATCH("*"&amp;RIGHT(A4118,8)&amp;"*",Main_Tariff!A:A,0)),Raeburn_Main_Tariff[[#This Row],[PRODUCER]])</f>
        <v>Vignai da Duline</v>
      </c>
      <c r="C4118" s="1178" t="s">
        <v>22031</v>
      </c>
      <c r="D4118" s="1178" t="s">
        <v>1129</v>
      </c>
      <c r="E4118" s="1179">
        <v>2013</v>
      </c>
      <c r="F4118" s="1282" t="s">
        <v>20240</v>
      </c>
      <c r="G4118" s="1368">
        <v>66</v>
      </c>
      <c r="H4118" s="1178" t="s">
        <v>20221</v>
      </c>
      <c r="I4118" s="1178" t="s">
        <v>12687</v>
      </c>
      <c r="J4118" s="1178" t="s">
        <v>668</v>
      </c>
      <c r="K4118" s="1178" t="s">
        <v>396</v>
      </c>
      <c r="L4118" s="1178" t="s">
        <v>418</v>
      </c>
      <c r="M4118" s="1369"/>
      <c r="N4118" s="1178"/>
      <c r="O4118" s="1178">
        <v>6</v>
      </c>
      <c r="P4118" s="1178">
        <v>13.5</v>
      </c>
    </row>
    <row r="4119" spans="1:16">
      <c r="A4119" s="1178" t="s">
        <v>419</v>
      </c>
      <c r="B4119" s="1371" t="str">
        <f>HYPERLINK(IFERROR("#Main_Tariff!A"&amp;MATCH(Raeburn_Main_Tariff[[#This Row],[Product Code]],Main_Tariff!I:I,0),"#Main_Tariff!A"&amp;MATCH("*"&amp;RIGHT(A4119,8)&amp;"*",Main_Tariff!A:A,0)),Raeburn_Main_Tariff[[#This Row],[PRODUCER]])</f>
        <v>Vignai da Duline</v>
      </c>
      <c r="C4119" s="1178" t="s">
        <v>22031</v>
      </c>
      <c r="D4119" s="1178" t="s">
        <v>1129</v>
      </c>
      <c r="E4119" s="1179">
        <v>2012</v>
      </c>
      <c r="F4119" s="1282" t="s">
        <v>20240</v>
      </c>
      <c r="G4119" s="1368">
        <v>66</v>
      </c>
      <c r="H4119" s="1178" t="s">
        <v>20224</v>
      </c>
      <c r="I4119" s="1178" t="s">
        <v>12689</v>
      </c>
      <c r="J4119" s="1178" t="s">
        <v>668</v>
      </c>
      <c r="K4119" s="1178" t="s">
        <v>396</v>
      </c>
      <c r="L4119" s="1178" t="s">
        <v>418</v>
      </c>
      <c r="M4119" s="1369"/>
      <c r="N4119" s="1178"/>
      <c r="O4119" s="1178">
        <v>6</v>
      </c>
      <c r="P4119" s="1178">
        <v>13.5</v>
      </c>
    </row>
    <row r="4120" spans="1:16">
      <c r="A4120" s="1178" t="s">
        <v>419</v>
      </c>
      <c r="B4120" s="1371" t="str">
        <f>HYPERLINK(IFERROR("#Main_Tariff!A"&amp;MATCH(Raeburn_Main_Tariff[[#This Row],[Product Code]],Main_Tariff!I:I,0),"#Main_Tariff!A"&amp;MATCH("*"&amp;RIGHT(A4120,8)&amp;"*",Main_Tariff!A:A,0)),Raeburn_Main_Tariff[[#This Row],[PRODUCER]])</f>
        <v>Vignai da Duline</v>
      </c>
      <c r="C4120" s="1178" t="s">
        <v>22031</v>
      </c>
      <c r="D4120" s="1178" t="s">
        <v>1129</v>
      </c>
      <c r="E4120" s="1179">
        <v>2011</v>
      </c>
      <c r="F4120" s="1282" t="s">
        <v>20240</v>
      </c>
      <c r="G4120" s="1368">
        <v>66</v>
      </c>
      <c r="H4120" s="1178" t="s">
        <v>20224</v>
      </c>
      <c r="I4120" s="1178" t="s">
        <v>12690</v>
      </c>
      <c r="J4120" s="1178" t="s">
        <v>668</v>
      </c>
      <c r="K4120" s="1178" t="s">
        <v>396</v>
      </c>
      <c r="L4120" s="1178" t="s">
        <v>418</v>
      </c>
      <c r="M4120" s="1369"/>
      <c r="N4120" s="1178"/>
      <c r="O4120" s="1178">
        <v>6</v>
      </c>
      <c r="P4120" s="1178">
        <v>13.5</v>
      </c>
    </row>
    <row r="4121" spans="1:16">
      <c r="A4121" s="1178" t="s">
        <v>419</v>
      </c>
      <c r="B4121" s="1371" t="str">
        <f>HYPERLINK(IFERROR("#Main_Tariff!A"&amp;MATCH(Raeburn_Main_Tariff[[#This Row],[Product Code]],Main_Tariff!I:I,0),"#Main_Tariff!A"&amp;MATCH("*"&amp;RIGHT(A4121,8)&amp;"*",Main_Tariff!A:A,0)),Raeburn_Main_Tariff[[#This Row],[PRODUCER]])</f>
        <v>Vignai da Duline</v>
      </c>
      <c r="C4121" s="1178" t="s">
        <v>22032</v>
      </c>
      <c r="D4121" s="1178" t="s">
        <v>897</v>
      </c>
      <c r="E4121" s="1179">
        <v>2022</v>
      </c>
      <c r="F4121" s="1282" t="s">
        <v>20220</v>
      </c>
      <c r="G4121" s="1368">
        <v>24</v>
      </c>
      <c r="H4121" s="1178" t="s">
        <v>20221</v>
      </c>
      <c r="I4121" s="1178" t="s">
        <v>12693</v>
      </c>
      <c r="J4121" s="1178" t="s">
        <v>668</v>
      </c>
      <c r="K4121" s="1178" t="s">
        <v>396</v>
      </c>
      <c r="L4121" s="1178" t="s">
        <v>418</v>
      </c>
      <c r="M4121" s="1369"/>
      <c r="N4121" s="1178"/>
      <c r="O4121" s="1178">
        <v>6</v>
      </c>
      <c r="P4121" s="1178">
        <v>12.5</v>
      </c>
    </row>
    <row r="4122" spans="1:16">
      <c r="A4122" s="1178" t="s">
        <v>419</v>
      </c>
      <c r="B4122" s="1371" t="str">
        <f>HYPERLINK(IFERROR("#Main_Tariff!A"&amp;MATCH(Raeburn_Main_Tariff[[#This Row],[Product Code]],Main_Tariff!I:I,0),"#Main_Tariff!A"&amp;MATCH("*"&amp;RIGHT(A4122,8)&amp;"*",Main_Tariff!A:A,0)),Raeburn_Main_Tariff[[#This Row],[PRODUCER]])</f>
        <v>Vignai da Duline</v>
      </c>
      <c r="C4122" s="1178" t="s">
        <v>22032</v>
      </c>
      <c r="D4122" s="1178" t="s">
        <v>897</v>
      </c>
      <c r="E4122" s="1179">
        <v>2021</v>
      </c>
      <c r="F4122" s="1282" t="s">
        <v>20220</v>
      </c>
      <c r="G4122" s="1368">
        <v>24</v>
      </c>
      <c r="H4122" s="1178" t="s">
        <v>20221</v>
      </c>
      <c r="I4122" s="1178" t="s">
        <v>12694</v>
      </c>
      <c r="J4122" s="1178" t="s">
        <v>668</v>
      </c>
      <c r="K4122" s="1178" t="s">
        <v>396</v>
      </c>
      <c r="L4122" s="1178" t="s">
        <v>418</v>
      </c>
      <c r="M4122" s="1369"/>
      <c r="N4122" s="1178"/>
      <c r="O4122" s="1178">
        <v>6</v>
      </c>
      <c r="P4122" s="1178">
        <v>12.5</v>
      </c>
    </row>
    <row r="4123" spans="1:16">
      <c r="A4123" s="1178" t="s">
        <v>419</v>
      </c>
      <c r="B4123" s="1371" t="str">
        <f>HYPERLINK(IFERROR("#Main_Tariff!A"&amp;MATCH(Raeburn_Main_Tariff[[#This Row],[Product Code]],Main_Tariff!I:I,0),"#Main_Tariff!A"&amp;MATCH("*"&amp;RIGHT(A4123,8)&amp;"*",Main_Tariff!A:A,0)),Raeburn_Main_Tariff[[#This Row],[PRODUCER]])</f>
        <v>Vignai da Duline</v>
      </c>
      <c r="C4123" s="1178" t="s">
        <v>22032</v>
      </c>
      <c r="D4123" s="1178" t="s">
        <v>897</v>
      </c>
      <c r="E4123" s="1179">
        <v>2020</v>
      </c>
      <c r="F4123" s="1282" t="s">
        <v>20220</v>
      </c>
      <c r="G4123" s="1368">
        <v>23.5</v>
      </c>
      <c r="H4123" s="1178" t="s">
        <v>20277</v>
      </c>
      <c r="I4123" s="1178" t="s">
        <v>12695</v>
      </c>
      <c r="J4123" s="1178" t="s">
        <v>668</v>
      </c>
      <c r="K4123" s="1178" t="s">
        <v>396</v>
      </c>
      <c r="L4123" s="1178" t="s">
        <v>418</v>
      </c>
      <c r="M4123" s="1369"/>
      <c r="N4123" s="1178"/>
      <c r="O4123" s="1178">
        <v>6</v>
      </c>
      <c r="P4123" s="1178">
        <v>13</v>
      </c>
    </row>
    <row r="4124" spans="1:16">
      <c r="A4124" s="1178" t="s">
        <v>419</v>
      </c>
      <c r="B4124" s="1371" t="str">
        <f>HYPERLINK(IFERROR("#Main_Tariff!A"&amp;MATCH(Raeburn_Main_Tariff[[#This Row],[Product Code]],Main_Tariff!I:I,0),"#Main_Tariff!A"&amp;MATCH("*"&amp;RIGHT(A4124,8)&amp;"*",Main_Tariff!A:A,0)),Raeburn_Main_Tariff[[#This Row],[PRODUCER]])</f>
        <v>Vignai da Duline</v>
      </c>
      <c r="C4124" s="1178" t="s">
        <v>22033</v>
      </c>
      <c r="D4124" s="1178" t="s">
        <v>897</v>
      </c>
      <c r="E4124" s="1179">
        <v>2021</v>
      </c>
      <c r="F4124" s="1282" t="s">
        <v>20220</v>
      </c>
      <c r="G4124" s="1368">
        <v>28.5</v>
      </c>
      <c r="H4124" s="1178" t="s">
        <v>20221</v>
      </c>
      <c r="I4124" s="1178" t="s">
        <v>12700</v>
      </c>
      <c r="J4124" s="1178" t="s">
        <v>668</v>
      </c>
      <c r="K4124" s="1178" t="s">
        <v>396</v>
      </c>
      <c r="L4124" s="1178" t="s">
        <v>418</v>
      </c>
      <c r="M4124" s="1369"/>
      <c r="N4124" s="1178"/>
      <c r="O4124" s="1178">
        <v>6</v>
      </c>
      <c r="P4124" s="1178">
        <v>14</v>
      </c>
    </row>
    <row r="4125" spans="1:16">
      <c r="A4125" s="1178" t="s">
        <v>419</v>
      </c>
      <c r="B4125" s="1371" t="str">
        <f>HYPERLINK(IFERROR("#Main_Tariff!A"&amp;MATCH(Raeburn_Main_Tariff[[#This Row],[Product Code]],Main_Tariff!I:I,0),"#Main_Tariff!A"&amp;MATCH("*"&amp;RIGHT(A4125,8)&amp;"*",Main_Tariff!A:A,0)),Raeburn_Main_Tariff[[#This Row],[PRODUCER]])</f>
        <v>Vignai da Duline</v>
      </c>
      <c r="C4125" s="1178" t="s">
        <v>22033</v>
      </c>
      <c r="D4125" s="1178" t="s">
        <v>897</v>
      </c>
      <c r="E4125" s="1179">
        <v>2019</v>
      </c>
      <c r="F4125" s="1282" t="s">
        <v>20220</v>
      </c>
      <c r="G4125" s="1368">
        <v>27</v>
      </c>
      <c r="H4125" s="1178" t="s">
        <v>20221</v>
      </c>
      <c r="I4125" s="1178" t="s">
        <v>12701</v>
      </c>
      <c r="J4125" s="1178" t="s">
        <v>668</v>
      </c>
      <c r="K4125" s="1178" t="s">
        <v>396</v>
      </c>
      <c r="L4125" s="1178" t="s">
        <v>418</v>
      </c>
      <c r="M4125" s="1369"/>
      <c r="N4125" s="1178"/>
      <c r="O4125" s="1178">
        <v>6</v>
      </c>
      <c r="P4125" s="1178">
        <v>13.5</v>
      </c>
    </row>
    <row r="4126" spans="1:16">
      <c r="A4126" s="1178" t="s">
        <v>419</v>
      </c>
      <c r="B4126" s="1371" t="str">
        <f>HYPERLINK(IFERROR("#Main_Tariff!A"&amp;MATCH(Raeburn_Main_Tariff[[#This Row],[Product Code]],Main_Tariff!I:I,0),"#Main_Tariff!A"&amp;MATCH("*"&amp;RIGHT(A4126,8)&amp;"*",Main_Tariff!A:A,0)),Raeburn_Main_Tariff[[#This Row],[PRODUCER]])</f>
        <v>Vignai da Duline</v>
      </c>
      <c r="C4126" s="1178" t="s">
        <v>22033</v>
      </c>
      <c r="D4126" s="1178" t="s">
        <v>897</v>
      </c>
      <c r="E4126" s="1179">
        <v>2018</v>
      </c>
      <c r="F4126" s="1282" t="s">
        <v>20220</v>
      </c>
      <c r="G4126" s="1368">
        <v>27</v>
      </c>
      <c r="H4126" s="1178" t="s">
        <v>20221</v>
      </c>
      <c r="I4126" s="1178" t="s">
        <v>12702</v>
      </c>
      <c r="J4126" s="1178" t="s">
        <v>668</v>
      </c>
      <c r="K4126" s="1178" t="s">
        <v>396</v>
      </c>
      <c r="L4126" s="1178" t="s">
        <v>418</v>
      </c>
      <c r="M4126" s="1369"/>
      <c r="N4126" s="1178"/>
      <c r="O4126" s="1178">
        <v>6</v>
      </c>
      <c r="P4126" s="1178">
        <v>14</v>
      </c>
    </row>
    <row r="4127" spans="1:16">
      <c r="A4127" s="1178" t="s">
        <v>419</v>
      </c>
      <c r="B4127" s="1371" t="str">
        <f>HYPERLINK(IFERROR("#Main_Tariff!A"&amp;MATCH(Raeburn_Main_Tariff[[#This Row],[Product Code]],Main_Tariff!I:I,0),"#Main_Tariff!A"&amp;MATCH("*"&amp;RIGHT(A4127,8)&amp;"*",Main_Tariff!A:A,0)),Raeburn_Main_Tariff[[#This Row],[PRODUCER]])</f>
        <v>Vignai da Duline</v>
      </c>
      <c r="C4127" s="1178" t="s">
        <v>22033</v>
      </c>
      <c r="D4127" s="1178" t="s">
        <v>897</v>
      </c>
      <c r="E4127" s="1179">
        <v>2017</v>
      </c>
      <c r="F4127" s="1282" t="s">
        <v>20220</v>
      </c>
      <c r="G4127" s="1368">
        <v>27</v>
      </c>
      <c r="H4127" s="1178" t="s">
        <v>20221</v>
      </c>
      <c r="I4127" s="1178" t="s">
        <v>12703</v>
      </c>
      <c r="J4127" s="1178" t="s">
        <v>668</v>
      </c>
      <c r="K4127" s="1178" t="s">
        <v>396</v>
      </c>
      <c r="L4127" s="1178" t="s">
        <v>418</v>
      </c>
      <c r="M4127" s="1369"/>
      <c r="N4127" s="1178"/>
      <c r="O4127" s="1178">
        <v>6</v>
      </c>
      <c r="P4127" s="1178">
        <v>13.5</v>
      </c>
    </row>
    <row r="4128" spans="1:16">
      <c r="A4128" s="1178" t="s">
        <v>419</v>
      </c>
      <c r="B4128" s="1371" t="str">
        <f>HYPERLINK(IFERROR("#Main_Tariff!A"&amp;MATCH(Raeburn_Main_Tariff[[#This Row],[Product Code]],Main_Tariff!I:I,0),"#Main_Tariff!A"&amp;MATCH("*"&amp;RIGHT(A4128,8)&amp;"*",Main_Tariff!A:A,0)),Raeburn_Main_Tariff[[#This Row],[PRODUCER]])</f>
        <v>Vignai da Duline</v>
      </c>
      <c r="C4128" s="1178" t="s">
        <v>22033</v>
      </c>
      <c r="D4128" s="1178" t="s">
        <v>897</v>
      </c>
      <c r="E4128" s="1179">
        <v>2016</v>
      </c>
      <c r="F4128" s="1282" t="s">
        <v>20220</v>
      </c>
      <c r="G4128" s="1368">
        <v>26.5</v>
      </c>
      <c r="H4128" s="1178" t="s">
        <v>20221</v>
      </c>
      <c r="I4128" s="1178" t="s">
        <v>12704</v>
      </c>
      <c r="J4128" s="1178" t="s">
        <v>668</v>
      </c>
      <c r="K4128" s="1178" t="s">
        <v>396</v>
      </c>
      <c r="L4128" s="1178" t="s">
        <v>418</v>
      </c>
      <c r="M4128" s="1369"/>
      <c r="N4128" s="1178"/>
      <c r="O4128" s="1178">
        <v>6</v>
      </c>
      <c r="P4128" s="1178">
        <v>13</v>
      </c>
    </row>
    <row r="4129" spans="1:16">
      <c r="A4129" s="1178" t="s">
        <v>419</v>
      </c>
      <c r="B4129" s="1371" t="str">
        <f>HYPERLINK(IFERROR("#Main_Tariff!A"&amp;MATCH(Raeburn_Main_Tariff[[#This Row],[Product Code]],Main_Tariff!I:I,0),"#Main_Tariff!A"&amp;MATCH("*"&amp;RIGHT(A4129,8)&amp;"*",Main_Tariff!A:A,0)),Raeburn_Main_Tariff[[#This Row],[PRODUCER]])</f>
        <v>Vignai da Duline</v>
      </c>
      <c r="C4129" s="1178" t="s">
        <v>22033</v>
      </c>
      <c r="D4129" s="1178" t="s">
        <v>897</v>
      </c>
      <c r="E4129" s="1179">
        <v>2015</v>
      </c>
      <c r="F4129" s="1282" t="s">
        <v>20220</v>
      </c>
      <c r="G4129" s="1368">
        <v>26.5</v>
      </c>
      <c r="H4129" s="1178" t="s">
        <v>20221</v>
      </c>
      <c r="I4129" s="1178" t="s">
        <v>12705</v>
      </c>
      <c r="J4129" s="1178" t="s">
        <v>668</v>
      </c>
      <c r="K4129" s="1178" t="s">
        <v>396</v>
      </c>
      <c r="L4129" s="1178" t="s">
        <v>418</v>
      </c>
      <c r="M4129" s="1369"/>
      <c r="N4129" s="1178"/>
      <c r="O4129" s="1178">
        <v>6</v>
      </c>
      <c r="P4129" s="1178">
        <v>13.5</v>
      </c>
    </row>
    <row r="4130" spans="1:16">
      <c r="A4130" s="1178" t="s">
        <v>419</v>
      </c>
      <c r="B4130" s="1371" t="str">
        <f>HYPERLINK(IFERROR("#Main_Tariff!A"&amp;MATCH(Raeburn_Main_Tariff[[#This Row],[Product Code]],Main_Tariff!I:I,0),"#Main_Tariff!A"&amp;MATCH("*"&amp;RIGHT(A4130,8)&amp;"*",Main_Tariff!A:A,0)),Raeburn_Main_Tariff[[#This Row],[PRODUCER]])</f>
        <v>Vignai da Duline</v>
      </c>
      <c r="C4130" s="1178" t="s">
        <v>22033</v>
      </c>
      <c r="D4130" s="1178" t="s">
        <v>897</v>
      </c>
      <c r="E4130" s="1179">
        <v>2013</v>
      </c>
      <c r="F4130" s="1282" t="s">
        <v>20220</v>
      </c>
      <c r="G4130" s="1368">
        <v>26.5</v>
      </c>
      <c r="H4130" s="1178" t="s">
        <v>20221</v>
      </c>
      <c r="I4130" s="1178" t="s">
        <v>12706</v>
      </c>
      <c r="J4130" s="1178" t="s">
        <v>668</v>
      </c>
      <c r="K4130" s="1178" t="s">
        <v>396</v>
      </c>
      <c r="L4130" s="1178" t="s">
        <v>418</v>
      </c>
      <c r="M4130" s="1369"/>
      <c r="N4130" s="1178"/>
      <c r="O4130" s="1178">
        <v>6</v>
      </c>
      <c r="P4130" s="1178">
        <v>13.5</v>
      </c>
    </row>
    <row r="4131" spans="1:16">
      <c r="A4131" s="1178" t="s">
        <v>419</v>
      </c>
      <c r="B4131" s="1371" t="str">
        <f>HYPERLINK(IFERROR("#Main_Tariff!A"&amp;MATCH(Raeburn_Main_Tariff[[#This Row],[Product Code]],Main_Tariff!I:I,0),"#Main_Tariff!A"&amp;MATCH("*"&amp;RIGHT(A4131,8)&amp;"*",Main_Tariff!A:A,0)),Raeburn_Main_Tariff[[#This Row],[PRODUCER]])</f>
        <v>Vignai da Duline</v>
      </c>
      <c r="C4131" s="1178" t="s">
        <v>22033</v>
      </c>
      <c r="D4131" s="1178" t="s">
        <v>897</v>
      </c>
      <c r="E4131" s="1179">
        <v>2012</v>
      </c>
      <c r="F4131" s="1282" t="s">
        <v>20220</v>
      </c>
      <c r="G4131" s="1368">
        <v>28.75</v>
      </c>
      <c r="H4131" s="1178" t="s">
        <v>20221</v>
      </c>
      <c r="I4131" s="1178" t="s">
        <v>12707</v>
      </c>
      <c r="J4131" s="1178" t="s">
        <v>668</v>
      </c>
      <c r="K4131" s="1178" t="s">
        <v>396</v>
      </c>
      <c r="L4131" s="1178" t="s">
        <v>418</v>
      </c>
      <c r="M4131" s="1369"/>
      <c r="N4131" s="1178"/>
      <c r="O4131" s="1178">
        <v>6</v>
      </c>
      <c r="P4131" s="1178">
        <v>13.5</v>
      </c>
    </row>
    <row r="4132" spans="1:16">
      <c r="A4132" s="1178" t="s">
        <v>419</v>
      </c>
      <c r="B4132" s="1371" t="str">
        <f>HYPERLINK(IFERROR("#Main_Tariff!A"&amp;MATCH(Raeburn_Main_Tariff[[#This Row],[Product Code]],Main_Tariff!I:I,0),"#Main_Tariff!A"&amp;MATCH("*"&amp;RIGHT(A4132,8)&amp;"*",Main_Tariff!A:A,0)),Raeburn_Main_Tariff[[#This Row],[PRODUCER]])</f>
        <v>Vignai da Duline</v>
      </c>
      <c r="C4132" s="1178" t="s">
        <v>22033</v>
      </c>
      <c r="D4132" s="1178" t="s">
        <v>897</v>
      </c>
      <c r="E4132" s="1179">
        <v>2011</v>
      </c>
      <c r="F4132" s="1282" t="s">
        <v>20220</v>
      </c>
      <c r="G4132" s="1368">
        <v>26.5</v>
      </c>
      <c r="H4132" s="1178" t="s">
        <v>20221</v>
      </c>
      <c r="I4132" s="1178" t="s">
        <v>12708</v>
      </c>
      <c r="J4132" s="1178" t="s">
        <v>668</v>
      </c>
      <c r="K4132" s="1178" t="s">
        <v>396</v>
      </c>
      <c r="L4132" s="1178" t="s">
        <v>418</v>
      </c>
      <c r="M4132" s="1369"/>
      <c r="N4132" s="1178"/>
      <c r="O4132" s="1178">
        <v>6</v>
      </c>
      <c r="P4132" s="1178">
        <v>13</v>
      </c>
    </row>
    <row r="4133" spans="1:16">
      <c r="A4133" s="1178" t="s">
        <v>419</v>
      </c>
      <c r="B4133" s="1371" t="str">
        <f>HYPERLINK(IFERROR("#Main_Tariff!A"&amp;MATCH(Raeburn_Main_Tariff[[#This Row],[Product Code]],Main_Tariff!I:I,0),"#Main_Tariff!A"&amp;MATCH("*"&amp;RIGHT(A4133,8)&amp;"*",Main_Tariff!A:A,0)),Raeburn_Main_Tariff[[#This Row],[PRODUCER]])</f>
        <v>Vignai da Duline</v>
      </c>
      <c r="C4133" s="1178" t="s">
        <v>22033</v>
      </c>
      <c r="D4133" s="1178" t="s">
        <v>897</v>
      </c>
      <c r="E4133" s="1179">
        <v>2010</v>
      </c>
      <c r="F4133" s="1282" t="s">
        <v>20220</v>
      </c>
      <c r="G4133" s="1368">
        <v>29.25</v>
      </c>
      <c r="H4133" s="1178" t="s">
        <v>20221</v>
      </c>
      <c r="I4133" s="1178" t="s">
        <v>12709</v>
      </c>
      <c r="J4133" s="1178" t="s">
        <v>668</v>
      </c>
      <c r="K4133" s="1178" t="s">
        <v>396</v>
      </c>
      <c r="L4133" s="1178" t="s">
        <v>418</v>
      </c>
      <c r="M4133" s="1369"/>
      <c r="N4133" s="1178"/>
      <c r="O4133" s="1178">
        <v>6</v>
      </c>
      <c r="P4133" s="1178">
        <v>15</v>
      </c>
    </row>
    <row r="4134" spans="1:16">
      <c r="A4134" s="1178" t="s">
        <v>419</v>
      </c>
      <c r="B4134" s="1371" t="str">
        <f>HYPERLINK(IFERROR("#Main_Tariff!A"&amp;MATCH(Raeburn_Main_Tariff[[#This Row],[Product Code]],Main_Tariff!I:I,0),"#Main_Tariff!A"&amp;MATCH("*"&amp;RIGHT(A4134,8)&amp;"*",Main_Tariff!A:A,0)),Raeburn_Main_Tariff[[#This Row],[PRODUCER]])</f>
        <v>Vignai da Duline</v>
      </c>
      <c r="C4134" s="1178" t="s">
        <v>22033</v>
      </c>
      <c r="D4134" s="1178" t="s">
        <v>897</v>
      </c>
      <c r="E4134" s="1179">
        <v>2009</v>
      </c>
      <c r="F4134" s="1282" t="s">
        <v>20220</v>
      </c>
      <c r="G4134" s="1368">
        <v>29.25</v>
      </c>
      <c r="H4134" s="1178" t="s">
        <v>20277</v>
      </c>
      <c r="I4134" s="1178" t="s">
        <v>12710</v>
      </c>
      <c r="J4134" s="1178" t="s">
        <v>668</v>
      </c>
      <c r="K4134" s="1178" t="s">
        <v>396</v>
      </c>
      <c r="L4134" s="1178" t="s">
        <v>418</v>
      </c>
      <c r="M4134" s="1369"/>
      <c r="N4134" s="1178"/>
      <c r="O4134" s="1178">
        <v>6</v>
      </c>
      <c r="P4134" s="1178">
        <v>15</v>
      </c>
    </row>
    <row r="4135" spans="1:16">
      <c r="A4135" s="1178" t="s">
        <v>419</v>
      </c>
      <c r="B4135" s="1371" t="str">
        <f>HYPERLINK(IFERROR("#Main_Tariff!A"&amp;MATCH(Raeburn_Main_Tariff[[#This Row],[Product Code]],Main_Tariff!I:I,0),"#Main_Tariff!A"&amp;MATCH("*"&amp;RIGHT(A4135,8)&amp;"*",Main_Tariff!A:A,0)),Raeburn_Main_Tariff[[#This Row],[PRODUCER]])</f>
        <v>Vignai da Duline</v>
      </c>
      <c r="C4135" s="1178" t="s">
        <v>22034</v>
      </c>
      <c r="D4135" s="1178" t="s">
        <v>897</v>
      </c>
      <c r="E4135" s="1179">
        <v>2020</v>
      </c>
      <c r="F4135" s="1282" t="s">
        <v>20220</v>
      </c>
      <c r="G4135" s="1368">
        <v>47</v>
      </c>
      <c r="H4135" s="1178" t="s">
        <v>20221</v>
      </c>
      <c r="I4135" s="1178" t="s">
        <v>12713</v>
      </c>
      <c r="J4135" s="1178" t="s">
        <v>668</v>
      </c>
      <c r="K4135" s="1178" t="s">
        <v>396</v>
      </c>
      <c r="L4135" s="1178" t="s">
        <v>418</v>
      </c>
      <c r="M4135" s="1369"/>
      <c r="N4135" s="1178"/>
      <c r="O4135" s="1178">
        <v>6</v>
      </c>
      <c r="P4135" s="1178">
        <v>12.5</v>
      </c>
    </row>
    <row r="4136" spans="1:16">
      <c r="A4136" s="1178" t="s">
        <v>419</v>
      </c>
      <c r="B4136" s="1371" t="str">
        <f>HYPERLINK(IFERROR("#Main_Tariff!A"&amp;MATCH(Raeburn_Main_Tariff[[#This Row],[Product Code]],Main_Tariff!I:I,0),"#Main_Tariff!A"&amp;MATCH("*"&amp;RIGHT(A4136,8)&amp;"*",Main_Tariff!A:A,0)),Raeburn_Main_Tariff[[#This Row],[PRODUCER]])</f>
        <v>Vignai da Duline</v>
      </c>
      <c r="C4136" s="1178" t="s">
        <v>22034</v>
      </c>
      <c r="D4136" s="1178" t="s">
        <v>897</v>
      </c>
      <c r="E4136" s="1179">
        <v>2019</v>
      </c>
      <c r="F4136" s="1282" t="s">
        <v>20220</v>
      </c>
      <c r="G4136" s="1368">
        <v>47</v>
      </c>
      <c r="H4136" s="1178" t="s">
        <v>20221</v>
      </c>
      <c r="I4136" s="1178" t="s">
        <v>12714</v>
      </c>
      <c r="J4136" s="1178" t="s">
        <v>668</v>
      </c>
      <c r="K4136" s="1178" t="s">
        <v>396</v>
      </c>
      <c r="L4136" s="1178" t="s">
        <v>418</v>
      </c>
      <c r="M4136" s="1369"/>
      <c r="N4136" s="1178"/>
      <c r="O4136" s="1178">
        <v>6</v>
      </c>
      <c r="P4136" s="1178">
        <v>14.5</v>
      </c>
    </row>
    <row r="4137" spans="1:16">
      <c r="A4137" s="1178" t="s">
        <v>419</v>
      </c>
      <c r="B4137" s="1371" t="str">
        <f>HYPERLINK(IFERROR("#Main_Tariff!A"&amp;MATCH(Raeburn_Main_Tariff[[#This Row],[Product Code]],Main_Tariff!I:I,0),"#Main_Tariff!A"&amp;MATCH("*"&amp;RIGHT(A4137,8)&amp;"*",Main_Tariff!A:A,0)),Raeburn_Main_Tariff[[#This Row],[PRODUCER]])</f>
        <v>Vignai da Duline</v>
      </c>
      <c r="C4137" s="1178" t="s">
        <v>22034</v>
      </c>
      <c r="D4137" s="1178" t="s">
        <v>897</v>
      </c>
      <c r="E4137" s="1179">
        <v>2018</v>
      </c>
      <c r="F4137" s="1282" t="s">
        <v>20220</v>
      </c>
      <c r="G4137" s="1368">
        <v>46.5</v>
      </c>
      <c r="H4137" s="1178" t="s">
        <v>20221</v>
      </c>
      <c r="I4137" s="1178" t="s">
        <v>12715</v>
      </c>
      <c r="J4137" s="1178" t="s">
        <v>668</v>
      </c>
      <c r="K4137" s="1178" t="s">
        <v>396</v>
      </c>
      <c r="L4137" s="1178" t="s">
        <v>418</v>
      </c>
      <c r="M4137" s="1369"/>
      <c r="N4137" s="1178"/>
      <c r="O4137" s="1178">
        <v>6</v>
      </c>
      <c r="P4137" s="1178">
        <v>12.5</v>
      </c>
    </row>
    <row r="4138" spans="1:16">
      <c r="A4138" s="1178" t="s">
        <v>419</v>
      </c>
      <c r="B4138" s="1371" t="str">
        <f>HYPERLINK(IFERROR("#Main_Tariff!A"&amp;MATCH(Raeburn_Main_Tariff[[#This Row],[Product Code]],Main_Tariff!I:I,0),"#Main_Tariff!A"&amp;MATCH("*"&amp;RIGHT(A4138,8)&amp;"*",Main_Tariff!A:A,0)),Raeburn_Main_Tariff[[#This Row],[PRODUCER]])</f>
        <v>Vignai da Duline</v>
      </c>
      <c r="C4138" s="1178" t="s">
        <v>22034</v>
      </c>
      <c r="D4138" s="1178" t="s">
        <v>897</v>
      </c>
      <c r="E4138" s="1179">
        <v>2016</v>
      </c>
      <c r="F4138" s="1282" t="s">
        <v>20220</v>
      </c>
      <c r="G4138" s="1368">
        <v>46.5</v>
      </c>
      <c r="H4138" s="1178" t="s">
        <v>20221</v>
      </c>
      <c r="I4138" s="1178" t="s">
        <v>12716</v>
      </c>
      <c r="J4138" s="1178" t="s">
        <v>668</v>
      </c>
      <c r="K4138" s="1178" t="s">
        <v>396</v>
      </c>
      <c r="L4138" s="1178" t="s">
        <v>418</v>
      </c>
      <c r="M4138" s="1369"/>
      <c r="N4138" s="1178"/>
      <c r="O4138" s="1178">
        <v>6</v>
      </c>
      <c r="P4138" s="1178">
        <v>13</v>
      </c>
    </row>
    <row r="4139" spans="1:16">
      <c r="A4139" s="1178" t="s">
        <v>419</v>
      </c>
      <c r="B4139" s="1371" t="str">
        <f>HYPERLINK(IFERROR("#Main_Tariff!A"&amp;MATCH(Raeburn_Main_Tariff[[#This Row],[Product Code]],Main_Tariff!I:I,0),"#Main_Tariff!A"&amp;MATCH("*"&amp;RIGHT(A4139,8)&amp;"*",Main_Tariff!A:A,0)),Raeburn_Main_Tariff[[#This Row],[PRODUCER]])</f>
        <v>Vignai da Duline</v>
      </c>
      <c r="C4139" s="1178" t="s">
        <v>22034</v>
      </c>
      <c r="D4139" s="1178" t="s">
        <v>897</v>
      </c>
      <c r="E4139" s="1179">
        <v>2015</v>
      </c>
      <c r="F4139" s="1282" t="s">
        <v>20220</v>
      </c>
      <c r="G4139" s="1368">
        <v>46.5</v>
      </c>
      <c r="H4139" s="1178" t="s">
        <v>20221</v>
      </c>
      <c r="I4139" s="1178" t="s">
        <v>12717</v>
      </c>
      <c r="J4139" s="1178" t="s">
        <v>668</v>
      </c>
      <c r="K4139" s="1178" t="s">
        <v>396</v>
      </c>
      <c r="L4139" s="1178" t="s">
        <v>418</v>
      </c>
      <c r="M4139" s="1369"/>
      <c r="N4139" s="1178"/>
      <c r="O4139" s="1178">
        <v>6</v>
      </c>
      <c r="P4139" s="1178">
        <v>13</v>
      </c>
    </row>
    <row r="4140" spans="1:16">
      <c r="A4140" s="1178" t="s">
        <v>419</v>
      </c>
      <c r="B4140" s="1371" t="str">
        <f>HYPERLINK(IFERROR("#Main_Tariff!A"&amp;MATCH(Raeburn_Main_Tariff[[#This Row],[Product Code]],Main_Tariff!I:I,0),"#Main_Tariff!A"&amp;MATCH("*"&amp;RIGHT(A4140,8)&amp;"*",Main_Tariff!A:A,0)),Raeburn_Main_Tariff[[#This Row],[PRODUCER]])</f>
        <v>Vignai da Duline</v>
      </c>
      <c r="C4140" s="1178" t="s">
        <v>22034</v>
      </c>
      <c r="D4140" s="1178" t="s">
        <v>897</v>
      </c>
      <c r="E4140" s="1179">
        <v>2013</v>
      </c>
      <c r="F4140" s="1282" t="s">
        <v>20220</v>
      </c>
      <c r="G4140" s="1368">
        <v>46.5</v>
      </c>
      <c r="H4140" s="1178" t="s">
        <v>20221</v>
      </c>
      <c r="I4140" s="1178" t="s">
        <v>12718</v>
      </c>
      <c r="J4140" s="1178" t="s">
        <v>668</v>
      </c>
      <c r="K4140" s="1178" t="s">
        <v>396</v>
      </c>
      <c r="L4140" s="1178" t="s">
        <v>418</v>
      </c>
      <c r="M4140" s="1369"/>
      <c r="N4140" s="1178"/>
      <c r="O4140" s="1178">
        <v>6</v>
      </c>
      <c r="P4140" s="1178">
        <v>13</v>
      </c>
    </row>
    <row r="4141" spans="1:16">
      <c r="A4141" s="1178" t="s">
        <v>419</v>
      </c>
      <c r="B4141" s="1371" t="str">
        <f>HYPERLINK(IFERROR("#Main_Tariff!A"&amp;MATCH(Raeburn_Main_Tariff[[#This Row],[Product Code]],Main_Tariff!I:I,0),"#Main_Tariff!A"&amp;MATCH("*"&amp;RIGHT(A4141,8)&amp;"*",Main_Tariff!A:A,0)),Raeburn_Main_Tariff[[#This Row],[PRODUCER]])</f>
        <v>Vignai da Duline</v>
      </c>
      <c r="C4141" s="1178" t="s">
        <v>22034</v>
      </c>
      <c r="D4141" s="1178" t="s">
        <v>897</v>
      </c>
      <c r="E4141" s="1179">
        <v>2012</v>
      </c>
      <c r="F4141" s="1282" t="s">
        <v>20220</v>
      </c>
      <c r="G4141" s="1368">
        <v>46.5</v>
      </c>
      <c r="H4141" s="1178" t="s">
        <v>20277</v>
      </c>
      <c r="I4141" s="1178" t="s">
        <v>12719</v>
      </c>
      <c r="J4141" s="1178" t="s">
        <v>668</v>
      </c>
      <c r="K4141" s="1178" t="s">
        <v>396</v>
      </c>
      <c r="L4141" s="1178" t="s">
        <v>418</v>
      </c>
      <c r="M4141" s="1369"/>
      <c r="N4141" s="1178"/>
      <c r="O4141" s="1178">
        <v>6</v>
      </c>
      <c r="P4141" s="1178">
        <v>13</v>
      </c>
    </row>
    <row r="4142" spans="1:16">
      <c r="A4142" s="1178" t="s">
        <v>419</v>
      </c>
      <c r="B4142" s="1371" t="str">
        <f>HYPERLINK(IFERROR("#Main_Tariff!A"&amp;MATCH(Raeburn_Main_Tariff[[#This Row],[Product Code]],Main_Tariff!I:I,0),"#Main_Tariff!A"&amp;MATCH("*"&amp;RIGHT(A4142,8)&amp;"*",Main_Tariff!A:A,0)),Raeburn_Main_Tariff[[#This Row],[PRODUCER]])</f>
        <v>Vignai da Duline</v>
      </c>
      <c r="C4142" s="1178" t="s">
        <v>22035</v>
      </c>
      <c r="D4142" s="1178" t="s">
        <v>897</v>
      </c>
      <c r="E4142" s="1179">
        <v>2020</v>
      </c>
      <c r="F4142" s="1282" t="s">
        <v>20240</v>
      </c>
      <c r="G4142" s="1368">
        <v>75</v>
      </c>
      <c r="H4142" s="1178" t="s">
        <v>20221</v>
      </c>
      <c r="I4142" s="1178" t="s">
        <v>12723</v>
      </c>
      <c r="J4142" s="1178" t="s">
        <v>668</v>
      </c>
      <c r="K4142" s="1178" t="s">
        <v>396</v>
      </c>
      <c r="L4142" s="1178" t="s">
        <v>418</v>
      </c>
      <c r="M4142" s="1369"/>
      <c r="N4142" s="1178"/>
      <c r="O4142" s="1178">
        <v>6</v>
      </c>
      <c r="P4142" s="1178">
        <v>14.5</v>
      </c>
    </row>
    <row r="4143" spans="1:16">
      <c r="A4143" s="1178" t="s">
        <v>419</v>
      </c>
      <c r="B4143" s="1371" t="str">
        <f>HYPERLINK(IFERROR("#Main_Tariff!A"&amp;MATCH(Raeburn_Main_Tariff[[#This Row],[Product Code]],Main_Tariff!I:I,0),"#Main_Tariff!A"&amp;MATCH("*"&amp;RIGHT(A4143,8)&amp;"*",Main_Tariff!A:A,0)),Raeburn_Main_Tariff[[#This Row],[PRODUCER]])</f>
        <v>Vignai da Duline</v>
      </c>
      <c r="C4143" s="1178" t="s">
        <v>22035</v>
      </c>
      <c r="D4143" s="1178" t="s">
        <v>897</v>
      </c>
      <c r="E4143" s="1179">
        <v>2019</v>
      </c>
      <c r="F4143" s="1282" t="s">
        <v>20240</v>
      </c>
      <c r="G4143" s="1368">
        <v>74</v>
      </c>
      <c r="H4143" s="1178" t="s">
        <v>20224</v>
      </c>
      <c r="I4143" s="1178" t="s">
        <v>12724</v>
      </c>
      <c r="J4143" s="1178" t="s">
        <v>668</v>
      </c>
      <c r="K4143" s="1178" t="s">
        <v>396</v>
      </c>
      <c r="L4143" s="1178" t="s">
        <v>418</v>
      </c>
      <c r="M4143" s="1369"/>
      <c r="N4143" s="1178"/>
      <c r="O4143" s="1178">
        <v>6</v>
      </c>
      <c r="P4143" s="1178">
        <v>15</v>
      </c>
    </row>
    <row r="4144" spans="1:16">
      <c r="A4144" s="1178" t="s">
        <v>419</v>
      </c>
      <c r="B4144" s="1371" t="str">
        <f>HYPERLINK(IFERROR("#Main_Tariff!A"&amp;MATCH(Raeburn_Main_Tariff[[#This Row],[Product Code]],Main_Tariff!I:I,0),"#Main_Tariff!A"&amp;MATCH("*"&amp;RIGHT(A4144,8)&amp;"*",Main_Tariff!A:A,0)),Raeburn_Main_Tariff[[#This Row],[PRODUCER]])</f>
        <v>Vignai da Duline</v>
      </c>
      <c r="C4144" s="1178" t="s">
        <v>22035</v>
      </c>
      <c r="D4144" s="1178" t="s">
        <v>897</v>
      </c>
      <c r="E4144" s="1179">
        <v>2018</v>
      </c>
      <c r="F4144" s="1282" t="s">
        <v>20240</v>
      </c>
      <c r="G4144" s="1368">
        <v>73</v>
      </c>
      <c r="H4144" s="1178" t="s">
        <v>20277</v>
      </c>
      <c r="I4144" s="1178" t="s">
        <v>12725</v>
      </c>
      <c r="J4144" s="1178" t="s">
        <v>668</v>
      </c>
      <c r="K4144" s="1178" t="s">
        <v>396</v>
      </c>
      <c r="L4144" s="1178" t="s">
        <v>418</v>
      </c>
      <c r="M4144" s="1369"/>
      <c r="N4144" s="1178"/>
      <c r="O4144" s="1178">
        <v>6</v>
      </c>
      <c r="P4144" s="1178">
        <v>14.5</v>
      </c>
    </row>
    <row r="4145" spans="1:16">
      <c r="A4145" s="1178" t="s">
        <v>420</v>
      </c>
      <c r="B4145" s="1371" t="str">
        <f>HYPERLINK(IFERROR("#Main_Tariff!A"&amp;MATCH(Raeburn_Main_Tariff[[#This Row],[Product Code]],Main_Tariff!I:I,0),"#Main_Tariff!A"&amp;MATCH("*"&amp;RIGHT(A4145,8)&amp;"*",Main_Tariff!A:A,0)),Raeburn_Main_Tariff[[#This Row],[PRODUCER]])</f>
        <v>Gravner</v>
      </c>
      <c r="C4145" s="1178" t="s">
        <v>22036</v>
      </c>
      <c r="D4145" s="1178" t="s">
        <v>1370</v>
      </c>
      <c r="E4145" s="1179">
        <v>2016</v>
      </c>
      <c r="F4145" s="1282" t="s">
        <v>20220</v>
      </c>
      <c r="G4145" s="1368">
        <v>67</v>
      </c>
      <c r="H4145" s="1178" t="s">
        <v>20221</v>
      </c>
      <c r="I4145" s="1178" t="s">
        <v>12775</v>
      </c>
      <c r="J4145" s="1178" t="s">
        <v>668</v>
      </c>
      <c r="K4145" s="1178" t="s">
        <v>396</v>
      </c>
      <c r="L4145" s="1178" t="s">
        <v>418</v>
      </c>
      <c r="M4145" s="1369"/>
      <c r="N4145" s="1178"/>
      <c r="O4145" s="1178">
        <v>9</v>
      </c>
      <c r="P4145" s="1178">
        <v>14</v>
      </c>
    </row>
    <row r="4146" spans="1:16">
      <c r="A4146" s="1178" t="s">
        <v>420</v>
      </c>
      <c r="B4146" s="1371" t="str">
        <f>HYPERLINK(IFERROR("#Main_Tariff!A"&amp;MATCH(Raeburn_Main_Tariff[[#This Row],[Product Code]],Main_Tariff!I:I,0),"#Main_Tariff!A"&amp;MATCH("*"&amp;RIGHT(A4146,8)&amp;"*",Main_Tariff!A:A,0)),Raeburn_Main_Tariff[[#This Row],[PRODUCER]])</f>
        <v>Gravner</v>
      </c>
      <c r="C4146" s="1178" t="s">
        <v>22037</v>
      </c>
      <c r="D4146" s="1178" t="s">
        <v>1370</v>
      </c>
      <c r="E4146" s="1179">
        <v>2015</v>
      </c>
      <c r="F4146" s="1282" t="s">
        <v>20240</v>
      </c>
      <c r="G4146" s="1368">
        <v>136</v>
      </c>
      <c r="H4146" s="1178" t="s">
        <v>20221</v>
      </c>
      <c r="I4146" s="1178" t="s">
        <v>12777</v>
      </c>
      <c r="J4146" s="1178" t="s">
        <v>668</v>
      </c>
      <c r="K4146" s="1178" t="s">
        <v>396</v>
      </c>
      <c r="L4146" s="1178" t="s">
        <v>418</v>
      </c>
      <c r="M4146" s="1369"/>
      <c r="N4146" s="1178"/>
      <c r="O4146" s="1178">
        <v>3</v>
      </c>
      <c r="P4146" s="1178">
        <v>14.5</v>
      </c>
    </row>
    <row r="4147" spans="1:16">
      <c r="A4147" s="1178" t="s">
        <v>420</v>
      </c>
      <c r="B4147" s="1371" t="str">
        <f>HYPERLINK(IFERROR("#Main_Tariff!A"&amp;MATCH(Raeburn_Main_Tariff[[#This Row],[Product Code]],Main_Tariff!I:I,0),"#Main_Tariff!A"&amp;MATCH("*"&amp;RIGHT(A4147,8)&amp;"*",Main_Tariff!A:A,0)),Raeburn_Main_Tariff[[#This Row],[PRODUCER]])</f>
        <v>Gravner</v>
      </c>
      <c r="C4147" s="1178" t="s">
        <v>22038</v>
      </c>
      <c r="D4147" s="1178" t="s">
        <v>2573</v>
      </c>
      <c r="E4147" s="1179">
        <v>2009</v>
      </c>
      <c r="F4147" s="1282" t="s">
        <v>20220</v>
      </c>
      <c r="G4147" s="1368">
        <v>99.5</v>
      </c>
      <c r="H4147" s="1178" t="s">
        <v>20221</v>
      </c>
      <c r="I4147" s="1178" t="s">
        <v>12782</v>
      </c>
      <c r="J4147" s="1178" t="s">
        <v>668</v>
      </c>
      <c r="K4147" s="1178" t="s">
        <v>396</v>
      </c>
      <c r="L4147" s="1178" t="s">
        <v>418</v>
      </c>
      <c r="M4147" s="1369"/>
      <c r="N4147" s="1178"/>
      <c r="O4147" s="1178">
        <v>3</v>
      </c>
      <c r="P4147" s="1178">
        <v>15.5</v>
      </c>
    </row>
    <row r="4148" spans="1:16">
      <c r="A4148" s="1178" t="s">
        <v>420</v>
      </c>
      <c r="B4148" s="1371" t="str">
        <f>HYPERLINK(IFERROR("#Main_Tariff!A"&amp;MATCH(Raeburn_Main_Tariff[[#This Row],[Product Code]],Main_Tariff!I:I,0),"#Main_Tariff!A"&amp;MATCH("*"&amp;RIGHT(A4148,8)&amp;"*",Main_Tariff!A:A,0)),Raeburn_Main_Tariff[[#This Row],[PRODUCER]])</f>
        <v>Gravner</v>
      </c>
      <c r="C4148" s="1178" t="s">
        <v>22039</v>
      </c>
      <c r="D4148" s="1178" t="s">
        <v>897</v>
      </c>
      <c r="E4148" s="1179">
        <v>2007</v>
      </c>
      <c r="F4148" s="1282" t="s">
        <v>20220</v>
      </c>
      <c r="G4148" s="1368">
        <v>139</v>
      </c>
      <c r="H4148" s="1178" t="s">
        <v>20221</v>
      </c>
      <c r="I4148" s="1178" t="s">
        <v>12785</v>
      </c>
      <c r="J4148" s="1178" t="s">
        <v>668</v>
      </c>
      <c r="K4148" s="1178" t="s">
        <v>396</v>
      </c>
      <c r="L4148" s="1178" t="s">
        <v>418</v>
      </c>
      <c r="M4148" s="1369"/>
      <c r="N4148" s="1178"/>
      <c r="O4148" s="1178">
        <v>6</v>
      </c>
      <c r="P4148" s="1178">
        <v>15</v>
      </c>
    </row>
    <row r="4149" spans="1:16">
      <c r="A4149" s="1178" t="s">
        <v>420</v>
      </c>
      <c r="B4149" s="1371" t="str">
        <f>HYPERLINK(IFERROR("#Main_Tariff!A"&amp;MATCH(Raeburn_Main_Tariff[[#This Row],[Product Code]],Main_Tariff!I:I,0),"#Main_Tariff!A"&amp;MATCH("*"&amp;RIGHT(A4149,8)&amp;"*",Main_Tariff!A:A,0)),Raeburn_Main_Tariff[[#This Row],[PRODUCER]])</f>
        <v>Gravner</v>
      </c>
      <c r="C4149" s="1178" t="s">
        <v>22040</v>
      </c>
      <c r="D4149" s="1178" t="s">
        <v>897</v>
      </c>
      <c r="E4149" s="1179">
        <v>2008</v>
      </c>
      <c r="F4149" s="1282" t="s">
        <v>20220</v>
      </c>
      <c r="G4149" s="1368">
        <v>126</v>
      </c>
      <c r="H4149" s="1178" t="s">
        <v>20221</v>
      </c>
      <c r="I4149" s="1178" t="s">
        <v>12786</v>
      </c>
      <c r="J4149" s="1178" t="s">
        <v>668</v>
      </c>
      <c r="K4149" s="1178" t="s">
        <v>396</v>
      </c>
      <c r="L4149" s="1178" t="s">
        <v>418</v>
      </c>
      <c r="M4149" s="1369"/>
      <c r="N4149" s="1178"/>
      <c r="O4149" s="1178">
        <v>6</v>
      </c>
      <c r="P4149" s="1178">
        <v>15</v>
      </c>
    </row>
    <row r="4150" spans="1:16">
      <c r="A4150" s="1178" t="s">
        <v>420</v>
      </c>
      <c r="B4150" s="1371" t="str">
        <f>HYPERLINK(IFERROR("#Main_Tariff!A"&amp;MATCH(Raeburn_Main_Tariff[[#This Row],[Product Code]],Main_Tariff!I:I,0),"#Main_Tariff!A"&amp;MATCH("*"&amp;RIGHT(A4150,8)&amp;"*",Main_Tariff!A:A,0)),Raeburn_Main_Tariff[[#This Row],[PRODUCER]])</f>
        <v>Gravner</v>
      </c>
      <c r="C4150" s="1178" t="s">
        <v>22040</v>
      </c>
      <c r="D4150" s="1178" t="s">
        <v>897</v>
      </c>
      <c r="E4150" s="1179">
        <v>2007</v>
      </c>
      <c r="F4150" s="1282" t="s">
        <v>20220</v>
      </c>
      <c r="G4150" s="1368">
        <v>126</v>
      </c>
      <c r="H4150" s="1178" t="s">
        <v>20221</v>
      </c>
      <c r="I4150" s="1178" t="s">
        <v>12787</v>
      </c>
      <c r="J4150" s="1178" t="s">
        <v>668</v>
      </c>
      <c r="K4150" s="1178" t="s">
        <v>396</v>
      </c>
      <c r="L4150" s="1178" t="s">
        <v>418</v>
      </c>
      <c r="M4150" s="1369"/>
      <c r="N4150" s="1178"/>
      <c r="O4150" s="1178">
        <v>3</v>
      </c>
      <c r="P4150" s="1178">
        <v>14</v>
      </c>
    </row>
    <row r="4151" spans="1:16">
      <c r="A4151" s="1178" t="s">
        <v>420</v>
      </c>
      <c r="B4151" s="1371" t="str">
        <f>HYPERLINK(IFERROR("#Main_Tariff!A"&amp;MATCH(Raeburn_Main_Tariff[[#This Row],[Product Code]],Main_Tariff!I:I,0),"#Main_Tariff!A"&amp;MATCH("*"&amp;RIGHT(A4151,8)&amp;"*",Main_Tariff!A:A,0)),Raeburn_Main_Tariff[[#This Row],[PRODUCER]])</f>
        <v>Gravner</v>
      </c>
      <c r="C4151" s="1178" t="s">
        <v>22041</v>
      </c>
      <c r="D4151" s="1178" t="s">
        <v>897</v>
      </c>
      <c r="E4151" s="1179">
        <v>2006</v>
      </c>
      <c r="F4151" s="1282" t="s">
        <v>20240</v>
      </c>
      <c r="G4151" s="1368">
        <v>284</v>
      </c>
      <c r="H4151" s="1178" t="s">
        <v>20224</v>
      </c>
      <c r="I4151" s="1178" t="s">
        <v>12789</v>
      </c>
      <c r="J4151" s="1178" t="s">
        <v>668</v>
      </c>
      <c r="K4151" s="1178" t="s">
        <v>396</v>
      </c>
      <c r="L4151" s="1178" t="s">
        <v>418</v>
      </c>
      <c r="M4151" s="1369"/>
      <c r="N4151" s="1178"/>
      <c r="O4151" s="1178">
        <v>2</v>
      </c>
      <c r="P4151" s="1178">
        <v>16</v>
      </c>
    </row>
    <row r="4152" spans="1:16">
      <c r="A4152" s="1178" t="s">
        <v>422</v>
      </c>
      <c r="B4152" s="1371" t="str">
        <f>HYPERLINK(IFERROR("#Main_Tariff!A"&amp;MATCH(Raeburn_Main_Tariff[[#This Row],[Product Code]],Main_Tariff!I:I,0),"#Main_Tariff!A"&amp;MATCH("*"&amp;RIGHT(A4152,8)&amp;"*",Main_Tariff!A:A,0)),Raeburn_Main_Tariff[[#This Row],[PRODUCER]])</f>
        <v>Edi Kante</v>
      </c>
      <c r="C4152" s="1178" t="s">
        <v>22042</v>
      </c>
      <c r="D4152" s="1178" t="s">
        <v>879</v>
      </c>
      <c r="E4152" s="1179" t="s">
        <v>22043</v>
      </c>
      <c r="F4152" s="1282" t="s">
        <v>20220</v>
      </c>
      <c r="G4152" s="1368">
        <v>20.95</v>
      </c>
      <c r="H4152" s="1178" t="s">
        <v>20221</v>
      </c>
      <c r="I4152" s="1178" t="s">
        <v>12832</v>
      </c>
      <c r="J4152" s="1178" t="s">
        <v>668</v>
      </c>
      <c r="K4152" s="1178" t="s">
        <v>396</v>
      </c>
      <c r="L4152" s="1178" t="s">
        <v>421</v>
      </c>
      <c r="M4152" s="1369"/>
      <c r="N4152" s="1178"/>
      <c r="O4152" s="1178">
        <v>6</v>
      </c>
      <c r="P4152" s="1178">
        <v>11.5</v>
      </c>
    </row>
    <row r="4153" spans="1:16">
      <c r="A4153" s="1178" t="s">
        <v>422</v>
      </c>
      <c r="B4153" s="1371" t="str">
        <f>HYPERLINK(IFERROR("#Main_Tariff!A"&amp;MATCH(Raeburn_Main_Tariff[[#This Row],[Product Code]],Main_Tariff!I:I,0),"#Main_Tariff!A"&amp;MATCH("*"&amp;RIGHT(A4153,8)&amp;"*",Main_Tariff!A:A,0)),Raeburn_Main_Tariff[[#This Row],[PRODUCER]])</f>
        <v>Edi Kante</v>
      </c>
      <c r="C4153" s="1178" t="s">
        <v>22044</v>
      </c>
      <c r="D4153" s="1178" t="s">
        <v>1129</v>
      </c>
      <c r="E4153" s="1179">
        <v>2022</v>
      </c>
      <c r="F4153" s="1282" t="s">
        <v>20220</v>
      </c>
      <c r="G4153" s="1368">
        <v>18.95</v>
      </c>
      <c r="H4153" s="1178" t="s">
        <v>20221</v>
      </c>
      <c r="I4153" s="1178" t="s">
        <v>12836</v>
      </c>
      <c r="J4153" s="1178" t="s">
        <v>668</v>
      </c>
      <c r="K4153" s="1178" t="s">
        <v>396</v>
      </c>
      <c r="L4153" s="1178" t="s">
        <v>421</v>
      </c>
      <c r="M4153" s="1369"/>
      <c r="N4153" s="1178"/>
      <c r="O4153" s="1178">
        <v>6</v>
      </c>
      <c r="P4153" s="1178">
        <v>13</v>
      </c>
    </row>
    <row r="4154" spans="1:16">
      <c r="A4154" s="1178" t="s">
        <v>422</v>
      </c>
      <c r="B4154" s="1371" t="str">
        <f>HYPERLINK(IFERROR("#Main_Tariff!A"&amp;MATCH(Raeburn_Main_Tariff[[#This Row],[Product Code]],Main_Tariff!I:I,0),"#Main_Tariff!A"&amp;MATCH("*"&amp;RIGHT(A4154,8)&amp;"*",Main_Tariff!A:A,0)),Raeburn_Main_Tariff[[#This Row],[PRODUCER]])</f>
        <v>Edi Kante</v>
      </c>
      <c r="C4154" s="1178" t="s">
        <v>22044</v>
      </c>
      <c r="D4154" s="1178" t="s">
        <v>1129</v>
      </c>
      <c r="E4154" s="1179">
        <v>2017</v>
      </c>
      <c r="F4154" s="1282" t="s">
        <v>20220</v>
      </c>
      <c r="G4154" s="1368">
        <v>20</v>
      </c>
      <c r="H4154" s="1178" t="s">
        <v>20224</v>
      </c>
      <c r="I4154" s="1178" t="s">
        <v>12838</v>
      </c>
      <c r="J4154" s="1178" t="s">
        <v>668</v>
      </c>
      <c r="K4154" s="1178" t="s">
        <v>396</v>
      </c>
      <c r="L4154" s="1178" t="s">
        <v>421</v>
      </c>
      <c r="M4154" s="1369"/>
      <c r="N4154" s="1178"/>
      <c r="O4154" s="1178">
        <v>6</v>
      </c>
      <c r="P4154" s="1178">
        <v>13.5</v>
      </c>
    </row>
    <row r="4155" spans="1:16">
      <c r="A4155" s="1178" t="s">
        <v>422</v>
      </c>
      <c r="B4155" s="1371" t="str">
        <f>HYPERLINK(IFERROR("#Main_Tariff!A"&amp;MATCH(Raeburn_Main_Tariff[[#This Row],[Product Code]],Main_Tariff!I:I,0),"#Main_Tariff!A"&amp;MATCH("*"&amp;RIGHT(A4155,8)&amp;"*",Main_Tariff!A:A,0)),Raeburn_Main_Tariff[[#This Row],[PRODUCER]])</f>
        <v>Edi Kante</v>
      </c>
      <c r="C4155" s="1178" t="s">
        <v>22045</v>
      </c>
      <c r="D4155" s="1178" t="s">
        <v>1129</v>
      </c>
      <c r="E4155" s="1179">
        <v>2018</v>
      </c>
      <c r="F4155" s="1282" t="s">
        <v>20220</v>
      </c>
      <c r="G4155" s="1368">
        <v>18.25</v>
      </c>
      <c r="H4155" s="1178" t="s">
        <v>20277</v>
      </c>
      <c r="I4155" s="1178" t="s">
        <v>12840</v>
      </c>
      <c r="J4155" s="1178" t="s">
        <v>668</v>
      </c>
      <c r="K4155" s="1178" t="s">
        <v>396</v>
      </c>
      <c r="L4155" s="1178" t="s">
        <v>421</v>
      </c>
      <c r="M4155" s="1369"/>
      <c r="N4155" s="1178"/>
      <c r="O4155" s="1178">
        <v>6</v>
      </c>
      <c r="P4155" s="1178">
        <v>13.5</v>
      </c>
    </row>
    <row r="4156" spans="1:16">
      <c r="A4156" s="1178" t="s">
        <v>422</v>
      </c>
      <c r="B4156" s="1371" t="str">
        <f>HYPERLINK(IFERROR("#Main_Tariff!A"&amp;MATCH(Raeburn_Main_Tariff[[#This Row],[Product Code]],Main_Tariff!I:I,0),"#Main_Tariff!A"&amp;MATCH("*"&amp;RIGHT(A4156,8)&amp;"*",Main_Tariff!A:A,0)),Raeburn_Main_Tariff[[#This Row],[PRODUCER]])</f>
        <v>Edi Kante</v>
      </c>
      <c r="C4156" s="1178" t="s">
        <v>22046</v>
      </c>
      <c r="D4156" s="1178" t="s">
        <v>1129</v>
      </c>
      <c r="E4156" s="1179">
        <v>2021</v>
      </c>
      <c r="F4156" s="1282" t="s">
        <v>20220</v>
      </c>
      <c r="G4156" s="1368">
        <v>21</v>
      </c>
      <c r="H4156" s="1178" t="s">
        <v>20221</v>
      </c>
      <c r="I4156" s="1178" t="s">
        <v>12844</v>
      </c>
      <c r="J4156" s="1178" t="s">
        <v>668</v>
      </c>
      <c r="K4156" s="1178" t="s">
        <v>396</v>
      </c>
      <c r="L4156" s="1178" t="s">
        <v>421</v>
      </c>
      <c r="M4156" s="1369"/>
      <c r="N4156" s="1178"/>
      <c r="O4156" s="1178">
        <v>6</v>
      </c>
      <c r="P4156" s="1178">
        <v>12</v>
      </c>
    </row>
    <row r="4157" spans="1:16">
      <c r="A4157" s="1178" t="s">
        <v>422</v>
      </c>
      <c r="B4157" s="1371" t="str">
        <f>HYPERLINK(IFERROR("#Main_Tariff!A"&amp;MATCH(Raeburn_Main_Tariff[[#This Row],[Product Code]],Main_Tariff!I:I,0),"#Main_Tariff!A"&amp;MATCH("*"&amp;RIGHT(A4157,8)&amp;"*",Main_Tariff!A:A,0)),Raeburn_Main_Tariff[[#This Row],[PRODUCER]])</f>
        <v>Edi Kante</v>
      </c>
      <c r="C4157" s="1178" t="s">
        <v>22047</v>
      </c>
      <c r="D4157" s="1178" t="s">
        <v>1129</v>
      </c>
      <c r="E4157" s="1179">
        <v>2018</v>
      </c>
      <c r="F4157" s="1282" t="s">
        <v>20220</v>
      </c>
      <c r="G4157" s="1368">
        <v>21</v>
      </c>
      <c r="H4157" s="1178" t="s">
        <v>20221</v>
      </c>
      <c r="I4157" s="1178" t="s">
        <v>12845</v>
      </c>
      <c r="J4157" s="1178" t="s">
        <v>668</v>
      </c>
      <c r="K4157" s="1178" t="s">
        <v>396</v>
      </c>
      <c r="L4157" s="1178" t="s">
        <v>421</v>
      </c>
      <c r="M4157" s="1369"/>
      <c r="N4157" s="1178"/>
      <c r="O4157" s="1178">
        <v>6</v>
      </c>
      <c r="P4157" s="1178">
        <v>12.5</v>
      </c>
    </row>
    <row r="4158" spans="1:16">
      <c r="A4158" s="1178" t="s">
        <v>422</v>
      </c>
      <c r="B4158" s="1371" t="str">
        <f>HYPERLINK(IFERROR("#Main_Tariff!A"&amp;MATCH(Raeburn_Main_Tariff[[#This Row],[Product Code]],Main_Tariff!I:I,0),"#Main_Tariff!A"&amp;MATCH("*"&amp;RIGHT(A4158,8)&amp;"*",Main_Tariff!A:A,0)),Raeburn_Main_Tariff[[#This Row],[PRODUCER]])</f>
        <v>Edi Kante</v>
      </c>
      <c r="C4158" s="1178" t="s">
        <v>22047</v>
      </c>
      <c r="D4158" s="1178" t="s">
        <v>1129</v>
      </c>
      <c r="E4158" s="1179">
        <v>2014</v>
      </c>
      <c r="F4158" s="1282" t="s">
        <v>20220</v>
      </c>
      <c r="G4158" s="1368">
        <v>21</v>
      </c>
      <c r="H4158" s="1178" t="s">
        <v>20221</v>
      </c>
      <c r="I4158" s="1178" t="s">
        <v>12848</v>
      </c>
      <c r="J4158" s="1178" t="s">
        <v>668</v>
      </c>
      <c r="K4158" s="1178" t="s">
        <v>396</v>
      </c>
      <c r="L4158" s="1178" t="s">
        <v>421</v>
      </c>
      <c r="M4158" s="1369"/>
      <c r="N4158" s="1178"/>
      <c r="O4158" s="1178">
        <v>6</v>
      </c>
      <c r="P4158" s="1178">
        <v>12.5</v>
      </c>
    </row>
    <row r="4159" spans="1:16">
      <c r="A4159" s="1178" t="s">
        <v>422</v>
      </c>
      <c r="B4159" s="1371" t="str">
        <f>HYPERLINK(IFERROR("#Main_Tariff!A"&amp;MATCH(Raeburn_Main_Tariff[[#This Row],[Product Code]],Main_Tariff!I:I,0),"#Main_Tariff!A"&amp;MATCH("*"&amp;RIGHT(A4159,8)&amp;"*",Main_Tariff!A:A,0)),Raeburn_Main_Tariff[[#This Row],[PRODUCER]])</f>
        <v>Edi Kante</v>
      </c>
      <c r="C4159" s="1178" t="s">
        <v>22048</v>
      </c>
      <c r="D4159" s="1178" t="s">
        <v>1129</v>
      </c>
      <c r="E4159" s="1179">
        <v>2022</v>
      </c>
      <c r="F4159" s="1282" t="s">
        <v>20220</v>
      </c>
      <c r="G4159" s="1368">
        <v>21</v>
      </c>
      <c r="H4159" s="1178" t="s">
        <v>20221</v>
      </c>
      <c r="I4159" s="1178" t="s">
        <v>12850</v>
      </c>
      <c r="J4159" s="1178" t="s">
        <v>668</v>
      </c>
      <c r="K4159" s="1178" t="s">
        <v>396</v>
      </c>
      <c r="L4159" s="1178" t="s">
        <v>421</v>
      </c>
      <c r="M4159" s="1369"/>
      <c r="N4159" s="1178"/>
      <c r="O4159" s="1178">
        <v>6</v>
      </c>
      <c r="P4159" s="1178">
        <v>13</v>
      </c>
    </row>
    <row r="4160" spans="1:16">
      <c r="A4160" s="1178" t="s">
        <v>422</v>
      </c>
      <c r="B4160" s="1371" t="str">
        <f>HYPERLINK(IFERROR("#Main_Tariff!A"&amp;MATCH(Raeburn_Main_Tariff[[#This Row],[Product Code]],Main_Tariff!I:I,0),"#Main_Tariff!A"&amp;MATCH("*"&amp;RIGHT(A4160,8)&amp;"*",Main_Tariff!A:A,0)),Raeburn_Main_Tariff[[#This Row],[PRODUCER]])</f>
        <v>Edi Kante</v>
      </c>
      <c r="C4160" s="1178" t="s">
        <v>22048</v>
      </c>
      <c r="D4160" s="1178" t="s">
        <v>1129</v>
      </c>
      <c r="E4160" s="1179">
        <v>2021</v>
      </c>
      <c r="F4160" s="1282" t="s">
        <v>20220</v>
      </c>
      <c r="G4160" s="1368">
        <v>21</v>
      </c>
      <c r="H4160" s="1178" t="s">
        <v>20277</v>
      </c>
      <c r="I4160" s="1178" t="s">
        <v>12852</v>
      </c>
      <c r="J4160" s="1178" t="s">
        <v>668</v>
      </c>
      <c r="K4160" s="1178" t="s">
        <v>396</v>
      </c>
      <c r="L4160" s="1178" t="s">
        <v>421</v>
      </c>
      <c r="M4160" s="1369"/>
      <c r="N4160" s="1178"/>
      <c r="O4160" s="1178">
        <v>6</v>
      </c>
      <c r="P4160" s="1178">
        <v>13</v>
      </c>
    </row>
    <row r="4161" spans="1:16">
      <c r="A4161" s="1178" t="s">
        <v>422</v>
      </c>
      <c r="B4161" s="1371" t="str">
        <f>HYPERLINK(IFERROR("#Main_Tariff!A"&amp;MATCH(Raeburn_Main_Tariff[[#This Row],[Product Code]],Main_Tariff!I:I,0),"#Main_Tariff!A"&amp;MATCH("*"&amp;RIGHT(A4161,8)&amp;"*",Main_Tariff!A:A,0)),Raeburn_Main_Tariff[[#This Row],[PRODUCER]])</f>
        <v>Edi Kante</v>
      </c>
      <c r="C4161" s="1178" t="s">
        <v>22049</v>
      </c>
      <c r="D4161" s="1178" t="s">
        <v>1129</v>
      </c>
      <c r="E4161" s="1179">
        <v>2020</v>
      </c>
      <c r="F4161" s="1282" t="s">
        <v>20220</v>
      </c>
      <c r="G4161" s="1368">
        <v>21.5</v>
      </c>
      <c r="H4161" s="1178" t="s">
        <v>20221</v>
      </c>
      <c r="I4161" s="1178" t="s">
        <v>12854</v>
      </c>
      <c r="J4161" s="1178" t="s">
        <v>668</v>
      </c>
      <c r="K4161" s="1178" t="s">
        <v>396</v>
      </c>
      <c r="L4161" s="1178" t="s">
        <v>421</v>
      </c>
      <c r="M4161" s="1369"/>
      <c r="N4161" s="1178"/>
      <c r="O4161" s="1178">
        <v>6</v>
      </c>
      <c r="P4161" s="1178">
        <v>12</v>
      </c>
    </row>
    <row r="4162" spans="1:16">
      <c r="A4162" s="1178" t="s">
        <v>422</v>
      </c>
      <c r="B4162" s="1371" t="str">
        <f>HYPERLINK(IFERROR("#Main_Tariff!A"&amp;MATCH(Raeburn_Main_Tariff[[#This Row],[Product Code]],Main_Tariff!I:I,0),"#Main_Tariff!A"&amp;MATCH("*"&amp;RIGHT(A4162,8)&amp;"*",Main_Tariff!A:A,0)),Raeburn_Main_Tariff[[#This Row],[PRODUCER]])</f>
        <v>Edi Kante</v>
      </c>
      <c r="C4162" s="1178" t="s">
        <v>22050</v>
      </c>
      <c r="D4162" s="1178" t="s">
        <v>1129</v>
      </c>
      <c r="E4162" s="1179">
        <v>2016</v>
      </c>
      <c r="F4162" s="1282" t="s">
        <v>20220</v>
      </c>
      <c r="G4162" s="1368">
        <v>39</v>
      </c>
      <c r="H4162" s="1178" t="s">
        <v>20224</v>
      </c>
      <c r="I4162" s="1178" t="s">
        <v>12858</v>
      </c>
      <c r="J4162" s="1178" t="s">
        <v>668</v>
      </c>
      <c r="K4162" s="1178" t="s">
        <v>396</v>
      </c>
      <c r="L4162" s="1178" t="s">
        <v>421</v>
      </c>
      <c r="M4162" s="1369"/>
      <c r="N4162" s="1178"/>
      <c r="O4162" s="1178">
        <v>6</v>
      </c>
      <c r="P4162" s="1178">
        <v>12.5</v>
      </c>
    </row>
    <row r="4163" spans="1:16">
      <c r="A4163" s="1178" t="s">
        <v>422</v>
      </c>
      <c r="B4163" s="1371" t="str">
        <f>HYPERLINK(IFERROR("#Main_Tariff!A"&amp;MATCH(Raeburn_Main_Tariff[[#This Row],[Product Code]],Main_Tariff!I:I,0),"#Main_Tariff!A"&amp;MATCH("*"&amp;RIGHT(A4163,8)&amp;"*",Main_Tariff!A:A,0)),Raeburn_Main_Tariff[[#This Row],[PRODUCER]])</f>
        <v>Edi Kante</v>
      </c>
      <c r="C4163" s="1178" t="s">
        <v>22051</v>
      </c>
      <c r="D4163" s="1178" t="s">
        <v>1129</v>
      </c>
      <c r="E4163" s="1179">
        <v>2018</v>
      </c>
      <c r="F4163" s="1282" t="s">
        <v>20220</v>
      </c>
      <c r="G4163" s="1368">
        <v>39</v>
      </c>
      <c r="H4163" s="1178" t="s">
        <v>20221</v>
      </c>
      <c r="I4163" s="1178" t="s">
        <v>12860</v>
      </c>
      <c r="J4163" s="1178" t="s">
        <v>668</v>
      </c>
      <c r="K4163" s="1178" t="s">
        <v>396</v>
      </c>
      <c r="L4163" s="1178" t="s">
        <v>421</v>
      </c>
      <c r="M4163" s="1369"/>
      <c r="N4163" s="1178"/>
      <c r="O4163" s="1178">
        <v>6</v>
      </c>
      <c r="P4163" s="1178">
        <v>12.5</v>
      </c>
    </row>
    <row r="4164" spans="1:16">
      <c r="A4164" s="1178" t="s">
        <v>422</v>
      </c>
      <c r="B4164" s="1371" t="str">
        <f>HYPERLINK(IFERROR("#Main_Tariff!A"&amp;MATCH(Raeburn_Main_Tariff[[#This Row],[Product Code]],Main_Tariff!I:I,0),"#Main_Tariff!A"&amp;MATCH("*"&amp;RIGHT(A4164,8)&amp;"*",Main_Tariff!A:A,0)),Raeburn_Main_Tariff[[#This Row],[PRODUCER]])</f>
        <v>Edi Kante</v>
      </c>
      <c r="C4164" s="1178" t="s">
        <v>22052</v>
      </c>
      <c r="D4164" s="1178" t="s">
        <v>1129</v>
      </c>
      <c r="E4164" s="1179">
        <v>2015</v>
      </c>
      <c r="F4164" s="1282" t="s">
        <v>20220</v>
      </c>
      <c r="G4164" s="1368">
        <v>38.5</v>
      </c>
      <c r="H4164" s="1178" t="s">
        <v>20221</v>
      </c>
      <c r="I4164" s="1178" t="s">
        <v>12862</v>
      </c>
      <c r="J4164" s="1178" t="s">
        <v>668</v>
      </c>
      <c r="K4164" s="1178" t="s">
        <v>396</v>
      </c>
      <c r="L4164" s="1178" t="s">
        <v>421</v>
      </c>
      <c r="M4164" s="1369"/>
      <c r="N4164" s="1178"/>
      <c r="O4164" s="1178">
        <v>6</v>
      </c>
      <c r="P4164" s="1178">
        <v>12</v>
      </c>
    </row>
    <row r="4165" spans="1:16">
      <c r="A4165" s="1178" t="s">
        <v>422</v>
      </c>
      <c r="B4165" s="1371" t="str">
        <f>HYPERLINK(IFERROR("#Main_Tariff!A"&amp;MATCH(Raeburn_Main_Tariff[[#This Row],[Product Code]],Main_Tariff!I:I,0),"#Main_Tariff!A"&amp;MATCH("*"&amp;RIGHT(A4165,8)&amp;"*",Main_Tariff!A:A,0)),Raeburn_Main_Tariff[[#This Row],[PRODUCER]])</f>
        <v>Edi Kante</v>
      </c>
      <c r="C4165" s="1178" t="s">
        <v>22053</v>
      </c>
      <c r="D4165" s="1178" t="s">
        <v>1129</v>
      </c>
      <c r="E4165" s="1179">
        <v>2018</v>
      </c>
      <c r="F4165" s="1282" t="s">
        <v>20240</v>
      </c>
      <c r="G4165" s="1368">
        <v>79</v>
      </c>
      <c r="H4165" s="1178" t="s">
        <v>20224</v>
      </c>
      <c r="I4165" s="1178" t="s">
        <v>12866</v>
      </c>
      <c r="J4165" s="1178" t="s">
        <v>668</v>
      </c>
      <c r="K4165" s="1178" t="s">
        <v>396</v>
      </c>
      <c r="L4165" s="1178" t="s">
        <v>421</v>
      </c>
      <c r="M4165" s="1369"/>
      <c r="N4165" s="1178"/>
      <c r="O4165" s="1178">
        <v>3</v>
      </c>
      <c r="P4165" s="1178">
        <v>12.5</v>
      </c>
    </row>
    <row r="4166" spans="1:16">
      <c r="A4166" s="1178" t="s">
        <v>422</v>
      </c>
      <c r="B4166" s="1371" t="str">
        <f>HYPERLINK(IFERROR("#Main_Tariff!A"&amp;MATCH(Raeburn_Main_Tariff[[#This Row],[Product Code]],Main_Tariff!I:I,0),"#Main_Tariff!A"&amp;MATCH("*"&amp;RIGHT(A4166,8)&amp;"*",Main_Tariff!A:A,0)),Raeburn_Main_Tariff[[#This Row],[PRODUCER]])</f>
        <v>Edi Kante</v>
      </c>
      <c r="C4166" s="1178" t="s">
        <v>22053</v>
      </c>
      <c r="D4166" s="1178" t="s">
        <v>1129</v>
      </c>
      <c r="E4166" s="1179">
        <v>2016</v>
      </c>
      <c r="F4166" s="1282" t="s">
        <v>20240</v>
      </c>
      <c r="G4166" s="1368">
        <v>79</v>
      </c>
      <c r="H4166" s="1178" t="s">
        <v>20224</v>
      </c>
      <c r="I4166" s="1178" t="s">
        <v>12868</v>
      </c>
      <c r="J4166" s="1178" t="s">
        <v>668</v>
      </c>
      <c r="K4166" s="1178" t="s">
        <v>396</v>
      </c>
      <c r="L4166" s="1178" t="s">
        <v>421</v>
      </c>
      <c r="M4166" s="1369"/>
      <c r="N4166" s="1178"/>
      <c r="O4166" s="1178">
        <v>3</v>
      </c>
      <c r="P4166" s="1178">
        <v>13</v>
      </c>
    </row>
    <row r="4167" spans="1:16">
      <c r="A4167" s="1178" t="s">
        <v>422</v>
      </c>
      <c r="B4167" s="1371" t="str">
        <f>HYPERLINK(IFERROR("#Main_Tariff!A"&amp;MATCH(Raeburn_Main_Tariff[[#This Row],[Product Code]],Main_Tariff!I:I,0),"#Main_Tariff!A"&amp;MATCH("*"&amp;RIGHT(A4167,8)&amp;"*",Main_Tariff!A:A,0)),Raeburn_Main_Tariff[[#This Row],[PRODUCER]])</f>
        <v>Edi Kante</v>
      </c>
      <c r="C4167" s="1178" t="s">
        <v>22054</v>
      </c>
      <c r="D4167" s="1178" t="s">
        <v>1129</v>
      </c>
      <c r="E4167" s="1179">
        <v>2015</v>
      </c>
      <c r="F4167" s="1282" t="s">
        <v>20240</v>
      </c>
      <c r="G4167" s="1368">
        <v>79</v>
      </c>
      <c r="H4167" s="1178" t="s">
        <v>20224</v>
      </c>
      <c r="I4167" s="1178" t="s">
        <v>12870</v>
      </c>
      <c r="J4167" s="1178" t="s">
        <v>668</v>
      </c>
      <c r="K4167" s="1178" t="s">
        <v>396</v>
      </c>
      <c r="L4167" s="1178" t="s">
        <v>421</v>
      </c>
      <c r="M4167" s="1369"/>
      <c r="N4167" s="1178"/>
      <c r="O4167" s="1178">
        <v>3</v>
      </c>
      <c r="P4167" s="1178">
        <v>12</v>
      </c>
    </row>
    <row r="4168" spans="1:16">
      <c r="A4168" s="1178" t="s">
        <v>422</v>
      </c>
      <c r="B4168" s="1371" t="str">
        <f>HYPERLINK(IFERROR("#Main_Tariff!A"&amp;MATCH(Raeburn_Main_Tariff[[#This Row],[Product Code]],Main_Tariff!I:I,0),"#Main_Tariff!A"&amp;MATCH("*"&amp;RIGHT(A4168,8)&amp;"*",Main_Tariff!A:A,0)),Raeburn_Main_Tariff[[#This Row],[PRODUCER]])</f>
        <v>Edi Kante</v>
      </c>
      <c r="C4168" s="1178" t="s">
        <v>22054</v>
      </c>
      <c r="D4168" s="1178" t="s">
        <v>1129</v>
      </c>
      <c r="E4168" s="1179">
        <v>2009</v>
      </c>
      <c r="F4168" s="1282" t="s">
        <v>20240</v>
      </c>
      <c r="G4168" s="1368">
        <v>78</v>
      </c>
      <c r="H4168" s="1178" t="s">
        <v>20224</v>
      </c>
      <c r="I4168" s="1178" t="s">
        <v>12872</v>
      </c>
      <c r="J4168" s="1178" t="s">
        <v>668</v>
      </c>
      <c r="K4168" s="1178" t="s">
        <v>396</v>
      </c>
      <c r="L4168" s="1178" t="s">
        <v>421</v>
      </c>
      <c r="M4168" s="1369"/>
      <c r="N4168" s="1178"/>
      <c r="O4168" s="1178">
        <v>3</v>
      </c>
      <c r="P4168" s="1178">
        <v>12.5</v>
      </c>
    </row>
    <row r="4169" spans="1:16">
      <c r="A4169" s="1178" t="s">
        <v>422</v>
      </c>
      <c r="B4169" s="1371" t="str">
        <f>HYPERLINK(IFERROR("#Main_Tariff!A"&amp;MATCH(Raeburn_Main_Tariff[[#This Row],[Product Code]],Main_Tariff!I:I,0),"#Main_Tariff!A"&amp;MATCH("*"&amp;RIGHT(A4169,8)&amp;"*",Main_Tariff!A:A,0)),Raeburn_Main_Tariff[[#This Row],[PRODUCER]])</f>
        <v>Edi Kante</v>
      </c>
      <c r="C4169" s="1178" t="s">
        <v>22055</v>
      </c>
      <c r="D4169" s="1178" t="s">
        <v>897</v>
      </c>
      <c r="E4169" s="1179">
        <v>2018</v>
      </c>
      <c r="F4169" s="1282" t="s">
        <v>20220</v>
      </c>
      <c r="G4169" s="1368">
        <v>20</v>
      </c>
      <c r="H4169" s="1178" t="s">
        <v>20221</v>
      </c>
      <c r="I4169" s="1178" t="s">
        <v>12876</v>
      </c>
      <c r="J4169" s="1178" t="s">
        <v>668</v>
      </c>
      <c r="K4169" s="1178" t="s">
        <v>396</v>
      </c>
      <c r="L4169" s="1178" t="s">
        <v>421</v>
      </c>
      <c r="M4169" s="1369"/>
      <c r="N4169" s="1178"/>
      <c r="O4169" s="1178">
        <v>6</v>
      </c>
      <c r="P4169" s="1178">
        <v>12</v>
      </c>
    </row>
    <row r="4170" spans="1:16">
      <c r="A4170" s="1178" t="s">
        <v>422</v>
      </c>
      <c r="B4170" s="1371" t="str">
        <f>HYPERLINK(IFERROR("#Main_Tariff!A"&amp;MATCH(Raeburn_Main_Tariff[[#This Row],[Product Code]],Main_Tariff!I:I,0),"#Main_Tariff!A"&amp;MATCH("*"&amp;RIGHT(A4170,8)&amp;"*",Main_Tariff!A:A,0)),Raeburn_Main_Tariff[[#This Row],[PRODUCER]])</f>
        <v>Edi Kante</v>
      </c>
      <c r="C4170" s="1178" t="s">
        <v>22055</v>
      </c>
      <c r="D4170" s="1178" t="s">
        <v>897</v>
      </c>
      <c r="E4170" s="1179">
        <v>2016</v>
      </c>
      <c r="F4170" s="1282" t="s">
        <v>20220</v>
      </c>
      <c r="G4170" s="1368">
        <v>18</v>
      </c>
      <c r="H4170" s="1178" t="s">
        <v>20221</v>
      </c>
      <c r="I4170" s="1178" t="s">
        <v>12878</v>
      </c>
      <c r="J4170" s="1178" t="s">
        <v>668</v>
      </c>
      <c r="K4170" s="1178" t="s">
        <v>396</v>
      </c>
      <c r="L4170" s="1178" t="s">
        <v>421</v>
      </c>
      <c r="M4170" s="1369"/>
      <c r="N4170" s="1178"/>
      <c r="O4170" s="1178">
        <v>6</v>
      </c>
      <c r="P4170" s="1178">
        <v>12.5</v>
      </c>
    </row>
    <row r="4171" spans="1:16">
      <c r="A4171" s="1178" t="s">
        <v>423</v>
      </c>
      <c r="B4171" s="1371" t="str">
        <f>HYPERLINK(IFERROR("#Main_Tariff!A"&amp;MATCH(Raeburn_Main_Tariff[[#This Row],[Product Code]],Main_Tariff!I:I,0),"#Main_Tariff!A"&amp;MATCH("*"&amp;RIGHT(A4171,8)&amp;"*",Main_Tariff!A:A,0)),Raeburn_Main_Tariff[[#This Row],[PRODUCER]])</f>
        <v>Rado Kocjancic</v>
      </c>
      <c r="C4171" s="1178" t="s">
        <v>22056</v>
      </c>
      <c r="D4171" s="1178" t="s">
        <v>1129</v>
      </c>
      <c r="E4171" s="1179">
        <v>2015</v>
      </c>
      <c r="F4171" s="1282" t="s">
        <v>20220</v>
      </c>
      <c r="G4171" s="1368">
        <v>14.5</v>
      </c>
      <c r="H4171" s="1178" t="s">
        <v>20221</v>
      </c>
      <c r="I4171" s="1178" t="s">
        <v>12891</v>
      </c>
      <c r="J4171" s="1178" t="s">
        <v>668</v>
      </c>
      <c r="K4171" s="1178" t="s">
        <v>396</v>
      </c>
      <c r="L4171" s="1178" t="s">
        <v>421</v>
      </c>
      <c r="M4171" s="1369"/>
      <c r="N4171" s="1178"/>
      <c r="O4171" s="1178">
        <v>12</v>
      </c>
      <c r="P4171" s="1178">
        <v>13</v>
      </c>
    </row>
    <row r="4172" spans="1:16">
      <c r="A4172" s="1178" t="s">
        <v>423</v>
      </c>
      <c r="B4172" s="1371" t="str">
        <f>HYPERLINK(IFERROR("#Main_Tariff!A"&amp;MATCH(Raeburn_Main_Tariff[[#This Row],[Product Code]],Main_Tariff!I:I,0),"#Main_Tariff!A"&amp;MATCH("*"&amp;RIGHT(A4172,8)&amp;"*",Main_Tariff!A:A,0)),Raeburn_Main_Tariff[[#This Row],[PRODUCER]])</f>
        <v>Rado Kocjancic</v>
      </c>
      <c r="C4172" s="1178" t="s">
        <v>22057</v>
      </c>
      <c r="D4172" s="1178" t="s">
        <v>1129</v>
      </c>
      <c r="E4172" s="1179">
        <v>2015</v>
      </c>
      <c r="F4172" s="1282" t="s">
        <v>20220</v>
      </c>
      <c r="G4172" s="1368">
        <v>14.5</v>
      </c>
      <c r="H4172" s="1178" t="s">
        <v>20221</v>
      </c>
      <c r="I4172" s="1178" t="s">
        <v>12893</v>
      </c>
      <c r="J4172" s="1178" t="s">
        <v>668</v>
      </c>
      <c r="K4172" s="1178" t="s">
        <v>396</v>
      </c>
      <c r="L4172" s="1178" t="s">
        <v>421</v>
      </c>
      <c r="M4172" s="1369"/>
      <c r="N4172" s="1178"/>
      <c r="O4172" s="1178">
        <v>12</v>
      </c>
      <c r="P4172" s="1178">
        <v>13</v>
      </c>
    </row>
    <row r="4173" spans="1:16">
      <c r="A4173" s="1178" t="s">
        <v>424</v>
      </c>
      <c r="B4173" s="1371" t="str">
        <f>HYPERLINK(IFERROR("#Main_Tariff!A"&amp;MATCH(Raeburn_Main_Tariff[[#This Row],[Product Code]],Main_Tariff!I:I,0),"#Main_Tariff!A"&amp;MATCH("*"&amp;RIGHT(A4173,8)&amp;"*",Main_Tariff!A:A,0)),Raeburn_Main_Tariff[[#This Row],[PRODUCER]])</f>
        <v>Vigna del Lauro</v>
      </c>
      <c r="C4173" s="1178" t="s">
        <v>22058</v>
      </c>
      <c r="D4173" s="1178" t="s">
        <v>1129</v>
      </c>
      <c r="E4173" s="1179"/>
      <c r="F4173" s="1282" t="s">
        <v>20220</v>
      </c>
      <c r="G4173" s="1368"/>
      <c r="H4173" s="1178" t="s">
        <v>3907</v>
      </c>
      <c r="I4173" s="1178" t="s">
        <v>12904</v>
      </c>
      <c r="J4173" s="1178" t="s">
        <v>668</v>
      </c>
      <c r="K4173" s="1178" t="s">
        <v>396</v>
      </c>
      <c r="L4173" s="1178" t="s">
        <v>417</v>
      </c>
      <c r="M4173" s="1369"/>
      <c r="N4173" s="1178"/>
      <c r="O4173" s="1178">
        <v>12</v>
      </c>
      <c r="P4173" s="1178">
        <v>13</v>
      </c>
    </row>
    <row r="4174" spans="1:16">
      <c r="A4174" s="1178" t="s">
        <v>424</v>
      </c>
      <c r="B4174" s="1371" t="str">
        <f>HYPERLINK(IFERROR("#Main_Tariff!A"&amp;MATCH(Raeburn_Main_Tariff[[#This Row],[Product Code]],Main_Tariff!I:I,0),"#Main_Tariff!A"&amp;MATCH("*"&amp;RIGHT(A4174,8)&amp;"*",Main_Tariff!A:A,0)),Raeburn_Main_Tariff[[#This Row],[PRODUCER]])</f>
        <v>Vigna del Lauro</v>
      </c>
      <c r="C4174" s="1178" t="s">
        <v>21977</v>
      </c>
      <c r="D4174" s="1178" t="s">
        <v>1129</v>
      </c>
      <c r="E4174" s="1179">
        <v>2021</v>
      </c>
      <c r="F4174" s="1282" t="s">
        <v>20220</v>
      </c>
      <c r="G4174" s="1368">
        <v>12.75</v>
      </c>
      <c r="H4174" s="1178" t="s">
        <v>20221</v>
      </c>
      <c r="I4174" s="1178" t="s">
        <v>12906</v>
      </c>
      <c r="J4174" s="1178" t="s">
        <v>668</v>
      </c>
      <c r="K4174" s="1178" t="s">
        <v>396</v>
      </c>
      <c r="L4174" s="1178" t="s">
        <v>418</v>
      </c>
      <c r="M4174" s="1369"/>
      <c r="N4174" s="1178"/>
      <c r="O4174" s="1178">
        <v>6</v>
      </c>
      <c r="P4174" s="1178">
        <v>13.5</v>
      </c>
    </row>
    <row r="4175" spans="1:16">
      <c r="A4175" s="1178" t="s">
        <v>424</v>
      </c>
      <c r="B4175" s="1371" t="str">
        <f>HYPERLINK(IFERROR("#Main_Tariff!A"&amp;MATCH(Raeburn_Main_Tariff[[#This Row],[Product Code]],Main_Tariff!I:I,0),"#Main_Tariff!A"&amp;MATCH("*"&amp;RIGHT(A4175,8)&amp;"*",Main_Tariff!A:A,0)),Raeburn_Main_Tariff[[#This Row],[PRODUCER]])</f>
        <v>Vigna del Lauro</v>
      </c>
      <c r="C4175" s="1178" t="s">
        <v>22059</v>
      </c>
      <c r="D4175" s="1178" t="s">
        <v>1129</v>
      </c>
      <c r="E4175" s="1179">
        <v>2021</v>
      </c>
      <c r="F4175" s="1282" t="s">
        <v>20220</v>
      </c>
      <c r="G4175" s="1368">
        <v>12.75</v>
      </c>
      <c r="H4175" s="1178" t="s">
        <v>20221</v>
      </c>
      <c r="I4175" s="1178" t="s">
        <v>12908</v>
      </c>
      <c r="J4175" s="1178" t="s">
        <v>668</v>
      </c>
      <c r="K4175" s="1178" t="s">
        <v>396</v>
      </c>
      <c r="L4175" s="1178" t="s">
        <v>418</v>
      </c>
      <c r="M4175" s="1369"/>
      <c r="N4175" s="1178"/>
      <c r="O4175" s="1178">
        <v>6</v>
      </c>
      <c r="P4175" s="1178">
        <v>13.5</v>
      </c>
    </row>
    <row r="4176" spans="1:16">
      <c r="A4176" s="1178" t="s">
        <v>424</v>
      </c>
      <c r="B4176" s="1371" t="str">
        <f>HYPERLINK(IFERROR("#Main_Tariff!A"&amp;MATCH(Raeburn_Main_Tariff[[#This Row],[Product Code]],Main_Tariff!I:I,0),"#Main_Tariff!A"&amp;MATCH("*"&amp;RIGHT(A4176,8)&amp;"*",Main_Tariff!A:A,0)),Raeburn_Main_Tariff[[#This Row],[PRODUCER]])</f>
        <v>Vigna del Lauro</v>
      </c>
      <c r="C4176" s="1178" t="s">
        <v>22059</v>
      </c>
      <c r="D4176" s="1178" t="s">
        <v>1129</v>
      </c>
      <c r="E4176" s="1179">
        <v>2016</v>
      </c>
      <c r="F4176" s="1282" t="s">
        <v>20220</v>
      </c>
      <c r="G4176" s="1368">
        <v>12</v>
      </c>
      <c r="H4176" s="1178" t="s">
        <v>20277</v>
      </c>
      <c r="I4176" s="1178" t="s">
        <v>12910</v>
      </c>
      <c r="J4176" s="1178" t="s">
        <v>668</v>
      </c>
      <c r="K4176" s="1178" t="s">
        <v>396</v>
      </c>
      <c r="L4176" s="1178" t="s">
        <v>418</v>
      </c>
      <c r="M4176" s="1369"/>
      <c r="N4176" s="1178"/>
      <c r="O4176" s="1178">
        <v>6</v>
      </c>
      <c r="P4176" s="1178">
        <v>13.5</v>
      </c>
    </row>
    <row r="4177" spans="1:16">
      <c r="A4177" s="1178" t="s">
        <v>424</v>
      </c>
      <c r="B4177" s="1371" t="str">
        <f>HYPERLINK(IFERROR("#Main_Tariff!A"&amp;MATCH(Raeburn_Main_Tariff[[#This Row],[Product Code]],Main_Tariff!I:I,0),"#Main_Tariff!A"&amp;MATCH("*"&amp;RIGHT(A4177,8)&amp;"*",Main_Tariff!A:A,0)),Raeburn_Main_Tariff[[#This Row],[PRODUCER]])</f>
        <v>Vigna del Lauro</v>
      </c>
      <c r="C4177" s="1178" t="s">
        <v>22060</v>
      </c>
      <c r="D4177" s="1178" t="s">
        <v>1129</v>
      </c>
      <c r="E4177" s="1179">
        <v>2018</v>
      </c>
      <c r="F4177" s="1282" t="s">
        <v>20220</v>
      </c>
      <c r="G4177" s="1368">
        <v>12.5</v>
      </c>
      <c r="H4177" s="1178" t="s">
        <v>20221</v>
      </c>
      <c r="I4177" s="1178" t="s">
        <v>12912</v>
      </c>
      <c r="J4177" s="1178" t="s">
        <v>668</v>
      </c>
      <c r="K4177" s="1178" t="s">
        <v>396</v>
      </c>
      <c r="L4177" s="1178" t="s">
        <v>417</v>
      </c>
      <c r="M4177" s="1369"/>
      <c r="N4177" s="1178"/>
      <c r="O4177" s="1178">
        <v>6</v>
      </c>
      <c r="P4177" s="1178">
        <v>12.5</v>
      </c>
    </row>
    <row r="4178" spans="1:16">
      <c r="A4178" s="1178" t="s">
        <v>424</v>
      </c>
      <c r="B4178" s="1371" t="str">
        <f>HYPERLINK(IFERROR("#Main_Tariff!A"&amp;MATCH(Raeburn_Main_Tariff[[#This Row],[Product Code]],Main_Tariff!I:I,0),"#Main_Tariff!A"&amp;MATCH("*"&amp;RIGHT(A4178,8)&amp;"*",Main_Tariff!A:A,0)),Raeburn_Main_Tariff[[#This Row],[PRODUCER]])</f>
        <v>Vigna del Lauro</v>
      </c>
      <c r="C4178" s="1178" t="s">
        <v>22061</v>
      </c>
      <c r="D4178" s="1178" t="s">
        <v>1129</v>
      </c>
      <c r="E4178" s="1179">
        <v>2015</v>
      </c>
      <c r="F4178" s="1282" t="s">
        <v>20220</v>
      </c>
      <c r="G4178" s="1368">
        <v>12.5</v>
      </c>
      <c r="H4178" s="1178" t="s">
        <v>20221</v>
      </c>
      <c r="I4178" s="1178" t="s">
        <v>12914</v>
      </c>
      <c r="J4178" s="1178" t="s">
        <v>668</v>
      </c>
      <c r="K4178" s="1178" t="s">
        <v>396</v>
      </c>
      <c r="L4178" s="1178" t="s">
        <v>418</v>
      </c>
      <c r="M4178" s="1369"/>
      <c r="N4178" s="1178"/>
      <c r="O4178" s="1178">
        <v>6</v>
      </c>
      <c r="P4178" s="1178">
        <v>12.5</v>
      </c>
    </row>
    <row r="4179" spans="1:16">
      <c r="A4179" s="1178" t="s">
        <v>424</v>
      </c>
      <c r="B4179" s="1371" t="str">
        <f>HYPERLINK(IFERROR("#Main_Tariff!A"&amp;MATCH(Raeburn_Main_Tariff[[#This Row],[Product Code]],Main_Tariff!I:I,0),"#Main_Tariff!A"&amp;MATCH("*"&amp;RIGHT(A4179,8)&amp;"*",Main_Tariff!A:A,0)),Raeburn_Main_Tariff[[#This Row],[PRODUCER]])</f>
        <v>Vigna del Lauro</v>
      </c>
      <c r="C4179" s="1178" t="s">
        <v>22062</v>
      </c>
      <c r="D4179" s="1178" t="s">
        <v>1129</v>
      </c>
      <c r="E4179" s="1179">
        <v>2021</v>
      </c>
      <c r="F4179" s="1282" t="s">
        <v>20220</v>
      </c>
      <c r="G4179" s="1368">
        <v>12.75</v>
      </c>
      <c r="H4179" s="1178" t="s">
        <v>20221</v>
      </c>
      <c r="I4179" s="1178" t="s">
        <v>12916</v>
      </c>
      <c r="J4179" s="1178" t="s">
        <v>668</v>
      </c>
      <c r="K4179" s="1178" t="s">
        <v>396</v>
      </c>
      <c r="L4179" s="1178" t="s">
        <v>417</v>
      </c>
      <c r="M4179" s="1369"/>
      <c r="N4179" s="1178"/>
      <c r="O4179" s="1178">
        <v>6</v>
      </c>
      <c r="P4179" s="1178">
        <v>13.5</v>
      </c>
    </row>
    <row r="4180" spans="1:16">
      <c r="A4180" s="1178" t="s">
        <v>424</v>
      </c>
      <c r="B4180" s="1371" t="str">
        <f>HYPERLINK(IFERROR("#Main_Tariff!A"&amp;MATCH(Raeburn_Main_Tariff[[#This Row],[Product Code]],Main_Tariff!I:I,0),"#Main_Tariff!A"&amp;MATCH("*"&amp;RIGHT(A4180,8)&amp;"*",Main_Tariff!A:A,0)),Raeburn_Main_Tariff[[#This Row],[PRODUCER]])</f>
        <v>Vigna del Lauro</v>
      </c>
      <c r="C4180" s="1178" t="s">
        <v>22062</v>
      </c>
      <c r="D4180" s="1178" t="s">
        <v>1129</v>
      </c>
      <c r="E4180" s="1179">
        <v>2016</v>
      </c>
      <c r="F4180" s="1282" t="s">
        <v>20220</v>
      </c>
      <c r="G4180" s="1368">
        <v>12.75</v>
      </c>
      <c r="H4180" s="1178" t="s">
        <v>20221</v>
      </c>
      <c r="I4180" s="1178" t="s">
        <v>12917</v>
      </c>
      <c r="J4180" s="1178" t="s">
        <v>668</v>
      </c>
      <c r="K4180" s="1178" t="s">
        <v>396</v>
      </c>
      <c r="L4180" s="1178" t="s">
        <v>418</v>
      </c>
      <c r="M4180" s="1369"/>
      <c r="N4180" s="1178"/>
      <c r="O4180" s="1178">
        <v>6</v>
      </c>
      <c r="P4180" s="1178">
        <v>13.5</v>
      </c>
    </row>
    <row r="4181" spans="1:16">
      <c r="A4181" s="1178" t="s">
        <v>424</v>
      </c>
      <c r="B4181" s="1371" t="str">
        <f>HYPERLINK(IFERROR("#Main_Tariff!A"&amp;MATCH(Raeburn_Main_Tariff[[#This Row],[Product Code]],Main_Tariff!I:I,0),"#Main_Tariff!A"&amp;MATCH("*"&amp;RIGHT(A4181,8)&amp;"*",Main_Tariff!A:A,0)),Raeburn_Main_Tariff[[#This Row],[PRODUCER]])</f>
        <v>Vigna del Lauro</v>
      </c>
      <c r="C4181" s="1178" t="s">
        <v>21980</v>
      </c>
      <c r="D4181" s="1178" t="s">
        <v>1129</v>
      </c>
      <c r="E4181" s="1179">
        <v>2016</v>
      </c>
      <c r="F4181" s="1282" t="s">
        <v>20220</v>
      </c>
      <c r="G4181" s="1368">
        <v>12.5</v>
      </c>
      <c r="H4181" s="1178" t="s">
        <v>20221</v>
      </c>
      <c r="I4181" s="1178" t="s">
        <v>12918</v>
      </c>
      <c r="J4181" s="1178" t="s">
        <v>668</v>
      </c>
      <c r="K4181" s="1178" t="s">
        <v>396</v>
      </c>
      <c r="L4181" s="1178" t="s">
        <v>417</v>
      </c>
      <c r="M4181" s="1369"/>
      <c r="N4181" s="1178"/>
      <c r="O4181" s="1178">
        <v>6</v>
      </c>
      <c r="P4181" s="1178">
        <v>13.5</v>
      </c>
    </row>
    <row r="4182" spans="1:16">
      <c r="A4182" s="1178" t="s">
        <v>424</v>
      </c>
      <c r="B4182" s="1371" t="str">
        <f>HYPERLINK(IFERROR("#Main_Tariff!A"&amp;MATCH(Raeburn_Main_Tariff[[#This Row],[Product Code]],Main_Tariff!I:I,0),"#Main_Tariff!A"&amp;MATCH("*"&amp;RIGHT(A4182,8)&amp;"*",Main_Tariff!A:A,0)),Raeburn_Main_Tariff[[#This Row],[PRODUCER]])</f>
        <v>Vigna del Lauro</v>
      </c>
      <c r="C4182" s="1178" t="s">
        <v>22063</v>
      </c>
      <c r="D4182" s="1178" t="s">
        <v>897</v>
      </c>
      <c r="E4182" s="1179">
        <v>2021</v>
      </c>
      <c r="F4182" s="1282" t="s">
        <v>20220</v>
      </c>
      <c r="G4182" s="1368">
        <v>11.5</v>
      </c>
      <c r="H4182" s="1178" t="s">
        <v>20221</v>
      </c>
      <c r="I4182" s="1178" t="s">
        <v>12919</v>
      </c>
      <c r="J4182" s="1178" t="s">
        <v>668</v>
      </c>
      <c r="K4182" s="1178" t="s">
        <v>396</v>
      </c>
      <c r="L4182" s="1178" t="s">
        <v>418</v>
      </c>
      <c r="M4182" s="1369"/>
      <c r="N4182" s="1178"/>
      <c r="O4182" s="1178">
        <v>12</v>
      </c>
      <c r="P4182" s="1178">
        <v>13</v>
      </c>
    </row>
    <row r="4183" spans="1:16">
      <c r="A4183" s="1178" t="s">
        <v>424</v>
      </c>
      <c r="B4183" s="1371" t="str">
        <f>HYPERLINK(IFERROR("#Main_Tariff!A"&amp;MATCH(Raeburn_Main_Tariff[[#This Row],[Product Code]],Main_Tariff!I:I,0),"#Main_Tariff!A"&amp;MATCH("*"&amp;RIGHT(A4183,8)&amp;"*",Main_Tariff!A:A,0)),Raeburn_Main_Tariff[[#This Row],[PRODUCER]])</f>
        <v>Vigna del Lauro</v>
      </c>
      <c r="C4183" s="1178" t="s">
        <v>22064</v>
      </c>
      <c r="D4183" s="1178" t="s">
        <v>897</v>
      </c>
      <c r="E4183" s="1179">
        <v>2019</v>
      </c>
      <c r="F4183" s="1282" t="s">
        <v>20220</v>
      </c>
      <c r="G4183" s="1368">
        <v>12.75</v>
      </c>
      <c r="H4183" s="1178" t="s">
        <v>20221</v>
      </c>
      <c r="I4183" s="1178" t="s">
        <v>12920</v>
      </c>
      <c r="J4183" s="1178" t="s">
        <v>668</v>
      </c>
      <c r="K4183" s="1178" t="s">
        <v>396</v>
      </c>
      <c r="L4183" s="1178" t="s">
        <v>417</v>
      </c>
      <c r="M4183" s="1369"/>
      <c r="N4183" s="1178"/>
      <c r="O4183" s="1178">
        <v>6</v>
      </c>
      <c r="P4183" s="1178">
        <v>12.5</v>
      </c>
    </row>
    <row r="4184" spans="1:16">
      <c r="A4184" s="1178" t="s">
        <v>424</v>
      </c>
      <c r="B4184" s="1371" t="str">
        <f>HYPERLINK(IFERROR("#Main_Tariff!A"&amp;MATCH(Raeburn_Main_Tariff[[#This Row],[Product Code]],Main_Tariff!I:I,0),"#Main_Tariff!A"&amp;MATCH("*"&amp;RIGHT(A4184,8)&amp;"*",Main_Tariff!A:A,0)),Raeburn_Main_Tariff[[#This Row],[PRODUCER]])</f>
        <v>Vigna del Lauro</v>
      </c>
      <c r="C4184" s="1178" t="s">
        <v>22064</v>
      </c>
      <c r="D4184" s="1178" t="s">
        <v>897</v>
      </c>
      <c r="E4184" s="1179">
        <v>2015</v>
      </c>
      <c r="F4184" s="1282" t="s">
        <v>20220</v>
      </c>
      <c r="G4184" s="1368">
        <v>12.5</v>
      </c>
      <c r="H4184" s="1178" t="s">
        <v>20221</v>
      </c>
      <c r="I4184" s="1178" t="s">
        <v>12921</v>
      </c>
      <c r="J4184" s="1178" t="s">
        <v>668</v>
      </c>
      <c r="K4184" s="1178" t="s">
        <v>396</v>
      </c>
      <c r="L4184" s="1178" t="s">
        <v>417</v>
      </c>
      <c r="M4184" s="1369"/>
      <c r="N4184" s="1178"/>
      <c r="O4184" s="1178">
        <v>6</v>
      </c>
      <c r="P4184" s="1178">
        <v>12.5</v>
      </c>
    </row>
    <row r="4185" spans="1:16">
      <c r="A4185" s="1178" t="s">
        <v>424</v>
      </c>
      <c r="B4185" s="1371" t="str">
        <f>HYPERLINK(IFERROR("#Main_Tariff!A"&amp;MATCH(Raeburn_Main_Tariff[[#This Row],[Product Code]],Main_Tariff!I:I,0),"#Main_Tariff!A"&amp;MATCH("*"&amp;RIGHT(A4185,8)&amp;"*",Main_Tariff!A:A,0)),Raeburn_Main_Tariff[[#This Row],[PRODUCER]])</f>
        <v>Vigna del Lauro</v>
      </c>
      <c r="C4185" s="1178" t="s">
        <v>22065</v>
      </c>
      <c r="D4185" s="1178" t="s">
        <v>897</v>
      </c>
      <c r="E4185" s="1179">
        <v>2021</v>
      </c>
      <c r="F4185" s="1282" t="s">
        <v>20220</v>
      </c>
      <c r="G4185" s="1368">
        <v>12.75</v>
      </c>
      <c r="H4185" s="1178" t="s">
        <v>20221</v>
      </c>
      <c r="I4185" s="1178" t="s">
        <v>12922</v>
      </c>
      <c r="J4185" s="1178" t="s">
        <v>668</v>
      </c>
      <c r="K4185" s="1178" t="s">
        <v>396</v>
      </c>
      <c r="L4185" s="1178" t="s">
        <v>417</v>
      </c>
      <c r="M4185" s="1369"/>
      <c r="N4185" s="1178"/>
      <c r="O4185" s="1178">
        <v>6</v>
      </c>
      <c r="P4185" s="1178">
        <v>13</v>
      </c>
    </row>
    <row r="4186" spans="1:16">
      <c r="A4186" s="1178" t="s">
        <v>424</v>
      </c>
      <c r="B4186" s="1371" t="str">
        <f>HYPERLINK(IFERROR("#Main_Tariff!A"&amp;MATCH(Raeburn_Main_Tariff[[#This Row],[Product Code]],Main_Tariff!I:I,0),"#Main_Tariff!A"&amp;MATCH("*"&amp;RIGHT(A4186,8)&amp;"*",Main_Tariff!A:A,0)),Raeburn_Main_Tariff[[#This Row],[PRODUCER]])</f>
        <v>Vigna del Lauro</v>
      </c>
      <c r="C4186" s="1178" t="s">
        <v>21389</v>
      </c>
      <c r="D4186" s="1178" t="s">
        <v>897</v>
      </c>
      <c r="E4186" s="1179">
        <v>2012</v>
      </c>
      <c r="F4186" s="1282" t="s">
        <v>20220</v>
      </c>
      <c r="G4186" s="1368">
        <v>19</v>
      </c>
      <c r="H4186" s="1178" t="s">
        <v>20221</v>
      </c>
      <c r="I4186" s="1178" t="s">
        <v>12923</v>
      </c>
      <c r="J4186" s="1178" t="s">
        <v>668</v>
      </c>
      <c r="K4186" s="1178" t="s">
        <v>396</v>
      </c>
      <c r="L4186" s="1178" t="s">
        <v>417</v>
      </c>
      <c r="M4186" s="1369"/>
      <c r="N4186" s="1178"/>
      <c r="O4186" s="1178">
        <v>6</v>
      </c>
      <c r="P4186" s="1178">
        <v>13.5</v>
      </c>
    </row>
    <row r="4187" spans="1:16">
      <c r="A4187" s="1178" t="s">
        <v>22066</v>
      </c>
      <c r="B4187" s="1371" t="str">
        <f>HYPERLINK(IFERROR("#Main_Tariff!A"&amp;MATCH(Raeburn_Main_Tariff[[#This Row],[Product Code]],Main_Tariff!I:I,0),"#Main_Tariff!A"&amp;MATCH("*"&amp;RIGHT(A4187,8)&amp;"*",Main_Tariff!A:A,0)),Raeburn_Main_Tariff[[#This Row],[PRODUCER]])</f>
        <v>Podere Il Carnasciale</v>
      </c>
      <c r="C4187" s="1178" t="s">
        <v>22067</v>
      </c>
      <c r="D4187" s="1178" t="s">
        <v>897</v>
      </c>
      <c r="E4187" s="1179">
        <v>2022</v>
      </c>
      <c r="F4187" s="1282" t="s">
        <v>20220</v>
      </c>
      <c r="G4187" s="1368">
        <v>21.25</v>
      </c>
      <c r="H4187" s="1178" t="s">
        <v>20221</v>
      </c>
      <c r="I4187" s="1178" t="s">
        <v>12945</v>
      </c>
      <c r="J4187" s="1178" t="s">
        <v>668</v>
      </c>
      <c r="K4187" s="1178" t="s">
        <v>425</v>
      </c>
      <c r="L4187" s="1178" t="s">
        <v>426</v>
      </c>
      <c r="M4187" s="1369"/>
      <c r="N4187" s="1178"/>
      <c r="O4187" s="1178">
        <v>6</v>
      </c>
      <c r="P4187" s="1178">
        <v>13.5</v>
      </c>
    </row>
    <row r="4188" spans="1:16">
      <c r="A4188" s="1178" t="s">
        <v>22066</v>
      </c>
      <c r="B4188" s="1371" t="str">
        <f>HYPERLINK(IFERROR("#Main_Tariff!A"&amp;MATCH(Raeburn_Main_Tariff[[#This Row],[Product Code]],Main_Tariff!I:I,0),"#Main_Tariff!A"&amp;MATCH("*"&amp;RIGHT(A4188,8)&amp;"*",Main_Tariff!A:A,0)),Raeburn_Main_Tariff[[#This Row],[PRODUCER]])</f>
        <v>Podere Il Carnasciale</v>
      </c>
      <c r="C4188" s="1178" t="s">
        <v>22067</v>
      </c>
      <c r="D4188" s="1178" t="s">
        <v>897</v>
      </c>
      <c r="E4188" s="1179">
        <v>2018</v>
      </c>
      <c r="F4188" s="1282" t="s">
        <v>20220</v>
      </c>
      <c r="G4188" s="1368">
        <v>21.25</v>
      </c>
      <c r="H4188" s="1178" t="s">
        <v>20224</v>
      </c>
      <c r="I4188" s="1178" t="s">
        <v>12947</v>
      </c>
      <c r="J4188" s="1178" t="s">
        <v>668</v>
      </c>
      <c r="K4188" s="1178" t="s">
        <v>425</v>
      </c>
      <c r="L4188" s="1178" t="s">
        <v>426</v>
      </c>
      <c r="M4188" s="1369"/>
      <c r="N4188" s="1178"/>
      <c r="O4188" s="1178">
        <v>6</v>
      </c>
      <c r="P4188" s="1178">
        <v>14</v>
      </c>
    </row>
    <row r="4189" spans="1:16">
      <c r="A4189" s="1178" t="s">
        <v>22066</v>
      </c>
      <c r="B4189" s="1371" t="str">
        <f>HYPERLINK(IFERROR("#Main_Tariff!A"&amp;MATCH(Raeburn_Main_Tariff[[#This Row],[Product Code]],Main_Tariff!I:I,0),"#Main_Tariff!A"&amp;MATCH("*"&amp;RIGHT(A4189,8)&amp;"*",Main_Tariff!A:A,0)),Raeburn_Main_Tariff[[#This Row],[PRODUCER]])</f>
        <v>Podere Il Carnasciale</v>
      </c>
      <c r="C4189" s="1178" t="s">
        <v>22068</v>
      </c>
      <c r="D4189" s="1178" t="s">
        <v>897</v>
      </c>
      <c r="E4189" s="1179">
        <v>2021</v>
      </c>
      <c r="F4189" s="1282" t="s">
        <v>20220</v>
      </c>
      <c r="G4189" s="1368">
        <v>40.5</v>
      </c>
      <c r="H4189" s="1178" t="s">
        <v>20221</v>
      </c>
      <c r="I4189" s="1178" t="s">
        <v>12951</v>
      </c>
      <c r="J4189" s="1178" t="s">
        <v>668</v>
      </c>
      <c r="K4189" s="1178" t="s">
        <v>425</v>
      </c>
      <c r="L4189" s="1178" t="s">
        <v>426</v>
      </c>
      <c r="M4189" s="1369"/>
      <c r="N4189" s="1178"/>
      <c r="O4189" s="1178">
        <v>6</v>
      </c>
      <c r="P4189" s="1178">
        <v>13.5</v>
      </c>
    </row>
    <row r="4190" spans="1:16">
      <c r="A4190" s="1178" t="s">
        <v>22066</v>
      </c>
      <c r="B4190" s="1371" t="str">
        <f>HYPERLINK(IFERROR("#Main_Tariff!A"&amp;MATCH(Raeburn_Main_Tariff[[#This Row],[Product Code]],Main_Tariff!I:I,0),"#Main_Tariff!A"&amp;MATCH("*"&amp;RIGHT(A4190,8)&amp;"*",Main_Tariff!A:A,0)),Raeburn_Main_Tariff[[#This Row],[PRODUCER]])</f>
        <v>Podere Il Carnasciale</v>
      </c>
      <c r="C4190" s="1178" t="s">
        <v>22068</v>
      </c>
      <c r="D4190" s="1178" t="s">
        <v>897</v>
      </c>
      <c r="E4190" s="1179">
        <v>2020</v>
      </c>
      <c r="F4190" s="1282" t="s">
        <v>20220</v>
      </c>
      <c r="G4190" s="1368">
        <v>40.5</v>
      </c>
      <c r="H4190" s="1178" t="s">
        <v>20221</v>
      </c>
      <c r="I4190" s="1178" t="s">
        <v>12953</v>
      </c>
      <c r="J4190" s="1178" t="s">
        <v>668</v>
      </c>
      <c r="K4190" s="1178" t="s">
        <v>425</v>
      </c>
      <c r="L4190" s="1178" t="s">
        <v>426</v>
      </c>
      <c r="M4190" s="1369"/>
      <c r="N4190" s="1178"/>
      <c r="O4190" s="1178">
        <v>6</v>
      </c>
      <c r="P4190" s="1178">
        <v>13.5</v>
      </c>
    </row>
    <row r="4191" spans="1:16">
      <c r="A4191" s="1178" t="s">
        <v>22066</v>
      </c>
      <c r="B4191" s="1371" t="str">
        <f>HYPERLINK(IFERROR("#Main_Tariff!A"&amp;MATCH(Raeburn_Main_Tariff[[#This Row],[Product Code]],Main_Tariff!I:I,0),"#Main_Tariff!A"&amp;MATCH("*"&amp;RIGHT(A4191,8)&amp;"*",Main_Tariff!A:A,0)),Raeburn_Main_Tariff[[#This Row],[PRODUCER]])</f>
        <v>Podere Il Carnasciale</v>
      </c>
      <c r="C4191" s="1178" t="s">
        <v>22068</v>
      </c>
      <c r="D4191" s="1178" t="s">
        <v>897</v>
      </c>
      <c r="E4191" s="1179">
        <v>2019</v>
      </c>
      <c r="F4191" s="1282" t="s">
        <v>20220</v>
      </c>
      <c r="G4191" s="1368">
        <v>39.5</v>
      </c>
      <c r="H4191" s="1178" t="s">
        <v>20221</v>
      </c>
      <c r="I4191" s="1178" t="s">
        <v>12955</v>
      </c>
      <c r="J4191" s="1178" t="s">
        <v>668</v>
      </c>
      <c r="K4191" s="1178" t="s">
        <v>425</v>
      </c>
      <c r="L4191" s="1178" t="s">
        <v>426</v>
      </c>
      <c r="M4191" s="1369"/>
      <c r="N4191" s="1178"/>
      <c r="O4191" s="1178">
        <v>6</v>
      </c>
      <c r="P4191" s="1178">
        <v>13.5</v>
      </c>
    </row>
    <row r="4192" spans="1:16">
      <c r="A4192" s="1178" t="s">
        <v>22066</v>
      </c>
      <c r="B4192" s="1371" t="str">
        <f>HYPERLINK(IFERROR("#Main_Tariff!A"&amp;MATCH(Raeburn_Main_Tariff[[#This Row],[Product Code]],Main_Tariff!I:I,0),"#Main_Tariff!A"&amp;MATCH("*"&amp;RIGHT(A4192,8)&amp;"*",Main_Tariff!A:A,0)),Raeburn_Main_Tariff[[#This Row],[PRODUCER]])</f>
        <v>Podere Il Carnasciale</v>
      </c>
      <c r="C4192" s="1178" t="s">
        <v>22068</v>
      </c>
      <c r="D4192" s="1178" t="s">
        <v>897</v>
      </c>
      <c r="E4192" s="1179">
        <v>2018</v>
      </c>
      <c r="F4192" s="1282" t="s">
        <v>20220</v>
      </c>
      <c r="G4192" s="1368">
        <v>39</v>
      </c>
      <c r="H4192" s="1178" t="s">
        <v>20224</v>
      </c>
      <c r="I4192" s="1178" t="s">
        <v>12957</v>
      </c>
      <c r="J4192" s="1178" t="s">
        <v>668</v>
      </c>
      <c r="K4192" s="1178" t="s">
        <v>425</v>
      </c>
      <c r="L4192" s="1178" t="s">
        <v>426</v>
      </c>
      <c r="M4192" s="1369"/>
      <c r="N4192" s="1178"/>
      <c r="O4192" s="1178">
        <v>6</v>
      </c>
      <c r="P4192" s="1178">
        <v>13.5</v>
      </c>
    </row>
    <row r="4193" spans="1:16">
      <c r="A4193" s="1178" t="s">
        <v>22066</v>
      </c>
      <c r="B4193" s="1371" t="str">
        <f>HYPERLINK(IFERROR("#Main_Tariff!A"&amp;MATCH(Raeburn_Main_Tariff[[#This Row],[Product Code]],Main_Tariff!I:I,0),"#Main_Tariff!A"&amp;MATCH("*"&amp;RIGHT(A4193,8)&amp;"*",Main_Tariff!A:A,0)),Raeburn_Main_Tariff[[#This Row],[PRODUCER]])</f>
        <v>Podere Il Carnasciale</v>
      </c>
      <c r="C4193" s="1178" t="s">
        <v>22068</v>
      </c>
      <c r="D4193" s="1178" t="s">
        <v>897</v>
      </c>
      <c r="E4193" s="1179">
        <v>2017</v>
      </c>
      <c r="F4193" s="1282" t="s">
        <v>20220</v>
      </c>
      <c r="G4193" s="1368">
        <v>39</v>
      </c>
      <c r="H4193" s="1178" t="s">
        <v>20221</v>
      </c>
      <c r="I4193" s="1178" t="s">
        <v>12959</v>
      </c>
      <c r="J4193" s="1178" t="s">
        <v>668</v>
      </c>
      <c r="K4193" s="1178" t="s">
        <v>425</v>
      </c>
      <c r="L4193" s="1178" t="s">
        <v>426</v>
      </c>
      <c r="M4193" s="1369"/>
      <c r="N4193" s="1178"/>
      <c r="O4193" s="1178">
        <v>6</v>
      </c>
      <c r="P4193" s="1178">
        <v>13.5</v>
      </c>
    </row>
    <row r="4194" spans="1:16">
      <c r="A4194" s="1178" t="s">
        <v>22066</v>
      </c>
      <c r="B4194" s="1371" t="str">
        <f>HYPERLINK(IFERROR("#Main_Tariff!A"&amp;MATCH(Raeburn_Main_Tariff[[#This Row],[Product Code]],Main_Tariff!I:I,0),"#Main_Tariff!A"&amp;MATCH("*"&amp;RIGHT(A4194,8)&amp;"*",Main_Tariff!A:A,0)),Raeburn_Main_Tariff[[#This Row],[PRODUCER]])</f>
        <v>Podere Il Carnasciale</v>
      </c>
      <c r="C4194" s="1178" t="s">
        <v>22068</v>
      </c>
      <c r="D4194" s="1178" t="s">
        <v>897</v>
      </c>
      <c r="E4194" s="1179">
        <v>2016</v>
      </c>
      <c r="F4194" s="1282" t="s">
        <v>20220</v>
      </c>
      <c r="G4194" s="1368">
        <v>39</v>
      </c>
      <c r="H4194" s="1178" t="s">
        <v>20221</v>
      </c>
      <c r="I4194" s="1178" t="s">
        <v>12960</v>
      </c>
      <c r="J4194" s="1178" t="s">
        <v>668</v>
      </c>
      <c r="K4194" s="1178" t="s">
        <v>425</v>
      </c>
      <c r="L4194" s="1178" t="s">
        <v>426</v>
      </c>
      <c r="M4194" s="1369"/>
      <c r="N4194" s="1178"/>
      <c r="O4194" s="1178">
        <v>6</v>
      </c>
      <c r="P4194" s="1178">
        <v>13.5</v>
      </c>
    </row>
    <row r="4195" spans="1:16">
      <c r="A4195" s="1178" t="s">
        <v>22066</v>
      </c>
      <c r="B4195" s="1371" t="str">
        <f>HYPERLINK(IFERROR("#Main_Tariff!A"&amp;MATCH(Raeburn_Main_Tariff[[#This Row],[Product Code]],Main_Tariff!I:I,0),"#Main_Tariff!A"&amp;MATCH("*"&amp;RIGHT(A4195,8)&amp;"*",Main_Tariff!A:A,0)),Raeburn_Main_Tariff[[#This Row],[PRODUCER]])</f>
        <v>Podere Il Carnasciale</v>
      </c>
      <c r="C4195" s="1178" t="s">
        <v>22068</v>
      </c>
      <c r="D4195" s="1178" t="s">
        <v>897</v>
      </c>
      <c r="E4195" s="1179">
        <v>2014</v>
      </c>
      <c r="F4195" s="1282" t="s">
        <v>20220</v>
      </c>
      <c r="G4195" s="1368">
        <v>39</v>
      </c>
      <c r="H4195" s="1178" t="s">
        <v>20221</v>
      </c>
      <c r="I4195" s="1178" t="s">
        <v>12961</v>
      </c>
      <c r="J4195" s="1178" t="s">
        <v>668</v>
      </c>
      <c r="K4195" s="1178" t="s">
        <v>425</v>
      </c>
      <c r="L4195" s="1178" t="s">
        <v>426</v>
      </c>
      <c r="M4195" s="1369"/>
      <c r="N4195" s="1178"/>
      <c r="O4195" s="1178">
        <v>6</v>
      </c>
      <c r="P4195" s="1178">
        <v>13.5</v>
      </c>
    </row>
    <row r="4196" spans="1:16">
      <c r="A4196" s="1178" t="s">
        <v>22066</v>
      </c>
      <c r="B4196" s="1371" t="str">
        <f>HYPERLINK(IFERROR("#Main_Tariff!A"&amp;MATCH(Raeburn_Main_Tariff[[#This Row],[Product Code]],Main_Tariff!I:I,0),"#Main_Tariff!A"&amp;MATCH("*"&amp;RIGHT(A4196,8)&amp;"*",Main_Tariff!A:A,0)),Raeburn_Main_Tariff[[#This Row],[PRODUCER]])</f>
        <v>Podere Il Carnasciale</v>
      </c>
      <c r="C4196" s="1178" t="s">
        <v>22068</v>
      </c>
      <c r="D4196" s="1178" t="s">
        <v>897</v>
      </c>
      <c r="E4196" s="1179">
        <v>2013</v>
      </c>
      <c r="F4196" s="1282" t="s">
        <v>20220</v>
      </c>
      <c r="G4196" s="1368">
        <v>39</v>
      </c>
      <c r="H4196" s="1178" t="s">
        <v>20221</v>
      </c>
      <c r="I4196" s="1178" t="s">
        <v>12963</v>
      </c>
      <c r="J4196" s="1178" t="s">
        <v>668</v>
      </c>
      <c r="K4196" s="1178" t="s">
        <v>425</v>
      </c>
      <c r="L4196" s="1178" t="s">
        <v>426</v>
      </c>
      <c r="M4196" s="1369"/>
      <c r="N4196" s="1178"/>
      <c r="O4196" s="1178">
        <v>6</v>
      </c>
      <c r="P4196" s="1178">
        <v>14</v>
      </c>
    </row>
    <row r="4197" spans="1:16">
      <c r="A4197" s="1178" t="s">
        <v>22066</v>
      </c>
      <c r="B4197" s="1371" t="str">
        <f>HYPERLINK(IFERROR("#Main_Tariff!A"&amp;MATCH(Raeburn_Main_Tariff[[#This Row],[Product Code]],Main_Tariff!I:I,0),"#Main_Tariff!A"&amp;MATCH("*"&amp;RIGHT(A4197,8)&amp;"*",Main_Tariff!A:A,0)),Raeburn_Main_Tariff[[#This Row],[PRODUCER]])</f>
        <v>Podere Il Carnasciale</v>
      </c>
      <c r="C4197" s="1178" t="s">
        <v>22068</v>
      </c>
      <c r="D4197" s="1178" t="s">
        <v>897</v>
      </c>
      <c r="E4197" s="1179">
        <v>2012</v>
      </c>
      <c r="F4197" s="1282" t="s">
        <v>20220</v>
      </c>
      <c r="G4197" s="1368">
        <v>39</v>
      </c>
      <c r="H4197" s="1178" t="s">
        <v>20221</v>
      </c>
      <c r="I4197" s="1178" t="s">
        <v>12965</v>
      </c>
      <c r="J4197" s="1178" t="s">
        <v>668</v>
      </c>
      <c r="K4197" s="1178" t="s">
        <v>425</v>
      </c>
      <c r="L4197" s="1178" t="s">
        <v>426</v>
      </c>
      <c r="M4197" s="1369"/>
      <c r="N4197" s="1178"/>
      <c r="O4197" s="1178">
        <v>6</v>
      </c>
      <c r="P4197" s="1178">
        <v>13.5</v>
      </c>
    </row>
    <row r="4198" spans="1:16">
      <c r="A4198" s="1178" t="s">
        <v>22066</v>
      </c>
      <c r="B4198" s="1371" t="str">
        <f>HYPERLINK(IFERROR("#Main_Tariff!A"&amp;MATCH(Raeburn_Main_Tariff[[#This Row],[Product Code]],Main_Tariff!I:I,0),"#Main_Tariff!A"&amp;MATCH("*"&amp;RIGHT(A4198,8)&amp;"*",Main_Tariff!A:A,0)),Raeburn_Main_Tariff[[#This Row],[PRODUCER]])</f>
        <v>Podere Il Carnasciale</v>
      </c>
      <c r="C4198" s="1178" t="s">
        <v>22069</v>
      </c>
      <c r="D4198" s="1178" t="s">
        <v>897</v>
      </c>
      <c r="E4198" s="1179">
        <v>2020</v>
      </c>
      <c r="F4198" s="1282" t="s">
        <v>20220</v>
      </c>
      <c r="G4198" s="1368">
        <v>93.25</v>
      </c>
      <c r="H4198" s="1178" t="s">
        <v>20221</v>
      </c>
      <c r="I4198" s="1178" t="s">
        <v>12969</v>
      </c>
      <c r="J4198" s="1178" t="s">
        <v>668</v>
      </c>
      <c r="K4198" s="1178" t="s">
        <v>425</v>
      </c>
      <c r="L4198" s="1178" t="s">
        <v>426</v>
      </c>
      <c r="M4198" s="1369"/>
      <c r="N4198" s="1178"/>
      <c r="O4198" s="1178">
        <v>6</v>
      </c>
      <c r="P4198" s="1178">
        <v>13.5</v>
      </c>
    </row>
    <row r="4199" spans="1:16">
      <c r="A4199" s="1178" t="s">
        <v>22066</v>
      </c>
      <c r="B4199" s="1371" t="str">
        <f>HYPERLINK(IFERROR("#Main_Tariff!A"&amp;MATCH(Raeburn_Main_Tariff[[#This Row],[Product Code]],Main_Tariff!I:I,0),"#Main_Tariff!A"&amp;MATCH("*"&amp;RIGHT(A4199,8)&amp;"*",Main_Tariff!A:A,0)),Raeburn_Main_Tariff[[#This Row],[PRODUCER]])</f>
        <v>Podere Il Carnasciale</v>
      </c>
      <c r="C4199" s="1178" t="s">
        <v>22069</v>
      </c>
      <c r="D4199" s="1178" t="s">
        <v>897</v>
      </c>
      <c r="E4199" s="1179">
        <v>2019</v>
      </c>
      <c r="F4199" s="1282" t="s">
        <v>20220</v>
      </c>
      <c r="G4199" s="1368">
        <v>93.25</v>
      </c>
      <c r="H4199" s="1178" t="s">
        <v>20224</v>
      </c>
      <c r="I4199" s="1178" t="s">
        <v>12971</v>
      </c>
      <c r="J4199" s="1178" t="s">
        <v>668</v>
      </c>
      <c r="K4199" s="1178" t="s">
        <v>425</v>
      </c>
      <c r="L4199" s="1178" t="s">
        <v>426</v>
      </c>
      <c r="M4199" s="1369"/>
      <c r="N4199" s="1178"/>
      <c r="O4199" s="1178">
        <v>6</v>
      </c>
      <c r="P4199" s="1178">
        <v>13.5</v>
      </c>
    </row>
    <row r="4200" spans="1:16">
      <c r="A4200" s="1178" t="s">
        <v>22066</v>
      </c>
      <c r="B4200" s="1371" t="str">
        <f>HYPERLINK(IFERROR("#Main_Tariff!A"&amp;MATCH(Raeburn_Main_Tariff[[#This Row],[Product Code]],Main_Tariff!I:I,0),"#Main_Tariff!A"&amp;MATCH("*"&amp;RIGHT(A4200,8)&amp;"*",Main_Tariff!A:A,0)),Raeburn_Main_Tariff[[#This Row],[PRODUCER]])</f>
        <v>Podere Il Carnasciale</v>
      </c>
      <c r="C4200" s="1178" t="s">
        <v>22069</v>
      </c>
      <c r="D4200" s="1178" t="s">
        <v>897</v>
      </c>
      <c r="E4200" s="1179">
        <v>2018</v>
      </c>
      <c r="F4200" s="1282" t="s">
        <v>20220</v>
      </c>
      <c r="G4200" s="1368" t="s">
        <v>5258</v>
      </c>
      <c r="H4200" s="1178" t="s">
        <v>20224</v>
      </c>
      <c r="I4200" s="1178" t="s">
        <v>12973</v>
      </c>
      <c r="J4200" s="1178" t="s">
        <v>668</v>
      </c>
      <c r="K4200" s="1178" t="s">
        <v>425</v>
      </c>
      <c r="L4200" s="1178" t="s">
        <v>426</v>
      </c>
      <c r="M4200" s="1369"/>
      <c r="N4200" s="1178"/>
      <c r="O4200" s="1178">
        <v>6</v>
      </c>
      <c r="P4200" s="1178">
        <v>13</v>
      </c>
    </row>
    <row r="4201" spans="1:16">
      <c r="A4201" s="1178" t="s">
        <v>22066</v>
      </c>
      <c r="B4201" s="1371" t="str">
        <f>HYPERLINK(IFERROR("#Main_Tariff!A"&amp;MATCH(Raeburn_Main_Tariff[[#This Row],[Product Code]],Main_Tariff!I:I,0),"#Main_Tariff!A"&amp;MATCH("*"&amp;RIGHT(A4201,8)&amp;"*",Main_Tariff!A:A,0)),Raeburn_Main_Tariff[[#This Row],[PRODUCER]])</f>
        <v>Podere Il Carnasciale</v>
      </c>
      <c r="C4201" s="1178" t="s">
        <v>22069</v>
      </c>
      <c r="D4201" s="1178" t="s">
        <v>897</v>
      </c>
      <c r="E4201" s="1179">
        <v>2017</v>
      </c>
      <c r="F4201" s="1282" t="s">
        <v>20220</v>
      </c>
      <c r="G4201" s="1368">
        <v>90</v>
      </c>
      <c r="H4201" s="1178" t="s">
        <v>20221</v>
      </c>
      <c r="I4201" s="1178" t="s">
        <v>12975</v>
      </c>
      <c r="J4201" s="1178" t="s">
        <v>668</v>
      </c>
      <c r="K4201" s="1178" t="s">
        <v>425</v>
      </c>
      <c r="L4201" s="1178" t="s">
        <v>426</v>
      </c>
      <c r="M4201" s="1369"/>
      <c r="N4201" s="1178"/>
      <c r="O4201" s="1178">
        <v>6</v>
      </c>
      <c r="P4201" s="1178">
        <v>13</v>
      </c>
    </row>
    <row r="4202" spans="1:16">
      <c r="A4202" s="1178" t="s">
        <v>22066</v>
      </c>
      <c r="B4202" s="1371" t="str">
        <f>HYPERLINK(IFERROR("#Main_Tariff!A"&amp;MATCH(Raeburn_Main_Tariff[[#This Row],[Product Code]],Main_Tariff!I:I,0),"#Main_Tariff!A"&amp;MATCH("*"&amp;RIGHT(A4202,8)&amp;"*",Main_Tariff!A:A,0)),Raeburn_Main_Tariff[[#This Row],[PRODUCER]])</f>
        <v>Podere Il Carnasciale</v>
      </c>
      <c r="C4202" s="1178" t="s">
        <v>22069</v>
      </c>
      <c r="D4202" s="1178" t="s">
        <v>897</v>
      </c>
      <c r="E4202" s="1179">
        <v>2015</v>
      </c>
      <c r="F4202" s="1282" t="s">
        <v>20220</v>
      </c>
      <c r="G4202" s="1368">
        <v>90</v>
      </c>
      <c r="H4202" s="1178" t="s">
        <v>20221</v>
      </c>
      <c r="I4202" s="1178" t="s">
        <v>12977</v>
      </c>
      <c r="J4202" s="1178" t="s">
        <v>668</v>
      </c>
      <c r="K4202" s="1178" t="s">
        <v>425</v>
      </c>
      <c r="L4202" s="1178" t="s">
        <v>426</v>
      </c>
      <c r="M4202" s="1369"/>
      <c r="N4202" s="1178"/>
      <c r="O4202" s="1178">
        <v>6</v>
      </c>
      <c r="P4202" s="1178">
        <v>13.5</v>
      </c>
    </row>
    <row r="4203" spans="1:16">
      <c r="A4203" s="1178" t="s">
        <v>22066</v>
      </c>
      <c r="B4203" s="1371" t="str">
        <f>HYPERLINK(IFERROR("#Main_Tariff!A"&amp;MATCH(Raeburn_Main_Tariff[[#This Row],[Product Code]],Main_Tariff!I:I,0),"#Main_Tariff!A"&amp;MATCH("*"&amp;RIGHT(A4203,8)&amp;"*",Main_Tariff!A:A,0)),Raeburn_Main_Tariff[[#This Row],[PRODUCER]])</f>
        <v>Podere Il Carnasciale</v>
      </c>
      <c r="C4203" s="1178" t="s">
        <v>22069</v>
      </c>
      <c r="D4203" s="1178" t="s">
        <v>897</v>
      </c>
      <c r="E4203" s="1179">
        <v>2014</v>
      </c>
      <c r="F4203" s="1282" t="s">
        <v>20220</v>
      </c>
      <c r="G4203" s="1368">
        <v>89</v>
      </c>
      <c r="H4203" s="1178" t="s">
        <v>20221</v>
      </c>
      <c r="I4203" s="1178" t="s">
        <v>12979</v>
      </c>
      <c r="J4203" s="1178" t="s">
        <v>668</v>
      </c>
      <c r="K4203" s="1178" t="s">
        <v>425</v>
      </c>
      <c r="L4203" s="1178" t="s">
        <v>426</v>
      </c>
      <c r="M4203" s="1369"/>
      <c r="N4203" s="1178"/>
      <c r="O4203" s="1178">
        <v>6</v>
      </c>
      <c r="P4203" s="1178">
        <v>13</v>
      </c>
    </row>
    <row r="4204" spans="1:16">
      <c r="A4204" s="1178" t="s">
        <v>22066</v>
      </c>
      <c r="B4204" s="1371" t="str">
        <f>HYPERLINK(IFERROR("#Main_Tariff!A"&amp;MATCH(Raeburn_Main_Tariff[[#This Row],[Product Code]],Main_Tariff!I:I,0),"#Main_Tariff!A"&amp;MATCH("*"&amp;RIGHT(A4204,8)&amp;"*",Main_Tariff!A:A,0)),Raeburn_Main_Tariff[[#This Row],[PRODUCER]])</f>
        <v>Podere Il Carnasciale</v>
      </c>
      <c r="C4204" s="1178" t="s">
        <v>22069</v>
      </c>
      <c r="D4204" s="1178" t="s">
        <v>897</v>
      </c>
      <c r="E4204" s="1179">
        <v>2013</v>
      </c>
      <c r="F4204" s="1282" t="s">
        <v>20220</v>
      </c>
      <c r="G4204" s="1368">
        <v>90</v>
      </c>
      <c r="H4204" s="1178" t="s">
        <v>20224</v>
      </c>
      <c r="I4204" s="1178" t="s">
        <v>12981</v>
      </c>
      <c r="J4204" s="1178" t="s">
        <v>668</v>
      </c>
      <c r="K4204" s="1178" t="s">
        <v>425</v>
      </c>
      <c r="L4204" s="1178" t="s">
        <v>426</v>
      </c>
      <c r="M4204" s="1369"/>
      <c r="N4204" s="1178"/>
      <c r="O4204" s="1178">
        <v>6</v>
      </c>
      <c r="P4204" s="1178">
        <v>13</v>
      </c>
    </row>
    <row r="4205" spans="1:16">
      <c r="A4205" s="1178" t="s">
        <v>22066</v>
      </c>
      <c r="B4205" s="1371" t="str">
        <f>HYPERLINK(IFERROR("#Main_Tariff!A"&amp;MATCH(Raeburn_Main_Tariff[[#This Row],[Product Code]],Main_Tariff!I:I,0),"#Main_Tariff!A"&amp;MATCH("*"&amp;RIGHT(A4205,8)&amp;"*",Main_Tariff!A:A,0)),Raeburn_Main_Tariff[[#This Row],[PRODUCER]])</f>
        <v>Podere Il Carnasciale</v>
      </c>
      <c r="C4205" s="1178" t="s">
        <v>22070</v>
      </c>
      <c r="D4205" s="1178" t="s">
        <v>897</v>
      </c>
      <c r="E4205" s="1179">
        <v>2020</v>
      </c>
      <c r="F4205" s="1282" t="s">
        <v>20240</v>
      </c>
      <c r="G4205" s="1368">
        <v>179.5</v>
      </c>
      <c r="H4205" s="1178" t="s">
        <v>20221</v>
      </c>
      <c r="I4205" s="1178" t="s">
        <v>12984</v>
      </c>
      <c r="J4205" s="1178" t="s">
        <v>668</v>
      </c>
      <c r="K4205" s="1178" t="s">
        <v>425</v>
      </c>
      <c r="L4205" s="1178" t="s">
        <v>426</v>
      </c>
      <c r="M4205" s="1369"/>
      <c r="N4205" s="1178"/>
      <c r="O4205" s="1178">
        <v>3</v>
      </c>
      <c r="P4205" s="1178">
        <v>13.5</v>
      </c>
    </row>
    <row r="4206" spans="1:16">
      <c r="A4206" s="1178" t="s">
        <v>22066</v>
      </c>
      <c r="B4206" s="1371" t="str">
        <f>HYPERLINK(IFERROR("#Main_Tariff!A"&amp;MATCH(Raeburn_Main_Tariff[[#This Row],[Product Code]],Main_Tariff!I:I,0),"#Main_Tariff!A"&amp;MATCH("*"&amp;RIGHT(A4206,8)&amp;"*",Main_Tariff!A:A,0)),Raeburn_Main_Tariff[[#This Row],[PRODUCER]])</f>
        <v>Podere Il Carnasciale</v>
      </c>
      <c r="C4206" s="1178" t="s">
        <v>22070</v>
      </c>
      <c r="D4206" s="1178" t="s">
        <v>897</v>
      </c>
      <c r="E4206" s="1179">
        <v>2019</v>
      </c>
      <c r="F4206" s="1282" t="s">
        <v>20240</v>
      </c>
      <c r="G4206" s="1368">
        <v>179.5</v>
      </c>
      <c r="H4206" s="1178" t="s">
        <v>20221</v>
      </c>
      <c r="I4206" s="1178" t="s">
        <v>12986</v>
      </c>
      <c r="J4206" s="1178" t="s">
        <v>668</v>
      </c>
      <c r="K4206" s="1178" t="s">
        <v>425</v>
      </c>
      <c r="L4206" s="1178" t="s">
        <v>426</v>
      </c>
      <c r="M4206" s="1369"/>
      <c r="N4206" s="1178"/>
      <c r="O4206" s="1178">
        <v>3</v>
      </c>
      <c r="P4206" s="1178">
        <v>13.5</v>
      </c>
    </row>
    <row r="4207" spans="1:16">
      <c r="A4207" s="1178" t="s">
        <v>22066</v>
      </c>
      <c r="B4207" s="1371" t="str">
        <f>HYPERLINK(IFERROR("#Main_Tariff!A"&amp;MATCH(Raeburn_Main_Tariff[[#This Row],[Product Code]],Main_Tariff!I:I,0),"#Main_Tariff!A"&amp;MATCH("*"&amp;RIGHT(A4207,8)&amp;"*",Main_Tariff!A:A,0)),Raeburn_Main_Tariff[[#This Row],[PRODUCER]])</f>
        <v>Podere Il Carnasciale</v>
      </c>
      <c r="C4207" s="1178" t="s">
        <v>22070</v>
      </c>
      <c r="D4207" s="1178" t="s">
        <v>897</v>
      </c>
      <c r="E4207" s="1179">
        <v>2017</v>
      </c>
      <c r="F4207" s="1282" t="s">
        <v>20240</v>
      </c>
      <c r="G4207" s="1368">
        <v>169</v>
      </c>
      <c r="H4207" s="1178" t="s">
        <v>20221</v>
      </c>
      <c r="I4207" s="1178" t="s">
        <v>12988</v>
      </c>
      <c r="J4207" s="1178" t="s">
        <v>668</v>
      </c>
      <c r="K4207" s="1178" t="s">
        <v>425</v>
      </c>
      <c r="L4207" s="1178" t="s">
        <v>426</v>
      </c>
      <c r="M4207" s="1369"/>
      <c r="N4207" s="1178"/>
      <c r="O4207" s="1178">
        <v>3</v>
      </c>
      <c r="P4207" s="1178">
        <v>13</v>
      </c>
    </row>
    <row r="4208" spans="1:16">
      <c r="A4208" s="1178" t="s">
        <v>22066</v>
      </c>
      <c r="B4208" s="1371" t="str">
        <f>HYPERLINK(IFERROR("#Main_Tariff!A"&amp;MATCH(Raeburn_Main_Tariff[[#This Row],[Product Code]],Main_Tariff!I:I,0),"#Main_Tariff!A"&amp;MATCH("*"&amp;RIGHT(A4208,8)&amp;"*",Main_Tariff!A:A,0)),Raeburn_Main_Tariff[[#This Row],[PRODUCER]])</f>
        <v>Podere Il Carnasciale</v>
      </c>
      <c r="C4208" s="1178" t="s">
        <v>22070</v>
      </c>
      <c r="D4208" s="1178" t="s">
        <v>897</v>
      </c>
      <c r="E4208" s="1179">
        <v>2015</v>
      </c>
      <c r="F4208" s="1282" t="s">
        <v>20240</v>
      </c>
      <c r="G4208" s="1368">
        <v>170.5</v>
      </c>
      <c r="H4208" s="1178" t="s">
        <v>20224</v>
      </c>
      <c r="I4208" s="1178" t="s">
        <v>12990</v>
      </c>
      <c r="J4208" s="1178" t="s">
        <v>668</v>
      </c>
      <c r="K4208" s="1178" t="s">
        <v>425</v>
      </c>
      <c r="L4208" s="1178" t="s">
        <v>426</v>
      </c>
      <c r="M4208" s="1369"/>
      <c r="N4208" s="1178"/>
      <c r="O4208" s="1178">
        <v>3</v>
      </c>
      <c r="P4208" s="1178">
        <v>13.5</v>
      </c>
    </row>
    <row r="4209" spans="1:16">
      <c r="A4209" s="1178" t="s">
        <v>22066</v>
      </c>
      <c r="B4209" s="1371" t="str">
        <f>HYPERLINK(IFERROR("#Main_Tariff!A"&amp;MATCH(Raeburn_Main_Tariff[[#This Row],[Product Code]],Main_Tariff!I:I,0),"#Main_Tariff!A"&amp;MATCH("*"&amp;RIGHT(A4209,8)&amp;"*",Main_Tariff!A:A,0)),Raeburn_Main_Tariff[[#This Row],[PRODUCER]])</f>
        <v>Podere Il Carnasciale</v>
      </c>
      <c r="C4209" s="1178" t="s">
        <v>22070</v>
      </c>
      <c r="D4209" s="1178" t="s">
        <v>897</v>
      </c>
      <c r="E4209" s="1179">
        <v>2014</v>
      </c>
      <c r="F4209" s="1282" t="s">
        <v>20240</v>
      </c>
      <c r="G4209" s="1368">
        <v>167</v>
      </c>
      <c r="H4209" s="1178" t="s">
        <v>20221</v>
      </c>
      <c r="I4209" s="1178" t="s">
        <v>12992</v>
      </c>
      <c r="J4209" s="1178" t="s">
        <v>668</v>
      </c>
      <c r="K4209" s="1178" t="s">
        <v>425</v>
      </c>
      <c r="L4209" s="1178" t="s">
        <v>426</v>
      </c>
      <c r="M4209" s="1369"/>
      <c r="N4209" s="1178"/>
      <c r="O4209" s="1178">
        <v>3</v>
      </c>
      <c r="P4209" s="1178">
        <v>13.5</v>
      </c>
    </row>
    <row r="4210" spans="1:16">
      <c r="A4210" s="1178" t="s">
        <v>22066</v>
      </c>
      <c r="B4210" s="1371" t="str">
        <f>HYPERLINK(IFERROR("#Main_Tariff!A"&amp;MATCH(Raeburn_Main_Tariff[[#This Row],[Product Code]],Main_Tariff!I:I,0),"#Main_Tariff!A"&amp;MATCH("*"&amp;RIGHT(A4210,8)&amp;"*",Main_Tariff!A:A,0)),Raeburn_Main_Tariff[[#This Row],[PRODUCER]])</f>
        <v>Podere Il Carnasciale</v>
      </c>
      <c r="C4210" s="1178" t="s">
        <v>22070</v>
      </c>
      <c r="D4210" s="1178" t="s">
        <v>897</v>
      </c>
      <c r="E4210" s="1179">
        <v>2013</v>
      </c>
      <c r="F4210" s="1282" t="s">
        <v>20240</v>
      </c>
      <c r="G4210" s="1368">
        <v>167</v>
      </c>
      <c r="H4210" s="1178" t="s">
        <v>20221</v>
      </c>
      <c r="I4210" s="1178" t="s">
        <v>12994</v>
      </c>
      <c r="J4210" s="1178" t="s">
        <v>668</v>
      </c>
      <c r="K4210" s="1178" t="s">
        <v>425</v>
      </c>
      <c r="L4210" s="1178" t="s">
        <v>426</v>
      </c>
      <c r="M4210" s="1369"/>
      <c r="N4210" s="1178"/>
      <c r="O4210" s="1178">
        <v>3</v>
      </c>
      <c r="P4210" s="1178">
        <v>13</v>
      </c>
    </row>
    <row r="4211" spans="1:16">
      <c r="A4211" s="1178" t="s">
        <v>22066</v>
      </c>
      <c r="B4211" s="1371" t="str">
        <f>HYPERLINK(IFERROR("#Main_Tariff!A"&amp;MATCH(Raeburn_Main_Tariff[[#This Row],[Product Code]],Main_Tariff!I:I,0),"#Main_Tariff!A"&amp;MATCH("*"&amp;RIGHT(A4211,8)&amp;"*",Main_Tariff!A:A,0)),Raeburn_Main_Tariff[[#This Row],[PRODUCER]])</f>
        <v>Podere Il Carnasciale</v>
      </c>
      <c r="C4211" s="1178" t="s">
        <v>22070</v>
      </c>
      <c r="D4211" s="1178" t="s">
        <v>897</v>
      </c>
      <c r="E4211" s="1179">
        <v>2012</v>
      </c>
      <c r="F4211" s="1282" t="s">
        <v>20240</v>
      </c>
      <c r="G4211" s="1368">
        <v>167</v>
      </c>
      <c r="H4211" s="1178" t="s">
        <v>20221</v>
      </c>
      <c r="I4211" s="1178" t="s">
        <v>12996</v>
      </c>
      <c r="J4211" s="1178" t="s">
        <v>668</v>
      </c>
      <c r="K4211" s="1178" t="s">
        <v>425</v>
      </c>
      <c r="L4211" s="1178" t="s">
        <v>426</v>
      </c>
      <c r="M4211" s="1369"/>
      <c r="N4211" s="1178"/>
      <c r="O4211" s="1178">
        <v>3</v>
      </c>
      <c r="P4211" s="1178">
        <v>13.5</v>
      </c>
    </row>
    <row r="4212" spans="1:16">
      <c r="A4212" s="1178" t="s">
        <v>22066</v>
      </c>
      <c r="B4212" s="1371" t="str">
        <f>HYPERLINK(IFERROR("#Main_Tariff!A"&amp;MATCH(Raeburn_Main_Tariff[[#This Row],[Product Code]],Main_Tariff!I:I,0),"#Main_Tariff!A"&amp;MATCH("*"&amp;RIGHT(A4212,8)&amp;"*",Main_Tariff!A:A,0)),Raeburn_Main_Tariff[[#This Row],[PRODUCER]])</f>
        <v>Podere Il Carnasciale</v>
      </c>
      <c r="C4212" s="1178" t="s">
        <v>22070</v>
      </c>
      <c r="D4212" s="1178" t="s">
        <v>897</v>
      </c>
      <c r="E4212" s="1179">
        <v>2011</v>
      </c>
      <c r="F4212" s="1282" t="s">
        <v>20240</v>
      </c>
      <c r="G4212" s="1368">
        <v>167</v>
      </c>
      <c r="H4212" s="1178" t="s">
        <v>20221</v>
      </c>
      <c r="I4212" s="1178" t="s">
        <v>12998</v>
      </c>
      <c r="J4212" s="1178" t="s">
        <v>668</v>
      </c>
      <c r="K4212" s="1178" t="s">
        <v>425</v>
      </c>
      <c r="L4212" s="1178" t="s">
        <v>426</v>
      </c>
      <c r="M4212" s="1369"/>
      <c r="N4212" s="1178"/>
      <c r="O4212" s="1178">
        <v>3</v>
      </c>
      <c r="P4212" s="1178">
        <v>15</v>
      </c>
    </row>
    <row r="4213" spans="1:16">
      <c r="A4213" s="1178" t="s">
        <v>22066</v>
      </c>
      <c r="B4213" s="1371" t="str">
        <f>HYPERLINK(IFERROR("#Main_Tariff!A"&amp;MATCH(Raeburn_Main_Tariff[[#This Row],[Product Code]],Main_Tariff!I:I,0),"#Main_Tariff!A"&amp;MATCH("*"&amp;RIGHT(A4213,8)&amp;"*",Main_Tariff!A:A,0)),Raeburn_Main_Tariff[[#This Row],[PRODUCER]])</f>
        <v>Podere Il Carnasciale</v>
      </c>
      <c r="C4213" s="1178" t="s">
        <v>22070</v>
      </c>
      <c r="D4213" s="1178" t="s">
        <v>897</v>
      </c>
      <c r="E4213" s="1179">
        <v>2010</v>
      </c>
      <c r="F4213" s="1282" t="s">
        <v>20240</v>
      </c>
      <c r="G4213" s="1368">
        <v>171.5</v>
      </c>
      <c r="H4213" s="1178" t="s">
        <v>20224</v>
      </c>
      <c r="I4213" s="1178" t="s">
        <v>13000</v>
      </c>
      <c r="J4213" s="1178" t="s">
        <v>668</v>
      </c>
      <c r="K4213" s="1178" t="s">
        <v>425</v>
      </c>
      <c r="L4213" s="1178" t="s">
        <v>426</v>
      </c>
      <c r="M4213" s="1369"/>
      <c r="N4213" s="1178"/>
      <c r="O4213" s="1178">
        <v>3</v>
      </c>
      <c r="P4213" s="1178">
        <v>15</v>
      </c>
    </row>
    <row r="4214" spans="1:16">
      <c r="A4214" s="1178" t="s">
        <v>22066</v>
      </c>
      <c r="B4214" s="1371" t="str">
        <f>HYPERLINK(IFERROR("#Main_Tariff!A"&amp;MATCH(Raeburn_Main_Tariff[[#This Row],[Product Code]],Main_Tariff!I:I,0),"#Main_Tariff!A"&amp;MATCH("*"&amp;RIGHT(A4214,8)&amp;"*",Main_Tariff!A:A,0)),Raeburn_Main_Tariff[[#This Row],[PRODUCER]])</f>
        <v>Podere Il Carnasciale</v>
      </c>
      <c r="C4214" s="1178" t="s">
        <v>22070</v>
      </c>
      <c r="D4214" s="1178" t="s">
        <v>897</v>
      </c>
      <c r="E4214" s="1179">
        <v>2009</v>
      </c>
      <c r="F4214" s="1282" t="s">
        <v>20240</v>
      </c>
      <c r="G4214" s="1368">
        <v>171.5</v>
      </c>
      <c r="H4214" s="1178" t="s">
        <v>20224</v>
      </c>
      <c r="I4214" s="1178" t="s">
        <v>13002</v>
      </c>
      <c r="J4214" s="1178" t="s">
        <v>668</v>
      </c>
      <c r="K4214" s="1178" t="s">
        <v>425</v>
      </c>
      <c r="L4214" s="1178" t="s">
        <v>426</v>
      </c>
      <c r="M4214" s="1369"/>
      <c r="N4214" s="1178"/>
      <c r="O4214" s="1178">
        <v>3</v>
      </c>
      <c r="P4214" s="1178">
        <v>13</v>
      </c>
    </row>
    <row r="4215" spans="1:16">
      <c r="A4215" s="1178" t="s">
        <v>22066</v>
      </c>
      <c r="B4215" s="1371" t="str">
        <f>HYPERLINK(IFERROR("#Main_Tariff!A"&amp;MATCH(Raeburn_Main_Tariff[[#This Row],[Product Code]],Main_Tariff!I:I,0),"#Main_Tariff!A"&amp;MATCH("*"&amp;RIGHT(A4215,8)&amp;"*",Main_Tariff!A:A,0)),Raeburn_Main_Tariff[[#This Row],[PRODUCER]])</f>
        <v>Podere Il Carnasciale</v>
      </c>
      <c r="C4215" s="1178" t="s">
        <v>22071</v>
      </c>
      <c r="D4215" s="1178" t="s">
        <v>897</v>
      </c>
      <c r="E4215" s="1179">
        <v>2019</v>
      </c>
      <c r="F4215" s="1282" t="s">
        <v>20240</v>
      </c>
      <c r="G4215" s="1368" t="s">
        <v>5258</v>
      </c>
      <c r="H4215" s="1178" t="s">
        <v>20224</v>
      </c>
      <c r="I4215" s="1178" t="s">
        <v>13005</v>
      </c>
      <c r="J4215" s="1178" t="s">
        <v>668</v>
      </c>
      <c r="K4215" s="1178" t="s">
        <v>425</v>
      </c>
      <c r="L4215" s="1178" t="s">
        <v>426</v>
      </c>
      <c r="M4215" s="1369"/>
      <c r="N4215" s="1178"/>
      <c r="O4215" s="1178">
        <v>1</v>
      </c>
      <c r="P4215" s="1178">
        <v>13.5</v>
      </c>
    </row>
    <row r="4216" spans="1:16">
      <c r="A4216" s="1178" t="s">
        <v>22066</v>
      </c>
      <c r="B4216" s="1371" t="str">
        <f>HYPERLINK(IFERROR("#Main_Tariff!A"&amp;MATCH(Raeburn_Main_Tariff[[#This Row],[Product Code]],Main_Tariff!I:I,0),"#Main_Tariff!A"&amp;MATCH("*"&amp;RIGHT(A4216,8)&amp;"*",Main_Tariff!A:A,0)),Raeburn_Main_Tariff[[#This Row],[PRODUCER]])</f>
        <v>Podere Il Carnasciale</v>
      </c>
      <c r="C4216" s="1178" t="s">
        <v>22071</v>
      </c>
      <c r="D4216" s="1178" t="s">
        <v>897</v>
      </c>
      <c r="E4216" s="1179">
        <v>2016</v>
      </c>
      <c r="F4216" s="1282" t="s">
        <v>20240</v>
      </c>
      <c r="G4216" s="1368" t="s">
        <v>5258</v>
      </c>
      <c r="H4216" s="1178" t="s">
        <v>20224</v>
      </c>
      <c r="I4216" s="1178" t="s">
        <v>13006</v>
      </c>
      <c r="J4216" s="1178" t="s">
        <v>668</v>
      </c>
      <c r="K4216" s="1178" t="s">
        <v>425</v>
      </c>
      <c r="L4216" s="1178" t="s">
        <v>426</v>
      </c>
      <c r="M4216" s="1369"/>
      <c r="N4216" s="1178"/>
      <c r="O4216" s="1178">
        <v>1</v>
      </c>
      <c r="P4216" s="1178">
        <v>13</v>
      </c>
    </row>
    <row r="4217" spans="1:16">
      <c r="A4217" s="1178" t="s">
        <v>22066</v>
      </c>
      <c r="B4217" s="1371" t="str">
        <f>HYPERLINK(IFERROR("#Main_Tariff!A"&amp;MATCH(Raeburn_Main_Tariff[[#This Row],[Product Code]],Main_Tariff!I:I,0),"#Main_Tariff!A"&amp;MATCH("*"&amp;RIGHT(A4217,8)&amp;"*",Main_Tariff!A:A,0)),Raeburn_Main_Tariff[[#This Row],[PRODUCER]])</f>
        <v>Podere Il Carnasciale</v>
      </c>
      <c r="C4217" s="1178" t="s">
        <v>22072</v>
      </c>
      <c r="D4217" s="1178" t="s">
        <v>897</v>
      </c>
      <c r="E4217" s="1179">
        <v>2020</v>
      </c>
      <c r="F4217" s="1282" t="s">
        <v>20288</v>
      </c>
      <c r="G4217" s="1368">
        <v>387</v>
      </c>
      <c r="H4217" s="1178" t="s">
        <v>20224</v>
      </c>
      <c r="I4217" s="1178" t="s">
        <v>13008</v>
      </c>
      <c r="J4217" s="1178" t="s">
        <v>668</v>
      </c>
      <c r="K4217" s="1178" t="s">
        <v>425</v>
      </c>
      <c r="L4217" s="1178" t="s">
        <v>426</v>
      </c>
      <c r="M4217" s="1369"/>
      <c r="N4217" s="1178"/>
      <c r="O4217" s="1178">
        <v>1</v>
      </c>
      <c r="P4217" s="1178">
        <v>13.5</v>
      </c>
    </row>
    <row r="4218" spans="1:16">
      <c r="A4218" s="1178" t="s">
        <v>22066</v>
      </c>
      <c r="B4218" s="1371" t="str">
        <f>HYPERLINK(IFERROR("#Main_Tariff!A"&amp;MATCH(Raeburn_Main_Tariff[[#This Row],[Product Code]],Main_Tariff!I:I,0),"#Main_Tariff!A"&amp;MATCH("*"&amp;RIGHT(A4218,8)&amp;"*",Main_Tariff!A:A,0)),Raeburn_Main_Tariff[[#This Row],[PRODUCER]])</f>
        <v>Podere Il Carnasciale</v>
      </c>
      <c r="C4218" s="1178" t="s">
        <v>22072</v>
      </c>
      <c r="D4218" s="1178" t="s">
        <v>897</v>
      </c>
      <c r="E4218" s="1179">
        <v>2019</v>
      </c>
      <c r="F4218" s="1282" t="s">
        <v>20288</v>
      </c>
      <c r="G4218" s="1368">
        <v>387</v>
      </c>
      <c r="H4218" s="1178" t="s">
        <v>20224</v>
      </c>
      <c r="I4218" s="1178" t="s">
        <v>13009</v>
      </c>
      <c r="J4218" s="1178" t="s">
        <v>668</v>
      </c>
      <c r="K4218" s="1178" t="s">
        <v>425</v>
      </c>
      <c r="L4218" s="1178" t="s">
        <v>426</v>
      </c>
      <c r="M4218" s="1369"/>
      <c r="N4218" s="1178"/>
      <c r="O4218" s="1178">
        <v>1</v>
      </c>
      <c r="P4218" s="1178">
        <v>13.5</v>
      </c>
    </row>
    <row r="4219" spans="1:16">
      <c r="A4219" s="1178" t="s">
        <v>22066</v>
      </c>
      <c r="B4219" s="1371" t="str">
        <f>HYPERLINK(IFERROR("#Main_Tariff!A"&amp;MATCH(Raeburn_Main_Tariff[[#This Row],[Product Code]],Main_Tariff!I:I,0),"#Main_Tariff!A"&amp;MATCH("*"&amp;RIGHT(A4219,8)&amp;"*",Main_Tariff!A:A,0)),Raeburn_Main_Tariff[[#This Row],[PRODUCER]])</f>
        <v>Podere Il Carnasciale</v>
      </c>
      <c r="C4219" s="1178" t="s">
        <v>22072</v>
      </c>
      <c r="D4219" s="1178" t="s">
        <v>897</v>
      </c>
      <c r="E4219" s="1179">
        <v>2017</v>
      </c>
      <c r="F4219" s="1282" t="s">
        <v>20288</v>
      </c>
      <c r="G4219" s="1368">
        <v>348</v>
      </c>
      <c r="H4219" s="1178" t="s">
        <v>20224</v>
      </c>
      <c r="I4219" s="1178" t="s">
        <v>13010</v>
      </c>
      <c r="J4219" s="1178" t="s">
        <v>668</v>
      </c>
      <c r="K4219" s="1178" t="s">
        <v>425</v>
      </c>
      <c r="L4219" s="1178" t="s">
        <v>426</v>
      </c>
      <c r="M4219" s="1369"/>
      <c r="N4219" s="1178"/>
      <c r="O4219" s="1178">
        <v>1</v>
      </c>
      <c r="P4219" s="1178">
        <v>13</v>
      </c>
    </row>
    <row r="4220" spans="1:16">
      <c r="A4220" s="1178" t="s">
        <v>22066</v>
      </c>
      <c r="B4220" s="1371" t="str">
        <f>HYPERLINK(IFERROR("#Main_Tariff!A"&amp;MATCH(Raeburn_Main_Tariff[[#This Row],[Product Code]],Main_Tariff!I:I,0),"#Main_Tariff!A"&amp;MATCH("*"&amp;RIGHT(A4220,8)&amp;"*",Main_Tariff!A:A,0)),Raeburn_Main_Tariff[[#This Row],[PRODUCER]])</f>
        <v>Podere Il Carnasciale</v>
      </c>
      <c r="C4220" s="1178" t="s">
        <v>22072</v>
      </c>
      <c r="D4220" s="1178" t="s">
        <v>897</v>
      </c>
      <c r="E4220" s="1179">
        <v>2016</v>
      </c>
      <c r="F4220" s="1282" t="s">
        <v>20288</v>
      </c>
      <c r="G4220" s="1368">
        <v>353</v>
      </c>
      <c r="H4220" s="1178" t="s">
        <v>20224</v>
      </c>
      <c r="I4220" s="1178" t="s">
        <v>13011</v>
      </c>
      <c r="J4220" s="1178" t="s">
        <v>668</v>
      </c>
      <c r="K4220" s="1178" t="s">
        <v>425</v>
      </c>
      <c r="L4220" s="1178" t="s">
        <v>426</v>
      </c>
      <c r="M4220" s="1369"/>
      <c r="N4220" s="1178"/>
      <c r="O4220" s="1178">
        <v>1</v>
      </c>
      <c r="P4220" s="1178">
        <v>13.5</v>
      </c>
    </row>
    <row r="4221" spans="1:16">
      <c r="A4221" s="1178" t="s">
        <v>22066</v>
      </c>
      <c r="B4221" s="1371" t="str">
        <f>HYPERLINK(IFERROR("#Main_Tariff!A"&amp;MATCH(Raeburn_Main_Tariff[[#This Row],[Product Code]],Main_Tariff!I:I,0),"#Main_Tariff!A"&amp;MATCH("*"&amp;RIGHT(A4221,8)&amp;"*",Main_Tariff!A:A,0)),Raeburn_Main_Tariff[[#This Row],[PRODUCER]])</f>
        <v>Podere Il Carnasciale</v>
      </c>
      <c r="C4221" s="1178" t="s">
        <v>22072</v>
      </c>
      <c r="D4221" s="1178" t="s">
        <v>897</v>
      </c>
      <c r="E4221" s="1179">
        <v>2015</v>
      </c>
      <c r="F4221" s="1282" t="s">
        <v>20288</v>
      </c>
      <c r="G4221" s="1368">
        <v>353</v>
      </c>
      <c r="H4221" s="1178" t="s">
        <v>20224</v>
      </c>
      <c r="I4221" s="1178" t="s">
        <v>13012</v>
      </c>
      <c r="J4221" s="1178" t="s">
        <v>668</v>
      </c>
      <c r="K4221" s="1178" t="s">
        <v>425</v>
      </c>
      <c r="L4221" s="1178" t="s">
        <v>426</v>
      </c>
      <c r="M4221" s="1369"/>
      <c r="N4221" s="1178"/>
      <c r="O4221" s="1178">
        <v>1</v>
      </c>
      <c r="P4221" s="1178">
        <v>13.5</v>
      </c>
    </row>
    <row r="4222" spans="1:16">
      <c r="A4222" s="1178" t="s">
        <v>22066</v>
      </c>
      <c r="B4222" s="1371" t="str">
        <f>HYPERLINK(IFERROR("#Main_Tariff!A"&amp;MATCH(Raeburn_Main_Tariff[[#This Row],[Product Code]],Main_Tariff!I:I,0),"#Main_Tariff!A"&amp;MATCH("*"&amp;RIGHT(A4222,8)&amp;"*",Main_Tariff!A:A,0)),Raeburn_Main_Tariff[[#This Row],[PRODUCER]])</f>
        <v>Podere Il Carnasciale</v>
      </c>
      <c r="C4222" s="1178" t="s">
        <v>22072</v>
      </c>
      <c r="D4222" s="1178" t="s">
        <v>897</v>
      </c>
      <c r="E4222" s="1179">
        <v>2014</v>
      </c>
      <c r="F4222" s="1282" t="s">
        <v>20288</v>
      </c>
      <c r="G4222" s="1368">
        <v>343</v>
      </c>
      <c r="H4222" s="1178" t="s">
        <v>20224</v>
      </c>
      <c r="I4222" s="1178" t="s">
        <v>13013</v>
      </c>
      <c r="J4222" s="1178" t="s">
        <v>668</v>
      </c>
      <c r="K4222" s="1178" t="s">
        <v>425</v>
      </c>
      <c r="L4222" s="1178" t="s">
        <v>426</v>
      </c>
      <c r="M4222" s="1369"/>
      <c r="N4222" s="1178"/>
      <c r="O4222" s="1178">
        <v>1</v>
      </c>
      <c r="P4222" s="1178">
        <v>13.5</v>
      </c>
    </row>
    <row r="4223" spans="1:16">
      <c r="A4223" s="1178" t="s">
        <v>22066</v>
      </c>
      <c r="B4223" s="1371" t="str">
        <f>HYPERLINK(IFERROR("#Main_Tariff!A"&amp;MATCH(Raeburn_Main_Tariff[[#This Row],[Product Code]],Main_Tariff!I:I,0),"#Main_Tariff!A"&amp;MATCH("*"&amp;RIGHT(A4223,8)&amp;"*",Main_Tariff!A:A,0)),Raeburn_Main_Tariff[[#This Row],[PRODUCER]])</f>
        <v>Podere Il Carnasciale</v>
      </c>
      <c r="C4223" s="1178" t="s">
        <v>22072</v>
      </c>
      <c r="D4223" s="1178" t="s">
        <v>897</v>
      </c>
      <c r="E4223" s="1179">
        <v>2013</v>
      </c>
      <c r="F4223" s="1282" t="s">
        <v>20288</v>
      </c>
      <c r="G4223" s="1368">
        <v>346</v>
      </c>
      <c r="H4223" s="1178" t="s">
        <v>20224</v>
      </c>
      <c r="I4223" s="1178" t="s">
        <v>13014</v>
      </c>
      <c r="J4223" s="1178" t="s">
        <v>668</v>
      </c>
      <c r="K4223" s="1178" t="s">
        <v>425</v>
      </c>
      <c r="L4223" s="1178" t="s">
        <v>426</v>
      </c>
      <c r="M4223" s="1369"/>
      <c r="N4223" s="1178"/>
      <c r="O4223" s="1178">
        <v>3</v>
      </c>
      <c r="P4223" s="1178">
        <v>13</v>
      </c>
    </row>
    <row r="4224" spans="1:16">
      <c r="A4224" s="1178" t="s">
        <v>22066</v>
      </c>
      <c r="B4224" s="1371" t="str">
        <f>HYPERLINK(IFERROR("#Main_Tariff!A"&amp;MATCH(Raeburn_Main_Tariff[[#This Row],[Product Code]],Main_Tariff!I:I,0),"#Main_Tariff!A"&amp;MATCH("*"&amp;RIGHT(A4224,8)&amp;"*",Main_Tariff!A:A,0)),Raeburn_Main_Tariff[[#This Row],[PRODUCER]])</f>
        <v>Podere Il Carnasciale</v>
      </c>
      <c r="C4224" s="1178" t="s">
        <v>22072</v>
      </c>
      <c r="D4224" s="1178" t="s">
        <v>897</v>
      </c>
      <c r="E4224" s="1179">
        <v>2012</v>
      </c>
      <c r="F4224" s="1282" t="s">
        <v>20288</v>
      </c>
      <c r="G4224" s="1368">
        <v>346</v>
      </c>
      <c r="H4224" s="1178" t="s">
        <v>20224</v>
      </c>
      <c r="I4224" s="1178" t="s">
        <v>13015</v>
      </c>
      <c r="J4224" s="1178" t="s">
        <v>668</v>
      </c>
      <c r="K4224" s="1178" t="s">
        <v>425</v>
      </c>
      <c r="L4224" s="1178" t="s">
        <v>426</v>
      </c>
      <c r="M4224" s="1369"/>
      <c r="N4224" s="1178"/>
      <c r="O4224" s="1178">
        <v>1</v>
      </c>
      <c r="P4224" s="1178">
        <v>13.5</v>
      </c>
    </row>
    <row r="4225" spans="1:16">
      <c r="A4225" s="1178" t="s">
        <v>22066</v>
      </c>
      <c r="B4225" s="1371" t="str">
        <f>HYPERLINK(IFERROR("#Main_Tariff!A"&amp;MATCH(Raeburn_Main_Tariff[[#This Row],[Product Code]],Main_Tariff!I:I,0),"#Main_Tariff!A"&amp;MATCH("*"&amp;RIGHT(A4225,8)&amp;"*",Main_Tariff!A:A,0)),Raeburn_Main_Tariff[[#This Row],[PRODUCER]])</f>
        <v>Podere Il Carnasciale</v>
      </c>
      <c r="C4225" s="1178" t="s">
        <v>22072</v>
      </c>
      <c r="D4225" s="1178" t="s">
        <v>897</v>
      </c>
      <c r="E4225" s="1179">
        <v>2011</v>
      </c>
      <c r="F4225" s="1282" t="s">
        <v>20288</v>
      </c>
      <c r="G4225" s="1368">
        <v>346</v>
      </c>
      <c r="H4225" s="1178" t="s">
        <v>20224</v>
      </c>
      <c r="I4225" s="1178" t="s">
        <v>13016</v>
      </c>
      <c r="J4225" s="1178" t="s">
        <v>668</v>
      </c>
      <c r="K4225" s="1178" t="s">
        <v>425</v>
      </c>
      <c r="L4225" s="1178" t="s">
        <v>426</v>
      </c>
      <c r="M4225" s="1369"/>
      <c r="N4225" s="1178"/>
      <c r="O4225" s="1178">
        <v>1</v>
      </c>
      <c r="P4225" s="1178">
        <v>15</v>
      </c>
    </row>
    <row r="4226" spans="1:16">
      <c r="A4226" s="1178" t="s">
        <v>429</v>
      </c>
      <c r="B4226" s="1371" t="str">
        <f>HYPERLINK(IFERROR("#Main_Tariff!A"&amp;MATCH(Raeburn_Main_Tariff[[#This Row],[Product Code]],Main_Tariff!I:I,0),"#Main_Tariff!A"&amp;MATCH("*"&amp;RIGHT(A4226,8)&amp;"*",Main_Tariff!A:A,0)),Raeburn_Main_Tariff[[#This Row],[PRODUCER]])</f>
        <v>Casale Falchini</v>
      </c>
      <c r="C4226" s="1178" t="s">
        <v>22073</v>
      </c>
      <c r="D4226" s="1178" t="s">
        <v>1129</v>
      </c>
      <c r="E4226" s="1179">
        <v>2022</v>
      </c>
      <c r="F4226" s="1282" t="s">
        <v>20220</v>
      </c>
      <c r="G4226" s="1368">
        <v>13.95</v>
      </c>
      <c r="H4226" s="1178" t="s">
        <v>20277</v>
      </c>
      <c r="I4226" s="1178" t="s">
        <v>13022</v>
      </c>
      <c r="J4226" s="1178" t="s">
        <v>668</v>
      </c>
      <c r="K4226" s="1178" t="s">
        <v>425</v>
      </c>
      <c r="L4226" s="1178" t="s">
        <v>428</v>
      </c>
      <c r="M4226" s="1369"/>
      <c r="N4226" s="1178"/>
      <c r="O4226" s="1178">
        <v>12</v>
      </c>
      <c r="P4226" s="1178">
        <v>13.5</v>
      </c>
    </row>
    <row r="4227" spans="1:16">
      <c r="A4227" s="1178" t="s">
        <v>429</v>
      </c>
      <c r="B4227" s="1371" t="str">
        <f>HYPERLINK(IFERROR("#Main_Tariff!A"&amp;MATCH(Raeburn_Main_Tariff[[#This Row],[Product Code]],Main_Tariff!I:I,0),"#Main_Tariff!A"&amp;MATCH("*"&amp;RIGHT(A4227,8)&amp;"*",Main_Tariff!A:A,0)),Raeburn_Main_Tariff[[#This Row],[PRODUCER]])</f>
        <v>Casale Falchini</v>
      </c>
      <c r="C4227" s="1178" t="s">
        <v>22074</v>
      </c>
      <c r="D4227" s="1178" t="s">
        <v>1129</v>
      </c>
      <c r="E4227" s="1179">
        <v>2012</v>
      </c>
      <c r="F4227" s="1282" t="s">
        <v>20220</v>
      </c>
      <c r="G4227" s="1368">
        <v>19.95</v>
      </c>
      <c r="H4227" s="1178" t="s">
        <v>20221</v>
      </c>
      <c r="I4227" s="1178" t="s">
        <v>13026</v>
      </c>
      <c r="J4227" s="1178" t="s">
        <v>668</v>
      </c>
      <c r="K4227" s="1178" t="s">
        <v>425</v>
      </c>
      <c r="L4227" s="1178" t="s">
        <v>428</v>
      </c>
      <c r="M4227" s="1369"/>
      <c r="N4227" s="1178"/>
      <c r="O4227" s="1178">
        <v>6</v>
      </c>
      <c r="P4227" s="1178">
        <v>13.5</v>
      </c>
    </row>
    <row r="4228" spans="1:16">
      <c r="A4228" s="1178" t="s">
        <v>429</v>
      </c>
      <c r="B4228" s="1371" t="str">
        <f>HYPERLINK(IFERROR("#Main_Tariff!A"&amp;MATCH(Raeburn_Main_Tariff[[#This Row],[Product Code]],Main_Tariff!I:I,0),"#Main_Tariff!A"&amp;MATCH("*"&amp;RIGHT(A4228,8)&amp;"*",Main_Tariff!A:A,0)),Raeburn_Main_Tariff[[#This Row],[PRODUCER]])</f>
        <v>Casale Falchini</v>
      </c>
      <c r="C4228" s="1178" t="s">
        <v>22074</v>
      </c>
      <c r="D4228" s="1178" t="s">
        <v>1129</v>
      </c>
      <c r="E4228" s="1179">
        <v>2011</v>
      </c>
      <c r="F4228" s="1282" t="s">
        <v>20220</v>
      </c>
      <c r="G4228" s="1368">
        <v>19.95</v>
      </c>
      <c r="H4228" s="1178" t="s">
        <v>20277</v>
      </c>
      <c r="I4228" s="1178" t="s">
        <v>13027</v>
      </c>
      <c r="J4228" s="1178" t="s">
        <v>668</v>
      </c>
      <c r="K4228" s="1178" t="s">
        <v>425</v>
      </c>
      <c r="L4228" s="1178" t="s">
        <v>428</v>
      </c>
      <c r="M4228" s="1369"/>
      <c r="N4228" s="1178"/>
      <c r="O4228" s="1178">
        <v>6</v>
      </c>
      <c r="P4228" s="1178">
        <v>14</v>
      </c>
    </row>
    <row r="4229" spans="1:16">
      <c r="A4229" s="1178" t="s">
        <v>429</v>
      </c>
      <c r="B4229" s="1371" t="str">
        <f>HYPERLINK(IFERROR("#Main_Tariff!A"&amp;MATCH(Raeburn_Main_Tariff[[#This Row],[Product Code]],Main_Tariff!I:I,0),"#Main_Tariff!A"&amp;MATCH("*"&amp;RIGHT(A4229,8)&amp;"*",Main_Tariff!A:A,0)),Raeburn_Main_Tariff[[#This Row],[PRODUCER]])</f>
        <v>Casale Falchini</v>
      </c>
      <c r="C4229" s="1178" t="s">
        <v>22075</v>
      </c>
      <c r="D4229" s="1178" t="s">
        <v>897</v>
      </c>
      <c r="E4229" s="1179">
        <v>2013</v>
      </c>
      <c r="F4229" s="1282" t="s">
        <v>20220</v>
      </c>
      <c r="G4229" s="1368">
        <v>29.5</v>
      </c>
      <c r="H4229" s="1178" t="s">
        <v>20221</v>
      </c>
      <c r="I4229" s="1178" t="s">
        <v>13030</v>
      </c>
      <c r="J4229" s="1178" t="s">
        <v>668</v>
      </c>
      <c r="K4229" s="1178" t="s">
        <v>425</v>
      </c>
      <c r="L4229" s="1178" t="s">
        <v>428</v>
      </c>
      <c r="M4229" s="1369"/>
      <c r="N4229" s="1178"/>
      <c r="O4229" s="1178">
        <v>6</v>
      </c>
      <c r="P4229" s="1178">
        <v>13.5</v>
      </c>
    </row>
    <row r="4230" spans="1:16">
      <c r="A4230" s="1178" t="s">
        <v>429</v>
      </c>
      <c r="B4230" s="1371" t="str">
        <f>HYPERLINK(IFERROR("#Main_Tariff!A"&amp;MATCH(Raeburn_Main_Tariff[[#This Row],[Product Code]],Main_Tariff!I:I,0),"#Main_Tariff!A"&amp;MATCH("*"&amp;RIGHT(A4230,8)&amp;"*",Main_Tariff!A:A,0)),Raeburn_Main_Tariff[[#This Row],[PRODUCER]])</f>
        <v>Casale Falchini</v>
      </c>
      <c r="C4230" s="1178" t="s">
        <v>22075</v>
      </c>
      <c r="D4230" s="1178" t="s">
        <v>897</v>
      </c>
      <c r="E4230" s="1179">
        <v>2007</v>
      </c>
      <c r="F4230" s="1282" t="s">
        <v>20220</v>
      </c>
      <c r="G4230" s="1368">
        <v>39.5</v>
      </c>
      <c r="H4230" s="1178" t="s">
        <v>20221</v>
      </c>
      <c r="I4230" s="1178" t="s">
        <v>13032</v>
      </c>
      <c r="J4230" s="1178" t="s">
        <v>668</v>
      </c>
      <c r="K4230" s="1178" t="s">
        <v>425</v>
      </c>
      <c r="L4230" s="1178" t="s">
        <v>428</v>
      </c>
      <c r="M4230" s="1369"/>
      <c r="N4230" s="1178"/>
      <c r="O4230" s="1178">
        <v>6</v>
      </c>
      <c r="P4230" s="1178">
        <v>13</v>
      </c>
    </row>
    <row r="4231" spans="1:16">
      <c r="A4231" s="1178" t="s">
        <v>429</v>
      </c>
      <c r="B4231" s="1371" t="str">
        <f>HYPERLINK(IFERROR("#Main_Tariff!A"&amp;MATCH(Raeburn_Main_Tariff[[#This Row],[Product Code]],Main_Tariff!I:I,0),"#Main_Tariff!A"&amp;MATCH("*"&amp;RIGHT(A4231,8)&amp;"*",Main_Tariff!A:A,0)),Raeburn_Main_Tariff[[#This Row],[PRODUCER]])</f>
        <v>Casale Falchini</v>
      </c>
      <c r="C4231" s="1178" t="s">
        <v>22076</v>
      </c>
      <c r="D4231" s="1178" t="s">
        <v>897</v>
      </c>
      <c r="E4231" s="1179">
        <v>2011</v>
      </c>
      <c r="F4231" s="1282" t="s">
        <v>20220</v>
      </c>
      <c r="G4231" s="1368">
        <v>40.5</v>
      </c>
      <c r="H4231" s="1178" t="s">
        <v>20221</v>
      </c>
      <c r="I4231" s="1178" t="s">
        <v>13034</v>
      </c>
      <c r="J4231" s="1178" t="s">
        <v>668</v>
      </c>
      <c r="K4231" s="1178" t="s">
        <v>425</v>
      </c>
      <c r="L4231" s="1178" t="s">
        <v>428</v>
      </c>
      <c r="M4231" s="1369"/>
      <c r="N4231" s="1178"/>
      <c r="O4231" s="1178">
        <v>6</v>
      </c>
      <c r="P4231" s="1178">
        <v>14</v>
      </c>
    </row>
    <row r="4232" spans="1:16">
      <c r="A4232" s="1178" t="s">
        <v>429</v>
      </c>
      <c r="B4232" s="1371" t="str">
        <f>HYPERLINK(IFERROR("#Main_Tariff!A"&amp;MATCH(Raeburn_Main_Tariff[[#This Row],[Product Code]],Main_Tariff!I:I,0),"#Main_Tariff!A"&amp;MATCH("*"&amp;RIGHT(A4232,8)&amp;"*",Main_Tariff!A:A,0)),Raeburn_Main_Tariff[[#This Row],[PRODUCER]])</f>
        <v>Casale Falchini</v>
      </c>
      <c r="C4232" s="1178" t="s">
        <v>22076</v>
      </c>
      <c r="D4232" s="1178" t="s">
        <v>897</v>
      </c>
      <c r="E4232" s="1179">
        <v>1999</v>
      </c>
      <c r="F4232" s="1282" t="s">
        <v>20220</v>
      </c>
      <c r="G4232" s="1368">
        <v>32</v>
      </c>
      <c r="H4232" s="1178" t="s">
        <v>20221</v>
      </c>
      <c r="I4232" s="1178" t="s">
        <v>13036</v>
      </c>
      <c r="J4232" s="1178" t="s">
        <v>668</v>
      </c>
      <c r="K4232" s="1178" t="s">
        <v>425</v>
      </c>
      <c r="L4232" s="1178" t="s">
        <v>428</v>
      </c>
      <c r="M4232" s="1369"/>
      <c r="N4232" s="1178"/>
      <c r="O4232" s="1178">
        <v>6</v>
      </c>
      <c r="P4232" s="1178">
        <v>13.5</v>
      </c>
    </row>
    <row r="4233" spans="1:16">
      <c r="A4233" s="1178" t="s">
        <v>429</v>
      </c>
      <c r="B4233" s="1371" t="str">
        <f>HYPERLINK(IFERROR("#Main_Tariff!A"&amp;MATCH(Raeburn_Main_Tariff[[#This Row],[Product Code]],Main_Tariff!I:I,0),"#Main_Tariff!A"&amp;MATCH("*"&amp;RIGHT(A4233,8)&amp;"*",Main_Tariff!A:A,0)),Raeburn_Main_Tariff[[#This Row],[PRODUCER]])</f>
        <v>Casale Falchini</v>
      </c>
      <c r="C4233" s="1178" t="s">
        <v>22076</v>
      </c>
      <c r="D4233" s="1178" t="s">
        <v>897</v>
      </c>
      <c r="E4233" s="1179">
        <v>1998</v>
      </c>
      <c r="F4233" s="1282" t="s">
        <v>20220</v>
      </c>
      <c r="G4233" s="1368">
        <v>32</v>
      </c>
      <c r="H4233" s="1178" t="s">
        <v>20224</v>
      </c>
      <c r="I4233" s="1178" t="s">
        <v>13038</v>
      </c>
      <c r="J4233" s="1178" t="s">
        <v>668</v>
      </c>
      <c r="K4233" s="1178" t="s">
        <v>425</v>
      </c>
      <c r="L4233" s="1178" t="s">
        <v>428</v>
      </c>
      <c r="M4233" s="1369"/>
      <c r="N4233" s="1178"/>
      <c r="O4233" s="1178">
        <v>6</v>
      </c>
      <c r="P4233" s="1178">
        <v>13.5</v>
      </c>
    </row>
    <row r="4234" spans="1:16">
      <c r="A4234" s="1178" t="s">
        <v>429</v>
      </c>
      <c r="B4234" s="1371" t="str">
        <f>HYPERLINK(IFERROR("#Main_Tariff!A"&amp;MATCH(Raeburn_Main_Tariff[[#This Row],[Product Code]],Main_Tariff!I:I,0),"#Main_Tariff!A"&amp;MATCH("*"&amp;RIGHT(A4234,8)&amp;"*",Main_Tariff!A:A,0)),Raeburn_Main_Tariff[[#This Row],[PRODUCER]])</f>
        <v>Casale Falchini</v>
      </c>
      <c r="C4234" s="1178" t="s">
        <v>22076</v>
      </c>
      <c r="D4234" s="1178" t="s">
        <v>897</v>
      </c>
      <c r="E4234" s="1179">
        <v>1996</v>
      </c>
      <c r="F4234" s="1282" t="s">
        <v>20220</v>
      </c>
      <c r="G4234" s="1368">
        <v>32.5</v>
      </c>
      <c r="H4234" s="1178" t="s">
        <v>20221</v>
      </c>
      <c r="I4234" s="1178" t="s">
        <v>13040</v>
      </c>
      <c r="J4234" s="1178" t="s">
        <v>668</v>
      </c>
      <c r="K4234" s="1178" t="s">
        <v>425</v>
      </c>
      <c r="L4234" s="1178" t="s">
        <v>428</v>
      </c>
      <c r="M4234" s="1369"/>
      <c r="N4234" s="1178"/>
      <c r="O4234" s="1178">
        <v>6</v>
      </c>
      <c r="P4234" s="1178">
        <v>12.5</v>
      </c>
    </row>
    <row r="4235" spans="1:16">
      <c r="A4235" s="1178" t="s">
        <v>429</v>
      </c>
      <c r="B4235" s="1371" t="str">
        <f>HYPERLINK(IFERROR("#Main_Tariff!A"&amp;MATCH(Raeburn_Main_Tariff[[#This Row],[Product Code]],Main_Tariff!I:I,0),"#Main_Tariff!A"&amp;MATCH("*"&amp;RIGHT(A4235,8)&amp;"*",Main_Tariff!A:A,0)),Raeburn_Main_Tariff[[#This Row],[PRODUCER]])</f>
        <v>Casale Falchini</v>
      </c>
      <c r="C4235" s="1178" t="s">
        <v>22077</v>
      </c>
      <c r="D4235" s="1178" t="s">
        <v>897</v>
      </c>
      <c r="E4235" s="1179">
        <v>2013</v>
      </c>
      <c r="F4235" s="1282" t="s">
        <v>20240</v>
      </c>
      <c r="G4235" s="1368">
        <v>67.5</v>
      </c>
      <c r="H4235" s="1178" t="s">
        <v>20221</v>
      </c>
      <c r="I4235" s="1178" t="s">
        <v>13044</v>
      </c>
      <c r="J4235" s="1178" t="s">
        <v>668</v>
      </c>
      <c r="K4235" s="1178" t="s">
        <v>425</v>
      </c>
      <c r="L4235" s="1178" t="s">
        <v>428</v>
      </c>
      <c r="M4235" s="1369"/>
      <c r="N4235" s="1178"/>
      <c r="O4235" s="1178">
        <v>1</v>
      </c>
      <c r="P4235" s="1178">
        <v>13.5</v>
      </c>
    </row>
    <row r="4236" spans="1:16">
      <c r="A4236" s="1178" t="s">
        <v>429</v>
      </c>
      <c r="B4236" s="1371" t="str">
        <f>HYPERLINK(IFERROR("#Main_Tariff!A"&amp;MATCH(Raeburn_Main_Tariff[[#This Row],[Product Code]],Main_Tariff!I:I,0),"#Main_Tariff!A"&amp;MATCH("*"&amp;RIGHT(A4236,8)&amp;"*",Main_Tariff!A:A,0)),Raeburn_Main_Tariff[[#This Row],[PRODUCER]])</f>
        <v>Casale Falchini</v>
      </c>
      <c r="C4236" s="1178" t="s">
        <v>22078</v>
      </c>
      <c r="D4236" s="1178" t="s">
        <v>897</v>
      </c>
      <c r="E4236" s="1179">
        <v>1996</v>
      </c>
      <c r="F4236" s="1282" t="s">
        <v>20240</v>
      </c>
      <c r="G4236" s="1368">
        <v>68.5</v>
      </c>
      <c r="H4236" s="1178" t="s">
        <v>20224</v>
      </c>
      <c r="I4236" s="1178" t="s">
        <v>13045</v>
      </c>
      <c r="J4236" s="1178" t="s">
        <v>668</v>
      </c>
      <c r="K4236" s="1178" t="s">
        <v>425</v>
      </c>
      <c r="L4236" s="1178" t="s">
        <v>428</v>
      </c>
      <c r="M4236" s="1369"/>
      <c r="N4236" s="1178"/>
      <c r="O4236" s="1178">
        <v>6</v>
      </c>
      <c r="P4236" s="1178">
        <v>12.5</v>
      </c>
    </row>
    <row r="4237" spans="1:16">
      <c r="A4237" s="1178" t="s">
        <v>22079</v>
      </c>
      <c r="B4237" s="1371" t="str">
        <f>HYPERLINK(IFERROR("#Main_Tariff!A"&amp;MATCH(Raeburn_Main_Tariff[[#This Row],[Product Code]],Main_Tariff!I:I,0),"#Main_Tariff!A"&amp;MATCH("*"&amp;RIGHT(A4237,8)&amp;"*",Main_Tariff!A:A,0)),Raeburn_Main_Tariff[[#This Row],[PRODUCER]])</f>
        <v>William Brogioni</v>
      </c>
      <c r="C4237" s="1178" t="s">
        <v>22080</v>
      </c>
      <c r="D4237" s="1178" t="s">
        <v>1410</v>
      </c>
      <c r="E4237" s="1179">
        <v>2019</v>
      </c>
      <c r="F4237" s="1282" t="s">
        <v>20313</v>
      </c>
      <c r="G4237" s="1368">
        <v>40</v>
      </c>
      <c r="H4237" s="1178" t="s">
        <v>20221</v>
      </c>
      <c r="I4237" s="1178" t="s">
        <v>13048</v>
      </c>
      <c r="J4237" s="1178" t="s">
        <v>668</v>
      </c>
      <c r="K4237" s="1178" t="s">
        <v>425</v>
      </c>
      <c r="L4237" s="1178" t="s">
        <v>428</v>
      </c>
      <c r="M4237" s="1369"/>
      <c r="N4237" s="1178"/>
      <c r="O4237" s="1178">
        <v>6</v>
      </c>
      <c r="P4237" s="1178">
        <v>17.5</v>
      </c>
    </row>
    <row r="4238" spans="1:16">
      <c r="A4238" s="1178" t="s">
        <v>22079</v>
      </c>
      <c r="B4238" s="1371" t="str">
        <f>HYPERLINK(IFERROR("#Main_Tariff!A"&amp;MATCH(Raeburn_Main_Tariff[[#This Row],[Product Code]],Main_Tariff!I:I,0),"#Main_Tariff!A"&amp;MATCH("*"&amp;RIGHT(A4238,8)&amp;"*",Main_Tariff!A:A,0)),Raeburn_Main_Tariff[[#This Row],[PRODUCER]])</f>
        <v>William Brogioni</v>
      </c>
      <c r="C4238" s="1178" t="s">
        <v>22081</v>
      </c>
      <c r="D4238" s="1178" t="s">
        <v>1410</v>
      </c>
      <c r="E4238" s="1179">
        <v>2017</v>
      </c>
      <c r="F4238" s="1282" t="s">
        <v>20313</v>
      </c>
      <c r="G4238" s="1368">
        <v>36.5</v>
      </c>
      <c r="H4238" s="1178" t="s">
        <v>20224</v>
      </c>
      <c r="I4238" s="1178" t="s">
        <v>13050</v>
      </c>
      <c r="J4238" s="1178" t="s">
        <v>668</v>
      </c>
      <c r="K4238" s="1178" t="s">
        <v>425</v>
      </c>
      <c r="L4238" s="1178" t="s">
        <v>428</v>
      </c>
      <c r="M4238" s="1369"/>
      <c r="N4238" s="1178"/>
      <c r="O4238" s="1178">
        <v>6</v>
      </c>
      <c r="P4238" s="1178">
        <v>15.5</v>
      </c>
    </row>
    <row r="4239" spans="1:16">
      <c r="A4239" s="1178" t="s">
        <v>22079</v>
      </c>
      <c r="B4239" s="1371" t="str">
        <f>HYPERLINK(IFERROR("#Main_Tariff!A"&amp;MATCH(Raeburn_Main_Tariff[[#This Row],[Product Code]],Main_Tariff!I:I,0),"#Main_Tariff!A"&amp;MATCH("*"&amp;RIGHT(A4239,8)&amp;"*",Main_Tariff!A:A,0)),Raeburn_Main_Tariff[[#This Row],[PRODUCER]])</f>
        <v>William Brogioni</v>
      </c>
      <c r="C4239" s="1178" t="s">
        <v>22081</v>
      </c>
      <c r="D4239" s="1178" t="s">
        <v>1410</v>
      </c>
      <c r="E4239" s="1179">
        <v>2016</v>
      </c>
      <c r="F4239" s="1282" t="s">
        <v>20313</v>
      </c>
      <c r="G4239" s="1368">
        <v>36.5</v>
      </c>
      <c r="H4239" s="1178" t="s">
        <v>20221</v>
      </c>
      <c r="I4239" s="1178" t="s">
        <v>13052</v>
      </c>
      <c r="J4239" s="1178" t="s">
        <v>668</v>
      </c>
      <c r="K4239" s="1178" t="s">
        <v>425</v>
      </c>
      <c r="L4239" s="1178" t="s">
        <v>428</v>
      </c>
      <c r="M4239" s="1369"/>
      <c r="N4239" s="1178"/>
      <c r="O4239" s="1178">
        <v>6</v>
      </c>
      <c r="P4239" s="1178">
        <v>15.5</v>
      </c>
    </row>
    <row r="4240" spans="1:16">
      <c r="A4240" s="1178" t="s">
        <v>22079</v>
      </c>
      <c r="B4240" s="1371" t="str">
        <f>HYPERLINK(IFERROR("#Main_Tariff!A"&amp;MATCH(Raeburn_Main_Tariff[[#This Row],[Product Code]],Main_Tariff!I:I,0),"#Main_Tariff!A"&amp;MATCH("*"&amp;RIGHT(A4240,8)&amp;"*",Main_Tariff!A:A,0)),Raeburn_Main_Tariff[[#This Row],[PRODUCER]])</f>
        <v>William Brogioni</v>
      </c>
      <c r="C4240" s="1178" t="s">
        <v>22081</v>
      </c>
      <c r="D4240" s="1178" t="s">
        <v>1410</v>
      </c>
      <c r="E4240" s="1179">
        <v>2015</v>
      </c>
      <c r="F4240" s="1282" t="s">
        <v>20313</v>
      </c>
      <c r="G4240" s="1368">
        <v>36.5</v>
      </c>
      <c r="H4240" s="1178" t="s">
        <v>20221</v>
      </c>
      <c r="I4240" s="1178" t="s">
        <v>13054</v>
      </c>
      <c r="J4240" s="1178" t="s">
        <v>668</v>
      </c>
      <c r="K4240" s="1178" t="s">
        <v>425</v>
      </c>
      <c r="L4240" s="1178" t="s">
        <v>428</v>
      </c>
      <c r="M4240" s="1369"/>
      <c r="N4240" s="1178"/>
      <c r="O4240" s="1178">
        <v>6</v>
      </c>
      <c r="P4240" s="1178">
        <v>15.5</v>
      </c>
    </row>
    <row r="4241" spans="1:16">
      <c r="A4241" s="1178" t="s">
        <v>22079</v>
      </c>
      <c r="B4241" s="1371" t="str">
        <f>HYPERLINK(IFERROR("#Main_Tariff!A"&amp;MATCH(Raeburn_Main_Tariff[[#This Row],[Product Code]],Main_Tariff!I:I,0),"#Main_Tariff!A"&amp;MATCH("*"&amp;RIGHT(A4241,8)&amp;"*",Main_Tariff!A:A,0)),Raeburn_Main_Tariff[[#This Row],[PRODUCER]])</f>
        <v>William Brogioni</v>
      </c>
      <c r="C4241" s="1178" t="s">
        <v>22081</v>
      </c>
      <c r="D4241" s="1178" t="s">
        <v>1410</v>
      </c>
      <c r="E4241" s="1179">
        <v>2014</v>
      </c>
      <c r="F4241" s="1282" t="s">
        <v>20313</v>
      </c>
      <c r="G4241" s="1368">
        <v>36.5</v>
      </c>
      <c r="H4241" s="1178" t="s">
        <v>20221</v>
      </c>
      <c r="I4241" s="1178" t="s">
        <v>13056</v>
      </c>
      <c r="J4241" s="1178" t="s">
        <v>668</v>
      </c>
      <c r="K4241" s="1178" t="s">
        <v>425</v>
      </c>
      <c r="L4241" s="1178" t="s">
        <v>428</v>
      </c>
      <c r="M4241" s="1369"/>
      <c r="N4241" s="1178"/>
      <c r="O4241" s="1178">
        <v>6</v>
      </c>
      <c r="P4241" s="1178">
        <v>15.5</v>
      </c>
    </row>
    <row r="4242" spans="1:16">
      <c r="A4242" s="1178" t="s">
        <v>22079</v>
      </c>
      <c r="B4242" s="1371" t="str">
        <f>HYPERLINK(IFERROR("#Main_Tariff!A"&amp;MATCH(Raeburn_Main_Tariff[[#This Row],[Product Code]],Main_Tariff!I:I,0),"#Main_Tariff!A"&amp;MATCH("*"&amp;RIGHT(A4242,8)&amp;"*",Main_Tariff!A:A,0)),Raeburn_Main_Tariff[[#This Row],[PRODUCER]])</f>
        <v>William Brogioni</v>
      </c>
      <c r="C4242" s="1178" t="s">
        <v>22082</v>
      </c>
      <c r="D4242" s="1178" t="s">
        <v>1410</v>
      </c>
      <c r="E4242" s="1179">
        <v>2012</v>
      </c>
      <c r="F4242" s="1282" t="s">
        <v>20313</v>
      </c>
      <c r="G4242" s="1368">
        <v>37.5</v>
      </c>
      <c r="H4242" s="1178" t="s">
        <v>20221</v>
      </c>
      <c r="I4242" s="1178" t="s">
        <v>13058</v>
      </c>
      <c r="J4242" s="1178" t="s">
        <v>668</v>
      </c>
      <c r="K4242" s="1178" t="s">
        <v>425</v>
      </c>
      <c r="L4242" s="1178" t="s">
        <v>428</v>
      </c>
      <c r="M4242" s="1369"/>
      <c r="N4242" s="1178"/>
      <c r="O4242" s="1178">
        <v>6</v>
      </c>
      <c r="P4242" s="1178">
        <v>16</v>
      </c>
    </row>
    <row r="4243" spans="1:16">
      <c r="A4243" s="1178" t="s">
        <v>22079</v>
      </c>
      <c r="B4243" s="1371" t="str">
        <f>HYPERLINK(IFERROR("#Main_Tariff!A"&amp;MATCH(Raeburn_Main_Tariff[[#This Row],[Product Code]],Main_Tariff!I:I,0),"#Main_Tariff!A"&amp;MATCH("*"&amp;RIGHT(A4243,8)&amp;"*",Main_Tariff!A:A,0)),Raeburn_Main_Tariff[[#This Row],[PRODUCER]])</f>
        <v>William Brogioni</v>
      </c>
      <c r="C4243" s="1178" t="s">
        <v>22083</v>
      </c>
      <c r="D4243" s="1178" t="s">
        <v>1410</v>
      </c>
      <c r="E4243" s="1179">
        <v>2018</v>
      </c>
      <c r="F4243" s="1282" t="s">
        <v>20313</v>
      </c>
      <c r="G4243" s="1368">
        <v>44.5</v>
      </c>
      <c r="H4243" s="1178" t="s">
        <v>20221</v>
      </c>
      <c r="I4243" s="1178" t="s">
        <v>13063</v>
      </c>
      <c r="J4243" s="1178" t="s">
        <v>668</v>
      </c>
      <c r="K4243" s="1178" t="s">
        <v>425</v>
      </c>
      <c r="L4243" s="1178" t="s">
        <v>428</v>
      </c>
      <c r="M4243" s="1369"/>
      <c r="N4243" s="1178"/>
      <c r="O4243" s="1178">
        <v>6</v>
      </c>
      <c r="P4243" s="1178">
        <v>15.5</v>
      </c>
    </row>
    <row r="4244" spans="1:16">
      <c r="A4244" s="1178" t="s">
        <v>22079</v>
      </c>
      <c r="B4244" s="1371" t="str">
        <f>HYPERLINK(IFERROR("#Main_Tariff!A"&amp;MATCH(Raeburn_Main_Tariff[[#This Row],[Product Code]],Main_Tariff!I:I,0),"#Main_Tariff!A"&amp;MATCH("*"&amp;RIGHT(A4244,8)&amp;"*",Main_Tariff!A:A,0)),Raeburn_Main_Tariff[[#This Row],[PRODUCER]])</f>
        <v>William Brogioni</v>
      </c>
      <c r="C4244" s="1178" t="s">
        <v>22084</v>
      </c>
      <c r="D4244" s="1178" t="s">
        <v>1410</v>
      </c>
      <c r="E4244" s="1179">
        <v>2012</v>
      </c>
      <c r="F4244" s="1282" t="s">
        <v>20313</v>
      </c>
      <c r="G4244" s="1368">
        <v>61.5</v>
      </c>
      <c r="H4244" s="1178" t="s">
        <v>20221</v>
      </c>
      <c r="I4244" s="1178" t="s">
        <v>13065</v>
      </c>
      <c r="J4244" s="1178" t="s">
        <v>668</v>
      </c>
      <c r="K4244" s="1178" t="s">
        <v>425</v>
      </c>
      <c r="L4244" s="1178" t="s">
        <v>428</v>
      </c>
      <c r="M4244" s="1369"/>
      <c r="N4244" s="1178"/>
      <c r="O4244" s="1178">
        <v>6</v>
      </c>
      <c r="P4244" s="1178">
        <v>16</v>
      </c>
    </row>
    <row r="4245" spans="1:16">
      <c r="A4245" s="1178" t="s">
        <v>22079</v>
      </c>
      <c r="B4245" s="1371" t="str">
        <f>HYPERLINK(IFERROR("#Main_Tariff!A"&amp;MATCH(Raeburn_Main_Tariff[[#This Row],[Product Code]],Main_Tariff!I:I,0),"#Main_Tariff!A"&amp;MATCH("*"&amp;RIGHT(A4245,8)&amp;"*",Main_Tariff!A:A,0)),Raeburn_Main_Tariff[[#This Row],[PRODUCER]])</f>
        <v>William Brogioni</v>
      </c>
      <c r="C4245" s="1178" t="s">
        <v>22084</v>
      </c>
      <c r="D4245" s="1178" t="s">
        <v>1410</v>
      </c>
      <c r="E4245" s="1179">
        <v>2011</v>
      </c>
      <c r="F4245" s="1282" t="s">
        <v>20313</v>
      </c>
      <c r="G4245" s="1368">
        <v>61.5</v>
      </c>
      <c r="H4245" s="1178" t="s">
        <v>20224</v>
      </c>
      <c r="I4245" s="1178" t="s">
        <v>13067</v>
      </c>
      <c r="J4245" s="1178" t="s">
        <v>668</v>
      </c>
      <c r="K4245" s="1178" t="s">
        <v>425</v>
      </c>
      <c r="L4245" s="1178" t="s">
        <v>428</v>
      </c>
      <c r="M4245" s="1369"/>
      <c r="N4245" s="1178"/>
      <c r="O4245" s="1178">
        <v>6</v>
      </c>
      <c r="P4245" s="1178">
        <v>16.5</v>
      </c>
    </row>
    <row r="4246" spans="1:16">
      <c r="A4246" s="1178" t="s">
        <v>432</v>
      </c>
      <c r="B4246" s="1371" t="str">
        <f>HYPERLINK(IFERROR("#Main_Tariff!A"&amp;MATCH(Raeburn_Main_Tariff[[#This Row],[Product Code]],Main_Tariff!I:I,0),"#Main_Tariff!A"&amp;MATCH("*"&amp;RIGHT(A4246,8)&amp;"*",Main_Tariff!A:A,0)),Raeburn_Main_Tariff[[#This Row],[PRODUCER]])</f>
        <v>Vigna Barbischio</v>
      </c>
      <c r="C4246" s="1178" t="s">
        <v>18748</v>
      </c>
      <c r="D4246" s="1178" t="s">
        <v>897</v>
      </c>
      <c r="E4246" s="1179">
        <v>2021</v>
      </c>
      <c r="F4246" s="1282" t="s">
        <v>20220</v>
      </c>
      <c r="G4246" s="1368">
        <v>25.5</v>
      </c>
      <c r="H4246" s="1178" t="s">
        <v>20221</v>
      </c>
      <c r="I4246" s="1178" t="s">
        <v>13072</v>
      </c>
      <c r="J4246" s="1178" t="s">
        <v>668</v>
      </c>
      <c r="K4246" s="1178" t="s">
        <v>425</v>
      </c>
      <c r="L4246" s="1178" t="s">
        <v>22085</v>
      </c>
      <c r="M4246" s="1369"/>
      <c r="N4246" s="1178" t="s">
        <v>20244</v>
      </c>
      <c r="O4246" s="1178">
        <v>6</v>
      </c>
      <c r="P4246" s="1178">
        <v>13.5</v>
      </c>
    </row>
    <row r="4247" spans="1:16">
      <c r="A4247" s="1178" t="s">
        <v>433</v>
      </c>
      <c r="B4247" s="1371" t="str">
        <f>HYPERLINK(IFERROR("#Main_Tariff!A"&amp;MATCH(Raeburn_Main_Tariff[[#This Row],[Product Code]],Main_Tariff!I:I,0),"#Main_Tariff!A"&amp;MATCH("*"&amp;RIGHT(A4247,8)&amp;"*",Main_Tariff!A:A,0)),Raeburn_Main_Tariff[[#This Row],[PRODUCER]])</f>
        <v>Villa del Cigliano</v>
      </c>
      <c r="C4247" s="1178" t="s">
        <v>22086</v>
      </c>
      <c r="D4247" s="1178" t="s">
        <v>897</v>
      </c>
      <c r="E4247" s="1179">
        <v>2016</v>
      </c>
      <c r="F4247" s="1282" t="s">
        <v>20220</v>
      </c>
      <c r="G4247" s="1368">
        <v>15.5</v>
      </c>
      <c r="H4247" s="1178" t="s">
        <v>20221</v>
      </c>
      <c r="I4247" s="1178" t="s">
        <v>13090</v>
      </c>
      <c r="J4247" s="1178" t="s">
        <v>668</v>
      </c>
      <c r="K4247" s="1178" t="s">
        <v>425</v>
      </c>
      <c r="L4247" s="1178" t="s">
        <v>22085</v>
      </c>
      <c r="M4247" s="1369"/>
      <c r="N4247" s="1178"/>
      <c r="O4247" s="1178">
        <v>6</v>
      </c>
      <c r="P4247" s="1178">
        <v>13</v>
      </c>
    </row>
    <row r="4248" spans="1:16">
      <c r="A4248" s="1178" t="s">
        <v>433</v>
      </c>
      <c r="B4248" s="1371" t="str">
        <f>HYPERLINK(IFERROR("#Main_Tariff!A"&amp;MATCH(Raeburn_Main_Tariff[[#This Row],[Product Code]],Main_Tariff!I:I,0),"#Main_Tariff!A"&amp;MATCH("*"&amp;RIGHT(A4248,8)&amp;"*",Main_Tariff!A:A,0)),Raeburn_Main_Tariff[[#This Row],[PRODUCER]])</f>
        <v>Villa del Cigliano</v>
      </c>
      <c r="C4248" s="1178" t="s">
        <v>22087</v>
      </c>
      <c r="D4248" s="1178" t="s">
        <v>897</v>
      </c>
      <c r="E4248" s="1179">
        <v>2013</v>
      </c>
      <c r="F4248" s="1282" t="s">
        <v>20240</v>
      </c>
      <c r="G4248" s="1368">
        <v>32</v>
      </c>
      <c r="H4248" s="1178" t="s">
        <v>20224</v>
      </c>
      <c r="I4248" s="1178" t="s">
        <v>13092</v>
      </c>
      <c r="J4248" s="1178" t="s">
        <v>668</v>
      </c>
      <c r="K4248" s="1178" t="s">
        <v>425</v>
      </c>
      <c r="L4248" s="1178" t="s">
        <v>22085</v>
      </c>
      <c r="M4248" s="1369"/>
      <c r="N4248" s="1178"/>
      <c r="O4248" s="1178">
        <v>6</v>
      </c>
      <c r="P4248" s="1178">
        <v>13.5</v>
      </c>
    </row>
    <row r="4249" spans="1:16">
      <c r="A4249" s="1178" t="s">
        <v>433</v>
      </c>
      <c r="B4249" s="1371" t="str">
        <f>HYPERLINK(IFERROR("#Main_Tariff!A"&amp;MATCH(Raeburn_Main_Tariff[[#This Row],[Product Code]],Main_Tariff!I:I,0),"#Main_Tariff!A"&amp;MATCH("*"&amp;RIGHT(A4249,8)&amp;"*",Main_Tariff!A:A,0)),Raeburn_Main_Tariff[[#This Row],[PRODUCER]])</f>
        <v>Villa del Cigliano</v>
      </c>
      <c r="C4249" s="1178" t="s">
        <v>22088</v>
      </c>
      <c r="D4249" s="1178" t="s">
        <v>897</v>
      </c>
      <c r="E4249" s="1179">
        <v>2013</v>
      </c>
      <c r="F4249" s="1282" t="s">
        <v>20220</v>
      </c>
      <c r="G4249" s="1368">
        <v>22.5</v>
      </c>
      <c r="H4249" s="1178" t="s">
        <v>20221</v>
      </c>
      <c r="I4249" s="1178" t="s">
        <v>13096</v>
      </c>
      <c r="J4249" s="1178" t="s">
        <v>668</v>
      </c>
      <c r="K4249" s="1178" t="s">
        <v>425</v>
      </c>
      <c r="L4249" s="1178" t="s">
        <v>22085</v>
      </c>
      <c r="M4249" s="1369"/>
      <c r="N4249" s="1178"/>
      <c r="O4249" s="1178">
        <v>6</v>
      </c>
      <c r="P4249" s="1178">
        <v>13.5</v>
      </c>
    </row>
    <row r="4250" spans="1:16">
      <c r="A4250" s="1178" t="s">
        <v>433</v>
      </c>
      <c r="B4250" s="1371" t="str">
        <f>HYPERLINK(IFERROR("#Main_Tariff!A"&amp;MATCH(Raeburn_Main_Tariff[[#This Row],[Product Code]],Main_Tariff!I:I,0),"#Main_Tariff!A"&amp;MATCH("*"&amp;RIGHT(A4250,8)&amp;"*",Main_Tariff!A:A,0)),Raeburn_Main_Tariff[[#This Row],[PRODUCER]])</f>
        <v>Villa del Cigliano</v>
      </c>
      <c r="C4250" s="1178" t="s">
        <v>22089</v>
      </c>
      <c r="D4250" s="1178" t="s">
        <v>897</v>
      </c>
      <c r="E4250" s="1179">
        <v>2012</v>
      </c>
      <c r="F4250" s="1282" t="s">
        <v>20240</v>
      </c>
      <c r="G4250" s="1368">
        <v>46</v>
      </c>
      <c r="H4250" s="1178" t="s">
        <v>20224</v>
      </c>
      <c r="I4250" s="1178" t="s">
        <v>13098</v>
      </c>
      <c r="J4250" s="1178" t="s">
        <v>668</v>
      </c>
      <c r="K4250" s="1178" t="s">
        <v>425</v>
      </c>
      <c r="L4250" s="1178" t="s">
        <v>22085</v>
      </c>
      <c r="M4250" s="1369"/>
      <c r="N4250" s="1178"/>
      <c r="O4250" s="1178">
        <v>6</v>
      </c>
      <c r="P4250" s="1178">
        <v>13.5</v>
      </c>
    </row>
    <row r="4251" spans="1:16">
      <c r="A4251" s="1178" t="s">
        <v>22090</v>
      </c>
      <c r="B4251" s="1371" t="str">
        <f>HYPERLINK(IFERROR("#Main_Tariff!A"&amp;MATCH(Raeburn_Main_Tariff[[#This Row],[Product Code]],Main_Tariff!I:I,0),"#Main_Tariff!A"&amp;MATCH("*"&amp;RIGHT(A4251,8)&amp;"*",Main_Tariff!A:A,0)),Raeburn_Main_Tariff[[#This Row],[PRODUCER]])</f>
        <v>Fattoria Montellori</v>
      </c>
      <c r="C4251" s="1178" t="s">
        <v>22091</v>
      </c>
      <c r="D4251" s="1178" t="s">
        <v>897</v>
      </c>
      <c r="E4251" s="1179">
        <v>2013</v>
      </c>
      <c r="F4251" s="1282" t="s">
        <v>20220</v>
      </c>
      <c r="G4251" s="1368">
        <v>13.5</v>
      </c>
      <c r="H4251" s="1178" t="s">
        <v>20221</v>
      </c>
      <c r="I4251" s="1178" t="s">
        <v>13106</v>
      </c>
      <c r="J4251" s="1178" t="s">
        <v>668</v>
      </c>
      <c r="K4251" s="1178" t="s">
        <v>425</v>
      </c>
      <c r="L4251" s="1178" t="s">
        <v>22085</v>
      </c>
      <c r="M4251" s="1369"/>
      <c r="N4251" s="1178"/>
      <c r="O4251" s="1178">
        <v>12</v>
      </c>
      <c r="P4251" s="1178">
        <v>13</v>
      </c>
    </row>
    <row r="4252" spans="1:16">
      <c r="A4252" s="1178" t="s">
        <v>435</v>
      </c>
      <c r="B4252" s="1371" t="str">
        <f>HYPERLINK(IFERROR("#Main_Tariff!A"&amp;MATCH(Raeburn_Main_Tariff[[#This Row],[Product Code]],Main_Tariff!I:I,0),"#Main_Tariff!A"&amp;MATCH("*"&amp;RIGHT(A4252,8)&amp;"*",Main_Tariff!A:A,0)),Raeburn_Main_Tariff[[#This Row],[PRODUCER]])</f>
        <v>La Porta di Vertine</v>
      </c>
      <c r="C4252" s="1178" t="s">
        <v>19000</v>
      </c>
      <c r="D4252" s="1178" t="s">
        <v>897</v>
      </c>
      <c r="E4252" s="1179">
        <v>2012</v>
      </c>
      <c r="F4252" s="1282" t="s">
        <v>20220</v>
      </c>
      <c r="G4252" s="1368">
        <v>18</v>
      </c>
      <c r="H4252" s="1178" t="s">
        <v>20221</v>
      </c>
      <c r="I4252" s="1178" t="s">
        <v>13118</v>
      </c>
      <c r="J4252" s="1178" t="s">
        <v>668</v>
      </c>
      <c r="K4252" s="1178" t="s">
        <v>425</v>
      </c>
      <c r="L4252" s="1178" t="s">
        <v>22085</v>
      </c>
      <c r="M4252" s="1369"/>
      <c r="N4252" s="1178"/>
      <c r="O4252" s="1178">
        <v>6</v>
      </c>
      <c r="P4252" s="1178">
        <v>13</v>
      </c>
    </row>
    <row r="4253" spans="1:16">
      <c r="A4253" s="1178" t="s">
        <v>435</v>
      </c>
      <c r="B4253" s="1371" t="str">
        <f>HYPERLINK(IFERROR("#Main_Tariff!A"&amp;MATCH(Raeburn_Main_Tariff[[#This Row],[Product Code]],Main_Tariff!I:I,0),"#Main_Tariff!A"&amp;MATCH("*"&amp;RIGHT(A4253,8)&amp;"*",Main_Tariff!A:A,0)),Raeburn_Main_Tariff[[#This Row],[PRODUCER]])</f>
        <v>La Porta di Vertine</v>
      </c>
      <c r="C4253" s="1178" t="s">
        <v>22092</v>
      </c>
      <c r="D4253" s="1178" t="s">
        <v>897</v>
      </c>
      <c r="E4253" s="1179">
        <v>2010</v>
      </c>
      <c r="F4253" s="1282" t="s">
        <v>20220</v>
      </c>
      <c r="G4253" s="1368">
        <v>27</v>
      </c>
      <c r="H4253" s="1178" t="s">
        <v>20221</v>
      </c>
      <c r="I4253" s="1178" t="s">
        <v>13120</v>
      </c>
      <c r="J4253" s="1178" t="s">
        <v>668</v>
      </c>
      <c r="K4253" s="1178" t="s">
        <v>425</v>
      </c>
      <c r="L4253" s="1178" t="s">
        <v>22085</v>
      </c>
      <c r="M4253" s="1369"/>
      <c r="N4253" s="1178"/>
      <c r="O4253" s="1178">
        <v>6</v>
      </c>
      <c r="P4253" s="1178">
        <v>14.5</v>
      </c>
    </row>
    <row r="4254" spans="1:16">
      <c r="A4254" s="1178" t="s">
        <v>435</v>
      </c>
      <c r="B4254" s="1371" t="str">
        <f>HYPERLINK(IFERROR("#Main_Tariff!A"&amp;MATCH(Raeburn_Main_Tariff[[#This Row],[Product Code]],Main_Tariff!I:I,0),"#Main_Tariff!A"&amp;MATCH("*"&amp;RIGHT(A4254,8)&amp;"*",Main_Tariff!A:A,0)),Raeburn_Main_Tariff[[#This Row],[PRODUCER]])</f>
        <v>La Porta di Vertine</v>
      </c>
      <c r="C4254" s="1178" t="s">
        <v>22093</v>
      </c>
      <c r="D4254" s="1178" t="s">
        <v>897</v>
      </c>
      <c r="E4254" s="1179">
        <v>2010</v>
      </c>
      <c r="F4254" s="1282" t="s">
        <v>20240</v>
      </c>
      <c r="G4254" s="1368">
        <v>65</v>
      </c>
      <c r="H4254" s="1178" t="s">
        <v>20224</v>
      </c>
      <c r="I4254" s="1178" t="s">
        <v>13122</v>
      </c>
      <c r="J4254" s="1178" t="s">
        <v>668</v>
      </c>
      <c r="K4254" s="1178" t="s">
        <v>425</v>
      </c>
      <c r="L4254" s="1178" t="s">
        <v>22085</v>
      </c>
      <c r="M4254" s="1369"/>
      <c r="N4254" s="1178"/>
      <c r="O4254" s="1178">
        <v>1</v>
      </c>
      <c r="P4254" s="1178">
        <v>14.5</v>
      </c>
    </row>
    <row r="4255" spans="1:16">
      <c r="A4255" s="1178" t="s">
        <v>435</v>
      </c>
      <c r="B4255" s="1371" t="str">
        <f>HYPERLINK(IFERROR("#Main_Tariff!A"&amp;MATCH(Raeburn_Main_Tariff[[#This Row],[Product Code]],Main_Tariff!I:I,0),"#Main_Tariff!A"&amp;MATCH("*"&amp;RIGHT(A4255,8)&amp;"*",Main_Tariff!A:A,0)),Raeburn_Main_Tariff[[#This Row],[PRODUCER]])</f>
        <v>La Porta di Vertine</v>
      </c>
      <c r="C4255" s="1178" t="s">
        <v>22093</v>
      </c>
      <c r="D4255" s="1178" t="s">
        <v>897</v>
      </c>
      <c r="E4255" s="1179">
        <v>2009</v>
      </c>
      <c r="F4255" s="1282" t="s">
        <v>20240</v>
      </c>
      <c r="G4255" s="1368">
        <v>65</v>
      </c>
      <c r="H4255" s="1178" t="s">
        <v>20224</v>
      </c>
      <c r="I4255" s="1178" t="s">
        <v>13124</v>
      </c>
      <c r="J4255" s="1178" t="s">
        <v>668</v>
      </c>
      <c r="K4255" s="1178" t="s">
        <v>425</v>
      </c>
      <c r="L4255" s="1178" t="s">
        <v>22085</v>
      </c>
      <c r="M4255" s="1369"/>
      <c r="N4255" s="1178"/>
      <c r="O4255" s="1178">
        <v>1</v>
      </c>
      <c r="P4255" s="1178">
        <v>14.5</v>
      </c>
    </row>
    <row r="4256" spans="1:16">
      <c r="A4256" s="1178" t="s">
        <v>435</v>
      </c>
      <c r="B4256" s="1371" t="str">
        <f>HYPERLINK(IFERROR("#Main_Tariff!A"&amp;MATCH(Raeburn_Main_Tariff[[#This Row],[Product Code]],Main_Tariff!I:I,0),"#Main_Tariff!A"&amp;MATCH("*"&amp;RIGHT(A4256,8)&amp;"*",Main_Tariff!A:A,0)),Raeburn_Main_Tariff[[#This Row],[PRODUCER]])</f>
        <v>La Porta di Vertine</v>
      </c>
      <c r="C4256" s="1178" t="s">
        <v>22094</v>
      </c>
      <c r="D4256" s="1178" t="s">
        <v>897</v>
      </c>
      <c r="E4256" s="1179">
        <v>2009</v>
      </c>
      <c r="F4256" s="1282" t="s">
        <v>20288</v>
      </c>
      <c r="G4256" s="1368">
        <v>125</v>
      </c>
      <c r="H4256" s="1178" t="s">
        <v>20224</v>
      </c>
      <c r="I4256" s="1178" t="s">
        <v>13126</v>
      </c>
      <c r="J4256" s="1178" t="s">
        <v>668</v>
      </c>
      <c r="K4256" s="1178" t="s">
        <v>425</v>
      </c>
      <c r="L4256" s="1178" t="s">
        <v>22085</v>
      </c>
      <c r="M4256" s="1369"/>
      <c r="N4256" s="1178"/>
      <c r="O4256" s="1178">
        <v>1</v>
      </c>
      <c r="P4256" s="1178">
        <v>14.5</v>
      </c>
    </row>
    <row r="4257" spans="1:16">
      <c r="A4257" s="1178" t="s">
        <v>435</v>
      </c>
      <c r="B4257" s="1371" t="str">
        <f>HYPERLINK(IFERROR("#Main_Tariff!A"&amp;MATCH(Raeburn_Main_Tariff[[#This Row],[Product Code]],Main_Tariff!I:I,0),"#Main_Tariff!A"&amp;MATCH("*"&amp;RIGHT(A4257,8)&amp;"*",Main_Tariff!A:A,0)),Raeburn_Main_Tariff[[#This Row],[PRODUCER]])</f>
        <v>La Porta di Vertine</v>
      </c>
      <c r="C4257" s="1178" t="s">
        <v>22095</v>
      </c>
      <c r="D4257" s="1178" t="s">
        <v>897</v>
      </c>
      <c r="E4257" s="1179">
        <v>2013</v>
      </c>
      <c r="F4257" s="1282" t="s">
        <v>20220</v>
      </c>
      <c r="G4257" s="1368">
        <v>39.5</v>
      </c>
      <c r="H4257" s="1178" t="s">
        <v>20221</v>
      </c>
      <c r="I4257" s="1178" t="s">
        <v>13129</v>
      </c>
      <c r="J4257" s="1178" t="s">
        <v>668</v>
      </c>
      <c r="K4257" s="1178" t="s">
        <v>425</v>
      </c>
      <c r="L4257" s="1178" t="s">
        <v>22085</v>
      </c>
      <c r="M4257" s="1369"/>
      <c r="N4257" s="1178"/>
      <c r="O4257" s="1178">
        <v>6</v>
      </c>
      <c r="P4257" s="1178">
        <v>13.5</v>
      </c>
    </row>
    <row r="4258" spans="1:16">
      <c r="A4258" s="1178" t="s">
        <v>435</v>
      </c>
      <c r="B4258" s="1371" t="str">
        <f>HYPERLINK(IFERROR("#Main_Tariff!A"&amp;MATCH(Raeburn_Main_Tariff[[#This Row],[Product Code]],Main_Tariff!I:I,0),"#Main_Tariff!A"&amp;MATCH("*"&amp;RIGHT(A4258,8)&amp;"*",Main_Tariff!A:A,0)),Raeburn_Main_Tariff[[#This Row],[PRODUCER]])</f>
        <v>La Porta di Vertine</v>
      </c>
      <c r="C4258" s="1178" t="s">
        <v>22095</v>
      </c>
      <c r="D4258" s="1178" t="s">
        <v>897</v>
      </c>
      <c r="E4258" s="1179">
        <v>2012</v>
      </c>
      <c r="F4258" s="1282" t="s">
        <v>20220</v>
      </c>
      <c r="G4258" s="1368">
        <v>39.5</v>
      </c>
      <c r="H4258" s="1178" t="s">
        <v>20221</v>
      </c>
      <c r="I4258" s="1178" t="s">
        <v>13131</v>
      </c>
      <c r="J4258" s="1178" t="s">
        <v>668</v>
      </c>
      <c r="K4258" s="1178" t="s">
        <v>425</v>
      </c>
      <c r="L4258" s="1178" t="s">
        <v>22085</v>
      </c>
      <c r="M4258" s="1369"/>
      <c r="N4258" s="1178"/>
      <c r="O4258" s="1178">
        <v>6</v>
      </c>
      <c r="P4258" s="1178">
        <v>13.5</v>
      </c>
    </row>
    <row r="4259" spans="1:16">
      <c r="A4259" s="1178" t="s">
        <v>435</v>
      </c>
      <c r="B4259" s="1371" t="str">
        <f>HYPERLINK(IFERROR("#Main_Tariff!A"&amp;MATCH(Raeburn_Main_Tariff[[#This Row],[Product Code]],Main_Tariff!I:I,0),"#Main_Tariff!A"&amp;MATCH("*"&amp;RIGHT(A4259,8)&amp;"*",Main_Tariff!A:A,0)),Raeburn_Main_Tariff[[#This Row],[PRODUCER]])</f>
        <v>La Porta di Vertine</v>
      </c>
      <c r="C4259" s="1178" t="s">
        <v>22096</v>
      </c>
      <c r="D4259" s="1178" t="s">
        <v>897</v>
      </c>
      <c r="E4259" s="1179">
        <v>2012</v>
      </c>
      <c r="F4259" s="1282" t="s">
        <v>20240</v>
      </c>
      <c r="G4259" s="1368">
        <v>80</v>
      </c>
      <c r="H4259" s="1178" t="s">
        <v>20224</v>
      </c>
      <c r="I4259" s="1178" t="s">
        <v>13133</v>
      </c>
      <c r="J4259" s="1178" t="s">
        <v>668</v>
      </c>
      <c r="K4259" s="1178" t="s">
        <v>425</v>
      </c>
      <c r="L4259" s="1178" t="s">
        <v>22085</v>
      </c>
      <c r="M4259" s="1369"/>
      <c r="N4259" s="1178"/>
      <c r="O4259" s="1178">
        <v>1</v>
      </c>
      <c r="P4259" s="1178">
        <v>13.5</v>
      </c>
    </row>
    <row r="4260" spans="1:16">
      <c r="A4260" s="1178" t="s">
        <v>435</v>
      </c>
      <c r="B4260" s="1371" t="str">
        <f>HYPERLINK(IFERROR("#Main_Tariff!A"&amp;MATCH(Raeburn_Main_Tariff[[#This Row],[Product Code]],Main_Tariff!I:I,0),"#Main_Tariff!A"&amp;MATCH("*"&amp;RIGHT(A4260,8)&amp;"*",Main_Tariff!A:A,0)),Raeburn_Main_Tariff[[#This Row],[PRODUCER]])</f>
        <v>La Porta di Vertine</v>
      </c>
      <c r="C4260" s="1178" t="s">
        <v>22096</v>
      </c>
      <c r="D4260" s="1178" t="s">
        <v>897</v>
      </c>
      <c r="E4260" s="1179">
        <v>2010</v>
      </c>
      <c r="F4260" s="1282" t="s">
        <v>20240</v>
      </c>
      <c r="G4260" s="1368">
        <v>80</v>
      </c>
      <c r="H4260" s="1178" t="s">
        <v>20221</v>
      </c>
      <c r="I4260" s="1178" t="s">
        <v>13135</v>
      </c>
      <c r="J4260" s="1178" t="s">
        <v>668</v>
      </c>
      <c r="K4260" s="1178" t="s">
        <v>425</v>
      </c>
      <c r="L4260" s="1178" t="s">
        <v>22085</v>
      </c>
      <c r="M4260" s="1369"/>
      <c r="N4260" s="1178"/>
      <c r="O4260" s="1178">
        <v>1</v>
      </c>
      <c r="P4260" s="1178">
        <v>14.5</v>
      </c>
    </row>
    <row r="4261" spans="1:16">
      <c r="A4261" s="1178" t="s">
        <v>435</v>
      </c>
      <c r="B4261" s="1371" t="str">
        <f>HYPERLINK(IFERROR("#Main_Tariff!A"&amp;MATCH(Raeburn_Main_Tariff[[#This Row],[Product Code]],Main_Tariff!I:I,0),"#Main_Tariff!A"&amp;MATCH("*"&amp;RIGHT(A4261,8)&amp;"*",Main_Tariff!A:A,0)),Raeburn_Main_Tariff[[#This Row],[PRODUCER]])</f>
        <v>La Porta di Vertine</v>
      </c>
      <c r="C4261" s="1178" t="s">
        <v>22097</v>
      </c>
      <c r="D4261" s="1178" t="s">
        <v>897</v>
      </c>
      <c r="E4261" s="1179">
        <v>2012</v>
      </c>
      <c r="F4261" s="1282" t="s">
        <v>20288</v>
      </c>
      <c r="G4261" s="1368">
        <v>161</v>
      </c>
      <c r="H4261" s="1178" t="s">
        <v>20224</v>
      </c>
      <c r="I4261" s="1178" t="s">
        <v>13136</v>
      </c>
      <c r="J4261" s="1178" t="s">
        <v>668</v>
      </c>
      <c r="K4261" s="1178" t="s">
        <v>425</v>
      </c>
      <c r="L4261" s="1178" t="s">
        <v>22085</v>
      </c>
      <c r="M4261" s="1369"/>
      <c r="N4261" s="1178"/>
      <c r="O4261" s="1178">
        <v>1</v>
      </c>
      <c r="P4261" s="1178">
        <v>13.5</v>
      </c>
    </row>
    <row r="4262" spans="1:16">
      <c r="A4262" s="1178" t="s">
        <v>435</v>
      </c>
      <c r="B4262" s="1371" t="str">
        <f>HYPERLINK(IFERROR("#Main_Tariff!A"&amp;MATCH(Raeburn_Main_Tariff[[#This Row],[Product Code]],Main_Tariff!I:I,0),"#Main_Tariff!A"&amp;MATCH("*"&amp;RIGHT(A4262,8)&amp;"*",Main_Tariff!A:A,0)),Raeburn_Main_Tariff[[#This Row],[PRODUCER]])</f>
        <v>La Porta di Vertine</v>
      </c>
      <c r="C4262" s="1178" t="s">
        <v>22097</v>
      </c>
      <c r="D4262" s="1178" t="s">
        <v>897</v>
      </c>
      <c r="E4262" s="1179">
        <v>2010</v>
      </c>
      <c r="F4262" s="1282" t="s">
        <v>20288</v>
      </c>
      <c r="G4262" s="1368">
        <v>161</v>
      </c>
      <c r="H4262" s="1178" t="s">
        <v>20224</v>
      </c>
      <c r="I4262" s="1178" t="s">
        <v>13138</v>
      </c>
      <c r="J4262" s="1178" t="s">
        <v>668</v>
      </c>
      <c r="K4262" s="1178" t="s">
        <v>425</v>
      </c>
      <c r="L4262" s="1178" t="s">
        <v>22085</v>
      </c>
      <c r="M4262" s="1369"/>
      <c r="N4262" s="1178"/>
      <c r="O4262" s="1178">
        <v>1</v>
      </c>
      <c r="P4262" s="1178">
        <v>14.5</v>
      </c>
    </row>
    <row r="4263" spans="1:16">
      <c r="A4263" s="1178" t="s">
        <v>22098</v>
      </c>
      <c r="B4263" s="1371" t="str">
        <f>HYPERLINK(IFERROR("#Main_Tariff!A"&amp;MATCH(Raeburn_Main_Tariff[[#This Row],[Product Code]],Main_Tariff!I:I,0),"#Main_Tariff!A"&amp;MATCH("*"&amp;RIGHT(A4263,8)&amp;"*",Main_Tariff!A:A,0)),Raeburn_Main_Tariff[[#This Row],[PRODUCER]])</f>
        <v>Torre Alle Tolfe</v>
      </c>
      <c r="C4263" s="1178" t="s">
        <v>18796</v>
      </c>
      <c r="D4263" s="1178" t="s">
        <v>897</v>
      </c>
      <c r="E4263" s="1179">
        <v>2021</v>
      </c>
      <c r="F4263" s="1282" t="s">
        <v>20220</v>
      </c>
      <c r="G4263" s="1368">
        <v>14.5</v>
      </c>
      <c r="H4263" s="1178" t="s">
        <v>20221</v>
      </c>
      <c r="I4263" s="1178" t="s">
        <v>13147</v>
      </c>
      <c r="J4263" s="1178" t="s">
        <v>668</v>
      </c>
      <c r="K4263" s="1178" t="s">
        <v>425</v>
      </c>
      <c r="L4263" s="1178" t="s">
        <v>22085</v>
      </c>
      <c r="M4263" s="1369"/>
      <c r="N4263" s="1178"/>
      <c r="O4263" s="1178">
        <v>6</v>
      </c>
      <c r="P4263" s="1178">
        <v>14.5</v>
      </c>
    </row>
    <row r="4264" spans="1:16">
      <c r="A4264" s="1178" t="s">
        <v>22098</v>
      </c>
      <c r="B4264" s="1371" t="str">
        <f>HYPERLINK(IFERROR("#Main_Tariff!A"&amp;MATCH(Raeburn_Main_Tariff[[#This Row],[Product Code]],Main_Tariff!I:I,0),"#Main_Tariff!A"&amp;MATCH("*"&amp;RIGHT(A4264,8)&amp;"*",Main_Tariff!A:A,0)),Raeburn_Main_Tariff[[#This Row],[PRODUCER]])</f>
        <v>Torre Alle Tolfe</v>
      </c>
      <c r="C4264" s="1178" t="s">
        <v>18796</v>
      </c>
      <c r="D4264" s="1178" t="s">
        <v>897</v>
      </c>
      <c r="E4264" s="1179">
        <v>2018</v>
      </c>
      <c r="F4264" s="1282" t="s">
        <v>20220</v>
      </c>
      <c r="G4264" s="1368">
        <v>13.5</v>
      </c>
      <c r="H4264" s="1178" t="s">
        <v>20224</v>
      </c>
      <c r="I4264" s="1178" t="s">
        <v>13149</v>
      </c>
      <c r="J4264" s="1178" t="s">
        <v>668</v>
      </c>
      <c r="K4264" s="1178" t="s">
        <v>425</v>
      </c>
      <c r="L4264" s="1178" t="s">
        <v>22085</v>
      </c>
      <c r="M4264" s="1369"/>
      <c r="N4264" s="1178"/>
      <c r="O4264" s="1178">
        <v>6</v>
      </c>
      <c r="P4264" s="1178">
        <v>14</v>
      </c>
    </row>
    <row r="4265" spans="1:16">
      <c r="A4265" s="1178" t="s">
        <v>22098</v>
      </c>
      <c r="B4265" s="1371" t="str">
        <f>HYPERLINK(IFERROR("#Main_Tariff!A"&amp;MATCH(Raeburn_Main_Tariff[[#This Row],[Product Code]],Main_Tariff!I:I,0),"#Main_Tariff!A"&amp;MATCH("*"&amp;RIGHT(A4265,8)&amp;"*",Main_Tariff!A:A,0)),Raeburn_Main_Tariff[[#This Row],[PRODUCER]])</f>
        <v>Torre Alle Tolfe</v>
      </c>
      <c r="C4265" s="1178" t="s">
        <v>22099</v>
      </c>
      <c r="D4265" s="1178" t="s">
        <v>897</v>
      </c>
      <c r="E4265" s="1179">
        <v>2018</v>
      </c>
      <c r="F4265" s="1282" t="s">
        <v>20220</v>
      </c>
      <c r="G4265" s="1368">
        <v>18.5</v>
      </c>
      <c r="H4265" s="1178" t="s">
        <v>20221</v>
      </c>
      <c r="I4265" s="1178" t="s">
        <v>13151</v>
      </c>
      <c r="J4265" s="1178" t="s">
        <v>668</v>
      </c>
      <c r="K4265" s="1178" t="s">
        <v>425</v>
      </c>
      <c r="L4265" s="1178" t="s">
        <v>22085</v>
      </c>
      <c r="M4265" s="1369"/>
      <c r="N4265" s="1178"/>
      <c r="O4265" s="1178">
        <v>6</v>
      </c>
      <c r="P4265" s="1178">
        <v>14</v>
      </c>
    </row>
    <row r="4266" spans="1:16">
      <c r="A4266" s="1178" t="s">
        <v>437</v>
      </c>
      <c r="B4266" s="1371" t="str">
        <f>HYPERLINK(IFERROR("#Main_Tariff!A"&amp;MATCH(Raeburn_Main_Tariff[[#This Row],[Product Code]],Main_Tariff!I:I,0),"#Main_Tariff!A"&amp;MATCH("*"&amp;RIGHT(A4266,8)&amp;"*",Main_Tariff!A:A,0)),Raeburn_Main_Tariff[[#This Row],[PRODUCER]])</f>
        <v>Vallone di Cecione</v>
      </c>
      <c r="C4266" s="1178" t="s">
        <v>19000</v>
      </c>
      <c r="D4266" s="1178" t="s">
        <v>897</v>
      </c>
      <c r="E4266" s="1179">
        <v>2022</v>
      </c>
      <c r="F4266" s="1282" t="s">
        <v>20220</v>
      </c>
      <c r="G4266" s="1368">
        <v>16.95</v>
      </c>
      <c r="H4266" s="1178" t="s">
        <v>20221</v>
      </c>
      <c r="I4266" s="1178" t="s">
        <v>23373</v>
      </c>
      <c r="J4266" s="1178" t="s">
        <v>668</v>
      </c>
      <c r="K4266" s="1178" t="s">
        <v>425</v>
      </c>
      <c r="L4266" s="1178" t="s">
        <v>22085</v>
      </c>
      <c r="M4266" s="1369"/>
      <c r="N4266" s="1178"/>
      <c r="O4266" s="1178">
        <v>6</v>
      </c>
      <c r="P4266" s="1178">
        <v>14</v>
      </c>
    </row>
    <row r="4267" spans="1:16">
      <c r="A4267" s="1178" t="s">
        <v>437</v>
      </c>
      <c r="B4267" s="1371" t="str">
        <f>HYPERLINK(IFERROR("#Main_Tariff!A"&amp;MATCH(Raeburn_Main_Tariff[[#This Row],[Product Code]],Main_Tariff!I:I,0),"#Main_Tariff!A"&amp;MATCH("*"&amp;RIGHT(A4267,8)&amp;"*",Main_Tariff!A:A,0)),Raeburn_Main_Tariff[[#This Row],[PRODUCER]])</f>
        <v>Vallone di Cecione</v>
      </c>
      <c r="C4267" s="1178" t="s">
        <v>19000</v>
      </c>
      <c r="D4267" s="1178" t="s">
        <v>897</v>
      </c>
      <c r="E4267" s="1179">
        <v>2020</v>
      </c>
      <c r="F4267" s="1282" t="s">
        <v>20220</v>
      </c>
      <c r="G4267" s="1368">
        <v>16</v>
      </c>
      <c r="H4267" s="1178" t="s">
        <v>20224</v>
      </c>
      <c r="I4267" s="1178" t="s">
        <v>13177</v>
      </c>
      <c r="J4267" s="1178" t="s">
        <v>668</v>
      </c>
      <c r="K4267" s="1178" t="s">
        <v>425</v>
      </c>
      <c r="L4267" s="1178" t="s">
        <v>22085</v>
      </c>
      <c r="M4267" s="1369"/>
      <c r="N4267" s="1178"/>
      <c r="O4267" s="1178">
        <v>6</v>
      </c>
      <c r="P4267" s="1178">
        <v>14</v>
      </c>
    </row>
    <row r="4268" spans="1:16">
      <c r="A4268" s="1178" t="s">
        <v>437</v>
      </c>
      <c r="B4268" s="1371" t="str">
        <f>HYPERLINK(IFERROR("#Main_Tariff!A"&amp;MATCH(Raeburn_Main_Tariff[[#This Row],[Product Code]],Main_Tariff!I:I,0),"#Main_Tariff!A"&amp;MATCH("*"&amp;RIGHT(A4268,8)&amp;"*",Main_Tariff!A:A,0)),Raeburn_Main_Tariff[[#This Row],[PRODUCER]])</f>
        <v>Vallone di Cecione</v>
      </c>
      <c r="C4268" s="1178" t="s">
        <v>22100</v>
      </c>
      <c r="D4268" s="1178" t="s">
        <v>897</v>
      </c>
      <c r="E4268" s="1179">
        <v>2018</v>
      </c>
      <c r="F4268" s="1282" t="s">
        <v>20220</v>
      </c>
      <c r="G4268" s="1368">
        <v>18.25</v>
      </c>
      <c r="H4268" s="1178" t="s">
        <v>20221</v>
      </c>
      <c r="I4268" s="1178" t="s">
        <v>13179</v>
      </c>
      <c r="J4268" s="1178" t="s">
        <v>668</v>
      </c>
      <c r="K4268" s="1178" t="s">
        <v>425</v>
      </c>
      <c r="L4268" s="1178" t="s">
        <v>22085</v>
      </c>
      <c r="M4268" s="1369"/>
      <c r="N4268" s="1178"/>
      <c r="O4268" s="1178">
        <v>6</v>
      </c>
      <c r="P4268" s="1178">
        <v>13</v>
      </c>
    </row>
    <row r="4269" spans="1:16">
      <c r="A4269" s="1178" t="s">
        <v>437</v>
      </c>
      <c r="B4269" s="1371" t="str">
        <f>HYPERLINK(IFERROR("#Main_Tariff!A"&amp;MATCH(Raeburn_Main_Tariff[[#This Row],[Product Code]],Main_Tariff!I:I,0),"#Main_Tariff!A"&amp;MATCH("*"&amp;RIGHT(A4269,8)&amp;"*",Main_Tariff!A:A,0)),Raeburn_Main_Tariff[[#This Row],[PRODUCER]])</f>
        <v>Vallone di Cecione</v>
      </c>
      <c r="C4269" s="1178" t="s">
        <v>22100</v>
      </c>
      <c r="D4269" s="1178" t="s">
        <v>897</v>
      </c>
      <c r="E4269" s="1179">
        <v>2016</v>
      </c>
      <c r="F4269" s="1282" t="s">
        <v>20220</v>
      </c>
      <c r="G4269" s="1368">
        <v>18.25</v>
      </c>
      <c r="H4269" s="1178" t="s">
        <v>20221</v>
      </c>
      <c r="I4269" s="1178" t="s">
        <v>13181</v>
      </c>
      <c r="J4269" s="1178" t="s">
        <v>668</v>
      </c>
      <c r="K4269" s="1178" t="s">
        <v>425</v>
      </c>
      <c r="L4269" s="1178" t="s">
        <v>22085</v>
      </c>
      <c r="M4269" s="1369"/>
      <c r="N4269" s="1178"/>
      <c r="O4269" s="1178">
        <v>6</v>
      </c>
      <c r="P4269" s="1178">
        <v>13</v>
      </c>
    </row>
    <row r="4270" spans="1:16">
      <c r="A4270" s="1178" t="s">
        <v>437</v>
      </c>
      <c r="B4270" s="1371" t="str">
        <f>HYPERLINK(IFERROR("#Main_Tariff!A"&amp;MATCH(Raeburn_Main_Tariff[[#This Row],[Product Code]],Main_Tariff!I:I,0),"#Main_Tariff!A"&amp;MATCH("*"&amp;RIGHT(A4270,8)&amp;"*",Main_Tariff!A:A,0)),Raeburn_Main_Tariff[[#This Row],[PRODUCER]])</f>
        <v>Vallone di Cecione</v>
      </c>
      <c r="C4270" s="1178" t="s">
        <v>22101</v>
      </c>
      <c r="D4270" s="1178" t="s">
        <v>897</v>
      </c>
      <c r="E4270" s="1179">
        <v>2018</v>
      </c>
      <c r="F4270" s="1282" t="s">
        <v>20220</v>
      </c>
      <c r="G4270" s="1368">
        <v>18.25</v>
      </c>
      <c r="H4270" s="1178" t="s">
        <v>20221</v>
      </c>
      <c r="I4270" s="1178" t="s">
        <v>13183</v>
      </c>
      <c r="J4270" s="1178" t="s">
        <v>668</v>
      </c>
      <c r="K4270" s="1178" t="s">
        <v>425</v>
      </c>
      <c r="L4270" s="1178" t="s">
        <v>22085</v>
      </c>
      <c r="M4270" s="1369"/>
      <c r="N4270" s="1178"/>
      <c r="O4270" s="1178">
        <v>6</v>
      </c>
      <c r="P4270" s="1178">
        <v>12.5</v>
      </c>
    </row>
    <row r="4271" spans="1:16">
      <c r="A4271" s="1178" t="s">
        <v>437</v>
      </c>
      <c r="B4271" s="1371" t="str">
        <f>HYPERLINK(IFERROR("#Main_Tariff!A"&amp;MATCH(Raeburn_Main_Tariff[[#This Row],[Product Code]],Main_Tariff!I:I,0),"#Main_Tariff!A"&amp;MATCH("*"&amp;RIGHT(A4271,8)&amp;"*",Main_Tariff!A:A,0)),Raeburn_Main_Tariff[[#This Row],[PRODUCER]])</f>
        <v>Vallone di Cecione</v>
      </c>
      <c r="C4271" s="1178" t="s">
        <v>22101</v>
      </c>
      <c r="D4271" s="1178" t="s">
        <v>897</v>
      </c>
      <c r="E4271" s="1179">
        <v>2017</v>
      </c>
      <c r="F4271" s="1282" t="s">
        <v>20220</v>
      </c>
      <c r="G4271" s="1368">
        <v>18.25</v>
      </c>
      <c r="H4271" s="1178" t="s">
        <v>20221</v>
      </c>
      <c r="I4271" s="1178" t="s">
        <v>13185</v>
      </c>
      <c r="J4271" s="1178" t="s">
        <v>668</v>
      </c>
      <c r="K4271" s="1178" t="s">
        <v>425</v>
      </c>
      <c r="L4271" s="1178" t="s">
        <v>22085</v>
      </c>
      <c r="M4271" s="1369"/>
      <c r="N4271" s="1178"/>
      <c r="O4271" s="1178">
        <v>6</v>
      </c>
      <c r="P4271" s="1178">
        <v>12.5</v>
      </c>
    </row>
    <row r="4272" spans="1:16">
      <c r="A4272" s="1178" t="s">
        <v>437</v>
      </c>
      <c r="B4272" s="1371" t="str">
        <f>HYPERLINK(IFERROR("#Main_Tariff!A"&amp;MATCH(Raeburn_Main_Tariff[[#This Row],[Product Code]],Main_Tariff!I:I,0),"#Main_Tariff!A"&amp;MATCH("*"&amp;RIGHT(A4272,8)&amp;"*",Main_Tariff!A:A,0)),Raeburn_Main_Tariff[[#This Row],[PRODUCER]])</f>
        <v>Vallone di Cecione</v>
      </c>
      <c r="C4272" s="1178" t="s">
        <v>22102</v>
      </c>
      <c r="D4272" s="1178" t="s">
        <v>897</v>
      </c>
      <c r="E4272" s="1179">
        <v>2016</v>
      </c>
      <c r="F4272" s="1282" t="s">
        <v>20220</v>
      </c>
      <c r="G4272" s="1368">
        <v>22.5</v>
      </c>
      <c r="H4272" s="1178" t="s">
        <v>20224</v>
      </c>
      <c r="I4272" s="1178" t="s">
        <v>13186</v>
      </c>
      <c r="J4272" s="1178" t="s">
        <v>668</v>
      </c>
      <c r="K4272" s="1178" t="s">
        <v>425</v>
      </c>
      <c r="L4272" s="1178" t="s">
        <v>22085</v>
      </c>
      <c r="M4272" s="1369"/>
      <c r="N4272" s="1178"/>
      <c r="O4272" s="1178">
        <v>6</v>
      </c>
      <c r="P4272" s="1178">
        <v>14</v>
      </c>
    </row>
    <row r="4273" spans="1:16">
      <c r="A4273" s="1178" t="s">
        <v>22103</v>
      </c>
      <c r="B4273" s="1371" t="str">
        <f>HYPERLINK(IFERROR("#Main_Tariff!A"&amp;MATCH(Raeburn_Main_Tariff[[#This Row],[Product Code]],Main_Tariff!I:I,0),"#Main_Tariff!A"&amp;MATCH("*"&amp;RIGHT(A4273,8)&amp;"*",Main_Tariff!A:A,0)),Raeburn_Main_Tariff[[#This Row],[PRODUCER]])</f>
        <v>Baricci Colombaio di Montesoli</v>
      </c>
      <c r="C4273" s="1178" t="s">
        <v>18997</v>
      </c>
      <c r="D4273" s="1178" t="s">
        <v>897</v>
      </c>
      <c r="E4273" s="1179">
        <v>2022</v>
      </c>
      <c r="F4273" s="1282" t="s">
        <v>20220</v>
      </c>
      <c r="G4273" s="1368">
        <v>23.5</v>
      </c>
      <c r="H4273" s="1178" t="s">
        <v>20221</v>
      </c>
      <c r="I4273" s="1178" t="s">
        <v>13203</v>
      </c>
      <c r="J4273" s="1178" t="s">
        <v>668</v>
      </c>
      <c r="K4273" s="1178" t="s">
        <v>425</v>
      </c>
      <c r="L4273" s="1178" t="s">
        <v>438</v>
      </c>
      <c r="M4273" s="1369"/>
      <c r="N4273" s="1178"/>
      <c r="O4273" s="1178">
        <v>6</v>
      </c>
      <c r="P4273" s="1178">
        <v>14.5</v>
      </c>
    </row>
    <row r="4274" spans="1:16">
      <c r="A4274" s="1178" t="s">
        <v>22103</v>
      </c>
      <c r="B4274" s="1371" t="str">
        <f>HYPERLINK(IFERROR("#Main_Tariff!A"&amp;MATCH(Raeburn_Main_Tariff[[#This Row],[Product Code]],Main_Tariff!I:I,0),"#Main_Tariff!A"&amp;MATCH("*"&amp;RIGHT(A4274,8)&amp;"*",Main_Tariff!A:A,0)),Raeburn_Main_Tariff[[#This Row],[PRODUCER]])</f>
        <v>Baricci Colombaio di Montesoli</v>
      </c>
      <c r="C4274" s="1178" t="s">
        <v>18997</v>
      </c>
      <c r="D4274" s="1178" t="s">
        <v>897</v>
      </c>
      <c r="E4274" s="1179">
        <v>2021</v>
      </c>
      <c r="F4274" s="1282" t="s">
        <v>20220</v>
      </c>
      <c r="G4274" s="1368">
        <v>23</v>
      </c>
      <c r="H4274" s="1178" t="s">
        <v>20221</v>
      </c>
      <c r="I4274" s="1178" t="s">
        <v>13205</v>
      </c>
      <c r="J4274" s="1178" t="s">
        <v>668</v>
      </c>
      <c r="K4274" s="1178" t="s">
        <v>425</v>
      </c>
      <c r="L4274" s="1178" t="s">
        <v>438</v>
      </c>
      <c r="M4274" s="1369"/>
      <c r="N4274" s="1178"/>
      <c r="O4274" s="1178">
        <v>6</v>
      </c>
      <c r="P4274" s="1178">
        <v>14.5</v>
      </c>
    </row>
    <row r="4275" spans="1:16">
      <c r="A4275" s="1178" t="s">
        <v>22103</v>
      </c>
      <c r="B4275" s="1371" t="str">
        <f>HYPERLINK(IFERROR("#Main_Tariff!A"&amp;MATCH(Raeburn_Main_Tariff[[#This Row],[Product Code]],Main_Tariff!I:I,0),"#Main_Tariff!A"&amp;MATCH("*"&amp;RIGHT(A4275,8)&amp;"*",Main_Tariff!A:A,0)),Raeburn_Main_Tariff[[#This Row],[PRODUCER]])</f>
        <v>Baricci Colombaio di Montesoli</v>
      </c>
      <c r="C4275" s="1178" t="s">
        <v>22104</v>
      </c>
      <c r="D4275" s="1178" t="s">
        <v>897</v>
      </c>
      <c r="E4275" s="1179">
        <v>2018</v>
      </c>
      <c r="F4275" s="1282" t="s">
        <v>20220</v>
      </c>
      <c r="G4275" s="1368">
        <v>41</v>
      </c>
      <c r="H4275" s="1178" t="s">
        <v>20221</v>
      </c>
      <c r="I4275" s="1178" t="s">
        <v>13210</v>
      </c>
      <c r="J4275" s="1178" t="s">
        <v>668</v>
      </c>
      <c r="K4275" s="1178" t="s">
        <v>425</v>
      </c>
      <c r="L4275" s="1178" t="s">
        <v>438</v>
      </c>
      <c r="M4275" s="1369"/>
      <c r="N4275" s="1178"/>
      <c r="O4275" s="1178">
        <v>6</v>
      </c>
      <c r="P4275" s="1178">
        <v>14.5</v>
      </c>
    </row>
    <row r="4276" spans="1:16">
      <c r="A4276" s="1178" t="s">
        <v>22103</v>
      </c>
      <c r="B4276" s="1371" t="str">
        <f>HYPERLINK(IFERROR("#Main_Tariff!A"&amp;MATCH(Raeburn_Main_Tariff[[#This Row],[Product Code]],Main_Tariff!I:I,0),"#Main_Tariff!A"&amp;MATCH("*"&amp;RIGHT(A4276,8)&amp;"*",Main_Tariff!A:A,0)),Raeburn_Main_Tariff[[#This Row],[PRODUCER]])</f>
        <v>Baricci Colombaio di Montesoli</v>
      </c>
      <c r="C4276" s="1178" t="s">
        <v>22104</v>
      </c>
      <c r="D4276" s="1178" t="s">
        <v>897</v>
      </c>
      <c r="E4276" s="1179">
        <v>2016</v>
      </c>
      <c r="F4276" s="1282" t="s">
        <v>20220</v>
      </c>
      <c r="G4276" s="1368" t="s">
        <v>5258</v>
      </c>
      <c r="H4276" s="1178" t="s">
        <v>20224</v>
      </c>
      <c r="I4276" s="1178" t="s">
        <v>13212</v>
      </c>
      <c r="J4276" s="1178" t="s">
        <v>668</v>
      </c>
      <c r="K4276" s="1178" t="s">
        <v>425</v>
      </c>
      <c r="L4276" s="1178" t="s">
        <v>438</v>
      </c>
      <c r="M4276" s="1369"/>
      <c r="N4276" s="1178"/>
      <c r="O4276" s="1178">
        <v>6</v>
      </c>
      <c r="P4276" s="1178">
        <v>14.5</v>
      </c>
    </row>
    <row r="4277" spans="1:16">
      <c r="A4277" s="1178" t="s">
        <v>22103</v>
      </c>
      <c r="B4277" s="1371" t="str">
        <f>HYPERLINK(IFERROR("#Main_Tariff!A"&amp;MATCH(Raeburn_Main_Tariff[[#This Row],[Product Code]],Main_Tariff!I:I,0),"#Main_Tariff!A"&amp;MATCH("*"&amp;RIGHT(A4277,8)&amp;"*",Main_Tariff!A:A,0)),Raeburn_Main_Tariff[[#This Row],[PRODUCER]])</f>
        <v>Baricci Colombaio di Montesoli</v>
      </c>
      <c r="C4277" s="1178" t="s">
        <v>22105</v>
      </c>
      <c r="D4277" s="1178" t="s">
        <v>897</v>
      </c>
      <c r="E4277" s="1179">
        <v>2016</v>
      </c>
      <c r="F4277" s="1282" t="s">
        <v>20220</v>
      </c>
      <c r="G4277" s="1368" t="s">
        <v>5258</v>
      </c>
      <c r="H4277" s="1178" t="s">
        <v>20224</v>
      </c>
      <c r="I4277" s="1178" t="s">
        <v>13216</v>
      </c>
      <c r="J4277" s="1178" t="s">
        <v>668</v>
      </c>
      <c r="K4277" s="1178" t="s">
        <v>425</v>
      </c>
      <c r="L4277" s="1178" t="s">
        <v>438</v>
      </c>
      <c r="M4277" s="1369"/>
      <c r="N4277" s="1178"/>
      <c r="O4277" s="1178">
        <v>6</v>
      </c>
      <c r="P4277" s="1178">
        <v>15</v>
      </c>
    </row>
    <row r="4278" spans="1:16">
      <c r="A4278" s="1178" t="s">
        <v>22103</v>
      </c>
      <c r="B4278" s="1371" t="str">
        <f>HYPERLINK(IFERROR("#Main_Tariff!A"&amp;MATCH(Raeburn_Main_Tariff[[#This Row],[Product Code]],Main_Tariff!I:I,0),"#Main_Tariff!A"&amp;MATCH("*"&amp;RIGHT(A4278,8)&amp;"*",Main_Tariff!A:A,0)),Raeburn_Main_Tariff[[#This Row],[PRODUCER]])</f>
        <v>Baricci Colombaio di Montesoli</v>
      </c>
      <c r="C4278" s="1178" t="s">
        <v>22105</v>
      </c>
      <c r="D4278" s="1178" t="s">
        <v>897</v>
      </c>
      <c r="E4278" s="1179">
        <v>2015</v>
      </c>
      <c r="F4278" s="1282" t="s">
        <v>20220</v>
      </c>
      <c r="G4278" s="1368" t="s">
        <v>5258</v>
      </c>
      <c r="H4278" s="1178" t="s">
        <v>20224</v>
      </c>
      <c r="I4278" s="1178" t="s">
        <v>13218</v>
      </c>
      <c r="J4278" s="1178" t="s">
        <v>668</v>
      </c>
      <c r="K4278" s="1178" t="s">
        <v>425</v>
      </c>
      <c r="L4278" s="1178" t="s">
        <v>438</v>
      </c>
      <c r="M4278" s="1369"/>
      <c r="N4278" s="1178"/>
      <c r="O4278" s="1178">
        <v>6</v>
      </c>
      <c r="P4278" s="1178">
        <v>14.5</v>
      </c>
    </row>
    <row r="4279" spans="1:16">
      <c r="A4279" s="1178" t="s">
        <v>22103</v>
      </c>
      <c r="B4279" s="1371" t="str">
        <f>HYPERLINK(IFERROR("#Main_Tariff!A"&amp;MATCH(Raeburn_Main_Tariff[[#This Row],[Product Code]],Main_Tariff!I:I,0),"#Main_Tariff!A"&amp;MATCH("*"&amp;RIGHT(A4279,8)&amp;"*",Main_Tariff!A:A,0)),Raeburn_Main_Tariff[[#This Row],[PRODUCER]])</f>
        <v>Baricci Colombaio di Montesoli</v>
      </c>
      <c r="C4279" s="1178" t="s">
        <v>22106</v>
      </c>
      <c r="D4279" s="1178" t="s">
        <v>897</v>
      </c>
      <c r="E4279" s="1179">
        <v>2010</v>
      </c>
      <c r="F4279" s="1282" t="s">
        <v>20220</v>
      </c>
      <c r="G4279" s="1368" t="s">
        <v>5258</v>
      </c>
      <c r="H4279" s="1178" t="s">
        <v>20224</v>
      </c>
      <c r="I4279" s="1178" t="s">
        <v>13220</v>
      </c>
      <c r="J4279" s="1178" t="s">
        <v>668</v>
      </c>
      <c r="K4279" s="1178" t="s">
        <v>425</v>
      </c>
      <c r="L4279" s="1178" t="s">
        <v>438</v>
      </c>
      <c r="M4279" s="1369"/>
      <c r="N4279" s="1178"/>
      <c r="O4279" s="1178">
        <v>3</v>
      </c>
      <c r="P4279" s="1178">
        <v>14.5</v>
      </c>
    </row>
    <row r="4280" spans="1:16">
      <c r="A4280" s="1178" t="s">
        <v>22103</v>
      </c>
      <c r="B4280" s="1371" t="str">
        <f>HYPERLINK(IFERROR("#Main_Tariff!A"&amp;MATCH(Raeburn_Main_Tariff[[#This Row],[Product Code]],Main_Tariff!I:I,0),"#Main_Tariff!A"&amp;MATCH("*"&amp;RIGHT(A4280,8)&amp;"*",Main_Tariff!A:A,0)),Raeburn_Main_Tariff[[#This Row],[PRODUCER]])</f>
        <v>Baricci Colombaio di Montesoli</v>
      </c>
      <c r="C4280" s="1178" t="s">
        <v>22107</v>
      </c>
      <c r="D4280" s="1178" t="s">
        <v>897</v>
      </c>
      <c r="E4280" s="1179">
        <v>2018</v>
      </c>
      <c r="F4280" s="1282" t="s">
        <v>20240</v>
      </c>
      <c r="G4280" s="1368">
        <v>93</v>
      </c>
      <c r="H4280" s="1178" t="s">
        <v>20224</v>
      </c>
      <c r="I4280" s="1178" t="s">
        <v>13224</v>
      </c>
      <c r="J4280" s="1178" t="s">
        <v>668</v>
      </c>
      <c r="K4280" s="1178" t="s">
        <v>425</v>
      </c>
      <c r="L4280" s="1178" t="s">
        <v>438</v>
      </c>
      <c r="M4280" s="1369"/>
      <c r="N4280" s="1178"/>
      <c r="O4280" s="1178">
        <v>6</v>
      </c>
      <c r="P4280" s="1178">
        <v>14.5</v>
      </c>
    </row>
    <row r="4281" spans="1:16">
      <c r="A4281" s="1178" t="s">
        <v>22103</v>
      </c>
      <c r="B4281" s="1371" t="str">
        <f>HYPERLINK(IFERROR("#Main_Tariff!A"&amp;MATCH(Raeburn_Main_Tariff[[#This Row],[Product Code]],Main_Tariff!I:I,0),"#Main_Tariff!A"&amp;MATCH("*"&amp;RIGHT(A4281,8)&amp;"*",Main_Tariff!A:A,0)),Raeburn_Main_Tariff[[#This Row],[PRODUCER]])</f>
        <v>Baricci Colombaio di Montesoli</v>
      </c>
      <c r="C4281" s="1178" t="s">
        <v>22108</v>
      </c>
      <c r="D4281" s="1178" t="s">
        <v>897</v>
      </c>
      <c r="E4281" s="1179">
        <v>2017</v>
      </c>
      <c r="F4281" s="1282" t="s">
        <v>20240</v>
      </c>
      <c r="G4281" s="1368">
        <v>93</v>
      </c>
      <c r="H4281" s="1178" t="s">
        <v>20221</v>
      </c>
      <c r="I4281" s="1178" t="s">
        <v>13226</v>
      </c>
      <c r="J4281" s="1178" t="s">
        <v>668</v>
      </c>
      <c r="K4281" s="1178" t="s">
        <v>425</v>
      </c>
      <c r="L4281" s="1178" t="s">
        <v>438</v>
      </c>
      <c r="M4281" s="1369"/>
      <c r="N4281" s="1178"/>
      <c r="O4281" s="1178">
        <v>6</v>
      </c>
      <c r="P4281" s="1178">
        <v>15</v>
      </c>
    </row>
    <row r="4282" spans="1:16">
      <c r="A4282" s="1178" t="s">
        <v>22109</v>
      </c>
      <c r="B4282" s="1371" t="str">
        <f>HYPERLINK(IFERROR("#Main_Tariff!A"&amp;MATCH(Raeburn_Main_Tariff[[#This Row],[Product Code]],Main_Tariff!I:I,0),"#Main_Tariff!A"&amp;MATCH("*"&amp;RIGHT(A4282,8)&amp;"*",Main_Tariff!A:A,0)),Raeburn_Main_Tariff[[#This Row],[PRODUCER]])</f>
        <v>Case Basse by Famiglia Soldera</v>
      </c>
      <c r="C4282" s="1178" t="s">
        <v>13240</v>
      </c>
      <c r="D4282" s="1178" t="s">
        <v>897</v>
      </c>
      <c r="E4282" s="1179" t="s">
        <v>19075</v>
      </c>
      <c r="F4282" s="1282" t="s">
        <v>20220</v>
      </c>
      <c r="G4282" s="1368" t="s">
        <v>5258</v>
      </c>
      <c r="H4282" s="1178" t="s">
        <v>20224</v>
      </c>
      <c r="I4282" s="1178" t="s">
        <v>23342</v>
      </c>
      <c r="J4282" s="1178" t="s">
        <v>668</v>
      </c>
      <c r="K4282" s="1178" t="s">
        <v>425</v>
      </c>
      <c r="L4282" s="1178" t="s">
        <v>438</v>
      </c>
      <c r="M4282" s="1369"/>
      <c r="N4282" s="1178"/>
      <c r="O4282" s="1178">
        <v>3</v>
      </c>
      <c r="P4282" s="1178">
        <v>13</v>
      </c>
    </row>
    <row r="4283" spans="1:16">
      <c r="A4283" s="1178" t="s">
        <v>22109</v>
      </c>
      <c r="B4283" s="1371" t="str">
        <f>HYPERLINK(IFERROR("#Main_Tariff!A"&amp;MATCH(Raeburn_Main_Tariff[[#This Row],[Product Code]],Main_Tariff!I:I,0),"#Main_Tariff!A"&amp;MATCH("*"&amp;RIGHT(A4283,8)&amp;"*",Main_Tariff!A:A,0)),Raeburn_Main_Tariff[[#This Row],[PRODUCER]])</f>
        <v>Case Basse by Famiglia Soldera</v>
      </c>
      <c r="C4283" s="1178" t="s">
        <v>22110</v>
      </c>
      <c r="D4283" s="1178"/>
      <c r="E4283" s="1179" t="s">
        <v>22111</v>
      </c>
      <c r="F4283" s="1282" t="s">
        <v>22112</v>
      </c>
      <c r="G4283" s="1368" t="s">
        <v>5258</v>
      </c>
      <c r="H4283" s="1178" t="s">
        <v>20277</v>
      </c>
      <c r="I4283" s="1178" t="s">
        <v>13242</v>
      </c>
      <c r="J4283" s="1178" t="s">
        <v>668</v>
      </c>
      <c r="K4283" s="1178" t="s">
        <v>425</v>
      </c>
      <c r="L4283" s="1178" t="s">
        <v>438</v>
      </c>
      <c r="M4283" s="1369"/>
      <c r="N4283" s="1178"/>
      <c r="O4283" s="1178">
        <v>1</v>
      </c>
      <c r="P4283" s="1178">
        <v>0</v>
      </c>
    </row>
    <row r="4284" spans="1:16">
      <c r="A4284" s="1178" t="s">
        <v>22113</v>
      </c>
      <c r="B4284" s="1371" t="str">
        <f>HYPERLINK(IFERROR("#Main_Tariff!A"&amp;MATCH(Raeburn_Main_Tariff[[#This Row],[Product Code]],Main_Tariff!I:I,0),"#Main_Tariff!A"&amp;MATCH("*"&amp;RIGHT(A4284,8)&amp;"*",Main_Tariff!A:A,0)),Raeburn_Main_Tariff[[#This Row],[PRODUCER]])</f>
        <v>J.G. Benda</v>
      </c>
      <c r="C4284" s="1178" t="s">
        <v>22114</v>
      </c>
      <c r="D4284" s="1178" t="s">
        <v>897</v>
      </c>
      <c r="E4284" s="1179"/>
      <c r="F4284" s="1282" t="s">
        <v>20220</v>
      </c>
      <c r="G4284" s="1368"/>
      <c r="H4284" s="1178" t="s">
        <v>3907</v>
      </c>
      <c r="I4284" s="1178" t="s">
        <v>13292</v>
      </c>
      <c r="J4284" s="1178" t="s">
        <v>668</v>
      </c>
      <c r="K4284" s="1178" t="s">
        <v>425</v>
      </c>
      <c r="L4284" s="1178" t="s">
        <v>438</v>
      </c>
      <c r="M4284" s="1369"/>
      <c r="N4284" s="1178"/>
      <c r="O4284" s="1178">
        <v>6</v>
      </c>
      <c r="P4284" s="1178">
        <v>14.5</v>
      </c>
    </row>
    <row r="4285" spans="1:16">
      <c r="A4285" s="1178" t="s">
        <v>22113</v>
      </c>
      <c r="B4285" s="1371" t="str">
        <f>HYPERLINK(IFERROR("#Main_Tariff!A"&amp;MATCH(Raeburn_Main_Tariff[[#This Row],[Product Code]],Main_Tariff!I:I,0),"#Main_Tariff!A"&amp;MATCH("*"&amp;RIGHT(A4285,8)&amp;"*",Main_Tariff!A:A,0)),Raeburn_Main_Tariff[[#This Row],[PRODUCER]])</f>
        <v>J.G. Benda</v>
      </c>
      <c r="C4285" s="1178" t="s">
        <v>22115</v>
      </c>
      <c r="D4285" s="1178" t="s">
        <v>897</v>
      </c>
      <c r="E4285" s="1179">
        <v>2022</v>
      </c>
      <c r="F4285" s="1282" t="s">
        <v>20240</v>
      </c>
      <c r="G4285" s="1368"/>
      <c r="H4285" s="1178" t="s">
        <v>3907</v>
      </c>
      <c r="I4285" s="1178" t="s">
        <v>13294</v>
      </c>
      <c r="J4285" s="1178" t="s">
        <v>668</v>
      </c>
      <c r="K4285" s="1178" t="s">
        <v>425</v>
      </c>
      <c r="L4285" s="1178" t="s">
        <v>438</v>
      </c>
      <c r="M4285" s="1369"/>
      <c r="N4285" s="1178"/>
      <c r="O4285" s="1178">
        <v>1</v>
      </c>
      <c r="P4285" s="1178">
        <v>14.5</v>
      </c>
    </row>
    <row r="4286" spans="1:16">
      <c r="A4286" s="1178" t="s">
        <v>442</v>
      </c>
      <c r="B4286" s="1371" t="str">
        <f>HYPERLINK(IFERROR("#Main_Tariff!A"&amp;MATCH(Raeburn_Main_Tariff[[#This Row],[Product Code]],Main_Tariff!I:I,0),"#Main_Tariff!A"&amp;MATCH("*"&amp;RIGHT(A4286,8)&amp;"*",Main_Tariff!A:A,0)),Raeburn_Main_Tariff[[#This Row],[PRODUCER]])</f>
        <v>Le Chiuse</v>
      </c>
      <c r="C4286" s="1178" t="s">
        <v>18997</v>
      </c>
      <c r="D4286" s="1178" t="s">
        <v>897</v>
      </c>
      <c r="E4286" s="1179">
        <v>2023</v>
      </c>
      <c r="F4286" s="1282" t="s">
        <v>20220</v>
      </c>
      <c r="G4286" s="1368">
        <v>23.5</v>
      </c>
      <c r="H4286" s="1178" t="s">
        <v>20221</v>
      </c>
      <c r="I4286" s="1178" t="s">
        <v>23281</v>
      </c>
      <c r="J4286" s="1178" t="s">
        <v>668</v>
      </c>
      <c r="K4286" s="1178" t="s">
        <v>425</v>
      </c>
      <c r="L4286" s="1178" t="s">
        <v>438</v>
      </c>
      <c r="M4286" s="1369"/>
      <c r="N4286" s="1178" t="s">
        <v>20244</v>
      </c>
      <c r="O4286" s="1178">
        <v>6</v>
      </c>
      <c r="P4286" s="1178">
        <v>13.5</v>
      </c>
    </row>
    <row r="4287" spans="1:16">
      <c r="A4287" s="1178" t="s">
        <v>442</v>
      </c>
      <c r="B4287" s="1371" t="str">
        <f>HYPERLINK(IFERROR("#Main_Tariff!A"&amp;MATCH(Raeburn_Main_Tariff[[#This Row],[Product Code]],Main_Tariff!I:I,0),"#Main_Tariff!A"&amp;MATCH("*"&amp;RIGHT(A4287,8)&amp;"*",Main_Tariff!A:A,0)),Raeburn_Main_Tariff[[#This Row],[PRODUCER]])</f>
        <v>Le Chiuse</v>
      </c>
      <c r="C4287" s="1178" t="s">
        <v>18997</v>
      </c>
      <c r="D4287" s="1178" t="s">
        <v>897</v>
      </c>
      <c r="E4287" s="1179">
        <v>2022</v>
      </c>
      <c r="F4287" s="1282" t="s">
        <v>20220</v>
      </c>
      <c r="G4287" s="1368">
        <v>22.5</v>
      </c>
      <c r="H4287" s="1178" t="s">
        <v>20221</v>
      </c>
      <c r="I4287" s="1178" t="s">
        <v>13320</v>
      </c>
      <c r="J4287" s="1178" t="s">
        <v>668</v>
      </c>
      <c r="K4287" s="1178" t="s">
        <v>425</v>
      </c>
      <c r="L4287" s="1178" t="s">
        <v>438</v>
      </c>
      <c r="M4287" s="1369"/>
      <c r="N4287" s="1178" t="s">
        <v>20244</v>
      </c>
      <c r="O4287" s="1178">
        <v>6</v>
      </c>
      <c r="P4287" s="1178">
        <v>14</v>
      </c>
    </row>
    <row r="4288" spans="1:16">
      <c r="A4288" s="1178" t="s">
        <v>442</v>
      </c>
      <c r="B4288" s="1371" t="str">
        <f>HYPERLINK(IFERROR("#Main_Tariff!A"&amp;MATCH(Raeburn_Main_Tariff[[#This Row],[Product Code]],Main_Tariff!I:I,0),"#Main_Tariff!A"&amp;MATCH("*"&amp;RIGHT(A4288,8)&amp;"*",Main_Tariff!A:A,0)),Raeburn_Main_Tariff[[#This Row],[PRODUCER]])</f>
        <v>Le Chiuse</v>
      </c>
      <c r="C4288" s="1178" t="s">
        <v>18997</v>
      </c>
      <c r="D4288" s="1178" t="s">
        <v>897</v>
      </c>
      <c r="E4288" s="1179">
        <v>2021</v>
      </c>
      <c r="F4288" s="1282" t="s">
        <v>20220</v>
      </c>
      <c r="G4288" s="1368">
        <v>21.5</v>
      </c>
      <c r="H4288" s="1178" t="s">
        <v>20277</v>
      </c>
      <c r="I4288" s="1178" t="s">
        <v>13322</v>
      </c>
      <c r="J4288" s="1178" t="s">
        <v>668</v>
      </c>
      <c r="K4288" s="1178" t="s">
        <v>425</v>
      </c>
      <c r="L4288" s="1178" t="s">
        <v>438</v>
      </c>
      <c r="M4288" s="1369"/>
      <c r="N4288" s="1178"/>
      <c r="O4288" s="1178">
        <v>6</v>
      </c>
      <c r="P4288" s="1178">
        <v>14.5</v>
      </c>
    </row>
    <row r="4289" spans="1:16">
      <c r="A4289" s="1178" t="s">
        <v>442</v>
      </c>
      <c r="B4289" s="1371" t="str">
        <f>HYPERLINK(IFERROR("#Main_Tariff!A"&amp;MATCH(Raeburn_Main_Tariff[[#This Row],[Product Code]],Main_Tariff!I:I,0),"#Main_Tariff!A"&amp;MATCH("*"&amp;RIGHT(A4289,8)&amp;"*",Main_Tariff!A:A,0)),Raeburn_Main_Tariff[[#This Row],[PRODUCER]])</f>
        <v>Le Chiuse</v>
      </c>
      <c r="C4289" s="1178" t="s">
        <v>22104</v>
      </c>
      <c r="D4289" s="1178" t="s">
        <v>897</v>
      </c>
      <c r="E4289" s="1179">
        <v>2020</v>
      </c>
      <c r="F4289" s="1282" t="s">
        <v>20220</v>
      </c>
      <c r="G4289" s="1368" t="s">
        <v>5258</v>
      </c>
      <c r="H4289" s="1178" t="s">
        <v>20221</v>
      </c>
      <c r="I4289" s="1178" t="s">
        <v>23282</v>
      </c>
      <c r="J4289" s="1178" t="s">
        <v>668</v>
      </c>
      <c r="K4289" s="1178" t="s">
        <v>425</v>
      </c>
      <c r="L4289" s="1178" t="s">
        <v>438</v>
      </c>
      <c r="M4289" s="1369"/>
      <c r="N4289" s="1178" t="s">
        <v>20244</v>
      </c>
      <c r="O4289" s="1178">
        <v>6</v>
      </c>
      <c r="P4289" s="1178">
        <v>14</v>
      </c>
    </row>
    <row r="4290" spans="1:16">
      <c r="A4290" s="1178" t="s">
        <v>442</v>
      </c>
      <c r="B4290" s="1371" t="str">
        <f>HYPERLINK(IFERROR("#Main_Tariff!A"&amp;MATCH(Raeburn_Main_Tariff[[#This Row],[Product Code]],Main_Tariff!I:I,0),"#Main_Tariff!A"&amp;MATCH("*"&amp;RIGHT(A4290,8)&amp;"*",Main_Tariff!A:A,0)),Raeburn_Main_Tariff[[#This Row],[PRODUCER]])</f>
        <v>Le Chiuse</v>
      </c>
      <c r="C4290" s="1178" t="s">
        <v>22104</v>
      </c>
      <c r="D4290" s="1178" t="s">
        <v>897</v>
      </c>
      <c r="E4290" s="1179">
        <v>2019</v>
      </c>
      <c r="F4290" s="1282" t="s">
        <v>20220</v>
      </c>
      <c r="G4290" s="1368" t="s">
        <v>5258</v>
      </c>
      <c r="H4290" s="1178" t="s">
        <v>20277</v>
      </c>
      <c r="I4290" s="1178" t="s">
        <v>13325</v>
      </c>
      <c r="J4290" s="1178" t="s">
        <v>668</v>
      </c>
      <c r="K4290" s="1178" t="s">
        <v>425</v>
      </c>
      <c r="L4290" s="1178" t="s">
        <v>438</v>
      </c>
      <c r="M4290" s="1369"/>
      <c r="N4290" s="1178" t="s">
        <v>20244</v>
      </c>
      <c r="O4290" s="1178">
        <v>6</v>
      </c>
      <c r="P4290" s="1178">
        <v>14</v>
      </c>
    </row>
    <row r="4291" spans="1:16">
      <c r="A4291" s="1178" t="s">
        <v>442</v>
      </c>
      <c r="B4291" s="1371" t="str">
        <f>HYPERLINK(IFERROR("#Main_Tariff!A"&amp;MATCH(Raeburn_Main_Tariff[[#This Row],[Product Code]],Main_Tariff!I:I,0),"#Main_Tariff!A"&amp;MATCH("*"&amp;RIGHT(A4291,8)&amp;"*",Main_Tariff!A:A,0)),Raeburn_Main_Tariff[[#This Row],[PRODUCER]])</f>
        <v>Le Chiuse</v>
      </c>
      <c r="C4291" s="1178" t="s">
        <v>22107</v>
      </c>
      <c r="D4291" s="1178" t="s">
        <v>897</v>
      </c>
      <c r="E4291" s="1179">
        <v>2020</v>
      </c>
      <c r="F4291" s="1282" t="s">
        <v>20240</v>
      </c>
      <c r="G4291" s="1368" t="s">
        <v>5258</v>
      </c>
      <c r="H4291" s="1178" t="s">
        <v>20224</v>
      </c>
      <c r="I4291" s="1178" t="s">
        <v>23283</v>
      </c>
      <c r="J4291" s="1178" t="s">
        <v>668</v>
      </c>
      <c r="K4291" s="1178" t="s">
        <v>425</v>
      </c>
      <c r="L4291" s="1178" t="s">
        <v>438</v>
      </c>
      <c r="M4291" s="1369"/>
      <c r="N4291" s="1178" t="s">
        <v>20244</v>
      </c>
      <c r="O4291" s="1178">
        <v>1</v>
      </c>
      <c r="P4291" s="1178">
        <v>14</v>
      </c>
    </row>
    <row r="4292" spans="1:16">
      <c r="A4292" s="1178" t="s">
        <v>442</v>
      </c>
      <c r="B4292" s="1371" t="str">
        <f>HYPERLINK(IFERROR("#Main_Tariff!A"&amp;MATCH(Raeburn_Main_Tariff[[#This Row],[Product Code]],Main_Tariff!I:I,0),"#Main_Tariff!A"&amp;MATCH("*"&amp;RIGHT(A4292,8)&amp;"*",Main_Tariff!A:A,0)),Raeburn_Main_Tariff[[#This Row],[PRODUCER]])</f>
        <v>Le Chiuse</v>
      </c>
      <c r="C4292" s="1178" t="s">
        <v>22116</v>
      </c>
      <c r="D4292" s="1178" t="s">
        <v>897</v>
      </c>
      <c r="E4292" s="1179">
        <v>2020</v>
      </c>
      <c r="F4292" s="1282" t="s">
        <v>20288</v>
      </c>
      <c r="G4292" s="1368" t="s">
        <v>5258</v>
      </c>
      <c r="H4292" s="1178" t="s">
        <v>20224</v>
      </c>
      <c r="I4292" s="1178" t="s">
        <v>23284</v>
      </c>
      <c r="J4292" s="1178" t="s">
        <v>668</v>
      </c>
      <c r="K4292" s="1178" t="s">
        <v>425</v>
      </c>
      <c r="L4292" s="1178" t="s">
        <v>438</v>
      </c>
      <c r="M4292" s="1369"/>
      <c r="N4292" s="1178"/>
      <c r="O4292" s="1178">
        <v>1</v>
      </c>
      <c r="P4292" s="1178">
        <v>14</v>
      </c>
    </row>
    <row r="4293" spans="1:16">
      <c r="A4293" s="1178" t="s">
        <v>442</v>
      </c>
      <c r="B4293" s="1371" t="str">
        <f>HYPERLINK(IFERROR("#Main_Tariff!A"&amp;MATCH(Raeburn_Main_Tariff[[#This Row],[Product Code]],Main_Tariff!I:I,0),"#Main_Tariff!A"&amp;MATCH("*"&amp;RIGHT(A4293,8)&amp;"*",Main_Tariff!A:A,0)),Raeburn_Main_Tariff[[#This Row],[PRODUCER]])</f>
        <v>Le Chiuse</v>
      </c>
      <c r="C4293" s="1178" t="s">
        <v>22116</v>
      </c>
      <c r="D4293" s="1178" t="s">
        <v>897</v>
      </c>
      <c r="E4293" s="1179">
        <v>2007</v>
      </c>
      <c r="F4293" s="1282" t="s">
        <v>20288</v>
      </c>
      <c r="G4293" s="1368" t="s">
        <v>5258</v>
      </c>
      <c r="H4293" s="1178" t="s">
        <v>20224</v>
      </c>
      <c r="I4293" s="1178" t="s">
        <v>13328</v>
      </c>
      <c r="J4293" s="1178" t="s">
        <v>668</v>
      </c>
      <c r="K4293" s="1178" t="s">
        <v>425</v>
      </c>
      <c r="L4293" s="1178" t="s">
        <v>438</v>
      </c>
      <c r="M4293" s="1369"/>
      <c r="N4293" s="1178"/>
      <c r="O4293" s="1178">
        <v>1</v>
      </c>
      <c r="P4293" s="1178">
        <v>14</v>
      </c>
    </row>
    <row r="4294" spans="1:16">
      <c r="A4294" s="1178" t="s">
        <v>442</v>
      </c>
      <c r="B4294" s="1371" t="str">
        <f>HYPERLINK(IFERROR("#Main_Tariff!A"&amp;MATCH(Raeburn_Main_Tariff[[#This Row],[Product Code]],Main_Tariff!I:I,0),"#Main_Tariff!A"&amp;MATCH("*"&amp;RIGHT(A4294,8)&amp;"*",Main_Tariff!A:A,0)),Raeburn_Main_Tariff[[#This Row],[PRODUCER]])</f>
        <v>Le Chiuse</v>
      </c>
      <c r="C4294" s="1178" t="s">
        <v>22117</v>
      </c>
      <c r="D4294" s="1178" t="s">
        <v>897</v>
      </c>
      <c r="E4294" s="1179">
        <v>2015</v>
      </c>
      <c r="F4294" s="1282" t="s">
        <v>20220</v>
      </c>
      <c r="G4294" s="1368" t="s">
        <v>5258</v>
      </c>
      <c r="H4294" s="1178" t="s">
        <v>20221</v>
      </c>
      <c r="I4294" s="1178" t="s">
        <v>23285</v>
      </c>
      <c r="J4294" s="1178" t="s">
        <v>668</v>
      </c>
      <c r="K4294" s="1178" t="s">
        <v>425</v>
      </c>
      <c r="L4294" s="1178" t="s">
        <v>438</v>
      </c>
      <c r="M4294" s="1369"/>
      <c r="N4294" s="1178"/>
      <c r="O4294" s="1178">
        <v>3</v>
      </c>
      <c r="P4294" s="1178">
        <v>14.5</v>
      </c>
    </row>
    <row r="4295" spans="1:16">
      <c r="A4295" s="1178" t="s">
        <v>442</v>
      </c>
      <c r="B4295" s="1371" t="str">
        <f>HYPERLINK(IFERROR("#Main_Tariff!A"&amp;MATCH(Raeburn_Main_Tariff[[#This Row],[Product Code]],Main_Tariff!I:I,0),"#Main_Tariff!A"&amp;MATCH("*"&amp;RIGHT(A4295,8)&amp;"*",Main_Tariff!A:A,0)),Raeburn_Main_Tariff[[#This Row],[PRODUCER]])</f>
        <v>Le Chiuse</v>
      </c>
      <c r="C4295" s="1178" t="s">
        <v>22117</v>
      </c>
      <c r="D4295" s="1178" t="s">
        <v>897</v>
      </c>
      <c r="E4295" s="1179">
        <v>2012</v>
      </c>
      <c r="F4295" s="1282" t="s">
        <v>20220</v>
      </c>
      <c r="G4295" s="1368" t="s">
        <v>5258</v>
      </c>
      <c r="H4295" s="1178" t="s">
        <v>20224</v>
      </c>
      <c r="I4295" s="1178" t="s">
        <v>13331</v>
      </c>
      <c r="J4295" s="1178" t="s">
        <v>668</v>
      </c>
      <c r="K4295" s="1178" t="s">
        <v>425</v>
      </c>
      <c r="L4295" s="1178" t="s">
        <v>438</v>
      </c>
      <c r="M4295" s="1369"/>
      <c r="N4295" s="1178"/>
      <c r="O4295" s="1178">
        <v>3</v>
      </c>
      <c r="P4295" s="1178">
        <v>14</v>
      </c>
    </row>
    <row r="4296" spans="1:16">
      <c r="A4296" s="1178" t="s">
        <v>442</v>
      </c>
      <c r="B4296" s="1371" t="str">
        <f>HYPERLINK(IFERROR("#Main_Tariff!A"&amp;MATCH(Raeburn_Main_Tariff[[#This Row],[Product Code]],Main_Tariff!I:I,0),"#Main_Tariff!A"&amp;MATCH("*"&amp;RIGHT(A4296,8)&amp;"*",Main_Tariff!A:A,0)),Raeburn_Main_Tariff[[#This Row],[PRODUCER]])</f>
        <v>Le Chiuse</v>
      </c>
      <c r="C4296" s="1178" t="s">
        <v>22118</v>
      </c>
      <c r="D4296" s="1178" t="s">
        <v>897</v>
      </c>
      <c r="E4296" s="1179">
        <v>2015</v>
      </c>
      <c r="F4296" s="1282" t="s">
        <v>20240</v>
      </c>
      <c r="G4296" s="1368" t="s">
        <v>5258</v>
      </c>
      <c r="H4296" s="1178" t="s">
        <v>20224</v>
      </c>
      <c r="I4296" s="1178" t="s">
        <v>23286</v>
      </c>
      <c r="J4296" s="1178" t="s">
        <v>668</v>
      </c>
      <c r="K4296" s="1178" t="s">
        <v>425</v>
      </c>
      <c r="L4296" s="1178" t="s">
        <v>438</v>
      </c>
      <c r="M4296" s="1369"/>
      <c r="N4296" s="1178"/>
      <c r="O4296" s="1178">
        <v>1</v>
      </c>
      <c r="P4296" s="1178">
        <v>14.5</v>
      </c>
    </row>
    <row r="4297" spans="1:16">
      <c r="A4297" s="1178" t="s">
        <v>442</v>
      </c>
      <c r="B4297" s="1371" t="str">
        <f>HYPERLINK(IFERROR("#Main_Tariff!A"&amp;MATCH(Raeburn_Main_Tariff[[#This Row],[Product Code]],Main_Tariff!I:I,0),"#Main_Tariff!A"&amp;MATCH("*"&amp;RIGHT(A4297,8)&amp;"*",Main_Tariff!A:A,0)),Raeburn_Main_Tariff[[#This Row],[PRODUCER]])</f>
        <v>Le Chiuse</v>
      </c>
      <c r="C4297" s="1178" t="s">
        <v>22118</v>
      </c>
      <c r="D4297" s="1178" t="s">
        <v>897</v>
      </c>
      <c r="E4297" s="1179">
        <v>2010</v>
      </c>
      <c r="F4297" s="1282" t="s">
        <v>20240</v>
      </c>
      <c r="G4297" s="1368" t="s">
        <v>5258</v>
      </c>
      <c r="H4297" s="1178" t="s">
        <v>20224</v>
      </c>
      <c r="I4297" s="1178" t="s">
        <v>13332</v>
      </c>
      <c r="J4297" s="1178" t="s">
        <v>668</v>
      </c>
      <c r="K4297" s="1178" t="s">
        <v>425</v>
      </c>
      <c r="L4297" s="1178" t="s">
        <v>438</v>
      </c>
      <c r="M4297" s="1369"/>
      <c r="N4297" s="1178"/>
      <c r="O4297" s="1178">
        <v>1</v>
      </c>
      <c r="P4297" s="1178">
        <v>14.5</v>
      </c>
    </row>
    <row r="4298" spans="1:16">
      <c r="A4298" s="1178" t="s">
        <v>443</v>
      </c>
      <c r="B4298" s="1371" t="str">
        <f>HYPERLINK(IFERROR("#Main_Tariff!A"&amp;MATCH(Raeburn_Main_Tariff[[#This Row],[Product Code]],Main_Tariff!I:I,0),"#Main_Tariff!A"&amp;MATCH("*"&amp;RIGHT(A4298,8)&amp;"*",Main_Tariff!A:A,0)),Raeburn_Main_Tariff[[#This Row],[PRODUCER]])</f>
        <v>Giuseppe Gorelli</v>
      </c>
      <c r="C4298" s="1178" t="s">
        <v>22119</v>
      </c>
      <c r="D4298" s="1178" t="s">
        <v>897</v>
      </c>
      <c r="E4298" s="1179">
        <v>2021</v>
      </c>
      <c r="F4298" s="1282" t="s">
        <v>20220</v>
      </c>
      <c r="G4298" s="1368">
        <v>21</v>
      </c>
      <c r="H4298" s="1178" t="s">
        <v>20221</v>
      </c>
      <c r="I4298" s="1178" t="s">
        <v>13358</v>
      </c>
      <c r="J4298" s="1178" t="s">
        <v>668</v>
      </c>
      <c r="K4298" s="1178" t="s">
        <v>425</v>
      </c>
      <c r="L4298" s="1178" t="s">
        <v>438</v>
      </c>
      <c r="M4298" s="1369"/>
      <c r="N4298" s="1178"/>
      <c r="O4298" s="1178">
        <v>6</v>
      </c>
      <c r="P4298" s="1178">
        <v>14</v>
      </c>
    </row>
    <row r="4299" spans="1:16">
      <c r="A4299" s="1178" t="s">
        <v>443</v>
      </c>
      <c r="B4299" s="1371" t="str">
        <f>HYPERLINK(IFERROR("#Main_Tariff!A"&amp;MATCH(Raeburn_Main_Tariff[[#This Row],[Product Code]],Main_Tariff!I:I,0),"#Main_Tariff!A"&amp;MATCH("*"&amp;RIGHT(A4299,8)&amp;"*",Main_Tariff!A:A,0)),Raeburn_Main_Tariff[[#This Row],[PRODUCER]])</f>
        <v>Giuseppe Gorelli</v>
      </c>
      <c r="C4299" s="1178" t="s">
        <v>22119</v>
      </c>
      <c r="D4299" s="1178" t="s">
        <v>897</v>
      </c>
      <c r="E4299" s="1179">
        <v>2020</v>
      </c>
      <c r="F4299" s="1282" t="s">
        <v>20220</v>
      </c>
      <c r="G4299" s="1368">
        <v>20</v>
      </c>
      <c r="H4299" s="1178" t="s">
        <v>20221</v>
      </c>
      <c r="I4299" s="1178" t="s">
        <v>13360</v>
      </c>
      <c r="J4299" s="1178" t="s">
        <v>668</v>
      </c>
      <c r="K4299" s="1178" t="s">
        <v>425</v>
      </c>
      <c r="L4299" s="1178" t="s">
        <v>438</v>
      </c>
      <c r="M4299" s="1369"/>
      <c r="N4299" s="1178"/>
      <c r="O4299" s="1178">
        <v>6</v>
      </c>
      <c r="P4299" s="1178">
        <v>14</v>
      </c>
    </row>
    <row r="4300" spans="1:16">
      <c r="A4300" s="1178" t="s">
        <v>443</v>
      </c>
      <c r="B4300" s="1371" t="str">
        <f>HYPERLINK(IFERROR("#Main_Tariff!A"&amp;MATCH(Raeburn_Main_Tariff[[#This Row],[Product Code]],Main_Tariff!I:I,0),"#Main_Tariff!A"&amp;MATCH("*"&amp;RIGHT(A4300,8)&amp;"*",Main_Tariff!A:A,0)),Raeburn_Main_Tariff[[#This Row],[PRODUCER]])</f>
        <v>Giuseppe Gorelli</v>
      </c>
      <c r="C4300" s="1178" t="s">
        <v>22120</v>
      </c>
      <c r="D4300" s="1178" t="s">
        <v>897</v>
      </c>
      <c r="E4300" s="1179">
        <v>2021</v>
      </c>
      <c r="F4300" s="1282" t="s">
        <v>20220</v>
      </c>
      <c r="G4300" s="1368">
        <v>27.5</v>
      </c>
      <c r="H4300" s="1178" t="s">
        <v>20221</v>
      </c>
      <c r="I4300" s="1178" t="s">
        <v>13362</v>
      </c>
      <c r="J4300" s="1178" t="s">
        <v>668</v>
      </c>
      <c r="K4300" s="1178" t="s">
        <v>425</v>
      </c>
      <c r="L4300" s="1178" t="s">
        <v>438</v>
      </c>
      <c r="M4300" s="1369"/>
      <c r="N4300" s="1178"/>
      <c r="O4300" s="1178">
        <v>6</v>
      </c>
      <c r="P4300" s="1178">
        <v>14.5</v>
      </c>
    </row>
    <row r="4301" spans="1:16">
      <c r="A4301" s="1178" t="s">
        <v>443</v>
      </c>
      <c r="B4301" s="1371" t="str">
        <f>HYPERLINK(IFERROR("#Main_Tariff!A"&amp;MATCH(Raeburn_Main_Tariff[[#This Row],[Product Code]],Main_Tariff!I:I,0),"#Main_Tariff!A"&amp;MATCH("*"&amp;RIGHT(A4301,8)&amp;"*",Main_Tariff!A:A,0)),Raeburn_Main_Tariff[[#This Row],[PRODUCER]])</f>
        <v>Giuseppe Gorelli</v>
      </c>
      <c r="C4301" s="1178" t="s">
        <v>22120</v>
      </c>
      <c r="D4301" s="1178" t="s">
        <v>897</v>
      </c>
      <c r="E4301" s="1179">
        <v>2020</v>
      </c>
      <c r="F4301" s="1282" t="s">
        <v>20220</v>
      </c>
      <c r="G4301" s="1368">
        <v>27.5</v>
      </c>
      <c r="H4301" s="1178" t="s">
        <v>20277</v>
      </c>
      <c r="I4301" s="1178" t="s">
        <v>13364</v>
      </c>
      <c r="J4301" s="1178" t="s">
        <v>668</v>
      </c>
      <c r="K4301" s="1178" t="s">
        <v>425</v>
      </c>
      <c r="L4301" s="1178" t="s">
        <v>438</v>
      </c>
      <c r="M4301" s="1369"/>
      <c r="N4301" s="1178"/>
      <c r="O4301" s="1178">
        <v>6</v>
      </c>
      <c r="P4301" s="1178">
        <v>14.5</v>
      </c>
    </row>
    <row r="4302" spans="1:16">
      <c r="A4302" s="1178" t="s">
        <v>443</v>
      </c>
      <c r="B4302" s="1371" t="str">
        <f>HYPERLINK(IFERROR("#Main_Tariff!A"&amp;MATCH(Raeburn_Main_Tariff[[#This Row],[Product Code]],Main_Tariff!I:I,0),"#Main_Tariff!A"&amp;MATCH("*"&amp;RIGHT(A4302,8)&amp;"*",Main_Tariff!A:A,0)),Raeburn_Main_Tariff[[#This Row],[PRODUCER]])</f>
        <v>Giuseppe Gorelli</v>
      </c>
      <c r="C4302" s="1178" t="s">
        <v>22121</v>
      </c>
      <c r="D4302" s="1178" t="s">
        <v>897</v>
      </c>
      <c r="E4302" s="1179">
        <v>2020</v>
      </c>
      <c r="F4302" s="1282" t="s">
        <v>20240</v>
      </c>
      <c r="G4302" s="1368">
        <v>60</v>
      </c>
      <c r="H4302" s="1178" t="s">
        <v>20221</v>
      </c>
      <c r="I4302" s="1178" t="s">
        <v>13366</v>
      </c>
      <c r="J4302" s="1178" t="s">
        <v>668</v>
      </c>
      <c r="K4302" s="1178" t="s">
        <v>425</v>
      </c>
      <c r="L4302" s="1178" t="s">
        <v>438</v>
      </c>
      <c r="M4302" s="1369"/>
      <c r="N4302" s="1178"/>
      <c r="O4302" s="1178">
        <v>6</v>
      </c>
      <c r="P4302" s="1178">
        <v>14.5</v>
      </c>
    </row>
    <row r="4303" spans="1:16">
      <c r="A4303" s="1178" t="s">
        <v>443</v>
      </c>
      <c r="B4303" s="1371" t="str">
        <f>HYPERLINK(IFERROR("#Main_Tariff!A"&amp;MATCH(Raeburn_Main_Tariff[[#This Row],[Product Code]],Main_Tariff!I:I,0),"#Main_Tariff!A"&amp;MATCH("*"&amp;RIGHT(A4303,8)&amp;"*",Main_Tariff!A:A,0)),Raeburn_Main_Tariff[[#This Row],[PRODUCER]])</f>
        <v>Giuseppe Gorelli</v>
      </c>
      <c r="C4303" s="1178" t="s">
        <v>22104</v>
      </c>
      <c r="D4303" s="1178" t="s">
        <v>897</v>
      </c>
      <c r="E4303" s="1179">
        <v>2019</v>
      </c>
      <c r="F4303" s="1282" t="s">
        <v>20220</v>
      </c>
      <c r="G4303" s="1368">
        <v>61</v>
      </c>
      <c r="H4303" s="1178" t="s">
        <v>20221</v>
      </c>
      <c r="I4303" s="1178" t="s">
        <v>13368</v>
      </c>
      <c r="J4303" s="1178" t="s">
        <v>668</v>
      </c>
      <c r="K4303" s="1178" t="s">
        <v>425</v>
      </c>
      <c r="L4303" s="1178" t="s">
        <v>438</v>
      </c>
      <c r="M4303" s="1369"/>
      <c r="N4303" s="1178"/>
      <c r="O4303" s="1178">
        <v>6</v>
      </c>
      <c r="P4303" s="1178">
        <v>14.5</v>
      </c>
    </row>
    <row r="4304" spans="1:16">
      <c r="A4304" s="1178" t="s">
        <v>443</v>
      </c>
      <c r="B4304" s="1371" t="str">
        <f>HYPERLINK(IFERROR("#Main_Tariff!A"&amp;MATCH(Raeburn_Main_Tariff[[#This Row],[Product Code]],Main_Tariff!I:I,0),"#Main_Tariff!A"&amp;MATCH("*"&amp;RIGHT(A4304,8)&amp;"*",Main_Tariff!A:A,0)),Raeburn_Main_Tariff[[#This Row],[PRODUCER]])</f>
        <v>Giuseppe Gorelli</v>
      </c>
      <c r="C4304" s="1178" t="s">
        <v>22104</v>
      </c>
      <c r="D4304" s="1178" t="s">
        <v>897</v>
      </c>
      <c r="E4304" s="1179">
        <v>2018</v>
      </c>
      <c r="F4304" s="1282" t="s">
        <v>20220</v>
      </c>
      <c r="G4304" s="1368">
        <v>57.5</v>
      </c>
      <c r="H4304" s="1178" t="s">
        <v>20221</v>
      </c>
      <c r="I4304" s="1178" t="s">
        <v>13370</v>
      </c>
      <c r="J4304" s="1178" t="s">
        <v>668</v>
      </c>
      <c r="K4304" s="1178" t="s">
        <v>425</v>
      </c>
      <c r="L4304" s="1178" t="s">
        <v>438</v>
      </c>
      <c r="M4304" s="1369"/>
      <c r="N4304" s="1178"/>
      <c r="O4304" s="1178">
        <v>6</v>
      </c>
      <c r="P4304" s="1178">
        <v>14</v>
      </c>
    </row>
    <row r="4305" spans="1:16">
      <c r="A4305" s="1178" t="s">
        <v>443</v>
      </c>
      <c r="B4305" s="1371" t="str">
        <f>HYPERLINK(IFERROR("#Main_Tariff!A"&amp;MATCH(Raeburn_Main_Tariff[[#This Row],[Product Code]],Main_Tariff!I:I,0),"#Main_Tariff!A"&amp;MATCH("*"&amp;RIGHT(A4305,8)&amp;"*",Main_Tariff!A:A,0)),Raeburn_Main_Tariff[[#This Row],[PRODUCER]])</f>
        <v>Giuseppe Gorelli</v>
      </c>
      <c r="C4305" s="1178" t="s">
        <v>22107</v>
      </c>
      <c r="D4305" s="1178" t="s">
        <v>897</v>
      </c>
      <c r="E4305" s="1179">
        <v>2019</v>
      </c>
      <c r="F4305" s="1282" t="s">
        <v>20240</v>
      </c>
      <c r="G4305" s="1368">
        <v>128</v>
      </c>
      <c r="H4305" s="1178" t="s">
        <v>20224</v>
      </c>
      <c r="I4305" s="1178" t="s">
        <v>13371</v>
      </c>
      <c r="J4305" s="1178" t="s">
        <v>668</v>
      </c>
      <c r="K4305" s="1178" t="s">
        <v>425</v>
      </c>
      <c r="L4305" s="1178" t="s">
        <v>438</v>
      </c>
      <c r="M4305" s="1369"/>
      <c r="N4305" s="1178"/>
      <c r="O4305" s="1178">
        <v>6</v>
      </c>
      <c r="P4305" s="1178">
        <v>14.5</v>
      </c>
    </row>
    <row r="4306" spans="1:16">
      <c r="A4306" s="1178" t="s">
        <v>22122</v>
      </c>
      <c r="B4306" s="1371" t="str">
        <f>HYPERLINK(IFERROR("#Main_Tariff!A"&amp;MATCH(Raeburn_Main_Tariff[[#This Row],[Product Code]],Main_Tariff!I:I,0),"#Main_Tariff!A"&amp;MATCH("*"&amp;RIGHT(A4306,8)&amp;"*",Main_Tariff!A:A,0)),Raeburn_Main_Tariff[[#This Row],[PRODUCER]])</f>
        <v>Famiglia Lisini</v>
      </c>
      <c r="C4306" s="1178" t="s">
        <v>22104</v>
      </c>
      <c r="D4306" s="1178" t="s">
        <v>897</v>
      </c>
      <c r="E4306" s="1179">
        <v>2020</v>
      </c>
      <c r="F4306" s="1282" t="s">
        <v>20220</v>
      </c>
      <c r="G4306" s="1368">
        <v>47.95</v>
      </c>
      <c r="H4306" s="1178" t="s">
        <v>20221</v>
      </c>
      <c r="I4306" s="1178" t="s">
        <v>23287</v>
      </c>
      <c r="J4306" s="1178" t="s">
        <v>668</v>
      </c>
      <c r="K4306" s="1178" t="s">
        <v>425</v>
      </c>
      <c r="L4306" s="1178" t="s">
        <v>438</v>
      </c>
      <c r="M4306" s="1369"/>
      <c r="N4306" s="1178"/>
      <c r="O4306" s="1178">
        <v>6</v>
      </c>
      <c r="P4306" s="1178">
        <v>14.5</v>
      </c>
    </row>
    <row r="4307" spans="1:16">
      <c r="A4307" s="1178" t="s">
        <v>22122</v>
      </c>
      <c r="B4307" s="1371" t="str">
        <f>HYPERLINK(IFERROR("#Main_Tariff!A"&amp;MATCH(Raeburn_Main_Tariff[[#This Row],[Product Code]],Main_Tariff!I:I,0),"#Main_Tariff!A"&amp;MATCH("*"&amp;RIGHT(A4307,8)&amp;"*",Main_Tariff!A:A,0)),Raeburn_Main_Tariff[[#This Row],[PRODUCER]])</f>
        <v>Famiglia Lisini</v>
      </c>
      <c r="C4307" s="1178" t="s">
        <v>22104</v>
      </c>
      <c r="D4307" s="1178" t="s">
        <v>897</v>
      </c>
      <c r="E4307" s="1179">
        <v>2019</v>
      </c>
      <c r="F4307" s="1282" t="s">
        <v>20220</v>
      </c>
      <c r="G4307" s="1368">
        <v>46.75</v>
      </c>
      <c r="H4307" s="1178" t="s">
        <v>20221</v>
      </c>
      <c r="I4307" s="1178" t="s">
        <v>13383</v>
      </c>
      <c r="J4307" s="1178" t="s">
        <v>668</v>
      </c>
      <c r="K4307" s="1178" t="s">
        <v>425</v>
      </c>
      <c r="L4307" s="1178" t="s">
        <v>438</v>
      </c>
      <c r="M4307" s="1369"/>
      <c r="N4307" s="1178"/>
      <c r="O4307" s="1178">
        <v>6</v>
      </c>
      <c r="P4307" s="1178">
        <v>14.5</v>
      </c>
    </row>
    <row r="4308" spans="1:16">
      <c r="A4308" s="1178" t="s">
        <v>22122</v>
      </c>
      <c r="B4308" s="1371" t="str">
        <f>HYPERLINK(IFERROR("#Main_Tariff!A"&amp;MATCH(Raeburn_Main_Tariff[[#This Row],[Product Code]],Main_Tariff!I:I,0),"#Main_Tariff!A"&amp;MATCH("*"&amp;RIGHT(A4308,8)&amp;"*",Main_Tariff!A:A,0)),Raeburn_Main_Tariff[[#This Row],[PRODUCER]])</f>
        <v>Famiglia Lisini</v>
      </c>
      <c r="C4308" s="1178" t="s">
        <v>22104</v>
      </c>
      <c r="D4308" s="1178" t="s">
        <v>897</v>
      </c>
      <c r="E4308" s="1179">
        <v>2017</v>
      </c>
      <c r="F4308" s="1282" t="s">
        <v>20220</v>
      </c>
      <c r="G4308" s="1368">
        <v>43</v>
      </c>
      <c r="H4308" s="1178" t="s">
        <v>20277</v>
      </c>
      <c r="I4308" s="1178" t="s">
        <v>13385</v>
      </c>
      <c r="J4308" s="1178" t="s">
        <v>668</v>
      </c>
      <c r="K4308" s="1178" t="s">
        <v>425</v>
      </c>
      <c r="L4308" s="1178" t="s">
        <v>438</v>
      </c>
      <c r="M4308" s="1369"/>
      <c r="N4308" s="1178"/>
      <c r="O4308" s="1178">
        <v>6</v>
      </c>
      <c r="P4308" s="1178">
        <v>14.5</v>
      </c>
    </row>
    <row r="4309" spans="1:16">
      <c r="A4309" s="1178" t="s">
        <v>22122</v>
      </c>
      <c r="B4309" s="1371" t="str">
        <f>HYPERLINK(IFERROR("#Main_Tariff!A"&amp;MATCH(Raeburn_Main_Tariff[[#This Row],[Product Code]],Main_Tariff!I:I,0),"#Main_Tariff!A"&amp;MATCH("*"&amp;RIGHT(A4309,8)&amp;"*",Main_Tariff!A:A,0)),Raeburn_Main_Tariff[[#This Row],[PRODUCER]])</f>
        <v>Famiglia Lisini</v>
      </c>
      <c r="C4309" s="1178" t="s">
        <v>22123</v>
      </c>
      <c r="D4309" s="1178" t="s">
        <v>897</v>
      </c>
      <c r="E4309" s="1179">
        <v>2017</v>
      </c>
      <c r="F4309" s="1282" t="s">
        <v>20220</v>
      </c>
      <c r="G4309" s="1368">
        <v>73</v>
      </c>
      <c r="H4309" s="1178" t="s">
        <v>20224</v>
      </c>
      <c r="I4309" s="1178" t="s">
        <v>13387</v>
      </c>
      <c r="J4309" s="1178" t="s">
        <v>668</v>
      </c>
      <c r="K4309" s="1178" t="s">
        <v>425</v>
      </c>
      <c r="L4309" s="1178" t="s">
        <v>438</v>
      </c>
      <c r="M4309" s="1369"/>
      <c r="N4309" s="1178"/>
      <c r="O4309" s="1178">
        <v>6</v>
      </c>
      <c r="P4309" s="1178">
        <v>14.5</v>
      </c>
    </row>
    <row r="4310" spans="1:16">
      <c r="A4310" s="1178" t="s">
        <v>22122</v>
      </c>
      <c r="B4310" s="1371" t="str">
        <f>HYPERLINK(IFERROR("#Main_Tariff!A"&amp;MATCH(Raeburn_Main_Tariff[[#This Row],[Product Code]],Main_Tariff!I:I,0),"#Main_Tariff!A"&amp;MATCH("*"&amp;RIGHT(A4310,8)&amp;"*",Main_Tariff!A:A,0)),Raeburn_Main_Tariff[[#This Row],[PRODUCER]])</f>
        <v>Famiglia Lisini</v>
      </c>
      <c r="C4310" s="1178" t="s">
        <v>22126</v>
      </c>
      <c r="D4310" s="1178" t="s">
        <v>897</v>
      </c>
      <c r="E4310" s="1179">
        <v>2019</v>
      </c>
      <c r="F4310" s="1282" t="s">
        <v>20220</v>
      </c>
      <c r="G4310" s="1368">
        <v>73.95</v>
      </c>
      <c r="H4310" s="1178" t="s">
        <v>20221</v>
      </c>
      <c r="I4310" s="1178" t="s">
        <v>23288</v>
      </c>
      <c r="J4310" s="1178" t="s">
        <v>668</v>
      </c>
      <c r="K4310" s="1178" t="s">
        <v>425</v>
      </c>
      <c r="L4310" s="1178" t="s">
        <v>438</v>
      </c>
      <c r="M4310" s="1369"/>
      <c r="N4310" s="1178"/>
      <c r="O4310" s="1178">
        <v>6</v>
      </c>
      <c r="P4310" s="1178">
        <v>14.5</v>
      </c>
    </row>
    <row r="4311" spans="1:16">
      <c r="A4311" s="1178" t="s">
        <v>22122</v>
      </c>
      <c r="B4311" s="1371" t="str">
        <f>HYPERLINK(IFERROR("#Main_Tariff!A"&amp;MATCH(Raeburn_Main_Tariff[[#This Row],[Product Code]],Main_Tariff!I:I,0),"#Main_Tariff!A"&amp;MATCH("*"&amp;RIGHT(A4311,8)&amp;"*",Main_Tariff!A:A,0)),Raeburn_Main_Tariff[[#This Row],[PRODUCER]])</f>
        <v>Famiglia Lisini</v>
      </c>
      <c r="C4311" s="1178" t="s">
        <v>22107</v>
      </c>
      <c r="D4311" s="1178" t="s">
        <v>897</v>
      </c>
      <c r="E4311" s="1179">
        <v>2019</v>
      </c>
      <c r="F4311" s="1282" t="s">
        <v>20240</v>
      </c>
      <c r="G4311" s="1368">
        <v>102.5</v>
      </c>
      <c r="H4311" s="1178" t="s">
        <v>20224</v>
      </c>
      <c r="I4311" s="1178" t="s">
        <v>13390</v>
      </c>
      <c r="J4311" s="1178" t="s">
        <v>668</v>
      </c>
      <c r="K4311" s="1178" t="s">
        <v>425</v>
      </c>
      <c r="L4311" s="1178" t="s">
        <v>438</v>
      </c>
      <c r="M4311" s="1369"/>
      <c r="N4311" s="1178"/>
      <c r="O4311" s="1178">
        <v>1</v>
      </c>
      <c r="P4311" s="1178">
        <v>14.5</v>
      </c>
    </row>
    <row r="4312" spans="1:16">
      <c r="A4312" s="1178" t="s">
        <v>22122</v>
      </c>
      <c r="B4312" s="1371" t="str">
        <f>HYPERLINK(IFERROR("#Main_Tariff!A"&amp;MATCH(Raeburn_Main_Tariff[[#This Row],[Product Code]],Main_Tariff!I:I,0),"#Main_Tariff!A"&amp;MATCH("*"&amp;RIGHT(A4312,8)&amp;"*",Main_Tariff!A:A,0)),Raeburn_Main_Tariff[[#This Row],[PRODUCER]])</f>
        <v>Famiglia Lisini</v>
      </c>
      <c r="C4312" s="1178" t="s">
        <v>22124</v>
      </c>
      <c r="D4312" s="1178" t="s">
        <v>897</v>
      </c>
      <c r="E4312" s="1179">
        <v>2017</v>
      </c>
      <c r="F4312" s="1282" t="s">
        <v>20240</v>
      </c>
      <c r="G4312" s="1368">
        <v>162</v>
      </c>
      <c r="H4312" s="1178" t="s">
        <v>20224</v>
      </c>
      <c r="I4312" s="1178" t="s">
        <v>13391</v>
      </c>
      <c r="J4312" s="1178" t="s">
        <v>668</v>
      </c>
      <c r="K4312" s="1178" t="s">
        <v>425</v>
      </c>
      <c r="L4312" s="1178" t="s">
        <v>438</v>
      </c>
      <c r="M4312" s="1369"/>
      <c r="N4312" s="1178"/>
      <c r="O4312" s="1178">
        <v>1</v>
      </c>
      <c r="P4312" s="1178">
        <v>14.5</v>
      </c>
    </row>
    <row r="4313" spans="1:16">
      <c r="A4313" s="1178" t="s">
        <v>22122</v>
      </c>
      <c r="B4313" s="1371" t="str">
        <f>HYPERLINK(IFERROR("#Main_Tariff!A"&amp;MATCH(Raeburn_Main_Tariff[[#This Row],[Product Code]],Main_Tariff!I:I,0),"#Main_Tariff!A"&amp;MATCH("*"&amp;RIGHT(A4313,8)&amp;"*",Main_Tariff!A:A,0)),Raeburn_Main_Tariff[[#This Row],[PRODUCER]])</f>
        <v>Famiglia Lisini</v>
      </c>
      <c r="C4313" s="1178" t="s">
        <v>22124</v>
      </c>
      <c r="D4313" s="1178" t="s">
        <v>897</v>
      </c>
      <c r="E4313" s="1179">
        <v>2016</v>
      </c>
      <c r="F4313" s="1282" t="s">
        <v>20240</v>
      </c>
      <c r="G4313" s="1368">
        <v>161</v>
      </c>
      <c r="H4313" s="1178" t="s">
        <v>20224</v>
      </c>
      <c r="I4313" s="1178" t="s">
        <v>13393</v>
      </c>
      <c r="J4313" s="1178" t="s">
        <v>668</v>
      </c>
      <c r="K4313" s="1178" t="s">
        <v>425</v>
      </c>
      <c r="L4313" s="1178" t="s">
        <v>438</v>
      </c>
      <c r="M4313" s="1369"/>
      <c r="N4313" s="1178"/>
      <c r="O4313" s="1178">
        <v>1</v>
      </c>
      <c r="P4313" s="1178">
        <v>13</v>
      </c>
    </row>
    <row r="4314" spans="1:16">
      <c r="A4314" s="1178" t="s">
        <v>22122</v>
      </c>
      <c r="B4314" s="1371" t="str">
        <f>HYPERLINK(IFERROR("#Main_Tariff!A"&amp;MATCH(Raeburn_Main_Tariff[[#This Row],[Product Code]],Main_Tariff!I:I,0),"#Main_Tariff!A"&amp;MATCH("*"&amp;RIGHT(A4314,8)&amp;"*",Main_Tariff!A:A,0)),Raeburn_Main_Tariff[[#This Row],[PRODUCER]])</f>
        <v>Famiglia Lisini</v>
      </c>
      <c r="C4314" s="1178" t="s">
        <v>22124</v>
      </c>
      <c r="D4314" s="1178" t="s">
        <v>897</v>
      </c>
      <c r="E4314" s="1179">
        <v>2015</v>
      </c>
      <c r="F4314" s="1282" t="s">
        <v>20240</v>
      </c>
      <c r="G4314" s="1368">
        <v>165</v>
      </c>
      <c r="H4314" s="1178" t="s">
        <v>20224</v>
      </c>
      <c r="I4314" s="1178" t="s">
        <v>13394</v>
      </c>
      <c r="J4314" s="1178" t="s">
        <v>668</v>
      </c>
      <c r="K4314" s="1178" t="s">
        <v>425</v>
      </c>
      <c r="L4314" s="1178" t="s">
        <v>438</v>
      </c>
      <c r="M4314" s="1369"/>
      <c r="N4314" s="1178"/>
      <c r="O4314" s="1178">
        <v>1</v>
      </c>
      <c r="P4314" s="1178">
        <v>13.5</v>
      </c>
    </row>
    <row r="4315" spans="1:16">
      <c r="A4315" s="1178" t="s">
        <v>22122</v>
      </c>
      <c r="B4315" s="1371" t="str">
        <f>HYPERLINK(IFERROR("#Main_Tariff!A"&amp;MATCH(Raeburn_Main_Tariff[[#This Row],[Product Code]],Main_Tariff!I:I,0),"#Main_Tariff!A"&amp;MATCH("*"&amp;RIGHT(A4315,8)&amp;"*",Main_Tariff!A:A,0)),Raeburn_Main_Tariff[[#This Row],[PRODUCER]])</f>
        <v>Famiglia Lisini</v>
      </c>
      <c r="C4315" s="1178" t="s">
        <v>22124</v>
      </c>
      <c r="D4315" s="1178" t="s">
        <v>897</v>
      </c>
      <c r="E4315" s="1179">
        <v>2009</v>
      </c>
      <c r="F4315" s="1282" t="s">
        <v>20240</v>
      </c>
      <c r="G4315" s="1368">
        <v>172</v>
      </c>
      <c r="H4315" s="1178" t="s">
        <v>20224</v>
      </c>
      <c r="I4315" s="1178" t="s">
        <v>13396</v>
      </c>
      <c r="J4315" s="1178" t="s">
        <v>668</v>
      </c>
      <c r="K4315" s="1178" t="s">
        <v>425</v>
      </c>
      <c r="L4315" s="1178" t="s">
        <v>438</v>
      </c>
      <c r="M4315" s="1369"/>
      <c r="N4315" s="1178"/>
      <c r="O4315" s="1178">
        <v>1</v>
      </c>
      <c r="P4315" s="1178">
        <v>14.5</v>
      </c>
    </row>
    <row r="4316" spans="1:16">
      <c r="A4316" s="1178" t="s">
        <v>445</v>
      </c>
      <c r="B4316" s="1371" t="str">
        <f>HYPERLINK(IFERROR("#Main_Tariff!A"&amp;MATCH(Raeburn_Main_Tariff[[#This Row],[Product Code]],Main_Tariff!I:I,0),"#Main_Tariff!A"&amp;MATCH("*"&amp;RIGHT(A4316,8)&amp;"*",Main_Tariff!A:A,0)),Raeburn_Main_Tariff[[#This Row],[PRODUCER]])</f>
        <v>Stella di Campalto</v>
      </c>
      <c r="C4316" s="1178" t="s">
        <v>22125</v>
      </c>
      <c r="D4316" s="1178" t="s">
        <v>897</v>
      </c>
      <c r="E4316" s="1179">
        <v>2019</v>
      </c>
      <c r="F4316" s="1282" t="s">
        <v>20220</v>
      </c>
      <c r="G4316" s="1368" t="s">
        <v>5258</v>
      </c>
      <c r="H4316" s="1178" t="s">
        <v>20221</v>
      </c>
      <c r="I4316" s="1178" t="s">
        <v>13418</v>
      </c>
      <c r="J4316" s="1178" t="s">
        <v>668</v>
      </c>
      <c r="K4316" s="1178" t="s">
        <v>425</v>
      </c>
      <c r="L4316" s="1178" t="s">
        <v>438</v>
      </c>
      <c r="M4316" s="1369"/>
      <c r="N4316" s="1178"/>
      <c r="O4316" s="1178">
        <v>6</v>
      </c>
      <c r="P4316" s="1178">
        <v>14.5</v>
      </c>
    </row>
    <row r="4317" spans="1:16">
      <c r="A4317" s="1178" t="s">
        <v>445</v>
      </c>
      <c r="B4317" s="1371" t="str">
        <f>HYPERLINK(IFERROR("#Main_Tariff!A"&amp;MATCH(Raeburn_Main_Tariff[[#This Row],[Product Code]],Main_Tariff!I:I,0),"#Main_Tariff!A"&amp;MATCH("*"&amp;RIGHT(A4317,8)&amp;"*",Main_Tariff!A:A,0)),Raeburn_Main_Tariff[[#This Row],[PRODUCER]])</f>
        <v>Stella di Campalto</v>
      </c>
      <c r="C4317" s="1178" t="s">
        <v>22126</v>
      </c>
      <c r="D4317" s="1178" t="s">
        <v>897</v>
      </c>
      <c r="E4317" s="1179"/>
      <c r="F4317" s="1282" t="s">
        <v>20220</v>
      </c>
      <c r="G4317" s="1368"/>
      <c r="H4317" s="1178" t="s">
        <v>3907</v>
      </c>
      <c r="I4317" s="1178" t="s">
        <v>13421</v>
      </c>
      <c r="J4317" s="1178" t="s">
        <v>668</v>
      </c>
      <c r="K4317" s="1178" t="s">
        <v>425</v>
      </c>
      <c r="L4317" s="1178" t="s">
        <v>438</v>
      </c>
      <c r="M4317" s="1369"/>
      <c r="N4317" s="1178"/>
      <c r="O4317" s="1178">
        <v>6</v>
      </c>
      <c r="P4317" s="1178">
        <v>14.5</v>
      </c>
    </row>
    <row r="4318" spans="1:16">
      <c r="A4318" s="1178" t="s">
        <v>445</v>
      </c>
      <c r="B4318" s="1371" t="str">
        <f>HYPERLINK(IFERROR("#Main_Tariff!A"&amp;MATCH(Raeburn_Main_Tariff[[#This Row],[Product Code]],Main_Tariff!I:I,0),"#Main_Tariff!A"&amp;MATCH("*"&amp;RIGHT(A4318,8)&amp;"*",Main_Tariff!A:A,0)),Raeburn_Main_Tariff[[#This Row],[PRODUCER]])</f>
        <v>Stella di Campalto</v>
      </c>
      <c r="C4318" s="1178" t="s">
        <v>22107</v>
      </c>
      <c r="D4318" s="1178" t="s">
        <v>897</v>
      </c>
      <c r="E4318" s="1179"/>
      <c r="F4318" s="1282" t="s">
        <v>20240</v>
      </c>
      <c r="G4318" s="1368" t="s">
        <v>5258</v>
      </c>
      <c r="H4318" s="1178" t="s">
        <v>20224</v>
      </c>
      <c r="I4318" s="1178" t="s">
        <v>13425</v>
      </c>
      <c r="J4318" s="1178" t="s">
        <v>668</v>
      </c>
      <c r="K4318" s="1178" t="s">
        <v>425</v>
      </c>
      <c r="L4318" s="1178" t="s">
        <v>438</v>
      </c>
      <c r="M4318" s="1369"/>
      <c r="N4318" s="1178"/>
      <c r="O4318" s="1178">
        <v>6</v>
      </c>
      <c r="P4318" s="1178">
        <v>14</v>
      </c>
    </row>
    <row r="4319" spans="1:16">
      <c r="A4319" s="1178" t="s">
        <v>445</v>
      </c>
      <c r="B4319" s="1371" t="str">
        <f>HYPERLINK(IFERROR("#Main_Tariff!A"&amp;MATCH(Raeburn_Main_Tariff[[#This Row],[Product Code]],Main_Tariff!I:I,0),"#Main_Tariff!A"&amp;MATCH("*"&amp;RIGHT(A4319,8)&amp;"*",Main_Tariff!A:A,0)),Raeburn_Main_Tariff[[#This Row],[PRODUCER]])</f>
        <v>Stella di Campalto</v>
      </c>
      <c r="C4319" s="1178" t="s">
        <v>22116</v>
      </c>
      <c r="D4319" s="1178" t="s">
        <v>897</v>
      </c>
      <c r="E4319" s="1179">
        <v>2016</v>
      </c>
      <c r="F4319" s="1282" t="s">
        <v>20288</v>
      </c>
      <c r="G4319" s="1368" t="s">
        <v>5258</v>
      </c>
      <c r="H4319" s="1178" t="s">
        <v>20224</v>
      </c>
      <c r="I4319" s="1178" t="s">
        <v>23343</v>
      </c>
      <c r="J4319" s="1178" t="s">
        <v>668</v>
      </c>
      <c r="K4319" s="1178" t="s">
        <v>425</v>
      </c>
      <c r="L4319" s="1178" t="s">
        <v>438</v>
      </c>
      <c r="M4319" s="1369"/>
      <c r="N4319" s="1178"/>
      <c r="O4319" s="1178">
        <v>1</v>
      </c>
      <c r="P4319" s="1178">
        <v>13</v>
      </c>
    </row>
    <row r="4320" spans="1:16">
      <c r="A4320" s="1178" t="s">
        <v>445</v>
      </c>
      <c r="B4320" s="1371" t="str">
        <f>HYPERLINK(IFERROR("#Main_Tariff!A"&amp;MATCH(Raeburn_Main_Tariff[[#This Row],[Product Code]],Main_Tariff!I:I,0),"#Main_Tariff!A"&amp;MATCH("*"&amp;RIGHT(A4320,8)&amp;"*",Main_Tariff!A:A,0)),Raeburn_Main_Tariff[[#This Row],[PRODUCER]])</f>
        <v>Stella di Campalto</v>
      </c>
      <c r="C4320" s="1178" t="s">
        <v>22127</v>
      </c>
      <c r="D4320" s="1178" t="s">
        <v>897</v>
      </c>
      <c r="E4320" s="1179"/>
      <c r="F4320" s="1282" t="s">
        <v>22128</v>
      </c>
      <c r="G4320" s="1368" t="s">
        <v>5258</v>
      </c>
      <c r="H4320" s="1178" t="s">
        <v>20224</v>
      </c>
      <c r="I4320" s="1178" t="s">
        <v>13428</v>
      </c>
      <c r="J4320" s="1178" t="s">
        <v>668</v>
      </c>
      <c r="K4320" s="1178" t="s">
        <v>425</v>
      </c>
      <c r="L4320" s="1178" t="s">
        <v>438</v>
      </c>
      <c r="M4320" s="1369"/>
      <c r="N4320" s="1178"/>
      <c r="O4320" s="1178">
        <v>1</v>
      </c>
      <c r="P4320" s="1178">
        <v>14</v>
      </c>
    </row>
    <row r="4321" spans="1:16">
      <c r="A4321" s="1178" t="s">
        <v>22129</v>
      </c>
      <c r="B4321" s="1371" t="str">
        <f>HYPERLINK(IFERROR("#Main_Tariff!A"&amp;MATCH(Raeburn_Main_Tariff[[#This Row],[Product Code]],Main_Tariff!I:I,0),"#Main_Tariff!A"&amp;MATCH("*"&amp;RIGHT(A4321,8)&amp;"*",Main_Tariff!A:A,0)),Raeburn_Main_Tariff[[#This Row],[PRODUCER]])</f>
        <v>Poderi Sanguineto I&amp;II</v>
      </c>
      <c r="C4321" s="1178" t="s">
        <v>22130</v>
      </c>
      <c r="D4321" s="1178" t="s">
        <v>897</v>
      </c>
      <c r="E4321" s="1179"/>
      <c r="F4321" s="1282" t="s">
        <v>20220</v>
      </c>
      <c r="G4321" s="1368"/>
      <c r="H4321" s="1178" t="s">
        <v>3907</v>
      </c>
      <c r="I4321" s="1178" t="s">
        <v>13495</v>
      </c>
      <c r="J4321" s="1178" t="s">
        <v>668</v>
      </c>
      <c r="K4321" s="1178" t="s">
        <v>425</v>
      </c>
      <c r="L4321" s="1178" t="s">
        <v>446</v>
      </c>
      <c r="M4321" s="1369"/>
      <c r="N4321" s="1178"/>
      <c r="O4321" s="1178">
        <v>12</v>
      </c>
      <c r="P4321" s="1178">
        <v>14.5</v>
      </c>
    </row>
    <row r="4322" spans="1:16">
      <c r="A4322" s="1178" t="s">
        <v>22129</v>
      </c>
      <c r="B4322" s="1371" t="str">
        <f>HYPERLINK(IFERROR("#Main_Tariff!A"&amp;MATCH(Raeburn_Main_Tariff[[#This Row],[Product Code]],Main_Tariff!I:I,0),"#Main_Tariff!A"&amp;MATCH("*"&amp;RIGHT(A4322,8)&amp;"*",Main_Tariff!A:A,0)),Raeburn_Main_Tariff[[#This Row],[PRODUCER]])</f>
        <v>Poderi Sanguineto I&amp;II</v>
      </c>
      <c r="C4322" s="1178" t="s">
        <v>22131</v>
      </c>
      <c r="D4322" s="1178" t="s">
        <v>897</v>
      </c>
      <c r="E4322" s="1179">
        <v>2020</v>
      </c>
      <c r="F4322" s="1282" t="s">
        <v>20220</v>
      </c>
      <c r="G4322" s="1368">
        <v>24.5</v>
      </c>
      <c r="H4322" s="1178" t="s">
        <v>20221</v>
      </c>
      <c r="I4322" s="1178" t="s">
        <v>13499</v>
      </c>
      <c r="J4322" s="1178" t="s">
        <v>668</v>
      </c>
      <c r="K4322" s="1178" t="s">
        <v>425</v>
      </c>
      <c r="L4322" s="1178" t="s">
        <v>446</v>
      </c>
      <c r="M4322" s="1369"/>
      <c r="N4322" s="1178"/>
      <c r="O4322" s="1178">
        <v>12</v>
      </c>
      <c r="P4322" s="1178">
        <v>13.5</v>
      </c>
    </row>
    <row r="4323" spans="1:16">
      <c r="A4323" s="1178" t="s">
        <v>22129</v>
      </c>
      <c r="B4323" s="1371" t="str">
        <f>HYPERLINK(IFERROR("#Main_Tariff!A"&amp;MATCH(Raeburn_Main_Tariff[[#This Row],[Product Code]],Main_Tariff!I:I,0),"#Main_Tariff!A"&amp;MATCH("*"&amp;RIGHT(A4323,8)&amp;"*",Main_Tariff!A:A,0)),Raeburn_Main_Tariff[[#This Row],[PRODUCER]])</f>
        <v>Poderi Sanguineto I&amp;II</v>
      </c>
      <c r="C4323" s="1178" t="s">
        <v>22131</v>
      </c>
      <c r="D4323" s="1178" t="s">
        <v>897</v>
      </c>
      <c r="E4323" s="1179">
        <v>2015</v>
      </c>
      <c r="F4323" s="1282" t="s">
        <v>20220</v>
      </c>
      <c r="G4323" s="1368">
        <v>26</v>
      </c>
      <c r="H4323" s="1178" t="s">
        <v>20221</v>
      </c>
      <c r="I4323" s="1178" t="s">
        <v>13501</v>
      </c>
      <c r="J4323" s="1178" t="s">
        <v>668</v>
      </c>
      <c r="K4323" s="1178" t="s">
        <v>425</v>
      </c>
      <c r="L4323" s="1178" t="s">
        <v>446</v>
      </c>
      <c r="M4323" s="1369"/>
      <c r="N4323" s="1178"/>
      <c r="O4323" s="1178">
        <v>12</v>
      </c>
      <c r="P4323" s="1178">
        <v>14</v>
      </c>
    </row>
    <row r="4324" spans="1:16">
      <c r="A4324" s="1178" t="s">
        <v>22129</v>
      </c>
      <c r="B4324" s="1371" t="str">
        <f>HYPERLINK(IFERROR("#Main_Tariff!A"&amp;MATCH(Raeburn_Main_Tariff[[#This Row],[Product Code]],Main_Tariff!I:I,0),"#Main_Tariff!A"&amp;MATCH("*"&amp;RIGHT(A4324,8)&amp;"*",Main_Tariff!A:A,0)),Raeburn_Main_Tariff[[#This Row],[PRODUCER]])</f>
        <v>Poderi Sanguineto I&amp;II</v>
      </c>
      <c r="C4324" s="1178" t="s">
        <v>22131</v>
      </c>
      <c r="D4324" s="1178" t="s">
        <v>897</v>
      </c>
      <c r="E4324" s="1179">
        <v>2013</v>
      </c>
      <c r="F4324" s="1282" t="s">
        <v>20220</v>
      </c>
      <c r="G4324" s="1368">
        <v>26</v>
      </c>
      <c r="H4324" s="1178" t="s">
        <v>20224</v>
      </c>
      <c r="I4324" s="1178" t="s">
        <v>13503</v>
      </c>
      <c r="J4324" s="1178" t="s">
        <v>668</v>
      </c>
      <c r="K4324" s="1178" t="s">
        <v>425</v>
      </c>
      <c r="L4324" s="1178" t="s">
        <v>446</v>
      </c>
      <c r="M4324" s="1369"/>
      <c r="N4324" s="1178"/>
      <c r="O4324" s="1178">
        <v>12</v>
      </c>
      <c r="P4324" s="1178">
        <v>14</v>
      </c>
    </row>
    <row r="4325" spans="1:16">
      <c r="A4325" s="1178" t="s">
        <v>22129</v>
      </c>
      <c r="B4325" s="1371" t="str">
        <f>HYPERLINK(IFERROR("#Main_Tariff!A"&amp;MATCH(Raeburn_Main_Tariff[[#This Row],[Product Code]],Main_Tariff!I:I,0),"#Main_Tariff!A"&amp;MATCH("*"&amp;RIGHT(A4325,8)&amp;"*",Main_Tariff!A:A,0)),Raeburn_Main_Tariff[[#This Row],[PRODUCER]])</f>
        <v>Poderi Sanguineto I&amp;II</v>
      </c>
      <c r="C4325" s="1178" t="s">
        <v>22132</v>
      </c>
      <c r="D4325" s="1178" t="s">
        <v>897</v>
      </c>
      <c r="E4325" s="1179">
        <v>2019</v>
      </c>
      <c r="F4325" s="1282" t="s">
        <v>20220</v>
      </c>
      <c r="G4325" s="1368">
        <v>32</v>
      </c>
      <c r="H4325" s="1178" t="s">
        <v>20224</v>
      </c>
      <c r="I4325" s="1178" t="s">
        <v>13507</v>
      </c>
      <c r="J4325" s="1178" t="s">
        <v>668</v>
      </c>
      <c r="K4325" s="1178" t="s">
        <v>425</v>
      </c>
      <c r="L4325" s="1178" t="s">
        <v>446</v>
      </c>
      <c r="M4325" s="1369"/>
      <c r="N4325" s="1178"/>
      <c r="O4325" s="1178">
        <v>12</v>
      </c>
      <c r="P4325" s="1178">
        <v>14</v>
      </c>
    </row>
    <row r="4326" spans="1:16">
      <c r="A4326" s="1178" t="s">
        <v>449</v>
      </c>
      <c r="B4326" s="1371" t="str">
        <f>HYPERLINK(IFERROR("#Main_Tariff!A"&amp;MATCH(Raeburn_Main_Tariff[[#This Row],[Product Code]],Main_Tariff!I:I,0),"#Main_Tariff!A"&amp;MATCH("*"&amp;RIGHT(A4326,8)&amp;"*",Main_Tariff!A:A,0)),Raeburn_Main_Tariff[[#This Row],[PRODUCER]])</f>
        <v>Amiata</v>
      </c>
      <c r="C4326" s="1178" t="s">
        <v>22133</v>
      </c>
      <c r="D4326" s="1178" t="s">
        <v>897</v>
      </c>
      <c r="E4326" s="1179">
        <v>2010</v>
      </c>
      <c r="F4326" s="1282" t="s">
        <v>20220</v>
      </c>
      <c r="G4326" s="1368">
        <v>16</v>
      </c>
      <c r="H4326" s="1178" t="s">
        <v>20224</v>
      </c>
      <c r="I4326" s="1178" t="s">
        <v>13520</v>
      </c>
      <c r="J4326" s="1178" t="s">
        <v>668</v>
      </c>
      <c r="K4326" s="1178" t="s">
        <v>425</v>
      </c>
      <c r="L4326" s="1178" t="s">
        <v>448</v>
      </c>
      <c r="M4326" s="1369"/>
      <c r="N4326" s="1178"/>
      <c r="O4326" s="1178">
        <v>6</v>
      </c>
      <c r="P4326" s="1178">
        <v>14.5</v>
      </c>
    </row>
    <row r="4327" spans="1:16">
      <c r="A4327" s="1178" t="s">
        <v>449</v>
      </c>
      <c r="B4327" s="1371" t="str">
        <f>HYPERLINK(IFERROR("#Main_Tariff!A"&amp;MATCH(Raeburn_Main_Tariff[[#This Row],[Product Code]],Main_Tariff!I:I,0),"#Main_Tariff!A"&amp;MATCH("*"&amp;RIGHT(A4327,8)&amp;"*",Main_Tariff!A:A,0)),Raeburn_Main_Tariff[[#This Row],[PRODUCER]])</f>
        <v>Amiata</v>
      </c>
      <c r="C4327" s="1178" t="s">
        <v>22134</v>
      </c>
      <c r="D4327" s="1178" t="s">
        <v>897</v>
      </c>
      <c r="E4327" s="1179">
        <v>2010</v>
      </c>
      <c r="F4327" s="1282" t="s">
        <v>20220</v>
      </c>
      <c r="G4327" s="1368">
        <v>23.25</v>
      </c>
      <c r="H4327" s="1178" t="s">
        <v>20221</v>
      </c>
      <c r="I4327" s="1178" t="s">
        <v>13522</v>
      </c>
      <c r="J4327" s="1178" t="s">
        <v>668</v>
      </c>
      <c r="K4327" s="1178" t="s">
        <v>425</v>
      </c>
      <c r="L4327" s="1178" t="s">
        <v>448</v>
      </c>
      <c r="M4327" s="1369"/>
      <c r="N4327" s="1178"/>
      <c r="O4327" s="1178">
        <v>6</v>
      </c>
      <c r="P4327" s="1178">
        <v>15</v>
      </c>
    </row>
    <row r="4328" spans="1:16">
      <c r="A4328" s="1178" t="s">
        <v>451</v>
      </c>
      <c r="B4328" s="1371" t="str">
        <f>HYPERLINK(IFERROR("#Main_Tariff!A"&amp;MATCH(Raeburn_Main_Tariff[[#This Row],[Product Code]],Main_Tariff!I:I,0),"#Main_Tariff!A"&amp;MATCH("*"&amp;RIGHT(A4328,8)&amp;"*",Main_Tariff!A:A,0)),Raeburn_Main_Tariff[[#This Row],[PRODUCER]])</f>
        <v>Tenuta la Piccola</v>
      </c>
      <c r="C4328" s="1178" t="s">
        <v>22135</v>
      </c>
      <c r="D4328" s="1178" t="s">
        <v>884</v>
      </c>
      <c r="E4328" s="1179">
        <v>2014</v>
      </c>
      <c r="F4328" s="1282" t="s">
        <v>20220</v>
      </c>
      <c r="G4328" s="1368">
        <v>17.5</v>
      </c>
      <c r="H4328" s="1178" t="s">
        <v>20221</v>
      </c>
      <c r="I4328" s="1178" t="s">
        <v>13532</v>
      </c>
      <c r="J4328" s="1178" t="s">
        <v>668</v>
      </c>
      <c r="K4328" s="1178" t="s">
        <v>450</v>
      </c>
      <c r="L4328" s="1178"/>
      <c r="M4328" s="1369"/>
      <c r="N4328" s="1178"/>
      <c r="O4328" s="1178">
        <v>6</v>
      </c>
      <c r="P4328" s="1178">
        <v>11</v>
      </c>
    </row>
    <row r="4329" spans="1:16">
      <c r="A4329" s="1178" t="s">
        <v>451</v>
      </c>
      <c r="B4329" s="1371" t="str">
        <f>HYPERLINK(IFERROR("#Main_Tariff!A"&amp;MATCH(Raeburn_Main_Tariff[[#This Row],[Product Code]],Main_Tariff!I:I,0),"#Main_Tariff!A"&amp;MATCH("*"&amp;RIGHT(A4329,8)&amp;"*",Main_Tariff!A:A,0)),Raeburn_Main_Tariff[[#This Row],[PRODUCER]])</f>
        <v>Tenuta la Piccola</v>
      </c>
      <c r="C4329" s="1178" t="s">
        <v>22136</v>
      </c>
      <c r="D4329" s="1178" t="s">
        <v>897</v>
      </c>
      <c r="E4329" s="1179">
        <v>2012</v>
      </c>
      <c r="F4329" s="1282" t="s">
        <v>20220</v>
      </c>
      <c r="G4329" s="1368">
        <v>15.5</v>
      </c>
      <c r="H4329" s="1178" t="s">
        <v>20221</v>
      </c>
      <c r="I4329" s="1178" t="s">
        <v>13534</v>
      </c>
      <c r="J4329" s="1178" t="s">
        <v>668</v>
      </c>
      <c r="K4329" s="1178" t="s">
        <v>450</v>
      </c>
      <c r="L4329" s="1178"/>
      <c r="M4329" s="1369"/>
      <c r="N4329" s="1178"/>
      <c r="O4329" s="1178">
        <v>7</v>
      </c>
      <c r="P4329" s="1178">
        <v>13</v>
      </c>
    </row>
    <row r="4330" spans="1:16">
      <c r="A4330" s="1178" t="s">
        <v>452</v>
      </c>
      <c r="B4330" s="1371" t="str">
        <f>HYPERLINK(IFERROR("#Main_Tariff!A"&amp;MATCH(Raeburn_Main_Tariff[[#This Row],[Product Code]],Main_Tariff!I:I,0),"#Main_Tariff!A"&amp;MATCH("*"&amp;RIGHT(A4330,8)&amp;"*",Main_Tariff!A:A,0)),Raeburn_Main_Tariff[[#This Row],[PRODUCER]])</f>
        <v>Terre di Macerato</v>
      </c>
      <c r="C4330" s="1178" t="s">
        <v>22137</v>
      </c>
      <c r="D4330" s="1178" t="s">
        <v>897</v>
      </c>
      <c r="E4330" s="1179">
        <v>2015</v>
      </c>
      <c r="F4330" s="1282" t="s">
        <v>20220</v>
      </c>
      <c r="G4330" s="1368">
        <v>15.5</v>
      </c>
      <c r="H4330" s="1178" t="s">
        <v>20221</v>
      </c>
      <c r="I4330" s="1178" t="s">
        <v>13540</v>
      </c>
      <c r="J4330" s="1178" t="s">
        <v>668</v>
      </c>
      <c r="K4330" s="1178" t="s">
        <v>450</v>
      </c>
      <c r="L4330" s="1178"/>
      <c r="M4330" s="1369"/>
      <c r="N4330" s="1178"/>
      <c r="O4330" s="1178">
        <v>6</v>
      </c>
      <c r="P4330" s="1178">
        <v>13</v>
      </c>
    </row>
    <row r="4331" spans="1:16">
      <c r="A4331" s="1178" t="s">
        <v>452</v>
      </c>
      <c r="B4331" s="1371" t="str">
        <f>HYPERLINK(IFERROR("#Main_Tariff!A"&amp;MATCH(Raeburn_Main_Tariff[[#This Row],[Product Code]],Main_Tariff!I:I,0),"#Main_Tariff!A"&amp;MATCH("*"&amp;RIGHT(A4331,8)&amp;"*",Main_Tariff!A:A,0)),Raeburn_Main_Tariff[[#This Row],[PRODUCER]])</f>
        <v>Terre di Macerato</v>
      </c>
      <c r="C4331" s="1178" t="s">
        <v>22137</v>
      </c>
      <c r="D4331" s="1178" t="s">
        <v>897</v>
      </c>
      <c r="E4331" s="1179">
        <v>2014</v>
      </c>
      <c r="F4331" s="1282" t="s">
        <v>20220</v>
      </c>
      <c r="G4331" s="1368">
        <v>15</v>
      </c>
      <c r="H4331" s="1178" t="s">
        <v>20221</v>
      </c>
      <c r="I4331" s="1178" t="s">
        <v>13542</v>
      </c>
      <c r="J4331" s="1178" t="s">
        <v>668</v>
      </c>
      <c r="K4331" s="1178" t="s">
        <v>450</v>
      </c>
      <c r="L4331" s="1178"/>
      <c r="M4331" s="1369"/>
      <c r="N4331" s="1178"/>
      <c r="O4331" s="1178">
        <v>6</v>
      </c>
      <c r="P4331" s="1178">
        <v>12.5</v>
      </c>
    </row>
    <row r="4332" spans="1:16">
      <c r="A4332" s="1178" t="s">
        <v>22138</v>
      </c>
      <c r="B4332" s="1371" t="str">
        <f>HYPERLINK(IFERROR("#Main_Tariff!A"&amp;MATCH(Raeburn_Main_Tariff[[#This Row],[Product Code]],Main_Tariff!I:I,0),"#Main_Tariff!A"&amp;MATCH("*"&amp;RIGHT(A4332,8)&amp;"*",Main_Tariff!A:A,0)),Raeburn_Main_Tariff[[#This Row],[PRODUCER]])</f>
        <v>Abbia Nova</v>
      </c>
      <c r="C4332" s="1178" t="s">
        <v>22139</v>
      </c>
      <c r="D4332" s="1178" t="s">
        <v>1129</v>
      </c>
      <c r="E4332" s="1179">
        <v>2019</v>
      </c>
      <c r="F4332" s="1282" t="s">
        <v>20220</v>
      </c>
      <c r="G4332" s="1368">
        <v>15</v>
      </c>
      <c r="H4332" s="1178" t="s">
        <v>20221</v>
      </c>
      <c r="I4332" s="1178" t="s">
        <v>13557</v>
      </c>
      <c r="J4332" s="1178" t="s">
        <v>668</v>
      </c>
      <c r="K4332" s="1178" t="s">
        <v>453</v>
      </c>
      <c r="L4332" s="1178"/>
      <c r="M4332" s="1369"/>
      <c r="N4332" s="1178"/>
      <c r="O4332" s="1178">
        <v>6</v>
      </c>
      <c r="P4332" s="1178">
        <v>12</v>
      </c>
    </row>
    <row r="4333" spans="1:16">
      <c r="A4333" s="1178" t="s">
        <v>22138</v>
      </c>
      <c r="B4333" s="1371" t="str">
        <f>HYPERLINK(IFERROR("#Main_Tariff!A"&amp;MATCH(Raeburn_Main_Tariff[[#This Row],[Product Code]],Main_Tariff!I:I,0),"#Main_Tariff!A"&amp;MATCH("*"&amp;RIGHT(A4333,8)&amp;"*",Main_Tariff!A:A,0)),Raeburn_Main_Tariff[[#This Row],[PRODUCER]])</f>
        <v>Abbia Nova</v>
      </c>
      <c r="C4333" s="1178" t="s">
        <v>22140</v>
      </c>
      <c r="D4333" s="1178" t="s">
        <v>897</v>
      </c>
      <c r="E4333" s="1179">
        <v>2019</v>
      </c>
      <c r="F4333" s="1282" t="s">
        <v>20220</v>
      </c>
      <c r="G4333" s="1368">
        <v>15</v>
      </c>
      <c r="H4333" s="1178" t="s">
        <v>20221</v>
      </c>
      <c r="I4333" s="1178" t="s">
        <v>13559</v>
      </c>
      <c r="J4333" s="1178" t="s">
        <v>668</v>
      </c>
      <c r="K4333" s="1178" t="s">
        <v>453</v>
      </c>
      <c r="L4333" s="1178"/>
      <c r="M4333" s="1369"/>
      <c r="N4333" s="1178"/>
      <c r="O4333" s="1178">
        <v>6</v>
      </c>
      <c r="P4333" s="1178">
        <v>13.5</v>
      </c>
    </row>
    <row r="4334" spans="1:16">
      <c r="A4334" s="1178" t="s">
        <v>22138</v>
      </c>
      <c r="B4334" s="1371" t="str">
        <f>HYPERLINK(IFERROR("#Main_Tariff!A"&amp;MATCH(Raeburn_Main_Tariff[[#This Row],[Product Code]],Main_Tariff!I:I,0),"#Main_Tariff!A"&amp;MATCH("*"&amp;RIGHT(A4334,8)&amp;"*",Main_Tariff!A:A,0)),Raeburn_Main_Tariff[[#This Row],[PRODUCER]])</f>
        <v>Abbia Nova</v>
      </c>
      <c r="C4334" s="1178" t="s">
        <v>22141</v>
      </c>
      <c r="D4334" s="1178" t="s">
        <v>897</v>
      </c>
      <c r="E4334" s="1179">
        <v>2014</v>
      </c>
      <c r="F4334" s="1282" t="s">
        <v>20220</v>
      </c>
      <c r="G4334" s="1368">
        <v>33</v>
      </c>
      <c r="H4334" s="1178" t="s">
        <v>20221</v>
      </c>
      <c r="I4334" s="1178" t="s">
        <v>13563</v>
      </c>
      <c r="J4334" s="1178" t="s">
        <v>668</v>
      </c>
      <c r="K4334" s="1178" t="s">
        <v>453</v>
      </c>
      <c r="L4334" s="1178"/>
      <c r="M4334" s="1369"/>
      <c r="N4334" s="1178"/>
      <c r="O4334" s="1178">
        <v>6</v>
      </c>
      <c r="P4334" s="1178">
        <v>14</v>
      </c>
    </row>
    <row r="4335" spans="1:16">
      <c r="A4335" s="1178" t="s">
        <v>22138</v>
      </c>
      <c r="B4335" s="1371" t="str">
        <f>HYPERLINK(IFERROR("#Main_Tariff!A"&amp;MATCH(Raeburn_Main_Tariff[[#This Row],[Product Code]],Main_Tariff!I:I,0),"#Main_Tariff!A"&amp;MATCH("*"&amp;RIGHT(A4335,8)&amp;"*",Main_Tariff!A:A,0)),Raeburn_Main_Tariff[[#This Row],[PRODUCER]])</f>
        <v>Abbia Nova</v>
      </c>
      <c r="C4335" s="1178" t="s">
        <v>22142</v>
      </c>
      <c r="D4335" s="1178" t="s">
        <v>897</v>
      </c>
      <c r="E4335" s="1179">
        <v>2014</v>
      </c>
      <c r="F4335" s="1282" t="s">
        <v>20220</v>
      </c>
      <c r="G4335" s="1368">
        <v>31.5</v>
      </c>
      <c r="H4335" s="1178" t="s">
        <v>20221</v>
      </c>
      <c r="I4335" s="1178" t="s">
        <v>13565</v>
      </c>
      <c r="J4335" s="1178" t="s">
        <v>668</v>
      </c>
      <c r="K4335" s="1178" t="s">
        <v>453</v>
      </c>
      <c r="L4335" s="1178"/>
      <c r="M4335" s="1369"/>
      <c r="N4335" s="1178"/>
      <c r="O4335" s="1178">
        <v>6</v>
      </c>
      <c r="P4335" s="1178">
        <v>13.5</v>
      </c>
    </row>
    <row r="4336" spans="1:16">
      <c r="A4336" s="1178" t="s">
        <v>456</v>
      </c>
      <c r="B4336" s="1371" t="str">
        <f>HYPERLINK(IFERROR("#Main_Tariff!A"&amp;MATCH(Raeburn_Main_Tariff[[#This Row],[Product Code]],Main_Tariff!I:I,0),"#Main_Tariff!A"&amp;MATCH("*"&amp;RIGHT(A4336,8)&amp;"*",Main_Tariff!A:A,0)),Raeburn_Main_Tariff[[#This Row],[PRODUCER]])</f>
        <v>Marca di San Michele</v>
      </c>
      <c r="C4336" s="1178" t="s">
        <v>22143</v>
      </c>
      <c r="D4336" s="1178" t="s">
        <v>1129</v>
      </c>
      <c r="E4336" s="1179">
        <v>2018</v>
      </c>
      <c r="F4336" s="1282" t="s">
        <v>20220</v>
      </c>
      <c r="G4336" s="1368">
        <v>14.75</v>
      </c>
      <c r="H4336" s="1178" t="s">
        <v>20221</v>
      </c>
      <c r="I4336" s="1178" t="s">
        <v>13572</v>
      </c>
      <c r="J4336" s="1178" t="s">
        <v>668</v>
      </c>
      <c r="K4336" s="1178" t="s">
        <v>455</v>
      </c>
      <c r="L4336" s="1178"/>
      <c r="M4336" s="1369"/>
      <c r="N4336" s="1178"/>
      <c r="O4336" s="1178">
        <v>12</v>
      </c>
      <c r="P4336" s="1178">
        <v>13.5</v>
      </c>
    </row>
    <row r="4337" spans="1:16">
      <c r="A4337" s="1178" t="s">
        <v>456</v>
      </c>
      <c r="B4337" s="1371" t="str">
        <f>HYPERLINK(IFERROR("#Main_Tariff!A"&amp;MATCH(Raeburn_Main_Tariff[[#This Row],[Product Code]],Main_Tariff!I:I,0),"#Main_Tariff!A"&amp;MATCH("*"&amp;RIGHT(A4337,8)&amp;"*",Main_Tariff!A:A,0)),Raeburn_Main_Tariff[[#This Row],[PRODUCER]])</f>
        <v>Marca di San Michele</v>
      </c>
      <c r="C4337" s="1178" t="s">
        <v>22143</v>
      </c>
      <c r="D4337" s="1178" t="s">
        <v>1129</v>
      </c>
      <c r="E4337" s="1179">
        <v>2017</v>
      </c>
      <c r="F4337" s="1282" t="s">
        <v>20220</v>
      </c>
      <c r="G4337" s="1368">
        <v>14.75</v>
      </c>
      <c r="H4337" s="1178" t="s">
        <v>20221</v>
      </c>
      <c r="I4337" s="1178" t="s">
        <v>13574</v>
      </c>
      <c r="J4337" s="1178" t="s">
        <v>668</v>
      </c>
      <c r="K4337" s="1178" t="s">
        <v>455</v>
      </c>
      <c r="L4337" s="1178"/>
      <c r="M4337" s="1369"/>
      <c r="N4337" s="1178"/>
      <c r="O4337" s="1178">
        <v>12</v>
      </c>
      <c r="P4337" s="1178">
        <v>13</v>
      </c>
    </row>
    <row r="4338" spans="1:16">
      <c r="A4338" s="1178" t="s">
        <v>456</v>
      </c>
      <c r="B4338" s="1371" t="str">
        <f>HYPERLINK(IFERROR("#Main_Tariff!A"&amp;MATCH(Raeburn_Main_Tariff[[#This Row],[Product Code]],Main_Tariff!I:I,0),"#Main_Tariff!A"&amp;MATCH("*"&amp;RIGHT(A4338,8)&amp;"*",Main_Tariff!A:A,0)),Raeburn_Main_Tariff[[#This Row],[PRODUCER]])</f>
        <v>Marca di San Michele</v>
      </c>
      <c r="C4338" s="1178" t="s">
        <v>22144</v>
      </c>
      <c r="D4338" s="1178" t="s">
        <v>1129</v>
      </c>
      <c r="E4338" s="1179">
        <v>2011</v>
      </c>
      <c r="F4338" s="1282" t="s">
        <v>20220</v>
      </c>
      <c r="G4338" s="1368">
        <v>17.5</v>
      </c>
      <c r="H4338" s="1178" t="s">
        <v>20277</v>
      </c>
      <c r="I4338" s="1178" t="s">
        <v>13577</v>
      </c>
      <c r="J4338" s="1178" t="s">
        <v>668</v>
      </c>
      <c r="K4338" s="1178" t="s">
        <v>455</v>
      </c>
      <c r="L4338" s="1178"/>
      <c r="M4338" s="1369"/>
      <c r="N4338" s="1178"/>
      <c r="O4338" s="1178">
        <v>6</v>
      </c>
      <c r="P4338" s="1178">
        <v>13</v>
      </c>
    </row>
    <row r="4339" spans="1:16">
      <c r="A4339" s="1178" t="s">
        <v>456</v>
      </c>
      <c r="B4339" s="1371" t="str">
        <f>HYPERLINK(IFERROR("#Main_Tariff!A"&amp;MATCH(Raeburn_Main_Tariff[[#This Row],[Product Code]],Main_Tariff!I:I,0),"#Main_Tariff!A"&amp;MATCH("*"&amp;RIGHT(A4339,8)&amp;"*",Main_Tariff!A:A,0)),Raeburn_Main_Tariff[[#This Row],[PRODUCER]])</f>
        <v>Marca di San Michele</v>
      </c>
      <c r="C4339" s="1178" t="s">
        <v>22145</v>
      </c>
      <c r="D4339" s="1178" t="s">
        <v>897</v>
      </c>
      <c r="E4339" s="1179">
        <v>2016</v>
      </c>
      <c r="F4339" s="1282" t="s">
        <v>20220</v>
      </c>
      <c r="G4339" s="1368">
        <v>15.5</v>
      </c>
      <c r="H4339" s="1178" t="s">
        <v>20221</v>
      </c>
      <c r="I4339" s="1178" t="s">
        <v>13580</v>
      </c>
      <c r="J4339" s="1178" t="s">
        <v>668</v>
      </c>
      <c r="K4339" s="1178" t="s">
        <v>455</v>
      </c>
      <c r="L4339" s="1178"/>
      <c r="M4339" s="1369"/>
      <c r="N4339" s="1178"/>
      <c r="O4339" s="1178">
        <v>12</v>
      </c>
      <c r="P4339" s="1178">
        <v>13</v>
      </c>
    </row>
    <row r="4340" spans="1:16">
      <c r="A4340" s="1178" t="s">
        <v>22146</v>
      </c>
      <c r="B4340" s="1371" t="str">
        <f>HYPERLINK(IFERROR("#Main_Tariff!A"&amp;MATCH(Raeburn_Main_Tariff[[#This Row],[Product Code]],Main_Tariff!I:I,0),"#Main_Tariff!A"&amp;MATCH("*"&amp;RIGHT(A4340,8)&amp;"*",Main_Tariff!A:A,0)),Raeburn_Main_Tariff[[#This Row],[PRODUCER]])</f>
        <v>D'Alesio aka Tenuta del Professore</v>
      </c>
      <c r="C4340" s="1178" t="s">
        <v>22147</v>
      </c>
      <c r="D4340" s="1178" t="s">
        <v>1129</v>
      </c>
      <c r="E4340" s="1179">
        <v>2015</v>
      </c>
      <c r="F4340" s="1282" t="s">
        <v>20220</v>
      </c>
      <c r="G4340" s="1368">
        <v>28</v>
      </c>
      <c r="H4340" s="1178" t="s">
        <v>20221</v>
      </c>
      <c r="I4340" s="1178" t="s">
        <v>13589</v>
      </c>
      <c r="J4340" s="1178" t="s">
        <v>668</v>
      </c>
      <c r="K4340" s="1178" t="s">
        <v>457</v>
      </c>
      <c r="L4340" s="1178"/>
      <c r="M4340" s="1369"/>
      <c r="N4340" s="1178"/>
      <c r="O4340" s="1178">
        <v>6</v>
      </c>
      <c r="P4340" s="1178">
        <v>13</v>
      </c>
    </row>
    <row r="4341" spans="1:16">
      <c r="A4341" s="1178" t="s">
        <v>22146</v>
      </c>
      <c r="B4341" s="1371" t="str">
        <f>HYPERLINK(IFERROR("#Main_Tariff!A"&amp;MATCH(Raeburn_Main_Tariff[[#This Row],[Product Code]],Main_Tariff!I:I,0),"#Main_Tariff!A"&amp;MATCH("*"&amp;RIGHT(A4341,8)&amp;"*",Main_Tariff!A:A,0)),Raeburn_Main_Tariff[[#This Row],[PRODUCER]])</f>
        <v>D'Alesio aka Tenuta del Professore</v>
      </c>
      <c r="C4341" s="1178" t="s">
        <v>22148</v>
      </c>
      <c r="D4341" s="1178" t="s">
        <v>1129</v>
      </c>
      <c r="E4341" s="1179">
        <v>2015</v>
      </c>
      <c r="F4341" s="1282" t="s">
        <v>20240</v>
      </c>
      <c r="G4341" s="1368">
        <v>55.5</v>
      </c>
      <c r="H4341" s="1178" t="s">
        <v>20224</v>
      </c>
      <c r="I4341" s="1178" t="s">
        <v>13591</v>
      </c>
      <c r="J4341" s="1178" t="s">
        <v>668</v>
      </c>
      <c r="K4341" s="1178" t="s">
        <v>457</v>
      </c>
      <c r="L4341" s="1178"/>
      <c r="M4341" s="1369"/>
      <c r="N4341" s="1178"/>
      <c r="O4341" s="1178">
        <v>1</v>
      </c>
      <c r="P4341" s="1178">
        <v>13</v>
      </c>
    </row>
    <row r="4342" spans="1:16">
      <c r="A4342" s="1178" t="s">
        <v>22146</v>
      </c>
      <c r="B4342" s="1371" t="str">
        <f>HYPERLINK(IFERROR("#Main_Tariff!A"&amp;MATCH(Raeburn_Main_Tariff[[#This Row],[Product Code]],Main_Tariff!I:I,0),"#Main_Tariff!A"&amp;MATCH("*"&amp;RIGHT(A4342,8)&amp;"*",Main_Tariff!A:A,0)),Raeburn_Main_Tariff[[#This Row],[PRODUCER]])</f>
        <v>D'Alesio aka Tenuta del Professore</v>
      </c>
      <c r="C4342" s="1178" t="s">
        <v>22148</v>
      </c>
      <c r="D4342" s="1178" t="s">
        <v>1129</v>
      </c>
      <c r="E4342" s="1179">
        <v>2013</v>
      </c>
      <c r="F4342" s="1282" t="s">
        <v>20240</v>
      </c>
      <c r="G4342" s="1368">
        <v>55.5</v>
      </c>
      <c r="H4342" s="1178" t="s">
        <v>20224</v>
      </c>
      <c r="I4342" s="1178" t="s">
        <v>13593</v>
      </c>
      <c r="J4342" s="1178" t="s">
        <v>668</v>
      </c>
      <c r="K4342" s="1178" t="s">
        <v>457</v>
      </c>
      <c r="L4342" s="1178"/>
      <c r="M4342" s="1369"/>
      <c r="N4342" s="1178"/>
      <c r="O4342" s="1178">
        <v>1</v>
      </c>
      <c r="P4342" s="1178">
        <v>13.5</v>
      </c>
    </row>
    <row r="4343" spans="1:16">
      <c r="A4343" s="1178" t="s">
        <v>22146</v>
      </c>
      <c r="B4343" s="1371" t="str">
        <f>HYPERLINK(IFERROR("#Main_Tariff!A"&amp;MATCH(Raeburn_Main_Tariff[[#This Row],[Product Code]],Main_Tariff!I:I,0),"#Main_Tariff!A"&amp;MATCH("*"&amp;RIGHT(A4343,8)&amp;"*",Main_Tariff!A:A,0)),Raeburn_Main_Tariff[[#This Row],[PRODUCER]])</f>
        <v>D'Alesio aka Tenuta del Professore</v>
      </c>
      <c r="C4343" s="1178" t="s">
        <v>22149</v>
      </c>
      <c r="D4343" s="1178" t="s">
        <v>897</v>
      </c>
      <c r="E4343" s="1179">
        <v>2015</v>
      </c>
      <c r="F4343" s="1282" t="s">
        <v>20220</v>
      </c>
      <c r="G4343" s="1368">
        <v>30.5</v>
      </c>
      <c r="H4343" s="1178" t="s">
        <v>20221</v>
      </c>
      <c r="I4343" s="1178" t="s">
        <v>13597</v>
      </c>
      <c r="J4343" s="1178" t="s">
        <v>668</v>
      </c>
      <c r="K4343" s="1178" t="s">
        <v>457</v>
      </c>
      <c r="L4343" s="1178"/>
      <c r="M4343" s="1369"/>
      <c r="N4343" s="1178"/>
      <c r="O4343" s="1178">
        <v>6</v>
      </c>
      <c r="P4343" s="1178">
        <v>13.5</v>
      </c>
    </row>
    <row r="4344" spans="1:16">
      <c r="A4344" s="1178" t="s">
        <v>459</v>
      </c>
      <c r="B4344" s="1371" t="str">
        <f>HYPERLINK(IFERROR("#Main_Tariff!A"&amp;MATCH(Raeburn_Main_Tariff[[#This Row],[Product Code]],Main_Tariff!I:I,0),"#Main_Tariff!A"&amp;MATCH("*"&amp;RIGHT(A4344,8)&amp;"*",Main_Tariff!A:A,0)),Raeburn_Main_Tariff[[#This Row],[PRODUCER]])</f>
        <v>Praesidium</v>
      </c>
      <c r="C4344" s="1178" t="s">
        <v>22150</v>
      </c>
      <c r="D4344" s="1178" t="s">
        <v>1129</v>
      </c>
      <c r="E4344" s="1179">
        <v>2020</v>
      </c>
      <c r="F4344" s="1282" t="s">
        <v>20220</v>
      </c>
      <c r="G4344" s="1368">
        <v>27.5</v>
      </c>
      <c r="H4344" s="1178" t="s">
        <v>20221</v>
      </c>
      <c r="I4344" s="1178" t="s">
        <v>13617</v>
      </c>
      <c r="J4344" s="1178" t="s">
        <v>668</v>
      </c>
      <c r="K4344" s="1178" t="s">
        <v>457</v>
      </c>
      <c r="L4344" s="1178"/>
      <c r="M4344" s="1369"/>
      <c r="N4344" s="1178"/>
      <c r="O4344" s="1178">
        <v>6</v>
      </c>
      <c r="P4344" s="1178">
        <v>13</v>
      </c>
    </row>
    <row r="4345" spans="1:16">
      <c r="A4345" s="1178" t="s">
        <v>459</v>
      </c>
      <c r="B4345" s="1371" t="str">
        <f>HYPERLINK(IFERROR("#Main_Tariff!A"&amp;MATCH(Raeburn_Main_Tariff[[#This Row],[Product Code]],Main_Tariff!I:I,0),"#Main_Tariff!A"&amp;MATCH("*"&amp;RIGHT(A4345,8)&amp;"*",Main_Tariff!A:A,0)),Raeburn_Main_Tariff[[#This Row],[PRODUCER]])</f>
        <v>Praesidium</v>
      </c>
      <c r="C4345" s="1178" t="s">
        <v>22150</v>
      </c>
      <c r="D4345" s="1178" t="s">
        <v>1129</v>
      </c>
      <c r="E4345" s="1179">
        <v>2019</v>
      </c>
      <c r="F4345" s="1282" t="s">
        <v>20220</v>
      </c>
      <c r="G4345" s="1368">
        <v>27</v>
      </c>
      <c r="H4345" s="1178" t="s">
        <v>20224</v>
      </c>
      <c r="I4345" s="1178" t="s">
        <v>13619</v>
      </c>
      <c r="J4345" s="1178" t="s">
        <v>668</v>
      </c>
      <c r="K4345" s="1178" t="s">
        <v>457</v>
      </c>
      <c r="L4345" s="1178"/>
      <c r="M4345" s="1369"/>
      <c r="N4345" s="1178"/>
      <c r="O4345" s="1178">
        <v>6</v>
      </c>
      <c r="P4345" s="1178">
        <v>13.5</v>
      </c>
    </row>
    <row r="4346" spans="1:16">
      <c r="A4346" s="1178" t="s">
        <v>459</v>
      </c>
      <c r="B4346" s="1371" t="str">
        <f>HYPERLINK(IFERROR("#Main_Tariff!A"&amp;MATCH(Raeburn_Main_Tariff[[#This Row],[Product Code]],Main_Tariff!I:I,0),"#Main_Tariff!A"&amp;MATCH("*"&amp;RIGHT(A4346,8)&amp;"*",Main_Tariff!A:A,0)),Raeburn_Main_Tariff[[#This Row],[PRODUCER]])</f>
        <v>Praesidium</v>
      </c>
      <c r="C4346" s="1178" t="s">
        <v>22151</v>
      </c>
      <c r="D4346" s="1178" t="s">
        <v>897</v>
      </c>
      <c r="E4346" s="1179">
        <v>2020</v>
      </c>
      <c r="F4346" s="1282" t="s">
        <v>20220</v>
      </c>
      <c r="G4346" s="1368">
        <v>22.95</v>
      </c>
      <c r="H4346" s="1178" t="s">
        <v>20221</v>
      </c>
      <c r="I4346" s="1178" t="s">
        <v>13623</v>
      </c>
      <c r="J4346" s="1178" t="s">
        <v>668</v>
      </c>
      <c r="K4346" s="1178" t="s">
        <v>457</v>
      </c>
      <c r="L4346" s="1178"/>
      <c r="M4346" s="1369"/>
      <c r="N4346" s="1178"/>
      <c r="O4346" s="1178">
        <v>6</v>
      </c>
      <c r="P4346" s="1178">
        <v>14</v>
      </c>
    </row>
    <row r="4347" spans="1:16">
      <c r="A4347" s="1178" t="s">
        <v>459</v>
      </c>
      <c r="B4347" s="1371" t="str">
        <f>HYPERLINK(IFERROR("#Main_Tariff!A"&amp;MATCH(Raeburn_Main_Tariff[[#This Row],[Product Code]],Main_Tariff!I:I,0),"#Main_Tariff!A"&amp;MATCH("*"&amp;RIGHT(A4347,8)&amp;"*",Main_Tariff!A:A,0)),Raeburn_Main_Tariff[[#This Row],[PRODUCER]])</f>
        <v>Praesidium</v>
      </c>
      <c r="C4347" s="1178" t="s">
        <v>22151</v>
      </c>
      <c r="D4347" s="1178" t="s">
        <v>897</v>
      </c>
      <c r="E4347" s="1179">
        <v>2019</v>
      </c>
      <c r="F4347" s="1282" t="s">
        <v>20220</v>
      </c>
      <c r="G4347" s="1368">
        <v>22.95</v>
      </c>
      <c r="H4347" s="1178" t="s">
        <v>20221</v>
      </c>
      <c r="I4347" s="1178" t="s">
        <v>13625</v>
      </c>
      <c r="J4347" s="1178" t="s">
        <v>668</v>
      </c>
      <c r="K4347" s="1178" t="s">
        <v>457</v>
      </c>
      <c r="L4347" s="1178"/>
      <c r="M4347" s="1369"/>
      <c r="N4347" s="1178"/>
      <c r="O4347" s="1178">
        <v>6</v>
      </c>
      <c r="P4347" s="1178">
        <v>14</v>
      </c>
    </row>
    <row r="4348" spans="1:16">
      <c r="A4348" s="1178" t="s">
        <v>459</v>
      </c>
      <c r="B4348" s="1371" t="str">
        <f>HYPERLINK(IFERROR("#Main_Tariff!A"&amp;MATCH(Raeburn_Main_Tariff[[#This Row],[Product Code]],Main_Tariff!I:I,0),"#Main_Tariff!A"&amp;MATCH("*"&amp;RIGHT(A4348,8)&amp;"*",Main_Tariff!A:A,0)),Raeburn_Main_Tariff[[#This Row],[PRODUCER]])</f>
        <v>Praesidium</v>
      </c>
      <c r="C4348" s="1178" t="s">
        <v>22152</v>
      </c>
      <c r="D4348" s="1178" t="s">
        <v>897</v>
      </c>
      <c r="E4348" s="1179">
        <v>2015</v>
      </c>
      <c r="F4348" s="1282" t="s">
        <v>20220</v>
      </c>
      <c r="G4348" s="1368">
        <v>36</v>
      </c>
      <c r="H4348" s="1178" t="s">
        <v>20224</v>
      </c>
      <c r="I4348" s="1178" t="s">
        <v>13627</v>
      </c>
      <c r="J4348" s="1178" t="s">
        <v>668</v>
      </c>
      <c r="K4348" s="1178" t="s">
        <v>457</v>
      </c>
      <c r="L4348" s="1178"/>
      <c r="M4348" s="1369"/>
      <c r="N4348" s="1178"/>
      <c r="O4348" s="1178">
        <v>6</v>
      </c>
      <c r="P4348" s="1178">
        <v>14.5</v>
      </c>
    </row>
    <row r="4349" spans="1:16">
      <c r="A4349" s="1178" t="s">
        <v>459</v>
      </c>
      <c r="B4349" s="1371" t="str">
        <f>HYPERLINK(IFERROR("#Main_Tariff!A"&amp;MATCH(Raeburn_Main_Tariff[[#This Row],[Product Code]],Main_Tariff!I:I,0),"#Main_Tariff!A"&amp;MATCH("*"&amp;RIGHT(A4349,8)&amp;"*",Main_Tariff!A:A,0)),Raeburn_Main_Tariff[[#This Row],[PRODUCER]])</f>
        <v>Praesidium</v>
      </c>
      <c r="C4349" s="1178" t="s">
        <v>22152</v>
      </c>
      <c r="D4349" s="1178" t="s">
        <v>897</v>
      </c>
      <c r="E4349" s="1179">
        <v>2012</v>
      </c>
      <c r="F4349" s="1282" t="s">
        <v>20220</v>
      </c>
      <c r="G4349" s="1368">
        <v>36</v>
      </c>
      <c r="H4349" s="1178" t="s">
        <v>20221</v>
      </c>
      <c r="I4349" s="1178" t="s">
        <v>13629</v>
      </c>
      <c r="J4349" s="1178" t="s">
        <v>668</v>
      </c>
      <c r="K4349" s="1178" t="s">
        <v>457</v>
      </c>
      <c r="L4349" s="1178"/>
      <c r="M4349" s="1369"/>
      <c r="N4349" s="1178"/>
      <c r="O4349" s="1178">
        <v>6</v>
      </c>
      <c r="P4349" s="1178">
        <v>13.5</v>
      </c>
    </row>
    <row r="4350" spans="1:16">
      <c r="A4350" s="1178" t="s">
        <v>459</v>
      </c>
      <c r="B4350" s="1371" t="str">
        <f>HYPERLINK(IFERROR("#Main_Tariff!A"&amp;MATCH(Raeburn_Main_Tariff[[#This Row],[Product Code]],Main_Tariff!I:I,0),"#Main_Tariff!A"&amp;MATCH("*"&amp;RIGHT(A4350,8)&amp;"*",Main_Tariff!A:A,0)),Raeburn_Main_Tariff[[#This Row],[PRODUCER]])</f>
        <v>Praesidium</v>
      </c>
      <c r="C4350" s="1178" t="s">
        <v>22153</v>
      </c>
      <c r="D4350" s="1178" t="s">
        <v>6904</v>
      </c>
      <c r="E4350" s="1179"/>
      <c r="F4350" s="1282" t="s">
        <v>20313</v>
      </c>
      <c r="G4350" s="1368">
        <v>22</v>
      </c>
      <c r="H4350" s="1178" t="s">
        <v>20221</v>
      </c>
      <c r="I4350" s="1178" t="s">
        <v>13632</v>
      </c>
      <c r="J4350" s="1178" t="s">
        <v>668</v>
      </c>
      <c r="K4350" s="1178" t="s">
        <v>457</v>
      </c>
      <c r="L4350" s="1178"/>
      <c r="M4350" s="1369"/>
      <c r="N4350" s="1178"/>
      <c r="O4350" s="1178">
        <v>6</v>
      </c>
      <c r="P4350" s="1178">
        <v>26.5</v>
      </c>
    </row>
    <row r="4351" spans="1:16">
      <c r="A4351" s="1178" t="s">
        <v>460</v>
      </c>
      <c r="B4351" s="1371" t="str">
        <f>HYPERLINK(IFERROR("#Main_Tariff!A"&amp;MATCH(Raeburn_Main_Tariff[[#This Row],[Product Code]],Main_Tariff!I:I,0),"#Main_Tariff!A"&amp;MATCH("*"&amp;RIGHT(A4351,8)&amp;"*",Main_Tariff!A:A,0)),Raeburn_Main_Tariff[[#This Row],[PRODUCER]])</f>
        <v>De Sanctis</v>
      </c>
      <c r="C4351" s="1178" t="s">
        <v>22154</v>
      </c>
      <c r="D4351" s="1178" t="s">
        <v>1129</v>
      </c>
      <c r="E4351" s="1179">
        <v>2022</v>
      </c>
      <c r="F4351" s="1282" t="s">
        <v>20220</v>
      </c>
      <c r="G4351" s="1368">
        <v>17</v>
      </c>
      <c r="H4351" s="1178" t="s">
        <v>20221</v>
      </c>
      <c r="I4351" s="1178" t="s">
        <v>13648</v>
      </c>
      <c r="J4351" s="1178" t="s">
        <v>668</v>
      </c>
      <c r="K4351" s="1178" t="s">
        <v>453</v>
      </c>
      <c r="L4351" s="1178"/>
      <c r="M4351" s="1369"/>
      <c r="N4351" s="1178"/>
      <c r="O4351" s="1178">
        <v>6</v>
      </c>
      <c r="P4351" s="1178">
        <v>13</v>
      </c>
    </row>
    <row r="4352" spans="1:16">
      <c r="A4352" s="1178" t="s">
        <v>460</v>
      </c>
      <c r="B4352" s="1371" t="str">
        <f>HYPERLINK(IFERROR("#Main_Tariff!A"&amp;MATCH(Raeburn_Main_Tariff[[#This Row],[Product Code]],Main_Tariff!I:I,0),"#Main_Tariff!A"&amp;MATCH("*"&amp;RIGHT(A4352,8)&amp;"*",Main_Tariff!A:A,0)),Raeburn_Main_Tariff[[#This Row],[PRODUCER]])</f>
        <v>De Sanctis</v>
      </c>
      <c r="C4352" s="1178" t="s">
        <v>22155</v>
      </c>
      <c r="D4352" s="1178" t="s">
        <v>1129</v>
      </c>
      <c r="E4352" s="1179">
        <v>2022</v>
      </c>
      <c r="F4352" s="1282" t="s">
        <v>20220</v>
      </c>
      <c r="G4352" s="1368">
        <v>17</v>
      </c>
      <c r="H4352" s="1178" t="s">
        <v>20221</v>
      </c>
      <c r="I4352" s="1178" t="s">
        <v>13650</v>
      </c>
      <c r="J4352" s="1178" t="s">
        <v>668</v>
      </c>
      <c r="K4352" s="1178" t="s">
        <v>453</v>
      </c>
      <c r="L4352" s="1178"/>
      <c r="M4352" s="1369"/>
      <c r="N4352" s="1178"/>
      <c r="O4352" s="1178">
        <v>6</v>
      </c>
      <c r="P4352" s="1178">
        <v>13.5</v>
      </c>
    </row>
    <row r="4353" spans="1:16">
      <c r="A4353" s="1178" t="s">
        <v>460</v>
      </c>
      <c r="B4353" s="1371" t="str">
        <f>HYPERLINK(IFERROR("#Main_Tariff!A"&amp;MATCH(Raeburn_Main_Tariff[[#This Row],[Product Code]],Main_Tariff!I:I,0),"#Main_Tariff!A"&amp;MATCH("*"&amp;RIGHT(A4353,8)&amp;"*",Main_Tariff!A:A,0)),Raeburn_Main_Tariff[[#This Row],[PRODUCER]])</f>
        <v>De Sanctis</v>
      </c>
      <c r="C4353" s="1178" t="s">
        <v>22156</v>
      </c>
      <c r="D4353" s="1178" t="s">
        <v>1410</v>
      </c>
      <c r="E4353" s="1179">
        <v>2022</v>
      </c>
      <c r="F4353" s="1282" t="s">
        <v>20313</v>
      </c>
      <c r="G4353" s="1368">
        <v>20</v>
      </c>
      <c r="H4353" s="1178" t="s">
        <v>20221</v>
      </c>
      <c r="I4353" s="1178" t="s">
        <v>13654</v>
      </c>
      <c r="J4353" s="1178" t="s">
        <v>668</v>
      </c>
      <c r="K4353" s="1178" t="s">
        <v>453</v>
      </c>
      <c r="L4353" s="1178"/>
      <c r="M4353" s="1369"/>
      <c r="N4353" s="1178"/>
      <c r="O4353" s="1178">
        <v>6</v>
      </c>
      <c r="P4353" s="1178">
        <v>12</v>
      </c>
    </row>
    <row r="4354" spans="1:16">
      <c r="A4354" s="1178" t="s">
        <v>461</v>
      </c>
      <c r="B4354" s="1371" t="str">
        <f>HYPERLINK(IFERROR("#Main_Tariff!A"&amp;MATCH(Raeburn_Main_Tariff[[#This Row],[Product Code]],Main_Tariff!I:I,0),"#Main_Tariff!A"&amp;MATCH("*"&amp;RIGHT(A4354,8)&amp;"*",Main_Tariff!A:A,0)),Raeburn_Main_Tariff[[#This Row],[PRODUCER]])</f>
        <v>San Lorenzo</v>
      </c>
      <c r="C4354" s="1178" t="s">
        <v>22157</v>
      </c>
      <c r="D4354" s="1178" t="s">
        <v>1129</v>
      </c>
      <c r="E4354" s="1179">
        <v>2016</v>
      </c>
      <c r="F4354" s="1282" t="s">
        <v>20220</v>
      </c>
      <c r="G4354" s="1368">
        <v>11</v>
      </c>
      <c r="H4354" s="1178" t="s">
        <v>20221</v>
      </c>
      <c r="I4354" s="1178" t="s">
        <v>13666</v>
      </c>
      <c r="J4354" s="1178" t="s">
        <v>668</v>
      </c>
      <c r="K4354" s="1178" t="s">
        <v>457</v>
      </c>
      <c r="L4354" s="1178"/>
      <c r="M4354" s="1369"/>
      <c r="N4354" s="1178"/>
      <c r="O4354" s="1178">
        <v>6</v>
      </c>
      <c r="P4354" s="1178">
        <v>12.5</v>
      </c>
    </row>
    <row r="4355" spans="1:16">
      <c r="A4355" s="1178" t="s">
        <v>461</v>
      </c>
      <c r="B4355" s="1371" t="str">
        <f>HYPERLINK(IFERROR("#Main_Tariff!A"&amp;MATCH(Raeburn_Main_Tariff[[#This Row],[Product Code]],Main_Tariff!I:I,0),"#Main_Tariff!A"&amp;MATCH("*"&amp;RIGHT(A4355,8)&amp;"*",Main_Tariff!A:A,0)),Raeburn_Main_Tariff[[#This Row],[PRODUCER]])</f>
        <v>San Lorenzo</v>
      </c>
      <c r="C4355" s="1178" t="s">
        <v>22158</v>
      </c>
      <c r="D4355" s="1178" t="s">
        <v>1129</v>
      </c>
      <c r="E4355" s="1179">
        <v>2019</v>
      </c>
      <c r="F4355" s="1282" t="s">
        <v>20220</v>
      </c>
      <c r="G4355" s="1368">
        <v>12</v>
      </c>
      <c r="H4355" s="1178" t="s">
        <v>20221</v>
      </c>
      <c r="I4355" s="1178" t="s">
        <v>13668</v>
      </c>
      <c r="J4355" s="1178" t="s">
        <v>668</v>
      </c>
      <c r="K4355" s="1178" t="s">
        <v>457</v>
      </c>
      <c r="L4355" s="1178"/>
      <c r="M4355" s="1369"/>
      <c r="N4355" s="1178"/>
      <c r="O4355" s="1178">
        <v>6</v>
      </c>
      <c r="P4355" s="1178">
        <v>13</v>
      </c>
    </row>
    <row r="4356" spans="1:16">
      <c r="A4356" s="1178" t="s">
        <v>461</v>
      </c>
      <c r="B4356" s="1371" t="str">
        <f>HYPERLINK(IFERROR("#Main_Tariff!A"&amp;MATCH(Raeburn_Main_Tariff[[#This Row],[Product Code]],Main_Tariff!I:I,0),"#Main_Tariff!A"&amp;MATCH("*"&amp;RIGHT(A4356,8)&amp;"*",Main_Tariff!A:A,0)),Raeburn_Main_Tariff[[#This Row],[PRODUCER]])</f>
        <v>San Lorenzo</v>
      </c>
      <c r="C4356" s="1178" t="s">
        <v>22159</v>
      </c>
      <c r="D4356" s="1178" t="s">
        <v>897</v>
      </c>
      <c r="E4356" s="1179">
        <v>2015</v>
      </c>
      <c r="F4356" s="1282" t="s">
        <v>20220</v>
      </c>
      <c r="G4356" s="1368">
        <v>12</v>
      </c>
      <c r="H4356" s="1178" t="s">
        <v>20277</v>
      </c>
      <c r="I4356" s="1178" t="s">
        <v>13671</v>
      </c>
      <c r="J4356" s="1178" t="s">
        <v>668</v>
      </c>
      <c r="K4356" s="1178" t="s">
        <v>457</v>
      </c>
      <c r="L4356" s="1178"/>
      <c r="M4356" s="1369"/>
      <c r="N4356" s="1178"/>
      <c r="O4356" s="1178">
        <v>6</v>
      </c>
      <c r="P4356" s="1178">
        <v>13</v>
      </c>
    </row>
    <row r="4357" spans="1:16">
      <c r="A4357" s="1178" t="s">
        <v>461</v>
      </c>
      <c r="B4357" s="1371" t="str">
        <f>HYPERLINK(IFERROR("#Main_Tariff!A"&amp;MATCH(Raeburn_Main_Tariff[[#This Row],[Product Code]],Main_Tariff!I:I,0),"#Main_Tariff!A"&amp;MATCH("*"&amp;RIGHT(A4357,8)&amp;"*",Main_Tariff!A:A,0)),Raeburn_Main_Tariff[[#This Row],[PRODUCER]])</f>
        <v>San Lorenzo</v>
      </c>
      <c r="C4357" s="1178" t="s">
        <v>22160</v>
      </c>
      <c r="D4357" s="1178" t="s">
        <v>897</v>
      </c>
      <c r="E4357" s="1179">
        <v>2015</v>
      </c>
      <c r="F4357" s="1282" t="s">
        <v>20220</v>
      </c>
      <c r="G4357" s="1368">
        <v>18</v>
      </c>
      <c r="H4357" s="1178" t="s">
        <v>20221</v>
      </c>
      <c r="I4357" s="1178" t="s">
        <v>13673</v>
      </c>
      <c r="J4357" s="1178" t="s">
        <v>668</v>
      </c>
      <c r="K4357" s="1178" t="s">
        <v>457</v>
      </c>
      <c r="L4357" s="1178"/>
      <c r="M4357" s="1369"/>
      <c r="N4357" s="1178"/>
      <c r="O4357" s="1178">
        <v>6</v>
      </c>
      <c r="P4357" s="1178">
        <v>13</v>
      </c>
    </row>
    <row r="4358" spans="1:16">
      <c r="A4358" s="1178" t="s">
        <v>461</v>
      </c>
      <c r="B4358" s="1371" t="str">
        <f>HYPERLINK(IFERROR("#Main_Tariff!A"&amp;MATCH(Raeburn_Main_Tariff[[#This Row],[Product Code]],Main_Tariff!I:I,0),"#Main_Tariff!A"&amp;MATCH("*"&amp;RIGHT(A4358,8)&amp;"*",Main_Tariff!A:A,0)),Raeburn_Main_Tariff[[#This Row],[PRODUCER]])</f>
        <v>San Lorenzo</v>
      </c>
      <c r="C4358" s="1178" t="s">
        <v>22161</v>
      </c>
      <c r="D4358" s="1178" t="s">
        <v>897</v>
      </c>
      <c r="E4358" s="1179">
        <v>2010</v>
      </c>
      <c r="F4358" s="1282" t="s">
        <v>20220</v>
      </c>
      <c r="G4358" s="1368">
        <v>27</v>
      </c>
      <c r="H4358" s="1178" t="s">
        <v>20221</v>
      </c>
      <c r="I4358" s="1178" t="s">
        <v>13675</v>
      </c>
      <c r="J4358" s="1178" t="s">
        <v>668</v>
      </c>
      <c r="K4358" s="1178" t="s">
        <v>457</v>
      </c>
      <c r="L4358" s="1178"/>
      <c r="M4358" s="1369"/>
      <c r="N4358" s="1178"/>
      <c r="O4358" s="1178">
        <v>6</v>
      </c>
      <c r="P4358" s="1178">
        <v>14.5</v>
      </c>
    </row>
    <row r="4359" spans="1:16">
      <c r="A4359" s="1178" t="s">
        <v>461</v>
      </c>
      <c r="B4359" s="1371" t="str">
        <f>HYPERLINK(IFERROR("#Main_Tariff!A"&amp;MATCH(Raeburn_Main_Tariff[[#This Row],[Product Code]],Main_Tariff!I:I,0),"#Main_Tariff!A"&amp;MATCH("*"&amp;RIGHT(A4359,8)&amp;"*",Main_Tariff!A:A,0)),Raeburn_Main_Tariff[[#This Row],[PRODUCER]])</f>
        <v>San Lorenzo</v>
      </c>
      <c r="C4359" s="1178" t="s">
        <v>22162</v>
      </c>
      <c r="D4359" s="1178" t="s">
        <v>897</v>
      </c>
      <c r="E4359" s="1179">
        <v>2018</v>
      </c>
      <c r="F4359" s="1282" t="s">
        <v>20240</v>
      </c>
      <c r="G4359" s="1368">
        <v>23.5</v>
      </c>
      <c r="H4359" s="1178" t="s">
        <v>20221</v>
      </c>
      <c r="I4359" s="1178" t="s">
        <v>13677</v>
      </c>
      <c r="J4359" s="1178" t="s">
        <v>668</v>
      </c>
      <c r="K4359" s="1178" t="s">
        <v>457</v>
      </c>
      <c r="L4359" s="1178"/>
      <c r="M4359" s="1369"/>
      <c r="N4359" s="1178"/>
      <c r="O4359" s="1178">
        <v>6</v>
      </c>
      <c r="P4359" s="1178">
        <v>13</v>
      </c>
    </row>
    <row r="4360" spans="1:16">
      <c r="A4360" s="1178" t="s">
        <v>22163</v>
      </c>
      <c r="B4360" s="1371" t="str">
        <f>HYPERLINK(IFERROR("#Main_Tariff!A"&amp;MATCH(Raeburn_Main_Tariff[[#This Row],[Product Code]],Main_Tariff!I:I,0),"#Main_Tariff!A"&amp;MATCH("*"&amp;RIGHT(A4360,8)&amp;"*",Main_Tariff!A:A,0)),Raeburn_Main_Tariff[[#This Row],[PRODUCER]])</f>
        <v>Giampaolo Tabarrini</v>
      </c>
      <c r="C4360" s="1178" t="s">
        <v>22164</v>
      </c>
      <c r="D4360" s="1178" t="s">
        <v>1129</v>
      </c>
      <c r="E4360" s="1179">
        <v>2023</v>
      </c>
      <c r="F4360" s="1282" t="s">
        <v>20220</v>
      </c>
      <c r="G4360" s="1368">
        <v>21.95</v>
      </c>
      <c r="H4360" s="1178" t="s">
        <v>20221</v>
      </c>
      <c r="I4360" s="1178" t="s">
        <v>13696</v>
      </c>
      <c r="J4360" s="1178" t="s">
        <v>668</v>
      </c>
      <c r="K4360" s="1178" t="s">
        <v>462</v>
      </c>
      <c r="L4360" s="1178"/>
      <c r="M4360" s="1369"/>
      <c r="N4360" s="1178"/>
      <c r="O4360" s="1178">
        <v>6</v>
      </c>
      <c r="P4360" s="1178">
        <v>14</v>
      </c>
    </row>
    <row r="4361" spans="1:16">
      <c r="A4361" s="1178" t="s">
        <v>22163</v>
      </c>
      <c r="B4361" s="1371" t="str">
        <f>HYPERLINK(IFERROR("#Main_Tariff!A"&amp;MATCH(Raeburn_Main_Tariff[[#This Row],[Product Code]],Main_Tariff!I:I,0),"#Main_Tariff!A"&amp;MATCH("*"&amp;RIGHT(A4361,8)&amp;"*",Main_Tariff!A:A,0)),Raeburn_Main_Tariff[[#This Row],[PRODUCER]])</f>
        <v>Giampaolo Tabarrini</v>
      </c>
      <c r="C4361" s="1178" t="s">
        <v>22164</v>
      </c>
      <c r="D4361" s="1178" t="s">
        <v>1129</v>
      </c>
      <c r="E4361" s="1179">
        <v>2016</v>
      </c>
      <c r="F4361" s="1282" t="s">
        <v>20220</v>
      </c>
      <c r="G4361" s="1368">
        <v>18</v>
      </c>
      <c r="H4361" s="1178" t="s">
        <v>20277</v>
      </c>
      <c r="I4361" s="1178" t="s">
        <v>13698</v>
      </c>
      <c r="J4361" s="1178" t="s">
        <v>668</v>
      </c>
      <c r="K4361" s="1178" t="s">
        <v>462</v>
      </c>
      <c r="L4361" s="1178"/>
      <c r="M4361" s="1369"/>
      <c r="N4361" s="1178"/>
      <c r="O4361" s="1178">
        <v>6</v>
      </c>
      <c r="P4361" s="1178">
        <v>13.5</v>
      </c>
    </row>
    <row r="4362" spans="1:16">
      <c r="A4362" s="1178" t="s">
        <v>22163</v>
      </c>
      <c r="B4362" s="1371" t="str">
        <f>HYPERLINK(IFERROR("#Main_Tariff!A"&amp;MATCH(Raeburn_Main_Tariff[[#This Row],[Product Code]],Main_Tariff!I:I,0),"#Main_Tariff!A"&amp;MATCH("*"&amp;RIGHT(A4362,8)&amp;"*",Main_Tariff!A:A,0)),Raeburn_Main_Tariff[[#This Row],[PRODUCER]])</f>
        <v>Giampaolo Tabarrini</v>
      </c>
      <c r="C4362" s="1178" t="s">
        <v>22164</v>
      </c>
      <c r="D4362" s="1178" t="s">
        <v>1129</v>
      </c>
      <c r="E4362" s="1179">
        <v>2015</v>
      </c>
      <c r="F4362" s="1282" t="s">
        <v>20220</v>
      </c>
      <c r="G4362" s="1368">
        <v>18</v>
      </c>
      <c r="H4362" s="1178" t="s">
        <v>20277</v>
      </c>
      <c r="I4362" s="1178" t="s">
        <v>13700</v>
      </c>
      <c r="J4362" s="1178" t="s">
        <v>668</v>
      </c>
      <c r="K4362" s="1178" t="s">
        <v>462</v>
      </c>
      <c r="L4362" s="1178"/>
      <c r="M4362" s="1369"/>
      <c r="N4362" s="1178"/>
      <c r="O4362" s="1178">
        <v>6</v>
      </c>
      <c r="P4362" s="1178">
        <v>13.5</v>
      </c>
    </row>
    <row r="4363" spans="1:16">
      <c r="A4363" s="1178" t="s">
        <v>22163</v>
      </c>
      <c r="B4363" s="1371" t="str">
        <f>HYPERLINK(IFERROR("#Main_Tariff!A"&amp;MATCH(Raeburn_Main_Tariff[[#This Row],[Product Code]],Main_Tariff!I:I,0),"#Main_Tariff!A"&amp;MATCH("*"&amp;RIGHT(A4363,8)&amp;"*",Main_Tariff!A:A,0)),Raeburn_Main_Tariff[[#This Row],[PRODUCER]])</f>
        <v>Giampaolo Tabarrini</v>
      </c>
      <c r="C4363" s="1178" t="s">
        <v>22165</v>
      </c>
      <c r="D4363" s="1178" t="s">
        <v>1129</v>
      </c>
      <c r="E4363" s="1179">
        <v>2012</v>
      </c>
      <c r="F4363" s="1282" t="s">
        <v>20240</v>
      </c>
      <c r="G4363" s="1368">
        <v>47</v>
      </c>
      <c r="H4363" s="1178" t="s">
        <v>20224</v>
      </c>
      <c r="I4363" s="1178" t="s">
        <v>13701</v>
      </c>
      <c r="J4363" s="1178" t="s">
        <v>668</v>
      </c>
      <c r="K4363" s="1178" t="s">
        <v>462</v>
      </c>
      <c r="L4363" s="1178"/>
      <c r="M4363" s="1369"/>
      <c r="N4363" s="1178"/>
      <c r="O4363" s="1178">
        <v>1</v>
      </c>
      <c r="P4363" s="1178">
        <v>13</v>
      </c>
    </row>
    <row r="4364" spans="1:16">
      <c r="A4364" s="1178" t="s">
        <v>22163</v>
      </c>
      <c r="B4364" s="1371" t="str">
        <f>HYPERLINK(IFERROR("#Main_Tariff!A"&amp;MATCH(Raeburn_Main_Tariff[[#This Row],[Product Code]],Main_Tariff!I:I,0),"#Main_Tariff!A"&amp;MATCH("*"&amp;RIGHT(A4364,8)&amp;"*",Main_Tariff!A:A,0)),Raeburn_Main_Tariff[[#This Row],[PRODUCER]])</f>
        <v>Giampaolo Tabarrini</v>
      </c>
      <c r="C4364" s="1178" t="s">
        <v>22166</v>
      </c>
      <c r="D4364" s="1178" t="s">
        <v>1129</v>
      </c>
      <c r="E4364" s="1179">
        <v>2014</v>
      </c>
      <c r="F4364" s="1282" t="s">
        <v>20288</v>
      </c>
      <c r="G4364" s="1368">
        <v>89</v>
      </c>
      <c r="H4364" s="1178" t="s">
        <v>20224</v>
      </c>
      <c r="I4364" s="1178" t="s">
        <v>13702</v>
      </c>
      <c r="J4364" s="1178" t="s">
        <v>668</v>
      </c>
      <c r="K4364" s="1178" t="s">
        <v>462</v>
      </c>
      <c r="L4364" s="1178"/>
      <c r="M4364" s="1369"/>
      <c r="N4364" s="1178"/>
      <c r="O4364" s="1178">
        <v>1</v>
      </c>
      <c r="P4364" s="1178">
        <v>15</v>
      </c>
    </row>
    <row r="4365" spans="1:16">
      <c r="A4365" s="1178" t="s">
        <v>22163</v>
      </c>
      <c r="B4365" s="1371" t="str">
        <f>HYPERLINK(IFERROR("#Main_Tariff!A"&amp;MATCH(Raeburn_Main_Tariff[[#This Row],[Product Code]],Main_Tariff!I:I,0),"#Main_Tariff!A"&amp;MATCH("*"&amp;RIGHT(A4365,8)&amp;"*",Main_Tariff!A:A,0)),Raeburn_Main_Tariff[[#This Row],[PRODUCER]])</f>
        <v>Giampaolo Tabarrini</v>
      </c>
      <c r="C4365" s="1178" t="s">
        <v>22167</v>
      </c>
      <c r="D4365" s="1178" t="s">
        <v>897</v>
      </c>
      <c r="E4365" s="1179">
        <v>2020</v>
      </c>
      <c r="F4365" s="1282" t="s">
        <v>20220</v>
      </c>
      <c r="G4365" s="1368">
        <v>15.95</v>
      </c>
      <c r="H4365" s="1178" t="s">
        <v>20221</v>
      </c>
      <c r="I4365" s="1178" t="s">
        <v>13705</v>
      </c>
      <c r="J4365" s="1178" t="s">
        <v>668</v>
      </c>
      <c r="K4365" s="1178" t="s">
        <v>462</v>
      </c>
      <c r="L4365" s="1178"/>
      <c r="M4365" s="1369"/>
      <c r="N4365" s="1178"/>
      <c r="O4365" s="1178">
        <v>6</v>
      </c>
      <c r="P4365" s="1178">
        <v>13.5</v>
      </c>
    </row>
    <row r="4366" spans="1:16">
      <c r="A4366" s="1178" t="s">
        <v>22163</v>
      </c>
      <c r="B4366" s="1371" t="str">
        <f>HYPERLINK(IFERROR("#Main_Tariff!A"&amp;MATCH(Raeburn_Main_Tariff[[#This Row],[Product Code]],Main_Tariff!I:I,0),"#Main_Tariff!A"&amp;MATCH("*"&amp;RIGHT(A4366,8)&amp;"*",Main_Tariff!A:A,0)),Raeburn_Main_Tariff[[#This Row],[PRODUCER]])</f>
        <v>Giampaolo Tabarrini</v>
      </c>
      <c r="C4366" s="1178" t="s">
        <v>22167</v>
      </c>
      <c r="D4366" s="1178" t="s">
        <v>897</v>
      </c>
      <c r="E4366" s="1179">
        <v>2015</v>
      </c>
      <c r="F4366" s="1282" t="s">
        <v>20220</v>
      </c>
      <c r="G4366" s="1368">
        <v>14.75</v>
      </c>
      <c r="H4366" s="1178" t="s">
        <v>20221</v>
      </c>
      <c r="I4366" s="1178" t="s">
        <v>13706</v>
      </c>
      <c r="J4366" s="1178" t="s">
        <v>668</v>
      </c>
      <c r="K4366" s="1178" t="s">
        <v>462</v>
      </c>
      <c r="L4366" s="1178"/>
      <c r="M4366" s="1369"/>
      <c r="N4366" s="1178"/>
      <c r="O4366" s="1178">
        <v>6</v>
      </c>
      <c r="P4366" s="1178">
        <v>14</v>
      </c>
    </row>
    <row r="4367" spans="1:16">
      <c r="A4367" s="1178" t="s">
        <v>22163</v>
      </c>
      <c r="B4367" s="1371" t="str">
        <f>HYPERLINK(IFERROR("#Main_Tariff!A"&amp;MATCH(Raeburn_Main_Tariff[[#This Row],[Product Code]],Main_Tariff!I:I,0),"#Main_Tariff!A"&amp;MATCH("*"&amp;RIGHT(A4367,8)&amp;"*",Main_Tariff!A:A,0)),Raeburn_Main_Tariff[[#This Row],[PRODUCER]])</f>
        <v>Giampaolo Tabarrini</v>
      </c>
      <c r="C4367" s="1178" t="s">
        <v>22168</v>
      </c>
      <c r="D4367" s="1178" t="s">
        <v>897</v>
      </c>
      <c r="E4367" s="1179">
        <v>2020</v>
      </c>
      <c r="F4367" s="1282" t="s">
        <v>20220</v>
      </c>
      <c r="G4367" s="1368">
        <v>19.600000000000001</v>
      </c>
      <c r="H4367" s="1178" t="s">
        <v>20221</v>
      </c>
      <c r="I4367" s="1178" t="s">
        <v>13708</v>
      </c>
      <c r="J4367" s="1178" t="s">
        <v>668</v>
      </c>
      <c r="K4367" s="1178" t="s">
        <v>462</v>
      </c>
      <c r="L4367" s="1178"/>
      <c r="M4367" s="1369"/>
      <c r="N4367" s="1178"/>
      <c r="O4367" s="1178">
        <v>6</v>
      </c>
      <c r="P4367" s="1178">
        <v>15</v>
      </c>
    </row>
    <row r="4368" spans="1:16">
      <c r="A4368" s="1178" t="s">
        <v>22163</v>
      </c>
      <c r="B4368" s="1371" t="str">
        <f>HYPERLINK(IFERROR("#Main_Tariff!A"&amp;MATCH(Raeburn_Main_Tariff[[#This Row],[Product Code]],Main_Tariff!I:I,0),"#Main_Tariff!A"&amp;MATCH("*"&amp;RIGHT(A4368,8)&amp;"*",Main_Tariff!A:A,0)),Raeburn_Main_Tariff[[#This Row],[PRODUCER]])</f>
        <v>Giampaolo Tabarrini</v>
      </c>
      <c r="C4368" s="1178" t="s">
        <v>22168</v>
      </c>
      <c r="D4368" s="1178" t="s">
        <v>897</v>
      </c>
      <c r="E4368" s="1179">
        <v>2016</v>
      </c>
      <c r="F4368" s="1282" t="s">
        <v>20220</v>
      </c>
      <c r="G4368" s="1368">
        <v>18.5</v>
      </c>
      <c r="H4368" s="1178" t="s">
        <v>20221</v>
      </c>
      <c r="I4368" s="1178" t="s">
        <v>13710</v>
      </c>
      <c r="J4368" s="1178" t="s">
        <v>668</v>
      </c>
      <c r="K4368" s="1178" t="s">
        <v>462</v>
      </c>
      <c r="L4368" s="1178"/>
      <c r="M4368" s="1369"/>
      <c r="N4368" s="1178"/>
      <c r="O4368" s="1178">
        <v>6</v>
      </c>
      <c r="P4368" s="1178">
        <v>15</v>
      </c>
    </row>
    <row r="4369" spans="1:16">
      <c r="A4369" s="1178" t="s">
        <v>22163</v>
      </c>
      <c r="B4369" s="1371" t="str">
        <f>HYPERLINK(IFERROR("#Main_Tariff!A"&amp;MATCH(Raeburn_Main_Tariff[[#This Row],[Product Code]],Main_Tariff!I:I,0),"#Main_Tariff!A"&amp;MATCH("*"&amp;RIGHT(A4369,8)&amp;"*",Main_Tariff!A:A,0)),Raeburn_Main_Tariff[[#This Row],[PRODUCER]])</f>
        <v>Giampaolo Tabarrini</v>
      </c>
      <c r="C4369" s="1178" t="s">
        <v>22169</v>
      </c>
      <c r="D4369" s="1178" t="s">
        <v>897</v>
      </c>
      <c r="E4369" s="1179">
        <v>2015</v>
      </c>
      <c r="F4369" s="1282" t="s">
        <v>20220</v>
      </c>
      <c r="G4369" s="1368">
        <v>19.5</v>
      </c>
      <c r="H4369" s="1178" t="s">
        <v>20221</v>
      </c>
      <c r="I4369" s="1178" t="s">
        <v>13712</v>
      </c>
      <c r="J4369" s="1178" t="s">
        <v>668</v>
      </c>
      <c r="K4369" s="1178" t="s">
        <v>462</v>
      </c>
      <c r="L4369" s="1178"/>
      <c r="M4369" s="1369"/>
      <c r="N4369" s="1178"/>
      <c r="O4369" s="1178">
        <v>6</v>
      </c>
      <c r="P4369" s="1178">
        <v>13</v>
      </c>
    </row>
    <row r="4370" spans="1:16">
      <c r="A4370" s="1178" t="s">
        <v>22163</v>
      </c>
      <c r="B4370" s="1371" t="str">
        <f>HYPERLINK(IFERROR("#Main_Tariff!A"&amp;MATCH(Raeburn_Main_Tariff[[#This Row],[Product Code]],Main_Tariff!I:I,0),"#Main_Tariff!A"&amp;MATCH("*"&amp;RIGHT(A4370,8)&amp;"*",Main_Tariff!A:A,0)),Raeburn_Main_Tariff[[#This Row],[PRODUCER]])</f>
        <v>Giampaolo Tabarrini</v>
      </c>
      <c r="C4370" s="1178" t="s">
        <v>22170</v>
      </c>
      <c r="D4370" s="1178" t="s">
        <v>897</v>
      </c>
      <c r="E4370" s="1179" t="s">
        <v>22171</v>
      </c>
      <c r="F4370" s="1282" t="s">
        <v>20220</v>
      </c>
      <c r="G4370" s="1368">
        <v>108.5</v>
      </c>
      <c r="H4370" s="1178" t="s">
        <v>20221</v>
      </c>
      <c r="I4370" s="1178" t="s">
        <v>13714</v>
      </c>
      <c r="J4370" s="1178" t="s">
        <v>668</v>
      </c>
      <c r="K4370" s="1178" t="s">
        <v>462</v>
      </c>
      <c r="L4370" s="1178"/>
      <c r="M4370" s="1369"/>
      <c r="N4370" s="1178"/>
      <c r="O4370" s="1178">
        <v>3</v>
      </c>
      <c r="P4370" s="1178">
        <v>13</v>
      </c>
    </row>
    <row r="4371" spans="1:16">
      <c r="A4371" s="1178" t="s">
        <v>22163</v>
      </c>
      <c r="B4371" s="1371" t="str">
        <f>HYPERLINK(IFERROR("#Main_Tariff!A"&amp;MATCH(Raeburn_Main_Tariff[[#This Row],[Product Code]],Main_Tariff!I:I,0),"#Main_Tariff!A"&amp;MATCH("*"&amp;RIGHT(A4371,8)&amp;"*",Main_Tariff!A:A,0)),Raeburn_Main_Tariff[[#This Row],[PRODUCER]])</f>
        <v>Giampaolo Tabarrini</v>
      </c>
      <c r="C4371" s="1178" t="s">
        <v>22172</v>
      </c>
      <c r="D4371" s="1178" t="s">
        <v>897</v>
      </c>
      <c r="E4371" s="1179">
        <v>2016</v>
      </c>
      <c r="F4371" s="1282" t="s">
        <v>20220</v>
      </c>
      <c r="G4371" s="1368">
        <v>27.5</v>
      </c>
      <c r="H4371" s="1178" t="s">
        <v>20221</v>
      </c>
      <c r="I4371" s="1178" t="s">
        <v>13718</v>
      </c>
      <c r="J4371" s="1178" t="s">
        <v>668</v>
      </c>
      <c r="K4371" s="1178" t="s">
        <v>462</v>
      </c>
      <c r="L4371" s="1178"/>
      <c r="M4371" s="1369"/>
      <c r="N4371" s="1178"/>
      <c r="O4371" s="1178">
        <v>6</v>
      </c>
      <c r="P4371" s="1178">
        <v>15.5</v>
      </c>
    </row>
    <row r="4372" spans="1:16">
      <c r="A4372" s="1178" t="s">
        <v>22163</v>
      </c>
      <c r="B4372" s="1371" t="str">
        <f>HYPERLINK(IFERROR("#Main_Tariff!A"&amp;MATCH(Raeburn_Main_Tariff[[#This Row],[Product Code]],Main_Tariff!I:I,0),"#Main_Tariff!A"&amp;MATCH("*"&amp;RIGHT(A4372,8)&amp;"*",Main_Tariff!A:A,0)),Raeburn_Main_Tariff[[#This Row],[PRODUCER]])</f>
        <v>Giampaolo Tabarrini</v>
      </c>
      <c r="C4372" s="1178" t="s">
        <v>22172</v>
      </c>
      <c r="D4372" s="1178" t="s">
        <v>897</v>
      </c>
      <c r="E4372" s="1179">
        <v>2015</v>
      </c>
      <c r="F4372" s="1282" t="s">
        <v>20220</v>
      </c>
      <c r="G4372" s="1368">
        <v>27.5</v>
      </c>
      <c r="H4372" s="1178" t="s">
        <v>20221</v>
      </c>
      <c r="I4372" s="1178" t="s">
        <v>13720</v>
      </c>
      <c r="J4372" s="1178" t="s">
        <v>668</v>
      </c>
      <c r="K4372" s="1178" t="s">
        <v>462</v>
      </c>
      <c r="L4372" s="1178"/>
      <c r="M4372" s="1369"/>
      <c r="N4372" s="1178"/>
      <c r="O4372" s="1178">
        <v>6</v>
      </c>
      <c r="P4372" s="1178">
        <v>15.5</v>
      </c>
    </row>
    <row r="4373" spans="1:16">
      <c r="A4373" s="1178" t="s">
        <v>22163</v>
      </c>
      <c r="B4373" s="1371" t="str">
        <f>HYPERLINK(IFERROR("#Main_Tariff!A"&amp;MATCH(Raeburn_Main_Tariff[[#This Row],[Product Code]],Main_Tariff!I:I,0),"#Main_Tariff!A"&amp;MATCH("*"&amp;RIGHT(A4373,8)&amp;"*",Main_Tariff!A:A,0)),Raeburn_Main_Tariff[[#This Row],[PRODUCER]])</f>
        <v>Giampaolo Tabarrini</v>
      </c>
      <c r="C4373" s="1178" t="s">
        <v>22172</v>
      </c>
      <c r="D4373" s="1178" t="s">
        <v>897</v>
      </c>
      <c r="E4373" s="1179">
        <v>2014</v>
      </c>
      <c r="F4373" s="1282" t="s">
        <v>20220</v>
      </c>
      <c r="G4373" s="1368">
        <v>27.5</v>
      </c>
      <c r="H4373" s="1178" t="s">
        <v>20221</v>
      </c>
      <c r="I4373" s="1178" t="s">
        <v>13722</v>
      </c>
      <c r="J4373" s="1178" t="s">
        <v>668</v>
      </c>
      <c r="K4373" s="1178" t="s">
        <v>462</v>
      </c>
      <c r="L4373" s="1178"/>
      <c r="M4373" s="1369"/>
      <c r="N4373" s="1178"/>
      <c r="O4373" s="1178">
        <v>6</v>
      </c>
      <c r="P4373" s="1178">
        <v>16</v>
      </c>
    </row>
    <row r="4374" spans="1:16">
      <c r="A4374" s="1178" t="s">
        <v>22163</v>
      </c>
      <c r="B4374" s="1371" t="str">
        <f>HYPERLINK(IFERROR("#Main_Tariff!A"&amp;MATCH(Raeburn_Main_Tariff[[#This Row],[Product Code]],Main_Tariff!I:I,0),"#Main_Tariff!A"&amp;MATCH("*"&amp;RIGHT(A4374,8)&amp;"*",Main_Tariff!A:A,0)),Raeburn_Main_Tariff[[#This Row],[PRODUCER]])</f>
        <v>Giampaolo Tabarrini</v>
      </c>
      <c r="C4374" s="1178" t="s">
        <v>22172</v>
      </c>
      <c r="D4374" s="1178" t="s">
        <v>897</v>
      </c>
      <c r="E4374" s="1179">
        <v>2013</v>
      </c>
      <c r="F4374" s="1282" t="s">
        <v>20220</v>
      </c>
      <c r="G4374" s="1368">
        <v>27.5</v>
      </c>
      <c r="H4374" s="1178" t="s">
        <v>20221</v>
      </c>
      <c r="I4374" s="1178" t="s">
        <v>13724</v>
      </c>
      <c r="J4374" s="1178" t="s">
        <v>668</v>
      </c>
      <c r="K4374" s="1178" t="s">
        <v>462</v>
      </c>
      <c r="L4374" s="1178"/>
      <c r="M4374" s="1369"/>
      <c r="N4374" s="1178"/>
      <c r="O4374" s="1178">
        <v>6</v>
      </c>
      <c r="P4374" s="1178">
        <v>14.7</v>
      </c>
    </row>
    <row r="4375" spans="1:16">
      <c r="A4375" s="1178" t="s">
        <v>22163</v>
      </c>
      <c r="B4375" s="1371" t="str">
        <f>HYPERLINK(IFERROR("#Main_Tariff!A"&amp;MATCH(Raeburn_Main_Tariff[[#This Row],[Product Code]],Main_Tariff!I:I,0),"#Main_Tariff!A"&amp;MATCH("*"&amp;RIGHT(A4375,8)&amp;"*",Main_Tariff!A:A,0)),Raeburn_Main_Tariff[[#This Row],[PRODUCER]])</f>
        <v>Giampaolo Tabarrini</v>
      </c>
      <c r="C4375" s="1178" t="s">
        <v>22172</v>
      </c>
      <c r="D4375" s="1178" t="s">
        <v>897</v>
      </c>
      <c r="E4375" s="1179">
        <v>2012</v>
      </c>
      <c r="F4375" s="1282" t="s">
        <v>20220</v>
      </c>
      <c r="G4375" s="1368">
        <v>27.5</v>
      </c>
      <c r="H4375" s="1178" t="s">
        <v>20221</v>
      </c>
      <c r="I4375" s="1178" t="s">
        <v>13726</v>
      </c>
      <c r="J4375" s="1178" t="s">
        <v>668</v>
      </c>
      <c r="K4375" s="1178" t="s">
        <v>462</v>
      </c>
      <c r="L4375" s="1178"/>
      <c r="M4375" s="1369"/>
      <c r="N4375" s="1178"/>
      <c r="O4375" s="1178">
        <v>6</v>
      </c>
      <c r="P4375" s="1178">
        <v>14.5</v>
      </c>
    </row>
    <row r="4376" spans="1:16">
      <c r="A4376" s="1178" t="s">
        <v>22163</v>
      </c>
      <c r="B4376" s="1371" t="str">
        <f>HYPERLINK(IFERROR("#Main_Tariff!A"&amp;MATCH(Raeburn_Main_Tariff[[#This Row],[Product Code]],Main_Tariff!I:I,0),"#Main_Tariff!A"&amp;MATCH("*"&amp;RIGHT(A4376,8)&amp;"*",Main_Tariff!A:A,0)),Raeburn_Main_Tariff[[#This Row],[PRODUCER]])</f>
        <v>Giampaolo Tabarrini</v>
      </c>
      <c r="C4376" s="1178" t="s">
        <v>22172</v>
      </c>
      <c r="D4376" s="1178" t="s">
        <v>897</v>
      </c>
      <c r="E4376" s="1179">
        <v>2011</v>
      </c>
      <c r="F4376" s="1282" t="s">
        <v>20220</v>
      </c>
      <c r="G4376" s="1368">
        <v>27.5</v>
      </c>
      <c r="H4376" s="1178" t="s">
        <v>20221</v>
      </c>
      <c r="I4376" s="1178" t="s">
        <v>13728</v>
      </c>
      <c r="J4376" s="1178" t="s">
        <v>668</v>
      </c>
      <c r="K4376" s="1178" t="s">
        <v>462</v>
      </c>
      <c r="L4376" s="1178"/>
      <c r="M4376" s="1369"/>
      <c r="N4376" s="1178"/>
      <c r="O4376" s="1178">
        <v>6</v>
      </c>
      <c r="P4376" s="1178">
        <v>14.5</v>
      </c>
    </row>
    <row r="4377" spans="1:16">
      <c r="A4377" s="1178" t="s">
        <v>22163</v>
      </c>
      <c r="B4377" s="1371" t="str">
        <f>HYPERLINK(IFERROR("#Main_Tariff!A"&amp;MATCH(Raeburn_Main_Tariff[[#This Row],[Product Code]],Main_Tariff!I:I,0),"#Main_Tariff!A"&amp;MATCH("*"&amp;RIGHT(A4377,8)&amp;"*",Main_Tariff!A:A,0)),Raeburn_Main_Tariff[[#This Row],[PRODUCER]])</f>
        <v>Giampaolo Tabarrini</v>
      </c>
      <c r="C4377" s="1178" t="s">
        <v>22172</v>
      </c>
      <c r="D4377" s="1178" t="s">
        <v>897</v>
      </c>
      <c r="E4377" s="1179">
        <v>2010</v>
      </c>
      <c r="F4377" s="1282" t="s">
        <v>20220</v>
      </c>
      <c r="G4377" s="1368">
        <v>28.5</v>
      </c>
      <c r="H4377" s="1178" t="s">
        <v>20277</v>
      </c>
      <c r="I4377" s="1178" t="s">
        <v>13730</v>
      </c>
      <c r="J4377" s="1178" t="s">
        <v>668</v>
      </c>
      <c r="K4377" s="1178" t="s">
        <v>462</v>
      </c>
      <c r="L4377" s="1178"/>
      <c r="M4377" s="1369"/>
      <c r="N4377" s="1178"/>
      <c r="O4377" s="1178">
        <v>6</v>
      </c>
      <c r="P4377" s="1178">
        <v>14.5</v>
      </c>
    </row>
    <row r="4378" spans="1:16">
      <c r="A4378" s="1178" t="s">
        <v>22163</v>
      </c>
      <c r="B4378" s="1371" t="str">
        <f>HYPERLINK(IFERROR("#Main_Tariff!A"&amp;MATCH(Raeburn_Main_Tariff[[#This Row],[Product Code]],Main_Tariff!I:I,0),"#Main_Tariff!A"&amp;MATCH("*"&amp;RIGHT(A4378,8)&amp;"*",Main_Tariff!A:A,0)),Raeburn_Main_Tariff[[#This Row],[PRODUCER]])</f>
        <v>Giampaolo Tabarrini</v>
      </c>
      <c r="C4378" s="1178" t="s">
        <v>22173</v>
      </c>
      <c r="D4378" s="1178" t="s">
        <v>897</v>
      </c>
      <c r="E4378" s="1179">
        <v>2014</v>
      </c>
      <c r="F4378" s="1282" t="s">
        <v>20220</v>
      </c>
      <c r="G4378" s="1368">
        <v>31.5</v>
      </c>
      <c r="H4378" s="1178" t="s">
        <v>20221</v>
      </c>
      <c r="I4378" s="1178" t="s">
        <v>13732</v>
      </c>
      <c r="J4378" s="1178" t="s">
        <v>668</v>
      </c>
      <c r="K4378" s="1178" t="s">
        <v>462</v>
      </c>
      <c r="L4378" s="1178"/>
      <c r="M4378" s="1369"/>
      <c r="N4378" s="1178"/>
      <c r="O4378" s="1178">
        <v>6</v>
      </c>
      <c r="P4378" s="1178">
        <v>15.5</v>
      </c>
    </row>
    <row r="4379" spans="1:16">
      <c r="A4379" s="1178" t="s">
        <v>22163</v>
      </c>
      <c r="B4379" s="1371" t="str">
        <f>HYPERLINK(IFERROR("#Main_Tariff!A"&amp;MATCH(Raeburn_Main_Tariff[[#This Row],[Product Code]],Main_Tariff!I:I,0),"#Main_Tariff!A"&amp;MATCH("*"&amp;RIGHT(A4379,8)&amp;"*",Main_Tariff!A:A,0)),Raeburn_Main_Tariff[[#This Row],[PRODUCER]])</f>
        <v>Giampaolo Tabarrini</v>
      </c>
      <c r="C4379" s="1178" t="s">
        <v>22173</v>
      </c>
      <c r="D4379" s="1178" t="s">
        <v>897</v>
      </c>
      <c r="E4379" s="1179">
        <v>2013</v>
      </c>
      <c r="F4379" s="1282" t="s">
        <v>20220</v>
      </c>
      <c r="G4379" s="1368">
        <v>31.5</v>
      </c>
      <c r="H4379" s="1178" t="s">
        <v>20221</v>
      </c>
      <c r="I4379" s="1178" t="s">
        <v>13734</v>
      </c>
      <c r="J4379" s="1178" t="s">
        <v>668</v>
      </c>
      <c r="K4379" s="1178" t="s">
        <v>462</v>
      </c>
      <c r="L4379" s="1178"/>
      <c r="M4379" s="1369"/>
      <c r="N4379" s="1178"/>
      <c r="O4379" s="1178">
        <v>6</v>
      </c>
      <c r="P4379" s="1178">
        <v>13.9</v>
      </c>
    </row>
    <row r="4380" spans="1:16">
      <c r="A4380" s="1178" t="s">
        <v>22163</v>
      </c>
      <c r="B4380" s="1371" t="str">
        <f>HYPERLINK(IFERROR("#Main_Tariff!A"&amp;MATCH(Raeburn_Main_Tariff[[#This Row],[Product Code]],Main_Tariff!I:I,0),"#Main_Tariff!A"&amp;MATCH("*"&amp;RIGHT(A4380,8)&amp;"*",Main_Tariff!A:A,0)),Raeburn_Main_Tariff[[#This Row],[PRODUCER]])</f>
        <v>Giampaolo Tabarrini</v>
      </c>
      <c r="C4380" s="1178" t="s">
        <v>22173</v>
      </c>
      <c r="D4380" s="1178" t="s">
        <v>897</v>
      </c>
      <c r="E4380" s="1179">
        <v>2012</v>
      </c>
      <c r="F4380" s="1282" t="s">
        <v>20220</v>
      </c>
      <c r="G4380" s="1368">
        <v>31.5</v>
      </c>
      <c r="H4380" s="1178" t="s">
        <v>20221</v>
      </c>
      <c r="I4380" s="1178" t="s">
        <v>13736</v>
      </c>
      <c r="J4380" s="1178" t="s">
        <v>668</v>
      </c>
      <c r="K4380" s="1178" t="s">
        <v>462</v>
      </c>
      <c r="L4380" s="1178"/>
      <c r="M4380" s="1369"/>
      <c r="N4380" s="1178"/>
      <c r="O4380" s="1178">
        <v>6</v>
      </c>
      <c r="P4380" s="1178">
        <v>14.5</v>
      </c>
    </row>
    <row r="4381" spans="1:16">
      <c r="A4381" s="1178" t="s">
        <v>22163</v>
      </c>
      <c r="B4381" s="1371" t="str">
        <f>HYPERLINK(IFERROR("#Main_Tariff!A"&amp;MATCH(Raeburn_Main_Tariff[[#This Row],[Product Code]],Main_Tariff!I:I,0),"#Main_Tariff!A"&amp;MATCH("*"&amp;RIGHT(A4381,8)&amp;"*",Main_Tariff!A:A,0)),Raeburn_Main_Tariff[[#This Row],[PRODUCER]])</f>
        <v>Giampaolo Tabarrini</v>
      </c>
      <c r="C4381" s="1178" t="s">
        <v>22173</v>
      </c>
      <c r="D4381" s="1178" t="s">
        <v>897</v>
      </c>
      <c r="E4381" s="1179">
        <v>2011</v>
      </c>
      <c r="F4381" s="1282" t="s">
        <v>20220</v>
      </c>
      <c r="G4381" s="1368">
        <v>31.5</v>
      </c>
      <c r="H4381" s="1178" t="s">
        <v>20221</v>
      </c>
      <c r="I4381" s="1178" t="s">
        <v>13738</v>
      </c>
      <c r="J4381" s="1178" t="s">
        <v>668</v>
      </c>
      <c r="K4381" s="1178" t="s">
        <v>462</v>
      </c>
      <c r="L4381" s="1178"/>
      <c r="M4381" s="1369"/>
      <c r="N4381" s="1178"/>
      <c r="O4381" s="1178">
        <v>6</v>
      </c>
      <c r="P4381" s="1178">
        <v>14</v>
      </c>
    </row>
    <row r="4382" spans="1:16">
      <c r="A4382" s="1178" t="s">
        <v>22163</v>
      </c>
      <c r="B4382" s="1371" t="str">
        <f>HYPERLINK(IFERROR("#Main_Tariff!A"&amp;MATCH(Raeburn_Main_Tariff[[#This Row],[Product Code]],Main_Tariff!I:I,0),"#Main_Tariff!A"&amp;MATCH("*"&amp;RIGHT(A4382,8)&amp;"*",Main_Tariff!A:A,0)),Raeburn_Main_Tariff[[#This Row],[PRODUCER]])</f>
        <v>Giampaolo Tabarrini</v>
      </c>
      <c r="C4382" s="1178" t="s">
        <v>22173</v>
      </c>
      <c r="D4382" s="1178" t="s">
        <v>897</v>
      </c>
      <c r="E4382" s="1179">
        <v>2010</v>
      </c>
      <c r="F4382" s="1282" t="s">
        <v>20220</v>
      </c>
      <c r="G4382" s="1368">
        <v>31.5</v>
      </c>
      <c r="H4382" s="1178" t="s">
        <v>20221</v>
      </c>
      <c r="I4382" s="1178" t="s">
        <v>13740</v>
      </c>
      <c r="J4382" s="1178" t="s">
        <v>668</v>
      </c>
      <c r="K4382" s="1178" t="s">
        <v>462</v>
      </c>
      <c r="L4382" s="1178"/>
      <c r="M4382" s="1369"/>
      <c r="N4382" s="1178"/>
      <c r="O4382" s="1178">
        <v>6</v>
      </c>
      <c r="P4382" s="1178">
        <v>14.5</v>
      </c>
    </row>
    <row r="4383" spans="1:16">
      <c r="A4383" s="1178" t="s">
        <v>22163</v>
      </c>
      <c r="B4383" s="1371" t="str">
        <f>HYPERLINK(IFERROR("#Main_Tariff!A"&amp;MATCH(Raeburn_Main_Tariff[[#This Row],[Product Code]],Main_Tariff!I:I,0),"#Main_Tariff!A"&amp;MATCH("*"&amp;RIGHT(A4383,8)&amp;"*",Main_Tariff!A:A,0)),Raeburn_Main_Tariff[[#This Row],[PRODUCER]])</f>
        <v>Giampaolo Tabarrini</v>
      </c>
      <c r="C4383" s="1178" t="s">
        <v>22173</v>
      </c>
      <c r="D4383" s="1178" t="s">
        <v>897</v>
      </c>
      <c r="E4383" s="1179">
        <v>2009</v>
      </c>
      <c r="F4383" s="1282" t="s">
        <v>20220</v>
      </c>
      <c r="G4383" s="1368">
        <v>31.5</v>
      </c>
      <c r="H4383" s="1178" t="s">
        <v>20465</v>
      </c>
      <c r="I4383" s="1178" t="s">
        <v>13742</v>
      </c>
      <c r="J4383" s="1178" t="s">
        <v>668</v>
      </c>
      <c r="K4383" s="1178" t="s">
        <v>462</v>
      </c>
      <c r="L4383" s="1178"/>
      <c r="M4383" s="1369"/>
      <c r="N4383" s="1178"/>
      <c r="O4383" s="1178">
        <v>6</v>
      </c>
      <c r="P4383" s="1178">
        <v>14.5</v>
      </c>
    </row>
    <row r="4384" spans="1:16">
      <c r="A4384" s="1178" t="s">
        <v>22163</v>
      </c>
      <c r="B4384" s="1371" t="str">
        <f>HYPERLINK(IFERROR("#Main_Tariff!A"&amp;MATCH(Raeburn_Main_Tariff[[#This Row],[Product Code]],Main_Tariff!I:I,0),"#Main_Tariff!A"&amp;MATCH("*"&amp;RIGHT(A4384,8)&amp;"*",Main_Tariff!A:A,0)),Raeburn_Main_Tariff[[#This Row],[PRODUCER]])</f>
        <v>Giampaolo Tabarrini</v>
      </c>
      <c r="C4384" s="1178" t="s">
        <v>22174</v>
      </c>
      <c r="D4384" s="1178" t="s">
        <v>897</v>
      </c>
      <c r="E4384" s="1179">
        <v>2016</v>
      </c>
      <c r="F4384" s="1282" t="s">
        <v>20220</v>
      </c>
      <c r="G4384" s="1368">
        <v>36.5</v>
      </c>
      <c r="H4384" s="1178" t="s">
        <v>20221</v>
      </c>
      <c r="I4384" s="1178" t="s">
        <v>13744</v>
      </c>
      <c r="J4384" s="1178" t="s">
        <v>668</v>
      </c>
      <c r="K4384" s="1178" t="s">
        <v>462</v>
      </c>
      <c r="L4384" s="1178"/>
      <c r="M4384" s="1369"/>
      <c r="N4384" s="1178"/>
      <c r="O4384" s="1178">
        <v>6</v>
      </c>
      <c r="P4384" s="1178">
        <v>15.5</v>
      </c>
    </row>
    <row r="4385" spans="1:16">
      <c r="A4385" s="1178" t="s">
        <v>22163</v>
      </c>
      <c r="B4385" s="1371" t="str">
        <f>HYPERLINK(IFERROR("#Main_Tariff!A"&amp;MATCH(Raeburn_Main_Tariff[[#This Row],[Product Code]],Main_Tariff!I:I,0),"#Main_Tariff!A"&amp;MATCH("*"&amp;RIGHT(A4385,8)&amp;"*",Main_Tariff!A:A,0)),Raeburn_Main_Tariff[[#This Row],[PRODUCER]])</f>
        <v>Giampaolo Tabarrini</v>
      </c>
      <c r="C4385" s="1178" t="s">
        <v>22174</v>
      </c>
      <c r="D4385" s="1178" t="s">
        <v>897</v>
      </c>
      <c r="E4385" s="1179">
        <v>2013</v>
      </c>
      <c r="F4385" s="1282" t="s">
        <v>20220</v>
      </c>
      <c r="G4385" s="1368">
        <v>36.5</v>
      </c>
      <c r="H4385" s="1178" t="s">
        <v>20221</v>
      </c>
      <c r="I4385" s="1178" t="s">
        <v>13746</v>
      </c>
      <c r="J4385" s="1178" t="s">
        <v>668</v>
      </c>
      <c r="K4385" s="1178" t="s">
        <v>462</v>
      </c>
      <c r="L4385" s="1178"/>
      <c r="M4385" s="1369"/>
      <c r="N4385" s="1178"/>
      <c r="O4385" s="1178">
        <v>6</v>
      </c>
      <c r="P4385" s="1178">
        <v>14.5</v>
      </c>
    </row>
    <row r="4386" spans="1:16">
      <c r="A4386" s="1178" t="s">
        <v>22163</v>
      </c>
      <c r="B4386" s="1371" t="str">
        <f>HYPERLINK(IFERROR("#Main_Tariff!A"&amp;MATCH(Raeburn_Main_Tariff[[#This Row],[Product Code]],Main_Tariff!I:I,0),"#Main_Tariff!A"&amp;MATCH("*"&amp;RIGHT(A4386,8)&amp;"*",Main_Tariff!A:A,0)),Raeburn_Main_Tariff[[#This Row],[PRODUCER]])</f>
        <v>Giampaolo Tabarrini</v>
      </c>
      <c r="C4386" s="1178" t="s">
        <v>22174</v>
      </c>
      <c r="D4386" s="1178" t="s">
        <v>897</v>
      </c>
      <c r="E4386" s="1179">
        <v>2012</v>
      </c>
      <c r="F4386" s="1282" t="s">
        <v>20220</v>
      </c>
      <c r="G4386" s="1368">
        <v>36.5</v>
      </c>
      <c r="H4386" s="1178" t="s">
        <v>20221</v>
      </c>
      <c r="I4386" s="1178" t="s">
        <v>13748</v>
      </c>
      <c r="J4386" s="1178" t="s">
        <v>668</v>
      </c>
      <c r="K4386" s="1178" t="s">
        <v>462</v>
      </c>
      <c r="L4386" s="1178"/>
      <c r="M4386" s="1369"/>
      <c r="N4386" s="1178"/>
      <c r="O4386" s="1178">
        <v>6</v>
      </c>
      <c r="P4386" s="1178">
        <v>14.5</v>
      </c>
    </row>
    <row r="4387" spans="1:16">
      <c r="A4387" s="1178" t="s">
        <v>22163</v>
      </c>
      <c r="B4387" s="1371" t="str">
        <f>HYPERLINK(IFERROR("#Main_Tariff!A"&amp;MATCH(Raeburn_Main_Tariff[[#This Row],[Product Code]],Main_Tariff!I:I,0),"#Main_Tariff!A"&amp;MATCH("*"&amp;RIGHT(A4387,8)&amp;"*",Main_Tariff!A:A,0)),Raeburn_Main_Tariff[[#This Row],[PRODUCER]])</f>
        <v>Giampaolo Tabarrini</v>
      </c>
      <c r="C4387" s="1178" t="s">
        <v>22174</v>
      </c>
      <c r="D4387" s="1178" t="s">
        <v>897</v>
      </c>
      <c r="E4387" s="1179">
        <v>2011</v>
      </c>
      <c r="F4387" s="1282" t="s">
        <v>20220</v>
      </c>
      <c r="G4387" s="1368">
        <v>36.5</v>
      </c>
      <c r="H4387" s="1178" t="s">
        <v>20221</v>
      </c>
      <c r="I4387" s="1178" t="s">
        <v>13750</v>
      </c>
      <c r="J4387" s="1178" t="s">
        <v>668</v>
      </c>
      <c r="K4387" s="1178" t="s">
        <v>462</v>
      </c>
      <c r="L4387" s="1178"/>
      <c r="M4387" s="1369"/>
      <c r="N4387" s="1178"/>
      <c r="O4387" s="1178">
        <v>6</v>
      </c>
      <c r="P4387" s="1178">
        <v>14.5</v>
      </c>
    </row>
    <row r="4388" spans="1:16">
      <c r="A4388" s="1178" t="s">
        <v>22163</v>
      </c>
      <c r="B4388" s="1371" t="str">
        <f>HYPERLINK(IFERROR("#Main_Tariff!A"&amp;MATCH(Raeburn_Main_Tariff[[#This Row],[Product Code]],Main_Tariff!I:I,0),"#Main_Tariff!A"&amp;MATCH("*"&amp;RIGHT(A4388,8)&amp;"*",Main_Tariff!A:A,0)),Raeburn_Main_Tariff[[#This Row],[PRODUCER]])</f>
        <v>Giampaolo Tabarrini</v>
      </c>
      <c r="C4388" s="1178" t="s">
        <v>22174</v>
      </c>
      <c r="D4388" s="1178" t="s">
        <v>897</v>
      </c>
      <c r="E4388" s="1179">
        <v>2010</v>
      </c>
      <c r="F4388" s="1282" t="s">
        <v>20220</v>
      </c>
      <c r="G4388" s="1368">
        <v>36.5</v>
      </c>
      <c r="H4388" s="1178" t="s">
        <v>20221</v>
      </c>
      <c r="I4388" s="1178" t="s">
        <v>13752</v>
      </c>
      <c r="J4388" s="1178" t="s">
        <v>668</v>
      </c>
      <c r="K4388" s="1178" t="s">
        <v>462</v>
      </c>
      <c r="L4388" s="1178"/>
      <c r="M4388" s="1369"/>
      <c r="N4388" s="1178"/>
      <c r="O4388" s="1178">
        <v>6</v>
      </c>
      <c r="P4388" s="1178">
        <v>14.5</v>
      </c>
    </row>
    <row r="4389" spans="1:16">
      <c r="A4389" s="1178" t="s">
        <v>22163</v>
      </c>
      <c r="B4389" s="1371" t="str">
        <f>HYPERLINK(IFERROR("#Main_Tariff!A"&amp;MATCH(Raeburn_Main_Tariff[[#This Row],[Product Code]],Main_Tariff!I:I,0),"#Main_Tariff!A"&amp;MATCH("*"&amp;RIGHT(A4389,8)&amp;"*",Main_Tariff!A:A,0)),Raeburn_Main_Tariff[[#This Row],[PRODUCER]])</f>
        <v>Giampaolo Tabarrini</v>
      </c>
      <c r="C4389" s="1178" t="s">
        <v>22174</v>
      </c>
      <c r="D4389" s="1178" t="s">
        <v>897</v>
      </c>
      <c r="E4389" s="1179">
        <v>2009</v>
      </c>
      <c r="F4389" s="1282" t="s">
        <v>20220</v>
      </c>
      <c r="G4389" s="1368">
        <v>36.5</v>
      </c>
      <c r="H4389" s="1178" t="s">
        <v>20221</v>
      </c>
      <c r="I4389" s="1178" t="s">
        <v>13754</v>
      </c>
      <c r="J4389" s="1178" t="s">
        <v>668</v>
      </c>
      <c r="K4389" s="1178" t="s">
        <v>462</v>
      </c>
      <c r="L4389" s="1178"/>
      <c r="M4389" s="1369"/>
      <c r="N4389" s="1178"/>
      <c r="O4389" s="1178">
        <v>6</v>
      </c>
      <c r="P4389" s="1178">
        <v>14.5</v>
      </c>
    </row>
    <row r="4390" spans="1:16">
      <c r="A4390" s="1178" t="s">
        <v>22163</v>
      </c>
      <c r="B4390" s="1371" t="str">
        <f>HYPERLINK(IFERROR("#Main_Tariff!A"&amp;MATCH(Raeburn_Main_Tariff[[#This Row],[Product Code]],Main_Tariff!I:I,0),"#Main_Tariff!A"&amp;MATCH("*"&amp;RIGHT(A4390,8)&amp;"*",Main_Tariff!A:A,0)),Raeburn_Main_Tariff[[#This Row],[PRODUCER]])</f>
        <v>Giampaolo Tabarrini</v>
      </c>
      <c r="C4390" s="1178" t="s">
        <v>22174</v>
      </c>
      <c r="D4390" s="1178" t="s">
        <v>897</v>
      </c>
      <c r="E4390" s="1179">
        <v>2006</v>
      </c>
      <c r="F4390" s="1282" t="s">
        <v>20220</v>
      </c>
      <c r="G4390" s="1368">
        <v>35.5</v>
      </c>
      <c r="H4390" s="1178" t="s">
        <v>20277</v>
      </c>
      <c r="I4390" s="1178" t="s">
        <v>13755</v>
      </c>
      <c r="J4390" s="1178" t="s">
        <v>668</v>
      </c>
      <c r="K4390" s="1178" t="s">
        <v>462</v>
      </c>
      <c r="L4390" s="1178"/>
      <c r="M4390" s="1369"/>
      <c r="N4390" s="1178"/>
      <c r="O4390" s="1178">
        <v>6</v>
      </c>
      <c r="P4390" s="1178">
        <v>15</v>
      </c>
    </row>
    <row r="4391" spans="1:16">
      <c r="A4391" s="1178" t="s">
        <v>22163</v>
      </c>
      <c r="B4391" s="1371" t="str">
        <f>HYPERLINK(IFERROR("#Main_Tariff!A"&amp;MATCH(Raeburn_Main_Tariff[[#This Row],[Product Code]],Main_Tariff!I:I,0),"#Main_Tariff!A"&amp;MATCH("*"&amp;RIGHT(A4391,8)&amp;"*",Main_Tariff!A:A,0)),Raeburn_Main_Tariff[[#This Row],[PRODUCER]])</f>
        <v>Giampaolo Tabarrini</v>
      </c>
      <c r="C4391" s="1178" t="s">
        <v>22175</v>
      </c>
      <c r="D4391" s="1178" t="s">
        <v>897</v>
      </c>
      <c r="E4391" s="1179">
        <v>2020</v>
      </c>
      <c r="F4391" s="1282" t="s">
        <v>20220</v>
      </c>
      <c r="G4391" s="1368">
        <v>69</v>
      </c>
      <c r="H4391" s="1178" t="s">
        <v>20221</v>
      </c>
      <c r="I4391" s="1178" t="s">
        <v>13756</v>
      </c>
      <c r="J4391" s="1178" t="s">
        <v>668</v>
      </c>
      <c r="K4391" s="1178" t="s">
        <v>462</v>
      </c>
      <c r="L4391" s="1178"/>
      <c r="M4391" s="1369"/>
      <c r="N4391" s="1178"/>
      <c r="O4391" s="1178">
        <v>6</v>
      </c>
      <c r="P4391" s="1178">
        <v>15.5</v>
      </c>
    </row>
    <row r="4392" spans="1:16">
      <c r="A4392" s="1178" t="s">
        <v>22163</v>
      </c>
      <c r="B4392" s="1371" t="str">
        <f>HYPERLINK(IFERROR("#Main_Tariff!A"&amp;MATCH(Raeburn_Main_Tariff[[#This Row],[Product Code]],Main_Tariff!I:I,0),"#Main_Tariff!A"&amp;MATCH("*"&amp;RIGHT(A4392,8)&amp;"*",Main_Tariff!A:A,0)),Raeburn_Main_Tariff[[#This Row],[PRODUCER]])</f>
        <v>Giampaolo Tabarrini</v>
      </c>
      <c r="C4392" s="1178" t="s">
        <v>22176</v>
      </c>
      <c r="D4392" s="1178" t="s">
        <v>897</v>
      </c>
      <c r="E4392" s="1179">
        <v>2013</v>
      </c>
      <c r="F4392" s="1282" t="s">
        <v>20240</v>
      </c>
      <c r="G4392" s="1368">
        <v>44</v>
      </c>
      <c r="H4392" s="1178" t="s">
        <v>20224</v>
      </c>
      <c r="I4392" s="1178" t="s">
        <v>13761</v>
      </c>
      <c r="J4392" s="1178" t="s">
        <v>668</v>
      </c>
      <c r="K4392" s="1178" t="s">
        <v>462</v>
      </c>
      <c r="L4392" s="1178"/>
      <c r="M4392" s="1369"/>
      <c r="N4392" s="1178"/>
      <c r="O4392" s="1178">
        <v>1</v>
      </c>
      <c r="P4392" s="1178">
        <v>15</v>
      </c>
    </row>
    <row r="4393" spans="1:16">
      <c r="A4393" s="1178" t="s">
        <v>22163</v>
      </c>
      <c r="B4393" s="1371" t="str">
        <f>HYPERLINK(IFERROR("#Main_Tariff!A"&amp;MATCH(Raeburn_Main_Tariff[[#This Row],[Product Code]],Main_Tariff!I:I,0),"#Main_Tariff!A"&amp;MATCH("*"&amp;RIGHT(A4393,8)&amp;"*",Main_Tariff!A:A,0)),Raeburn_Main_Tariff[[#This Row],[PRODUCER]])</f>
        <v>Giampaolo Tabarrini</v>
      </c>
      <c r="C4393" s="1178" t="s">
        <v>22177</v>
      </c>
      <c r="D4393" s="1178" t="s">
        <v>897</v>
      </c>
      <c r="E4393" s="1179">
        <v>2013</v>
      </c>
      <c r="F4393" s="1282" t="s">
        <v>20240</v>
      </c>
      <c r="G4393" s="1368">
        <v>66</v>
      </c>
      <c r="H4393" s="1178" t="s">
        <v>20224</v>
      </c>
      <c r="I4393" s="1178" t="s">
        <v>13763</v>
      </c>
      <c r="J4393" s="1178" t="s">
        <v>668</v>
      </c>
      <c r="K4393" s="1178" t="s">
        <v>462</v>
      </c>
      <c r="L4393" s="1178"/>
      <c r="M4393" s="1369"/>
      <c r="N4393" s="1178"/>
      <c r="O4393" s="1178">
        <v>1</v>
      </c>
      <c r="P4393" s="1178">
        <v>14.7</v>
      </c>
    </row>
    <row r="4394" spans="1:16">
      <c r="A4394" s="1178" t="s">
        <v>22163</v>
      </c>
      <c r="B4394" s="1371" t="str">
        <f>HYPERLINK(IFERROR("#Main_Tariff!A"&amp;MATCH(Raeburn_Main_Tariff[[#This Row],[Product Code]],Main_Tariff!I:I,0),"#Main_Tariff!A"&amp;MATCH("*"&amp;RIGHT(A4394,8)&amp;"*",Main_Tariff!A:A,0)),Raeburn_Main_Tariff[[#This Row],[PRODUCER]])</f>
        <v>Giampaolo Tabarrini</v>
      </c>
      <c r="C4394" s="1178" t="s">
        <v>22178</v>
      </c>
      <c r="D4394" s="1178" t="s">
        <v>897</v>
      </c>
      <c r="E4394" s="1179">
        <v>2013</v>
      </c>
      <c r="F4394" s="1282" t="s">
        <v>20240</v>
      </c>
      <c r="G4394" s="1368">
        <v>72</v>
      </c>
      <c r="H4394" s="1178" t="s">
        <v>20224</v>
      </c>
      <c r="I4394" s="1178" t="s">
        <v>13764</v>
      </c>
      <c r="J4394" s="1178" t="s">
        <v>668</v>
      </c>
      <c r="K4394" s="1178" t="s">
        <v>462</v>
      </c>
      <c r="L4394" s="1178"/>
      <c r="M4394" s="1369"/>
      <c r="N4394" s="1178"/>
      <c r="O4394" s="1178">
        <v>1</v>
      </c>
      <c r="P4394" s="1178">
        <v>13.9</v>
      </c>
    </row>
    <row r="4395" spans="1:16">
      <c r="A4395" s="1178" t="s">
        <v>22163</v>
      </c>
      <c r="B4395" s="1371" t="str">
        <f>HYPERLINK(IFERROR("#Main_Tariff!A"&amp;MATCH(Raeburn_Main_Tariff[[#This Row],[Product Code]],Main_Tariff!I:I,0),"#Main_Tariff!A"&amp;MATCH("*"&amp;RIGHT(A4395,8)&amp;"*",Main_Tariff!A:A,0)),Raeburn_Main_Tariff[[#This Row],[PRODUCER]])</f>
        <v>Giampaolo Tabarrini</v>
      </c>
      <c r="C4395" s="1178" t="s">
        <v>22178</v>
      </c>
      <c r="D4395" s="1178" t="s">
        <v>897</v>
      </c>
      <c r="E4395" s="1179">
        <v>2012</v>
      </c>
      <c r="F4395" s="1282" t="s">
        <v>20240</v>
      </c>
      <c r="G4395" s="1368">
        <v>72</v>
      </c>
      <c r="H4395" s="1178" t="s">
        <v>20224</v>
      </c>
      <c r="I4395" s="1178" t="s">
        <v>13765</v>
      </c>
      <c r="J4395" s="1178" t="s">
        <v>668</v>
      </c>
      <c r="K4395" s="1178" t="s">
        <v>462</v>
      </c>
      <c r="L4395" s="1178"/>
      <c r="M4395" s="1369"/>
      <c r="N4395" s="1178"/>
      <c r="O4395" s="1178">
        <v>1</v>
      </c>
      <c r="P4395" s="1178">
        <v>13</v>
      </c>
    </row>
    <row r="4396" spans="1:16">
      <c r="A4396" s="1178" t="s">
        <v>22163</v>
      </c>
      <c r="B4396" s="1371" t="str">
        <f>HYPERLINK(IFERROR("#Main_Tariff!A"&amp;MATCH(Raeburn_Main_Tariff[[#This Row],[Product Code]],Main_Tariff!I:I,0),"#Main_Tariff!A"&amp;MATCH("*"&amp;RIGHT(A4396,8)&amp;"*",Main_Tariff!A:A,0)),Raeburn_Main_Tariff[[#This Row],[PRODUCER]])</f>
        <v>Giampaolo Tabarrini</v>
      </c>
      <c r="C4396" s="1178" t="s">
        <v>22178</v>
      </c>
      <c r="D4396" s="1178" t="s">
        <v>897</v>
      </c>
      <c r="E4396" s="1179">
        <v>2011</v>
      </c>
      <c r="F4396" s="1282" t="s">
        <v>20240</v>
      </c>
      <c r="G4396" s="1368">
        <v>72</v>
      </c>
      <c r="H4396" s="1178" t="s">
        <v>20224</v>
      </c>
      <c r="I4396" s="1178" t="s">
        <v>13766</v>
      </c>
      <c r="J4396" s="1178" t="s">
        <v>668</v>
      </c>
      <c r="K4396" s="1178" t="s">
        <v>462</v>
      </c>
      <c r="L4396" s="1178"/>
      <c r="M4396" s="1369"/>
      <c r="N4396" s="1178"/>
      <c r="O4396" s="1178">
        <v>1</v>
      </c>
      <c r="P4396" s="1178">
        <v>15</v>
      </c>
    </row>
    <row r="4397" spans="1:16">
      <c r="A4397" s="1178" t="s">
        <v>22163</v>
      </c>
      <c r="B4397" s="1371" t="str">
        <f>HYPERLINK(IFERROR("#Main_Tariff!A"&amp;MATCH(Raeburn_Main_Tariff[[#This Row],[Product Code]],Main_Tariff!I:I,0),"#Main_Tariff!A"&amp;MATCH("*"&amp;RIGHT(A4397,8)&amp;"*",Main_Tariff!A:A,0)),Raeburn_Main_Tariff[[#This Row],[PRODUCER]])</f>
        <v>Giampaolo Tabarrini</v>
      </c>
      <c r="C4397" s="1178" t="s">
        <v>22178</v>
      </c>
      <c r="D4397" s="1178" t="s">
        <v>897</v>
      </c>
      <c r="E4397" s="1179">
        <v>2009</v>
      </c>
      <c r="F4397" s="1282" t="s">
        <v>20240</v>
      </c>
      <c r="G4397" s="1368">
        <v>72</v>
      </c>
      <c r="H4397" s="1178" t="s">
        <v>20224</v>
      </c>
      <c r="I4397" s="1178" t="s">
        <v>13767</v>
      </c>
      <c r="J4397" s="1178" t="s">
        <v>668</v>
      </c>
      <c r="K4397" s="1178" t="s">
        <v>462</v>
      </c>
      <c r="L4397" s="1178"/>
      <c r="M4397" s="1369"/>
      <c r="N4397" s="1178"/>
      <c r="O4397" s="1178">
        <v>1</v>
      </c>
      <c r="P4397" s="1178">
        <v>13</v>
      </c>
    </row>
    <row r="4398" spans="1:16">
      <c r="A4398" s="1178" t="s">
        <v>22163</v>
      </c>
      <c r="B4398" s="1371" t="str">
        <f>HYPERLINK(IFERROR("#Main_Tariff!A"&amp;MATCH(Raeburn_Main_Tariff[[#This Row],[Product Code]],Main_Tariff!I:I,0),"#Main_Tariff!A"&amp;MATCH("*"&amp;RIGHT(A4398,8)&amp;"*",Main_Tariff!A:A,0)),Raeburn_Main_Tariff[[#This Row],[PRODUCER]])</f>
        <v>Giampaolo Tabarrini</v>
      </c>
      <c r="C4398" s="1178" t="s">
        <v>22179</v>
      </c>
      <c r="D4398" s="1178" t="s">
        <v>897</v>
      </c>
      <c r="E4398" s="1179">
        <v>2013</v>
      </c>
      <c r="F4398" s="1282" t="s">
        <v>20240</v>
      </c>
      <c r="G4398" s="1368">
        <v>76</v>
      </c>
      <c r="H4398" s="1178" t="s">
        <v>20224</v>
      </c>
      <c r="I4398" s="1178" t="s">
        <v>13768</v>
      </c>
      <c r="J4398" s="1178" t="s">
        <v>668</v>
      </c>
      <c r="K4398" s="1178" t="s">
        <v>462</v>
      </c>
      <c r="L4398" s="1178"/>
      <c r="M4398" s="1369"/>
      <c r="N4398" s="1178"/>
      <c r="O4398" s="1178">
        <v>1</v>
      </c>
      <c r="P4398" s="1178">
        <v>14.5</v>
      </c>
    </row>
    <row r="4399" spans="1:16">
      <c r="A4399" s="1178" t="s">
        <v>22163</v>
      </c>
      <c r="B4399" s="1371" t="str">
        <f>HYPERLINK(IFERROR("#Main_Tariff!A"&amp;MATCH(Raeburn_Main_Tariff[[#This Row],[Product Code]],Main_Tariff!I:I,0),"#Main_Tariff!A"&amp;MATCH("*"&amp;RIGHT(A4399,8)&amp;"*",Main_Tariff!A:A,0)),Raeburn_Main_Tariff[[#This Row],[PRODUCER]])</f>
        <v>Giampaolo Tabarrini</v>
      </c>
      <c r="C4399" s="1178" t="s">
        <v>22179</v>
      </c>
      <c r="D4399" s="1178" t="s">
        <v>897</v>
      </c>
      <c r="E4399" s="1179">
        <v>2011</v>
      </c>
      <c r="F4399" s="1282" t="s">
        <v>20240</v>
      </c>
      <c r="G4399" s="1368">
        <v>76</v>
      </c>
      <c r="H4399" s="1178" t="s">
        <v>20224</v>
      </c>
      <c r="I4399" s="1178" t="s">
        <v>13769</v>
      </c>
      <c r="J4399" s="1178" t="s">
        <v>668</v>
      </c>
      <c r="K4399" s="1178" t="s">
        <v>462</v>
      </c>
      <c r="L4399" s="1178"/>
      <c r="M4399" s="1369"/>
      <c r="N4399" s="1178"/>
      <c r="O4399" s="1178">
        <v>1</v>
      </c>
      <c r="P4399" s="1178">
        <v>15</v>
      </c>
    </row>
    <row r="4400" spans="1:16">
      <c r="A4400" s="1178" t="s">
        <v>22163</v>
      </c>
      <c r="B4400" s="1371" t="str">
        <f>HYPERLINK(IFERROR("#Main_Tariff!A"&amp;MATCH(Raeburn_Main_Tariff[[#This Row],[Product Code]],Main_Tariff!I:I,0),"#Main_Tariff!A"&amp;MATCH("*"&amp;RIGHT(A4400,8)&amp;"*",Main_Tariff!A:A,0)),Raeburn_Main_Tariff[[#This Row],[PRODUCER]])</f>
        <v>Giampaolo Tabarrini</v>
      </c>
      <c r="C4400" s="1178" t="s">
        <v>22179</v>
      </c>
      <c r="D4400" s="1178" t="s">
        <v>897</v>
      </c>
      <c r="E4400" s="1179">
        <v>2009</v>
      </c>
      <c r="F4400" s="1282" t="s">
        <v>20240</v>
      </c>
      <c r="G4400" s="1368">
        <v>76</v>
      </c>
      <c r="H4400" s="1178" t="s">
        <v>20224</v>
      </c>
      <c r="I4400" s="1178" t="s">
        <v>13770</v>
      </c>
      <c r="J4400" s="1178" t="s">
        <v>668</v>
      </c>
      <c r="K4400" s="1178" t="s">
        <v>462</v>
      </c>
      <c r="L4400" s="1178"/>
      <c r="M4400" s="1369"/>
      <c r="N4400" s="1178"/>
      <c r="O4400" s="1178">
        <v>1</v>
      </c>
      <c r="P4400" s="1178">
        <v>13</v>
      </c>
    </row>
    <row r="4401" spans="1:16">
      <c r="A4401" s="1178" t="s">
        <v>22163</v>
      </c>
      <c r="B4401" s="1371" t="str">
        <f>HYPERLINK(IFERROR("#Main_Tariff!A"&amp;MATCH(Raeburn_Main_Tariff[[#This Row],[Product Code]],Main_Tariff!I:I,0),"#Main_Tariff!A"&amp;MATCH("*"&amp;RIGHT(A4401,8)&amp;"*",Main_Tariff!A:A,0)),Raeburn_Main_Tariff[[#This Row],[PRODUCER]])</f>
        <v>Giampaolo Tabarrini</v>
      </c>
      <c r="C4401" s="1178" t="s">
        <v>22180</v>
      </c>
      <c r="D4401" s="1178" t="s">
        <v>897</v>
      </c>
      <c r="E4401" s="1179">
        <v>2014</v>
      </c>
      <c r="F4401" s="1282" t="s">
        <v>20288</v>
      </c>
      <c r="G4401" s="1368">
        <v>126</v>
      </c>
      <c r="H4401" s="1178" t="s">
        <v>20224</v>
      </c>
      <c r="I4401" s="1178" t="s">
        <v>13772</v>
      </c>
      <c r="J4401" s="1178" t="s">
        <v>668</v>
      </c>
      <c r="K4401" s="1178" t="s">
        <v>462</v>
      </c>
      <c r="L4401" s="1178"/>
      <c r="M4401" s="1369"/>
      <c r="N4401" s="1178"/>
      <c r="O4401" s="1178">
        <v>1</v>
      </c>
      <c r="P4401" s="1178">
        <v>15</v>
      </c>
    </row>
    <row r="4402" spans="1:16">
      <c r="A4402" s="1178" t="s">
        <v>22163</v>
      </c>
      <c r="B4402" s="1371" t="str">
        <f>HYPERLINK(IFERROR("#Main_Tariff!A"&amp;MATCH(Raeburn_Main_Tariff[[#This Row],[Product Code]],Main_Tariff!I:I,0),"#Main_Tariff!A"&amp;MATCH("*"&amp;RIGHT(A4402,8)&amp;"*",Main_Tariff!A:A,0)),Raeburn_Main_Tariff[[#This Row],[PRODUCER]])</f>
        <v>Giampaolo Tabarrini</v>
      </c>
      <c r="C4402" s="1178" t="s">
        <v>22180</v>
      </c>
      <c r="D4402" s="1178" t="s">
        <v>897</v>
      </c>
      <c r="E4402" s="1179">
        <v>2013</v>
      </c>
      <c r="F4402" s="1282" t="s">
        <v>20288</v>
      </c>
      <c r="G4402" s="1368">
        <v>126</v>
      </c>
      <c r="H4402" s="1178" t="s">
        <v>20224</v>
      </c>
      <c r="I4402" s="1178" t="s">
        <v>13773</v>
      </c>
      <c r="J4402" s="1178" t="s">
        <v>668</v>
      </c>
      <c r="K4402" s="1178" t="s">
        <v>462</v>
      </c>
      <c r="L4402" s="1178"/>
      <c r="M4402" s="1369"/>
      <c r="N4402" s="1178"/>
      <c r="O4402" s="1178">
        <v>1</v>
      </c>
      <c r="P4402" s="1178">
        <v>14.7</v>
      </c>
    </row>
    <row r="4403" spans="1:16">
      <c r="A4403" s="1178" t="s">
        <v>22163</v>
      </c>
      <c r="B4403" s="1371" t="str">
        <f>HYPERLINK(IFERROR("#Main_Tariff!A"&amp;MATCH(Raeburn_Main_Tariff[[#This Row],[Product Code]],Main_Tariff!I:I,0),"#Main_Tariff!A"&amp;MATCH("*"&amp;RIGHT(A4403,8)&amp;"*",Main_Tariff!A:A,0)),Raeburn_Main_Tariff[[#This Row],[PRODUCER]])</f>
        <v>Giampaolo Tabarrini</v>
      </c>
      <c r="C4403" s="1178" t="s">
        <v>22181</v>
      </c>
      <c r="D4403" s="1178" t="s">
        <v>897</v>
      </c>
      <c r="E4403" s="1179">
        <v>2013</v>
      </c>
      <c r="F4403" s="1282" t="s">
        <v>20288</v>
      </c>
      <c r="G4403" s="1368">
        <v>135</v>
      </c>
      <c r="H4403" s="1178" t="s">
        <v>20224</v>
      </c>
      <c r="I4403" s="1178" t="s">
        <v>13774</v>
      </c>
      <c r="J4403" s="1178" t="s">
        <v>668</v>
      </c>
      <c r="K4403" s="1178" t="s">
        <v>462</v>
      </c>
      <c r="L4403" s="1178"/>
      <c r="M4403" s="1369"/>
      <c r="N4403" s="1178"/>
      <c r="O4403" s="1178">
        <v>1</v>
      </c>
      <c r="P4403" s="1178">
        <v>13.9</v>
      </c>
    </row>
    <row r="4404" spans="1:16">
      <c r="A4404" s="1178" t="s">
        <v>22163</v>
      </c>
      <c r="B4404" s="1371" t="str">
        <f>HYPERLINK(IFERROR("#Main_Tariff!A"&amp;MATCH(Raeburn_Main_Tariff[[#This Row],[Product Code]],Main_Tariff!I:I,0),"#Main_Tariff!A"&amp;MATCH("*"&amp;RIGHT(A4404,8)&amp;"*",Main_Tariff!A:A,0)),Raeburn_Main_Tariff[[#This Row],[PRODUCER]])</f>
        <v>Giampaolo Tabarrini</v>
      </c>
      <c r="C4404" s="1178" t="s">
        <v>22182</v>
      </c>
      <c r="D4404" s="1178" t="s">
        <v>897</v>
      </c>
      <c r="E4404" s="1179">
        <v>2008</v>
      </c>
      <c r="F4404" s="1282" t="s">
        <v>20288</v>
      </c>
      <c r="G4404" s="1368">
        <v>153.5</v>
      </c>
      <c r="H4404" s="1178" t="s">
        <v>20224</v>
      </c>
      <c r="I4404" s="1178" t="s">
        <v>13775</v>
      </c>
      <c r="J4404" s="1178" t="s">
        <v>668</v>
      </c>
      <c r="K4404" s="1178" t="s">
        <v>462</v>
      </c>
      <c r="L4404" s="1178"/>
      <c r="M4404" s="1369"/>
      <c r="N4404" s="1178"/>
      <c r="O4404" s="1178">
        <v>1</v>
      </c>
      <c r="P4404" s="1178">
        <v>15</v>
      </c>
    </row>
    <row r="4405" spans="1:16">
      <c r="A4405" s="1178" t="s">
        <v>22163</v>
      </c>
      <c r="B4405" s="1371" t="str">
        <f>HYPERLINK(IFERROR("#Main_Tariff!A"&amp;MATCH(Raeburn_Main_Tariff[[#This Row],[Product Code]],Main_Tariff!I:I,0),"#Main_Tariff!A"&amp;MATCH("*"&amp;RIGHT(A4405,8)&amp;"*",Main_Tariff!A:A,0)),Raeburn_Main_Tariff[[#This Row],[PRODUCER]])</f>
        <v>Giampaolo Tabarrini</v>
      </c>
      <c r="C4405" s="1178" t="s">
        <v>22183</v>
      </c>
      <c r="D4405" s="1178" t="s">
        <v>897</v>
      </c>
      <c r="E4405" s="1179">
        <v>2013</v>
      </c>
      <c r="F4405" s="1282" t="s">
        <v>20280</v>
      </c>
      <c r="G4405" s="1368">
        <v>29.95</v>
      </c>
      <c r="H4405" s="1178" t="s">
        <v>20221</v>
      </c>
      <c r="I4405" s="1178" t="s">
        <v>13759</v>
      </c>
      <c r="J4405" s="1178" t="s">
        <v>668</v>
      </c>
      <c r="K4405" s="1178" t="s">
        <v>462</v>
      </c>
      <c r="L4405" s="1178"/>
      <c r="M4405" s="1369"/>
      <c r="N4405" s="1178"/>
      <c r="O4405" s="1178">
        <v>6</v>
      </c>
      <c r="P4405" s="1178">
        <v>15</v>
      </c>
    </row>
    <row r="4406" spans="1:16">
      <c r="A4406" s="1178" t="s">
        <v>465</v>
      </c>
      <c r="B4406" s="1371" t="str">
        <f>HYPERLINK(IFERROR("#Main_Tariff!A"&amp;MATCH(Raeburn_Main_Tariff[[#This Row],[Product Code]],Main_Tariff!I:I,0),"#Main_Tariff!A"&amp;MATCH("*"&amp;RIGHT(A4406,8)&amp;"*",Main_Tariff!A:A,0)),Raeburn_Main_Tariff[[#This Row],[PRODUCER]])</f>
        <v>Morigerati</v>
      </c>
      <c r="C4406" s="1178" t="s">
        <v>22184</v>
      </c>
      <c r="D4406" s="1178" t="s">
        <v>1129</v>
      </c>
      <c r="E4406" s="1179">
        <v>2022</v>
      </c>
      <c r="F4406" s="1282" t="s">
        <v>20220</v>
      </c>
      <c r="G4406" s="1368">
        <v>21.25</v>
      </c>
      <c r="H4406" s="1178" t="s">
        <v>20221</v>
      </c>
      <c r="I4406" s="1178" t="s">
        <v>13778</v>
      </c>
      <c r="J4406" s="1178" t="s">
        <v>668</v>
      </c>
      <c r="K4406" s="1178" t="s">
        <v>464</v>
      </c>
      <c r="L4406" s="1178"/>
      <c r="M4406" s="1369"/>
      <c r="N4406" s="1178"/>
      <c r="O4406" s="1178">
        <v>6</v>
      </c>
      <c r="P4406" s="1178">
        <v>13.5</v>
      </c>
    </row>
    <row r="4407" spans="1:16">
      <c r="A4407" s="1178" t="s">
        <v>465</v>
      </c>
      <c r="B4407" s="1371" t="str">
        <f>HYPERLINK(IFERROR("#Main_Tariff!A"&amp;MATCH(Raeburn_Main_Tariff[[#This Row],[Product Code]],Main_Tariff!I:I,0),"#Main_Tariff!A"&amp;MATCH("*"&amp;RIGHT(A4407,8)&amp;"*",Main_Tariff!A:A,0)),Raeburn_Main_Tariff[[#This Row],[PRODUCER]])</f>
        <v>Morigerati</v>
      </c>
      <c r="C4407" s="1178" t="s">
        <v>22184</v>
      </c>
      <c r="D4407" s="1178" t="s">
        <v>1129</v>
      </c>
      <c r="E4407" s="1179">
        <v>2020</v>
      </c>
      <c r="F4407" s="1282" t="s">
        <v>20220</v>
      </c>
      <c r="G4407" s="1368">
        <v>23.5</v>
      </c>
      <c r="H4407" s="1178" t="s">
        <v>20221</v>
      </c>
      <c r="I4407" s="1178" t="s">
        <v>13780</v>
      </c>
      <c r="J4407" s="1178" t="s">
        <v>668</v>
      </c>
      <c r="K4407" s="1178" t="s">
        <v>464</v>
      </c>
      <c r="L4407" s="1178"/>
      <c r="M4407" s="1369"/>
      <c r="N4407" s="1178"/>
      <c r="O4407" s="1178">
        <v>6</v>
      </c>
      <c r="P4407" s="1178">
        <v>13</v>
      </c>
    </row>
    <row r="4408" spans="1:16">
      <c r="A4408" s="1178" t="s">
        <v>465</v>
      </c>
      <c r="B4408" s="1371" t="str">
        <f>HYPERLINK(IFERROR("#Main_Tariff!A"&amp;MATCH(Raeburn_Main_Tariff[[#This Row],[Product Code]],Main_Tariff!I:I,0),"#Main_Tariff!A"&amp;MATCH("*"&amp;RIGHT(A4408,8)&amp;"*",Main_Tariff!A:A,0)),Raeburn_Main_Tariff[[#This Row],[PRODUCER]])</f>
        <v>Morigerati</v>
      </c>
      <c r="C4408" s="1178" t="s">
        <v>22184</v>
      </c>
      <c r="D4408" s="1178" t="s">
        <v>1129</v>
      </c>
      <c r="E4408" s="1179">
        <v>2016</v>
      </c>
      <c r="F4408" s="1282" t="s">
        <v>20220</v>
      </c>
      <c r="G4408" s="1368">
        <v>28.5</v>
      </c>
      <c r="H4408" s="1178" t="s">
        <v>20221</v>
      </c>
      <c r="I4408" s="1178" t="s">
        <v>13782</v>
      </c>
      <c r="J4408" s="1178" t="s">
        <v>668</v>
      </c>
      <c r="K4408" s="1178" t="s">
        <v>464</v>
      </c>
      <c r="L4408" s="1178"/>
      <c r="M4408" s="1369"/>
      <c r="N4408" s="1178"/>
      <c r="O4408" s="1178">
        <v>6</v>
      </c>
      <c r="P4408" s="1178">
        <v>12.5</v>
      </c>
    </row>
    <row r="4409" spans="1:16">
      <c r="A4409" s="1178" t="s">
        <v>22185</v>
      </c>
      <c r="B4409" s="1371" t="str">
        <f>HYPERLINK(IFERROR("#Main_Tariff!A"&amp;MATCH(Raeburn_Main_Tariff[[#This Row],[Product Code]],Main_Tariff!I:I,0),"#Main_Tariff!A"&amp;MATCH("*"&amp;RIGHT(A4409,8)&amp;"*",Main_Tariff!A:A,0)),Raeburn_Main_Tariff[[#This Row],[PRODUCER]])</f>
        <v>De Conciliis</v>
      </c>
      <c r="C4409" s="1178" t="s">
        <v>22186</v>
      </c>
      <c r="D4409" s="1178" t="s">
        <v>884</v>
      </c>
      <c r="E4409" s="1179" t="s">
        <v>19060</v>
      </c>
      <c r="F4409" s="1282" t="s">
        <v>20220</v>
      </c>
      <c r="G4409" s="1368">
        <v>14</v>
      </c>
      <c r="H4409" s="1178" t="s">
        <v>20277</v>
      </c>
      <c r="I4409" s="1178" t="s">
        <v>13805</v>
      </c>
      <c r="J4409" s="1178" t="s">
        <v>668</v>
      </c>
      <c r="K4409" s="1178" t="s">
        <v>464</v>
      </c>
      <c r="L4409" s="1178"/>
      <c r="M4409" s="1369"/>
      <c r="N4409" s="1178"/>
      <c r="O4409" s="1178">
        <v>6</v>
      </c>
      <c r="P4409" s="1178">
        <v>11.5</v>
      </c>
    </row>
    <row r="4410" spans="1:16">
      <c r="A4410" s="1178" t="s">
        <v>22185</v>
      </c>
      <c r="B4410" s="1371" t="str">
        <f>HYPERLINK(IFERROR("#Main_Tariff!A"&amp;MATCH(Raeburn_Main_Tariff[[#This Row],[Product Code]],Main_Tariff!I:I,0),"#Main_Tariff!A"&amp;MATCH("*"&amp;RIGHT(A4410,8)&amp;"*",Main_Tariff!A:A,0)),Raeburn_Main_Tariff[[#This Row],[PRODUCER]])</f>
        <v>De Conciliis</v>
      </c>
      <c r="C4410" s="1178" t="s">
        <v>22187</v>
      </c>
      <c r="D4410" s="1178" t="s">
        <v>21143</v>
      </c>
      <c r="E4410" s="1179">
        <v>2013</v>
      </c>
      <c r="F4410" s="1282" t="s">
        <v>20220</v>
      </c>
      <c r="G4410" s="1368">
        <v>16</v>
      </c>
      <c r="H4410" s="1178" t="s">
        <v>20221</v>
      </c>
      <c r="I4410" s="1178" t="s">
        <v>13809</v>
      </c>
      <c r="J4410" s="1178" t="s">
        <v>668</v>
      </c>
      <c r="K4410" s="1178" t="s">
        <v>464</v>
      </c>
      <c r="L4410" s="1178"/>
      <c r="M4410" s="1369"/>
      <c r="N4410" s="1178"/>
      <c r="O4410" s="1178">
        <v>6</v>
      </c>
      <c r="P4410" s="1178">
        <v>13.5</v>
      </c>
    </row>
    <row r="4411" spans="1:16">
      <c r="A4411" s="1178" t="s">
        <v>22185</v>
      </c>
      <c r="B4411" s="1371" t="str">
        <f>HYPERLINK(IFERROR("#Main_Tariff!A"&amp;MATCH(Raeburn_Main_Tariff[[#This Row],[Product Code]],Main_Tariff!I:I,0),"#Main_Tariff!A"&amp;MATCH("*"&amp;RIGHT(A4411,8)&amp;"*",Main_Tariff!A:A,0)),Raeburn_Main_Tariff[[#This Row],[PRODUCER]])</f>
        <v>De Conciliis</v>
      </c>
      <c r="C4411" s="1178" t="s">
        <v>22188</v>
      </c>
      <c r="D4411" s="1178" t="s">
        <v>897</v>
      </c>
      <c r="E4411" s="1179">
        <v>2010</v>
      </c>
      <c r="F4411" s="1282" t="s">
        <v>20220</v>
      </c>
      <c r="G4411" s="1368">
        <v>22.75</v>
      </c>
      <c r="H4411" s="1178" t="s">
        <v>20221</v>
      </c>
      <c r="I4411" s="1178" t="s">
        <v>13812</v>
      </c>
      <c r="J4411" s="1178" t="s">
        <v>668</v>
      </c>
      <c r="K4411" s="1178" t="s">
        <v>464</v>
      </c>
      <c r="L4411" s="1178"/>
      <c r="M4411" s="1369"/>
      <c r="N4411" s="1178"/>
      <c r="O4411" s="1178">
        <v>6</v>
      </c>
      <c r="P4411" s="1178">
        <v>14</v>
      </c>
    </row>
    <row r="4412" spans="1:16">
      <c r="A4412" s="1178" t="s">
        <v>22185</v>
      </c>
      <c r="B4412" s="1371" t="str">
        <f>HYPERLINK(IFERROR("#Main_Tariff!A"&amp;MATCH(Raeburn_Main_Tariff[[#This Row],[Product Code]],Main_Tariff!I:I,0),"#Main_Tariff!A"&amp;MATCH("*"&amp;RIGHT(A4412,8)&amp;"*",Main_Tariff!A:A,0)),Raeburn_Main_Tariff[[#This Row],[PRODUCER]])</f>
        <v>De Conciliis</v>
      </c>
      <c r="C4412" s="1178" t="s">
        <v>22189</v>
      </c>
      <c r="D4412" s="1178" t="s">
        <v>897</v>
      </c>
      <c r="E4412" s="1179">
        <v>2010</v>
      </c>
      <c r="F4412" s="1282" t="s">
        <v>20220</v>
      </c>
      <c r="G4412" s="1368">
        <v>22.5</v>
      </c>
      <c r="H4412" s="1178" t="s">
        <v>20221</v>
      </c>
      <c r="I4412" s="1178" t="s">
        <v>13815</v>
      </c>
      <c r="J4412" s="1178" t="s">
        <v>668</v>
      </c>
      <c r="K4412" s="1178" t="s">
        <v>464</v>
      </c>
      <c r="L4412" s="1178"/>
      <c r="M4412" s="1369"/>
      <c r="N4412" s="1178"/>
      <c r="O4412" s="1178">
        <v>6</v>
      </c>
      <c r="P4412" s="1178">
        <v>12.5</v>
      </c>
    </row>
    <row r="4413" spans="1:16">
      <c r="A4413" s="1178" t="s">
        <v>22185</v>
      </c>
      <c r="B4413" s="1371" t="str">
        <f>HYPERLINK(IFERROR("#Main_Tariff!A"&amp;MATCH(Raeburn_Main_Tariff[[#This Row],[Product Code]],Main_Tariff!I:I,0),"#Main_Tariff!A"&amp;MATCH("*"&amp;RIGHT(A4413,8)&amp;"*",Main_Tariff!A:A,0)),Raeburn_Main_Tariff[[#This Row],[PRODUCER]])</f>
        <v>De Conciliis</v>
      </c>
      <c r="C4413" s="1178" t="s">
        <v>22189</v>
      </c>
      <c r="D4413" s="1178" t="s">
        <v>897</v>
      </c>
      <c r="E4413" s="1179">
        <v>2008</v>
      </c>
      <c r="F4413" s="1282" t="s">
        <v>20220</v>
      </c>
      <c r="G4413" s="1368">
        <v>22</v>
      </c>
      <c r="H4413" s="1178" t="s">
        <v>20224</v>
      </c>
      <c r="I4413" s="1178" t="s">
        <v>13816</v>
      </c>
      <c r="J4413" s="1178" t="s">
        <v>668</v>
      </c>
      <c r="K4413" s="1178" t="s">
        <v>464</v>
      </c>
      <c r="L4413" s="1178"/>
      <c r="M4413" s="1369"/>
      <c r="N4413" s="1178"/>
      <c r="O4413" s="1178">
        <v>6</v>
      </c>
      <c r="P4413" s="1178">
        <v>13.5</v>
      </c>
    </row>
    <row r="4414" spans="1:16">
      <c r="A4414" s="1178" t="s">
        <v>22185</v>
      </c>
      <c r="B4414" s="1371" t="str">
        <f>HYPERLINK(IFERROR("#Main_Tariff!A"&amp;MATCH(Raeburn_Main_Tariff[[#This Row],[Product Code]],Main_Tariff!I:I,0),"#Main_Tariff!A"&amp;MATCH("*"&amp;RIGHT(A4414,8)&amp;"*",Main_Tariff!A:A,0)),Raeburn_Main_Tariff[[#This Row],[PRODUCER]])</f>
        <v>De Conciliis</v>
      </c>
      <c r="C4414" s="1178" t="s">
        <v>22190</v>
      </c>
      <c r="D4414" s="1178" t="s">
        <v>897</v>
      </c>
      <c r="E4414" s="1179">
        <v>2014</v>
      </c>
      <c r="F4414" s="1282" t="s">
        <v>20240</v>
      </c>
      <c r="G4414" s="1368">
        <v>29.25</v>
      </c>
      <c r="H4414" s="1178" t="s">
        <v>20221</v>
      </c>
      <c r="I4414" s="1178" t="s">
        <v>13817</v>
      </c>
      <c r="J4414" s="1178" t="s">
        <v>668</v>
      </c>
      <c r="K4414" s="1178" t="s">
        <v>464</v>
      </c>
      <c r="L4414" s="1178"/>
      <c r="M4414" s="1369"/>
      <c r="N4414" s="1178"/>
      <c r="O4414" s="1178">
        <v>3</v>
      </c>
      <c r="P4414" s="1178">
        <v>13.5</v>
      </c>
    </row>
    <row r="4415" spans="1:16">
      <c r="A4415" s="1178" t="s">
        <v>22185</v>
      </c>
      <c r="B4415" s="1371" t="str">
        <f>HYPERLINK(IFERROR("#Main_Tariff!A"&amp;MATCH(Raeburn_Main_Tariff[[#This Row],[Product Code]],Main_Tariff!I:I,0),"#Main_Tariff!A"&amp;MATCH("*"&amp;RIGHT(A4415,8)&amp;"*",Main_Tariff!A:A,0)),Raeburn_Main_Tariff[[#This Row],[PRODUCER]])</f>
        <v>De Conciliis</v>
      </c>
      <c r="C4415" s="1178" t="s">
        <v>22191</v>
      </c>
      <c r="D4415" s="1178" t="s">
        <v>897</v>
      </c>
      <c r="E4415" s="1179">
        <v>2010</v>
      </c>
      <c r="F4415" s="1282" t="s">
        <v>20220</v>
      </c>
      <c r="G4415" s="1368">
        <v>29.5</v>
      </c>
      <c r="H4415" s="1178" t="s">
        <v>20224</v>
      </c>
      <c r="I4415" s="1178" t="s">
        <v>13820</v>
      </c>
      <c r="J4415" s="1178" t="s">
        <v>668</v>
      </c>
      <c r="K4415" s="1178" t="s">
        <v>464</v>
      </c>
      <c r="L4415" s="1178"/>
      <c r="M4415" s="1369"/>
      <c r="N4415" s="1178"/>
      <c r="O4415" s="1178">
        <v>6</v>
      </c>
      <c r="P4415" s="1178">
        <v>14.5</v>
      </c>
    </row>
    <row r="4416" spans="1:16">
      <c r="A4416" s="1178" t="s">
        <v>22185</v>
      </c>
      <c r="B4416" s="1371" t="str">
        <f>HYPERLINK(IFERROR("#Main_Tariff!A"&amp;MATCH(Raeburn_Main_Tariff[[#This Row],[Product Code]],Main_Tariff!I:I,0),"#Main_Tariff!A"&amp;MATCH("*"&amp;RIGHT(A4416,8)&amp;"*",Main_Tariff!A:A,0)),Raeburn_Main_Tariff[[#This Row],[PRODUCER]])</f>
        <v>De Conciliis</v>
      </c>
      <c r="C4416" s="1178" t="s">
        <v>22192</v>
      </c>
      <c r="D4416" s="1178" t="s">
        <v>897</v>
      </c>
      <c r="E4416" s="1179">
        <v>2005</v>
      </c>
      <c r="F4416" s="1282" t="s">
        <v>20220</v>
      </c>
      <c r="G4416" s="1368">
        <v>39.5</v>
      </c>
      <c r="H4416" s="1178" t="s">
        <v>20221</v>
      </c>
      <c r="I4416" s="1178" t="s">
        <v>13821</v>
      </c>
      <c r="J4416" s="1178" t="s">
        <v>668</v>
      </c>
      <c r="K4416" s="1178" t="s">
        <v>464</v>
      </c>
      <c r="L4416" s="1178"/>
      <c r="M4416" s="1369"/>
      <c r="N4416" s="1178"/>
      <c r="O4416" s="1178">
        <v>6</v>
      </c>
      <c r="P4416" s="1178">
        <v>14.5</v>
      </c>
    </row>
    <row r="4417" spans="1:16">
      <c r="A4417" s="1178" t="s">
        <v>22193</v>
      </c>
      <c r="B4417" s="1371" t="str">
        <f>HYPERLINK(IFERROR("#Main_Tariff!A"&amp;MATCH(Raeburn_Main_Tariff[[#This Row],[Product Code]],Main_Tariff!I:I,0),"#Main_Tariff!A"&amp;MATCH("*"&amp;RIGHT(A4417,8)&amp;"*",Main_Tariff!A:A,0)),Raeburn_Main_Tariff[[#This Row],[PRODUCER]])</f>
        <v>Cantina Lonardo Contrade di Taurasi</v>
      </c>
      <c r="C4417" s="1178" t="s">
        <v>22194</v>
      </c>
      <c r="D4417" s="1178" t="s">
        <v>1129</v>
      </c>
      <c r="E4417" s="1179">
        <v>2018</v>
      </c>
      <c r="F4417" s="1282" t="s">
        <v>20220</v>
      </c>
      <c r="G4417" s="1368">
        <v>19.5</v>
      </c>
      <c r="H4417" s="1178" t="s">
        <v>20221</v>
      </c>
      <c r="I4417" s="1178" t="s">
        <v>13855</v>
      </c>
      <c r="J4417" s="1178" t="s">
        <v>668</v>
      </c>
      <c r="K4417" s="1178" t="s">
        <v>464</v>
      </c>
      <c r="L4417" s="1178" t="s">
        <v>22195</v>
      </c>
      <c r="M4417" s="1369"/>
      <c r="N4417" s="1178"/>
      <c r="O4417" s="1178">
        <v>12</v>
      </c>
      <c r="P4417" s="1178">
        <v>13</v>
      </c>
    </row>
    <row r="4418" spans="1:16">
      <c r="A4418" s="1178" t="s">
        <v>22193</v>
      </c>
      <c r="B4418" s="1371" t="str">
        <f>HYPERLINK(IFERROR("#Main_Tariff!A"&amp;MATCH(Raeburn_Main_Tariff[[#This Row],[Product Code]],Main_Tariff!I:I,0),"#Main_Tariff!A"&amp;MATCH("*"&amp;RIGHT(A4418,8)&amp;"*",Main_Tariff!A:A,0)),Raeburn_Main_Tariff[[#This Row],[PRODUCER]])</f>
        <v>Cantina Lonardo Contrade di Taurasi</v>
      </c>
      <c r="C4418" s="1178" t="s">
        <v>22194</v>
      </c>
      <c r="D4418" s="1178" t="s">
        <v>1129</v>
      </c>
      <c r="E4418" s="1179">
        <v>2014</v>
      </c>
      <c r="F4418" s="1282" t="s">
        <v>20220</v>
      </c>
      <c r="G4418" s="1368">
        <v>18.5</v>
      </c>
      <c r="H4418" s="1178" t="s">
        <v>20221</v>
      </c>
      <c r="I4418" s="1178" t="s">
        <v>13857</v>
      </c>
      <c r="J4418" s="1178" t="s">
        <v>668</v>
      </c>
      <c r="K4418" s="1178" t="s">
        <v>464</v>
      </c>
      <c r="L4418" s="1178" t="s">
        <v>22195</v>
      </c>
      <c r="M4418" s="1369"/>
      <c r="N4418" s="1178"/>
      <c r="O4418" s="1178">
        <v>6</v>
      </c>
      <c r="P4418" s="1178">
        <v>14</v>
      </c>
    </row>
    <row r="4419" spans="1:16">
      <c r="A4419" s="1178" t="s">
        <v>22193</v>
      </c>
      <c r="B4419" s="1371" t="str">
        <f>HYPERLINK(IFERROR("#Main_Tariff!A"&amp;MATCH(Raeburn_Main_Tariff[[#This Row],[Product Code]],Main_Tariff!I:I,0),"#Main_Tariff!A"&amp;MATCH("*"&amp;RIGHT(A4419,8)&amp;"*",Main_Tariff!A:A,0)),Raeburn_Main_Tariff[[#This Row],[PRODUCER]])</f>
        <v>Cantina Lonardo Contrade di Taurasi</v>
      </c>
      <c r="C4419" s="1178" t="s">
        <v>22196</v>
      </c>
      <c r="D4419" s="1178" t="s">
        <v>1129</v>
      </c>
      <c r="E4419" s="1179">
        <v>2014</v>
      </c>
      <c r="F4419" s="1282" t="s">
        <v>20220</v>
      </c>
      <c r="G4419" s="1368">
        <v>19.5</v>
      </c>
      <c r="H4419" s="1178" t="s">
        <v>20221</v>
      </c>
      <c r="I4419" s="1178" t="s">
        <v>13858</v>
      </c>
      <c r="J4419" s="1178" t="s">
        <v>668</v>
      </c>
      <c r="K4419" s="1178" t="s">
        <v>464</v>
      </c>
      <c r="L4419" s="1178" t="s">
        <v>22195</v>
      </c>
      <c r="M4419" s="1369"/>
      <c r="N4419" s="1178"/>
      <c r="O4419" s="1178">
        <v>6</v>
      </c>
      <c r="P4419" s="1178">
        <v>14</v>
      </c>
    </row>
    <row r="4420" spans="1:16">
      <c r="A4420" s="1178" t="s">
        <v>22193</v>
      </c>
      <c r="B4420" s="1371" t="str">
        <f>HYPERLINK(IFERROR("#Main_Tariff!A"&amp;MATCH(Raeburn_Main_Tariff[[#This Row],[Product Code]],Main_Tariff!I:I,0),"#Main_Tariff!A"&amp;MATCH("*"&amp;RIGHT(A4420,8)&amp;"*",Main_Tariff!A:A,0)),Raeburn_Main_Tariff[[#This Row],[PRODUCER]])</f>
        <v>Cantina Lonardo Contrade di Taurasi</v>
      </c>
      <c r="C4420" s="1178" t="s">
        <v>22197</v>
      </c>
      <c r="D4420" s="1178" t="s">
        <v>897</v>
      </c>
      <c r="E4420" s="1179">
        <v>2018</v>
      </c>
      <c r="F4420" s="1282" t="s">
        <v>20220</v>
      </c>
      <c r="G4420" s="1368">
        <v>16.75</v>
      </c>
      <c r="H4420" s="1178" t="s">
        <v>20221</v>
      </c>
      <c r="I4420" s="1178" t="s">
        <v>13862</v>
      </c>
      <c r="J4420" s="1178" t="s">
        <v>668</v>
      </c>
      <c r="K4420" s="1178" t="s">
        <v>464</v>
      </c>
      <c r="L4420" s="1178" t="s">
        <v>22195</v>
      </c>
      <c r="M4420" s="1369"/>
      <c r="N4420" s="1178"/>
      <c r="O4420" s="1178">
        <v>12</v>
      </c>
      <c r="P4420" s="1178">
        <v>15</v>
      </c>
    </row>
    <row r="4421" spans="1:16">
      <c r="A4421" s="1178" t="s">
        <v>22193</v>
      </c>
      <c r="B4421" s="1371" t="str">
        <f>HYPERLINK(IFERROR("#Main_Tariff!A"&amp;MATCH(Raeburn_Main_Tariff[[#This Row],[Product Code]],Main_Tariff!I:I,0),"#Main_Tariff!A"&amp;MATCH("*"&amp;RIGHT(A4421,8)&amp;"*",Main_Tariff!A:A,0)),Raeburn_Main_Tariff[[#This Row],[PRODUCER]])</f>
        <v>Cantina Lonardo Contrade di Taurasi</v>
      </c>
      <c r="C4421" s="1178" t="s">
        <v>22198</v>
      </c>
      <c r="D4421" s="1178" t="s">
        <v>897</v>
      </c>
      <c r="E4421" s="1179">
        <v>2016</v>
      </c>
      <c r="F4421" s="1282" t="s">
        <v>20220</v>
      </c>
      <c r="G4421" s="1368">
        <v>26.25</v>
      </c>
      <c r="H4421" s="1178" t="s">
        <v>20221</v>
      </c>
      <c r="I4421" s="1178" t="s">
        <v>13866</v>
      </c>
      <c r="J4421" s="1178" t="s">
        <v>668</v>
      </c>
      <c r="K4421" s="1178" t="s">
        <v>464</v>
      </c>
      <c r="L4421" s="1178" t="s">
        <v>22195</v>
      </c>
      <c r="M4421" s="1369"/>
      <c r="N4421" s="1178"/>
      <c r="O4421" s="1178">
        <v>12</v>
      </c>
      <c r="P4421" s="1178">
        <v>14.5</v>
      </c>
    </row>
    <row r="4422" spans="1:16">
      <c r="A4422" s="1178" t="s">
        <v>22193</v>
      </c>
      <c r="B4422" s="1371" t="str">
        <f>HYPERLINK(IFERROR("#Main_Tariff!A"&amp;MATCH(Raeburn_Main_Tariff[[#This Row],[Product Code]],Main_Tariff!I:I,0),"#Main_Tariff!A"&amp;MATCH("*"&amp;RIGHT(A4422,8)&amp;"*",Main_Tariff!A:A,0)),Raeburn_Main_Tariff[[#This Row],[PRODUCER]])</f>
        <v>Cantina Lonardo Contrade di Taurasi</v>
      </c>
      <c r="C4422" s="1178" t="s">
        <v>22195</v>
      </c>
      <c r="D4422" s="1178" t="s">
        <v>897</v>
      </c>
      <c r="E4422" s="1179">
        <v>2015</v>
      </c>
      <c r="F4422" s="1282" t="s">
        <v>20220</v>
      </c>
      <c r="G4422" s="1368">
        <v>25.75</v>
      </c>
      <c r="H4422" s="1178" t="s">
        <v>20221</v>
      </c>
      <c r="I4422" s="1178" t="s">
        <v>13868</v>
      </c>
      <c r="J4422" s="1178" t="s">
        <v>668</v>
      </c>
      <c r="K4422" s="1178" t="s">
        <v>464</v>
      </c>
      <c r="L4422" s="1178" t="s">
        <v>22195</v>
      </c>
      <c r="M4422" s="1369"/>
      <c r="N4422" s="1178"/>
      <c r="O4422" s="1178">
        <v>12</v>
      </c>
      <c r="P4422" s="1178">
        <v>13.5</v>
      </c>
    </row>
    <row r="4423" spans="1:16">
      <c r="A4423" s="1178" t="s">
        <v>22193</v>
      </c>
      <c r="B4423" s="1371" t="str">
        <f>HYPERLINK(IFERROR("#Main_Tariff!A"&amp;MATCH(Raeburn_Main_Tariff[[#This Row],[Product Code]],Main_Tariff!I:I,0),"#Main_Tariff!A"&amp;MATCH("*"&amp;RIGHT(A4423,8)&amp;"*",Main_Tariff!A:A,0)),Raeburn_Main_Tariff[[#This Row],[PRODUCER]])</f>
        <v>Cantina Lonardo Contrade di Taurasi</v>
      </c>
      <c r="C4423" s="1178" t="s">
        <v>22199</v>
      </c>
      <c r="D4423" s="1178" t="s">
        <v>897</v>
      </c>
      <c r="E4423" s="1179">
        <v>2016</v>
      </c>
      <c r="F4423" s="1282" t="s">
        <v>20220</v>
      </c>
      <c r="G4423" s="1368">
        <v>36.5</v>
      </c>
      <c r="H4423" s="1178" t="s">
        <v>20221</v>
      </c>
      <c r="I4423" s="1178" t="s">
        <v>13870</v>
      </c>
      <c r="J4423" s="1178" t="s">
        <v>668</v>
      </c>
      <c r="K4423" s="1178" t="s">
        <v>464</v>
      </c>
      <c r="L4423" s="1178" t="s">
        <v>22195</v>
      </c>
      <c r="M4423" s="1369"/>
      <c r="N4423" s="1178"/>
      <c r="O4423" s="1178">
        <v>6</v>
      </c>
      <c r="P4423" s="1178">
        <v>15</v>
      </c>
    </row>
    <row r="4424" spans="1:16">
      <c r="A4424" s="1178" t="s">
        <v>22193</v>
      </c>
      <c r="B4424" s="1371" t="str">
        <f>HYPERLINK(IFERROR("#Main_Tariff!A"&amp;MATCH(Raeburn_Main_Tariff[[#This Row],[Product Code]],Main_Tariff!I:I,0),"#Main_Tariff!A"&amp;MATCH("*"&amp;RIGHT(A4424,8)&amp;"*",Main_Tariff!A:A,0)),Raeburn_Main_Tariff[[#This Row],[PRODUCER]])</f>
        <v>Cantina Lonardo Contrade di Taurasi</v>
      </c>
      <c r="C4424" s="1178" t="s">
        <v>22199</v>
      </c>
      <c r="D4424" s="1178" t="s">
        <v>897</v>
      </c>
      <c r="E4424" s="1179">
        <v>2012</v>
      </c>
      <c r="F4424" s="1282" t="s">
        <v>20220</v>
      </c>
      <c r="G4424" s="1368">
        <v>34.5</v>
      </c>
      <c r="H4424" s="1178" t="s">
        <v>20221</v>
      </c>
      <c r="I4424" s="1178" t="s">
        <v>13872</v>
      </c>
      <c r="J4424" s="1178" t="s">
        <v>668</v>
      </c>
      <c r="K4424" s="1178" t="s">
        <v>464</v>
      </c>
      <c r="L4424" s="1178" t="s">
        <v>22195</v>
      </c>
      <c r="M4424" s="1369"/>
      <c r="N4424" s="1178"/>
      <c r="O4424" s="1178">
        <v>6</v>
      </c>
      <c r="P4424" s="1178">
        <v>14</v>
      </c>
    </row>
    <row r="4425" spans="1:16">
      <c r="A4425" s="1178" t="s">
        <v>22193</v>
      </c>
      <c r="B4425" s="1371" t="str">
        <f>HYPERLINK(IFERROR("#Main_Tariff!A"&amp;MATCH(Raeburn_Main_Tariff[[#This Row],[Product Code]],Main_Tariff!I:I,0),"#Main_Tariff!A"&amp;MATCH("*"&amp;RIGHT(A4425,8)&amp;"*",Main_Tariff!A:A,0)),Raeburn_Main_Tariff[[#This Row],[PRODUCER]])</f>
        <v>Cantina Lonardo Contrade di Taurasi</v>
      </c>
      <c r="C4425" s="1178" t="s">
        <v>22199</v>
      </c>
      <c r="D4425" s="1178" t="s">
        <v>897</v>
      </c>
      <c r="E4425" s="1179">
        <v>2009</v>
      </c>
      <c r="F4425" s="1282" t="s">
        <v>20220</v>
      </c>
      <c r="G4425" s="1368">
        <v>37.75</v>
      </c>
      <c r="H4425" s="1178" t="s">
        <v>20224</v>
      </c>
      <c r="I4425" s="1178" t="s">
        <v>13874</v>
      </c>
      <c r="J4425" s="1178" t="s">
        <v>668</v>
      </c>
      <c r="K4425" s="1178" t="s">
        <v>464</v>
      </c>
      <c r="L4425" s="1178" t="s">
        <v>22195</v>
      </c>
      <c r="M4425" s="1369"/>
      <c r="N4425" s="1178"/>
      <c r="O4425" s="1178">
        <v>6</v>
      </c>
      <c r="P4425" s="1178">
        <v>14.5</v>
      </c>
    </row>
    <row r="4426" spans="1:16">
      <c r="A4426" s="1178" t="s">
        <v>22193</v>
      </c>
      <c r="B4426" s="1371" t="str">
        <f>HYPERLINK(IFERROR("#Main_Tariff!A"&amp;MATCH(Raeburn_Main_Tariff[[#This Row],[Product Code]],Main_Tariff!I:I,0),"#Main_Tariff!A"&amp;MATCH("*"&amp;RIGHT(A4426,8)&amp;"*",Main_Tariff!A:A,0)),Raeburn_Main_Tariff[[#This Row],[PRODUCER]])</f>
        <v>Cantina Lonardo Contrade di Taurasi</v>
      </c>
      <c r="C4426" s="1178" t="s">
        <v>22200</v>
      </c>
      <c r="D4426" s="1178" t="s">
        <v>897</v>
      </c>
      <c r="E4426" s="1179">
        <v>2012</v>
      </c>
      <c r="F4426" s="1282" t="s">
        <v>20220</v>
      </c>
      <c r="G4426" s="1368">
        <v>34.5</v>
      </c>
      <c r="H4426" s="1178" t="s">
        <v>20221</v>
      </c>
      <c r="I4426" s="1178" t="s">
        <v>13876</v>
      </c>
      <c r="J4426" s="1178" t="s">
        <v>668</v>
      </c>
      <c r="K4426" s="1178" t="s">
        <v>464</v>
      </c>
      <c r="L4426" s="1178" t="s">
        <v>22195</v>
      </c>
      <c r="M4426" s="1369"/>
      <c r="N4426" s="1178"/>
      <c r="O4426" s="1178">
        <v>6</v>
      </c>
      <c r="P4426" s="1178">
        <v>14</v>
      </c>
    </row>
    <row r="4427" spans="1:16">
      <c r="A4427" s="1178" t="s">
        <v>22193</v>
      </c>
      <c r="B4427" s="1371" t="str">
        <f>HYPERLINK(IFERROR("#Main_Tariff!A"&amp;MATCH(Raeburn_Main_Tariff[[#This Row],[Product Code]],Main_Tariff!I:I,0),"#Main_Tariff!A"&amp;MATCH("*"&amp;RIGHT(A4427,8)&amp;"*",Main_Tariff!A:A,0)),Raeburn_Main_Tariff[[#This Row],[PRODUCER]])</f>
        <v>Cantina Lonardo Contrade di Taurasi</v>
      </c>
      <c r="C4427" s="1178" t="s">
        <v>22201</v>
      </c>
      <c r="D4427" s="1178" t="s">
        <v>897</v>
      </c>
      <c r="E4427" s="1179">
        <v>2011</v>
      </c>
      <c r="F4427" s="1282" t="s">
        <v>20220</v>
      </c>
      <c r="G4427" s="1368">
        <v>44.5</v>
      </c>
      <c r="H4427" s="1178" t="s">
        <v>20221</v>
      </c>
      <c r="I4427" s="1178" t="s">
        <v>13878</v>
      </c>
      <c r="J4427" s="1178" t="s">
        <v>668</v>
      </c>
      <c r="K4427" s="1178" t="s">
        <v>464</v>
      </c>
      <c r="L4427" s="1178" t="s">
        <v>22195</v>
      </c>
      <c r="M4427" s="1369"/>
      <c r="N4427" s="1178"/>
      <c r="O4427" s="1178">
        <v>12</v>
      </c>
      <c r="P4427" s="1178">
        <v>15</v>
      </c>
    </row>
    <row r="4428" spans="1:16">
      <c r="A4428" s="1178" t="s">
        <v>22193</v>
      </c>
      <c r="B4428" s="1371" t="str">
        <f>HYPERLINK(IFERROR("#Main_Tariff!A"&amp;MATCH(Raeburn_Main_Tariff[[#This Row],[Product Code]],Main_Tariff!I:I,0),"#Main_Tariff!A"&amp;MATCH("*"&amp;RIGHT(A4428,8)&amp;"*",Main_Tariff!A:A,0)),Raeburn_Main_Tariff[[#This Row],[PRODUCER]])</f>
        <v>Cantina Lonardo Contrade di Taurasi</v>
      </c>
      <c r="C4428" s="1178" t="s">
        <v>22201</v>
      </c>
      <c r="D4428" s="1178" t="s">
        <v>897</v>
      </c>
      <c r="E4428" s="1179">
        <v>2011</v>
      </c>
      <c r="F4428" s="1282" t="s">
        <v>20220</v>
      </c>
      <c r="G4428" s="1368">
        <v>55.5</v>
      </c>
      <c r="H4428" s="1178" t="s">
        <v>20277</v>
      </c>
      <c r="I4428" s="1178" t="s">
        <v>13879</v>
      </c>
      <c r="J4428" s="1178" t="s">
        <v>668</v>
      </c>
      <c r="K4428" s="1178" t="s">
        <v>464</v>
      </c>
      <c r="L4428" s="1178" t="s">
        <v>22195</v>
      </c>
      <c r="M4428" s="1369"/>
      <c r="N4428" s="1178"/>
      <c r="O4428" s="1178">
        <v>6</v>
      </c>
      <c r="P4428" s="1178">
        <v>15</v>
      </c>
    </row>
    <row r="4429" spans="1:16">
      <c r="A4429" s="1178" t="s">
        <v>469</v>
      </c>
      <c r="B4429" s="1371" t="str">
        <f>HYPERLINK(IFERROR("#Main_Tariff!A"&amp;MATCH(Raeburn_Main_Tariff[[#This Row],[Product Code]],Main_Tariff!I:I,0),"#Main_Tariff!A"&amp;MATCH("*"&amp;RIGHT(A4429,8)&amp;"*",Main_Tariff!A:A,0)),Raeburn_Main_Tariff[[#This Row],[PRODUCER]])</f>
        <v>Attanasio</v>
      </c>
      <c r="C4429" s="1178" t="s">
        <v>22202</v>
      </c>
      <c r="D4429" s="1178" t="s">
        <v>897</v>
      </c>
      <c r="E4429" s="1179">
        <v>2016</v>
      </c>
      <c r="F4429" s="1282" t="s">
        <v>20220</v>
      </c>
      <c r="G4429" s="1368">
        <v>24.25</v>
      </c>
      <c r="H4429" s="1178" t="s">
        <v>20221</v>
      </c>
      <c r="I4429" s="1178" t="s">
        <v>13898</v>
      </c>
      <c r="J4429" s="1178" t="s">
        <v>668</v>
      </c>
      <c r="K4429" s="1178" t="s">
        <v>468</v>
      </c>
      <c r="L4429" s="1178"/>
      <c r="M4429" s="1369"/>
      <c r="N4429" s="1178"/>
      <c r="O4429" s="1178">
        <v>6</v>
      </c>
      <c r="P4429" s="1178">
        <v>22</v>
      </c>
    </row>
    <row r="4430" spans="1:16">
      <c r="A4430" s="1178" t="s">
        <v>469</v>
      </c>
      <c r="B4430" s="1371" t="str">
        <f>HYPERLINK(IFERROR("#Main_Tariff!A"&amp;MATCH(Raeburn_Main_Tariff[[#This Row],[Product Code]],Main_Tariff!I:I,0),"#Main_Tariff!A"&amp;MATCH("*"&amp;RIGHT(A4430,8)&amp;"*",Main_Tariff!A:A,0)),Raeburn_Main_Tariff[[#This Row],[PRODUCER]])</f>
        <v>Attanasio</v>
      </c>
      <c r="C4430" s="1178" t="s">
        <v>22203</v>
      </c>
      <c r="D4430" s="1178" t="s">
        <v>897</v>
      </c>
      <c r="E4430" s="1179">
        <v>2017</v>
      </c>
      <c r="F4430" s="1282" t="s">
        <v>20220</v>
      </c>
      <c r="G4430" s="1368">
        <v>26.75</v>
      </c>
      <c r="H4430" s="1178" t="s">
        <v>20221</v>
      </c>
      <c r="I4430" s="1178" t="s">
        <v>13900</v>
      </c>
      <c r="J4430" s="1178" t="s">
        <v>668</v>
      </c>
      <c r="K4430" s="1178" t="s">
        <v>468</v>
      </c>
      <c r="L4430" s="1178"/>
      <c r="M4430" s="1369"/>
      <c r="N4430" s="1178"/>
      <c r="O4430" s="1178">
        <v>6</v>
      </c>
      <c r="P4430" s="1178">
        <v>22</v>
      </c>
    </row>
    <row r="4431" spans="1:16">
      <c r="A4431" s="1178" t="s">
        <v>469</v>
      </c>
      <c r="B4431" s="1371" t="str">
        <f>HYPERLINK(IFERROR("#Main_Tariff!A"&amp;MATCH(Raeburn_Main_Tariff[[#This Row],[Product Code]],Main_Tariff!I:I,0),"#Main_Tariff!A"&amp;MATCH("*"&amp;RIGHT(A4431,8)&amp;"*",Main_Tariff!A:A,0)),Raeburn_Main_Tariff[[#This Row],[PRODUCER]])</f>
        <v>Attanasio</v>
      </c>
      <c r="C4431" s="1178" t="s">
        <v>22204</v>
      </c>
      <c r="D4431" s="1178" t="s">
        <v>10182</v>
      </c>
      <c r="E4431" s="1179">
        <v>2017</v>
      </c>
      <c r="F4431" s="1282" t="s">
        <v>20313</v>
      </c>
      <c r="G4431" s="1368">
        <v>22.75</v>
      </c>
      <c r="H4431" s="1178" t="s">
        <v>20221</v>
      </c>
      <c r="I4431" s="1178" t="s">
        <v>13902</v>
      </c>
      <c r="J4431" s="1178" t="s">
        <v>668</v>
      </c>
      <c r="K4431" s="1178" t="s">
        <v>468</v>
      </c>
      <c r="L4431" s="1178"/>
      <c r="M4431" s="1369"/>
      <c r="N4431" s="1178"/>
      <c r="O4431" s="1178">
        <v>6</v>
      </c>
      <c r="P4431" s="1178">
        <v>22</v>
      </c>
    </row>
    <row r="4432" spans="1:16">
      <c r="A4432" s="1178" t="s">
        <v>22205</v>
      </c>
      <c r="B4432" s="1371" t="str">
        <f>HYPERLINK(IFERROR("#Main_Tariff!A"&amp;MATCH(Raeburn_Main_Tariff[[#This Row],[Product Code]],Main_Tariff!I:I,0),"#Main_Tariff!A"&amp;MATCH("*"&amp;RIGHT(A4432,8)&amp;"*",Main_Tariff!A:A,0)),Raeburn_Main_Tariff[[#This Row],[PRODUCER]])</f>
        <v>Il Gusto Della Costa</v>
      </c>
      <c r="C4432" s="1178" t="s">
        <v>22206</v>
      </c>
      <c r="D4432" s="1178" t="s">
        <v>6904</v>
      </c>
      <c r="E4432" s="1179" t="s">
        <v>19060</v>
      </c>
      <c r="F4432" s="1282" t="s">
        <v>20313</v>
      </c>
      <c r="G4432" s="1368">
        <v>19.5</v>
      </c>
      <c r="H4432" s="1178" t="s">
        <v>20221</v>
      </c>
      <c r="I4432" s="1178" t="s">
        <v>13906</v>
      </c>
      <c r="J4432" s="1178" t="s">
        <v>668</v>
      </c>
      <c r="K4432" s="1178" t="s">
        <v>464</v>
      </c>
      <c r="L4432" s="1178"/>
      <c r="M4432" s="1369"/>
      <c r="N4432" s="1178"/>
      <c r="O4432" s="1178">
        <v>6</v>
      </c>
      <c r="P4432" s="1178">
        <v>35</v>
      </c>
    </row>
    <row r="4433" spans="1:16">
      <c r="A4433" s="1178" t="s">
        <v>22207</v>
      </c>
      <c r="B4433" s="1371" t="str">
        <f>HYPERLINK(IFERROR("#Main_Tariff!A"&amp;MATCH(Raeburn_Main_Tariff[[#This Row],[Product Code]],Main_Tariff!I:I,0),"#Main_Tariff!A"&amp;MATCH("*"&amp;RIGHT(A4433,8)&amp;"*",Main_Tariff!A:A,0)),Raeburn_Main_Tariff[[#This Row],[PRODUCER]])</f>
        <v>Tenuta La Chiusa</v>
      </c>
      <c r="C4433" s="1178" t="s">
        <v>22208</v>
      </c>
      <c r="D4433" s="1178" t="s">
        <v>1129</v>
      </c>
      <c r="E4433" s="1179">
        <v>2021</v>
      </c>
      <c r="F4433" s="1282" t="s">
        <v>20220</v>
      </c>
      <c r="G4433" s="1368">
        <v>14</v>
      </c>
      <c r="H4433" s="1178" t="s">
        <v>20221</v>
      </c>
      <c r="I4433" s="1178" t="s">
        <v>13913</v>
      </c>
      <c r="J4433" s="1178" t="s">
        <v>668</v>
      </c>
      <c r="K4433" s="1178" t="s">
        <v>471</v>
      </c>
      <c r="L4433" s="1178"/>
      <c r="M4433" s="1369"/>
      <c r="N4433" s="1178"/>
      <c r="O4433" s="1178">
        <v>12</v>
      </c>
      <c r="P4433" s="1178">
        <v>14</v>
      </c>
    </row>
    <row r="4434" spans="1:16">
      <c r="A4434" s="1178" t="s">
        <v>22207</v>
      </c>
      <c r="B4434" s="1371" t="str">
        <f>HYPERLINK(IFERROR("#Main_Tariff!A"&amp;MATCH(Raeburn_Main_Tariff[[#This Row],[Product Code]],Main_Tariff!I:I,0),"#Main_Tariff!A"&amp;MATCH("*"&amp;RIGHT(A4434,8)&amp;"*",Main_Tariff!A:A,0)),Raeburn_Main_Tariff[[#This Row],[PRODUCER]])</f>
        <v>Tenuta La Chiusa</v>
      </c>
      <c r="C4434" s="1178" t="s">
        <v>22209</v>
      </c>
      <c r="D4434" s="1178" t="s">
        <v>1129</v>
      </c>
      <c r="E4434" s="1179">
        <v>2021</v>
      </c>
      <c r="F4434" s="1282" t="s">
        <v>20220</v>
      </c>
      <c r="G4434" s="1368">
        <v>14</v>
      </c>
      <c r="H4434" s="1178" t="s">
        <v>20221</v>
      </c>
      <c r="I4434" s="1178" t="s">
        <v>13915</v>
      </c>
      <c r="J4434" s="1178" t="s">
        <v>668</v>
      </c>
      <c r="K4434" s="1178" t="s">
        <v>471</v>
      </c>
      <c r="L4434" s="1178"/>
      <c r="M4434" s="1369"/>
      <c r="N4434" s="1178"/>
      <c r="O4434" s="1178">
        <v>12</v>
      </c>
      <c r="P4434" s="1178">
        <v>13.5</v>
      </c>
    </row>
    <row r="4435" spans="1:16">
      <c r="A4435" s="1178" t="s">
        <v>22207</v>
      </c>
      <c r="B4435" s="1371" t="str">
        <f>HYPERLINK(IFERROR("#Main_Tariff!A"&amp;MATCH(Raeburn_Main_Tariff[[#This Row],[Product Code]],Main_Tariff!I:I,0),"#Main_Tariff!A"&amp;MATCH("*"&amp;RIGHT(A4435,8)&amp;"*",Main_Tariff!A:A,0)),Raeburn_Main_Tariff[[#This Row],[PRODUCER]])</f>
        <v>Tenuta La Chiusa</v>
      </c>
      <c r="C4435" s="1178" t="s">
        <v>22210</v>
      </c>
      <c r="D4435" s="1178" t="s">
        <v>1129</v>
      </c>
      <c r="E4435" s="1179">
        <v>2021</v>
      </c>
      <c r="F4435" s="1282" t="s">
        <v>20220</v>
      </c>
      <c r="G4435" s="1368">
        <v>17</v>
      </c>
      <c r="H4435" s="1178" t="s">
        <v>20221</v>
      </c>
      <c r="I4435" s="1178" t="s">
        <v>13917</v>
      </c>
      <c r="J4435" s="1178" t="s">
        <v>668</v>
      </c>
      <c r="K4435" s="1178" t="s">
        <v>471</v>
      </c>
      <c r="L4435" s="1178"/>
      <c r="M4435" s="1369"/>
      <c r="N4435" s="1178"/>
      <c r="O4435" s="1178">
        <v>6</v>
      </c>
      <c r="P4435" s="1178">
        <v>14</v>
      </c>
    </row>
    <row r="4436" spans="1:16">
      <c r="A4436" s="1178" t="s">
        <v>22207</v>
      </c>
      <c r="B4436" s="1371" t="str">
        <f>HYPERLINK(IFERROR("#Main_Tariff!A"&amp;MATCH(Raeburn_Main_Tariff[[#This Row],[Product Code]],Main_Tariff!I:I,0),"#Main_Tariff!A"&amp;MATCH("*"&amp;RIGHT(A4436,8)&amp;"*",Main_Tariff!A:A,0)),Raeburn_Main_Tariff[[#This Row],[PRODUCER]])</f>
        <v>Tenuta La Chiusa</v>
      </c>
      <c r="C4436" s="1178" t="s">
        <v>22211</v>
      </c>
      <c r="D4436" s="1178" t="s">
        <v>897</v>
      </c>
      <c r="E4436" s="1179">
        <v>2019</v>
      </c>
      <c r="F4436" s="1282" t="s">
        <v>20220</v>
      </c>
      <c r="G4436" s="1368">
        <v>17</v>
      </c>
      <c r="H4436" s="1178" t="s">
        <v>20221</v>
      </c>
      <c r="I4436" s="1178" t="s">
        <v>13920</v>
      </c>
      <c r="J4436" s="1178" t="s">
        <v>668</v>
      </c>
      <c r="K4436" s="1178" t="s">
        <v>471</v>
      </c>
      <c r="L4436" s="1178"/>
      <c r="M4436" s="1369"/>
      <c r="N4436" s="1178"/>
      <c r="O4436" s="1178">
        <v>6</v>
      </c>
      <c r="P4436" s="1178">
        <v>12.5</v>
      </c>
    </row>
    <row r="4437" spans="1:16">
      <c r="A4437" s="1178" t="s">
        <v>22207</v>
      </c>
      <c r="B4437" s="1371" t="str">
        <f>HYPERLINK(IFERROR("#Main_Tariff!A"&amp;MATCH(Raeburn_Main_Tariff[[#This Row],[Product Code]],Main_Tariff!I:I,0),"#Main_Tariff!A"&amp;MATCH("*"&amp;RIGHT(A4437,8)&amp;"*",Main_Tariff!A:A,0)),Raeburn_Main_Tariff[[#This Row],[PRODUCER]])</f>
        <v>Tenuta La Chiusa</v>
      </c>
      <c r="C4437" s="1178" t="s">
        <v>22212</v>
      </c>
      <c r="D4437" s="1178" t="s">
        <v>10182</v>
      </c>
      <c r="E4437" s="1179">
        <v>2021</v>
      </c>
      <c r="F4437" s="1282" t="s">
        <v>20280</v>
      </c>
      <c r="G4437" s="1368">
        <v>19.5</v>
      </c>
      <c r="H4437" s="1178" t="s">
        <v>20277</v>
      </c>
      <c r="I4437" s="1178" t="s">
        <v>13923</v>
      </c>
      <c r="J4437" s="1178" t="s">
        <v>668</v>
      </c>
      <c r="K4437" s="1178" t="s">
        <v>471</v>
      </c>
      <c r="L4437" s="1178"/>
      <c r="M4437" s="1369"/>
      <c r="N4437" s="1178"/>
      <c r="O4437" s="1178">
        <v>6</v>
      </c>
      <c r="P4437" s="1178">
        <v>13.5</v>
      </c>
    </row>
    <row r="4438" spans="1:16">
      <c r="A4438" s="1178" t="s">
        <v>22213</v>
      </c>
      <c r="B4438" s="1371" t="str">
        <f>HYPERLINK(IFERROR("#Main_Tariff!A"&amp;MATCH(Raeburn_Main_Tariff[[#This Row],[Product Code]],Main_Tariff!I:I,0),"#Main_Tariff!A"&amp;MATCH("*"&amp;RIGHT(A4438,8)&amp;"*",Main_Tariff!A:A,0)),Raeburn_Main_Tariff[[#This Row],[PRODUCER]])</f>
        <v>Cantina Gungui</v>
      </c>
      <c r="C4438" s="1178" t="s">
        <v>22214</v>
      </c>
      <c r="D4438" s="1178" t="s">
        <v>2573</v>
      </c>
      <c r="E4438" s="1179">
        <v>2024</v>
      </c>
      <c r="F4438" s="1282" t="s">
        <v>20220</v>
      </c>
      <c r="G4438" s="1368">
        <v>22.95</v>
      </c>
      <c r="H4438" s="1178" t="s">
        <v>20221</v>
      </c>
      <c r="I4438" s="1178" t="s">
        <v>13937</v>
      </c>
      <c r="J4438" s="1178" t="s">
        <v>668</v>
      </c>
      <c r="K4438" s="1178" t="s">
        <v>473</v>
      </c>
      <c r="L4438" s="1178"/>
      <c r="M4438" s="1369"/>
      <c r="N4438" s="1178"/>
      <c r="O4438" s="1178">
        <v>6</v>
      </c>
      <c r="P4438" s="1178">
        <v>13.5</v>
      </c>
    </row>
    <row r="4439" spans="1:16">
      <c r="A4439" s="1178" t="s">
        <v>22213</v>
      </c>
      <c r="B4439" s="1371" t="str">
        <f>HYPERLINK(IFERROR("#Main_Tariff!A"&amp;MATCH(Raeburn_Main_Tariff[[#This Row],[Product Code]],Main_Tariff!I:I,0),"#Main_Tariff!A"&amp;MATCH("*"&amp;RIGHT(A4439,8)&amp;"*",Main_Tariff!A:A,0)),Raeburn_Main_Tariff[[#This Row],[PRODUCER]])</f>
        <v>Cantina Gungui</v>
      </c>
      <c r="C4439" s="1178" t="s">
        <v>22214</v>
      </c>
      <c r="D4439" s="1178" t="s">
        <v>2573</v>
      </c>
      <c r="E4439" s="1179">
        <v>2019</v>
      </c>
      <c r="F4439" s="1282" t="s">
        <v>20220</v>
      </c>
      <c r="G4439" s="1368">
        <v>22.95</v>
      </c>
      <c r="H4439" s="1178" t="s">
        <v>20277</v>
      </c>
      <c r="I4439" s="1178" t="s">
        <v>13939</v>
      </c>
      <c r="J4439" s="1178" t="s">
        <v>668</v>
      </c>
      <c r="K4439" s="1178" t="s">
        <v>473</v>
      </c>
      <c r="L4439" s="1178"/>
      <c r="M4439" s="1369"/>
      <c r="N4439" s="1178"/>
      <c r="O4439" s="1178">
        <v>6</v>
      </c>
      <c r="P4439" s="1178">
        <v>13.5</v>
      </c>
    </row>
    <row r="4440" spans="1:16">
      <c r="A4440" s="1178" t="s">
        <v>22213</v>
      </c>
      <c r="B4440" s="1371" t="str">
        <f>HYPERLINK(IFERROR("#Main_Tariff!A"&amp;MATCH(Raeburn_Main_Tariff[[#This Row],[Product Code]],Main_Tariff!I:I,0),"#Main_Tariff!A"&amp;MATCH("*"&amp;RIGHT(A4440,8)&amp;"*",Main_Tariff!A:A,0)),Raeburn_Main_Tariff[[#This Row],[PRODUCER]])</f>
        <v>Cantina Gungui</v>
      </c>
      <c r="C4440" s="1178" t="s">
        <v>22215</v>
      </c>
      <c r="D4440" s="1178" t="s">
        <v>897</v>
      </c>
      <c r="E4440" s="1179">
        <v>2023</v>
      </c>
      <c r="F4440" s="1282" t="s">
        <v>20220</v>
      </c>
      <c r="G4440" s="1368">
        <v>23.95</v>
      </c>
      <c r="H4440" s="1178" t="s">
        <v>20221</v>
      </c>
      <c r="I4440" s="1178" t="s">
        <v>13943</v>
      </c>
      <c r="J4440" s="1178" t="s">
        <v>668</v>
      </c>
      <c r="K4440" s="1178" t="s">
        <v>473</v>
      </c>
      <c r="L4440" s="1178"/>
      <c r="M4440" s="1369"/>
      <c r="N4440" s="1178"/>
      <c r="O4440" s="1178">
        <v>6</v>
      </c>
      <c r="P4440" s="1178">
        <v>15</v>
      </c>
    </row>
    <row r="4441" spans="1:16">
      <c r="A4441" s="1178" t="s">
        <v>22213</v>
      </c>
      <c r="B4441" s="1371" t="str">
        <f>HYPERLINK(IFERROR("#Main_Tariff!A"&amp;MATCH(Raeburn_Main_Tariff[[#This Row],[Product Code]],Main_Tariff!I:I,0),"#Main_Tariff!A"&amp;MATCH("*"&amp;RIGHT(A4441,8)&amp;"*",Main_Tariff!A:A,0)),Raeburn_Main_Tariff[[#This Row],[PRODUCER]])</f>
        <v>Cantina Gungui</v>
      </c>
      <c r="C4441" s="1178" t="s">
        <v>22216</v>
      </c>
      <c r="D4441" s="1178" t="s">
        <v>897</v>
      </c>
      <c r="E4441" s="1179">
        <v>2021</v>
      </c>
      <c r="F4441" s="1282" t="s">
        <v>20220</v>
      </c>
      <c r="G4441" s="1368">
        <v>24.5</v>
      </c>
      <c r="H4441" s="1178" t="s">
        <v>20221</v>
      </c>
      <c r="I4441" s="1178" t="s">
        <v>13945</v>
      </c>
      <c r="J4441" s="1178" t="s">
        <v>668</v>
      </c>
      <c r="K4441" s="1178" t="s">
        <v>473</v>
      </c>
      <c r="L4441" s="1178"/>
      <c r="M4441" s="1369"/>
      <c r="N4441" s="1178"/>
      <c r="O4441" s="1178">
        <v>6</v>
      </c>
      <c r="P4441" s="1178">
        <v>18</v>
      </c>
    </row>
    <row r="4442" spans="1:16">
      <c r="A4442" s="1178" t="s">
        <v>22213</v>
      </c>
      <c r="B4442" s="1371" t="str">
        <f>HYPERLINK(IFERROR("#Main_Tariff!A"&amp;MATCH(Raeburn_Main_Tariff[[#This Row],[Product Code]],Main_Tariff!I:I,0),"#Main_Tariff!A"&amp;MATCH("*"&amp;RIGHT(A4442,8)&amp;"*",Main_Tariff!A:A,0)),Raeburn_Main_Tariff[[#This Row],[PRODUCER]])</f>
        <v>Cantina Gungui</v>
      </c>
      <c r="C4442" s="1178" t="s">
        <v>22217</v>
      </c>
      <c r="D4442" s="1178" t="s">
        <v>897</v>
      </c>
      <c r="E4442" s="1179">
        <v>2020</v>
      </c>
      <c r="F4442" s="1282" t="s">
        <v>20220</v>
      </c>
      <c r="G4442" s="1368">
        <v>23.5</v>
      </c>
      <c r="H4442" s="1178" t="s">
        <v>20221</v>
      </c>
      <c r="I4442" s="1178" t="s">
        <v>13947</v>
      </c>
      <c r="J4442" s="1178" t="s">
        <v>668</v>
      </c>
      <c r="K4442" s="1178" t="s">
        <v>473</v>
      </c>
      <c r="L4442" s="1178"/>
      <c r="M4442" s="1369"/>
      <c r="N4442" s="1178"/>
      <c r="O4442" s="1178">
        <v>6</v>
      </c>
      <c r="P4442" s="1178">
        <v>15</v>
      </c>
    </row>
    <row r="4443" spans="1:16">
      <c r="A4443" s="1178" t="s">
        <v>22213</v>
      </c>
      <c r="B4443" s="1371" t="str">
        <f>HYPERLINK(IFERROR("#Main_Tariff!A"&amp;MATCH(Raeburn_Main_Tariff[[#This Row],[Product Code]],Main_Tariff!I:I,0),"#Main_Tariff!A"&amp;MATCH("*"&amp;RIGHT(A4443,8)&amp;"*",Main_Tariff!A:A,0)),Raeburn_Main_Tariff[[#This Row],[PRODUCER]])</f>
        <v>Cantina Gungui</v>
      </c>
      <c r="C4443" s="1178" t="s">
        <v>22217</v>
      </c>
      <c r="D4443" s="1178" t="s">
        <v>897</v>
      </c>
      <c r="E4443" s="1179">
        <v>2019</v>
      </c>
      <c r="F4443" s="1282" t="s">
        <v>20220</v>
      </c>
      <c r="G4443" s="1368">
        <v>24.5</v>
      </c>
      <c r="H4443" s="1178" t="s">
        <v>20221</v>
      </c>
      <c r="I4443" s="1178" t="s">
        <v>13949</v>
      </c>
      <c r="J4443" s="1178" t="s">
        <v>668</v>
      </c>
      <c r="K4443" s="1178" t="s">
        <v>473</v>
      </c>
      <c r="L4443" s="1178"/>
      <c r="M4443" s="1369"/>
      <c r="N4443" s="1178"/>
      <c r="O4443" s="1178">
        <v>6</v>
      </c>
      <c r="P4443" s="1178">
        <v>15</v>
      </c>
    </row>
    <row r="4444" spans="1:16">
      <c r="A4444" s="1178" t="s">
        <v>22213</v>
      </c>
      <c r="B4444" s="1371" t="str">
        <f>HYPERLINK(IFERROR("#Main_Tariff!A"&amp;MATCH(Raeburn_Main_Tariff[[#This Row],[Product Code]],Main_Tariff!I:I,0),"#Main_Tariff!A"&amp;MATCH("*"&amp;RIGHT(A4444,8)&amp;"*",Main_Tariff!A:A,0)),Raeburn_Main_Tariff[[#This Row],[PRODUCER]])</f>
        <v>Cantina Gungui</v>
      </c>
      <c r="C4444" s="1178" t="s">
        <v>22217</v>
      </c>
      <c r="D4444" s="1178" t="s">
        <v>897</v>
      </c>
      <c r="E4444" s="1179">
        <v>2017</v>
      </c>
      <c r="F4444" s="1282" t="s">
        <v>20220</v>
      </c>
      <c r="G4444" s="1368">
        <v>24</v>
      </c>
      <c r="H4444" s="1178" t="s">
        <v>20221</v>
      </c>
      <c r="I4444" s="1178" t="s">
        <v>13951</v>
      </c>
      <c r="J4444" s="1178" t="s">
        <v>668</v>
      </c>
      <c r="K4444" s="1178" t="s">
        <v>473</v>
      </c>
      <c r="L4444" s="1178"/>
      <c r="M4444" s="1369"/>
      <c r="N4444" s="1178"/>
      <c r="O4444" s="1178">
        <v>6</v>
      </c>
      <c r="P4444" s="1178">
        <v>15</v>
      </c>
    </row>
    <row r="4445" spans="1:16">
      <c r="A4445" s="1178" t="s">
        <v>22213</v>
      </c>
      <c r="B4445" s="1371" t="str">
        <f>HYPERLINK(IFERROR("#Main_Tariff!A"&amp;MATCH(Raeburn_Main_Tariff[[#This Row],[Product Code]],Main_Tariff!I:I,0),"#Main_Tariff!A"&amp;MATCH("*"&amp;RIGHT(A4445,8)&amp;"*",Main_Tariff!A:A,0)),Raeburn_Main_Tariff[[#This Row],[PRODUCER]])</f>
        <v>Cantina Gungui</v>
      </c>
      <c r="C4445" s="1178" t="s">
        <v>22218</v>
      </c>
      <c r="D4445" s="1178" t="s">
        <v>897</v>
      </c>
      <c r="E4445" s="1179">
        <v>2021</v>
      </c>
      <c r="F4445" s="1282" t="s">
        <v>20220</v>
      </c>
      <c r="G4445" s="1368">
        <v>31.95</v>
      </c>
      <c r="H4445" s="1178" t="s">
        <v>20221</v>
      </c>
      <c r="I4445" s="1178" t="s">
        <v>13955</v>
      </c>
      <c r="J4445" s="1178" t="s">
        <v>668</v>
      </c>
      <c r="K4445" s="1178" t="s">
        <v>473</v>
      </c>
      <c r="L4445" s="1178"/>
      <c r="M4445" s="1369"/>
      <c r="N4445" s="1178"/>
      <c r="O4445" s="1178">
        <v>6</v>
      </c>
      <c r="P4445" s="1178">
        <v>15</v>
      </c>
    </row>
    <row r="4446" spans="1:16">
      <c r="A4446" s="1178" t="s">
        <v>22213</v>
      </c>
      <c r="B4446" s="1371" t="str">
        <f>HYPERLINK(IFERROR("#Main_Tariff!A"&amp;MATCH(Raeburn_Main_Tariff[[#This Row],[Product Code]],Main_Tariff!I:I,0),"#Main_Tariff!A"&amp;MATCH("*"&amp;RIGHT(A4446,8)&amp;"*",Main_Tariff!A:A,0)),Raeburn_Main_Tariff[[#This Row],[PRODUCER]])</f>
        <v>Cantina Gungui</v>
      </c>
      <c r="C4446" s="1178" t="s">
        <v>22218</v>
      </c>
      <c r="D4446" s="1178" t="s">
        <v>897</v>
      </c>
      <c r="E4446" s="1179">
        <v>2020</v>
      </c>
      <c r="F4446" s="1282" t="s">
        <v>20220</v>
      </c>
      <c r="G4446" s="1368">
        <v>31.75</v>
      </c>
      <c r="H4446" s="1178" t="s">
        <v>20221</v>
      </c>
      <c r="I4446" s="1178" t="s">
        <v>13957</v>
      </c>
      <c r="J4446" s="1178" t="s">
        <v>668</v>
      </c>
      <c r="K4446" s="1178" t="s">
        <v>473</v>
      </c>
      <c r="L4446" s="1178"/>
      <c r="M4446" s="1369"/>
      <c r="N4446" s="1178"/>
      <c r="O4446" s="1178">
        <v>6</v>
      </c>
      <c r="P4446" s="1178">
        <v>15.5</v>
      </c>
    </row>
    <row r="4447" spans="1:16">
      <c r="A4447" s="1178" t="s">
        <v>22213</v>
      </c>
      <c r="B4447" s="1371" t="str">
        <f>HYPERLINK(IFERROR("#Main_Tariff!A"&amp;MATCH(Raeburn_Main_Tariff[[#This Row],[Product Code]],Main_Tariff!I:I,0),"#Main_Tariff!A"&amp;MATCH("*"&amp;RIGHT(A4447,8)&amp;"*",Main_Tariff!A:A,0)),Raeburn_Main_Tariff[[#This Row],[PRODUCER]])</f>
        <v>Cantina Gungui</v>
      </c>
      <c r="C4447" s="1178" t="s">
        <v>22218</v>
      </c>
      <c r="D4447" s="1178" t="s">
        <v>897</v>
      </c>
      <c r="E4447" s="1179">
        <v>2019</v>
      </c>
      <c r="F4447" s="1282" t="s">
        <v>20220</v>
      </c>
      <c r="G4447" s="1368">
        <v>31</v>
      </c>
      <c r="H4447" s="1178" t="s">
        <v>20221</v>
      </c>
      <c r="I4447" s="1178" t="s">
        <v>13959</v>
      </c>
      <c r="J4447" s="1178" t="s">
        <v>668</v>
      </c>
      <c r="K4447" s="1178" t="s">
        <v>473</v>
      </c>
      <c r="L4447" s="1178"/>
      <c r="M4447" s="1369"/>
      <c r="N4447" s="1178"/>
      <c r="O4447" s="1178">
        <v>6</v>
      </c>
      <c r="P4447" s="1178">
        <v>15</v>
      </c>
    </row>
    <row r="4448" spans="1:16">
      <c r="A4448" s="1178" t="s">
        <v>22213</v>
      </c>
      <c r="B4448" s="1371" t="str">
        <f>HYPERLINK(IFERROR("#Main_Tariff!A"&amp;MATCH(Raeburn_Main_Tariff[[#This Row],[Product Code]],Main_Tariff!I:I,0),"#Main_Tariff!A"&amp;MATCH("*"&amp;RIGHT(A4448,8)&amp;"*",Main_Tariff!A:A,0)),Raeburn_Main_Tariff[[#This Row],[PRODUCER]])</f>
        <v>Cantina Gungui</v>
      </c>
      <c r="C4448" s="1178" t="s">
        <v>22219</v>
      </c>
      <c r="D4448" s="1178" t="s">
        <v>897</v>
      </c>
      <c r="E4448" s="1179">
        <v>2017</v>
      </c>
      <c r="F4448" s="1282" t="s">
        <v>20220</v>
      </c>
      <c r="G4448" s="1368">
        <v>32.25</v>
      </c>
      <c r="H4448" s="1178" t="s">
        <v>20221</v>
      </c>
      <c r="I4448" s="1178" t="s">
        <v>13961</v>
      </c>
      <c r="J4448" s="1178" t="s">
        <v>668</v>
      </c>
      <c r="K4448" s="1178" t="s">
        <v>473</v>
      </c>
      <c r="L4448" s="1178"/>
      <c r="M4448" s="1369"/>
      <c r="N4448" s="1178"/>
      <c r="O4448" s="1178">
        <v>6</v>
      </c>
      <c r="P4448" s="1178">
        <v>14</v>
      </c>
    </row>
    <row r="4449" spans="1:16">
      <c r="A4449" s="1178" t="s">
        <v>22213</v>
      </c>
      <c r="B4449" s="1371" t="str">
        <f>HYPERLINK(IFERROR("#Main_Tariff!A"&amp;MATCH(Raeburn_Main_Tariff[[#This Row],[Product Code]],Main_Tariff!I:I,0),"#Main_Tariff!A"&amp;MATCH("*"&amp;RIGHT(A4449,8)&amp;"*",Main_Tariff!A:A,0)),Raeburn_Main_Tariff[[#This Row],[PRODUCER]])</f>
        <v>Cantina Gungui</v>
      </c>
      <c r="C4449" s="1178" t="s">
        <v>22220</v>
      </c>
      <c r="D4449" s="1178" t="s">
        <v>897</v>
      </c>
      <c r="E4449" s="1179">
        <v>2020</v>
      </c>
      <c r="F4449" s="1282" t="s">
        <v>20240</v>
      </c>
      <c r="G4449" s="1368">
        <v>74.5</v>
      </c>
      <c r="H4449" s="1178" t="s">
        <v>20224</v>
      </c>
      <c r="I4449" s="1178" t="s">
        <v>13963</v>
      </c>
      <c r="J4449" s="1178" t="s">
        <v>668</v>
      </c>
      <c r="K4449" s="1178" t="s">
        <v>473</v>
      </c>
      <c r="L4449" s="1178"/>
      <c r="M4449" s="1369"/>
      <c r="N4449" s="1178"/>
      <c r="O4449" s="1178">
        <v>1</v>
      </c>
      <c r="P4449" s="1178">
        <v>15.5</v>
      </c>
    </row>
    <row r="4450" spans="1:16">
      <c r="A4450" s="1178" t="s">
        <v>475</v>
      </c>
      <c r="B4450" s="1371" t="str">
        <f>HYPERLINK(IFERROR("#Main_Tariff!A"&amp;MATCH(Raeburn_Main_Tariff[[#This Row],[Product Code]],Main_Tariff!I:I,0),"#Main_Tariff!A"&amp;MATCH("*"&amp;RIGHT(A4450,8)&amp;"*",Main_Tariff!A:A,0)),Raeburn_Main_Tariff[[#This Row],[PRODUCER]])</f>
        <v>Enrico Esu</v>
      </c>
      <c r="C4450" s="1178" t="s">
        <v>22221</v>
      </c>
      <c r="D4450" s="1178" t="s">
        <v>897</v>
      </c>
      <c r="E4450" s="1179">
        <v>2017</v>
      </c>
      <c r="F4450" s="1282" t="s">
        <v>20220</v>
      </c>
      <c r="G4450" s="1368">
        <v>15</v>
      </c>
      <c r="H4450" s="1178" t="s">
        <v>20221</v>
      </c>
      <c r="I4450" s="1178" t="s">
        <v>13995</v>
      </c>
      <c r="J4450" s="1178" t="s">
        <v>668</v>
      </c>
      <c r="K4450" s="1178" t="s">
        <v>473</v>
      </c>
      <c r="L4450" s="1178"/>
      <c r="M4450" s="1369"/>
      <c r="N4450" s="1178"/>
      <c r="O4450" s="1178">
        <v>6</v>
      </c>
      <c r="P4450" s="1178">
        <v>14</v>
      </c>
    </row>
    <row r="4451" spans="1:16">
      <c r="A4451" s="1178" t="s">
        <v>475</v>
      </c>
      <c r="B4451" s="1371" t="str">
        <f>HYPERLINK(IFERROR("#Main_Tariff!A"&amp;MATCH(Raeburn_Main_Tariff[[#This Row],[Product Code]],Main_Tariff!I:I,0),"#Main_Tariff!A"&amp;MATCH("*"&amp;RIGHT(A4451,8)&amp;"*",Main_Tariff!A:A,0)),Raeburn_Main_Tariff[[#This Row],[PRODUCER]])</f>
        <v>Enrico Esu</v>
      </c>
      <c r="C4451" s="1178" t="s">
        <v>22221</v>
      </c>
      <c r="D4451" s="1178" t="s">
        <v>897</v>
      </c>
      <c r="E4451" s="1179">
        <v>2015</v>
      </c>
      <c r="F4451" s="1282" t="s">
        <v>20220</v>
      </c>
      <c r="G4451" s="1368">
        <v>14.5</v>
      </c>
      <c r="H4451" s="1178" t="s">
        <v>20221</v>
      </c>
      <c r="I4451" s="1178" t="s">
        <v>13997</v>
      </c>
      <c r="J4451" s="1178" t="s">
        <v>668</v>
      </c>
      <c r="K4451" s="1178" t="s">
        <v>473</v>
      </c>
      <c r="L4451" s="1178"/>
      <c r="M4451" s="1369"/>
      <c r="N4451" s="1178"/>
      <c r="O4451" s="1178">
        <v>6</v>
      </c>
      <c r="P4451" s="1178">
        <v>14.5</v>
      </c>
    </row>
    <row r="4452" spans="1:16">
      <c r="A4452" s="1178" t="s">
        <v>475</v>
      </c>
      <c r="B4452" s="1371" t="str">
        <f>HYPERLINK(IFERROR("#Main_Tariff!A"&amp;MATCH(Raeburn_Main_Tariff[[#This Row],[Product Code]],Main_Tariff!I:I,0),"#Main_Tariff!A"&amp;MATCH("*"&amp;RIGHT(A4452,8)&amp;"*",Main_Tariff!A:A,0)),Raeburn_Main_Tariff[[#This Row],[PRODUCER]])</f>
        <v>Enrico Esu</v>
      </c>
      <c r="C4452" s="1178" t="s">
        <v>22222</v>
      </c>
      <c r="D4452" s="1178" t="s">
        <v>897</v>
      </c>
      <c r="E4452" s="1179">
        <v>2016</v>
      </c>
      <c r="F4452" s="1282" t="s">
        <v>20220</v>
      </c>
      <c r="G4452" s="1368">
        <v>19.5</v>
      </c>
      <c r="H4452" s="1178" t="s">
        <v>20221</v>
      </c>
      <c r="I4452" s="1178" t="s">
        <v>13999</v>
      </c>
      <c r="J4452" s="1178" t="s">
        <v>668</v>
      </c>
      <c r="K4452" s="1178" t="s">
        <v>473</v>
      </c>
      <c r="L4452" s="1178"/>
      <c r="M4452" s="1369"/>
      <c r="N4452" s="1178"/>
      <c r="O4452" s="1178">
        <v>6</v>
      </c>
      <c r="P4452" s="1178">
        <v>14</v>
      </c>
    </row>
    <row r="4453" spans="1:16">
      <c r="A4453" s="1178" t="s">
        <v>475</v>
      </c>
      <c r="B4453" s="1371" t="str">
        <f>HYPERLINK(IFERROR("#Main_Tariff!A"&amp;MATCH(Raeburn_Main_Tariff[[#This Row],[Product Code]],Main_Tariff!I:I,0),"#Main_Tariff!A"&amp;MATCH("*"&amp;RIGHT(A4453,8)&amp;"*",Main_Tariff!A:A,0)),Raeburn_Main_Tariff[[#This Row],[PRODUCER]])</f>
        <v>Enrico Esu</v>
      </c>
      <c r="C4453" s="1178" t="s">
        <v>22222</v>
      </c>
      <c r="D4453" s="1178" t="s">
        <v>897</v>
      </c>
      <c r="E4453" s="1179">
        <v>2015</v>
      </c>
      <c r="F4453" s="1282" t="s">
        <v>20220</v>
      </c>
      <c r="G4453" s="1368">
        <v>19.5</v>
      </c>
      <c r="H4453" s="1178" t="s">
        <v>20221</v>
      </c>
      <c r="I4453" s="1178" t="s">
        <v>14001</v>
      </c>
      <c r="J4453" s="1178" t="s">
        <v>668</v>
      </c>
      <c r="K4453" s="1178" t="s">
        <v>473</v>
      </c>
      <c r="L4453" s="1178"/>
      <c r="M4453" s="1369"/>
      <c r="N4453" s="1178"/>
      <c r="O4453" s="1178">
        <v>6</v>
      </c>
      <c r="P4453" s="1178">
        <v>15</v>
      </c>
    </row>
    <row r="4454" spans="1:16">
      <c r="A4454" s="1178" t="s">
        <v>478</v>
      </c>
      <c r="B4454" s="1371" t="str">
        <f>HYPERLINK(IFERROR("#Main_Tariff!A"&amp;MATCH(Raeburn_Main_Tariff[[#This Row],[Product Code]],Main_Tariff!I:I,0),"#Main_Tariff!A"&amp;MATCH("*"&amp;RIGHT(A4454,8)&amp;"*",Main_Tariff!A:A,0)),Raeburn_Main_Tariff[[#This Row],[PRODUCER]])</f>
        <v>Calabretta</v>
      </c>
      <c r="C4454" s="1178" t="s">
        <v>22223</v>
      </c>
      <c r="D4454" s="1178" t="s">
        <v>1129</v>
      </c>
      <c r="E4454" s="1179">
        <v>2011</v>
      </c>
      <c r="F4454" s="1282" t="s">
        <v>20220</v>
      </c>
      <c r="G4454" s="1368">
        <v>10</v>
      </c>
      <c r="H4454" s="1178" t="s">
        <v>20224</v>
      </c>
      <c r="I4454" s="1178" t="s">
        <v>14013</v>
      </c>
      <c r="J4454" s="1178" t="s">
        <v>668</v>
      </c>
      <c r="K4454" s="1178" t="s">
        <v>476</v>
      </c>
      <c r="L4454" s="1178" t="s">
        <v>477</v>
      </c>
      <c r="M4454" s="1369"/>
      <c r="N4454" s="1178"/>
      <c r="O4454" s="1178">
        <v>6</v>
      </c>
      <c r="P4454" s="1178">
        <v>12.5</v>
      </c>
    </row>
    <row r="4455" spans="1:16">
      <c r="A4455" s="1178" t="s">
        <v>478</v>
      </c>
      <c r="B4455" s="1371" t="str">
        <f>HYPERLINK(IFERROR("#Main_Tariff!A"&amp;MATCH(Raeburn_Main_Tariff[[#This Row],[Product Code]],Main_Tariff!I:I,0),"#Main_Tariff!A"&amp;MATCH("*"&amp;RIGHT(A4455,8)&amp;"*",Main_Tariff!A:A,0)),Raeburn_Main_Tariff[[#This Row],[PRODUCER]])</f>
        <v>Calabretta</v>
      </c>
      <c r="C4455" s="1178" t="s">
        <v>22224</v>
      </c>
      <c r="D4455" s="1178" t="s">
        <v>1129</v>
      </c>
      <c r="E4455" s="1179">
        <v>2021</v>
      </c>
      <c r="F4455" s="1282" t="s">
        <v>20220</v>
      </c>
      <c r="G4455" s="1368">
        <v>17.5</v>
      </c>
      <c r="H4455" s="1178" t="s">
        <v>20221</v>
      </c>
      <c r="I4455" s="1178" t="s">
        <v>14015</v>
      </c>
      <c r="J4455" s="1178" t="s">
        <v>668</v>
      </c>
      <c r="K4455" s="1178" t="s">
        <v>476</v>
      </c>
      <c r="L4455" s="1178" t="s">
        <v>477</v>
      </c>
      <c r="M4455" s="1369"/>
      <c r="N4455" s="1178"/>
      <c r="O4455" s="1178">
        <v>6</v>
      </c>
      <c r="P4455" s="1178">
        <v>13</v>
      </c>
    </row>
    <row r="4456" spans="1:16">
      <c r="A4456" s="1178" t="s">
        <v>478</v>
      </c>
      <c r="B4456" s="1371" t="str">
        <f>HYPERLINK(IFERROR("#Main_Tariff!A"&amp;MATCH(Raeburn_Main_Tariff[[#This Row],[Product Code]],Main_Tariff!I:I,0),"#Main_Tariff!A"&amp;MATCH("*"&amp;RIGHT(A4456,8)&amp;"*",Main_Tariff!A:A,0)),Raeburn_Main_Tariff[[#This Row],[PRODUCER]])</f>
        <v>Calabretta</v>
      </c>
      <c r="C4456" s="1178" t="s">
        <v>21389</v>
      </c>
      <c r="D4456" s="1178" t="s">
        <v>897</v>
      </c>
      <c r="E4456" s="1179">
        <v>2020</v>
      </c>
      <c r="F4456" s="1282" t="s">
        <v>20220</v>
      </c>
      <c r="G4456" s="1368">
        <v>20.25</v>
      </c>
      <c r="H4456" s="1178" t="s">
        <v>20221</v>
      </c>
      <c r="I4456" s="1178" t="s">
        <v>14019</v>
      </c>
      <c r="J4456" s="1178" t="s">
        <v>668</v>
      </c>
      <c r="K4456" s="1178" t="s">
        <v>476</v>
      </c>
      <c r="L4456" s="1178" t="s">
        <v>477</v>
      </c>
      <c r="M4456" s="1369"/>
      <c r="N4456" s="1178"/>
      <c r="O4456" s="1178">
        <v>6</v>
      </c>
      <c r="P4456" s="1178">
        <v>13</v>
      </c>
    </row>
    <row r="4457" spans="1:16">
      <c r="A4457" s="1178" t="s">
        <v>478</v>
      </c>
      <c r="B4457" s="1371" t="str">
        <f>HYPERLINK(IFERROR("#Main_Tariff!A"&amp;MATCH(Raeburn_Main_Tariff[[#This Row],[Product Code]],Main_Tariff!I:I,0),"#Main_Tariff!A"&amp;MATCH("*"&amp;RIGHT(A4457,8)&amp;"*",Main_Tariff!A:A,0)),Raeburn_Main_Tariff[[#This Row],[PRODUCER]])</f>
        <v>Calabretta</v>
      </c>
      <c r="C4457" s="1178" t="s">
        <v>21389</v>
      </c>
      <c r="D4457" s="1178" t="s">
        <v>897</v>
      </c>
      <c r="E4457" s="1179">
        <v>2016</v>
      </c>
      <c r="F4457" s="1282" t="s">
        <v>20220</v>
      </c>
      <c r="G4457" s="1368">
        <v>18</v>
      </c>
      <c r="H4457" s="1178" t="s">
        <v>20221</v>
      </c>
      <c r="I4457" s="1178" t="s">
        <v>14021</v>
      </c>
      <c r="J4457" s="1178" t="s">
        <v>668</v>
      </c>
      <c r="K4457" s="1178" t="s">
        <v>476</v>
      </c>
      <c r="L4457" s="1178" t="s">
        <v>477</v>
      </c>
      <c r="M4457" s="1369"/>
      <c r="N4457" s="1178"/>
      <c r="O4457" s="1178">
        <v>6</v>
      </c>
      <c r="P4457" s="1178">
        <v>14.5</v>
      </c>
    </row>
    <row r="4458" spans="1:16">
      <c r="A4458" s="1178" t="s">
        <v>478</v>
      </c>
      <c r="B4458" s="1371" t="str">
        <f>HYPERLINK(IFERROR("#Main_Tariff!A"&amp;MATCH(Raeburn_Main_Tariff[[#This Row],[Product Code]],Main_Tariff!I:I,0),"#Main_Tariff!A"&amp;MATCH("*"&amp;RIGHT(A4458,8)&amp;"*",Main_Tariff!A:A,0)),Raeburn_Main_Tariff[[#This Row],[PRODUCER]])</f>
        <v>Calabretta</v>
      </c>
      <c r="C4458" s="1178" t="s">
        <v>21389</v>
      </c>
      <c r="D4458" s="1178" t="s">
        <v>897</v>
      </c>
      <c r="E4458" s="1179">
        <v>2014</v>
      </c>
      <c r="F4458" s="1282" t="s">
        <v>20220</v>
      </c>
      <c r="G4458" s="1368">
        <v>18</v>
      </c>
      <c r="H4458" s="1178" t="s">
        <v>20221</v>
      </c>
      <c r="I4458" s="1178" t="s">
        <v>14022</v>
      </c>
      <c r="J4458" s="1178" t="s">
        <v>668</v>
      </c>
      <c r="K4458" s="1178" t="s">
        <v>476</v>
      </c>
      <c r="L4458" s="1178" t="s">
        <v>477</v>
      </c>
      <c r="M4458" s="1369"/>
      <c r="N4458" s="1178"/>
      <c r="O4458" s="1178">
        <v>6</v>
      </c>
      <c r="P4458" s="1178">
        <v>14.5</v>
      </c>
    </row>
    <row r="4459" spans="1:16">
      <c r="A4459" s="1178" t="s">
        <v>478</v>
      </c>
      <c r="B4459" s="1371" t="str">
        <f>HYPERLINK(IFERROR("#Main_Tariff!A"&amp;MATCH(Raeburn_Main_Tariff[[#This Row],[Product Code]],Main_Tariff!I:I,0),"#Main_Tariff!A"&amp;MATCH("*"&amp;RIGHT(A4459,8)&amp;"*",Main_Tariff!A:A,0)),Raeburn_Main_Tariff[[#This Row],[PRODUCER]])</f>
        <v>Calabretta</v>
      </c>
      <c r="C4459" s="1178" t="s">
        <v>21389</v>
      </c>
      <c r="D4459" s="1178" t="s">
        <v>897</v>
      </c>
      <c r="E4459" s="1179">
        <v>2012</v>
      </c>
      <c r="F4459" s="1282" t="s">
        <v>20220</v>
      </c>
      <c r="G4459" s="1368">
        <v>18</v>
      </c>
      <c r="H4459" s="1178" t="s">
        <v>20277</v>
      </c>
      <c r="I4459" s="1178" t="s">
        <v>14024</v>
      </c>
      <c r="J4459" s="1178" t="s">
        <v>668</v>
      </c>
      <c r="K4459" s="1178" t="s">
        <v>476</v>
      </c>
      <c r="L4459" s="1178" t="s">
        <v>477</v>
      </c>
      <c r="M4459" s="1369"/>
      <c r="N4459" s="1178"/>
      <c r="O4459" s="1178">
        <v>6</v>
      </c>
      <c r="P4459" s="1178">
        <v>15</v>
      </c>
    </row>
    <row r="4460" spans="1:16">
      <c r="A4460" s="1178" t="s">
        <v>478</v>
      </c>
      <c r="B4460" s="1371" t="str">
        <f>HYPERLINK(IFERROR("#Main_Tariff!A"&amp;MATCH(Raeburn_Main_Tariff[[#This Row],[Product Code]],Main_Tariff!I:I,0),"#Main_Tariff!A"&amp;MATCH("*"&amp;RIGHT(A4460,8)&amp;"*",Main_Tariff!A:A,0)),Raeburn_Main_Tariff[[#This Row],[PRODUCER]])</f>
        <v>Calabretta</v>
      </c>
      <c r="C4460" s="1178" t="s">
        <v>22225</v>
      </c>
      <c r="D4460" s="1178" t="s">
        <v>897</v>
      </c>
      <c r="E4460" s="1179">
        <v>2020</v>
      </c>
      <c r="F4460" s="1282" t="s">
        <v>20220</v>
      </c>
      <c r="G4460" s="1368">
        <v>24.5</v>
      </c>
      <c r="H4460" s="1178" t="s">
        <v>20221</v>
      </c>
      <c r="I4460" s="1178" t="s">
        <v>14028</v>
      </c>
      <c r="J4460" s="1178" t="s">
        <v>668</v>
      </c>
      <c r="K4460" s="1178" t="s">
        <v>476</v>
      </c>
      <c r="L4460" s="1178" t="s">
        <v>477</v>
      </c>
      <c r="M4460" s="1369"/>
      <c r="N4460" s="1178"/>
      <c r="O4460" s="1178">
        <v>6</v>
      </c>
      <c r="P4460" s="1178">
        <v>12.5</v>
      </c>
    </row>
    <row r="4461" spans="1:16">
      <c r="A4461" s="1178" t="s">
        <v>478</v>
      </c>
      <c r="B4461" s="1371" t="str">
        <f>HYPERLINK(IFERROR("#Main_Tariff!A"&amp;MATCH(Raeburn_Main_Tariff[[#This Row],[Product Code]],Main_Tariff!I:I,0),"#Main_Tariff!A"&amp;MATCH("*"&amp;RIGHT(A4461,8)&amp;"*",Main_Tariff!A:A,0)),Raeburn_Main_Tariff[[#This Row],[PRODUCER]])</f>
        <v>Calabretta</v>
      </c>
      <c r="C4461" s="1178" t="s">
        <v>22225</v>
      </c>
      <c r="D4461" s="1178" t="s">
        <v>897</v>
      </c>
      <c r="E4461" s="1179">
        <v>2014</v>
      </c>
      <c r="F4461" s="1282" t="s">
        <v>20220</v>
      </c>
      <c r="G4461" s="1368">
        <v>20</v>
      </c>
      <c r="H4461" s="1178" t="s">
        <v>20221</v>
      </c>
      <c r="I4461" s="1178" t="s">
        <v>14030</v>
      </c>
      <c r="J4461" s="1178" t="s">
        <v>668</v>
      </c>
      <c r="K4461" s="1178" t="s">
        <v>476</v>
      </c>
      <c r="L4461" s="1178" t="s">
        <v>477</v>
      </c>
      <c r="M4461" s="1369"/>
      <c r="N4461" s="1178"/>
      <c r="O4461" s="1178">
        <v>6</v>
      </c>
      <c r="P4461" s="1178">
        <v>12</v>
      </c>
    </row>
    <row r="4462" spans="1:16">
      <c r="A4462" s="1178" t="s">
        <v>478</v>
      </c>
      <c r="B4462" s="1371" t="str">
        <f>HYPERLINK(IFERROR("#Main_Tariff!A"&amp;MATCH(Raeburn_Main_Tariff[[#This Row],[Product Code]],Main_Tariff!I:I,0),"#Main_Tariff!A"&amp;MATCH("*"&amp;RIGHT(A4462,8)&amp;"*",Main_Tariff!A:A,0)),Raeburn_Main_Tariff[[#This Row],[PRODUCER]])</f>
        <v>Calabretta</v>
      </c>
      <c r="C4462" s="1178" t="s">
        <v>22225</v>
      </c>
      <c r="D4462" s="1178" t="s">
        <v>897</v>
      </c>
      <c r="E4462" s="1179">
        <v>2013</v>
      </c>
      <c r="F4462" s="1282" t="s">
        <v>20220</v>
      </c>
      <c r="G4462" s="1368">
        <v>20</v>
      </c>
      <c r="H4462" s="1178" t="s">
        <v>20221</v>
      </c>
      <c r="I4462" s="1178" t="s">
        <v>14032</v>
      </c>
      <c r="J4462" s="1178" t="s">
        <v>668</v>
      </c>
      <c r="K4462" s="1178" t="s">
        <v>476</v>
      </c>
      <c r="L4462" s="1178" t="s">
        <v>477</v>
      </c>
      <c r="M4462" s="1369"/>
      <c r="N4462" s="1178"/>
      <c r="O4462" s="1178">
        <v>6</v>
      </c>
      <c r="P4462" s="1178">
        <v>11</v>
      </c>
    </row>
    <row r="4463" spans="1:16">
      <c r="A4463" s="1178" t="s">
        <v>478</v>
      </c>
      <c r="B4463" s="1371" t="str">
        <f>HYPERLINK(IFERROR("#Main_Tariff!A"&amp;MATCH(Raeburn_Main_Tariff[[#This Row],[Product Code]],Main_Tariff!I:I,0),"#Main_Tariff!A"&amp;MATCH("*"&amp;RIGHT(A4463,8)&amp;"*",Main_Tariff!A:A,0)),Raeburn_Main_Tariff[[#This Row],[PRODUCER]])</f>
        <v>Calabretta</v>
      </c>
      <c r="C4463" s="1178" t="s">
        <v>22225</v>
      </c>
      <c r="D4463" s="1178" t="s">
        <v>897</v>
      </c>
      <c r="E4463" s="1179">
        <v>2012</v>
      </c>
      <c r="F4463" s="1282" t="s">
        <v>20220</v>
      </c>
      <c r="G4463" s="1368">
        <v>20</v>
      </c>
      <c r="H4463" s="1178" t="s">
        <v>20277</v>
      </c>
      <c r="I4463" s="1178" t="s">
        <v>14034</v>
      </c>
      <c r="J4463" s="1178" t="s">
        <v>668</v>
      </c>
      <c r="K4463" s="1178" t="s">
        <v>476</v>
      </c>
      <c r="L4463" s="1178" t="s">
        <v>477</v>
      </c>
      <c r="M4463" s="1369"/>
      <c r="N4463" s="1178"/>
      <c r="O4463" s="1178">
        <v>6</v>
      </c>
      <c r="P4463" s="1178">
        <v>13.5</v>
      </c>
    </row>
    <row r="4464" spans="1:16">
      <c r="A4464" s="1178" t="s">
        <v>478</v>
      </c>
      <c r="B4464" s="1371" t="str">
        <f>HYPERLINK(IFERROR("#Main_Tariff!A"&amp;MATCH(Raeburn_Main_Tariff[[#This Row],[Product Code]],Main_Tariff!I:I,0),"#Main_Tariff!A"&amp;MATCH("*"&amp;RIGHT(A4464,8)&amp;"*",Main_Tariff!A:A,0)),Raeburn_Main_Tariff[[#This Row],[PRODUCER]])</f>
        <v>Calabretta</v>
      </c>
      <c r="C4464" s="1178" t="s">
        <v>22226</v>
      </c>
      <c r="D4464" s="1178" t="s">
        <v>897</v>
      </c>
      <c r="E4464" s="1179">
        <v>2015</v>
      </c>
      <c r="F4464" s="1282" t="s">
        <v>20220</v>
      </c>
      <c r="G4464" s="1368">
        <v>14</v>
      </c>
      <c r="H4464" s="1178" t="s">
        <v>20221</v>
      </c>
      <c r="I4464" s="1178" t="s">
        <v>14038</v>
      </c>
      <c r="J4464" s="1178" t="s">
        <v>668</v>
      </c>
      <c r="K4464" s="1178" t="s">
        <v>476</v>
      </c>
      <c r="L4464" s="1178" t="s">
        <v>477</v>
      </c>
      <c r="M4464" s="1369"/>
      <c r="N4464" s="1178"/>
      <c r="O4464" s="1178">
        <v>6</v>
      </c>
      <c r="P4464" s="1178">
        <v>13</v>
      </c>
    </row>
    <row r="4465" spans="1:16">
      <c r="A4465" s="1178" t="s">
        <v>478</v>
      </c>
      <c r="B4465" s="1371" t="str">
        <f>HYPERLINK(IFERROR("#Main_Tariff!A"&amp;MATCH(Raeburn_Main_Tariff[[#This Row],[Product Code]],Main_Tariff!I:I,0),"#Main_Tariff!A"&amp;MATCH("*"&amp;RIGHT(A4465,8)&amp;"*",Main_Tariff!A:A,0)),Raeburn_Main_Tariff[[#This Row],[PRODUCER]])</f>
        <v>Calabretta</v>
      </c>
      <c r="C4465" s="1178" t="s">
        <v>22226</v>
      </c>
      <c r="D4465" s="1178" t="s">
        <v>897</v>
      </c>
      <c r="E4465" s="1179">
        <v>2012</v>
      </c>
      <c r="F4465" s="1282" t="s">
        <v>20220</v>
      </c>
      <c r="G4465" s="1368">
        <v>14</v>
      </c>
      <c r="H4465" s="1178" t="s">
        <v>20221</v>
      </c>
      <c r="I4465" s="1178" t="s">
        <v>14040</v>
      </c>
      <c r="J4465" s="1178" t="s">
        <v>668</v>
      </c>
      <c r="K4465" s="1178" t="s">
        <v>476</v>
      </c>
      <c r="L4465" s="1178" t="s">
        <v>477</v>
      </c>
      <c r="M4465" s="1369"/>
      <c r="N4465" s="1178"/>
      <c r="O4465" s="1178">
        <v>6</v>
      </c>
      <c r="P4465" s="1178">
        <v>13.5</v>
      </c>
    </row>
    <row r="4466" spans="1:16">
      <c r="A4466" s="1178" t="s">
        <v>478</v>
      </c>
      <c r="B4466" s="1371" t="str">
        <f>HYPERLINK(IFERROR("#Main_Tariff!A"&amp;MATCH(Raeburn_Main_Tariff[[#This Row],[Product Code]],Main_Tariff!I:I,0),"#Main_Tariff!A"&amp;MATCH("*"&amp;RIGHT(A4466,8)&amp;"*",Main_Tariff!A:A,0)),Raeburn_Main_Tariff[[#This Row],[PRODUCER]])</f>
        <v>Calabretta</v>
      </c>
      <c r="C4466" s="1178" t="s">
        <v>22227</v>
      </c>
      <c r="D4466" s="1178" t="s">
        <v>897</v>
      </c>
      <c r="E4466" s="1179">
        <v>2018</v>
      </c>
      <c r="F4466" s="1282" t="s">
        <v>20220</v>
      </c>
      <c r="G4466" s="1368">
        <v>22.5</v>
      </c>
      <c r="H4466" s="1178" t="s">
        <v>20221</v>
      </c>
      <c r="I4466" s="1178" t="s">
        <v>14042</v>
      </c>
      <c r="J4466" s="1178" t="s">
        <v>668</v>
      </c>
      <c r="K4466" s="1178" t="s">
        <v>476</v>
      </c>
      <c r="L4466" s="1178" t="s">
        <v>477</v>
      </c>
      <c r="M4466" s="1369"/>
      <c r="N4466" s="1178"/>
      <c r="O4466" s="1178">
        <v>6</v>
      </c>
      <c r="P4466" s="1178">
        <v>13.5</v>
      </c>
    </row>
    <row r="4467" spans="1:16">
      <c r="A4467" s="1178" t="s">
        <v>478</v>
      </c>
      <c r="B4467" s="1371" t="str">
        <f>HYPERLINK(IFERROR("#Main_Tariff!A"&amp;MATCH(Raeburn_Main_Tariff[[#This Row],[Product Code]],Main_Tariff!I:I,0),"#Main_Tariff!A"&amp;MATCH("*"&amp;RIGHT(A4467,8)&amp;"*",Main_Tariff!A:A,0)),Raeburn_Main_Tariff[[#This Row],[PRODUCER]])</f>
        <v>Calabretta</v>
      </c>
      <c r="C4467" s="1178" t="s">
        <v>22228</v>
      </c>
      <c r="D4467" s="1178" t="s">
        <v>897</v>
      </c>
      <c r="E4467" s="1179">
        <v>2021</v>
      </c>
      <c r="F4467" s="1282" t="s">
        <v>20220</v>
      </c>
      <c r="G4467" s="1368">
        <v>29.25</v>
      </c>
      <c r="H4467" s="1178" t="s">
        <v>20221</v>
      </c>
      <c r="I4467" s="1178" t="s">
        <v>14044</v>
      </c>
      <c r="J4467" s="1178" t="s">
        <v>668</v>
      </c>
      <c r="K4467" s="1178" t="s">
        <v>476</v>
      </c>
      <c r="L4467" s="1178" t="s">
        <v>477</v>
      </c>
      <c r="M4467" s="1369"/>
      <c r="N4467" s="1178"/>
      <c r="O4467" s="1178">
        <v>6</v>
      </c>
      <c r="P4467" s="1178">
        <v>14</v>
      </c>
    </row>
    <row r="4468" spans="1:16">
      <c r="A4468" s="1178" t="s">
        <v>478</v>
      </c>
      <c r="B4468" s="1371" t="str">
        <f>HYPERLINK(IFERROR("#Main_Tariff!A"&amp;MATCH(Raeburn_Main_Tariff[[#This Row],[Product Code]],Main_Tariff!I:I,0),"#Main_Tariff!A"&amp;MATCH("*"&amp;RIGHT(A4468,8)&amp;"*",Main_Tariff!A:A,0)),Raeburn_Main_Tariff[[#This Row],[PRODUCER]])</f>
        <v>Calabretta</v>
      </c>
      <c r="C4468" s="1178" t="s">
        <v>22228</v>
      </c>
      <c r="D4468" s="1178" t="s">
        <v>897</v>
      </c>
      <c r="E4468" s="1179">
        <v>2019</v>
      </c>
      <c r="F4468" s="1282" t="s">
        <v>20220</v>
      </c>
      <c r="G4468" s="1368">
        <v>27</v>
      </c>
      <c r="H4468" s="1178" t="s">
        <v>20221</v>
      </c>
      <c r="I4468" s="1178" t="s">
        <v>14046</v>
      </c>
      <c r="J4468" s="1178" t="s">
        <v>668</v>
      </c>
      <c r="K4468" s="1178" t="s">
        <v>476</v>
      </c>
      <c r="L4468" s="1178" t="s">
        <v>477</v>
      </c>
      <c r="M4468" s="1369"/>
      <c r="N4468" s="1178"/>
      <c r="O4468" s="1178">
        <v>6</v>
      </c>
      <c r="P4468" s="1178">
        <v>15</v>
      </c>
    </row>
    <row r="4469" spans="1:16">
      <c r="A4469" s="1178" t="s">
        <v>478</v>
      </c>
      <c r="B4469" s="1371" t="str">
        <f>HYPERLINK(IFERROR("#Main_Tariff!A"&amp;MATCH(Raeburn_Main_Tariff[[#This Row],[Product Code]],Main_Tariff!I:I,0),"#Main_Tariff!A"&amp;MATCH("*"&amp;RIGHT(A4469,8)&amp;"*",Main_Tariff!A:A,0)),Raeburn_Main_Tariff[[#This Row],[PRODUCER]])</f>
        <v>Calabretta</v>
      </c>
      <c r="C4469" s="1178" t="s">
        <v>22228</v>
      </c>
      <c r="D4469" s="1178" t="s">
        <v>897</v>
      </c>
      <c r="E4469" s="1179">
        <v>2017</v>
      </c>
      <c r="F4469" s="1282" t="s">
        <v>20220</v>
      </c>
      <c r="G4469" s="1368">
        <v>26</v>
      </c>
      <c r="H4469" s="1178" t="s">
        <v>20221</v>
      </c>
      <c r="I4469" s="1178" t="s">
        <v>14048</v>
      </c>
      <c r="J4469" s="1178" t="s">
        <v>668</v>
      </c>
      <c r="K4469" s="1178" t="s">
        <v>476</v>
      </c>
      <c r="L4469" s="1178" t="s">
        <v>477</v>
      </c>
      <c r="M4469" s="1369"/>
      <c r="N4469" s="1178"/>
      <c r="O4469" s="1178">
        <v>6</v>
      </c>
      <c r="P4469" s="1178">
        <v>14</v>
      </c>
    </row>
    <row r="4470" spans="1:16">
      <c r="A4470" s="1178" t="s">
        <v>478</v>
      </c>
      <c r="B4470" s="1371" t="str">
        <f>HYPERLINK(IFERROR("#Main_Tariff!A"&amp;MATCH(Raeburn_Main_Tariff[[#This Row],[Product Code]],Main_Tariff!I:I,0),"#Main_Tariff!A"&amp;MATCH("*"&amp;RIGHT(A4470,8)&amp;"*",Main_Tariff!A:A,0)),Raeburn_Main_Tariff[[#This Row],[PRODUCER]])</f>
        <v>Calabretta</v>
      </c>
      <c r="C4470" s="1178" t="s">
        <v>22229</v>
      </c>
      <c r="D4470" s="1178" t="s">
        <v>897</v>
      </c>
      <c r="E4470" s="1179">
        <v>2021</v>
      </c>
      <c r="F4470" s="1282" t="s">
        <v>20220</v>
      </c>
      <c r="G4470" s="1368">
        <v>41.5</v>
      </c>
      <c r="H4470" s="1178" t="s">
        <v>20221</v>
      </c>
      <c r="I4470" s="1178" t="s">
        <v>14050</v>
      </c>
      <c r="J4470" s="1178" t="s">
        <v>668</v>
      </c>
      <c r="K4470" s="1178" t="s">
        <v>476</v>
      </c>
      <c r="L4470" s="1178" t="s">
        <v>477</v>
      </c>
      <c r="M4470" s="1369"/>
      <c r="N4470" s="1178"/>
      <c r="O4470" s="1178">
        <v>6</v>
      </c>
      <c r="P4470" s="1178">
        <v>14</v>
      </c>
    </row>
    <row r="4471" spans="1:16">
      <c r="A4471" s="1178" t="s">
        <v>478</v>
      </c>
      <c r="B4471" s="1371" t="str">
        <f>HYPERLINK(IFERROR("#Main_Tariff!A"&amp;MATCH(Raeburn_Main_Tariff[[#This Row],[Product Code]],Main_Tariff!I:I,0),"#Main_Tariff!A"&amp;MATCH("*"&amp;RIGHT(A4471,8)&amp;"*",Main_Tariff!A:A,0)),Raeburn_Main_Tariff[[#This Row],[PRODUCER]])</f>
        <v>Calabretta</v>
      </c>
      <c r="C4471" s="1178" t="s">
        <v>22229</v>
      </c>
      <c r="D4471" s="1178" t="s">
        <v>897</v>
      </c>
      <c r="E4471" s="1179">
        <v>2019</v>
      </c>
      <c r="F4471" s="1282" t="s">
        <v>20220</v>
      </c>
      <c r="G4471" s="1368">
        <v>38</v>
      </c>
      <c r="H4471" s="1178" t="s">
        <v>20221</v>
      </c>
      <c r="I4471" s="1178" t="s">
        <v>14052</v>
      </c>
      <c r="J4471" s="1178" t="s">
        <v>668</v>
      </c>
      <c r="K4471" s="1178" t="s">
        <v>476</v>
      </c>
      <c r="L4471" s="1178" t="s">
        <v>477</v>
      </c>
      <c r="M4471" s="1369"/>
      <c r="N4471" s="1178"/>
      <c r="O4471" s="1178">
        <v>6</v>
      </c>
      <c r="P4471" s="1178">
        <v>12</v>
      </c>
    </row>
    <row r="4472" spans="1:16">
      <c r="A4472" s="1178" t="s">
        <v>478</v>
      </c>
      <c r="B4472" s="1371" t="str">
        <f>HYPERLINK(IFERROR("#Main_Tariff!A"&amp;MATCH(Raeburn_Main_Tariff[[#This Row],[Product Code]],Main_Tariff!I:I,0),"#Main_Tariff!A"&amp;MATCH("*"&amp;RIGHT(A4472,8)&amp;"*",Main_Tariff!A:A,0)),Raeburn_Main_Tariff[[#This Row],[PRODUCER]])</f>
        <v>Calabretta</v>
      </c>
      <c r="C4472" s="1178" t="s">
        <v>22230</v>
      </c>
      <c r="D4472" s="1178" t="s">
        <v>897</v>
      </c>
      <c r="E4472" s="1179">
        <v>2021</v>
      </c>
      <c r="F4472" s="1282" t="s">
        <v>20220</v>
      </c>
      <c r="G4472" s="1368">
        <v>41.5</v>
      </c>
      <c r="H4472" s="1178" t="s">
        <v>20221</v>
      </c>
      <c r="I4472" s="1178" t="s">
        <v>14054</v>
      </c>
      <c r="J4472" s="1178" t="s">
        <v>668</v>
      </c>
      <c r="K4472" s="1178" t="s">
        <v>476</v>
      </c>
      <c r="L4472" s="1178" t="s">
        <v>477</v>
      </c>
      <c r="M4472" s="1369"/>
      <c r="N4472" s="1178"/>
      <c r="O4472" s="1178">
        <v>6</v>
      </c>
      <c r="P4472" s="1178">
        <v>14</v>
      </c>
    </row>
    <row r="4473" spans="1:16">
      <c r="A4473" s="1178" t="s">
        <v>478</v>
      </c>
      <c r="B4473" s="1371" t="str">
        <f>HYPERLINK(IFERROR("#Main_Tariff!A"&amp;MATCH(Raeburn_Main_Tariff[[#This Row],[Product Code]],Main_Tariff!I:I,0),"#Main_Tariff!A"&amp;MATCH("*"&amp;RIGHT(A4473,8)&amp;"*",Main_Tariff!A:A,0)),Raeburn_Main_Tariff[[#This Row],[PRODUCER]])</f>
        <v>Calabretta</v>
      </c>
      <c r="C4473" s="1178" t="s">
        <v>22230</v>
      </c>
      <c r="D4473" s="1178" t="s">
        <v>897</v>
      </c>
      <c r="E4473" s="1179">
        <v>2019</v>
      </c>
      <c r="F4473" s="1282" t="s">
        <v>20220</v>
      </c>
      <c r="G4473" s="1368">
        <v>38</v>
      </c>
      <c r="H4473" s="1178" t="s">
        <v>20221</v>
      </c>
      <c r="I4473" s="1178" t="s">
        <v>14056</v>
      </c>
      <c r="J4473" s="1178" t="s">
        <v>668</v>
      </c>
      <c r="K4473" s="1178" t="s">
        <v>476</v>
      </c>
      <c r="L4473" s="1178" t="s">
        <v>477</v>
      </c>
      <c r="M4473" s="1369"/>
      <c r="N4473" s="1178"/>
      <c r="O4473" s="1178">
        <v>6</v>
      </c>
      <c r="P4473" s="1178">
        <v>13.5</v>
      </c>
    </row>
    <row r="4474" spans="1:16">
      <c r="A4474" s="1178" t="s">
        <v>478</v>
      </c>
      <c r="B4474" s="1371" t="str">
        <f>HYPERLINK(IFERROR("#Main_Tariff!A"&amp;MATCH(Raeburn_Main_Tariff[[#This Row],[Product Code]],Main_Tariff!I:I,0),"#Main_Tariff!A"&amp;MATCH("*"&amp;RIGHT(A4474,8)&amp;"*",Main_Tariff!A:A,0)),Raeburn_Main_Tariff[[#This Row],[PRODUCER]])</f>
        <v>Calabretta</v>
      </c>
      <c r="C4474" s="1178" t="s">
        <v>22231</v>
      </c>
      <c r="D4474" s="1178" t="s">
        <v>897</v>
      </c>
      <c r="E4474" s="1179">
        <v>2014</v>
      </c>
      <c r="F4474" s="1282" t="s">
        <v>20220</v>
      </c>
      <c r="G4474" s="1368">
        <v>22.5</v>
      </c>
      <c r="H4474" s="1178" t="s">
        <v>20221</v>
      </c>
      <c r="I4474" s="1178" t="s">
        <v>14060</v>
      </c>
      <c r="J4474" s="1178" t="s">
        <v>668</v>
      </c>
      <c r="K4474" s="1178" t="s">
        <v>476</v>
      </c>
      <c r="L4474" s="1178" t="s">
        <v>477</v>
      </c>
      <c r="M4474" s="1369"/>
      <c r="N4474" s="1178"/>
      <c r="O4474" s="1178">
        <v>6</v>
      </c>
      <c r="P4474" s="1178">
        <v>14.5</v>
      </c>
    </row>
    <row r="4475" spans="1:16">
      <c r="A4475" s="1178" t="s">
        <v>479</v>
      </c>
      <c r="B4475" s="1371" t="str">
        <f>HYPERLINK(IFERROR("#Main_Tariff!A"&amp;MATCH(Raeburn_Main_Tariff[[#This Row],[Product Code]],Main_Tariff!I:I,0),"#Main_Tariff!A"&amp;MATCH("*"&amp;RIGHT(A4475,8)&amp;"*",Main_Tariff!A:A,0)),Raeburn_Main_Tariff[[#This Row],[PRODUCER]])</f>
        <v>Eredi di Maio</v>
      </c>
      <c r="C4475" s="1178" t="s">
        <v>22232</v>
      </c>
      <c r="D4475" s="1178" t="s">
        <v>1129</v>
      </c>
      <c r="E4475" s="1179">
        <v>2019</v>
      </c>
      <c r="F4475" s="1282" t="s">
        <v>20220</v>
      </c>
      <c r="G4475" s="1368">
        <v>20.5</v>
      </c>
      <c r="H4475" s="1178" t="s">
        <v>20221</v>
      </c>
      <c r="I4475" s="1178" t="s">
        <v>14071</v>
      </c>
      <c r="J4475" s="1178" t="s">
        <v>668</v>
      </c>
      <c r="K4475" s="1178" t="s">
        <v>476</v>
      </c>
      <c r="L4475" s="1178" t="s">
        <v>477</v>
      </c>
      <c r="M4475" s="1369"/>
      <c r="N4475" s="1178"/>
      <c r="O4475" s="1178">
        <v>6</v>
      </c>
      <c r="P4475" s="1178">
        <v>12.5</v>
      </c>
    </row>
    <row r="4476" spans="1:16">
      <c r="A4476" s="1178" t="s">
        <v>479</v>
      </c>
      <c r="B4476" s="1371" t="str">
        <f>HYPERLINK(IFERROR("#Main_Tariff!A"&amp;MATCH(Raeburn_Main_Tariff[[#This Row],[Product Code]],Main_Tariff!I:I,0),"#Main_Tariff!A"&amp;MATCH("*"&amp;RIGHT(A4476,8)&amp;"*",Main_Tariff!A:A,0)),Raeburn_Main_Tariff[[#This Row],[PRODUCER]])</f>
        <v>Eredi di Maio</v>
      </c>
      <c r="C4476" s="1178" t="s">
        <v>22232</v>
      </c>
      <c r="D4476" s="1178" t="s">
        <v>1129</v>
      </c>
      <c r="E4476" s="1179">
        <v>2018</v>
      </c>
      <c r="F4476" s="1282" t="s">
        <v>20220</v>
      </c>
      <c r="G4476" s="1368">
        <v>19.5</v>
      </c>
      <c r="H4476" s="1178" t="s">
        <v>20221</v>
      </c>
      <c r="I4476" s="1178" t="s">
        <v>14073</v>
      </c>
      <c r="J4476" s="1178" t="s">
        <v>668</v>
      </c>
      <c r="K4476" s="1178" t="s">
        <v>476</v>
      </c>
      <c r="L4476" s="1178" t="s">
        <v>477</v>
      </c>
      <c r="M4476" s="1369"/>
      <c r="N4476" s="1178"/>
      <c r="O4476" s="1178">
        <v>6</v>
      </c>
      <c r="P4476" s="1178">
        <v>12.5</v>
      </c>
    </row>
    <row r="4477" spans="1:16">
      <c r="A4477" s="1178" t="s">
        <v>479</v>
      </c>
      <c r="B4477" s="1371" t="str">
        <f>HYPERLINK(IFERROR("#Main_Tariff!A"&amp;MATCH(Raeburn_Main_Tariff[[#This Row],[Product Code]],Main_Tariff!I:I,0),"#Main_Tariff!A"&amp;MATCH("*"&amp;RIGHT(A4477,8)&amp;"*",Main_Tariff!A:A,0)),Raeburn_Main_Tariff[[#This Row],[PRODUCER]])</f>
        <v>Eredi di Maio</v>
      </c>
      <c r="C4477" s="1178" t="s">
        <v>22233</v>
      </c>
      <c r="D4477" s="1178" t="s">
        <v>897</v>
      </c>
      <c r="E4477" s="1179">
        <v>2019</v>
      </c>
      <c r="F4477" s="1282" t="s">
        <v>20220</v>
      </c>
      <c r="G4477" s="1368">
        <v>25</v>
      </c>
      <c r="H4477" s="1178" t="s">
        <v>20221</v>
      </c>
      <c r="I4477" s="1178" t="s">
        <v>14075</v>
      </c>
      <c r="J4477" s="1178" t="s">
        <v>668</v>
      </c>
      <c r="K4477" s="1178" t="s">
        <v>476</v>
      </c>
      <c r="L4477" s="1178" t="s">
        <v>477</v>
      </c>
      <c r="M4477" s="1369"/>
      <c r="N4477" s="1178"/>
      <c r="O4477" s="1178">
        <v>6</v>
      </c>
      <c r="P4477" s="1178">
        <v>14</v>
      </c>
    </row>
    <row r="4478" spans="1:16">
      <c r="A4478" s="1178" t="s">
        <v>479</v>
      </c>
      <c r="B4478" s="1371" t="str">
        <f>HYPERLINK(IFERROR("#Main_Tariff!A"&amp;MATCH(Raeburn_Main_Tariff[[#This Row],[Product Code]],Main_Tariff!I:I,0),"#Main_Tariff!A"&amp;MATCH("*"&amp;RIGHT(A4478,8)&amp;"*",Main_Tariff!A:A,0)),Raeburn_Main_Tariff[[#This Row],[PRODUCER]])</f>
        <v>Eredi di Maio</v>
      </c>
      <c r="C4478" s="1178" t="s">
        <v>22233</v>
      </c>
      <c r="D4478" s="1178" t="s">
        <v>897</v>
      </c>
      <c r="E4478" s="1179">
        <v>2018</v>
      </c>
      <c r="F4478" s="1282" t="s">
        <v>20220</v>
      </c>
      <c r="G4478" s="1368">
        <v>24</v>
      </c>
      <c r="H4478" s="1178" t="s">
        <v>20224</v>
      </c>
      <c r="I4478" s="1178" t="s">
        <v>14077</v>
      </c>
      <c r="J4478" s="1178" t="s">
        <v>668</v>
      </c>
      <c r="K4478" s="1178" t="s">
        <v>476</v>
      </c>
      <c r="L4478" s="1178" t="s">
        <v>477</v>
      </c>
      <c r="M4478" s="1369"/>
      <c r="N4478" s="1178"/>
      <c r="O4478" s="1178">
        <v>6</v>
      </c>
      <c r="P4478" s="1178">
        <v>14</v>
      </c>
    </row>
    <row r="4479" spans="1:16">
      <c r="A4479" s="1178" t="s">
        <v>480</v>
      </c>
      <c r="B4479" s="1371" t="str">
        <f>HYPERLINK(IFERROR("#Main_Tariff!A"&amp;MATCH(Raeburn_Main_Tariff[[#This Row],[Product Code]],Main_Tariff!I:I,0),"#Main_Tariff!A"&amp;MATCH("*"&amp;RIGHT(A4479,8)&amp;"*",Main_Tariff!A:A,0)),Raeburn_Main_Tariff[[#This Row],[PRODUCER]])</f>
        <v>Frank Cornelissen</v>
      </c>
      <c r="C4479" s="1178" t="s">
        <v>22234</v>
      </c>
      <c r="D4479" s="1178" t="s">
        <v>2573</v>
      </c>
      <c r="E4479" s="1179"/>
      <c r="F4479" s="1282" t="s">
        <v>20220</v>
      </c>
      <c r="G4479" s="1368"/>
      <c r="H4479" s="1178" t="s">
        <v>3907</v>
      </c>
      <c r="I4479" s="1178" t="s">
        <v>14099</v>
      </c>
      <c r="J4479" s="1178" t="s">
        <v>668</v>
      </c>
      <c r="K4479" s="1178" t="s">
        <v>476</v>
      </c>
      <c r="L4479" s="1178" t="s">
        <v>477</v>
      </c>
      <c r="M4479" s="1369"/>
      <c r="N4479" s="1178"/>
      <c r="O4479" s="1178">
        <v>12</v>
      </c>
      <c r="P4479" s="1178">
        <v>11.5</v>
      </c>
    </row>
    <row r="4480" spans="1:16">
      <c r="A4480" s="1178" t="s">
        <v>480</v>
      </c>
      <c r="B4480" s="1371" t="str">
        <f>HYPERLINK(IFERROR("#Main_Tariff!A"&amp;MATCH(Raeburn_Main_Tariff[[#This Row],[Product Code]],Main_Tariff!I:I,0),"#Main_Tariff!A"&amp;MATCH("*"&amp;RIGHT(A4480,8)&amp;"*",Main_Tariff!A:A,0)),Raeburn_Main_Tariff[[#This Row],[PRODUCER]])</f>
        <v>Frank Cornelissen</v>
      </c>
      <c r="C4480" s="1178" t="s">
        <v>22235</v>
      </c>
      <c r="D4480" s="1178" t="s">
        <v>897</v>
      </c>
      <c r="E4480" s="1179">
        <v>2022</v>
      </c>
      <c r="F4480" s="1282" t="s">
        <v>20220</v>
      </c>
      <c r="G4480" s="1368">
        <v>18</v>
      </c>
      <c r="H4480" s="1178" t="s">
        <v>20221</v>
      </c>
      <c r="I4480" s="1178" t="s">
        <v>14101</v>
      </c>
      <c r="J4480" s="1178" t="s">
        <v>668</v>
      </c>
      <c r="K4480" s="1178" t="s">
        <v>476</v>
      </c>
      <c r="L4480" s="1178" t="s">
        <v>477</v>
      </c>
      <c r="M4480" s="1369"/>
      <c r="N4480" s="1178"/>
      <c r="O4480" s="1178">
        <v>12</v>
      </c>
      <c r="P4480" s="1178">
        <v>14</v>
      </c>
    </row>
    <row r="4481" spans="1:16">
      <c r="A4481" s="1178" t="s">
        <v>480</v>
      </c>
      <c r="B4481" s="1371" t="str">
        <f>HYPERLINK(IFERROR("#Main_Tariff!A"&amp;MATCH(Raeburn_Main_Tariff[[#This Row],[Product Code]],Main_Tariff!I:I,0),"#Main_Tariff!A"&amp;MATCH("*"&amp;RIGHT(A4481,8)&amp;"*",Main_Tariff!A:A,0)),Raeburn_Main_Tariff[[#This Row],[PRODUCER]])</f>
        <v>Frank Cornelissen</v>
      </c>
      <c r="C4481" s="1178" t="s">
        <v>22236</v>
      </c>
      <c r="D4481" s="1178" t="s">
        <v>1129</v>
      </c>
      <c r="E4481" s="1179"/>
      <c r="F4481" s="1282" t="s">
        <v>20220</v>
      </c>
      <c r="G4481" s="1368"/>
      <c r="H4481" s="1178" t="s">
        <v>3907</v>
      </c>
      <c r="I4481" s="1178" t="s">
        <v>14106</v>
      </c>
      <c r="J4481" s="1178" t="s">
        <v>668</v>
      </c>
      <c r="K4481" s="1178" t="s">
        <v>476</v>
      </c>
      <c r="L4481" s="1178" t="s">
        <v>477</v>
      </c>
      <c r="M4481" s="1369"/>
      <c r="N4481" s="1178"/>
      <c r="O4481" s="1178">
        <v>12</v>
      </c>
      <c r="P4481" s="1178">
        <v>11.5</v>
      </c>
    </row>
    <row r="4482" spans="1:16">
      <c r="A4482" s="1178" t="s">
        <v>480</v>
      </c>
      <c r="B4482" s="1371" t="str">
        <f>HYPERLINK(IFERROR("#Main_Tariff!A"&amp;MATCH(Raeburn_Main_Tariff[[#This Row],[Product Code]],Main_Tariff!I:I,0),"#Main_Tariff!A"&amp;MATCH("*"&amp;RIGHT(A4482,8)&amp;"*",Main_Tariff!A:A,0)),Raeburn_Main_Tariff[[#This Row],[PRODUCER]])</f>
        <v>Frank Cornelissen</v>
      </c>
      <c r="C4482" s="1178" t="s">
        <v>22237</v>
      </c>
      <c r="D4482" s="1178" t="s">
        <v>1129</v>
      </c>
      <c r="E4482" s="1179">
        <v>2020</v>
      </c>
      <c r="F4482" s="1282" t="s">
        <v>20240</v>
      </c>
      <c r="G4482" s="1368">
        <v>127</v>
      </c>
      <c r="H4482" s="1178" t="s">
        <v>20221</v>
      </c>
      <c r="I4482" s="1178" t="s">
        <v>14108</v>
      </c>
      <c r="J4482" s="1178" t="s">
        <v>668</v>
      </c>
      <c r="K4482" s="1178" t="s">
        <v>476</v>
      </c>
      <c r="L4482" s="1178" t="s">
        <v>477</v>
      </c>
      <c r="M4482" s="1369"/>
      <c r="N4482" s="1178"/>
      <c r="O4482" s="1178">
        <v>3</v>
      </c>
      <c r="P4482" s="1178">
        <v>12</v>
      </c>
    </row>
    <row r="4483" spans="1:16">
      <c r="A4483" s="1178" t="s">
        <v>480</v>
      </c>
      <c r="B4483" s="1371" t="str">
        <f>HYPERLINK(IFERROR("#Main_Tariff!A"&amp;MATCH(Raeburn_Main_Tariff[[#This Row],[Product Code]],Main_Tariff!I:I,0),"#Main_Tariff!A"&amp;MATCH("*"&amp;RIGHT(A4483,8)&amp;"*",Main_Tariff!A:A,0)),Raeburn_Main_Tariff[[#This Row],[PRODUCER]])</f>
        <v>Frank Cornelissen</v>
      </c>
      <c r="C4483" s="1178" t="s">
        <v>22238</v>
      </c>
      <c r="D4483" s="1178" t="s">
        <v>897</v>
      </c>
      <c r="E4483" s="1179">
        <v>2017</v>
      </c>
      <c r="F4483" s="1282" t="s">
        <v>20280</v>
      </c>
      <c r="G4483" s="1368">
        <v>13.75</v>
      </c>
      <c r="H4483" s="1178" t="s">
        <v>20224</v>
      </c>
      <c r="I4483" s="1178" t="s">
        <v>14113</v>
      </c>
      <c r="J4483" s="1178" t="s">
        <v>668</v>
      </c>
      <c r="K4483" s="1178" t="s">
        <v>476</v>
      </c>
      <c r="L4483" s="1178" t="s">
        <v>477</v>
      </c>
      <c r="M4483" s="1369"/>
      <c r="N4483" s="1178"/>
      <c r="O4483" s="1178">
        <v>24</v>
      </c>
      <c r="P4483" s="1178">
        <v>15</v>
      </c>
    </row>
    <row r="4484" spans="1:16">
      <c r="A4484" s="1178" t="s">
        <v>480</v>
      </c>
      <c r="B4484" s="1371" t="str">
        <f>HYPERLINK(IFERROR("#Main_Tariff!A"&amp;MATCH(Raeburn_Main_Tariff[[#This Row],[Product Code]],Main_Tariff!I:I,0),"#Main_Tariff!A"&amp;MATCH("*"&amp;RIGHT(A4484,8)&amp;"*",Main_Tariff!A:A,0)),Raeburn_Main_Tariff[[#This Row],[PRODUCER]])</f>
        <v>Frank Cornelissen</v>
      </c>
      <c r="C4484" s="1178" t="s">
        <v>22239</v>
      </c>
      <c r="D4484" s="1178" t="s">
        <v>897</v>
      </c>
      <c r="E4484" s="1179">
        <v>2021</v>
      </c>
      <c r="F4484" s="1282" t="s">
        <v>20220</v>
      </c>
      <c r="G4484" s="1368">
        <v>25.5</v>
      </c>
      <c r="H4484" s="1178" t="s">
        <v>20221</v>
      </c>
      <c r="I4484" s="1178" t="s">
        <v>14115</v>
      </c>
      <c r="J4484" s="1178" t="s">
        <v>668</v>
      </c>
      <c r="K4484" s="1178" t="s">
        <v>476</v>
      </c>
      <c r="L4484" s="1178" t="s">
        <v>477</v>
      </c>
      <c r="M4484" s="1369"/>
      <c r="N4484" s="1178"/>
      <c r="O4484" s="1178">
        <v>12</v>
      </c>
      <c r="P4484" s="1178">
        <v>14.5</v>
      </c>
    </row>
    <row r="4485" spans="1:16">
      <c r="A4485" s="1178" t="s">
        <v>480</v>
      </c>
      <c r="B4485" s="1371" t="str">
        <f>HYPERLINK(IFERROR("#Main_Tariff!A"&amp;MATCH(Raeburn_Main_Tariff[[#This Row],[Product Code]],Main_Tariff!I:I,0),"#Main_Tariff!A"&amp;MATCH("*"&amp;RIGHT(A4485,8)&amp;"*",Main_Tariff!A:A,0)),Raeburn_Main_Tariff[[#This Row],[PRODUCER]])</f>
        <v>Frank Cornelissen</v>
      </c>
      <c r="C4485" s="1178" t="s">
        <v>22239</v>
      </c>
      <c r="D4485" s="1178" t="s">
        <v>897</v>
      </c>
      <c r="E4485" s="1179">
        <v>2020</v>
      </c>
      <c r="F4485" s="1282" t="s">
        <v>20220</v>
      </c>
      <c r="G4485" s="1368">
        <v>25.5</v>
      </c>
      <c r="H4485" s="1178" t="s">
        <v>20277</v>
      </c>
      <c r="I4485" s="1178" t="s">
        <v>14117</v>
      </c>
      <c r="J4485" s="1178" t="s">
        <v>668</v>
      </c>
      <c r="K4485" s="1178" t="s">
        <v>476</v>
      </c>
      <c r="L4485" s="1178" t="s">
        <v>477</v>
      </c>
      <c r="M4485" s="1369"/>
      <c r="N4485" s="1178"/>
      <c r="O4485" s="1178">
        <v>12</v>
      </c>
      <c r="P4485" s="1178">
        <v>14</v>
      </c>
    </row>
    <row r="4486" spans="1:16">
      <c r="A4486" s="1178" t="s">
        <v>480</v>
      </c>
      <c r="B4486" s="1371" t="str">
        <f>HYPERLINK(IFERROR("#Main_Tariff!A"&amp;MATCH(Raeburn_Main_Tariff[[#This Row],[Product Code]],Main_Tariff!I:I,0),"#Main_Tariff!A"&amp;MATCH("*"&amp;RIGHT(A4486,8)&amp;"*",Main_Tariff!A:A,0)),Raeburn_Main_Tariff[[#This Row],[PRODUCER]])</f>
        <v>Frank Cornelissen</v>
      </c>
      <c r="C4486" s="1178" t="s">
        <v>22240</v>
      </c>
      <c r="D4486" s="1178" t="s">
        <v>897</v>
      </c>
      <c r="E4486" s="1179">
        <v>2020</v>
      </c>
      <c r="F4486" s="1282" t="s">
        <v>20240</v>
      </c>
      <c r="G4486" s="1368">
        <v>55</v>
      </c>
      <c r="H4486" s="1178" t="s">
        <v>20224</v>
      </c>
      <c r="I4486" s="1178" t="s">
        <v>14119</v>
      </c>
      <c r="J4486" s="1178" t="s">
        <v>668</v>
      </c>
      <c r="K4486" s="1178" t="s">
        <v>476</v>
      </c>
      <c r="L4486" s="1178" t="s">
        <v>477</v>
      </c>
      <c r="M4486" s="1369"/>
      <c r="N4486" s="1178"/>
      <c r="O4486" s="1178">
        <v>3</v>
      </c>
      <c r="P4486" s="1178">
        <v>13.5</v>
      </c>
    </row>
    <row r="4487" spans="1:16">
      <c r="A4487" s="1178" t="s">
        <v>480</v>
      </c>
      <c r="B4487" s="1371" t="str">
        <f>HYPERLINK(IFERROR("#Main_Tariff!A"&amp;MATCH(Raeburn_Main_Tariff[[#This Row],[Product Code]],Main_Tariff!I:I,0),"#Main_Tariff!A"&amp;MATCH("*"&amp;RIGHT(A4487,8)&amp;"*",Main_Tariff!A:A,0)),Raeburn_Main_Tariff[[#This Row],[PRODUCER]])</f>
        <v>Frank Cornelissen</v>
      </c>
      <c r="C4487" s="1178" t="s">
        <v>22241</v>
      </c>
      <c r="D4487" s="1178" t="s">
        <v>897</v>
      </c>
      <c r="E4487" s="1179"/>
      <c r="F4487" s="1282" t="s">
        <v>20288</v>
      </c>
      <c r="G4487" s="1368"/>
      <c r="H4487" s="1178" t="s">
        <v>3907</v>
      </c>
      <c r="I4487" s="1178" t="s">
        <v>14121</v>
      </c>
      <c r="J4487" s="1178" t="s">
        <v>668</v>
      </c>
      <c r="K4487" s="1178" t="s">
        <v>476</v>
      </c>
      <c r="L4487" s="1178" t="s">
        <v>477</v>
      </c>
      <c r="M4487" s="1369"/>
      <c r="N4487" s="1178"/>
      <c r="O4487" s="1178">
        <v>2</v>
      </c>
      <c r="P4487" s="1178">
        <v>14</v>
      </c>
    </row>
    <row r="4488" spans="1:16">
      <c r="A4488" s="1178" t="s">
        <v>480</v>
      </c>
      <c r="B4488" s="1371" t="str">
        <f>HYPERLINK(IFERROR("#Main_Tariff!A"&amp;MATCH(Raeburn_Main_Tariff[[#This Row],[Product Code]],Main_Tariff!I:I,0),"#Main_Tariff!A"&amp;MATCH("*"&amp;RIGHT(A4488,8)&amp;"*",Main_Tariff!A:A,0)),Raeburn_Main_Tariff[[#This Row],[PRODUCER]])</f>
        <v>Frank Cornelissen</v>
      </c>
      <c r="C4488" s="1178" t="s">
        <v>22242</v>
      </c>
      <c r="D4488" s="1178" t="s">
        <v>897</v>
      </c>
      <c r="E4488" s="1179" t="s">
        <v>18951</v>
      </c>
      <c r="F4488" s="1282" t="s">
        <v>20220</v>
      </c>
      <c r="G4488" s="1368">
        <v>59</v>
      </c>
      <c r="H4488" s="1178" t="s">
        <v>20221</v>
      </c>
      <c r="I4488" s="1178" t="s">
        <v>14126</v>
      </c>
      <c r="J4488" s="1178" t="s">
        <v>668</v>
      </c>
      <c r="K4488" s="1178" t="s">
        <v>476</v>
      </c>
      <c r="L4488" s="1178" t="s">
        <v>477</v>
      </c>
      <c r="M4488" s="1369"/>
      <c r="N4488" s="1178"/>
      <c r="O4488" s="1178">
        <v>6</v>
      </c>
      <c r="P4488" s="1178">
        <v>14</v>
      </c>
    </row>
    <row r="4489" spans="1:16">
      <c r="A4489" s="1178" t="s">
        <v>480</v>
      </c>
      <c r="B4489" s="1371" t="str">
        <f>HYPERLINK(IFERROR("#Main_Tariff!A"&amp;MATCH(Raeburn_Main_Tariff[[#This Row],[Product Code]],Main_Tariff!I:I,0),"#Main_Tariff!A"&amp;MATCH("*"&amp;RIGHT(A4489,8)&amp;"*",Main_Tariff!A:A,0)),Raeburn_Main_Tariff[[#This Row],[PRODUCER]])</f>
        <v>Frank Cornelissen</v>
      </c>
      <c r="C4489" s="1178" t="s">
        <v>22243</v>
      </c>
      <c r="D4489" s="1178" t="s">
        <v>897</v>
      </c>
      <c r="E4489" s="1179" t="s">
        <v>18951</v>
      </c>
      <c r="F4489" s="1282" t="s">
        <v>20220</v>
      </c>
      <c r="G4489" s="1368">
        <v>55</v>
      </c>
      <c r="H4489" s="1178" t="s">
        <v>20221</v>
      </c>
      <c r="I4489" s="1178" t="s">
        <v>14128</v>
      </c>
      <c r="J4489" s="1178" t="s">
        <v>668</v>
      </c>
      <c r="K4489" s="1178" t="s">
        <v>476</v>
      </c>
      <c r="L4489" s="1178" t="s">
        <v>477</v>
      </c>
      <c r="M4489" s="1369"/>
      <c r="N4489" s="1178"/>
      <c r="O4489" s="1178">
        <v>6</v>
      </c>
      <c r="P4489" s="1178">
        <v>15</v>
      </c>
    </row>
    <row r="4490" spans="1:16">
      <c r="A4490" s="1178" t="s">
        <v>480</v>
      </c>
      <c r="B4490" s="1371" t="str">
        <f>HYPERLINK(IFERROR("#Main_Tariff!A"&amp;MATCH(Raeburn_Main_Tariff[[#This Row],[Product Code]],Main_Tariff!I:I,0),"#Main_Tariff!A"&amp;MATCH("*"&amp;RIGHT(A4490,8)&amp;"*",Main_Tariff!A:A,0)),Raeburn_Main_Tariff[[#This Row],[PRODUCER]])</f>
        <v>Frank Cornelissen</v>
      </c>
      <c r="C4490" s="1178" t="s">
        <v>22244</v>
      </c>
      <c r="D4490" s="1178" t="s">
        <v>897</v>
      </c>
      <c r="E4490" s="1179" t="s">
        <v>18951</v>
      </c>
      <c r="F4490" s="1282" t="s">
        <v>20240</v>
      </c>
      <c r="G4490" s="1368">
        <v>125</v>
      </c>
      <c r="H4490" s="1178" t="s">
        <v>20224</v>
      </c>
      <c r="I4490" s="1178" t="s">
        <v>14130</v>
      </c>
      <c r="J4490" s="1178" t="s">
        <v>668</v>
      </c>
      <c r="K4490" s="1178" t="s">
        <v>476</v>
      </c>
      <c r="L4490" s="1178" t="s">
        <v>477</v>
      </c>
      <c r="M4490" s="1369"/>
      <c r="N4490" s="1178"/>
      <c r="O4490" s="1178">
        <v>3</v>
      </c>
      <c r="P4490" s="1178">
        <v>14</v>
      </c>
    </row>
    <row r="4491" spans="1:16">
      <c r="A4491" s="1178" t="s">
        <v>480</v>
      </c>
      <c r="B4491" s="1371" t="str">
        <f>HYPERLINK(IFERROR("#Main_Tariff!A"&amp;MATCH(Raeburn_Main_Tariff[[#This Row],[Product Code]],Main_Tariff!I:I,0),"#Main_Tariff!A"&amp;MATCH("*"&amp;RIGHT(A4491,8)&amp;"*",Main_Tariff!A:A,0)),Raeburn_Main_Tariff[[#This Row],[PRODUCER]])</f>
        <v>Frank Cornelissen</v>
      </c>
      <c r="C4491" s="1178" t="s">
        <v>22245</v>
      </c>
      <c r="D4491" s="1178" t="s">
        <v>897</v>
      </c>
      <c r="E4491" s="1179" t="s">
        <v>18951</v>
      </c>
      <c r="F4491" s="1282" t="s">
        <v>20240</v>
      </c>
      <c r="G4491" s="1368">
        <v>115</v>
      </c>
      <c r="H4491" s="1178" t="s">
        <v>20224</v>
      </c>
      <c r="I4491" s="1178" t="s">
        <v>14132</v>
      </c>
      <c r="J4491" s="1178" t="s">
        <v>668</v>
      </c>
      <c r="K4491" s="1178" t="s">
        <v>476</v>
      </c>
      <c r="L4491" s="1178" t="s">
        <v>477</v>
      </c>
      <c r="M4491" s="1369"/>
      <c r="N4491" s="1178"/>
      <c r="O4491" s="1178">
        <v>3</v>
      </c>
      <c r="P4491" s="1178">
        <v>15</v>
      </c>
    </row>
    <row r="4492" spans="1:16">
      <c r="A4492" s="1178" t="s">
        <v>480</v>
      </c>
      <c r="B4492" s="1371" t="str">
        <f>HYPERLINK(IFERROR("#Main_Tariff!A"&amp;MATCH(Raeburn_Main_Tariff[[#This Row],[Product Code]],Main_Tariff!I:I,0),"#Main_Tariff!A"&amp;MATCH("*"&amp;RIGHT(A4492,8)&amp;"*",Main_Tariff!A:A,0)),Raeburn_Main_Tariff[[#This Row],[PRODUCER]])</f>
        <v>Frank Cornelissen</v>
      </c>
      <c r="C4492" s="1178" t="s">
        <v>22246</v>
      </c>
      <c r="D4492" s="1178" t="s">
        <v>897</v>
      </c>
      <c r="E4492" s="1179">
        <v>2018</v>
      </c>
      <c r="F4492" s="1282" t="s">
        <v>20220</v>
      </c>
      <c r="G4492" s="1368">
        <v>39</v>
      </c>
      <c r="H4492" s="1178" t="s">
        <v>20221</v>
      </c>
      <c r="I4492" s="1178" t="s">
        <v>14137</v>
      </c>
      <c r="J4492" s="1178" t="s">
        <v>668</v>
      </c>
      <c r="K4492" s="1178" t="s">
        <v>476</v>
      </c>
      <c r="L4492" s="1178" t="s">
        <v>477</v>
      </c>
      <c r="M4492" s="1369"/>
      <c r="N4492" s="1178"/>
      <c r="O4492" s="1178">
        <v>6</v>
      </c>
      <c r="P4492" s="1178">
        <v>13.5</v>
      </c>
    </row>
    <row r="4493" spans="1:16">
      <c r="A4493" s="1178" t="s">
        <v>480</v>
      </c>
      <c r="B4493" s="1371" t="str">
        <f>HYPERLINK(IFERROR("#Main_Tariff!A"&amp;MATCH(Raeburn_Main_Tariff[[#This Row],[Product Code]],Main_Tariff!I:I,0),"#Main_Tariff!A"&amp;MATCH("*"&amp;RIGHT(A4493,8)&amp;"*",Main_Tariff!A:A,0)),Raeburn_Main_Tariff[[#This Row],[PRODUCER]])</f>
        <v>Frank Cornelissen</v>
      </c>
      <c r="C4493" s="1178" t="s">
        <v>22247</v>
      </c>
      <c r="D4493" s="1178" t="s">
        <v>897</v>
      </c>
      <c r="E4493" s="1179">
        <v>2020</v>
      </c>
      <c r="F4493" s="1282" t="s">
        <v>20220</v>
      </c>
      <c r="G4493" s="1368">
        <v>42</v>
      </c>
      <c r="H4493" s="1178" t="s">
        <v>20221</v>
      </c>
      <c r="I4493" s="1178" t="s">
        <v>14139</v>
      </c>
      <c r="J4493" s="1178" t="s">
        <v>668</v>
      </c>
      <c r="K4493" s="1178" t="s">
        <v>476</v>
      </c>
      <c r="L4493" s="1178" t="s">
        <v>477</v>
      </c>
      <c r="M4493" s="1369"/>
      <c r="N4493" s="1178"/>
      <c r="O4493" s="1178">
        <v>6</v>
      </c>
      <c r="P4493" s="1178">
        <v>14.5</v>
      </c>
    </row>
    <row r="4494" spans="1:16">
      <c r="A4494" s="1178" t="s">
        <v>480</v>
      </c>
      <c r="B4494" s="1371" t="str">
        <f>HYPERLINK(IFERROR("#Main_Tariff!A"&amp;MATCH(Raeburn_Main_Tariff[[#This Row],[Product Code]],Main_Tariff!I:I,0),"#Main_Tariff!A"&amp;MATCH("*"&amp;RIGHT(A4494,8)&amp;"*",Main_Tariff!A:A,0)),Raeburn_Main_Tariff[[#This Row],[PRODUCER]])</f>
        <v>Frank Cornelissen</v>
      </c>
      <c r="C4494" s="1178" t="s">
        <v>22247</v>
      </c>
      <c r="D4494" s="1178" t="s">
        <v>897</v>
      </c>
      <c r="E4494" s="1179">
        <v>2019</v>
      </c>
      <c r="F4494" s="1282" t="s">
        <v>20220</v>
      </c>
      <c r="G4494" s="1368">
        <v>42.5</v>
      </c>
      <c r="H4494" s="1178" t="s">
        <v>20221</v>
      </c>
      <c r="I4494" s="1178" t="s">
        <v>14141</v>
      </c>
      <c r="J4494" s="1178" t="s">
        <v>668</v>
      </c>
      <c r="K4494" s="1178" t="s">
        <v>476</v>
      </c>
      <c r="L4494" s="1178" t="s">
        <v>477</v>
      </c>
      <c r="M4494" s="1369"/>
      <c r="N4494" s="1178"/>
      <c r="O4494" s="1178">
        <v>6</v>
      </c>
      <c r="P4494" s="1178">
        <v>14</v>
      </c>
    </row>
    <row r="4495" spans="1:16">
      <c r="A4495" s="1178" t="s">
        <v>480</v>
      </c>
      <c r="B4495" s="1371" t="str">
        <f>HYPERLINK(IFERROR("#Main_Tariff!A"&amp;MATCH(Raeburn_Main_Tariff[[#This Row],[Product Code]],Main_Tariff!I:I,0),"#Main_Tariff!A"&amp;MATCH("*"&amp;RIGHT(A4495,8)&amp;"*",Main_Tariff!A:A,0)),Raeburn_Main_Tariff[[#This Row],[PRODUCER]])</f>
        <v>Frank Cornelissen</v>
      </c>
      <c r="C4495" s="1178" t="s">
        <v>22247</v>
      </c>
      <c r="D4495" s="1178" t="s">
        <v>897</v>
      </c>
      <c r="E4495" s="1179">
        <v>2018</v>
      </c>
      <c r="F4495" s="1282" t="s">
        <v>20220</v>
      </c>
      <c r="G4495" s="1368">
        <v>39</v>
      </c>
      <c r="H4495" s="1178" t="s">
        <v>20221</v>
      </c>
      <c r="I4495" s="1178" t="s">
        <v>14143</v>
      </c>
      <c r="J4495" s="1178" t="s">
        <v>668</v>
      </c>
      <c r="K4495" s="1178" t="s">
        <v>476</v>
      </c>
      <c r="L4495" s="1178" t="s">
        <v>477</v>
      </c>
      <c r="M4495" s="1369"/>
      <c r="N4495" s="1178"/>
      <c r="O4495" s="1178">
        <v>6</v>
      </c>
      <c r="P4495" s="1178">
        <v>13.5</v>
      </c>
    </row>
    <row r="4496" spans="1:16">
      <c r="A4496" s="1178" t="s">
        <v>480</v>
      </c>
      <c r="B4496" s="1371" t="str">
        <f>HYPERLINK(IFERROR("#Main_Tariff!A"&amp;MATCH(Raeburn_Main_Tariff[[#This Row],[Product Code]],Main_Tariff!I:I,0),"#Main_Tariff!A"&amp;MATCH("*"&amp;RIGHT(A4496,8)&amp;"*",Main_Tariff!A:A,0)),Raeburn_Main_Tariff[[#This Row],[PRODUCER]])</f>
        <v>Frank Cornelissen</v>
      </c>
      <c r="C4496" s="1178" t="s">
        <v>22247</v>
      </c>
      <c r="D4496" s="1178" t="s">
        <v>897</v>
      </c>
      <c r="E4496" s="1179">
        <v>2017</v>
      </c>
      <c r="F4496" s="1282" t="s">
        <v>20220</v>
      </c>
      <c r="G4496" s="1368">
        <v>37.5</v>
      </c>
      <c r="H4496" s="1178" t="s">
        <v>20277</v>
      </c>
      <c r="I4496" s="1178" t="s">
        <v>14145</v>
      </c>
      <c r="J4496" s="1178" t="s">
        <v>668</v>
      </c>
      <c r="K4496" s="1178" t="s">
        <v>476</v>
      </c>
      <c r="L4496" s="1178" t="s">
        <v>477</v>
      </c>
      <c r="M4496" s="1369"/>
      <c r="N4496" s="1178"/>
      <c r="O4496" s="1178">
        <v>6</v>
      </c>
      <c r="P4496" s="1178">
        <v>15</v>
      </c>
    </row>
    <row r="4497" spans="1:16">
      <c r="A4497" s="1178" t="s">
        <v>480</v>
      </c>
      <c r="B4497" s="1371" t="str">
        <f>HYPERLINK(IFERROR("#Main_Tariff!A"&amp;MATCH(Raeburn_Main_Tariff[[#This Row],[Product Code]],Main_Tariff!I:I,0),"#Main_Tariff!A"&amp;MATCH("*"&amp;RIGHT(A4497,8)&amp;"*",Main_Tariff!A:A,0)),Raeburn_Main_Tariff[[#This Row],[PRODUCER]])</f>
        <v>Frank Cornelissen</v>
      </c>
      <c r="C4497" s="1178" t="s">
        <v>22248</v>
      </c>
      <c r="D4497" s="1178" t="s">
        <v>897</v>
      </c>
      <c r="E4497" s="1179">
        <v>2020</v>
      </c>
      <c r="F4497" s="1282" t="s">
        <v>20220</v>
      </c>
      <c r="G4497" s="1368">
        <v>42</v>
      </c>
      <c r="H4497" s="1178" t="s">
        <v>20221</v>
      </c>
      <c r="I4497" s="1178" t="s">
        <v>14147</v>
      </c>
      <c r="J4497" s="1178" t="s">
        <v>668</v>
      </c>
      <c r="K4497" s="1178" t="s">
        <v>476</v>
      </c>
      <c r="L4497" s="1178" t="s">
        <v>477</v>
      </c>
      <c r="M4497" s="1369"/>
      <c r="N4497" s="1178"/>
      <c r="O4497" s="1178">
        <v>6</v>
      </c>
      <c r="P4497" s="1178">
        <v>13.5</v>
      </c>
    </row>
    <row r="4498" spans="1:16">
      <c r="A4498" s="1178" t="s">
        <v>480</v>
      </c>
      <c r="B4498" s="1371" t="str">
        <f>HYPERLINK(IFERROR("#Main_Tariff!A"&amp;MATCH(Raeburn_Main_Tariff[[#This Row],[Product Code]],Main_Tariff!I:I,0),"#Main_Tariff!A"&amp;MATCH("*"&amp;RIGHT(A4498,8)&amp;"*",Main_Tariff!A:A,0)),Raeburn_Main_Tariff[[#This Row],[PRODUCER]])</f>
        <v>Frank Cornelissen</v>
      </c>
      <c r="C4498" s="1178" t="s">
        <v>22248</v>
      </c>
      <c r="D4498" s="1178" t="s">
        <v>897</v>
      </c>
      <c r="E4498" s="1179">
        <v>2019</v>
      </c>
      <c r="F4498" s="1282" t="s">
        <v>20220</v>
      </c>
      <c r="G4498" s="1368">
        <v>42.5</v>
      </c>
      <c r="H4498" s="1178" t="s">
        <v>20221</v>
      </c>
      <c r="I4498" s="1178" t="s">
        <v>14149</v>
      </c>
      <c r="J4498" s="1178" t="s">
        <v>668</v>
      </c>
      <c r="K4498" s="1178" t="s">
        <v>476</v>
      </c>
      <c r="L4498" s="1178" t="s">
        <v>477</v>
      </c>
      <c r="M4498" s="1369"/>
      <c r="N4498" s="1178"/>
      <c r="O4498" s="1178">
        <v>6</v>
      </c>
      <c r="P4498" s="1178">
        <v>14.5</v>
      </c>
    </row>
    <row r="4499" spans="1:16">
      <c r="A4499" s="1178" t="s">
        <v>480</v>
      </c>
      <c r="B4499" s="1371" t="str">
        <f>HYPERLINK(IFERROR("#Main_Tariff!A"&amp;MATCH(Raeburn_Main_Tariff[[#This Row],[Product Code]],Main_Tariff!I:I,0),"#Main_Tariff!A"&amp;MATCH("*"&amp;RIGHT(A4499,8)&amp;"*",Main_Tariff!A:A,0)),Raeburn_Main_Tariff[[#This Row],[PRODUCER]])</f>
        <v>Frank Cornelissen</v>
      </c>
      <c r="C4499" s="1178" t="s">
        <v>22248</v>
      </c>
      <c r="D4499" s="1178" t="s">
        <v>897</v>
      </c>
      <c r="E4499" s="1179">
        <v>2018</v>
      </c>
      <c r="F4499" s="1282" t="s">
        <v>20220</v>
      </c>
      <c r="G4499" s="1368">
        <v>39</v>
      </c>
      <c r="H4499" s="1178" t="s">
        <v>20221</v>
      </c>
      <c r="I4499" s="1178" t="s">
        <v>14151</v>
      </c>
      <c r="J4499" s="1178" t="s">
        <v>668</v>
      </c>
      <c r="K4499" s="1178" t="s">
        <v>476</v>
      </c>
      <c r="L4499" s="1178" t="s">
        <v>477</v>
      </c>
      <c r="M4499" s="1369"/>
      <c r="N4499" s="1178"/>
      <c r="O4499" s="1178">
        <v>6</v>
      </c>
      <c r="P4499" s="1178">
        <v>13.5</v>
      </c>
    </row>
    <row r="4500" spans="1:16">
      <c r="A4500" s="1178" t="s">
        <v>480</v>
      </c>
      <c r="B4500" s="1371" t="str">
        <f>HYPERLINK(IFERROR("#Main_Tariff!A"&amp;MATCH(Raeburn_Main_Tariff[[#This Row],[Product Code]],Main_Tariff!I:I,0),"#Main_Tariff!A"&amp;MATCH("*"&amp;RIGHT(A4500,8)&amp;"*",Main_Tariff!A:A,0)),Raeburn_Main_Tariff[[#This Row],[PRODUCER]])</f>
        <v>Frank Cornelissen</v>
      </c>
      <c r="C4500" s="1178" t="s">
        <v>22249</v>
      </c>
      <c r="D4500" s="1178" t="s">
        <v>897</v>
      </c>
      <c r="E4500" s="1179">
        <v>2020</v>
      </c>
      <c r="F4500" s="1282" t="s">
        <v>20220</v>
      </c>
      <c r="G4500" s="1368">
        <v>42</v>
      </c>
      <c r="H4500" s="1178" t="s">
        <v>20221</v>
      </c>
      <c r="I4500" s="1178" t="s">
        <v>14153</v>
      </c>
      <c r="J4500" s="1178" t="s">
        <v>668</v>
      </c>
      <c r="K4500" s="1178" t="s">
        <v>476</v>
      </c>
      <c r="L4500" s="1178" t="s">
        <v>477</v>
      </c>
      <c r="M4500" s="1369"/>
      <c r="N4500" s="1178"/>
      <c r="O4500" s="1178">
        <v>6</v>
      </c>
      <c r="P4500" s="1178">
        <v>15</v>
      </c>
    </row>
    <row r="4501" spans="1:16">
      <c r="A4501" s="1178" t="s">
        <v>480</v>
      </c>
      <c r="B4501" s="1371" t="str">
        <f>HYPERLINK(IFERROR("#Main_Tariff!A"&amp;MATCH(Raeburn_Main_Tariff[[#This Row],[Product Code]],Main_Tariff!I:I,0),"#Main_Tariff!A"&amp;MATCH("*"&amp;RIGHT(A4501,8)&amp;"*",Main_Tariff!A:A,0)),Raeburn_Main_Tariff[[#This Row],[PRODUCER]])</f>
        <v>Frank Cornelissen</v>
      </c>
      <c r="C4501" s="1178" t="s">
        <v>22249</v>
      </c>
      <c r="D4501" s="1178" t="s">
        <v>897</v>
      </c>
      <c r="E4501" s="1179">
        <v>2019</v>
      </c>
      <c r="F4501" s="1282" t="s">
        <v>20220</v>
      </c>
      <c r="G4501" s="1368">
        <v>42</v>
      </c>
      <c r="H4501" s="1178" t="s">
        <v>20221</v>
      </c>
      <c r="I4501" s="1178" t="s">
        <v>14155</v>
      </c>
      <c r="J4501" s="1178" t="s">
        <v>668</v>
      </c>
      <c r="K4501" s="1178" t="s">
        <v>476</v>
      </c>
      <c r="L4501" s="1178" t="s">
        <v>477</v>
      </c>
      <c r="M4501" s="1369"/>
      <c r="N4501" s="1178"/>
      <c r="O4501" s="1178">
        <v>6</v>
      </c>
      <c r="P4501" s="1178">
        <v>14.5</v>
      </c>
    </row>
    <row r="4502" spans="1:16">
      <c r="A4502" s="1178" t="s">
        <v>480</v>
      </c>
      <c r="B4502" s="1371" t="str">
        <f>HYPERLINK(IFERROR("#Main_Tariff!A"&amp;MATCH(Raeburn_Main_Tariff[[#This Row],[Product Code]],Main_Tariff!I:I,0),"#Main_Tariff!A"&amp;MATCH("*"&amp;RIGHT(A4502,8)&amp;"*",Main_Tariff!A:A,0)),Raeburn_Main_Tariff[[#This Row],[PRODUCER]])</f>
        <v>Frank Cornelissen</v>
      </c>
      <c r="C4502" s="1178" t="s">
        <v>22249</v>
      </c>
      <c r="D4502" s="1178" t="s">
        <v>897</v>
      </c>
      <c r="E4502" s="1179">
        <v>2018</v>
      </c>
      <c r="F4502" s="1282" t="s">
        <v>20220</v>
      </c>
      <c r="G4502" s="1368">
        <v>39</v>
      </c>
      <c r="H4502" s="1178" t="s">
        <v>20221</v>
      </c>
      <c r="I4502" s="1178" t="s">
        <v>14157</v>
      </c>
      <c r="J4502" s="1178" t="s">
        <v>668</v>
      </c>
      <c r="K4502" s="1178" t="s">
        <v>476</v>
      </c>
      <c r="L4502" s="1178" t="s">
        <v>477</v>
      </c>
      <c r="M4502" s="1369"/>
      <c r="N4502" s="1178"/>
      <c r="O4502" s="1178">
        <v>6</v>
      </c>
      <c r="P4502" s="1178">
        <v>13.5</v>
      </c>
    </row>
    <row r="4503" spans="1:16">
      <c r="A4503" s="1178" t="s">
        <v>480</v>
      </c>
      <c r="B4503" s="1371" t="str">
        <f>HYPERLINK(IFERROR("#Main_Tariff!A"&amp;MATCH(Raeburn_Main_Tariff[[#This Row],[Product Code]],Main_Tariff!I:I,0),"#Main_Tariff!A"&amp;MATCH("*"&amp;RIGHT(A4503,8)&amp;"*",Main_Tariff!A:A,0)),Raeburn_Main_Tariff[[#This Row],[PRODUCER]])</f>
        <v>Frank Cornelissen</v>
      </c>
      <c r="C4503" s="1178" t="s">
        <v>22250</v>
      </c>
      <c r="D4503" s="1178" t="s">
        <v>897</v>
      </c>
      <c r="E4503" s="1179">
        <v>2020</v>
      </c>
      <c r="F4503" s="1282" t="s">
        <v>20220</v>
      </c>
      <c r="G4503" s="1368">
        <v>42</v>
      </c>
      <c r="H4503" s="1178" t="s">
        <v>20221</v>
      </c>
      <c r="I4503" s="1178" t="s">
        <v>14159</v>
      </c>
      <c r="J4503" s="1178" t="s">
        <v>668</v>
      </c>
      <c r="K4503" s="1178" t="s">
        <v>476</v>
      </c>
      <c r="L4503" s="1178" t="s">
        <v>477</v>
      </c>
      <c r="M4503" s="1369"/>
      <c r="N4503" s="1178"/>
      <c r="O4503" s="1178">
        <v>6</v>
      </c>
      <c r="P4503" s="1178">
        <v>15.5</v>
      </c>
    </row>
    <row r="4504" spans="1:16">
      <c r="A4504" s="1178" t="s">
        <v>480</v>
      </c>
      <c r="B4504" s="1371" t="str">
        <f>HYPERLINK(IFERROR("#Main_Tariff!A"&amp;MATCH(Raeburn_Main_Tariff[[#This Row],[Product Code]],Main_Tariff!I:I,0),"#Main_Tariff!A"&amp;MATCH("*"&amp;RIGHT(A4504,8)&amp;"*",Main_Tariff!A:A,0)),Raeburn_Main_Tariff[[#This Row],[PRODUCER]])</f>
        <v>Frank Cornelissen</v>
      </c>
      <c r="C4504" s="1178" t="s">
        <v>22250</v>
      </c>
      <c r="D4504" s="1178" t="s">
        <v>897</v>
      </c>
      <c r="E4504" s="1179">
        <v>2018</v>
      </c>
      <c r="F4504" s="1282" t="s">
        <v>20220</v>
      </c>
      <c r="G4504" s="1368">
        <v>39</v>
      </c>
      <c r="H4504" s="1178" t="s">
        <v>20221</v>
      </c>
      <c r="I4504" s="1178" t="s">
        <v>14161</v>
      </c>
      <c r="J4504" s="1178" t="s">
        <v>668</v>
      </c>
      <c r="K4504" s="1178" t="s">
        <v>476</v>
      </c>
      <c r="L4504" s="1178" t="s">
        <v>477</v>
      </c>
      <c r="M4504" s="1369"/>
      <c r="N4504" s="1178"/>
      <c r="O4504" s="1178">
        <v>6</v>
      </c>
      <c r="P4504" s="1178">
        <v>13.5</v>
      </c>
    </row>
    <row r="4505" spans="1:16">
      <c r="A4505" s="1178" t="s">
        <v>480</v>
      </c>
      <c r="B4505" s="1371" t="str">
        <f>HYPERLINK(IFERROR("#Main_Tariff!A"&amp;MATCH(Raeburn_Main_Tariff[[#This Row],[Product Code]],Main_Tariff!I:I,0),"#Main_Tariff!A"&amp;MATCH("*"&amp;RIGHT(A4505,8)&amp;"*",Main_Tariff!A:A,0)),Raeburn_Main_Tariff[[#This Row],[PRODUCER]])</f>
        <v>Frank Cornelissen</v>
      </c>
      <c r="C4505" s="1178" t="s">
        <v>22251</v>
      </c>
      <c r="D4505" s="1178" t="s">
        <v>897</v>
      </c>
      <c r="E4505" s="1179">
        <v>2018</v>
      </c>
      <c r="F4505" s="1282" t="s">
        <v>20240</v>
      </c>
      <c r="G4505" s="1368">
        <v>79</v>
      </c>
      <c r="H4505" s="1178" t="s">
        <v>20224</v>
      </c>
      <c r="I4505" s="1178" t="s">
        <v>14165</v>
      </c>
      <c r="J4505" s="1178" t="s">
        <v>668</v>
      </c>
      <c r="K4505" s="1178" t="s">
        <v>476</v>
      </c>
      <c r="L4505" s="1178" t="s">
        <v>477</v>
      </c>
      <c r="M4505" s="1369"/>
      <c r="N4505" s="1178"/>
      <c r="O4505" s="1178">
        <v>3</v>
      </c>
      <c r="P4505" s="1178">
        <v>14</v>
      </c>
    </row>
    <row r="4506" spans="1:16">
      <c r="A4506" s="1178" t="s">
        <v>480</v>
      </c>
      <c r="B4506" s="1371" t="str">
        <f>HYPERLINK(IFERROR("#Main_Tariff!A"&amp;MATCH(Raeburn_Main_Tariff[[#This Row],[Product Code]],Main_Tariff!I:I,0),"#Main_Tariff!A"&amp;MATCH("*"&amp;RIGHT(A4506,8)&amp;"*",Main_Tariff!A:A,0)),Raeburn_Main_Tariff[[#This Row],[PRODUCER]])</f>
        <v>Frank Cornelissen</v>
      </c>
      <c r="C4506" s="1178" t="s">
        <v>22252</v>
      </c>
      <c r="D4506" s="1178" t="s">
        <v>897</v>
      </c>
      <c r="E4506" s="1179">
        <v>2019</v>
      </c>
      <c r="F4506" s="1282" t="s">
        <v>20240</v>
      </c>
      <c r="G4506" s="1368">
        <v>90</v>
      </c>
      <c r="H4506" s="1178" t="s">
        <v>20224</v>
      </c>
      <c r="I4506" s="1178" t="s">
        <v>14167</v>
      </c>
      <c r="J4506" s="1178" t="s">
        <v>668</v>
      </c>
      <c r="K4506" s="1178" t="s">
        <v>476</v>
      </c>
      <c r="L4506" s="1178" t="s">
        <v>477</v>
      </c>
      <c r="M4506" s="1369"/>
      <c r="N4506" s="1178"/>
      <c r="O4506" s="1178">
        <v>3</v>
      </c>
      <c r="P4506" s="1178">
        <v>14</v>
      </c>
    </row>
    <row r="4507" spans="1:16">
      <c r="A4507" s="1178" t="s">
        <v>480</v>
      </c>
      <c r="B4507" s="1371" t="str">
        <f>HYPERLINK(IFERROR("#Main_Tariff!A"&amp;MATCH(Raeburn_Main_Tariff[[#This Row],[Product Code]],Main_Tariff!I:I,0),"#Main_Tariff!A"&amp;MATCH("*"&amp;RIGHT(A4507,8)&amp;"*",Main_Tariff!A:A,0)),Raeburn_Main_Tariff[[#This Row],[PRODUCER]])</f>
        <v>Frank Cornelissen</v>
      </c>
      <c r="C4507" s="1178" t="s">
        <v>22252</v>
      </c>
      <c r="D4507" s="1178" t="s">
        <v>897</v>
      </c>
      <c r="E4507" s="1179">
        <v>2017</v>
      </c>
      <c r="F4507" s="1282" t="s">
        <v>20240</v>
      </c>
      <c r="G4507" s="1368">
        <v>79</v>
      </c>
      <c r="H4507" s="1178" t="s">
        <v>20224</v>
      </c>
      <c r="I4507" s="1178" t="s">
        <v>14169</v>
      </c>
      <c r="J4507" s="1178" t="s">
        <v>668</v>
      </c>
      <c r="K4507" s="1178" t="s">
        <v>476</v>
      </c>
      <c r="L4507" s="1178" t="s">
        <v>477</v>
      </c>
      <c r="M4507" s="1369"/>
      <c r="N4507" s="1178"/>
      <c r="O4507" s="1178">
        <v>3</v>
      </c>
      <c r="P4507" s="1178">
        <v>15</v>
      </c>
    </row>
    <row r="4508" spans="1:16">
      <c r="A4508" s="1178" t="s">
        <v>480</v>
      </c>
      <c r="B4508" s="1371" t="str">
        <f>HYPERLINK(IFERROR("#Main_Tariff!A"&amp;MATCH(Raeburn_Main_Tariff[[#This Row],[Product Code]],Main_Tariff!I:I,0),"#Main_Tariff!A"&amp;MATCH("*"&amp;RIGHT(A4508,8)&amp;"*",Main_Tariff!A:A,0)),Raeburn_Main_Tariff[[#This Row],[PRODUCER]])</f>
        <v>Frank Cornelissen</v>
      </c>
      <c r="C4508" s="1178" t="s">
        <v>22253</v>
      </c>
      <c r="D4508" s="1178" t="s">
        <v>897</v>
      </c>
      <c r="E4508" s="1179">
        <v>2019</v>
      </c>
      <c r="F4508" s="1282" t="s">
        <v>20240</v>
      </c>
      <c r="G4508" s="1368">
        <v>90</v>
      </c>
      <c r="H4508" s="1178" t="s">
        <v>20224</v>
      </c>
      <c r="I4508" s="1178" t="s">
        <v>14171</v>
      </c>
      <c r="J4508" s="1178" t="s">
        <v>668</v>
      </c>
      <c r="K4508" s="1178" t="s">
        <v>476</v>
      </c>
      <c r="L4508" s="1178" t="s">
        <v>477</v>
      </c>
      <c r="M4508" s="1369"/>
      <c r="N4508" s="1178"/>
      <c r="O4508" s="1178">
        <v>3</v>
      </c>
      <c r="P4508" s="1178">
        <v>14.5</v>
      </c>
    </row>
    <row r="4509" spans="1:16">
      <c r="A4509" s="1178" t="s">
        <v>480</v>
      </c>
      <c r="B4509" s="1371" t="str">
        <f>HYPERLINK(IFERROR("#Main_Tariff!A"&amp;MATCH(Raeburn_Main_Tariff[[#This Row],[Product Code]],Main_Tariff!I:I,0),"#Main_Tariff!A"&amp;MATCH("*"&amp;RIGHT(A4509,8)&amp;"*",Main_Tariff!A:A,0)),Raeburn_Main_Tariff[[#This Row],[PRODUCER]])</f>
        <v>Frank Cornelissen</v>
      </c>
      <c r="C4509" s="1178" t="s">
        <v>22253</v>
      </c>
      <c r="D4509" s="1178" t="s">
        <v>897</v>
      </c>
      <c r="E4509" s="1179">
        <v>2018</v>
      </c>
      <c r="F4509" s="1282" t="s">
        <v>20240</v>
      </c>
      <c r="G4509" s="1368">
        <v>79</v>
      </c>
      <c r="H4509" s="1178" t="s">
        <v>20224</v>
      </c>
      <c r="I4509" s="1178" t="s">
        <v>14173</v>
      </c>
      <c r="J4509" s="1178" t="s">
        <v>668</v>
      </c>
      <c r="K4509" s="1178" t="s">
        <v>476</v>
      </c>
      <c r="L4509" s="1178" t="s">
        <v>477</v>
      </c>
      <c r="M4509" s="1369"/>
      <c r="N4509" s="1178"/>
      <c r="O4509" s="1178">
        <v>3</v>
      </c>
      <c r="P4509" s="1178">
        <v>13.5</v>
      </c>
    </row>
    <row r="4510" spans="1:16">
      <c r="A4510" s="1178" t="s">
        <v>480</v>
      </c>
      <c r="B4510" s="1371" t="str">
        <f>HYPERLINK(IFERROR("#Main_Tariff!A"&amp;MATCH(Raeburn_Main_Tariff[[#This Row],[Product Code]],Main_Tariff!I:I,0),"#Main_Tariff!A"&amp;MATCH("*"&amp;RIGHT(A4510,8)&amp;"*",Main_Tariff!A:A,0)),Raeburn_Main_Tariff[[#This Row],[PRODUCER]])</f>
        <v>Frank Cornelissen</v>
      </c>
      <c r="C4510" s="1178" t="s">
        <v>22253</v>
      </c>
      <c r="D4510" s="1178" t="s">
        <v>897</v>
      </c>
      <c r="E4510" s="1179">
        <v>2017</v>
      </c>
      <c r="F4510" s="1282" t="s">
        <v>20240</v>
      </c>
      <c r="G4510" s="1368">
        <v>79</v>
      </c>
      <c r="H4510" s="1178" t="s">
        <v>20224</v>
      </c>
      <c r="I4510" s="1178" t="s">
        <v>14175</v>
      </c>
      <c r="J4510" s="1178" t="s">
        <v>668</v>
      </c>
      <c r="K4510" s="1178" t="s">
        <v>476</v>
      </c>
      <c r="L4510" s="1178" t="s">
        <v>477</v>
      </c>
      <c r="M4510" s="1369"/>
      <c r="N4510" s="1178"/>
      <c r="O4510" s="1178">
        <v>3</v>
      </c>
      <c r="P4510" s="1178">
        <v>15</v>
      </c>
    </row>
    <row r="4511" spans="1:16">
      <c r="A4511" s="1178" t="s">
        <v>480</v>
      </c>
      <c r="B4511" s="1371" t="str">
        <f>HYPERLINK(IFERROR("#Main_Tariff!A"&amp;MATCH(Raeburn_Main_Tariff[[#This Row],[Product Code]],Main_Tariff!I:I,0),"#Main_Tariff!A"&amp;MATCH("*"&amp;RIGHT(A4511,8)&amp;"*",Main_Tariff!A:A,0)),Raeburn_Main_Tariff[[#This Row],[PRODUCER]])</f>
        <v>Frank Cornelissen</v>
      </c>
      <c r="C4511" s="1178" t="s">
        <v>22254</v>
      </c>
      <c r="D4511" s="1178" t="s">
        <v>897</v>
      </c>
      <c r="E4511" s="1179">
        <v>2018</v>
      </c>
      <c r="F4511" s="1282" t="s">
        <v>20240</v>
      </c>
      <c r="G4511" s="1368">
        <v>79</v>
      </c>
      <c r="H4511" s="1178" t="s">
        <v>20224</v>
      </c>
      <c r="I4511" s="1178" t="s">
        <v>14177</v>
      </c>
      <c r="J4511" s="1178" t="s">
        <v>668</v>
      </c>
      <c r="K4511" s="1178" t="s">
        <v>476</v>
      </c>
      <c r="L4511" s="1178" t="s">
        <v>477</v>
      </c>
      <c r="M4511" s="1369"/>
      <c r="N4511" s="1178"/>
      <c r="O4511" s="1178">
        <v>3</v>
      </c>
      <c r="P4511" s="1178">
        <v>13.5</v>
      </c>
    </row>
    <row r="4512" spans="1:16">
      <c r="A4512" s="1178" t="s">
        <v>480</v>
      </c>
      <c r="B4512" s="1371" t="str">
        <f>HYPERLINK(IFERROR("#Main_Tariff!A"&amp;MATCH(Raeburn_Main_Tariff[[#This Row],[Product Code]],Main_Tariff!I:I,0),"#Main_Tariff!A"&amp;MATCH("*"&amp;RIGHT(A4512,8)&amp;"*",Main_Tariff!A:A,0)),Raeburn_Main_Tariff[[#This Row],[PRODUCER]])</f>
        <v>Frank Cornelissen</v>
      </c>
      <c r="C4512" s="1178" t="s">
        <v>22255</v>
      </c>
      <c r="D4512" s="1178" t="s">
        <v>897</v>
      </c>
      <c r="E4512" s="1179">
        <v>2018</v>
      </c>
      <c r="F4512" s="1282" t="s">
        <v>20240</v>
      </c>
      <c r="G4512" s="1368">
        <v>79</v>
      </c>
      <c r="H4512" s="1178" t="s">
        <v>20224</v>
      </c>
      <c r="I4512" s="1178" t="s">
        <v>14179</v>
      </c>
      <c r="J4512" s="1178" t="s">
        <v>668</v>
      </c>
      <c r="K4512" s="1178" t="s">
        <v>476</v>
      </c>
      <c r="L4512" s="1178" t="s">
        <v>477</v>
      </c>
      <c r="M4512" s="1369"/>
      <c r="N4512" s="1178"/>
      <c r="O4512" s="1178">
        <v>3</v>
      </c>
      <c r="P4512" s="1178">
        <v>13.5</v>
      </c>
    </row>
    <row r="4513" spans="1:16">
      <c r="A4513" s="1178" t="s">
        <v>480</v>
      </c>
      <c r="B4513" s="1371" t="str">
        <f>HYPERLINK(IFERROR("#Main_Tariff!A"&amp;MATCH(Raeburn_Main_Tariff[[#This Row],[Product Code]],Main_Tariff!I:I,0),"#Main_Tariff!A"&amp;MATCH("*"&amp;RIGHT(A4513,8)&amp;"*",Main_Tariff!A:A,0)),Raeburn_Main_Tariff[[#This Row],[PRODUCER]])</f>
        <v>Frank Cornelissen</v>
      </c>
      <c r="C4513" s="1178" t="s">
        <v>22256</v>
      </c>
      <c r="D4513" s="1178" t="s">
        <v>897</v>
      </c>
      <c r="E4513" s="1179">
        <v>2020</v>
      </c>
      <c r="F4513" s="1282" t="s">
        <v>20220</v>
      </c>
      <c r="G4513" s="1368">
        <v>59</v>
      </c>
      <c r="H4513" s="1178" t="s">
        <v>20221</v>
      </c>
      <c r="I4513" s="1178" t="s">
        <v>14186</v>
      </c>
      <c r="J4513" s="1178" t="s">
        <v>668</v>
      </c>
      <c r="K4513" s="1178" t="s">
        <v>476</v>
      </c>
      <c r="L4513" s="1178" t="s">
        <v>477</v>
      </c>
      <c r="M4513" s="1369"/>
      <c r="N4513" s="1178"/>
      <c r="O4513" s="1178">
        <v>6</v>
      </c>
      <c r="P4513" s="1178">
        <v>15</v>
      </c>
    </row>
    <row r="4514" spans="1:16">
      <c r="A4514" s="1178" t="s">
        <v>480</v>
      </c>
      <c r="B4514" s="1371" t="str">
        <f>HYPERLINK(IFERROR("#Main_Tariff!A"&amp;MATCH(Raeburn_Main_Tariff[[#This Row],[Product Code]],Main_Tariff!I:I,0),"#Main_Tariff!A"&amp;MATCH("*"&amp;RIGHT(A4514,8)&amp;"*",Main_Tariff!A:A,0)),Raeburn_Main_Tariff[[#This Row],[PRODUCER]])</f>
        <v>Frank Cornelissen</v>
      </c>
      <c r="C4514" s="1178" t="s">
        <v>22256</v>
      </c>
      <c r="D4514" s="1178" t="s">
        <v>897</v>
      </c>
      <c r="E4514" s="1179">
        <v>2018</v>
      </c>
      <c r="F4514" s="1282" t="s">
        <v>20220</v>
      </c>
      <c r="G4514" s="1368">
        <v>39</v>
      </c>
      <c r="H4514" s="1178" t="s">
        <v>20224</v>
      </c>
      <c r="I4514" s="1178" t="s">
        <v>14188</v>
      </c>
      <c r="J4514" s="1178" t="s">
        <v>668</v>
      </c>
      <c r="K4514" s="1178" t="s">
        <v>476</v>
      </c>
      <c r="L4514" s="1178" t="s">
        <v>477</v>
      </c>
      <c r="M4514" s="1369"/>
      <c r="N4514" s="1178"/>
      <c r="O4514" s="1178">
        <v>6</v>
      </c>
      <c r="P4514" s="1178">
        <v>13.5</v>
      </c>
    </row>
    <row r="4515" spans="1:16">
      <c r="A4515" s="1178" t="s">
        <v>480</v>
      </c>
      <c r="B4515" s="1371" t="str">
        <f>HYPERLINK(IFERROR("#Main_Tariff!A"&amp;MATCH(Raeburn_Main_Tariff[[#This Row],[Product Code]],Main_Tariff!I:I,0),"#Main_Tariff!A"&amp;MATCH("*"&amp;RIGHT(A4515,8)&amp;"*",Main_Tariff!A:A,0)),Raeburn_Main_Tariff[[#This Row],[PRODUCER]])</f>
        <v>Frank Cornelissen</v>
      </c>
      <c r="C4515" s="1178" t="s">
        <v>22257</v>
      </c>
      <c r="D4515" s="1178" t="s">
        <v>897</v>
      </c>
      <c r="E4515" s="1179">
        <v>2020</v>
      </c>
      <c r="F4515" s="1282" t="s">
        <v>20220</v>
      </c>
      <c r="G4515" s="1368">
        <v>59</v>
      </c>
      <c r="H4515" s="1178" t="s">
        <v>20221</v>
      </c>
      <c r="I4515" s="1178" t="s">
        <v>14190</v>
      </c>
      <c r="J4515" s="1178" t="s">
        <v>668</v>
      </c>
      <c r="K4515" s="1178" t="s">
        <v>476</v>
      </c>
      <c r="L4515" s="1178" t="s">
        <v>477</v>
      </c>
      <c r="M4515" s="1369"/>
      <c r="N4515" s="1178"/>
      <c r="O4515" s="1178">
        <v>6</v>
      </c>
      <c r="P4515" s="1178">
        <v>14.5</v>
      </c>
    </row>
    <row r="4516" spans="1:16">
      <c r="A4516" s="1178" t="s">
        <v>480</v>
      </c>
      <c r="B4516" s="1371" t="str">
        <f>HYPERLINK(IFERROR("#Main_Tariff!A"&amp;MATCH(Raeburn_Main_Tariff[[#This Row],[Product Code]],Main_Tariff!I:I,0),"#Main_Tariff!A"&amp;MATCH("*"&amp;RIGHT(A4516,8)&amp;"*",Main_Tariff!A:A,0)),Raeburn_Main_Tariff[[#This Row],[PRODUCER]])</f>
        <v>Frank Cornelissen</v>
      </c>
      <c r="C4516" s="1178" t="s">
        <v>22257</v>
      </c>
      <c r="D4516" s="1178" t="s">
        <v>897</v>
      </c>
      <c r="E4516" s="1179">
        <v>2019</v>
      </c>
      <c r="F4516" s="1282" t="s">
        <v>20220</v>
      </c>
      <c r="G4516" s="1368">
        <v>59</v>
      </c>
      <c r="H4516" s="1178" t="s">
        <v>20221</v>
      </c>
      <c r="I4516" s="1178" t="s">
        <v>14192</v>
      </c>
      <c r="J4516" s="1178" t="s">
        <v>668</v>
      </c>
      <c r="K4516" s="1178" t="s">
        <v>476</v>
      </c>
      <c r="L4516" s="1178" t="s">
        <v>477</v>
      </c>
      <c r="M4516" s="1369"/>
      <c r="N4516" s="1178"/>
      <c r="O4516" s="1178">
        <v>6</v>
      </c>
      <c r="P4516" s="1178">
        <v>14</v>
      </c>
    </row>
    <row r="4517" spans="1:16">
      <c r="A4517" s="1178" t="s">
        <v>480</v>
      </c>
      <c r="B4517" s="1371" t="str">
        <f>HYPERLINK(IFERROR("#Main_Tariff!A"&amp;MATCH(Raeburn_Main_Tariff[[#This Row],[Product Code]],Main_Tariff!I:I,0),"#Main_Tariff!A"&amp;MATCH("*"&amp;RIGHT(A4517,8)&amp;"*",Main_Tariff!A:A,0)),Raeburn_Main_Tariff[[#This Row],[PRODUCER]])</f>
        <v>Frank Cornelissen</v>
      </c>
      <c r="C4517" s="1178" t="s">
        <v>22258</v>
      </c>
      <c r="D4517" s="1178" t="s">
        <v>897</v>
      </c>
      <c r="E4517" s="1179">
        <v>2020</v>
      </c>
      <c r="F4517" s="1282" t="s">
        <v>20220</v>
      </c>
      <c r="G4517" s="1368">
        <v>183</v>
      </c>
      <c r="H4517" s="1178" t="s">
        <v>20221</v>
      </c>
      <c r="I4517" s="1178" t="s">
        <v>14194</v>
      </c>
      <c r="J4517" s="1178" t="s">
        <v>668</v>
      </c>
      <c r="K4517" s="1178" t="s">
        <v>476</v>
      </c>
      <c r="L4517" s="1178" t="s">
        <v>477</v>
      </c>
      <c r="M4517" s="1369"/>
      <c r="N4517" s="1178"/>
      <c r="O4517" s="1178">
        <v>6</v>
      </c>
      <c r="P4517" s="1178">
        <v>15.5</v>
      </c>
    </row>
    <row r="4518" spans="1:16">
      <c r="A4518" s="1178" t="s">
        <v>480</v>
      </c>
      <c r="B4518" s="1371" t="str">
        <f>HYPERLINK(IFERROR("#Main_Tariff!A"&amp;MATCH(Raeburn_Main_Tariff[[#This Row],[Product Code]],Main_Tariff!I:I,0),"#Main_Tariff!A"&amp;MATCH("*"&amp;RIGHT(A4518,8)&amp;"*",Main_Tariff!A:A,0)),Raeburn_Main_Tariff[[#This Row],[PRODUCER]])</f>
        <v>Frank Cornelissen</v>
      </c>
      <c r="C4518" s="1178" t="s">
        <v>22259</v>
      </c>
      <c r="D4518" s="1178" t="s">
        <v>897</v>
      </c>
      <c r="E4518" s="1179">
        <v>2018</v>
      </c>
      <c r="F4518" s="1282" t="s">
        <v>20240</v>
      </c>
      <c r="G4518" s="1368">
        <v>79</v>
      </c>
      <c r="H4518" s="1178" t="s">
        <v>20277</v>
      </c>
      <c r="I4518" s="1178" t="s">
        <v>14198</v>
      </c>
      <c r="J4518" s="1178" t="s">
        <v>668</v>
      </c>
      <c r="K4518" s="1178" t="s">
        <v>476</v>
      </c>
      <c r="L4518" s="1178" t="s">
        <v>477</v>
      </c>
      <c r="M4518" s="1369"/>
      <c r="N4518" s="1178"/>
      <c r="O4518" s="1178">
        <v>3</v>
      </c>
      <c r="P4518" s="1178">
        <v>13.5</v>
      </c>
    </row>
    <row r="4519" spans="1:16">
      <c r="A4519" s="1178" t="s">
        <v>480</v>
      </c>
      <c r="B4519" s="1371" t="str">
        <f>HYPERLINK(IFERROR("#Main_Tariff!A"&amp;MATCH(Raeburn_Main_Tariff[[#This Row],[Product Code]],Main_Tariff!I:I,0),"#Main_Tariff!A"&amp;MATCH("*"&amp;RIGHT(A4519,8)&amp;"*",Main_Tariff!A:A,0)),Raeburn_Main_Tariff[[#This Row],[PRODUCER]])</f>
        <v>Frank Cornelissen</v>
      </c>
      <c r="C4519" s="1178" t="s">
        <v>22260</v>
      </c>
      <c r="D4519" s="1178" t="s">
        <v>897</v>
      </c>
      <c r="E4519" s="1179">
        <v>2019</v>
      </c>
      <c r="F4519" s="1282" t="s">
        <v>20240</v>
      </c>
      <c r="G4519" s="1368">
        <v>125</v>
      </c>
      <c r="H4519" s="1178" t="s">
        <v>20224</v>
      </c>
      <c r="I4519" s="1178" t="s">
        <v>14200</v>
      </c>
      <c r="J4519" s="1178" t="s">
        <v>668</v>
      </c>
      <c r="K4519" s="1178" t="s">
        <v>476</v>
      </c>
      <c r="L4519" s="1178" t="s">
        <v>477</v>
      </c>
      <c r="M4519" s="1369"/>
      <c r="N4519" s="1178"/>
      <c r="O4519" s="1178">
        <v>3</v>
      </c>
      <c r="P4519" s="1178">
        <v>14</v>
      </c>
    </row>
    <row r="4520" spans="1:16">
      <c r="A4520" s="1178" t="s">
        <v>480</v>
      </c>
      <c r="B4520" s="1371" t="str">
        <f>HYPERLINK(IFERROR("#Main_Tariff!A"&amp;MATCH(Raeburn_Main_Tariff[[#This Row],[Product Code]],Main_Tariff!I:I,0),"#Main_Tariff!A"&amp;MATCH("*"&amp;RIGHT(A4520,8)&amp;"*",Main_Tariff!A:A,0)),Raeburn_Main_Tariff[[#This Row],[PRODUCER]])</f>
        <v>Frank Cornelissen</v>
      </c>
      <c r="C4520" s="1178" t="s">
        <v>22261</v>
      </c>
      <c r="D4520" s="1178" t="s">
        <v>897</v>
      </c>
      <c r="E4520" s="1179">
        <v>2020</v>
      </c>
      <c r="F4520" s="1282" t="s">
        <v>20240</v>
      </c>
      <c r="G4520" s="1368">
        <v>383</v>
      </c>
      <c r="H4520" s="1178" t="s">
        <v>20224</v>
      </c>
      <c r="I4520" s="1178" t="s">
        <v>14202</v>
      </c>
      <c r="J4520" s="1178" t="s">
        <v>668</v>
      </c>
      <c r="K4520" s="1178" t="s">
        <v>476</v>
      </c>
      <c r="L4520" s="1178" t="s">
        <v>477</v>
      </c>
      <c r="M4520" s="1369"/>
      <c r="N4520" s="1178"/>
      <c r="O4520" s="1178">
        <v>3</v>
      </c>
      <c r="P4520" s="1178">
        <v>15.5</v>
      </c>
    </row>
    <row r="4521" spans="1:16">
      <c r="A4521" s="1178" t="s">
        <v>480</v>
      </c>
      <c r="B4521" s="1371" t="str">
        <f>HYPERLINK(IFERROR("#Main_Tariff!A"&amp;MATCH(Raeburn_Main_Tariff[[#This Row],[Product Code]],Main_Tariff!I:I,0),"#Main_Tariff!A"&amp;MATCH("*"&amp;RIGHT(A4521,8)&amp;"*",Main_Tariff!A:A,0)),Raeburn_Main_Tariff[[#This Row],[PRODUCER]])</f>
        <v>Frank Cornelissen</v>
      </c>
      <c r="C4521" s="1178" t="s">
        <v>22261</v>
      </c>
      <c r="D4521" s="1178" t="s">
        <v>897</v>
      </c>
      <c r="E4521" s="1179">
        <v>2019</v>
      </c>
      <c r="F4521" s="1282" t="s">
        <v>20240</v>
      </c>
      <c r="G4521" s="1368">
        <v>383</v>
      </c>
      <c r="H4521" s="1178" t="s">
        <v>20224</v>
      </c>
      <c r="I4521" s="1178" t="s">
        <v>14204</v>
      </c>
      <c r="J4521" s="1178" t="s">
        <v>668</v>
      </c>
      <c r="K4521" s="1178" t="s">
        <v>476</v>
      </c>
      <c r="L4521" s="1178" t="s">
        <v>477</v>
      </c>
      <c r="M4521" s="1369"/>
      <c r="N4521" s="1178"/>
      <c r="O4521" s="1178">
        <v>3</v>
      </c>
      <c r="P4521" s="1178">
        <v>14</v>
      </c>
    </row>
    <row r="4522" spans="1:16">
      <c r="A4522" s="1178" t="s">
        <v>22009</v>
      </c>
      <c r="B4522" s="1371" t="str">
        <f>HYPERLINK(IFERROR("#Main_Tariff!A"&amp;MATCH(Raeburn_Main_Tariff[[#This Row],[Product Code]],Main_Tariff!I:I,0),"#Main_Tariff!A"&amp;MATCH("*"&amp;RIGHT(A4522,8)&amp;"*",Main_Tariff!A:A,0)),Raeburn_Main_Tariff[[#This Row],[PRODUCER]])</f>
        <v>Alessandro Filippi</v>
      </c>
      <c r="C4522" s="1178" t="s">
        <v>22262</v>
      </c>
      <c r="D4522" s="1178" t="s">
        <v>21143</v>
      </c>
      <c r="E4522" s="1179">
        <v>2020</v>
      </c>
      <c r="F4522" s="1282" t="s">
        <v>20288</v>
      </c>
      <c r="G4522" s="1368">
        <v>51</v>
      </c>
      <c r="H4522" s="1178" t="s">
        <v>20221</v>
      </c>
      <c r="I4522" s="1178" t="s">
        <v>14247</v>
      </c>
      <c r="J4522" s="1178" t="s">
        <v>668</v>
      </c>
      <c r="K4522" s="1178" t="s">
        <v>476</v>
      </c>
      <c r="L4522" s="1178"/>
      <c r="M4522" s="1369"/>
      <c r="N4522" s="1178"/>
      <c r="O4522" s="1178">
        <v>6</v>
      </c>
      <c r="P4522" s="1178">
        <v>13</v>
      </c>
    </row>
    <row r="4523" spans="1:16">
      <c r="A4523" s="1178" t="s">
        <v>22263</v>
      </c>
      <c r="B4523" s="1371" t="str">
        <f>HYPERLINK(IFERROR("#Main_Tariff!A"&amp;MATCH(Raeburn_Main_Tariff[[#This Row],[Product Code]],Main_Tariff!I:I,0),"#Main_Tariff!A"&amp;MATCH("*"&amp;RIGHT(A4523,8)&amp;"*",Main_Tariff!A:A,0)),Raeburn_Main_Tariff[[#This Row],[PRODUCER]])</f>
        <v>Nero Sichilli by Savino</v>
      </c>
      <c r="C4523" s="1178" t="s">
        <v>22264</v>
      </c>
      <c r="D4523" s="1178" t="s">
        <v>897</v>
      </c>
      <c r="E4523" s="1179">
        <v>2020</v>
      </c>
      <c r="F4523" s="1282" t="s">
        <v>20220</v>
      </c>
      <c r="G4523" s="1368">
        <v>22.5</v>
      </c>
      <c r="H4523" s="1178" t="s">
        <v>20221</v>
      </c>
      <c r="I4523" s="1178" t="s">
        <v>14253</v>
      </c>
      <c r="J4523" s="1178" t="s">
        <v>668</v>
      </c>
      <c r="K4523" s="1178" t="s">
        <v>476</v>
      </c>
      <c r="L4523" s="1178"/>
      <c r="M4523" s="1369"/>
      <c r="N4523" s="1178"/>
      <c r="O4523" s="1178">
        <v>6</v>
      </c>
      <c r="P4523" s="1178">
        <v>13</v>
      </c>
    </row>
    <row r="4524" spans="1:16">
      <c r="A4524" s="1178" t="s">
        <v>22263</v>
      </c>
      <c r="B4524" s="1371" t="str">
        <f>HYPERLINK(IFERROR("#Main_Tariff!A"&amp;MATCH(Raeburn_Main_Tariff[[#This Row],[Product Code]],Main_Tariff!I:I,0),"#Main_Tariff!A"&amp;MATCH("*"&amp;RIGHT(A4524,8)&amp;"*",Main_Tariff!A:A,0)),Raeburn_Main_Tariff[[#This Row],[PRODUCER]])</f>
        <v>Nero Sichilli by Savino</v>
      </c>
      <c r="C4524" s="1178" t="s">
        <v>22264</v>
      </c>
      <c r="D4524" s="1178" t="s">
        <v>897</v>
      </c>
      <c r="E4524" s="1179">
        <v>2018</v>
      </c>
      <c r="F4524" s="1282" t="s">
        <v>20220</v>
      </c>
      <c r="G4524" s="1368">
        <v>22.5</v>
      </c>
      <c r="H4524" s="1178" t="s">
        <v>20221</v>
      </c>
      <c r="I4524" s="1178" t="s">
        <v>14255</v>
      </c>
      <c r="J4524" s="1178" t="s">
        <v>668</v>
      </c>
      <c r="K4524" s="1178" t="s">
        <v>476</v>
      </c>
      <c r="L4524" s="1178"/>
      <c r="M4524" s="1369"/>
      <c r="N4524" s="1178"/>
      <c r="O4524" s="1178">
        <v>6</v>
      </c>
      <c r="P4524" s="1178">
        <v>14</v>
      </c>
    </row>
    <row r="4525" spans="1:16">
      <c r="A4525" s="1178" t="s">
        <v>22263</v>
      </c>
      <c r="B4525" s="1371" t="str">
        <f>HYPERLINK(IFERROR("#Main_Tariff!A"&amp;MATCH(Raeburn_Main_Tariff[[#This Row],[Product Code]],Main_Tariff!I:I,0),"#Main_Tariff!A"&amp;MATCH("*"&amp;RIGHT(A4525,8)&amp;"*",Main_Tariff!A:A,0)),Raeburn_Main_Tariff[[#This Row],[PRODUCER]])</f>
        <v>Nero Sichilli by Savino</v>
      </c>
      <c r="C4525" s="1178" t="s">
        <v>22264</v>
      </c>
      <c r="D4525" s="1178" t="s">
        <v>897</v>
      </c>
      <c r="E4525" s="1179">
        <v>2017</v>
      </c>
      <c r="F4525" s="1282" t="s">
        <v>20220</v>
      </c>
      <c r="G4525" s="1368">
        <v>22.5</v>
      </c>
      <c r="H4525" s="1178" t="s">
        <v>20221</v>
      </c>
      <c r="I4525" s="1178" t="s">
        <v>14257</v>
      </c>
      <c r="J4525" s="1178" t="s">
        <v>668</v>
      </c>
      <c r="K4525" s="1178" t="s">
        <v>476</v>
      </c>
      <c r="L4525" s="1178"/>
      <c r="M4525" s="1369"/>
      <c r="N4525" s="1178"/>
      <c r="O4525" s="1178">
        <v>6</v>
      </c>
      <c r="P4525" s="1178">
        <v>13.5</v>
      </c>
    </row>
    <row r="4526" spans="1:16">
      <c r="A4526" s="1178" t="s">
        <v>22263</v>
      </c>
      <c r="B4526" s="1371" t="str">
        <f>HYPERLINK(IFERROR("#Main_Tariff!A"&amp;MATCH(Raeburn_Main_Tariff[[#This Row],[Product Code]],Main_Tariff!I:I,0),"#Main_Tariff!A"&amp;MATCH("*"&amp;RIGHT(A4526,8)&amp;"*",Main_Tariff!A:A,0)),Raeburn_Main_Tariff[[#This Row],[PRODUCER]])</f>
        <v>Nero Sichilli by Savino</v>
      </c>
      <c r="C4526" s="1178" t="s">
        <v>22264</v>
      </c>
      <c r="D4526" s="1178" t="s">
        <v>897</v>
      </c>
      <c r="E4526" s="1179">
        <v>2016</v>
      </c>
      <c r="F4526" s="1282" t="s">
        <v>20220</v>
      </c>
      <c r="G4526" s="1368">
        <v>24</v>
      </c>
      <c r="H4526" s="1178" t="s">
        <v>20221</v>
      </c>
      <c r="I4526" s="1178" t="s">
        <v>14259</v>
      </c>
      <c r="J4526" s="1178" t="s">
        <v>668</v>
      </c>
      <c r="K4526" s="1178" t="s">
        <v>476</v>
      </c>
      <c r="L4526" s="1178"/>
      <c r="M4526" s="1369"/>
      <c r="N4526" s="1178"/>
      <c r="O4526" s="1178">
        <v>6</v>
      </c>
      <c r="P4526" s="1178">
        <v>13.5</v>
      </c>
    </row>
    <row r="4527" spans="1:16">
      <c r="A4527" s="1178" t="s">
        <v>22263</v>
      </c>
      <c r="B4527" s="1371" t="str">
        <f>HYPERLINK(IFERROR("#Main_Tariff!A"&amp;MATCH(Raeburn_Main_Tariff[[#This Row],[Product Code]],Main_Tariff!I:I,0),"#Main_Tariff!A"&amp;MATCH("*"&amp;RIGHT(A4527,8)&amp;"*",Main_Tariff!A:A,0)),Raeburn_Main_Tariff[[#This Row],[PRODUCER]])</f>
        <v>Nero Sichilli by Savino</v>
      </c>
      <c r="C4527" s="1178" t="s">
        <v>22264</v>
      </c>
      <c r="D4527" s="1178" t="s">
        <v>897</v>
      </c>
      <c r="E4527" s="1179">
        <v>2015</v>
      </c>
      <c r="F4527" s="1282" t="s">
        <v>20220</v>
      </c>
      <c r="G4527" s="1368">
        <v>24</v>
      </c>
      <c r="H4527" s="1178" t="s">
        <v>20221</v>
      </c>
      <c r="I4527" s="1178" t="s">
        <v>14261</v>
      </c>
      <c r="J4527" s="1178" t="s">
        <v>668</v>
      </c>
      <c r="K4527" s="1178" t="s">
        <v>476</v>
      </c>
      <c r="L4527" s="1178"/>
      <c r="M4527" s="1369"/>
      <c r="N4527" s="1178"/>
      <c r="O4527" s="1178">
        <v>6</v>
      </c>
      <c r="P4527" s="1178">
        <v>13.5</v>
      </c>
    </row>
    <row r="4528" spans="1:16">
      <c r="A4528" s="1178" t="s">
        <v>22263</v>
      </c>
      <c r="B4528" s="1371" t="str">
        <f>HYPERLINK(IFERROR("#Main_Tariff!A"&amp;MATCH(Raeburn_Main_Tariff[[#This Row],[Product Code]],Main_Tariff!I:I,0),"#Main_Tariff!A"&amp;MATCH("*"&amp;RIGHT(A4528,8)&amp;"*",Main_Tariff!A:A,0)),Raeburn_Main_Tariff[[#This Row],[PRODUCER]])</f>
        <v>Nero Sichilli by Savino</v>
      </c>
      <c r="C4528" s="1178" t="s">
        <v>22264</v>
      </c>
      <c r="D4528" s="1178" t="s">
        <v>897</v>
      </c>
      <c r="E4528" s="1179">
        <v>2013</v>
      </c>
      <c r="F4528" s="1282" t="s">
        <v>20220</v>
      </c>
      <c r="G4528" s="1368">
        <v>24</v>
      </c>
      <c r="H4528" s="1178" t="s">
        <v>20221</v>
      </c>
      <c r="I4528" s="1178" t="s">
        <v>14263</v>
      </c>
      <c r="J4528" s="1178" t="s">
        <v>668</v>
      </c>
      <c r="K4528" s="1178" t="s">
        <v>476</v>
      </c>
      <c r="L4528" s="1178"/>
      <c r="M4528" s="1369"/>
      <c r="N4528" s="1178"/>
      <c r="O4528" s="1178">
        <v>6</v>
      </c>
      <c r="P4528" s="1178">
        <v>14</v>
      </c>
    </row>
    <row r="4529" spans="1:16">
      <c r="A4529" s="1178" t="s">
        <v>485</v>
      </c>
      <c r="B4529" s="1371" t="str">
        <f>HYPERLINK(IFERROR("#Main_Tariff!A"&amp;MATCH(Raeburn_Main_Tariff[[#This Row],[Product Code]],Main_Tariff!I:I,0),"#Main_Tariff!A"&amp;MATCH("*"&amp;RIGHT(A4529,8)&amp;"*",Main_Tariff!A:A,0)),Raeburn_Main_Tariff[[#This Row],[PRODUCER]])</f>
        <v>Do Zenner &amp; Friends</v>
      </c>
      <c r="C4529" s="1178" t="s">
        <v>22265</v>
      </c>
      <c r="D4529" s="1178" t="s">
        <v>897</v>
      </c>
      <c r="E4529" s="1179">
        <v>2015</v>
      </c>
      <c r="F4529" s="1282" t="s">
        <v>20220</v>
      </c>
      <c r="G4529" s="1368">
        <v>13.5</v>
      </c>
      <c r="H4529" s="1178" t="s">
        <v>20221</v>
      </c>
      <c r="I4529" s="1178" t="s">
        <v>14269</v>
      </c>
      <c r="J4529" s="1178" t="s">
        <v>668</v>
      </c>
      <c r="K4529" s="1178" t="s">
        <v>476</v>
      </c>
      <c r="L4529" s="1178"/>
      <c r="M4529" s="1369"/>
      <c r="N4529" s="1178"/>
      <c r="O4529" s="1178">
        <v>6</v>
      </c>
      <c r="P4529" s="1178">
        <v>15</v>
      </c>
    </row>
    <row r="4530" spans="1:16">
      <c r="A4530" s="1178" t="s">
        <v>485</v>
      </c>
      <c r="B4530" s="1371" t="str">
        <f>HYPERLINK(IFERROR("#Main_Tariff!A"&amp;MATCH(Raeburn_Main_Tariff[[#This Row],[Product Code]],Main_Tariff!I:I,0),"#Main_Tariff!A"&amp;MATCH("*"&amp;RIGHT(A4530,8)&amp;"*",Main_Tariff!A:A,0)),Raeburn_Main_Tariff[[#This Row],[PRODUCER]])</f>
        <v>Do Zenner &amp; Friends</v>
      </c>
      <c r="C4530" s="1178" t="s">
        <v>22266</v>
      </c>
      <c r="D4530" s="1178" t="s">
        <v>897</v>
      </c>
      <c r="E4530" s="1179">
        <v>2015</v>
      </c>
      <c r="F4530" s="1282" t="s">
        <v>20220</v>
      </c>
      <c r="G4530" s="1368">
        <v>16.5</v>
      </c>
      <c r="H4530" s="1178" t="s">
        <v>20221</v>
      </c>
      <c r="I4530" s="1178" t="s">
        <v>14271</v>
      </c>
      <c r="J4530" s="1178" t="s">
        <v>668</v>
      </c>
      <c r="K4530" s="1178" t="s">
        <v>476</v>
      </c>
      <c r="L4530" s="1178"/>
      <c r="M4530" s="1369"/>
      <c r="N4530" s="1178"/>
      <c r="O4530" s="1178">
        <v>6</v>
      </c>
      <c r="P4530" s="1178">
        <v>14</v>
      </c>
    </row>
    <row r="4531" spans="1:16">
      <c r="A4531" s="1178" t="s">
        <v>22267</v>
      </c>
      <c r="B4531" s="1371" t="str">
        <f>HYPERLINK(IFERROR("#Main_Tariff!A"&amp;MATCH(Raeburn_Main_Tariff[[#This Row],[Product Code]],Main_Tariff!I:I,0),"#Main_Tariff!A"&amp;MATCH("*"&amp;RIGHT(A4531,8)&amp;"*",Main_Tariff!A:A,0)),Raeburn_Main_Tariff[[#This Row],[PRODUCER]])</f>
        <v>Bodegas Pascual</v>
      </c>
      <c r="C4531" s="1178" t="s">
        <v>22268</v>
      </c>
      <c r="D4531" s="1178" t="s">
        <v>1129</v>
      </c>
      <c r="E4531" s="1179">
        <v>2024</v>
      </c>
      <c r="F4531" s="1282" t="s">
        <v>20220</v>
      </c>
      <c r="G4531" s="1368">
        <v>15.5</v>
      </c>
      <c r="H4531" s="1178" t="s">
        <v>20221</v>
      </c>
      <c r="I4531" s="1178" t="s">
        <v>14284</v>
      </c>
      <c r="J4531" s="1178" t="s">
        <v>22269</v>
      </c>
      <c r="K4531" s="1178" t="s">
        <v>488</v>
      </c>
      <c r="L4531" s="1178"/>
      <c r="M4531" s="1369"/>
      <c r="N4531" s="1178"/>
      <c r="O4531" s="1178">
        <v>12</v>
      </c>
      <c r="P4531" s="1178">
        <v>13</v>
      </c>
    </row>
    <row r="4532" spans="1:16">
      <c r="A4532" s="1178" t="s">
        <v>491</v>
      </c>
      <c r="B4532" s="1371" t="str">
        <f>HYPERLINK(IFERROR("#Main_Tariff!A"&amp;MATCH(Raeburn_Main_Tariff[[#This Row],[Product Code]],Main_Tariff!I:I,0),"#Main_Tariff!A"&amp;MATCH("*"&amp;RIGHT(A4532,8)&amp;"*",Main_Tariff!A:A,0)),Raeburn_Main_Tariff[[#This Row],[PRODUCER]])</f>
        <v>Niepoort Projectos</v>
      </c>
      <c r="C4532" s="1178" t="s">
        <v>22270</v>
      </c>
      <c r="D4532" s="1178" t="s">
        <v>897</v>
      </c>
      <c r="E4532" s="1179"/>
      <c r="F4532" s="1282" t="s">
        <v>20220</v>
      </c>
      <c r="G4532" s="1368"/>
      <c r="H4532" s="1178" t="s">
        <v>3907</v>
      </c>
      <c r="I4532" s="1178" t="s">
        <v>14292</v>
      </c>
      <c r="J4532" s="1178" t="s">
        <v>22269</v>
      </c>
      <c r="K4532" s="1178" t="s">
        <v>490</v>
      </c>
      <c r="L4532" s="1178"/>
      <c r="M4532" s="1369"/>
      <c r="N4532" s="1178"/>
      <c r="O4532" s="1178">
        <v>6</v>
      </c>
      <c r="P4532" s="1178">
        <v>13</v>
      </c>
    </row>
    <row r="4533" spans="1:16">
      <c r="A4533" s="1178" t="s">
        <v>493</v>
      </c>
      <c r="B4533" s="1371" t="str">
        <f>HYPERLINK(IFERROR("#Main_Tariff!A"&amp;MATCH(Raeburn_Main_Tariff[[#This Row],[Product Code]],Main_Tariff!I:I,0),"#Main_Tariff!A"&amp;MATCH("*"&amp;RIGHT(A4533,8)&amp;"*",Main_Tariff!A:A,0)),Raeburn_Main_Tariff[[#This Row],[PRODUCER]])</f>
        <v>Legado de Farro</v>
      </c>
      <c r="C4533" s="1178" t="s">
        <v>22271</v>
      </c>
      <c r="D4533" s="1178" t="s">
        <v>1129</v>
      </c>
      <c r="E4533" s="1179">
        <v>2016</v>
      </c>
      <c r="F4533" s="1282" t="s">
        <v>20220</v>
      </c>
      <c r="G4533" s="1368">
        <v>11.5</v>
      </c>
      <c r="H4533" s="1178" t="s">
        <v>20221</v>
      </c>
      <c r="I4533" s="1178" t="s">
        <v>14304</v>
      </c>
      <c r="J4533" s="1178" t="s">
        <v>22269</v>
      </c>
      <c r="K4533" s="1178" t="s">
        <v>492</v>
      </c>
      <c r="L4533" s="1178"/>
      <c r="M4533" s="1369"/>
      <c r="N4533" s="1178"/>
      <c r="O4533" s="1178">
        <v>12</v>
      </c>
      <c r="P4533" s="1178">
        <v>12.5</v>
      </c>
    </row>
    <row r="4534" spans="1:16">
      <c r="A4534" s="1178" t="s">
        <v>493</v>
      </c>
      <c r="B4534" s="1371" t="str">
        <f>HYPERLINK(IFERROR("#Main_Tariff!A"&amp;MATCH(Raeburn_Main_Tariff[[#This Row],[Product Code]],Main_Tariff!I:I,0),"#Main_Tariff!A"&amp;MATCH("*"&amp;RIGHT(A4534,8)&amp;"*",Main_Tariff!A:A,0)),Raeburn_Main_Tariff[[#This Row],[PRODUCER]])</f>
        <v>Legado de Farro</v>
      </c>
      <c r="C4534" s="1178" t="s">
        <v>22272</v>
      </c>
      <c r="D4534" s="1178" t="s">
        <v>897</v>
      </c>
      <c r="E4534" s="1179">
        <v>2013</v>
      </c>
      <c r="F4534" s="1282" t="s">
        <v>20220</v>
      </c>
      <c r="G4534" s="1368">
        <v>13.5</v>
      </c>
      <c r="H4534" s="1178" t="s">
        <v>20221</v>
      </c>
      <c r="I4534" s="1178" t="s">
        <v>14306</v>
      </c>
      <c r="J4534" s="1178" t="s">
        <v>22269</v>
      </c>
      <c r="K4534" s="1178" t="s">
        <v>492</v>
      </c>
      <c r="L4534" s="1178"/>
      <c r="M4534" s="1369"/>
      <c r="N4534" s="1178"/>
      <c r="O4534" s="1178">
        <v>12</v>
      </c>
      <c r="P4534" s="1178">
        <v>13</v>
      </c>
    </row>
    <row r="4535" spans="1:16">
      <c r="A4535" s="1178" t="s">
        <v>22267</v>
      </c>
      <c r="B4535" s="1371" t="str">
        <f>HYPERLINK(IFERROR("#Main_Tariff!A"&amp;MATCH(Raeburn_Main_Tariff[[#This Row],[Product Code]],Main_Tariff!I:I,0),"#Main_Tariff!A"&amp;MATCH("*"&amp;RIGHT(A4535,8)&amp;"*",Main_Tariff!A:A,0)),Raeburn_Main_Tariff[[#This Row],[PRODUCER]])</f>
        <v>Bodegas Pascual</v>
      </c>
      <c r="C4535" s="1178" t="s">
        <v>22273</v>
      </c>
      <c r="D4535" s="1178" t="s">
        <v>1129</v>
      </c>
      <c r="E4535" s="1179">
        <v>2021</v>
      </c>
      <c r="F4535" s="1282" t="s">
        <v>20220</v>
      </c>
      <c r="G4535" s="1368">
        <v>11.75</v>
      </c>
      <c r="H4535" s="1178" t="s">
        <v>20465</v>
      </c>
      <c r="I4535" s="1178" t="s">
        <v>14313</v>
      </c>
      <c r="J4535" s="1178" t="s">
        <v>22269</v>
      </c>
      <c r="K4535" s="1178" t="s">
        <v>494</v>
      </c>
      <c r="L4535" s="1178"/>
      <c r="M4535" s="1369"/>
      <c r="N4535" s="1178"/>
      <c r="O4535" s="1178">
        <v>12</v>
      </c>
      <c r="P4535" s="1178">
        <v>12.5</v>
      </c>
    </row>
    <row r="4536" spans="1:16">
      <c r="A4536" s="1178" t="s">
        <v>498</v>
      </c>
      <c r="B4536" s="1371" t="str">
        <f>HYPERLINK(IFERROR("#Main_Tariff!A"&amp;MATCH(Raeburn_Main_Tariff[[#This Row],[Product Code]],Main_Tariff!I:I,0),"#Main_Tariff!A"&amp;MATCH("*"&amp;RIGHT(A4536,8)&amp;"*",Main_Tariff!A:A,0)),Raeburn_Main_Tariff[[#This Row],[PRODUCER]])</f>
        <v>Lopez Cristobal</v>
      </c>
      <c r="C4536" s="1178" t="s">
        <v>22274</v>
      </c>
      <c r="D4536" s="1178" t="s">
        <v>897</v>
      </c>
      <c r="E4536" s="1179">
        <v>2021</v>
      </c>
      <c r="F4536" s="1282" t="s">
        <v>20280</v>
      </c>
      <c r="G4536" s="1368">
        <v>10</v>
      </c>
      <c r="H4536" s="1178" t="s">
        <v>20221</v>
      </c>
      <c r="I4536" s="1178" t="s">
        <v>14324</v>
      </c>
      <c r="J4536" s="1178" t="s">
        <v>22269</v>
      </c>
      <c r="K4536" s="1178" t="s">
        <v>22275</v>
      </c>
      <c r="L4536" s="1178"/>
      <c r="M4536" s="1369"/>
      <c r="N4536" s="1178"/>
      <c r="O4536" s="1178">
        <v>24</v>
      </c>
      <c r="P4536" s="1178">
        <v>14.5</v>
      </c>
    </row>
    <row r="4537" spans="1:16">
      <c r="A4537" s="1178" t="s">
        <v>498</v>
      </c>
      <c r="B4537" s="1371" t="str">
        <f>HYPERLINK(IFERROR("#Main_Tariff!A"&amp;MATCH(Raeburn_Main_Tariff[[#This Row],[Product Code]],Main_Tariff!I:I,0),"#Main_Tariff!A"&amp;MATCH("*"&amp;RIGHT(A4537,8)&amp;"*",Main_Tariff!A:A,0)),Raeburn_Main_Tariff[[#This Row],[PRODUCER]])</f>
        <v>Lopez Cristobal</v>
      </c>
      <c r="C4537" s="1178" t="s">
        <v>22276</v>
      </c>
      <c r="D4537" s="1178" t="s">
        <v>897</v>
      </c>
      <c r="E4537" s="1179">
        <v>2022</v>
      </c>
      <c r="F4537" s="1282" t="s">
        <v>20220</v>
      </c>
      <c r="G4537" s="1368">
        <v>13.5</v>
      </c>
      <c r="H4537" s="1178" t="s">
        <v>20221</v>
      </c>
      <c r="I4537" s="1178" t="s">
        <v>14328</v>
      </c>
      <c r="J4537" s="1178" t="s">
        <v>22269</v>
      </c>
      <c r="K4537" s="1178" t="s">
        <v>22275</v>
      </c>
      <c r="L4537" s="1178"/>
      <c r="M4537" s="1369"/>
      <c r="N4537" s="1178"/>
      <c r="O4537" s="1178">
        <v>12</v>
      </c>
      <c r="P4537" s="1178">
        <v>14.5</v>
      </c>
    </row>
    <row r="4538" spans="1:16">
      <c r="A4538" s="1178" t="s">
        <v>498</v>
      </c>
      <c r="B4538" s="1371" t="str">
        <f>HYPERLINK(IFERROR("#Main_Tariff!A"&amp;MATCH(Raeburn_Main_Tariff[[#This Row],[Product Code]],Main_Tariff!I:I,0),"#Main_Tariff!A"&amp;MATCH("*"&amp;RIGHT(A4538,8)&amp;"*",Main_Tariff!A:A,0)),Raeburn_Main_Tariff[[#This Row],[PRODUCER]])</f>
        <v>Lopez Cristobal</v>
      </c>
      <c r="C4538" s="1178" t="s">
        <v>22276</v>
      </c>
      <c r="D4538" s="1178" t="s">
        <v>897</v>
      </c>
      <c r="E4538" s="1179">
        <v>2021</v>
      </c>
      <c r="F4538" s="1282" t="s">
        <v>20220</v>
      </c>
      <c r="G4538" s="1368">
        <v>13.5</v>
      </c>
      <c r="H4538" s="1178" t="s">
        <v>20221</v>
      </c>
      <c r="I4538" s="1178" t="s">
        <v>14330</v>
      </c>
      <c r="J4538" s="1178" t="s">
        <v>22269</v>
      </c>
      <c r="K4538" s="1178" t="s">
        <v>22275</v>
      </c>
      <c r="L4538" s="1178"/>
      <c r="M4538" s="1369"/>
      <c r="N4538" s="1178"/>
      <c r="O4538" s="1178">
        <v>12</v>
      </c>
      <c r="P4538" s="1178">
        <v>14.5</v>
      </c>
    </row>
    <row r="4539" spans="1:16">
      <c r="A4539" s="1178" t="s">
        <v>498</v>
      </c>
      <c r="B4539" s="1371" t="str">
        <f>HYPERLINK(IFERROR("#Main_Tariff!A"&amp;MATCH(Raeburn_Main_Tariff[[#This Row],[Product Code]],Main_Tariff!I:I,0),"#Main_Tariff!A"&amp;MATCH("*"&amp;RIGHT(A4539,8)&amp;"*",Main_Tariff!A:A,0)),Raeburn_Main_Tariff[[#This Row],[PRODUCER]])</f>
        <v>Lopez Cristobal</v>
      </c>
      <c r="C4539" s="1178" t="s">
        <v>22276</v>
      </c>
      <c r="D4539" s="1178" t="s">
        <v>897</v>
      </c>
      <c r="E4539" s="1179">
        <v>2018</v>
      </c>
      <c r="F4539" s="1282" t="s">
        <v>20220</v>
      </c>
      <c r="G4539" s="1368">
        <v>13</v>
      </c>
      <c r="H4539" s="1178" t="s">
        <v>20277</v>
      </c>
      <c r="I4539" s="1178" t="s">
        <v>14332</v>
      </c>
      <c r="J4539" s="1178" t="s">
        <v>22269</v>
      </c>
      <c r="K4539" s="1178" t="s">
        <v>22275</v>
      </c>
      <c r="L4539" s="1178"/>
      <c r="M4539" s="1369"/>
      <c r="N4539" s="1178"/>
      <c r="O4539" s="1178">
        <v>6</v>
      </c>
      <c r="P4539" s="1178">
        <v>14.5</v>
      </c>
    </row>
    <row r="4540" spans="1:16">
      <c r="A4540" s="1178" t="s">
        <v>498</v>
      </c>
      <c r="B4540" s="1371" t="str">
        <f>HYPERLINK(IFERROR("#Main_Tariff!A"&amp;MATCH(Raeburn_Main_Tariff[[#This Row],[Product Code]],Main_Tariff!I:I,0),"#Main_Tariff!A"&amp;MATCH("*"&amp;RIGHT(A4540,8)&amp;"*",Main_Tariff!A:A,0)),Raeburn_Main_Tariff[[#This Row],[PRODUCER]])</f>
        <v>Lopez Cristobal</v>
      </c>
      <c r="C4540" s="1178" t="s">
        <v>22277</v>
      </c>
      <c r="D4540" s="1178" t="s">
        <v>897</v>
      </c>
      <c r="E4540" s="1179">
        <v>2021</v>
      </c>
      <c r="F4540" s="1282" t="s">
        <v>20220</v>
      </c>
      <c r="G4540" s="1368">
        <v>18.75</v>
      </c>
      <c r="H4540" s="1178" t="s">
        <v>20221</v>
      </c>
      <c r="I4540" s="1178" t="s">
        <v>14334</v>
      </c>
      <c r="J4540" s="1178" t="s">
        <v>22269</v>
      </c>
      <c r="K4540" s="1178" t="s">
        <v>22275</v>
      </c>
      <c r="L4540" s="1178"/>
      <c r="M4540" s="1369"/>
      <c r="N4540" s="1178"/>
      <c r="O4540" s="1178">
        <v>6</v>
      </c>
      <c r="P4540" s="1178">
        <v>14.5</v>
      </c>
    </row>
    <row r="4541" spans="1:16">
      <c r="A4541" s="1178" t="s">
        <v>498</v>
      </c>
      <c r="B4541" s="1371" t="str">
        <f>HYPERLINK(IFERROR("#Main_Tariff!A"&amp;MATCH(Raeburn_Main_Tariff[[#This Row],[Product Code]],Main_Tariff!I:I,0),"#Main_Tariff!A"&amp;MATCH("*"&amp;RIGHT(A4541,8)&amp;"*",Main_Tariff!A:A,0)),Raeburn_Main_Tariff[[#This Row],[PRODUCER]])</f>
        <v>Lopez Cristobal</v>
      </c>
      <c r="C4541" s="1178" t="s">
        <v>22278</v>
      </c>
      <c r="D4541" s="1178" t="s">
        <v>897</v>
      </c>
      <c r="E4541" s="1179">
        <v>2020</v>
      </c>
      <c r="F4541" s="1282" t="s">
        <v>20220</v>
      </c>
      <c r="G4541" s="1368">
        <v>25.75</v>
      </c>
      <c r="H4541" s="1178" t="s">
        <v>20221</v>
      </c>
      <c r="I4541" s="1178" t="s">
        <v>14336</v>
      </c>
      <c r="J4541" s="1178" t="s">
        <v>22269</v>
      </c>
      <c r="K4541" s="1178" t="s">
        <v>22275</v>
      </c>
      <c r="L4541" s="1178"/>
      <c r="M4541" s="1369"/>
      <c r="N4541" s="1178"/>
      <c r="O4541" s="1178">
        <v>6</v>
      </c>
      <c r="P4541" s="1178">
        <v>14.5</v>
      </c>
    </row>
    <row r="4542" spans="1:16">
      <c r="A4542" s="1178" t="s">
        <v>498</v>
      </c>
      <c r="B4542" s="1371" t="str">
        <f>HYPERLINK(IFERROR("#Main_Tariff!A"&amp;MATCH(Raeburn_Main_Tariff[[#This Row],[Product Code]],Main_Tariff!I:I,0),"#Main_Tariff!A"&amp;MATCH("*"&amp;RIGHT(A4542,8)&amp;"*",Main_Tariff!A:A,0)),Raeburn_Main_Tariff[[#This Row],[PRODUCER]])</f>
        <v>Lopez Cristobal</v>
      </c>
      <c r="C4542" s="1178" t="s">
        <v>22278</v>
      </c>
      <c r="D4542" s="1178" t="s">
        <v>897</v>
      </c>
      <c r="E4542" s="1179">
        <v>2019</v>
      </c>
      <c r="F4542" s="1282" t="s">
        <v>20220</v>
      </c>
      <c r="G4542" s="1368">
        <v>26</v>
      </c>
      <c r="H4542" s="1178" t="s">
        <v>20221</v>
      </c>
      <c r="I4542" s="1178" t="s">
        <v>14338</v>
      </c>
      <c r="J4542" s="1178" t="s">
        <v>22269</v>
      </c>
      <c r="K4542" s="1178" t="s">
        <v>22275</v>
      </c>
      <c r="L4542" s="1178"/>
      <c r="M4542" s="1369"/>
      <c r="N4542" s="1178"/>
      <c r="O4542" s="1178">
        <v>6</v>
      </c>
      <c r="P4542" s="1178">
        <v>14.5</v>
      </c>
    </row>
    <row r="4543" spans="1:16">
      <c r="A4543" s="1178" t="s">
        <v>498</v>
      </c>
      <c r="B4543" s="1371" t="str">
        <f>HYPERLINK(IFERROR("#Main_Tariff!A"&amp;MATCH(Raeburn_Main_Tariff[[#This Row],[Product Code]],Main_Tariff!I:I,0),"#Main_Tariff!A"&amp;MATCH("*"&amp;RIGHT(A4543,8)&amp;"*",Main_Tariff!A:A,0)),Raeburn_Main_Tariff[[#This Row],[PRODUCER]])</f>
        <v>Lopez Cristobal</v>
      </c>
      <c r="C4543" s="1178" t="s">
        <v>22279</v>
      </c>
      <c r="D4543" s="1178" t="s">
        <v>897</v>
      </c>
      <c r="E4543" s="1179">
        <v>2019</v>
      </c>
      <c r="F4543" s="1282" t="s">
        <v>20220</v>
      </c>
      <c r="G4543" s="1368">
        <v>28.5</v>
      </c>
      <c r="H4543" s="1178" t="s">
        <v>20221</v>
      </c>
      <c r="I4543" s="1178" t="s">
        <v>14340</v>
      </c>
      <c r="J4543" s="1178" t="s">
        <v>22269</v>
      </c>
      <c r="K4543" s="1178" t="s">
        <v>22275</v>
      </c>
      <c r="L4543" s="1178"/>
      <c r="M4543" s="1369"/>
      <c r="N4543" s="1178"/>
      <c r="O4543" s="1178">
        <v>6</v>
      </c>
      <c r="P4543" s="1178">
        <v>14.5</v>
      </c>
    </row>
    <row r="4544" spans="1:16">
      <c r="A4544" s="1178" t="s">
        <v>498</v>
      </c>
      <c r="B4544" s="1371" t="str">
        <f>HYPERLINK(IFERROR("#Main_Tariff!A"&amp;MATCH(Raeburn_Main_Tariff[[#This Row],[Product Code]],Main_Tariff!I:I,0),"#Main_Tariff!A"&amp;MATCH("*"&amp;RIGHT(A4544,8)&amp;"*",Main_Tariff!A:A,0)),Raeburn_Main_Tariff[[#This Row],[PRODUCER]])</f>
        <v>Lopez Cristobal</v>
      </c>
      <c r="C4544" s="1178" t="s">
        <v>22280</v>
      </c>
      <c r="D4544" s="1178" t="s">
        <v>897</v>
      </c>
      <c r="E4544" s="1179">
        <v>2018</v>
      </c>
      <c r="F4544" s="1282" t="s">
        <v>20220</v>
      </c>
      <c r="G4544" s="1368">
        <v>88.5</v>
      </c>
      <c r="H4544" s="1178" t="s">
        <v>20221</v>
      </c>
      <c r="I4544" s="1178" t="s">
        <v>14342</v>
      </c>
      <c r="J4544" s="1178" t="s">
        <v>22269</v>
      </c>
      <c r="K4544" s="1178" t="s">
        <v>22275</v>
      </c>
      <c r="L4544" s="1178"/>
      <c r="M4544" s="1369"/>
      <c r="N4544" s="1178"/>
      <c r="O4544" s="1178">
        <v>3</v>
      </c>
      <c r="P4544" s="1178">
        <v>14.5</v>
      </c>
    </row>
    <row r="4545" spans="1:16">
      <c r="A4545" s="1178" t="s">
        <v>500</v>
      </c>
      <c r="B4545" s="1371" t="str">
        <f>HYPERLINK(IFERROR("#Main_Tariff!A"&amp;MATCH(Raeburn_Main_Tariff[[#This Row],[Product Code]],Main_Tariff!I:I,0),"#Main_Tariff!A"&amp;MATCH("*"&amp;RIGHT(A4545,8)&amp;"*",Main_Tariff!A:A,0)),Raeburn_Main_Tariff[[#This Row],[PRODUCER]])</f>
        <v>Oxer Bastegieta</v>
      </c>
      <c r="C4545" s="1178" t="s">
        <v>22281</v>
      </c>
      <c r="D4545" s="1178" t="s">
        <v>897</v>
      </c>
      <c r="E4545" s="1179">
        <v>2009</v>
      </c>
      <c r="F4545" s="1282" t="s">
        <v>20220</v>
      </c>
      <c r="G4545" s="1368">
        <v>29.5</v>
      </c>
      <c r="H4545" s="1178" t="s">
        <v>20221</v>
      </c>
      <c r="I4545" s="1178" t="s">
        <v>14359</v>
      </c>
      <c r="J4545" s="1178" t="s">
        <v>22269</v>
      </c>
      <c r="K4545" s="1178" t="s">
        <v>499</v>
      </c>
      <c r="L4545" s="1178"/>
      <c r="M4545" s="1369"/>
      <c r="N4545" s="1178"/>
      <c r="O4545" s="1178">
        <v>6</v>
      </c>
      <c r="P4545" s="1178">
        <v>13.5</v>
      </c>
    </row>
    <row r="4546" spans="1:16">
      <c r="A4546" s="1178" t="s">
        <v>501</v>
      </c>
      <c r="B4546" s="1371" t="str">
        <f>HYPERLINK(IFERROR("#Main_Tariff!A"&amp;MATCH(Raeburn_Main_Tariff[[#This Row],[Product Code]],Main_Tariff!I:I,0),"#Main_Tariff!A"&amp;MATCH("*"&amp;RIGHT(A4546,8)&amp;"*",Main_Tariff!A:A,0)),Raeburn_Main_Tariff[[#This Row],[PRODUCER]])</f>
        <v>Dominio de Berzal</v>
      </c>
      <c r="C4546" s="1178" t="s">
        <v>22282</v>
      </c>
      <c r="D4546" s="1178" t="s">
        <v>1129</v>
      </c>
      <c r="E4546" s="1179"/>
      <c r="F4546" s="1282" t="s">
        <v>20220</v>
      </c>
      <c r="G4546" s="1368"/>
      <c r="H4546" s="1178" t="s">
        <v>3907</v>
      </c>
      <c r="I4546" s="1178" t="s">
        <v>14369</v>
      </c>
      <c r="J4546" s="1178" t="s">
        <v>22269</v>
      </c>
      <c r="K4546" s="1178" t="s">
        <v>499</v>
      </c>
      <c r="L4546" s="1178"/>
      <c r="M4546" s="1369"/>
      <c r="N4546" s="1178"/>
      <c r="O4546" s="1178">
        <v>6</v>
      </c>
      <c r="P4546" s="1178">
        <v>13.5</v>
      </c>
    </row>
    <row r="4547" spans="1:16">
      <c r="A4547" s="1178" t="s">
        <v>501</v>
      </c>
      <c r="B4547" s="1371" t="str">
        <f>HYPERLINK(IFERROR("#Main_Tariff!A"&amp;MATCH(Raeburn_Main_Tariff[[#This Row],[Product Code]],Main_Tariff!I:I,0),"#Main_Tariff!A"&amp;MATCH("*"&amp;RIGHT(A4547,8)&amp;"*",Main_Tariff!A:A,0)),Raeburn_Main_Tariff[[#This Row],[PRODUCER]])</f>
        <v>Dominio de Berzal</v>
      </c>
      <c r="C4547" s="1178" t="s">
        <v>22283</v>
      </c>
      <c r="D4547" s="1178" t="s">
        <v>897</v>
      </c>
      <c r="E4547" s="1179">
        <v>2019</v>
      </c>
      <c r="F4547" s="1282" t="s">
        <v>20220</v>
      </c>
      <c r="G4547" s="1368">
        <v>13.75</v>
      </c>
      <c r="H4547" s="1178" t="s">
        <v>20221</v>
      </c>
      <c r="I4547" s="1178" t="s">
        <v>14373</v>
      </c>
      <c r="J4547" s="1178" t="s">
        <v>22269</v>
      </c>
      <c r="K4547" s="1178" t="s">
        <v>499</v>
      </c>
      <c r="L4547" s="1178"/>
      <c r="M4547" s="1369"/>
      <c r="N4547" s="1178"/>
      <c r="O4547" s="1178">
        <v>6</v>
      </c>
      <c r="P4547" s="1178">
        <v>14.5</v>
      </c>
    </row>
    <row r="4548" spans="1:16">
      <c r="A4548" s="1178" t="s">
        <v>501</v>
      </c>
      <c r="B4548" s="1371" t="str">
        <f>HYPERLINK(IFERROR("#Main_Tariff!A"&amp;MATCH(Raeburn_Main_Tariff[[#This Row],[Product Code]],Main_Tariff!I:I,0),"#Main_Tariff!A"&amp;MATCH("*"&amp;RIGHT(A4548,8)&amp;"*",Main_Tariff!A:A,0)),Raeburn_Main_Tariff[[#This Row],[PRODUCER]])</f>
        <v>Dominio de Berzal</v>
      </c>
      <c r="C4548" s="1178" t="s">
        <v>22284</v>
      </c>
      <c r="D4548" s="1178" t="s">
        <v>897</v>
      </c>
      <c r="E4548" s="1179">
        <v>2012</v>
      </c>
      <c r="F4548" s="1282" t="s">
        <v>20220</v>
      </c>
      <c r="G4548" s="1368">
        <v>24.5</v>
      </c>
      <c r="H4548" s="1178" t="s">
        <v>20221</v>
      </c>
      <c r="I4548" s="1178" t="s">
        <v>14374</v>
      </c>
      <c r="J4548" s="1178" t="s">
        <v>22269</v>
      </c>
      <c r="K4548" s="1178" t="s">
        <v>499</v>
      </c>
      <c r="L4548" s="1178"/>
      <c r="M4548" s="1369"/>
      <c r="N4548" s="1178"/>
      <c r="O4548" s="1178">
        <v>6</v>
      </c>
      <c r="P4548" s="1178">
        <v>14</v>
      </c>
    </row>
    <row r="4549" spans="1:16">
      <c r="A4549" s="1178" t="s">
        <v>502</v>
      </c>
      <c r="B4549" s="1371" t="str">
        <f>HYPERLINK(IFERROR("#Main_Tariff!A"&amp;MATCH(Raeburn_Main_Tariff[[#This Row],[Product Code]],Main_Tariff!I:I,0),"#Main_Tariff!A"&amp;MATCH("*"&amp;RIGHT(A4549,8)&amp;"*",Main_Tariff!A:A,0)),Raeburn_Main_Tariff[[#This Row],[PRODUCER]])</f>
        <v>Lopez de Heredia</v>
      </c>
      <c r="C4549" s="1178" t="s">
        <v>22285</v>
      </c>
      <c r="D4549" s="1178" t="s">
        <v>1129</v>
      </c>
      <c r="E4549" s="1179">
        <v>2016</v>
      </c>
      <c r="F4549" s="1282" t="s">
        <v>20220</v>
      </c>
      <c r="G4549" s="1368"/>
      <c r="H4549" s="1178" t="s">
        <v>3907</v>
      </c>
      <c r="I4549" s="1178" t="s">
        <v>14380</v>
      </c>
      <c r="J4549" s="1178" t="s">
        <v>22269</v>
      </c>
      <c r="K4549" s="1178" t="s">
        <v>499</v>
      </c>
      <c r="L4549" s="1178"/>
      <c r="M4549" s="1369"/>
      <c r="N4549" s="1178"/>
      <c r="O4549" s="1178">
        <v>6</v>
      </c>
      <c r="P4549" s="1178">
        <v>12.5</v>
      </c>
    </row>
    <row r="4550" spans="1:16">
      <c r="A4550" s="1178" t="s">
        <v>502</v>
      </c>
      <c r="B4550" s="1371" t="str">
        <f>HYPERLINK(IFERROR("#Main_Tariff!A"&amp;MATCH(Raeburn_Main_Tariff[[#This Row],[Product Code]],Main_Tariff!I:I,0),"#Main_Tariff!A"&amp;MATCH("*"&amp;RIGHT(A4550,8)&amp;"*",Main_Tariff!A:A,0)),Raeburn_Main_Tariff[[#This Row],[PRODUCER]])</f>
        <v>Lopez de Heredia</v>
      </c>
      <c r="C4550" s="1178" t="s">
        <v>22286</v>
      </c>
      <c r="D4550" s="1178" t="s">
        <v>1129</v>
      </c>
      <c r="E4550" s="1179">
        <v>2013</v>
      </c>
      <c r="F4550" s="1282" t="s">
        <v>20220</v>
      </c>
      <c r="G4550" s="1368" t="s">
        <v>5258</v>
      </c>
      <c r="H4550" s="1178" t="s">
        <v>3907</v>
      </c>
      <c r="I4550" s="1178" t="s">
        <v>14382</v>
      </c>
      <c r="J4550" s="1178" t="s">
        <v>22269</v>
      </c>
      <c r="K4550" s="1178" t="s">
        <v>499</v>
      </c>
      <c r="L4550" s="1178"/>
      <c r="M4550" s="1369"/>
      <c r="N4550" s="1178"/>
      <c r="O4550" s="1178">
        <v>6</v>
      </c>
      <c r="P4550" s="1178">
        <v>12.5</v>
      </c>
    </row>
    <row r="4551" spans="1:16">
      <c r="A4551" s="1178" t="s">
        <v>502</v>
      </c>
      <c r="B4551" s="1371" t="str">
        <f>HYPERLINK(IFERROR("#Main_Tariff!A"&amp;MATCH(Raeburn_Main_Tariff[[#This Row],[Product Code]],Main_Tariff!I:I,0),"#Main_Tariff!A"&amp;MATCH("*"&amp;RIGHT(A4551,8)&amp;"*",Main_Tariff!A:A,0)),Raeburn_Main_Tariff[[#This Row],[PRODUCER]])</f>
        <v>Lopez de Heredia</v>
      </c>
      <c r="C4551" s="1178" t="s">
        <v>22286</v>
      </c>
      <c r="D4551" s="1178" t="s">
        <v>1129</v>
      </c>
      <c r="E4551" s="1179">
        <v>2012</v>
      </c>
      <c r="F4551" s="1282" t="s">
        <v>20220</v>
      </c>
      <c r="G4551" s="1368" t="s">
        <v>5258</v>
      </c>
      <c r="H4551" s="1178" t="s">
        <v>3907</v>
      </c>
      <c r="I4551" s="1178" t="s">
        <v>14384</v>
      </c>
      <c r="J4551" s="1178" t="s">
        <v>22269</v>
      </c>
      <c r="K4551" s="1178" t="s">
        <v>499</v>
      </c>
      <c r="L4551" s="1178"/>
      <c r="M4551" s="1369"/>
      <c r="N4551" s="1178"/>
      <c r="O4551" s="1178">
        <v>6</v>
      </c>
      <c r="P4551" s="1178">
        <v>12.5</v>
      </c>
    </row>
    <row r="4552" spans="1:16">
      <c r="A4552" s="1178" t="s">
        <v>502</v>
      </c>
      <c r="B4552" s="1371" t="str">
        <f>HYPERLINK(IFERROR("#Main_Tariff!A"&amp;MATCH(Raeburn_Main_Tariff[[#This Row],[Product Code]],Main_Tariff!I:I,0),"#Main_Tariff!A"&amp;MATCH("*"&amp;RIGHT(A4552,8)&amp;"*",Main_Tariff!A:A,0)),Raeburn_Main_Tariff[[#This Row],[PRODUCER]])</f>
        <v>Lopez de Heredia</v>
      </c>
      <c r="C4552" s="1178" t="s">
        <v>22286</v>
      </c>
      <c r="D4552" s="1178" t="s">
        <v>1129</v>
      </c>
      <c r="E4552" s="1179">
        <v>2011</v>
      </c>
      <c r="F4552" s="1282" t="s">
        <v>20220</v>
      </c>
      <c r="G4552" s="1368" t="s">
        <v>5258</v>
      </c>
      <c r="H4552" s="1178" t="s">
        <v>3907</v>
      </c>
      <c r="I4552" s="1178" t="s">
        <v>14386</v>
      </c>
      <c r="J4552" s="1178" t="s">
        <v>22269</v>
      </c>
      <c r="K4552" s="1178" t="s">
        <v>499</v>
      </c>
      <c r="L4552" s="1178"/>
      <c r="M4552" s="1369"/>
      <c r="N4552" s="1178"/>
      <c r="O4552" s="1178">
        <v>6</v>
      </c>
      <c r="P4552" s="1178">
        <v>12.5</v>
      </c>
    </row>
    <row r="4553" spans="1:16">
      <c r="A4553" s="1178" t="s">
        <v>502</v>
      </c>
      <c r="B4553" s="1371" t="str">
        <f>HYPERLINK(IFERROR("#Main_Tariff!A"&amp;MATCH(Raeburn_Main_Tariff[[#This Row],[Product Code]],Main_Tariff!I:I,0),"#Main_Tariff!A"&amp;MATCH("*"&amp;RIGHT(A4553,8)&amp;"*",Main_Tariff!A:A,0)),Raeburn_Main_Tariff[[#This Row],[PRODUCER]])</f>
        <v>Lopez de Heredia</v>
      </c>
      <c r="C4553" s="1178" t="s">
        <v>22287</v>
      </c>
      <c r="D4553" s="1178" t="s">
        <v>897</v>
      </c>
      <c r="E4553" s="1179">
        <v>2012</v>
      </c>
      <c r="F4553" s="1282" t="s">
        <v>20280</v>
      </c>
      <c r="G4553" s="1368">
        <v>19</v>
      </c>
      <c r="H4553" s="1178" t="s">
        <v>20221</v>
      </c>
      <c r="I4553" s="1178" t="s">
        <v>14390</v>
      </c>
      <c r="J4553" s="1178" t="s">
        <v>22269</v>
      </c>
      <c r="K4553" s="1178" t="s">
        <v>499</v>
      </c>
      <c r="L4553" s="1178"/>
      <c r="M4553" s="1369"/>
      <c r="N4553" s="1178"/>
      <c r="O4553" s="1178">
        <v>12</v>
      </c>
      <c r="P4553" s="1178">
        <v>13</v>
      </c>
    </row>
    <row r="4554" spans="1:16">
      <c r="A4554" s="1178" t="s">
        <v>502</v>
      </c>
      <c r="B4554" s="1371" t="str">
        <f>HYPERLINK(IFERROR("#Main_Tariff!A"&amp;MATCH(Raeburn_Main_Tariff[[#This Row],[Product Code]],Main_Tariff!I:I,0),"#Main_Tariff!A"&amp;MATCH("*"&amp;RIGHT(A4554,8)&amp;"*",Main_Tariff!A:A,0)),Raeburn_Main_Tariff[[#This Row],[PRODUCER]])</f>
        <v>Lopez de Heredia</v>
      </c>
      <c r="C4554" s="1178" t="s">
        <v>22287</v>
      </c>
      <c r="D4554" s="1178" t="s">
        <v>897</v>
      </c>
      <c r="E4554" s="1179">
        <v>2011</v>
      </c>
      <c r="F4554" s="1282" t="s">
        <v>20280</v>
      </c>
      <c r="G4554" s="1368">
        <v>19</v>
      </c>
      <c r="H4554" s="1178" t="s">
        <v>20221</v>
      </c>
      <c r="I4554" s="1178" t="s">
        <v>14392</v>
      </c>
      <c r="J4554" s="1178" t="s">
        <v>22269</v>
      </c>
      <c r="K4554" s="1178" t="s">
        <v>499</v>
      </c>
      <c r="L4554" s="1178"/>
      <c r="M4554" s="1369"/>
      <c r="N4554" s="1178"/>
      <c r="O4554" s="1178">
        <v>12</v>
      </c>
      <c r="P4554" s="1178">
        <v>13</v>
      </c>
    </row>
    <row r="4555" spans="1:16">
      <c r="A4555" s="1178" t="s">
        <v>502</v>
      </c>
      <c r="B4555" s="1371" t="str">
        <f>HYPERLINK(IFERROR("#Main_Tariff!A"&amp;MATCH(Raeburn_Main_Tariff[[#This Row],[Product Code]],Main_Tariff!I:I,0),"#Main_Tariff!A"&amp;MATCH("*"&amp;RIGHT(A4555,8)&amp;"*",Main_Tariff!A:A,0)),Raeburn_Main_Tariff[[#This Row],[PRODUCER]])</f>
        <v>Lopez de Heredia</v>
      </c>
      <c r="C4555" s="1178" t="s">
        <v>22287</v>
      </c>
      <c r="D4555" s="1178" t="s">
        <v>897</v>
      </c>
      <c r="E4555" s="1179">
        <v>2010</v>
      </c>
      <c r="F4555" s="1282" t="s">
        <v>20280</v>
      </c>
      <c r="G4555" s="1368">
        <v>18</v>
      </c>
      <c r="H4555" s="1178" t="s">
        <v>20221</v>
      </c>
      <c r="I4555" s="1178" t="s">
        <v>14394</v>
      </c>
      <c r="J4555" s="1178" t="s">
        <v>22269</v>
      </c>
      <c r="K4555" s="1178" t="s">
        <v>499</v>
      </c>
      <c r="L4555" s="1178"/>
      <c r="M4555" s="1369"/>
      <c r="N4555" s="1178"/>
      <c r="O4555" s="1178">
        <v>12</v>
      </c>
      <c r="P4555" s="1178">
        <v>13</v>
      </c>
    </row>
    <row r="4556" spans="1:16">
      <c r="A4556" s="1178" t="s">
        <v>502</v>
      </c>
      <c r="B4556" s="1371" t="str">
        <f>HYPERLINK(IFERROR("#Main_Tariff!A"&amp;MATCH(Raeburn_Main_Tariff[[#This Row],[Product Code]],Main_Tariff!I:I,0),"#Main_Tariff!A"&amp;MATCH("*"&amp;RIGHT(A4556,8)&amp;"*",Main_Tariff!A:A,0)),Raeburn_Main_Tariff[[#This Row],[PRODUCER]])</f>
        <v>Lopez de Heredia</v>
      </c>
      <c r="C4556" s="1178" t="s">
        <v>22288</v>
      </c>
      <c r="D4556" s="1178" t="s">
        <v>897</v>
      </c>
      <c r="E4556" s="1179">
        <v>2012</v>
      </c>
      <c r="F4556" s="1282" t="s">
        <v>20220</v>
      </c>
      <c r="G4556" s="1368">
        <v>34.5</v>
      </c>
      <c r="H4556" s="1178" t="s">
        <v>20221</v>
      </c>
      <c r="I4556" s="1178" t="s">
        <v>14396</v>
      </c>
      <c r="J4556" s="1178" t="s">
        <v>22269</v>
      </c>
      <c r="K4556" s="1178" t="s">
        <v>499</v>
      </c>
      <c r="L4556" s="1178"/>
      <c r="M4556" s="1369"/>
      <c r="N4556" s="1178"/>
      <c r="O4556" s="1178">
        <v>6</v>
      </c>
      <c r="P4556" s="1178">
        <v>13</v>
      </c>
    </row>
    <row r="4557" spans="1:16">
      <c r="A4557" s="1178" t="s">
        <v>502</v>
      </c>
      <c r="B4557" s="1371" t="str">
        <f>HYPERLINK(IFERROR("#Main_Tariff!A"&amp;MATCH(Raeburn_Main_Tariff[[#This Row],[Product Code]],Main_Tariff!I:I,0),"#Main_Tariff!A"&amp;MATCH("*"&amp;RIGHT(A4557,8)&amp;"*",Main_Tariff!A:A,0)),Raeburn_Main_Tariff[[#This Row],[PRODUCER]])</f>
        <v>Lopez de Heredia</v>
      </c>
      <c r="C4557" s="1178" t="s">
        <v>22288</v>
      </c>
      <c r="D4557" s="1178" t="s">
        <v>897</v>
      </c>
      <c r="E4557" s="1179">
        <v>2011</v>
      </c>
      <c r="F4557" s="1282" t="s">
        <v>20220</v>
      </c>
      <c r="G4557" s="1368">
        <v>34.5</v>
      </c>
      <c r="H4557" s="1178" t="s">
        <v>20221</v>
      </c>
      <c r="I4557" s="1178" t="s">
        <v>14398</v>
      </c>
      <c r="J4557" s="1178" t="s">
        <v>22269</v>
      </c>
      <c r="K4557" s="1178" t="s">
        <v>499</v>
      </c>
      <c r="L4557" s="1178"/>
      <c r="M4557" s="1369"/>
      <c r="N4557" s="1178"/>
      <c r="O4557" s="1178">
        <v>6</v>
      </c>
      <c r="P4557" s="1178">
        <v>13</v>
      </c>
    </row>
    <row r="4558" spans="1:16">
      <c r="A4558" s="1178" t="s">
        <v>502</v>
      </c>
      <c r="B4558" s="1371" t="str">
        <f>HYPERLINK(IFERROR("#Main_Tariff!A"&amp;MATCH(Raeburn_Main_Tariff[[#This Row],[Product Code]],Main_Tariff!I:I,0),"#Main_Tariff!A"&amp;MATCH("*"&amp;RIGHT(A4558,8)&amp;"*",Main_Tariff!A:A,0)),Raeburn_Main_Tariff[[#This Row],[PRODUCER]])</f>
        <v>Lopez de Heredia</v>
      </c>
      <c r="C4558" s="1178" t="s">
        <v>22289</v>
      </c>
      <c r="D4558" s="1178" t="s">
        <v>897</v>
      </c>
      <c r="E4558" s="1179">
        <v>2012</v>
      </c>
      <c r="F4558" s="1282" t="s">
        <v>20240</v>
      </c>
      <c r="G4558" s="1368">
        <v>71</v>
      </c>
      <c r="H4558" s="1178" t="s">
        <v>20224</v>
      </c>
      <c r="I4558" s="1178" t="s">
        <v>14400</v>
      </c>
      <c r="J4558" s="1178" t="s">
        <v>22269</v>
      </c>
      <c r="K4558" s="1178" t="s">
        <v>499</v>
      </c>
      <c r="L4558" s="1178"/>
      <c r="M4558" s="1369"/>
      <c r="N4558" s="1178"/>
      <c r="O4558" s="1178">
        <v>6</v>
      </c>
      <c r="P4558" s="1178">
        <v>13</v>
      </c>
    </row>
    <row r="4559" spans="1:16">
      <c r="A4559" s="1178" t="s">
        <v>502</v>
      </c>
      <c r="B4559" s="1371" t="str">
        <f>HYPERLINK(IFERROR("#Main_Tariff!A"&amp;MATCH(Raeburn_Main_Tariff[[#This Row],[Product Code]],Main_Tariff!I:I,0),"#Main_Tariff!A"&amp;MATCH("*"&amp;RIGHT(A4559,8)&amp;"*",Main_Tariff!A:A,0)),Raeburn_Main_Tariff[[#This Row],[PRODUCER]])</f>
        <v>Lopez de Heredia</v>
      </c>
      <c r="C4559" s="1178" t="s">
        <v>22289</v>
      </c>
      <c r="D4559" s="1178" t="s">
        <v>897</v>
      </c>
      <c r="E4559" s="1179">
        <v>2011</v>
      </c>
      <c r="F4559" s="1282" t="s">
        <v>20240</v>
      </c>
      <c r="G4559" s="1368">
        <v>71</v>
      </c>
      <c r="H4559" s="1178" t="s">
        <v>20224</v>
      </c>
      <c r="I4559" s="1178" t="s">
        <v>14402</v>
      </c>
      <c r="J4559" s="1178" t="s">
        <v>22269</v>
      </c>
      <c r="K4559" s="1178" t="s">
        <v>499</v>
      </c>
      <c r="L4559" s="1178"/>
      <c r="M4559" s="1369"/>
      <c r="N4559" s="1178"/>
      <c r="O4559" s="1178">
        <v>6</v>
      </c>
      <c r="P4559" s="1178">
        <v>13</v>
      </c>
    </row>
    <row r="4560" spans="1:16">
      <c r="A4560" s="1178" t="s">
        <v>22290</v>
      </c>
      <c r="B4560" s="1371" t="str">
        <f>HYPERLINK(IFERROR("#Main_Tariff!A"&amp;MATCH(Raeburn_Main_Tariff[[#This Row],[Product Code]],Main_Tariff!I:I,0),"#Main_Tariff!A"&amp;MATCH("*"&amp;RIGHT(A4560,8)&amp;"*",Main_Tariff!A:A,0)),Raeburn_Main_Tariff[[#This Row],[PRODUCER]])</f>
        <v>Torre San Millan Gorrebusto</v>
      </c>
      <c r="C4560" s="1178" t="s">
        <v>22291</v>
      </c>
      <c r="D4560" s="1178" t="s">
        <v>897</v>
      </c>
      <c r="E4560" s="1179">
        <v>2022</v>
      </c>
      <c r="F4560" s="1282" t="s">
        <v>20220</v>
      </c>
      <c r="G4560" s="1368">
        <v>11.95</v>
      </c>
      <c r="H4560" s="1178" t="s">
        <v>20221</v>
      </c>
      <c r="I4560" s="1178" t="s">
        <v>14411</v>
      </c>
      <c r="J4560" s="1178" t="s">
        <v>22269</v>
      </c>
      <c r="K4560" s="1178" t="s">
        <v>499</v>
      </c>
      <c r="L4560" s="1178"/>
      <c r="M4560" s="1369"/>
      <c r="N4560" s="1178"/>
      <c r="O4560" s="1178">
        <v>12</v>
      </c>
      <c r="P4560" s="1178">
        <v>13.5</v>
      </c>
    </row>
    <row r="4561" spans="1:16">
      <c r="A4561" s="1178" t="s">
        <v>22290</v>
      </c>
      <c r="B4561" s="1371" t="str">
        <f>HYPERLINK(IFERROR("#Main_Tariff!A"&amp;MATCH(Raeburn_Main_Tariff[[#This Row],[Product Code]],Main_Tariff!I:I,0),"#Main_Tariff!A"&amp;MATCH("*"&amp;RIGHT(A4561,8)&amp;"*",Main_Tariff!A:A,0)),Raeburn_Main_Tariff[[#This Row],[PRODUCER]])</f>
        <v>Torre San Millan Gorrebusto</v>
      </c>
      <c r="C4561" s="1178" t="s">
        <v>22292</v>
      </c>
      <c r="D4561" s="1178" t="s">
        <v>897</v>
      </c>
      <c r="E4561" s="1179">
        <v>2022</v>
      </c>
      <c r="F4561" s="1282" t="s">
        <v>20220</v>
      </c>
      <c r="G4561" s="1368">
        <v>13.25</v>
      </c>
      <c r="H4561" s="1178" t="s">
        <v>20221</v>
      </c>
      <c r="I4561" s="1178" t="s">
        <v>14413</v>
      </c>
      <c r="J4561" s="1178" t="s">
        <v>22269</v>
      </c>
      <c r="K4561" s="1178" t="s">
        <v>499</v>
      </c>
      <c r="L4561" s="1178"/>
      <c r="M4561" s="1369"/>
      <c r="N4561" s="1178"/>
      <c r="O4561" s="1178">
        <v>12</v>
      </c>
      <c r="P4561" s="1178">
        <v>13.5</v>
      </c>
    </row>
    <row r="4562" spans="1:16">
      <c r="A4562" s="1178" t="s">
        <v>504</v>
      </c>
      <c r="B4562" s="1371" t="str">
        <f>HYPERLINK(IFERROR("#Main_Tariff!A"&amp;MATCH(Raeburn_Main_Tariff[[#This Row],[Product Code]],Main_Tariff!I:I,0),"#Main_Tariff!A"&amp;MATCH("*"&amp;RIGHT(A4562,8)&amp;"*",Main_Tariff!A:A,0)),Raeburn_Main_Tariff[[#This Row],[PRODUCER]])</f>
        <v>Bodegas Tritium</v>
      </c>
      <c r="C4562" s="1178" t="s">
        <v>22293</v>
      </c>
      <c r="D4562" s="1178" t="s">
        <v>897</v>
      </c>
      <c r="E4562" s="1179">
        <v>2015</v>
      </c>
      <c r="F4562" s="1282" t="s">
        <v>20220</v>
      </c>
      <c r="G4562" s="1368">
        <v>22.5</v>
      </c>
      <c r="H4562" s="1178" t="s">
        <v>20221</v>
      </c>
      <c r="I4562" s="1178" t="s">
        <v>14422</v>
      </c>
      <c r="J4562" s="1178" t="s">
        <v>22269</v>
      </c>
      <c r="K4562" s="1178" t="s">
        <v>499</v>
      </c>
      <c r="L4562" s="1178"/>
      <c r="M4562" s="1369"/>
      <c r="N4562" s="1178"/>
      <c r="O4562" s="1178">
        <v>6</v>
      </c>
      <c r="P4562" s="1178">
        <v>14</v>
      </c>
    </row>
    <row r="4563" spans="1:16">
      <c r="A4563" s="1178" t="s">
        <v>22294</v>
      </c>
      <c r="B4563" s="1371" t="str">
        <f>HYPERLINK(IFERROR("#Main_Tariff!A"&amp;MATCH(Raeburn_Main_Tariff[[#This Row],[Product Code]],Main_Tariff!I:I,0),"#Main_Tariff!A"&amp;MATCH("*"&amp;RIGHT(A4563,8)&amp;"*",Main_Tariff!A:A,0)),Raeburn_Main_Tariff[[#This Row],[PRODUCER]])</f>
        <v>Vina Zorzal X Niepoort</v>
      </c>
      <c r="C4563" s="1178" t="s">
        <v>22295</v>
      </c>
      <c r="D4563" s="1178" t="s">
        <v>897</v>
      </c>
      <c r="E4563" s="1179">
        <v>2020</v>
      </c>
      <c r="F4563" s="1282" t="s">
        <v>22296</v>
      </c>
      <c r="G4563" s="1368">
        <v>17.75</v>
      </c>
      <c r="H4563" s="1178" t="s">
        <v>20221</v>
      </c>
      <c r="I4563" s="1178" t="s">
        <v>14433</v>
      </c>
      <c r="J4563" s="1178" t="s">
        <v>22269</v>
      </c>
      <c r="K4563" s="1178" t="s">
        <v>505</v>
      </c>
      <c r="L4563" s="1178"/>
      <c r="M4563" s="1369"/>
      <c r="N4563" s="1178"/>
      <c r="O4563" s="1178">
        <v>6</v>
      </c>
      <c r="P4563" s="1178">
        <v>13</v>
      </c>
    </row>
    <row r="4564" spans="1:16">
      <c r="A4564" s="1178" t="s">
        <v>22297</v>
      </c>
      <c r="B4564" s="1371" t="str">
        <f>HYPERLINK(IFERROR("#Main_Tariff!A"&amp;MATCH(Raeburn_Main_Tariff[[#This Row],[Product Code]],Main_Tariff!I:I,0),"#Main_Tariff!A"&amp;MATCH("*"&amp;RIGHT(A4564,8)&amp;"*",Main_Tariff!A:A,0)),Raeburn_Main_Tariff[[#This Row],[PRODUCER]])</f>
        <v>Mas de la Basserola</v>
      </c>
      <c r="C4564" s="1178" t="s">
        <v>22298</v>
      </c>
      <c r="D4564" s="1178" t="s">
        <v>884</v>
      </c>
      <c r="E4564" s="1179" t="s">
        <v>22299</v>
      </c>
      <c r="F4564" s="1282" t="s">
        <v>20220</v>
      </c>
      <c r="G4564" s="1368">
        <v>13.5</v>
      </c>
      <c r="H4564" s="1178" t="s">
        <v>20221</v>
      </c>
      <c r="I4564" s="1178" t="s">
        <v>14448</v>
      </c>
      <c r="J4564" s="1178" t="s">
        <v>22269</v>
      </c>
      <c r="K4564" s="1178" t="s">
        <v>508</v>
      </c>
      <c r="L4564" s="1178"/>
      <c r="M4564" s="1369"/>
      <c r="N4564" s="1178"/>
      <c r="O4564" s="1178">
        <v>6</v>
      </c>
      <c r="P4564" s="1178">
        <v>11</v>
      </c>
    </row>
    <row r="4565" spans="1:16">
      <c r="A4565" s="1178" t="s">
        <v>22297</v>
      </c>
      <c r="B4565" s="1371" t="str">
        <f>HYPERLINK(IFERROR("#Main_Tariff!A"&amp;MATCH(Raeburn_Main_Tariff[[#This Row],[Product Code]],Main_Tariff!I:I,0),"#Main_Tariff!A"&amp;MATCH("*"&amp;RIGHT(A4565,8)&amp;"*",Main_Tariff!A:A,0)),Raeburn_Main_Tariff[[#This Row],[PRODUCER]])</f>
        <v>Mas de la Basserola</v>
      </c>
      <c r="C4565" s="1178" t="s">
        <v>22300</v>
      </c>
      <c r="D4565" s="1178" t="s">
        <v>884</v>
      </c>
      <c r="E4565" s="1179" t="s">
        <v>22299</v>
      </c>
      <c r="F4565" s="1282" t="s">
        <v>20220</v>
      </c>
      <c r="G4565" s="1368">
        <v>14</v>
      </c>
      <c r="H4565" s="1178" t="s">
        <v>20221</v>
      </c>
      <c r="I4565" s="1178" t="s">
        <v>14450</v>
      </c>
      <c r="J4565" s="1178" t="s">
        <v>22269</v>
      </c>
      <c r="K4565" s="1178" t="s">
        <v>508</v>
      </c>
      <c r="L4565" s="1178"/>
      <c r="M4565" s="1369"/>
      <c r="N4565" s="1178"/>
      <c r="O4565" s="1178">
        <v>6</v>
      </c>
      <c r="P4565" s="1178">
        <v>11</v>
      </c>
    </row>
    <row r="4566" spans="1:16">
      <c r="A4566" s="1178" t="s">
        <v>22297</v>
      </c>
      <c r="B4566" s="1371" t="str">
        <f>HYPERLINK(IFERROR("#Main_Tariff!A"&amp;MATCH(Raeburn_Main_Tariff[[#This Row],[Product Code]],Main_Tariff!I:I,0),"#Main_Tariff!A"&amp;MATCH("*"&amp;RIGHT(A4566,8)&amp;"*",Main_Tariff!A:A,0)),Raeburn_Main_Tariff[[#This Row],[PRODUCER]])</f>
        <v>Mas de la Basserola</v>
      </c>
      <c r="C4566" s="1178" t="s">
        <v>22301</v>
      </c>
      <c r="D4566" s="1178" t="s">
        <v>884</v>
      </c>
      <c r="E4566" s="1179" t="s">
        <v>22299</v>
      </c>
      <c r="F4566" s="1282" t="s">
        <v>20220</v>
      </c>
      <c r="G4566" s="1368">
        <v>16.5</v>
      </c>
      <c r="H4566" s="1178" t="s">
        <v>20221</v>
      </c>
      <c r="I4566" s="1178" t="s">
        <v>14452</v>
      </c>
      <c r="J4566" s="1178" t="s">
        <v>22269</v>
      </c>
      <c r="K4566" s="1178" t="s">
        <v>508</v>
      </c>
      <c r="L4566" s="1178"/>
      <c r="M4566" s="1369"/>
      <c r="N4566" s="1178"/>
      <c r="O4566" s="1178">
        <v>6</v>
      </c>
      <c r="P4566" s="1178">
        <v>11</v>
      </c>
    </row>
    <row r="4567" spans="1:16">
      <c r="A4567" s="1178" t="s">
        <v>22297</v>
      </c>
      <c r="B4567" s="1371" t="str">
        <f>HYPERLINK(IFERROR("#Main_Tariff!A"&amp;MATCH(Raeburn_Main_Tariff[[#This Row],[Product Code]],Main_Tariff!I:I,0),"#Main_Tariff!A"&amp;MATCH("*"&amp;RIGHT(A4567,8)&amp;"*",Main_Tariff!A:A,0)),Raeburn_Main_Tariff[[#This Row],[PRODUCER]])</f>
        <v>Mas de la Basserola</v>
      </c>
      <c r="C4567" s="1178" t="s">
        <v>22301</v>
      </c>
      <c r="D4567" s="1178" t="s">
        <v>884</v>
      </c>
      <c r="E4567" s="1179">
        <v>2015</v>
      </c>
      <c r="F4567" s="1282" t="s">
        <v>20220</v>
      </c>
      <c r="G4567" s="1368">
        <v>16.5</v>
      </c>
      <c r="H4567" s="1178" t="s">
        <v>20224</v>
      </c>
      <c r="I4567" s="1178" t="s">
        <v>14454</v>
      </c>
      <c r="J4567" s="1178" t="s">
        <v>22269</v>
      </c>
      <c r="K4567" s="1178" t="s">
        <v>508</v>
      </c>
      <c r="L4567" s="1178"/>
      <c r="M4567" s="1369"/>
      <c r="N4567" s="1178"/>
      <c r="O4567" s="1178">
        <v>6</v>
      </c>
      <c r="P4567" s="1178">
        <v>11</v>
      </c>
    </row>
    <row r="4568" spans="1:16">
      <c r="A4568" s="1178" t="s">
        <v>509</v>
      </c>
      <c r="B4568" s="1371" t="str">
        <f>HYPERLINK(IFERROR("#Main_Tariff!A"&amp;MATCH(Raeburn_Main_Tariff[[#This Row],[Product Code]],Main_Tariff!I:I,0),"#Main_Tariff!A"&amp;MATCH("*"&amp;RIGHT(A4568,8)&amp;"*",Main_Tariff!A:A,0)),Raeburn_Main_Tariff[[#This Row],[PRODUCER]])</f>
        <v>Celler Via</v>
      </c>
      <c r="C4568" s="1178" t="s">
        <v>22302</v>
      </c>
      <c r="D4568" s="1178" t="s">
        <v>1129</v>
      </c>
      <c r="E4568" s="1179">
        <v>2016</v>
      </c>
      <c r="F4568" s="1282" t="s">
        <v>20220</v>
      </c>
      <c r="G4568" s="1368">
        <v>19.95</v>
      </c>
      <c r="H4568" s="1178" t="s">
        <v>20221</v>
      </c>
      <c r="I4568" s="1178" t="s">
        <v>14465</v>
      </c>
      <c r="J4568" s="1178" t="s">
        <v>22269</v>
      </c>
      <c r="K4568" s="1178" t="s">
        <v>508</v>
      </c>
      <c r="L4568" s="1178"/>
      <c r="M4568" s="1369"/>
      <c r="N4568" s="1178"/>
      <c r="O4568" s="1178">
        <v>6</v>
      </c>
      <c r="P4568" s="1178">
        <v>13</v>
      </c>
    </row>
    <row r="4569" spans="1:16">
      <c r="A4569" s="1178" t="s">
        <v>511</v>
      </c>
      <c r="B4569" s="1371" t="str">
        <f>HYPERLINK(IFERROR("#Main_Tariff!A"&amp;MATCH(Raeburn_Main_Tariff[[#This Row],[Product Code]],Main_Tariff!I:I,0),"#Main_Tariff!A"&amp;MATCH("*"&amp;RIGHT(A4569,8)&amp;"*",Main_Tariff!A:A,0)),Raeburn_Main_Tariff[[#This Row],[PRODUCER]])</f>
        <v>Mas de la Pansa</v>
      </c>
      <c r="C4569" s="1178" t="s">
        <v>22303</v>
      </c>
      <c r="D4569" s="1178" t="s">
        <v>1129</v>
      </c>
      <c r="E4569" s="1179">
        <v>2019</v>
      </c>
      <c r="F4569" s="1282" t="s">
        <v>20220</v>
      </c>
      <c r="G4569" s="1368">
        <v>23.5</v>
      </c>
      <c r="H4569" s="1178" t="s">
        <v>20221</v>
      </c>
      <c r="I4569" s="1178" t="s">
        <v>14480</v>
      </c>
      <c r="J4569" s="1178" t="s">
        <v>22269</v>
      </c>
      <c r="K4569" s="1178" t="s">
        <v>22304</v>
      </c>
      <c r="L4569" s="1178"/>
      <c r="M4569" s="1369"/>
      <c r="N4569" s="1178" t="s">
        <v>20244</v>
      </c>
      <c r="O4569" s="1178">
        <v>6</v>
      </c>
      <c r="P4569" s="1178">
        <v>11</v>
      </c>
    </row>
    <row r="4570" spans="1:16">
      <c r="A4570" s="1178" t="s">
        <v>511</v>
      </c>
      <c r="B4570" s="1371" t="str">
        <f>HYPERLINK(IFERROR("#Main_Tariff!A"&amp;MATCH(Raeburn_Main_Tariff[[#This Row],[Product Code]],Main_Tariff!I:I,0),"#Main_Tariff!A"&amp;MATCH("*"&amp;RIGHT(A4570,8)&amp;"*",Main_Tariff!A:A,0)),Raeburn_Main_Tariff[[#This Row],[PRODUCER]])</f>
        <v>Mas de la Pansa</v>
      </c>
      <c r="C4570" s="1178" t="s">
        <v>22303</v>
      </c>
      <c r="D4570" s="1178" t="s">
        <v>1129</v>
      </c>
      <c r="E4570" s="1179">
        <v>2016</v>
      </c>
      <c r="F4570" s="1282" t="s">
        <v>20220</v>
      </c>
      <c r="G4570" s="1368">
        <v>17.5</v>
      </c>
      <c r="H4570" s="1178" t="s">
        <v>20277</v>
      </c>
      <c r="I4570" s="1178" t="s">
        <v>14482</v>
      </c>
      <c r="J4570" s="1178" t="s">
        <v>22269</v>
      </c>
      <c r="K4570" s="1178" t="s">
        <v>22304</v>
      </c>
      <c r="L4570" s="1178"/>
      <c r="M4570" s="1369"/>
      <c r="N4570" s="1178" t="s">
        <v>20244</v>
      </c>
      <c r="O4570" s="1178">
        <v>12</v>
      </c>
      <c r="P4570" s="1178">
        <v>12</v>
      </c>
    </row>
    <row r="4571" spans="1:16">
      <c r="A4571" s="1178" t="s">
        <v>511</v>
      </c>
      <c r="B4571" s="1371" t="str">
        <f>HYPERLINK(IFERROR("#Main_Tariff!A"&amp;MATCH(Raeburn_Main_Tariff[[#This Row],[Product Code]],Main_Tariff!I:I,0),"#Main_Tariff!A"&amp;MATCH("*"&amp;RIGHT(A4571,8)&amp;"*",Main_Tariff!A:A,0)),Raeburn_Main_Tariff[[#This Row],[PRODUCER]])</f>
        <v>Mas de la Pansa</v>
      </c>
      <c r="C4571" s="1178" t="s">
        <v>22305</v>
      </c>
      <c r="D4571" s="1178" t="s">
        <v>1370</v>
      </c>
      <c r="E4571" s="1179">
        <v>2019</v>
      </c>
      <c r="F4571" s="1282" t="s">
        <v>20220</v>
      </c>
      <c r="G4571" s="1368">
        <v>23.5</v>
      </c>
      <c r="H4571" s="1178" t="s">
        <v>20221</v>
      </c>
      <c r="I4571" s="1178" t="s">
        <v>14486</v>
      </c>
      <c r="J4571" s="1178" t="s">
        <v>22269</v>
      </c>
      <c r="K4571" s="1178" t="s">
        <v>22304</v>
      </c>
      <c r="L4571" s="1178"/>
      <c r="M4571" s="1369"/>
      <c r="N4571" s="1178" t="s">
        <v>20244</v>
      </c>
      <c r="O4571" s="1178">
        <v>6</v>
      </c>
      <c r="P4571" s="1178">
        <v>14</v>
      </c>
    </row>
    <row r="4572" spans="1:16">
      <c r="A4572" s="1178" t="s">
        <v>511</v>
      </c>
      <c r="B4572" s="1371" t="str">
        <f>HYPERLINK(IFERROR("#Main_Tariff!A"&amp;MATCH(Raeburn_Main_Tariff[[#This Row],[Product Code]],Main_Tariff!I:I,0),"#Main_Tariff!A"&amp;MATCH("*"&amp;RIGHT(A4572,8)&amp;"*",Main_Tariff!A:A,0)),Raeburn_Main_Tariff[[#This Row],[PRODUCER]])</f>
        <v>Mas de la Pansa</v>
      </c>
      <c r="C4572" s="1178" t="s">
        <v>22306</v>
      </c>
      <c r="D4572" s="1178" t="s">
        <v>897</v>
      </c>
      <c r="E4572" s="1179">
        <v>2016</v>
      </c>
      <c r="F4572" s="1282" t="s">
        <v>20220</v>
      </c>
      <c r="G4572" s="1368">
        <v>26</v>
      </c>
      <c r="H4572" s="1178" t="s">
        <v>20221</v>
      </c>
      <c r="I4572" s="1178" t="s">
        <v>14489</v>
      </c>
      <c r="J4572" s="1178" t="s">
        <v>22269</v>
      </c>
      <c r="K4572" s="1178" t="s">
        <v>22304</v>
      </c>
      <c r="L4572" s="1178"/>
      <c r="M4572" s="1369"/>
      <c r="N4572" s="1178" t="s">
        <v>20244</v>
      </c>
      <c r="O4572" s="1178">
        <v>12</v>
      </c>
      <c r="P4572" s="1178">
        <v>12.5</v>
      </c>
    </row>
    <row r="4573" spans="1:16">
      <c r="A4573" s="1178" t="s">
        <v>513</v>
      </c>
      <c r="B4573" s="1371" t="str">
        <f>HYPERLINK(IFERROR("#Main_Tariff!A"&amp;MATCH(Raeburn_Main_Tariff[[#This Row],[Product Code]],Main_Tariff!I:I,0),"#Main_Tariff!A"&amp;MATCH("*"&amp;RIGHT(A4573,8)&amp;"*",Main_Tariff!A:A,0)),Raeburn_Main_Tariff[[#This Row],[PRODUCER]])</f>
        <v>Clos Berenguer</v>
      </c>
      <c r="C4573" s="1178" t="s">
        <v>22307</v>
      </c>
      <c r="D4573" s="1178" t="s">
        <v>897</v>
      </c>
      <c r="E4573" s="1179">
        <v>2021</v>
      </c>
      <c r="F4573" s="1282" t="s">
        <v>20220</v>
      </c>
      <c r="G4573" s="1368">
        <v>13.5</v>
      </c>
      <c r="H4573" s="1178" t="s">
        <v>20221</v>
      </c>
      <c r="I4573" s="1178" t="s">
        <v>14503</v>
      </c>
      <c r="J4573" s="1178" t="s">
        <v>22269</v>
      </c>
      <c r="K4573" s="1178" t="s">
        <v>512</v>
      </c>
      <c r="L4573" s="1178"/>
      <c r="M4573" s="1369"/>
      <c r="N4573" s="1178"/>
      <c r="O4573" s="1178">
        <v>12</v>
      </c>
      <c r="P4573" s="1178">
        <v>14.5</v>
      </c>
    </row>
    <row r="4574" spans="1:16">
      <c r="A4574" s="1178" t="s">
        <v>513</v>
      </c>
      <c r="B4574" s="1371" t="str">
        <f>HYPERLINK(IFERROR("#Main_Tariff!A"&amp;MATCH(Raeburn_Main_Tariff[[#This Row],[Product Code]],Main_Tariff!I:I,0),"#Main_Tariff!A"&amp;MATCH("*"&amp;RIGHT(A4574,8)&amp;"*",Main_Tariff!A:A,0)),Raeburn_Main_Tariff[[#This Row],[PRODUCER]])</f>
        <v>Clos Berenguer</v>
      </c>
      <c r="C4574" s="1178" t="s">
        <v>22308</v>
      </c>
      <c r="D4574" s="1178" t="s">
        <v>897</v>
      </c>
      <c r="E4574" s="1179">
        <v>2019</v>
      </c>
      <c r="F4574" s="1282" t="s">
        <v>20220</v>
      </c>
      <c r="G4574" s="1368">
        <v>22.5</v>
      </c>
      <c r="H4574" s="1178" t="s">
        <v>20221</v>
      </c>
      <c r="I4574" s="1178" t="s">
        <v>14505</v>
      </c>
      <c r="J4574" s="1178" t="s">
        <v>22269</v>
      </c>
      <c r="K4574" s="1178" t="s">
        <v>512</v>
      </c>
      <c r="L4574" s="1178"/>
      <c r="M4574" s="1369"/>
      <c r="N4574" s="1178"/>
      <c r="O4574" s="1178">
        <v>6</v>
      </c>
      <c r="P4574" s="1178">
        <v>14.5</v>
      </c>
    </row>
    <row r="4575" spans="1:16">
      <c r="A4575" s="1178" t="s">
        <v>513</v>
      </c>
      <c r="B4575" s="1371" t="str">
        <f>HYPERLINK(IFERROR("#Main_Tariff!A"&amp;MATCH(Raeburn_Main_Tariff[[#This Row],[Product Code]],Main_Tariff!I:I,0),"#Main_Tariff!A"&amp;MATCH("*"&amp;RIGHT(A4575,8)&amp;"*",Main_Tariff!A:A,0)),Raeburn_Main_Tariff[[#This Row],[PRODUCER]])</f>
        <v>Clos Berenguer</v>
      </c>
      <c r="C4575" s="1178" t="s">
        <v>22308</v>
      </c>
      <c r="D4575" s="1178" t="s">
        <v>897</v>
      </c>
      <c r="E4575" s="1179">
        <v>2013</v>
      </c>
      <c r="F4575" s="1282" t="s">
        <v>20220</v>
      </c>
      <c r="G4575" s="1368">
        <v>22</v>
      </c>
      <c r="H4575" s="1178" t="s">
        <v>20221</v>
      </c>
      <c r="I4575" s="1178" t="s">
        <v>14507</v>
      </c>
      <c r="J4575" s="1178" t="s">
        <v>22269</v>
      </c>
      <c r="K4575" s="1178" t="s">
        <v>512</v>
      </c>
      <c r="L4575" s="1178"/>
      <c r="M4575" s="1369"/>
      <c r="N4575" s="1178"/>
      <c r="O4575" s="1178">
        <v>6</v>
      </c>
      <c r="P4575" s="1178">
        <v>15.5</v>
      </c>
    </row>
    <row r="4576" spans="1:16">
      <c r="A4576" s="1178" t="s">
        <v>515</v>
      </c>
      <c r="B4576" s="1371" t="str">
        <f>HYPERLINK(IFERROR("#Main_Tariff!A"&amp;MATCH(Raeburn_Main_Tariff[[#This Row],[Product Code]],Main_Tariff!I:I,0),"#Main_Tariff!A"&amp;MATCH("*"&amp;RIGHT(A4576,8)&amp;"*",Main_Tariff!A:A,0)),Raeburn_Main_Tariff[[#This Row],[PRODUCER]])</f>
        <v>Clos Pinell</v>
      </c>
      <c r="C4576" s="1178" t="s">
        <v>22309</v>
      </c>
      <c r="D4576" s="1178" t="s">
        <v>1129</v>
      </c>
      <c r="E4576" s="1179">
        <v>2024</v>
      </c>
      <c r="F4576" s="1282" t="s">
        <v>20220</v>
      </c>
      <c r="G4576" s="1368">
        <v>10.25</v>
      </c>
      <c r="H4576" s="1178" t="s">
        <v>20221</v>
      </c>
      <c r="I4576" s="1178" t="s">
        <v>14514</v>
      </c>
      <c r="J4576" s="1178" t="s">
        <v>22269</v>
      </c>
      <c r="K4576" s="1178" t="s">
        <v>514</v>
      </c>
      <c r="L4576" s="1178"/>
      <c r="M4576" s="1369"/>
      <c r="N4576" s="1178"/>
      <c r="O4576" s="1178">
        <v>6</v>
      </c>
      <c r="P4576" s="1178">
        <v>13</v>
      </c>
    </row>
    <row r="4577" spans="1:16">
      <c r="A4577" s="1178" t="s">
        <v>515</v>
      </c>
      <c r="B4577" s="1371" t="str">
        <f>HYPERLINK(IFERROR("#Main_Tariff!A"&amp;MATCH(Raeburn_Main_Tariff[[#This Row],[Product Code]],Main_Tariff!I:I,0),"#Main_Tariff!A"&amp;MATCH("*"&amp;RIGHT(A4577,8)&amp;"*",Main_Tariff!A:A,0)),Raeburn_Main_Tariff[[#This Row],[PRODUCER]])</f>
        <v>Clos Pinell</v>
      </c>
      <c r="C4577" s="1178" t="s">
        <v>22309</v>
      </c>
      <c r="D4577" s="1178" t="s">
        <v>1129</v>
      </c>
      <c r="E4577" s="1179">
        <v>2020</v>
      </c>
      <c r="F4577" s="1282" t="s">
        <v>20220</v>
      </c>
      <c r="G4577" s="1368">
        <v>9.5</v>
      </c>
      <c r="H4577" s="1178" t="s">
        <v>20277</v>
      </c>
      <c r="I4577" s="1178" t="s">
        <v>14516</v>
      </c>
      <c r="J4577" s="1178" t="s">
        <v>22269</v>
      </c>
      <c r="K4577" s="1178" t="s">
        <v>514</v>
      </c>
      <c r="L4577" s="1178"/>
      <c r="M4577" s="1369"/>
      <c r="N4577" s="1178"/>
      <c r="O4577" s="1178">
        <v>6</v>
      </c>
      <c r="P4577" s="1178">
        <v>13.5</v>
      </c>
    </row>
    <row r="4578" spans="1:16">
      <c r="A4578" s="1178" t="s">
        <v>515</v>
      </c>
      <c r="B4578" s="1371" t="str">
        <f>HYPERLINK(IFERROR("#Main_Tariff!A"&amp;MATCH(Raeburn_Main_Tariff[[#This Row],[Product Code]],Main_Tariff!I:I,0),"#Main_Tariff!A"&amp;MATCH("*"&amp;RIGHT(A4578,8)&amp;"*",Main_Tariff!A:A,0)),Raeburn_Main_Tariff[[#This Row],[PRODUCER]])</f>
        <v>Clos Pinell</v>
      </c>
      <c r="C4578" s="1178" t="s">
        <v>22310</v>
      </c>
      <c r="D4578" s="1178" t="s">
        <v>2573</v>
      </c>
      <c r="E4578" s="1179">
        <v>2024</v>
      </c>
      <c r="F4578" s="1282" t="s">
        <v>20220</v>
      </c>
      <c r="G4578" s="1368">
        <v>10.25</v>
      </c>
      <c r="H4578" s="1178" t="s">
        <v>20221</v>
      </c>
      <c r="I4578" s="1178" t="s">
        <v>14518</v>
      </c>
      <c r="J4578" s="1178" t="s">
        <v>22269</v>
      </c>
      <c r="K4578" s="1178" t="s">
        <v>514</v>
      </c>
      <c r="L4578" s="1178"/>
      <c r="M4578" s="1369"/>
      <c r="N4578" s="1178"/>
      <c r="O4578" s="1178">
        <v>6</v>
      </c>
      <c r="P4578" s="1178">
        <v>13</v>
      </c>
    </row>
    <row r="4579" spans="1:16">
      <c r="A4579" s="1178" t="s">
        <v>515</v>
      </c>
      <c r="B4579" s="1371" t="str">
        <f>HYPERLINK(IFERROR("#Main_Tariff!A"&amp;MATCH(Raeburn_Main_Tariff[[#This Row],[Product Code]],Main_Tariff!I:I,0),"#Main_Tariff!A"&amp;MATCH("*"&amp;RIGHT(A4579,8)&amp;"*",Main_Tariff!A:A,0)),Raeburn_Main_Tariff[[#This Row],[PRODUCER]])</f>
        <v>Clos Pinell</v>
      </c>
      <c r="C4579" s="1178" t="s">
        <v>22311</v>
      </c>
      <c r="D4579" s="1178" t="s">
        <v>897</v>
      </c>
      <c r="E4579" s="1179">
        <v>2020</v>
      </c>
      <c r="F4579" s="1282" t="s">
        <v>20220</v>
      </c>
      <c r="G4579" s="1368">
        <v>9.5</v>
      </c>
      <c r="H4579" s="1178" t="s">
        <v>20221</v>
      </c>
      <c r="I4579" s="1178" t="s">
        <v>14520</v>
      </c>
      <c r="J4579" s="1178" t="s">
        <v>22269</v>
      </c>
      <c r="K4579" s="1178" t="s">
        <v>514</v>
      </c>
      <c r="L4579" s="1178"/>
      <c r="M4579" s="1369"/>
      <c r="N4579" s="1178"/>
      <c r="O4579" s="1178">
        <v>6</v>
      </c>
      <c r="P4579" s="1178">
        <v>13</v>
      </c>
    </row>
    <row r="4580" spans="1:16">
      <c r="A4580" s="1178" t="s">
        <v>22312</v>
      </c>
      <c r="B4580" s="1371" t="str">
        <f>HYPERLINK(IFERROR("#Main_Tariff!A"&amp;MATCH(Raeburn_Main_Tariff[[#This Row],[Product Code]],Main_Tariff!I:I,0),"#Main_Tariff!A"&amp;MATCH("*"&amp;RIGHT(A4580,8)&amp;"*",Main_Tariff!A:A,0)),Raeburn_Main_Tariff[[#This Row],[PRODUCER]])</f>
        <v>Cellers Tarroné</v>
      </c>
      <c r="C4580" s="1178" t="s">
        <v>22313</v>
      </c>
      <c r="D4580" s="1178" t="s">
        <v>897</v>
      </c>
      <c r="E4580" s="1179">
        <v>2019</v>
      </c>
      <c r="F4580" s="1282" t="s">
        <v>20220</v>
      </c>
      <c r="G4580" s="1368">
        <v>11.5</v>
      </c>
      <c r="H4580" s="1178" t="s">
        <v>20221</v>
      </c>
      <c r="I4580" s="1178" t="s">
        <v>14524</v>
      </c>
      <c r="J4580" s="1178" t="s">
        <v>22269</v>
      </c>
      <c r="K4580" s="1178" t="s">
        <v>514</v>
      </c>
      <c r="L4580" s="1178"/>
      <c r="M4580" s="1369"/>
      <c r="N4580" s="1178"/>
      <c r="O4580" s="1178">
        <v>12</v>
      </c>
      <c r="P4580" s="1178">
        <v>14</v>
      </c>
    </row>
    <row r="4581" spans="1:16">
      <c r="A4581" s="1178" t="s">
        <v>517</v>
      </c>
      <c r="B4581" s="1371" t="str">
        <f>HYPERLINK(IFERROR("#Main_Tariff!A"&amp;MATCH(Raeburn_Main_Tariff[[#This Row],[Product Code]],Main_Tariff!I:I,0),"#Main_Tariff!A"&amp;MATCH("*"&amp;RIGHT(A4581,8)&amp;"*",Main_Tariff!A:A,0)),Raeburn_Main_Tariff[[#This Row],[PRODUCER]])</f>
        <v>Gandesa</v>
      </c>
      <c r="C4581" s="1178" t="s">
        <v>22314</v>
      </c>
      <c r="D4581" s="1178" t="s">
        <v>897</v>
      </c>
      <c r="E4581" s="1179">
        <v>2006</v>
      </c>
      <c r="F4581" s="1282" t="s">
        <v>20220</v>
      </c>
      <c r="G4581" s="1368">
        <v>15.5</v>
      </c>
      <c r="H4581" s="1178" t="s">
        <v>20221</v>
      </c>
      <c r="I4581" s="1178" t="s">
        <v>14531</v>
      </c>
      <c r="J4581" s="1178" t="s">
        <v>22269</v>
      </c>
      <c r="K4581" s="1178" t="s">
        <v>514</v>
      </c>
      <c r="L4581" s="1178"/>
      <c r="M4581" s="1369"/>
      <c r="N4581" s="1178"/>
      <c r="O4581" s="1178">
        <v>6</v>
      </c>
      <c r="P4581" s="1178">
        <v>13.5</v>
      </c>
    </row>
    <row r="4582" spans="1:16">
      <c r="A4582" s="1178" t="s">
        <v>519</v>
      </c>
      <c r="B4582" s="1371" t="str">
        <f>HYPERLINK(IFERROR("#Main_Tariff!A"&amp;MATCH(Raeburn_Main_Tariff[[#This Row],[Product Code]],Main_Tariff!I:I,0),"#Main_Tariff!A"&amp;MATCH("*"&amp;RIGHT(A4582,8)&amp;"*",Main_Tariff!A:A,0)),Raeburn_Main_Tariff[[#This Row],[PRODUCER]])</f>
        <v>Les Tallades</v>
      </c>
      <c r="C4582" s="1178" t="s">
        <v>22315</v>
      </c>
      <c r="D4582" s="1178" t="s">
        <v>897</v>
      </c>
      <c r="E4582" s="1179">
        <v>2020</v>
      </c>
      <c r="F4582" s="1282" t="s">
        <v>20220</v>
      </c>
      <c r="G4582" s="1368">
        <v>11.75</v>
      </c>
      <c r="H4582" s="1178" t="s">
        <v>20221</v>
      </c>
      <c r="I4582" s="1178" t="s">
        <v>14538</v>
      </c>
      <c r="J4582" s="1178" t="s">
        <v>22269</v>
      </c>
      <c r="K4582" s="1178" t="s">
        <v>518</v>
      </c>
      <c r="L4582" s="1178"/>
      <c r="M4582" s="1369"/>
      <c r="N4582" s="1178"/>
      <c r="O4582" s="1178">
        <v>6</v>
      </c>
      <c r="P4582" s="1178">
        <v>13</v>
      </c>
    </row>
    <row r="4583" spans="1:16">
      <c r="A4583" s="1178" t="s">
        <v>519</v>
      </c>
      <c r="B4583" s="1371" t="str">
        <f>HYPERLINK(IFERROR("#Main_Tariff!A"&amp;MATCH(Raeburn_Main_Tariff[[#This Row],[Product Code]],Main_Tariff!I:I,0),"#Main_Tariff!A"&amp;MATCH("*"&amp;RIGHT(A4583,8)&amp;"*",Main_Tariff!A:A,0)),Raeburn_Main_Tariff[[#This Row],[PRODUCER]])</f>
        <v>Les Tallades</v>
      </c>
      <c r="C4583" s="1178" t="s">
        <v>22315</v>
      </c>
      <c r="D4583" s="1178" t="s">
        <v>897</v>
      </c>
      <c r="E4583" s="1179">
        <v>2017</v>
      </c>
      <c r="F4583" s="1282" t="s">
        <v>20220</v>
      </c>
      <c r="G4583" s="1368">
        <v>10.5</v>
      </c>
      <c r="H4583" s="1178" t="s">
        <v>20277</v>
      </c>
      <c r="I4583" s="1178" t="s">
        <v>14540</v>
      </c>
      <c r="J4583" s="1178" t="s">
        <v>22269</v>
      </c>
      <c r="K4583" s="1178" t="s">
        <v>518</v>
      </c>
      <c r="L4583" s="1178"/>
      <c r="M4583" s="1369"/>
      <c r="N4583" s="1178"/>
      <c r="O4583" s="1178">
        <v>6</v>
      </c>
      <c r="P4583" s="1178">
        <v>13.5</v>
      </c>
    </row>
    <row r="4584" spans="1:16">
      <c r="A4584" s="1178" t="s">
        <v>522</v>
      </c>
      <c r="B4584" s="1371" t="str">
        <f>HYPERLINK(IFERROR("#Main_Tariff!A"&amp;MATCH(Raeburn_Main_Tariff[[#This Row],[Product Code]],Main_Tariff!I:I,0),"#Main_Tariff!A"&amp;MATCH("*"&amp;RIGHT(A4584,8)&amp;"*",Main_Tariff!A:A,0)),Raeburn_Main_Tariff[[#This Row],[PRODUCER]])</f>
        <v>Hispano+Suizas</v>
      </c>
      <c r="C4584" s="1178" t="s">
        <v>22316</v>
      </c>
      <c r="D4584" s="1178" t="s">
        <v>1129</v>
      </c>
      <c r="E4584" s="1179">
        <v>2017</v>
      </c>
      <c r="F4584" s="1282" t="s">
        <v>20220</v>
      </c>
      <c r="G4584" s="1368">
        <v>20</v>
      </c>
      <c r="H4584" s="1178" t="s">
        <v>20221</v>
      </c>
      <c r="I4584" s="1178" t="s">
        <v>14545</v>
      </c>
      <c r="J4584" s="1178" t="s">
        <v>22269</v>
      </c>
      <c r="K4584" s="1178" t="s">
        <v>521</v>
      </c>
      <c r="L4584" s="1178"/>
      <c r="M4584" s="1369"/>
      <c r="N4584" s="1178"/>
      <c r="O4584" s="1178">
        <v>6</v>
      </c>
      <c r="P4584" s="1178">
        <v>13</v>
      </c>
    </row>
    <row r="4585" spans="1:16">
      <c r="A4585" s="1178" t="s">
        <v>522</v>
      </c>
      <c r="B4585" s="1371" t="str">
        <f>HYPERLINK(IFERROR("#Main_Tariff!A"&amp;MATCH(Raeburn_Main_Tariff[[#This Row],[Product Code]],Main_Tariff!I:I,0),"#Main_Tariff!A"&amp;MATCH("*"&amp;RIGHT(A4585,8)&amp;"*",Main_Tariff!A:A,0)),Raeburn_Main_Tariff[[#This Row],[PRODUCER]])</f>
        <v>Hispano+Suizas</v>
      </c>
      <c r="C4585" s="1178" t="s">
        <v>22317</v>
      </c>
      <c r="D4585" s="1178" t="s">
        <v>897</v>
      </c>
      <c r="E4585" s="1179">
        <v>2016</v>
      </c>
      <c r="F4585" s="1282" t="s">
        <v>20220</v>
      </c>
      <c r="G4585" s="1368">
        <v>20</v>
      </c>
      <c r="H4585" s="1178" t="s">
        <v>20221</v>
      </c>
      <c r="I4585" s="1178" t="s">
        <v>14547</v>
      </c>
      <c r="J4585" s="1178" t="s">
        <v>22269</v>
      </c>
      <c r="K4585" s="1178" t="s">
        <v>521</v>
      </c>
      <c r="L4585" s="1178"/>
      <c r="M4585" s="1369"/>
      <c r="N4585" s="1178"/>
      <c r="O4585" s="1178">
        <v>6</v>
      </c>
      <c r="P4585" s="1178">
        <v>14</v>
      </c>
    </row>
    <row r="4586" spans="1:16">
      <c r="A4586" s="1178" t="s">
        <v>522</v>
      </c>
      <c r="B4586" s="1371" t="str">
        <f>HYPERLINK(IFERROR("#Main_Tariff!A"&amp;MATCH(Raeburn_Main_Tariff[[#This Row],[Product Code]],Main_Tariff!I:I,0),"#Main_Tariff!A"&amp;MATCH("*"&amp;RIGHT(A4586,8)&amp;"*",Main_Tariff!A:A,0)),Raeburn_Main_Tariff[[#This Row],[PRODUCER]])</f>
        <v>Hispano+Suizas</v>
      </c>
      <c r="C4586" s="1178" t="s">
        <v>22318</v>
      </c>
      <c r="D4586" s="1178" t="s">
        <v>897</v>
      </c>
      <c r="E4586" s="1179">
        <v>2012</v>
      </c>
      <c r="F4586" s="1282" t="s">
        <v>20220</v>
      </c>
      <c r="G4586" s="1368">
        <v>17.5</v>
      </c>
      <c r="H4586" s="1178" t="s">
        <v>20465</v>
      </c>
      <c r="I4586" s="1178" t="s">
        <v>14549</v>
      </c>
      <c r="J4586" s="1178" t="s">
        <v>22269</v>
      </c>
      <c r="K4586" s="1178" t="s">
        <v>521</v>
      </c>
      <c r="L4586" s="1178"/>
      <c r="M4586" s="1369"/>
      <c r="N4586" s="1178"/>
      <c r="O4586" s="1178">
        <v>6</v>
      </c>
      <c r="P4586" s="1178">
        <v>13.5</v>
      </c>
    </row>
    <row r="4587" spans="1:16">
      <c r="A4587" s="1178" t="s">
        <v>524</v>
      </c>
      <c r="B4587" s="1371" t="str">
        <f>HYPERLINK(IFERROR("#Main_Tariff!A"&amp;MATCH(Raeburn_Main_Tariff[[#This Row],[Product Code]],Main_Tariff!I:I,0),"#Main_Tariff!A"&amp;MATCH("*"&amp;RIGHT(A4587,8)&amp;"*",Main_Tariff!A:A,0)),Raeburn_Main_Tariff[[#This Row],[PRODUCER]])</f>
        <v>Esencia Rural</v>
      </c>
      <c r="C4587" s="1178" t="s">
        <v>22319</v>
      </c>
      <c r="D4587" s="1178" t="s">
        <v>1370</v>
      </c>
      <c r="E4587" s="1179">
        <v>2013</v>
      </c>
      <c r="F4587" s="1282" t="s">
        <v>20220</v>
      </c>
      <c r="G4587" s="1368">
        <v>10</v>
      </c>
      <c r="H4587" s="1178" t="s">
        <v>20277</v>
      </c>
      <c r="I4587" s="1178" t="s">
        <v>14555</v>
      </c>
      <c r="J4587" s="1178" t="s">
        <v>22269</v>
      </c>
      <c r="K4587" s="1178" t="s">
        <v>523</v>
      </c>
      <c r="L4587" s="1178"/>
      <c r="M4587" s="1369"/>
      <c r="N4587" s="1178"/>
      <c r="O4587" s="1178">
        <v>6</v>
      </c>
      <c r="P4587" s="1178">
        <v>12</v>
      </c>
    </row>
    <row r="4588" spans="1:16">
      <c r="A4588" s="1178" t="s">
        <v>524</v>
      </c>
      <c r="B4588" s="1371" t="str">
        <f>HYPERLINK(IFERROR("#Main_Tariff!A"&amp;MATCH(Raeburn_Main_Tariff[[#This Row],[Product Code]],Main_Tariff!I:I,0),"#Main_Tariff!A"&amp;MATCH("*"&amp;RIGHT(A4588,8)&amp;"*",Main_Tariff!A:A,0)),Raeburn_Main_Tariff[[#This Row],[PRODUCER]])</f>
        <v>Esencia Rural</v>
      </c>
      <c r="C4588" s="1178" t="s">
        <v>22320</v>
      </c>
      <c r="D4588" s="1178" t="s">
        <v>897</v>
      </c>
      <c r="E4588" s="1179">
        <v>2016</v>
      </c>
      <c r="F4588" s="1282" t="s">
        <v>20220</v>
      </c>
      <c r="G4588" s="1368">
        <v>10</v>
      </c>
      <c r="H4588" s="1178" t="s">
        <v>20221</v>
      </c>
      <c r="I4588" s="1178" t="s">
        <v>14559</v>
      </c>
      <c r="J4588" s="1178" t="s">
        <v>22269</v>
      </c>
      <c r="K4588" s="1178" t="s">
        <v>523</v>
      </c>
      <c r="L4588" s="1178"/>
      <c r="M4588" s="1369"/>
      <c r="N4588" s="1178"/>
      <c r="O4588" s="1178">
        <v>6</v>
      </c>
      <c r="P4588" s="1178">
        <v>13</v>
      </c>
    </row>
    <row r="4589" spans="1:16">
      <c r="A4589" s="1178" t="s">
        <v>524</v>
      </c>
      <c r="B4589" s="1371" t="str">
        <f>HYPERLINK(IFERROR("#Main_Tariff!A"&amp;MATCH(Raeburn_Main_Tariff[[#This Row],[Product Code]],Main_Tariff!I:I,0),"#Main_Tariff!A"&amp;MATCH("*"&amp;RIGHT(A4589,8)&amp;"*",Main_Tariff!A:A,0)),Raeburn_Main_Tariff[[#This Row],[PRODUCER]])</f>
        <v>Esencia Rural</v>
      </c>
      <c r="C4589" s="1178" t="s">
        <v>22320</v>
      </c>
      <c r="D4589" s="1178" t="s">
        <v>897</v>
      </c>
      <c r="E4589" s="1179">
        <v>2013</v>
      </c>
      <c r="F4589" s="1282" t="s">
        <v>20220</v>
      </c>
      <c r="G4589" s="1368">
        <v>10</v>
      </c>
      <c r="H4589" s="1178" t="s">
        <v>20277</v>
      </c>
      <c r="I4589" s="1178" t="s">
        <v>14561</v>
      </c>
      <c r="J4589" s="1178" t="s">
        <v>22269</v>
      </c>
      <c r="K4589" s="1178" t="s">
        <v>523</v>
      </c>
      <c r="L4589" s="1178"/>
      <c r="M4589" s="1369"/>
      <c r="N4589" s="1178"/>
      <c r="O4589" s="1178">
        <v>6</v>
      </c>
      <c r="P4589" s="1178">
        <v>13</v>
      </c>
    </row>
    <row r="4590" spans="1:16">
      <c r="A4590" s="1178" t="s">
        <v>524</v>
      </c>
      <c r="B4590" s="1371" t="str">
        <f>HYPERLINK(IFERROR("#Main_Tariff!A"&amp;MATCH(Raeburn_Main_Tariff[[#This Row],[Product Code]],Main_Tariff!I:I,0),"#Main_Tariff!A"&amp;MATCH("*"&amp;RIGHT(A4590,8)&amp;"*",Main_Tariff!A:A,0)),Raeburn_Main_Tariff[[#This Row],[PRODUCER]])</f>
        <v>Esencia Rural</v>
      </c>
      <c r="C4590" s="1178" t="s">
        <v>22321</v>
      </c>
      <c r="D4590" s="1178" t="s">
        <v>897</v>
      </c>
      <c r="E4590" s="1179">
        <v>2010</v>
      </c>
      <c r="F4590" s="1282" t="s">
        <v>20220</v>
      </c>
      <c r="G4590" s="1368">
        <v>19.5</v>
      </c>
      <c r="H4590" s="1178" t="s">
        <v>20277</v>
      </c>
      <c r="I4590" s="1178" t="s">
        <v>14563</v>
      </c>
      <c r="J4590" s="1178" t="s">
        <v>22269</v>
      </c>
      <c r="K4590" s="1178" t="s">
        <v>523</v>
      </c>
      <c r="L4590" s="1178"/>
      <c r="M4590" s="1369"/>
      <c r="N4590" s="1178"/>
      <c r="O4590" s="1178">
        <v>6</v>
      </c>
      <c r="P4590" s="1178">
        <v>0</v>
      </c>
    </row>
    <row r="4591" spans="1:16">
      <c r="A4591" s="1178" t="s">
        <v>650</v>
      </c>
      <c r="B4591" s="1371" t="str">
        <f>HYPERLINK(IFERROR("#Main_Tariff!A"&amp;MATCH(Raeburn_Main_Tariff[[#This Row],[Product Code]],Main_Tariff!I:I,0),"#Main_Tariff!A"&amp;MATCH("*"&amp;RIGHT(A4591,8)&amp;"*",Main_Tariff!A:A,0)),Raeburn_Main_Tariff[[#This Row],[PRODUCER]])</f>
        <v>Niepoort</v>
      </c>
      <c r="C4591" s="1178" t="s">
        <v>22322</v>
      </c>
      <c r="D4591" s="1178" t="s">
        <v>1129</v>
      </c>
      <c r="E4591" s="1179">
        <v>2020</v>
      </c>
      <c r="F4591" s="1282" t="s">
        <v>20220</v>
      </c>
      <c r="G4591" s="1368">
        <v>27.75</v>
      </c>
      <c r="H4591" s="1178" t="s">
        <v>20221</v>
      </c>
      <c r="I4591" s="1178" t="s">
        <v>14571</v>
      </c>
      <c r="J4591" s="1178" t="s">
        <v>19704</v>
      </c>
      <c r="K4591" s="1178" t="s">
        <v>526</v>
      </c>
      <c r="L4591" s="1178"/>
      <c r="M4591" s="1369"/>
      <c r="N4591" s="1178"/>
      <c r="O4591" s="1178">
        <v>6</v>
      </c>
      <c r="P4591" s="1178">
        <v>12</v>
      </c>
    </row>
    <row r="4592" spans="1:16">
      <c r="A4592" s="1178" t="s">
        <v>22323</v>
      </c>
      <c r="B4592" s="1371" t="str">
        <f>HYPERLINK(IFERROR("#Main_Tariff!A"&amp;MATCH(Raeburn_Main_Tariff[[#This Row],[Product Code]],Main_Tariff!I:I,0),"#Main_Tariff!A"&amp;MATCH("*"&amp;RIGHT(A4592,8)&amp;"*",Main_Tariff!A:A,0)),Raeburn_Main_Tariff[[#This Row],[PRODUCER]])</f>
        <v>Quinta do Montinho</v>
      </c>
      <c r="C4592" s="1178" t="s">
        <v>22324</v>
      </c>
      <c r="D4592" s="1178" t="s">
        <v>1129</v>
      </c>
      <c r="E4592" s="1179">
        <v>2023</v>
      </c>
      <c r="F4592" s="1282" t="s">
        <v>20220</v>
      </c>
      <c r="G4592" s="1368">
        <v>13.95</v>
      </c>
      <c r="H4592" s="1178" t="s">
        <v>20221</v>
      </c>
      <c r="I4592" s="1178" t="s">
        <v>14577</v>
      </c>
      <c r="J4592" s="1178" t="s">
        <v>19704</v>
      </c>
      <c r="K4592" s="1178" t="s">
        <v>528</v>
      </c>
      <c r="L4592" s="1178" t="s">
        <v>22325</v>
      </c>
      <c r="M4592" s="1369"/>
      <c r="N4592" s="1178"/>
      <c r="O4592" s="1178">
        <v>6</v>
      </c>
      <c r="P4592" s="1178">
        <v>12.5</v>
      </c>
    </row>
    <row r="4593" spans="1:16">
      <c r="A4593" s="1178" t="s">
        <v>650</v>
      </c>
      <c r="B4593" s="1371" t="str">
        <f>HYPERLINK(IFERROR("#Main_Tariff!A"&amp;MATCH(Raeburn_Main_Tariff[[#This Row],[Product Code]],Main_Tariff!I:I,0),"#Main_Tariff!A"&amp;MATCH("*"&amp;RIGHT(A4593,8)&amp;"*",Main_Tariff!A:A,0)),Raeburn_Main_Tariff[[#This Row],[PRODUCER]])</f>
        <v>Niepoort</v>
      </c>
      <c r="C4593" s="1178" t="s">
        <v>22326</v>
      </c>
      <c r="D4593" s="1178" t="s">
        <v>1129</v>
      </c>
      <c r="E4593" s="1179">
        <v>2023</v>
      </c>
      <c r="F4593" s="1282" t="s">
        <v>20220</v>
      </c>
      <c r="G4593" s="1368">
        <v>12.5</v>
      </c>
      <c r="H4593" s="1178" t="s">
        <v>20221</v>
      </c>
      <c r="I4593" s="1178" t="s">
        <v>14587</v>
      </c>
      <c r="J4593" s="1178" t="s">
        <v>19704</v>
      </c>
      <c r="K4593" s="1178" t="s">
        <v>528</v>
      </c>
      <c r="L4593" s="1178" t="s">
        <v>22325</v>
      </c>
      <c r="M4593" s="1369"/>
      <c r="N4593" s="1178"/>
      <c r="O4593" s="1178">
        <v>12</v>
      </c>
      <c r="P4593" s="1178">
        <v>11.5</v>
      </c>
    </row>
    <row r="4594" spans="1:16">
      <c r="A4594" s="1178" t="s">
        <v>22327</v>
      </c>
      <c r="B4594" s="1371" t="str">
        <f>HYPERLINK(IFERROR("#Main_Tariff!A"&amp;MATCH(Raeburn_Main_Tariff[[#This Row],[Product Code]],Main_Tariff!I:I,0),"#Main_Tariff!A"&amp;MATCH("*"&amp;RIGHT(A4594,8)&amp;"*",Main_Tariff!A:A,0)),Raeburn_Main_Tariff[[#This Row],[PRODUCER]])</f>
        <v>Niepoort Quinta de Napoles</v>
      </c>
      <c r="C4594" s="1178" t="s">
        <v>22328</v>
      </c>
      <c r="D4594" s="1178" t="s">
        <v>2573</v>
      </c>
      <c r="E4594" s="1179">
        <v>2022</v>
      </c>
      <c r="F4594" s="1282" t="s">
        <v>20220</v>
      </c>
      <c r="G4594" s="1368">
        <v>14.25</v>
      </c>
      <c r="H4594" s="1178" t="s">
        <v>20221</v>
      </c>
      <c r="I4594" s="1178" t="s">
        <v>14601</v>
      </c>
      <c r="J4594" s="1178" t="s">
        <v>19704</v>
      </c>
      <c r="K4594" s="1178" t="s">
        <v>531</v>
      </c>
      <c r="L4594" s="1178"/>
      <c r="M4594" s="1369"/>
      <c r="N4594" s="1178"/>
      <c r="O4594" s="1178">
        <v>6</v>
      </c>
      <c r="P4594" s="1178">
        <v>12</v>
      </c>
    </row>
    <row r="4595" spans="1:16">
      <c r="A4595" s="1178" t="s">
        <v>22327</v>
      </c>
      <c r="B4595" s="1371" t="str">
        <f>HYPERLINK(IFERROR("#Main_Tariff!A"&amp;MATCH(Raeburn_Main_Tariff[[#This Row],[Product Code]],Main_Tariff!I:I,0),"#Main_Tariff!A"&amp;MATCH("*"&amp;RIGHT(A4595,8)&amp;"*",Main_Tariff!A:A,0)),Raeburn_Main_Tariff[[#This Row],[PRODUCER]])</f>
        <v>Niepoort Quinta de Napoles</v>
      </c>
      <c r="C4595" s="1178" t="s">
        <v>22329</v>
      </c>
      <c r="D4595" s="1178" t="s">
        <v>1129</v>
      </c>
      <c r="E4595" s="1179">
        <v>2015</v>
      </c>
      <c r="F4595" s="1282" t="s">
        <v>20220</v>
      </c>
      <c r="G4595" s="1368">
        <v>12.5</v>
      </c>
      <c r="H4595" s="1178" t="s">
        <v>20465</v>
      </c>
      <c r="I4595" s="1178" t="s">
        <v>14605</v>
      </c>
      <c r="J4595" s="1178" t="s">
        <v>19704</v>
      </c>
      <c r="K4595" s="1178" t="s">
        <v>531</v>
      </c>
      <c r="L4595" s="1178"/>
      <c r="M4595" s="1369"/>
      <c r="N4595" s="1178"/>
      <c r="O4595" s="1178">
        <v>6</v>
      </c>
      <c r="P4595" s="1178">
        <v>12.5</v>
      </c>
    </row>
    <row r="4596" spans="1:16">
      <c r="A4596" s="1178" t="s">
        <v>22327</v>
      </c>
      <c r="B4596" s="1371" t="str">
        <f>HYPERLINK(IFERROR("#Main_Tariff!A"&amp;MATCH(Raeburn_Main_Tariff[[#This Row],[Product Code]],Main_Tariff!I:I,0),"#Main_Tariff!A"&amp;MATCH("*"&amp;RIGHT(A4596,8)&amp;"*",Main_Tariff!A:A,0)),Raeburn_Main_Tariff[[#This Row],[PRODUCER]])</f>
        <v>Niepoort Quinta de Napoles</v>
      </c>
      <c r="C4596" s="1178" t="s">
        <v>22330</v>
      </c>
      <c r="D4596" s="1178" t="s">
        <v>1129</v>
      </c>
      <c r="E4596" s="1179">
        <v>2021</v>
      </c>
      <c r="F4596" s="1282" t="s">
        <v>20220</v>
      </c>
      <c r="G4596" s="1368">
        <v>25.75</v>
      </c>
      <c r="H4596" s="1178" t="s">
        <v>20221</v>
      </c>
      <c r="I4596" s="1178" t="s">
        <v>14606</v>
      </c>
      <c r="J4596" s="1178" t="s">
        <v>19704</v>
      </c>
      <c r="K4596" s="1178" t="s">
        <v>531</v>
      </c>
      <c r="L4596" s="1178"/>
      <c r="M4596" s="1369"/>
      <c r="N4596" s="1178"/>
      <c r="O4596" s="1178">
        <v>6</v>
      </c>
      <c r="P4596" s="1178">
        <v>11.5</v>
      </c>
    </row>
    <row r="4597" spans="1:16">
      <c r="A4597" s="1178" t="s">
        <v>22327</v>
      </c>
      <c r="B4597" s="1371" t="str">
        <f>HYPERLINK(IFERROR("#Main_Tariff!A"&amp;MATCH(Raeburn_Main_Tariff[[#This Row],[Product Code]],Main_Tariff!I:I,0),"#Main_Tariff!A"&amp;MATCH("*"&amp;RIGHT(A4597,8)&amp;"*",Main_Tariff!A:A,0)),Raeburn_Main_Tariff[[#This Row],[PRODUCER]])</f>
        <v>Niepoort Quinta de Napoles</v>
      </c>
      <c r="C4597" s="1178" t="s">
        <v>22331</v>
      </c>
      <c r="D4597" s="1178" t="s">
        <v>1129</v>
      </c>
      <c r="E4597" s="1179">
        <v>2023</v>
      </c>
      <c r="F4597" s="1282" t="s">
        <v>20220</v>
      </c>
      <c r="G4597" s="1368">
        <v>17</v>
      </c>
      <c r="H4597" s="1178" t="s">
        <v>20221</v>
      </c>
      <c r="I4597" s="1178" t="s">
        <v>14608</v>
      </c>
      <c r="J4597" s="1178" t="s">
        <v>19704</v>
      </c>
      <c r="K4597" s="1178" t="s">
        <v>531</v>
      </c>
      <c r="L4597" s="1178"/>
      <c r="M4597" s="1369"/>
      <c r="N4597" s="1178"/>
      <c r="O4597" s="1178">
        <v>6</v>
      </c>
      <c r="P4597" s="1178">
        <v>12</v>
      </c>
    </row>
    <row r="4598" spans="1:16">
      <c r="A4598" s="1178" t="s">
        <v>22327</v>
      </c>
      <c r="B4598" s="1371" t="str">
        <f>HYPERLINK(IFERROR("#Main_Tariff!A"&amp;MATCH(Raeburn_Main_Tariff[[#This Row],[Product Code]],Main_Tariff!I:I,0),"#Main_Tariff!A"&amp;MATCH("*"&amp;RIGHT(A4598,8)&amp;"*",Main_Tariff!A:A,0)),Raeburn_Main_Tariff[[#This Row],[PRODUCER]])</f>
        <v>Niepoort Quinta de Napoles</v>
      </c>
      <c r="C4598" s="1178" t="s">
        <v>22331</v>
      </c>
      <c r="D4598" s="1178" t="s">
        <v>1129</v>
      </c>
      <c r="E4598" s="1179">
        <v>2022</v>
      </c>
      <c r="F4598" s="1282" t="s">
        <v>20220</v>
      </c>
      <c r="G4598" s="1368">
        <v>17</v>
      </c>
      <c r="H4598" s="1178" t="s">
        <v>20277</v>
      </c>
      <c r="I4598" s="1178" t="s">
        <v>14610</v>
      </c>
      <c r="J4598" s="1178" t="s">
        <v>19704</v>
      </c>
      <c r="K4598" s="1178" t="s">
        <v>531</v>
      </c>
      <c r="L4598" s="1178"/>
      <c r="M4598" s="1369"/>
      <c r="N4598" s="1178"/>
      <c r="O4598" s="1178">
        <v>6</v>
      </c>
      <c r="P4598" s="1178">
        <v>12.5</v>
      </c>
    </row>
    <row r="4599" spans="1:16">
      <c r="A4599" s="1178" t="s">
        <v>22327</v>
      </c>
      <c r="B4599" s="1371" t="str">
        <f>HYPERLINK(IFERROR("#Main_Tariff!A"&amp;MATCH(Raeburn_Main_Tariff[[#This Row],[Product Code]],Main_Tariff!I:I,0),"#Main_Tariff!A"&amp;MATCH("*"&amp;RIGHT(A4599,8)&amp;"*",Main_Tariff!A:A,0)),Raeburn_Main_Tariff[[#This Row],[PRODUCER]])</f>
        <v>Niepoort Quinta de Napoles</v>
      </c>
      <c r="C4599" s="1178" t="s">
        <v>22332</v>
      </c>
      <c r="D4599" s="1178" t="s">
        <v>1129</v>
      </c>
      <c r="E4599" s="1179">
        <v>2023</v>
      </c>
      <c r="F4599" s="1282" t="s">
        <v>20220</v>
      </c>
      <c r="G4599" s="1368">
        <v>29.95</v>
      </c>
      <c r="H4599" s="1178" t="s">
        <v>20221</v>
      </c>
      <c r="I4599" s="1178" t="s">
        <v>23354</v>
      </c>
      <c r="J4599" s="1178" t="s">
        <v>19704</v>
      </c>
      <c r="K4599" s="1178" t="s">
        <v>531</v>
      </c>
      <c r="L4599" s="1178"/>
      <c r="M4599" s="1369"/>
      <c r="N4599" s="1178"/>
      <c r="O4599" s="1178">
        <v>6</v>
      </c>
      <c r="P4599" s="1178">
        <v>12.5</v>
      </c>
    </row>
    <row r="4600" spans="1:16">
      <c r="A4600" s="1178" t="s">
        <v>22327</v>
      </c>
      <c r="B4600" s="1371" t="str">
        <f>HYPERLINK(IFERROR("#Main_Tariff!A"&amp;MATCH(Raeburn_Main_Tariff[[#This Row],[Product Code]],Main_Tariff!I:I,0),"#Main_Tariff!A"&amp;MATCH("*"&amp;RIGHT(A4600,8)&amp;"*",Main_Tariff!A:A,0)),Raeburn_Main_Tariff[[#This Row],[PRODUCER]])</f>
        <v>Niepoort Quinta de Napoles</v>
      </c>
      <c r="C4600" s="1178" t="s">
        <v>22332</v>
      </c>
      <c r="D4600" s="1178" t="s">
        <v>1129</v>
      </c>
      <c r="E4600" s="1179">
        <v>2022</v>
      </c>
      <c r="F4600" s="1282" t="s">
        <v>20220</v>
      </c>
      <c r="G4600" s="1368">
        <v>30</v>
      </c>
      <c r="H4600" s="1178" t="s">
        <v>20221</v>
      </c>
      <c r="I4600" s="1178" t="s">
        <v>14612</v>
      </c>
      <c r="J4600" s="1178" t="s">
        <v>19704</v>
      </c>
      <c r="K4600" s="1178" t="s">
        <v>531</v>
      </c>
      <c r="L4600" s="1178"/>
      <c r="M4600" s="1369"/>
      <c r="N4600" s="1178"/>
      <c r="O4600" s="1178">
        <v>6</v>
      </c>
      <c r="P4600" s="1178">
        <v>12</v>
      </c>
    </row>
    <row r="4601" spans="1:16">
      <c r="A4601" s="1178" t="s">
        <v>22327</v>
      </c>
      <c r="B4601" s="1371" t="str">
        <f>HYPERLINK(IFERROR("#Main_Tariff!A"&amp;MATCH(Raeburn_Main_Tariff[[#This Row],[Product Code]],Main_Tariff!I:I,0),"#Main_Tariff!A"&amp;MATCH("*"&amp;RIGHT(A4601,8)&amp;"*",Main_Tariff!A:A,0)),Raeburn_Main_Tariff[[#This Row],[PRODUCER]])</f>
        <v>Niepoort Quinta de Napoles</v>
      </c>
      <c r="C4601" s="1178" t="s">
        <v>22333</v>
      </c>
      <c r="D4601" s="1178" t="s">
        <v>1129</v>
      </c>
      <c r="E4601" s="1179">
        <v>2022</v>
      </c>
      <c r="F4601" s="1282" t="s">
        <v>20220</v>
      </c>
      <c r="G4601" s="1368" t="s">
        <v>5258</v>
      </c>
      <c r="H4601" s="1178" t="s">
        <v>20221</v>
      </c>
      <c r="I4601" s="1178" t="s">
        <v>23355</v>
      </c>
      <c r="J4601" s="1178" t="s">
        <v>19704</v>
      </c>
      <c r="K4601" s="1178" t="s">
        <v>531</v>
      </c>
      <c r="L4601" s="1178"/>
      <c r="M4601" s="1369"/>
      <c r="N4601" s="1178"/>
      <c r="O4601" s="1178">
        <v>3</v>
      </c>
      <c r="P4601" s="1178">
        <v>12.5</v>
      </c>
    </row>
    <row r="4602" spans="1:16">
      <c r="A4602" s="1178" t="s">
        <v>22327</v>
      </c>
      <c r="B4602" s="1371" t="str">
        <f>HYPERLINK(IFERROR("#Main_Tariff!A"&amp;MATCH(Raeburn_Main_Tariff[[#This Row],[Product Code]],Main_Tariff!I:I,0),"#Main_Tariff!A"&amp;MATCH("*"&amp;RIGHT(A4602,8)&amp;"*",Main_Tariff!A:A,0)),Raeburn_Main_Tariff[[#This Row],[PRODUCER]])</f>
        <v>Niepoort Quinta de Napoles</v>
      </c>
      <c r="C4602" s="1178" t="s">
        <v>22334</v>
      </c>
      <c r="D4602" s="1178" t="s">
        <v>1129</v>
      </c>
      <c r="E4602" s="1179">
        <v>2019</v>
      </c>
      <c r="F4602" s="1282" t="s">
        <v>20313</v>
      </c>
      <c r="G4602" s="1368">
        <v>22</v>
      </c>
      <c r="H4602" s="1178" t="s">
        <v>20221</v>
      </c>
      <c r="I4602" s="1178" t="s">
        <v>14617</v>
      </c>
      <c r="J4602" s="1178" t="s">
        <v>19704</v>
      </c>
      <c r="K4602" s="1178" t="s">
        <v>531</v>
      </c>
      <c r="L4602" s="1178"/>
      <c r="M4602" s="1369"/>
      <c r="N4602" s="1178"/>
      <c r="O4602" s="1178">
        <v>6</v>
      </c>
      <c r="P4602" s="1178">
        <v>12.5</v>
      </c>
    </row>
    <row r="4603" spans="1:16">
      <c r="A4603" s="1178" t="s">
        <v>22327</v>
      </c>
      <c r="B4603" s="1371" t="str">
        <f>HYPERLINK(IFERROR("#Main_Tariff!A"&amp;MATCH(Raeburn_Main_Tariff[[#This Row],[Product Code]],Main_Tariff!I:I,0),"#Main_Tariff!A"&amp;MATCH("*"&amp;RIGHT(A4603,8)&amp;"*",Main_Tariff!A:A,0)),Raeburn_Main_Tariff[[#This Row],[PRODUCER]])</f>
        <v>Niepoort Quinta de Napoles</v>
      </c>
      <c r="C4603" s="1178" t="s">
        <v>22335</v>
      </c>
      <c r="D4603" s="1178" t="s">
        <v>1129</v>
      </c>
      <c r="E4603" s="1179">
        <v>2019</v>
      </c>
      <c r="F4603" s="1282" t="s">
        <v>20240</v>
      </c>
      <c r="G4603" s="1368">
        <v>35</v>
      </c>
      <c r="H4603" s="1178" t="s">
        <v>20224</v>
      </c>
      <c r="I4603" s="1178" t="s">
        <v>14621</v>
      </c>
      <c r="J4603" s="1178" t="s">
        <v>19704</v>
      </c>
      <c r="K4603" s="1178" t="s">
        <v>531</v>
      </c>
      <c r="L4603" s="1178"/>
      <c r="M4603" s="1369"/>
      <c r="N4603" s="1178"/>
      <c r="O4603" s="1178">
        <v>1</v>
      </c>
      <c r="P4603" s="1178">
        <v>12</v>
      </c>
    </row>
    <row r="4604" spans="1:16">
      <c r="A4604" s="1178" t="s">
        <v>22327</v>
      </c>
      <c r="B4604" s="1371" t="str">
        <f>HYPERLINK(IFERROR("#Main_Tariff!A"&amp;MATCH(Raeburn_Main_Tariff[[#This Row],[Product Code]],Main_Tariff!I:I,0),"#Main_Tariff!A"&amp;MATCH("*"&amp;RIGHT(A4604,8)&amp;"*",Main_Tariff!A:A,0)),Raeburn_Main_Tariff[[#This Row],[PRODUCER]])</f>
        <v>Niepoort Quinta de Napoles</v>
      </c>
      <c r="C4604" s="1178" t="s">
        <v>22336</v>
      </c>
      <c r="D4604" s="1178" t="s">
        <v>897</v>
      </c>
      <c r="E4604" s="1179">
        <v>2007</v>
      </c>
      <c r="F4604" s="1282" t="s">
        <v>20280</v>
      </c>
      <c r="G4604" s="1368">
        <v>15</v>
      </c>
      <c r="H4604" s="1178" t="s">
        <v>20221</v>
      </c>
      <c r="I4604" s="1178" t="s">
        <v>23356</v>
      </c>
      <c r="J4604" s="1178" t="s">
        <v>19704</v>
      </c>
      <c r="K4604" s="1178" t="s">
        <v>531</v>
      </c>
      <c r="L4604" s="1178"/>
      <c r="M4604" s="1369"/>
      <c r="N4604" s="1178"/>
      <c r="O4604" s="1178">
        <v>12</v>
      </c>
      <c r="P4604" s="1178">
        <v>13.5</v>
      </c>
    </row>
    <row r="4605" spans="1:16">
      <c r="A4605" s="1178" t="s">
        <v>22327</v>
      </c>
      <c r="B4605" s="1371" t="str">
        <f>HYPERLINK(IFERROR("#Main_Tariff!A"&amp;MATCH(Raeburn_Main_Tariff[[#This Row],[Product Code]],Main_Tariff!I:I,0),"#Main_Tariff!A"&amp;MATCH("*"&amp;RIGHT(A4605,8)&amp;"*",Main_Tariff!A:A,0)),Raeburn_Main_Tariff[[#This Row],[PRODUCER]])</f>
        <v>Niepoort Quinta de Napoles</v>
      </c>
      <c r="C4605" s="1178" t="s">
        <v>22337</v>
      </c>
      <c r="D4605" s="1178" t="s">
        <v>897</v>
      </c>
      <c r="E4605" s="1179">
        <v>2017</v>
      </c>
      <c r="F4605" s="1282" t="s">
        <v>20280</v>
      </c>
      <c r="G4605" s="1368">
        <v>22</v>
      </c>
      <c r="H4605" s="1178" t="s">
        <v>20224</v>
      </c>
      <c r="I4605" s="1178" t="s">
        <v>14626</v>
      </c>
      <c r="J4605" s="1178" t="s">
        <v>19704</v>
      </c>
      <c r="K4605" s="1178" t="s">
        <v>531</v>
      </c>
      <c r="L4605" s="1178"/>
      <c r="M4605" s="1369"/>
      <c r="N4605" s="1178"/>
      <c r="O4605" s="1178">
        <v>12</v>
      </c>
      <c r="P4605" s="1178">
        <v>13</v>
      </c>
    </row>
    <row r="4606" spans="1:16">
      <c r="A4606" s="1178" t="s">
        <v>22327</v>
      </c>
      <c r="B4606" s="1371" t="str">
        <f>HYPERLINK(IFERROR("#Main_Tariff!A"&amp;MATCH(Raeburn_Main_Tariff[[#This Row],[Product Code]],Main_Tariff!I:I,0),"#Main_Tariff!A"&amp;MATCH("*"&amp;RIGHT(A4606,8)&amp;"*",Main_Tariff!A:A,0)),Raeburn_Main_Tariff[[#This Row],[PRODUCER]])</f>
        <v>Niepoort Quinta de Napoles</v>
      </c>
      <c r="C4606" s="1178" t="s">
        <v>22337</v>
      </c>
      <c r="D4606" s="1178" t="s">
        <v>897</v>
      </c>
      <c r="E4606" s="1179">
        <v>2010</v>
      </c>
      <c r="F4606" s="1282" t="s">
        <v>20280</v>
      </c>
      <c r="G4606" s="1368">
        <v>24.5</v>
      </c>
      <c r="H4606" s="1178" t="s">
        <v>20221</v>
      </c>
      <c r="I4606" s="1178" t="s">
        <v>14628</v>
      </c>
      <c r="J4606" s="1178" t="s">
        <v>19704</v>
      </c>
      <c r="K4606" s="1178" t="s">
        <v>531</v>
      </c>
      <c r="L4606" s="1178"/>
      <c r="M4606" s="1369"/>
      <c r="N4606" s="1178"/>
      <c r="O4606" s="1178">
        <v>12</v>
      </c>
      <c r="P4606" s="1178">
        <v>13</v>
      </c>
    </row>
    <row r="4607" spans="1:16">
      <c r="A4607" s="1178" t="s">
        <v>22327</v>
      </c>
      <c r="B4607" s="1371" t="str">
        <f>HYPERLINK(IFERROR("#Main_Tariff!A"&amp;MATCH(Raeburn_Main_Tariff[[#This Row],[Product Code]],Main_Tariff!I:I,0),"#Main_Tariff!A"&amp;MATCH("*"&amp;RIGHT(A4607,8)&amp;"*",Main_Tariff!A:A,0)),Raeburn_Main_Tariff[[#This Row],[PRODUCER]])</f>
        <v>Niepoort Quinta de Napoles</v>
      </c>
      <c r="C4607" s="1178" t="s">
        <v>22338</v>
      </c>
      <c r="D4607" s="1178" t="s">
        <v>897</v>
      </c>
      <c r="E4607" s="1179">
        <v>2022</v>
      </c>
      <c r="F4607" s="1282" t="s">
        <v>20220</v>
      </c>
      <c r="G4607" s="1368">
        <v>11.5</v>
      </c>
      <c r="H4607" s="1178" t="s">
        <v>20221</v>
      </c>
      <c r="I4607" s="1178" t="s">
        <v>14632</v>
      </c>
      <c r="J4607" s="1178" t="s">
        <v>19704</v>
      </c>
      <c r="K4607" s="1178" t="s">
        <v>531</v>
      </c>
      <c r="L4607" s="1178"/>
      <c r="M4607" s="1369"/>
      <c r="N4607" s="1178" t="s">
        <v>20244</v>
      </c>
      <c r="O4607" s="1178">
        <v>6</v>
      </c>
      <c r="P4607" s="1178">
        <v>12.5</v>
      </c>
    </row>
    <row r="4608" spans="1:16">
      <c r="A4608" s="1178" t="s">
        <v>22327</v>
      </c>
      <c r="B4608" s="1371" t="str">
        <f>HYPERLINK(IFERROR("#Main_Tariff!A"&amp;MATCH(Raeburn_Main_Tariff[[#This Row],[Product Code]],Main_Tariff!I:I,0),"#Main_Tariff!A"&amp;MATCH("*"&amp;RIGHT(A4608,8)&amp;"*",Main_Tariff!A:A,0)),Raeburn_Main_Tariff[[#This Row],[PRODUCER]])</f>
        <v>Niepoort Quinta de Napoles</v>
      </c>
      <c r="C4608" s="1178" t="s">
        <v>22338</v>
      </c>
      <c r="D4608" s="1178" t="s">
        <v>897</v>
      </c>
      <c r="E4608" s="1179">
        <v>2021</v>
      </c>
      <c r="F4608" s="1282" t="s">
        <v>20220</v>
      </c>
      <c r="G4608" s="1368">
        <v>12.5</v>
      </c>
      <c r="H4608" s="1178" t="s">
        <v>20277</v>
      </c>
      <c r="I4608" s="1178" t="s">
        <v>14634</v>
      </c>
      <c r="J4608" s="1178" t="s">
        <v>19704</v>
      </c>
      <c r="K4608" s="1178" t="s">
        <v>531</v>
      </c>
      <c r="L4608" s="1178"/>
      <c r="M4608" s="1369"/>
      <c r="N4608" s="1178" t="s">
        <v>20244</v>
      </c>
      <c r="O4608" s="1178">
        <v>6</v>
      </c>
      <c r="P4608" s="1178">
        <v>12.5</v>
      </c>
    </row>
    <row r="4609" spans="1:16">
      <c r="A4609" s="1178" t="s">
        <v>22327</v>
      </c>
      <c r="B4609" s="1371" t="str">
        <f>HYPERLINK(IFERROR("#Main_Tariff!A"&amp;MATCH(Raeburn_Main_Tariff[[#This Row],[Product Code]],Main_Tariff!I:I,0),"#Main_Tariff!A"&amp;MATCH("*"&amp;RIGHT(A4609,8)&amp;"*",Main_Tariff!A:A,0)),Raeburn_Main_Tariff[[#This Row],[PRODUCER]])</f>
        <v>Niepoort Quinta de Napoles</v>
      </c>
      <c r="C4609" s="1178" t="s">
        <v>22339</v>
      </c>
      <c r="D4609" s="1178" t="s">
        <v>897</v>
      </c>
      <c r="E4609" s="1179">
        <v>2021</v>
      </c>
      <c r="F4609" s="1282" t="s">
        <v>20220</v>
      </c>
      <c r="G4609" s="1368">
        <v>21</v>
      </c>
      <c r="H4609" s="1178" t="s">
        <v>20221</v>
      </c>
      <c r="I4609" s="1178" t="s">
        <v>14636</v>
      </c>
      <c r="J4609" s="1178" t="s">
        <v>19704</v>
      </c>
      <c r="K4609" s="1178" t="s">
        <v>531</v>
      </c>
      <c r="L4609" s="1178"/>
      <c r="M4609" s="1369"/>
      <c r="N4609" s="1178"/>
      <c r="O4609" s="1178">
        <v>6</v>
      </c>
      <c r="P4609" s="1178">
        <v>11</v>
      </c>
    </row>
    <row r="4610" spans="1:16">
      <c r="A4610" s="1178" t="s">
        <v>22327</v>
      </c>
      <c r="B4610" s="1371" t="str">
        <f>HYPERLINK(IFERROR("#Main_Tariff!A"&amp;MATCH(Raeburn_Main_Tariff[[#This Row],[Product Code]],Main_Tariff!I:I,0),"#Main_Tariff!A"&amp;MATCH("*"&amp;RIGHT(A4610,8)&amp;"*",Main_Tariff!A:A,0)),Raeburn_Main_Tariff[[#This Row],[PRODUCER]])</f>
        <v>Niepoort Quinta de Napoles</v>
      </c>
      <c r="C4610" s="1178" t="s">
        <v>22340</v>
      </c>
      <c r="D4610" s="1178" t="s">
        <v>897</v>
      </c>
      <c r="E4610" s="1179">
        <v>2016</v>
      </c>
      <c r="F4610" s="1282" t="s">
        <v>20220</v>
      </c>
      <c r="G4610" s="1368">
        <v>24.5</v>
      </c>
      <c r="H4610" s="1178" t="s">
        <v>20221</v>
      </c>
      <c r="I4610" s="1178" t="s">
        <v>14638</v>
      </c>
      <c r="J4610" s="1178" t="s">
        <v>19704</v>
      </c>
      <c r="K4610" s="1178" t="s">
        <v>531</v>
      </c>
      <c r="L4610" s="1178"/>
      <c r="M4610" s="1369"/>
      <c r="N4610" s="1178"/>
      <c r="O4610" s="1178">
        <v>6</v>
      </c>
      <c r="P4610" s="1178">
        <v>11.5</v>
      </c>
    </row>
    <row r="4611" spans="1:16">
      <c r="A4611" s="1178" t="s">
        <v>22327</v>
      </c>
      <c r="B4611" s="1371" t="str">
        <f>HYPERLINK(IFERROR("#Main_Tariff!A"&amp;MATCH(Raeburn_Main_Tariff[[#This Row],[Product Code]],Main_Tariff!I:I,0),"#Main_Tariff!A"&amp;MATCH("*"&amp;RIGHT(A4611,8)&amp;"*",Main_Tariff!A:A,0)),Raeburn_Main_Tariff[[#This Row],[PRODUCER]])</f>
        <v>Niepoort Quinta de Napoles</v>
      </c>
      <c r="C4611" s="1178" t="s">
        <v>22341</v>
      </c>
      <c r="D4611" s="1178" t="s">
        <v>897</v>
      </c>
      <c r="E4611" s="1179">
        <v>2020</v>
      </c>
      <c r="F4611" s="1282" t="s">
        <v>20220</v>
      </c>
      <c r="G4611" s="1368">
        <v>27.5</v>
      </c>
      <c r="H4611" s="1178" t="s">
        <v>20221</v>
      </c>
      <c r="I4611" s="1178" t="s">
        <v>14640</v>
      </c>
      <c r="J4611" s="1178" t="s">
        <v>19704</v>
      </c>
      <c r="K4611" s="1178" t="s">
        <v>531</v>
      </c>
      <c r="L4611" s="1178"/>
      <c r="M4611" s="1369"/>
      <c r="N4611" s="1178"/>
      <c r="O4611" s="1178">
        <v>6</v>
      </c>
      <c r="P4611" s="1178">
        <v>12</v>
      </c>
    </row>
    <row r="4612" spans="1:16">
      <c r="A4612" s="1178" t="s">
        <v>22327</v>
      </c>
      <c r="B4612" s="1371" t="str">
        <f>HYPERLINK(IFERROR("#Main_Tariff!A"&amp;MATCH(Raeburn_Main_Tariff[[#This Row],[Product Code]],Main_Tariff!I:I,0),"#Main_Tariff!A"&amp;MATCH("*"&amp;RIGHT(A4612,8)&amp;"*",Main_Tariff!A:A,0)),Raeburn_Main_Tariff[[#This Row],[PRODUCER]])</f>
        <v>Niepoort Quinta de Napoles</v>
      </c>
      <c r="C4612" s="1178" t="s">
        <v>22341</v>
      </c>
      <c r="D4612" s="1178" t="s">
        <v>897</v>
      </c>
      <c r="E4612" s="1179">
        <v>2018</v>
      </c>
      <c r="F4612" s="1282" t="s">
        <v>20220</v>
      </c>
      <c r="G4612" s="1368">
        <v>27.5</v>
      </c>
      <c r="H4612" s="1178" t="s">
        <v>20221</v>
      </c>
      <c r="I4612" s="1178" t="s">
        <v>14642</v>
      </c>
      <c r="J4612" s="1178" t="s">
        <v>19704</v>
      </c>
      <c r="K4612" s="1178" t="s">
        <v>531</v>
      </c>
      <c r="L4612" s="1178"/>
      <c r="M4612" s="1369"/>
      <c r="N4612" s="1178"/>
      <c r="O4612" s="1178">
        <v>6</v>
      </c>
      <c r="P4612" s="1178">
        <v>10.5</v>
      </c>
    </row>
    <row r="4613" spans="1:16">
      <c r="A4613" s="1178" t="s">
        <v>22327</v>
      </c>
      <c r="B4613" s="1371" t="str">
        <f>HYPERLINK(IFERROR("#Main_Tariff!A"&amp;MATCH(Raeburn_Main_Tariff[[#This Row],[Product Code]],Main_Tariff!I:I,0),"#Main_Tariff!A"&amp;MATCH("*"&amp;RIGHT(A4613,8)&amp;"*",Main_Tariff!A:A,0)),Raeburn_Main_Tariff[[#This Row],[PRODUCER]])</f>
        <v>Niepoort Quinta de Napoles</v>
      </c>
      <c r="C4613" s="1178" t="s">
        <v>22341</v>
      </c>
      <c r="D4613" s="1178" t="s">
        <v>897</v>
      </c>
      <c r="E4613" s="1179">
        <v>2013</v>
      </c>
      <c r="F4613" s="1282" t="s">
        <v>20220</v>
      </c>
      <c r="G4613" s="1368">
        <v>24</v>
      </c>
      <c r="H4613" s="1178" t="s">
        <v>20224</v>
      </c>
      <c r="I4613" s="1178" t="s">
        <v>14644</v>
      </c>
      <c r="J4613" s="1178" t="s">
        <v>19704</v>
      </c>
      <c r="K4613" s="1178" t="s">
        <v>531</v>
      </c>
      <c r="L4613" s="1178"/>
      <c r="M4613" s="1369"/>
      <c r="N4613" s="1178"/>
      <c r="O4613" s="1178">
        <v>6</v>
      </c>
      <c r="P4613" s="1178">
        <v>13</v>
      </c>
    </row>
    <row r="4614" spans="1:16">
      <c r="A4614" s="1178" t="s">
        <v>22327</v>
      </c>
      <c r="B4614" s="1371" t="str">
        <f>HYPERLINK(IFERROR("#Main_Tariff!A"&amp;MATCH(Raeburn_Main_Tariff[[#This Row],[Product Code]],Main_Tariff!I:I,0),"#Main_Tariff!A"&amp;MATCH("*"&amp;RIGHT(A4614,8)&amp;"*",Main_Tariff!A:A,0)),Raeburn_Main_Tariff[[#This Row],[PRODUCER]])</f>
        <v>Niepoort Quinta de Napoles</v>
      </c>
      <c r="C4614" s="1178" t="s">
        <v>22342</v>
      </c>
      <c r="D4614" s="1178" t="s">
        <v>897</v>
      </c>
      <c r="E4614" s="1179">
        <v>2015</v>
      </c>
      <c r="F4614" s="1282" t="s">
        <v>20220</v>
      </c>
      <c r="G4614" s="1368">
        <v>25.75</v>
      </c>
      <c r="H4614" s="1178" t="s">
        <v>20221</v>
      </c>
      <c r="I4614" s="1178" t="s">
        <v>14646</v>
      </c>
      <c r="J4614" s="1178" t="s">
        <v>19704</v>
      </c>
      <c r="K4614" s="1178" t="s">
        <v>531</v>
      </c>
      <c r="L4614" s="1178"/>
      <c r="M4614" s="1369"/>
      <c r="N4614" s="1178"/>
      <c r="O4614" s="1178">
        <v>6</v>
      </c>
      <c r="P4614" s="1178">
        <v>13</v>
      </c>
    </row>
    <row r="4615" spans="1:16">
      <c r="A4615" s="1178" t="s">
        <v>22327</v>
      </c>
      <c r="B4615" s="1371" t="str">
        <f>HYPERLINK(IFERROR("#Main_Tariff!A"&amp;MATCH(Raeburn_Main_Tariff[[#This Row],[Product Code]],Main_Tariff!I:I,0),"#Main_Tariff!A"&amp;MATCH("*"&amp;RIGHT(A4615,8)&amp;"*",Main_Tariff!A:A,0)),Raeburn_Main_Tariff[[#This Row],[PRODUCER]])</f>
        <v>Niepoort Quinta de Napoles</v>
      </c>
      <c r="C4615" s="1178" t="s">
        <v>22343</v>
      </c>
      <c r="D4615" s="1178" t="s">
        <v>897</v>
      </c>
      <c r="E4615" s="1179">
        <v>2021</v>
      </c>
      <c r="F4615" s="1282" t="s">
        <v>20220</v>
      </c>
      <c r="G4615" s="1368">
        <v>15.5</v>
      </c>
      <c r="H4615" s="1178" t="s">
        <v>20221</v>
      </c>
      <c r="I4615" s="1178" t="s">
        <v>14648</v>
      </c>
      <c r="J4615" s="1178" t="s">
        <v>19704</v>
      </c>
      <c r="K4615" s="1178" t="s">
        <v>531</v>
      </c>
      <c r="L4615" s="1178"/>
      <c r="M4615" s="1369"/>
      <c r="N4615" s="1178"/>
      <c r="O4615" s="1178">
        <v>6</v>
      </c>
      <c r="P4615" s="1178">
        <v>12</v>
      </c>
    </row>
    <row r="4616" spans="1:16">
      <c r="A4616" s="1178" t="s">
        <v>22327</v>
      </c>
      <c r="B4616" s="1371" t="str">
        <f>HYPERLINK(IFERROR("#Main_Tariff!A"&amp;MATCH(Raeburn_Main_Tariff[[#This Row],[Product Code]],Main_Tariff!I:I,0),"#Main_Tariff!A"&amp;MATCH("*"&amp;RIGHT(A4616,8)&amp;"*",Main_Tariff!A:A,0)),Raeburn_Main_Tariff[[#This Row],[PRODUCER]])</f>
        <v>Niepoort Quinta de Napoles</v>
      </c>
      <c r="C4616" s="1178" t="s">
        <v>22343</v>
      </c>
      <c r="D4616" s="1178" t="s">
        <v>897</v>
      </c>
      <c r="E4616" s="1179">
        <v>2020</v>
      </c>
      <c r="F4616" s="1282" t="s">
        <v>20220</v>
      </c>
      <c r="G4616" s="1368">
        <v>16.25</v>
      </c>
      <c r="H4616" s="1178" t="s">
        <v>20224</v>
      </c>
      <c r="I4616" s="1178" t="s">
        <v>14650</v>
      </c>
      <c r="J4616" s="1178" t="s">
        <v>19704</v>
      </c>
      <c r="K4616" s="1178" t="s">
        <v>531</v>
      </c>
      <c r="L4616" s="1178"/>
      <c r="M4616" s="1369"/>
      <c r="N4616" s="1178"/>
      <c r="O4616" s="1178">
        <v>6</v>
      </c>
      <c r="P4616" s="1178">
        <v>13</v>
      </c>
    </row>
    <row r="4617" spans="1:16">
      <c r="A4617" s="1178" t="s">
        <v>22327</v>
      </c>
      <c r="B4617" s="1371" t="str">
        <f>HYPERLINK(IFERROR("#Main_Tariff!A"&amp;MATCH(Raeburn_Main_Tariff[[#This Row],[Product Code]],Main_Tariff!I:I,0),"#Main_Tariff!A"&amp;MATCH("*"&amp;RIGHT(A4617,8)&amp;"*",Main_Tariff!A:A,0)),Raeburn_Main_Tariff[[#This Row],[PRODUCER]])</f>
        <v>Niepoort Quinta de Napoles</v>
      </c>
      <c r="C4617" s="1178" t="s">
        <v>22343</v>
      </c>
      <c r="D4617" s="1178" t="s">
        <v>897</v>
      </c>
      <c r="E4617" s="1179">
        <v>2019</v>
      </c>
      <c r="F4617" s="1282" t="s">
        <v>20220</v>
      </c>
      <c r="G4617" s="1368">
        <v>16</v>
      </c>
      <c r="H4617" s="1178" t="s">
        <v>20277</v>
      </c>
      <c r="I4617" s="1178" t="s">
        <v>14652</v>
      </c>
      <c r="J4617" s="1178" t="s">
        <v>19704</v>
      </c>
      <c r="K4617" s="1178" t="s">
        <v>531</v>
      </c>
      <c r="L4617" s="1178"/>
      <c r="M4617" s="1369"/>
      <c r="N4617" s="1178"/>
      <c r="O4617" s="1178">
        <v>6</v>
      </c>
      <c r="P4617" s="1178">
        <v>13</v>
      </c>
    </row>
    <row r="4618" spans="1:16">
      <c r="A4618" s="1178" t="s">
        <v>22327</v>
      </c>
      <c r="B4618" s="1371" t="str">
        <f>HYPERLINK(IFERROR("#Main_Tariff!A"&amp;MATCH(Raeburn_Main_Tariff[[#This Row],[Product Code]],Main_Tariff!I:I,0),"#Main_Tariff!A"&amp;MATCH("*"&amp;RIGHT(A4618,8)&amp;"*",Main_Tariff!A:A,0)),Raeburn_Main_Tariff[[#This Row],[PRODUCER]])</f>
        <v>Niepoort Quinta de Napoles</v>
      </c>
      <c r="C4618" s="1178" t="s">
        <v>22344</v>
      </c>
      <c r="D4618" s="1178" t="s">
        <v>897</v>
      </c>
      <c r="E4618" s="1179">
        <v>2015</v>
      </c>
      <c r="F4618" s="1282" t="s">
        <v>20220</v>
      </c>
      <c r="G4618" s="1368">
        <v>16.5</v>
      </c>
      <c r="H4618" s="1178" t="s">
        <v>20221</v>
      </c>
      <c r="I4618" s="1178" t="s">
        <v>14654</v>
      </c>
      <c r="J4618" s="1178" t="s">
        <v>19704</v>
      </c>
      <c r="K4618" s="1178" t="s">
        <v>531</v>
      </c>
      <c r="L4618" s="1178"/>
      <c r="M4618" s="1369"/>
      <c r="N4618" s="1178"/>
      <c r="O4618" s="1178">
        <v>6</v>
      </c>
      <c r="P4618" s="1178">
        <v>12.5</v>
      </c>
    </row>
    <row r="4619" spans="1:16">
      <c r="A4619" s="1178" t="s">
        <v>22327</v>
      </c>
      <c r="B4619" s="1371" t="str">
        <f>HYPERLINK(IFERROR("#Main_Tariff!A"&amp;MATCH(Raeburn_Main_Tariff[[#This Row],[Product Code]],Main_Tariff!I:I,0),"#Main_Tariff!A"&amp;MATCH("*"&amp;RIGHT(A4619,8)&amp;"*",Main_Tariff!A:A,0)),Raeburn_Main_Tariff[[#This Row],[PRODUCER]])</f>
        <v>Niepoort Quinta de Napoles</v>
      </c>
      <c r="C4619" s="1178" t="s">
        <v>22345</v>
      </c>
      <c r="D4619" s="1178" t="s">
        <v>897</v>
      </c>
      <c r="E4619" s="1179">
        <v>2010</v>
      </c>
      <c r="F4619" s="1282" t="s">
        <v>20220</v>
      </c>
      <c r="G4619" s="1368">
        <v>24.25</v>
      </c>
      <c r="H4619" s="1178" t="s">
        <v>20221</v>
      </c>
      <c r="I4619" s="1178" t="s">
        <v>14656</v>
      </c>
      <c r="J4619" s="1178" t="s">
        <v>19704</v>
      </c>
      <c r="K4619" s="1178" t="s">
        <v>531</v>
      </c>
      <c r="L4619" s="1178"/>
      <c r="M4619" s="1369"/>
      <c r="N4619" s="1178"/>
      <c r="O4619" s="1178">
        <v>6</v>
      </c>
      <c r="P4619" s="1178">
        <v>13.5</v>
      </c>
    </row>
    <row r="4620" spans="1:16">
      <c r="A4620" s="1178" t="s">
        <v>22327</v>
      </c>
      <c r="B4620" s="1371" t="str">
        <f>HYPERLINK(IFERROR("#Main_Tariff!A"&amp;MATCH(Raeburn_Main_Tariff[[#This Row],[Product Code]],Main_Tariff!I:I,0),"#Main_Tariff!A"&amp;MATCH("*"&amp;RIGHT(A4620,8)&amp;"*",Main_Tariff!A:A,0)),Raeburn_Main_Tariff[[#This Row],[PRODUCER]])</f>
        <v>Niepoort Quinta de Napoles</v>
      </c>
      <c r="C4620" s="1178" t="s">
        <v>22346</v>
      </c>
      <c r="D4620" s="1178" t="s">
        <v>897</v>
      </c>
      <c r="E4620" s="1179">
        <v>2022</v>
      </c>
      <c r="F4620" s="1282" t="s">
        <v>20220</v>
      </c>
      <c r="G4620" s="1368">
        <v>25</v>
      </c>
      <c r="H4620" s="1178" t="s">
        <v>20221</v>
      </c>
      <c r="I4620" s="1178" t="s">
        <v>23357</v>
      </c>
      <c r="J4620" s="1178" t="s">
        <v>19704</v>
      </c>
      <c r="K4620" s="1178" t="s">
        <v>531</v>
      </c>
      <c r="L4620" s="1178"/>
      <c r="M4620" s="1369"/>
      <c r="N4620" s="1178"/>
      <c r="O4620" s="1178">
        <v>6</v>
      </c>
      <c r="P4620" s="1178">
        <v>12</v>
      </c>
    </row>
    <row r="4621" spans="1:16">
      <c r="A4621" s="1178" t="s">
        <v>22327</v>
      </c>
      <c r="B4621" s="1371" t="str">
        <f>HYPERLINK(IFERROR("#Main_Tariff!A"&amp;MATCH(Raeburn_Main_Tariff[[#This Row],[Product Code]],Main_Tariff!I:I,0),"#Main_Tariff!A"&amp;MATCH("*"&amp;RIGHT(A4621,8)&amp;"*",Main_Tariff!A:A,0)),Raeburn_Main_Tariff[[#This Row],[PRODUCER]])</f>
        <v>Niepoort Quinta de Napoles</v>
      </c>
      <c r="C4621" s="1178" t="s">
        <v>22346</v>
      </c>
      <c r="D4621" s="1178" t="s">
        <v>897</v>
      </c>
      <c r="E4621" s="1179">
        <v>2021</v>
      </c>
      <c r="F4621" s="1282" t="s">
        <v>20220</v>
      </c>
      <c r="G4621" s="1368">
        <v>25</v>
      </c>
      <c r="H4621" s="1178" t="s">
        <v>20224</v>
      </c>
      <c r="I4621" s="1178" t="s">
        <v>14658</v>
      </c>
      <c r="J4621" s="1178" t="s">
        <v>19704</v>
      </c>
      <c r="K4621" s="1178" t="s">
        <v>531</v>
      </c>
      <c r="L4621" s="1178"/>
      <c r="M4621" s="1369"/>
      <c r="N4621" s="1178"/>
      <c r="O4621" s="1178">
        <v>6</v>
      </c>
      <c r="P4621" s="1178">
        <v>12</v>
      </c>
    </row>
    <row r="4622" spans="1:16">
      <c r="A4622" s="1178" t="s">
        <v>22327</v>
      </c>
      <c r="B4622" s="1371" t="str">
        <f>HYPERLINK(IFERROR("#Main_Tariff!A"&amp;MATCH(Raeburn_Main_Tariff[[#This Row],[Product Code]],Main_Tariff!I:I,0),"#Main_Tariff!A"&amp;MATCH("*"&amp;RIGHT(A4622,8)&amp;"*",Main_Tariff!A:A,0)),Raeburn_Main_Tariff[[#This Row],[PRODUCER]])</f>
        <v>Niepoort Quinta de Napoles</v>
      </c>
      <c r="C4622" s="1178" t="s">
        <v>22347</v>
      </c>
      <c r="D4622" s="1178" t="s">
        <v>897</v>
      </c>
      <c r="E4622" s="1179">
        <v>2018</v>
      </c>
      <c r="F4622" s="1282" t="s">
        <v>20220</v>
      </c>
      <c r="G4622" s="1368">
        <v>41.5</v>
      </c>
      <c r="H4622" s="1178" t="s">
        <v>20221</v>
      </c>
      <c r="I4622" s="1178" t="s">
        <v>14660</v>
      </c>
      <c r="J4622" s="1178" t="s">
        <v>19704</v>
      </c>
      <c r="K4622" s="1178" t="s">
        <v>531</v>
      </c>
      <c r="L4622" s="1178"/>
      <c r="M4622" s="1369"/>
      <c r="N4622" s="1178"/>
      <c r="O4622" s="1178">
        <v>3</v>
      </c>
      <c r="P4622" s="1178">
        <v>13</v>
      </c>
    </row>
    <row r="4623" spans="1:16">
      <c r="A4623" s="1178" t="s">
        <v>22327</v>
      </c>
      <c r="B4623" s="1371" t="str">
        <f>HYPERLINK(IFERROR("#Main_Tariff!A"&amp;MATCH(Raeburn_Main_Tariff[[#This Row],[Product Code]],Main_Tariff!I:I,0),"#Main_Tariff!A"&amp;MATCH("*"&amp;RIGHT(A4623,8)&amp;"*",Main_Tariff!A:A,0)),Raeburn_Main_Tariff[[#This Row],[PRODUCER]])</f>
        <v>Niepoort Quinta de Napoles</v>
      </c>
      <c r="C4623" s="1178" t="s">
        <v>22348</v>
      </c>
      <c r="D4623" s="1178" t="s">
        <v>897</v>
      </c>
      <c r="E4623" s="1179">
        <v>2022</v>
      </c>
      <c r="F4623" s="1282" t="s">
        <v>20220</v>
      </c>
      <c r="G4623" s="1368">
        <v>41.5</v>
      </c>
      <c r="H4623" s="1178" t="s">
        <v>20221</v>
      </c>
      <c r="I4623" s="1178" t="s">
        <v>14662</v>
      </c>
      <c r="J4623" s="1178" t="s">
        <v>19704</v>
      </c>
      <c r="K4623" s="1178" t="s">
        <v>531</v>
      </c>
      <c r="L4623" s="1178"/>
      <c r="M4623" s="1369"/>
      <c r="N4623" s="1178"/>
      <c r="O4623" s="1178">
        <v>6</v>
      </c>
      <c r="P4623" s="1178">
        <v>12.5</v>
      </c>
    </row>
    <row r="4624" spans="1:16">
      <c r="A4624" s="1178" t="s">
        <v>22327</v>
      </c>
      <c r="B4624" s="1371" t="str">
        <f>HYPERLINK(IFERROR("#Main_Tariff!A"&amp;MATCH(Raeburn_Main_Tariff[[#This Row],[Product Code]],Main_Tariff!I:I,0),"#Main_Tariff!A"&amp;MATCH("*"&amp;RIGHT(A4624,8)&amp;"*",Main_Tariff!A:A,0)),Raeburn_Main_Tariff[[#This Row],[PRODUCER]])</f>
        <v>Niepoort Quinta de Napoles</v>
      </c>
      <c r="C4624" s="1178" t="s">
        <v>22349</v>
      </c>
      <c r="D4624" s="1178" t="s">
        <v>897</v>
      </c>
      <c r="E4624" s="1179">
        <v>2019</v>
      </c>
      <c r="F4624" s="1282" t="s">
        <v>20220</v>
      </c>
      <c r="G4624" s="1368">
        <v>57</v>
      </c>
      <c r="H4624" s="1178" t="s">
        <v>20221</v>
      </c>
      <c r="I4624" s="1178" t="s">
        <v>14664</v>
      </c>
      <c r="J4624" s="1178" t="s">
        <v>19704</v>
      </c>
      <c r="K4624" s="1178" t="s">
        <v>531</v>
      </c>
      <c r="L4624" s="1178"/>
      <c r="M4624" s="1369"/>
      <c r="N4624" s="1178"/>
      <c r="O4624" s="1178">
        <v>3</v>
      </c>
      <c r="P4624" s="1178">
        <v>13</v>
      </c>
    </row>
    <row r="4625" spans="1:16">
      <c r="A4625" s="1178" t="s">
        <v>22327</v>
      </c>
      <c r="B4625" s="1371" t="str">
        <f>HYPERLINK(IFERROR("#Main_Tariff!A"&amp;MATCH(Raeburn_Main_Tariff[[#This Row],[Product Code]],Main_Tariff!I:I,0),"#Main_Tariff!A"&amp;MATCH("*"&amp;RIGHT(A4625,8)&amp;"*",Main_Tariff!A:A,0)),Raeburn_Main_Tariff[[#This Row],[PRODUCER]])</f>
        <v>Niepoort Quinta de Napoles</v>
      </c>
      <c r="C4625" s="1178" t="s">
        <v>22350</v>
      </c>
      <c r="D4625" s="1178" t="s">
        <v>897</v>
      </c>
      <c r="E4625" s="1179">
        <v>2021</v>
      </c>
      <c r="F4625" s="1282" t="s">
        <v>20220</v>
      </c>
      <c r="G4625" s="1368">
        <v>75.5</v>
      </c>
      <c r="H4625" s="1178" t="s">
        <v>20224</v>
      </c>
      <c r="I4625" s="1178" t="s">
        <v>14666</v>
      </c>
      <c r="J4625" s="1178" t="s">
        <v>19704</v>
      </c>
      <c r="K4625" s="1178" t="s">
        <v>531</v>
      </c>
      <c r="L4625" s="1178"/>
      <c r="M4625" s="1369"/>
      <c r="N4625" s="1178" t="s">
        <v>20244</v>
      </c>
      <c r="O4625" s="1178">
        <v>3</v>
      </c>
      <c r="P4625" s="1178">
        <v>12</v>
      </c>
    </row>
    <row r="4626" spans="1:16">
      <c r="A4626" s="1178" t="s">
        <v>22327</v>
      </c>
      <c r="B4626" s="1371" t="str">
        <f>HYPERLINK(IFERROR("#Main_Tariff!A"&amp;MATCH(Raeburn_Main_Tariff[[#This Row],[Product Code]],Main_Tariff!I:I,0),"#Main_Tariff!A"&amp;MATCH("*"&amp;RIGHT(A4626,8)&amp;"*",Main_Tariff!A:A,0)),Raeburn_Main_Tariff[[#This Row],[PRODUCER]])</f>
        <v>Niepoort Quinta de Napoles</v>
      </c>
      <c r="C4626" s="1178" t="s">
        <v>22351</v>
      </c>
      <c r="D4626" s="1178" t="s">
        <v>897</v>
      </c>
      <c r="E4626" s="1179">
        <v>2013</v>
      </c>
      <c r="F4626" s="1282" t="s">
        <v>20220</v>
      </c>
      <c r="G4626" s="1368">
        <v>29</v>
      </c>
      <c r="H4626" s="1178" t="s">
        <v>20221</v>
      </c>
      <c r="I4626" s="1178" t="s">
        <v>14670</v>
      </c>
      <c r="J4626" s="1178" t="s">
        <v>19704</v>
      </c>
      <c r="K4626" s="1178" t="s">
        <v>531</v>
      </c>
      <c r="L4626" s="1178"/>
      <c r="M4626" s="1369"/>
      <c r="N4626" s="1178"/>
      <c r="O4626" s="1178">
        <v>6</v>
      </c>
      <c r="P4626" s="1178">
        <v>15</v>
      </c>
    </row>
    <row r="4627" spans="1:16">
      <c r="A4627" s="1178" t="s">
        <v>22327</v>
      </c>
      <c r="B4627" s="1371" t="str">
        <f>HYPERLINK(IFERROR("#Main_Tariff!A"&amp;MATCH(Raeburn_Main_Tariff[[#This Row],[Product Code]],Main_Tariff!I:I,0),"#Main_Tariff!A"&amp;MATCH("*"&amp;RIGHT(A4627,8)&amp;"*",Main_Tariff!A:A,0)),Raeburn_Main_Tariff[[#This Row],[PRODUCER]])</f>
        <v>Niepoort Quinta de Napoles</v>
      </c>
      <c r="C4627" s="1178" t="s">
        <v>22352</v>
      </c>
      <c r="D4627" s="1178" t="s">
        <v>897</v>
      </c>
      <c r="E4627" s="1179">
        <v>2022</v>
      </c>
      <c r="F4627" s="1282" t="s">
        <v>20220</v>
      </c>
      <c r="G4627" s="1368">
        <v>41.5</v>
      </c>
      <c r="H4627" s="1178" t="s">
        <v>20221</v>
      </c>
      <c r="I4627" s="1178" t="s">
        <v>14672</v>
      </c>
      <c r="J4627" s="1178" t="s">
        <v>19704</v>
      </c>
      <c r="K4627" s="1178" t="s">
        <v>531</v>
      </c>
      <c r="L4627" s="1178"/>
      <c r="M4627" s="1369"/>
      <c r="N4627" s="1178"/>
      <c r="O4627" s="1178">
        <v>3</v>
      </c>
      <c r="P4627" s="1178">
        <v>13</v>
      </c>
    </row>
    <row r="4628" spans="1:16">
      <c r="A4628" s="1178" t="s">
        <v>22327</v>
      </c>
      <c r="B4628" s="1371" t="str">
        <f>HYPERLINK(IFERROR("#Main_Tariff!A"&amp;MATCH(Raeburn_Main_Tariff[[#This Row],[Product Code]],Main_Tariff!I:I,0),"#Main_Tariff!A"&amp;MATCH("*"&amp;RIGHT(A4628,8)&amp;"*",Main_Tariff!A:A,0)),Raeburn_Main_Tariff[[#This Row],[PRODUCER]])</f>
        <v>Niepoort Quinta de Napoles</v>
      </c>
      <c r="C4628" s="1178" t="s">
        <v>22352</v>
      </c>
      <c r="D4628" s="1178" t="s">
        <v>897</v>
      </c>
      <c r="E4628" s="1179">
        <v>2021</v>
      </c>
      <c r="F4628" s="1282" t="s">
        <v>20220</v>
      </c>
      <c r="G4628" s="1368">
        <v>41.5</v>
      </c>
      <c r="H4628" s="1178" t="s">
        <v>20224</v>
      </c>
      <c r="I4628" s="1178" t="s">
        <v>14674</v>
      </c>
      <c r="J4628" s="1178" t="s">
        <v>19704</v>
      </c>
      <c r="K4628" s="1178" t="s">
        <v>531</v>
      </c>
      <c r="L4628" s="1178"/>
      <c r="M4628" s="1369"/>
      <c r="N4628" s="1178"/>
      <c r="O4628" s="1178">
        <v>3</v>
      </c>
      <c r="P4628" s="1178">
        <v>13</v>
      </c>
    </row>
    <row r="4629" spans="1:16">
      <c r="A4629" s="1178" t="s">
        <v>22327</v>
      </c>
      <c r="B4629" s="1371" t="str">
        <f>HYPERLINK(IFERROR("#Main_Tariff!A"&amp;MATCH(Raeburn_Main_Tariff[[#This Row],[Product Code]],Main_Tariff!I:I,0),"#Main_Tariff!A"&amp;MATCH("*"&amp;RIGHT(A4629,8)&amp;"*",Main_Tariff!A:A,0)),Raeburn_Main_Tariff[[#This Row],[PRODUCER]])</f>
        <v>Niepoort Quinta de Napoles</v>
      </c>
      <c r="C4629" s="1178" t="s">
        <v>22353</v>
      </c>
      <c r="D4629" s="1178" t="s">
        <v>897</v>
      </c>
      <c r="E4629" s="1179">
        <v>2019</v>
      </c>
      <c r="F4629" s="1282" t="s">
        <v>20220</v>
      </c>
      <c r="G4629" s="1368">
        <v>75</v>
      </c>
      <c r="H4629" s="1178" t="s">
        <v>20224</v>
      </c>
      <c r="I4629" s="1178" t="s">
        <v>14676</v>
      </c>
      <c r="J4629" s="1178" t="s">
        <v>19704</v>
      </c>
      <c r="K4629" s="1178" t="s">
        <v>531</v>
      </c>
      <c r="L4629" s="1178"/>
      <c r="M4629" s="1369" t="s">
        <v>23296</v>
      </c>
      <c r="N4629" s="1178"/>
      <c r="O4629" s="1178">
        <v>6</v>
      </c>
      <c r="P4629" s="1178">
        <v>12.5</v>
      </c>
    </row>
    <row r="4630" spans="1:16">
      <c r="A4630" s="1178" t="s">
        <v>22327</v>
      </c>
      <c r="B4630" s="1371" t="str">
        <f>HYPERLINK(IFERROR("#Main_Tariff!A"&amp;MATCH(Raeburn_Main_Tariff[[#This Row],[Product Code]],Main_Tariff!I:I,0),"#Main_Tariff!A"&amp;MATCH("*"&amp;RIGHT(A4630,8)&amp;"*",Main_Tariff!A:A,0)),Raeburn_Main_Tariff[[#This Row],[PRODUCER]])</f>
        <v>Niepoort Quinta de Napoles</v>
      </c>
      <c r="C4630" s="1178" t="s">
        <v>22353</v>
      </c>
      <c r="D4630" s="1178" t="s">
        <v>897</v>
      </c>
      <c r="E4630" s="1179">
        <v>2018</v>
      </c>
      <c r="F4630" s="1282" t="s">
        <v>20220</v>
      </c>
      <c r="G4630" s="1368">
        <v>70</v>
      </c>
      <c r="H4630" s="1178" t="s">
        <v>20224</v>
      </c>
      <c r="I4630" s="1178" t="s">
        <v>14678</v>
      </c>
      <c r="J4630" s="1178" t="s">
        <v>19704</v>
      </c>
      <c r="K4630" s="1178" t="s">
        <v>531</v>
      </c>
      <c r="L4630" s="1178"/>
      <c r="M4630" s="1369" t="s">
        <v>23296</v>
      </c>
      <c r="N4630" s="1178"/>
      <c r="O4630" s="1178">
        <v>3</v>
      </c>
      <c r="P4630" s="1178">
        <v>12.5</v>
      </c>
    </row>
    <row r="4631" spans="1:16">
      <c r="A4631" s="1178" t="s">
        <v>22327</v>
      </c>
      <c r="B4631" s="1371" t="str">
        <f>HYPERLINK(IFERROR("#Main_Tariff!A"&amp;MATCH(Raeburn_Main_Tariff[[#This Row],[Product Code]],Main_Tariff!I:I,0),"#Main_Tariff!A"&amp;MATCH("*"&amp;RIGHT(A4631,8)&amp;"*",Main_Tariff!A:A,0)),Raeburn_Main_Tariff[[#This Row],[PRODUCER]])</f>
        <v>Niepoort Quinta de Napoles</v>
      </c>
      <c r="C4631" s="1178" t="s">
        <v>22354</v>
      </c>
      <c r="D4631" s="1178" t="s">
        <v>897</v>
      </c>
      <c r="E4631" s="1179">
        <v>2005</v>
      </c>
      <c r="F4631" s="1282" t="s">
        <v>20240</v>
      </c>
      <c r="G4631" s="1368">
        <v>35.5</v>
      </c>
      <c r="H4631" s="1178" t="s">
        <v>20277</v>
      </c>
      <c r="I4631" s="1178" t="s">
        <v>14682</v>
      </c>
      <c r="J4631" s="1178" t="s">
        <v>19704</v>
      </c>
      <c r="K4631" s="1178" t="s">
        <v>531</v>
      </c>
      <c r="L4631" s="1178"/>
      <c r="M4631" s="1369"/>
      <c r="N4631" s="1178"/>
      <c r="O4631" s="1178">
        <v>1</v>
      </c>
      <c r="P4631" s="1178">
        <v>13.5</v>
      </c>
    </row>
    <row r="4632" spans="1:16">
      <c r="A4632" s="1178" t="s">
        <v>22327</v>
      </c>
      <c r="B4632" s="1371" t="str">
        <f>HYPERLINK(IFERROR("#Main_Tariff!A"&amp;MATCH(Raeburn_Main_Tariff[[#This Row],[Product Code]],Main_Tariff!I:I,0),"#Main_Tariff!A"&amp;MATCH("*"&amp;RIGHT(A4632,8)&amp;"*",Main_Tariff!A:A,0)),Raeburn_Main_Tariff[[#This Row],[PRODUCER]])</f>
        <v>Niepoort Quinta de Napoles</v>
      </c>
      <c r="C4632" s="1178" t="s">
        <v>22355</v>
      </c>
      <c r="D4632" s="1178" t="s">
        <v>897</v>
      </c>
      <c r="E4632" s="1179">
        <v>2012</v>
      </c>
      <c r="F4632" s="1282" t="s">
        <v>20240</v>
      </c>
      <c r="G4632" s="1368" t="s">
        <v>5258</v>
      </c>
      <c r="H4632" s="1178" t="s">
        <v>20224</v>
      </c>
      <c r="I4632" s="1178" t="s">
        <v>14684</v>
      </c>
      <c r="J4632" s="1178" t="s">
        <v>19704</v>
      </c>
      <c r="K4632" s="1178" t="s">
        <v>531</v>
      </c>
      <c r="L4632" s="1178"/>
      <c r="M4632" s="1369"/>
      <c r="N4632" s="1178"/>
      <c r="O4632" s="1178">
        <v>1</v>
      </c>
      <c r="P4632" s="1178">
        <v>13</v>
      </c>
    </row>
    <row r="4633" spans="1:16">
      <c r="A4633" s="1178" t="s">
        <v>22327</v>
      </c>
      <c r="B4633" s="1371" t="str">
        <f>HYPERLINK(IFERROR("#Main_Tariff!A"&amp;MATCH(Raeburn_Main_Tariff[[#This Row],[Product Code]],Main_Tariff!I:I,0),"#Main_Tariff!A"&amp;MATCH("*"&amp;RIGHT(A4633,8)&amp;"*",Main_Tariff!A:A,0)),Raeburn_Main_Tariff[[#This Row],[PRODUCER]])</f>
        <v>Niepoort Quinta de Napoles</v>
      </c>
      <c r="C4633" s="1178" t="s">
        <v>22356</v>
      </c>
      <c r="D4633" s="1178" t="s">
        <v>14689</v>
      </c>
      <c r="E4633" s="1179" t="s">
        <v>22357</v>
      </c>
      <c r="F4633" s="1282" t="s">
        <v>20220</v>
      </c>
      <c r="G4633" s="1368">
        <v>18.5</v>
      </c>
      <c r="H4633" s="1178" t="s">
        <v>20221</v>
      </c>
      <c r="I4633" s="1178" t="s">
        <v>14690</v>
      </c>
      <c r="J4633" s="1178" t="s">
        <v>19704</v>
      </c>
      <c r="K4633" s="1178" t="s">
        <v>531</v>
      </c>
      <c r="L4633" s="1178"/>
      <c r="M4633" s="1369"/>
      <c r="N4633" s="1178"/>
      <c r="O4633" s="1178">
        <v>6</v>
      </c>
      <c r="P4633" s="1178">
        <v>19.5</v>
      </c>
    </row>
    <row r="4634" spans="1:16">
      <c r="A4634" s="1178" t="s">
        <v>22327</v>
      </c>
      <c r="B4634" s="1371" t="str">
        <f>HYPERLINK(IFERROR("#Main_Tariff!A"&amp;MATCH(Raeburn_Main_Tariff[[#This Row],[Product Code]],Main_Tariff!I:I,0),"#Main_Tariff!A"&amp;MATCH("*"&amp;RIGHT(A4634,8)&amp;"*",Main_Tariff!A:A,0)),Raeburn_Main_Tariff[[#This Row],[PRODUCER]])</f>
        <v>Niepoort Quinta de Napoles</v>
      </c>
      <c r="C4634" s="1178" t="s">
        <v>22358</v>
      </c>
      <c r="D4634" s="1178" t="s">
        <v>14689</v>
      </c>
      <c r="E4634" s="1179" t="s">
        <v>22359</v>
      </c>
      <c r="F4634" s="1282" t="s">
        <v>20280</v>
      </c>
      <c r="G4634" s="1368">
        <v>25</v>
      </c>
      <c r="H4634" s="1178" t="s">
        <v>20221</v>
      </c>
      <c r="I4634" s="1178" t="s">
        <v>14692</v>
      </c>
      <c r="J4634" s="1178" t="s">
        <v>19704</v>
      </c>
      <c r="K4634" s="1178" t="s">
        <v>531</v>
      </c>
      <c r="L4634" s="1178"/>
      <c r="M4634" s="1369"/>
      <c r="N4634" s="1178"/>
      <c r="O4634" s="1178">
        <v>12</v>
      </c>
      <c r="P4634" s="1178">
        <v>20</v>
      </c>
    </row>
    <row r="4635" spans="1:16">
      <c r="A4635" s="1178" t="s">
        <v>22360</v>
      </c>
      <c r="B4635" s="1371" t="str">
        <f>HYPERLINK(IFERROR("#Main_Tariff!A"&amp;MATCH(Raeburn_Main_Tariff[[#This Row],[Product Code]],Main_Tariff!I:I,0),"#Main_Tariff!A"&amp;MATCH("*"&amp;RIGHT(A4635,8)&amp;"*",Main_Tariff!A:A,0)),Raeburn_Main_Tariff[[#This Row],[PRODUCER]])</f>
        <v>Quinta do Baixo by Niepoort</v>
      </c>
      <c r="C4635" s="1178" t="s">
        <v>22361</v>
      </c>
      <c r="D4635" s="1178" t="s">
        <v>1129</v>
      </c>
      <c r="E4635" s="1179">
        <v>2019</v>
      </c>
      <c r="F4635" s="1282" t="s">
        <v>20220</v>
      </c>
      <c r="G4635" s="1368">
        <v>24.5</v>
      </c>
      <c r="H4635" s="1178" t="s">
        <v>20221</v>
      </c>
      <c r="I4635" s="1178" t="s">
        <v>14723</v>
      </c>
      <c r="J4635" s="1178" t="s">
        <v>19704</v>
      </c>
      <c r="K4635" s="1178" t="s">
        <v>533</v>
      </c>
      <c r="L4635" s="1178"/>
      <c r="M4635" s="1369"/>
      <c r="N4635" s="1178" t="s">
        <v>20244</v>
      </c>
      <c r="O4635" s="1178">
        <v>3</v>
      </c>
      <c r="P4635" s="1178">
        <v>11.5</v>
      </c>
    </row>
    <row r="4636" spans="1:16">
      <c r="A4636" s="1178" t="s">
        <v>22360</v>
      </c>
      <c r="B4636" s="1371" t="str">
        <f>HYPERLINK(IFERROR("#Main_Tariff!A"&amp;MATCH(Raeburn_Main_Tariff[[#This Row],[Product Code]],Main_Tariff!I:I,0),"#Main_Tariff!A"&amp;MATCH("*"&amp;RIGHT(A4636,8)&amp;"*",Main_Tariff!A:A,0)),Raeburn_Main_Tariff[[#This Row],[PRODUCER]])</f>
        <v>Quinta do Baixo by Niepoort</v>
      </c>
      <c r="C4636" s="1178" t="s">
        <v>22361</v>
      </c>
      <c r="D4636" s="1178" t="s">
        <v>1129</v>
      </c>
      <c r="E4636" s="1179">
        <v>2016</v>
      </c>
      <c r="F4636" s="1282" t="s">
        <v>20220</v>
      </c>
      <c r="G4636" s="1368">
        <v>23.5</v>
      </c>
      <c r="H4636" s="1178" t="s">
        <v>20277</v>
      </c>
      <c r="I4636" s="1178" t="s">
        <v>14725</v>
      </c>
      <c r="J4636" s="1178" t="s">
        <v>19704</v>
      </c>
      <c r="K4636" s="1178" t="s">
        <v>533</v>
      </c>
      <c r="L4636" s="1178"/>
      <c r="M4636" s="1369"/>
      <c r="N4636" s="1178"/>
      <c r="O4636" s="1178">
        <v>3</v>
      </c>
      <c r="P4636" s="1178">
        <v>12</v>
      </c>
    </row>
    <row r="4637" spans="1:16">
      <c r="A4637" s="1178" t="s">
        <v>22360</v>
      </c>
      <c r="B4637" s="1371" t="str">
        <f>HYPERLINK(IFERROR("#Main_Tariff!A"&amp;MATCH(Raeburn_Main_Tariff[[#This Row],[Product Code]],Main_Tariff!I:I,0),"#Main_Tariff!A"&amp;MATCH("*"&amp;RIGHT(A4637,8)&amp;"*",Main_Tariff!A:A,0)),Raeburn_Main_Tariff[[#This Row],[PRODUCER]])</f>
        <v>Quinta do Baixo by Niepoort</v>
      </c>
      <c r="C4637" s="1178" t="s">
        <v>22362</v>
      </c>
      <c r="D4637" s="1178" t="s">
        <v>1129</v>
      </c>
      <c r="E4637" s="1179"/>
      <c r="F4637" s="1282" t="s">
        <v>20288</v>
      </c>
      <c r="G4637" s="1368"/>
      <c r="H4637" s="1178" t="s">
        <v>3907</v>
      </c>
      <c r="I4637" s="1178" t="s">
        <v>14726</v>
      </c>
      <c r="J4637" s="1178" t="s">
        <v>19704</v>
      </c>
      <c r="K4637" s="1178" t="s">
        <v>533</v>
      </c>
      <c r="L4637" s="1178"/>
      <c r="M4637" s="1369"/>
      <c r="N4637" s="1178" t="s">
        <v>20244</v>
      </c>
      <c r="O4637" s="1178">
        <v>1</v>
      </c>
      <c r="P4637" s="1178">
        <v>12</v>
      </c>
    </row>
    <row r="4638" spans="1:16">
      <c r="A4638" s="1178" t="s">
        <v>22360</v>
      </c>
      <c r="B4638" s="1371" t="str">
        <f>HYPERLINK(IFERROR("#Main_Tariff!A"&amp;MATCH(Raeburn_Main_Tariff[[#This Row],[Product Code]],Main_Tariff!I:I,0),"#Main_Tariff!A"&amp;MATCH("*"&amp;RIGHT(A4638,8)&amp;"*",Main_Tariff!A:A,0)),Raeburn_Main_Tariff[[#This Row],[PRODUCER]])</f>
        <v>Quinta do Baixo by Niepoort</v>
      </c>
      <c r="C4638" s="1178" t="s">
        <v>22363</v>
      </c>
      <c r="D4638" s="1178" t="s">
        <v>1370</v>
      </c>
      <c r="E4638" s="1179"/>
      <c r="F4638" s="1282" t="s">
        <v>20220</v>
      </c>
      <c r="G4638" s="1368"/>
      <c r="H4638" s="1178" t="s">
        <v>3907</v>
      </c>
      <c r="I4638" s="1178" t="s">
        <v>14729</v>
      </c>
      <c r="J4638" s="1178" t="s">
        <v>19704</v>
      </c>
      <c r="K4638" s="1178" t="s">
        <v>533</v>
      </c>
      <c r="L4638" s="1178"/>
      <c r="M4638" s="1369"/>
      <c r="N4638" s="1178"/>
      <c r="O4638" s="1178">
        <v>1</v>
      </c>
      <c r="P4638" s="1178">
        <v>12</v>
      </c>
    </row>
    <row r="4639" spans="1:16">
      <c r="A4639" s="1178" t="s">
        <v>22360</v>
      </c>
      <c r="B4639" s="1371" t="str">
        <f>HYPERLINK(IFERROR("#Main_Tariff!A"&amp;MATCH(Raeburn_Main_Tariff[[#This Row],[Product Code]],Main_Tariff!I:I,0),"#Main_Tariff!A"&amp;MATCH("*"&amp;RIGHT(A4639,8)&amp;"*",Main_Tariff!A:A,0)),Raeburn_Main_Tariff[[#This Row],[PRODUCER]])</f>
        <v>Quinta do Baixo by Niepoort</v>
      </c>
      <c r="C4639" s="1178" t="s">
        <v>22364</v>
      </c>
      <c r="D4639" s="1178" t="s">
        <v>897</v>
      </c>
      <c r="E4639" s="1179">
        <v>2022</v>
      </c>
      <c r="F4639" s="1282" t="s">
        <v>22296</v>
      </c>
      <c r="G4639" s="1368">
        <v>16</v>
      </c>
      <c r="H4639" s="1178" t="s">
        <v>20221</v>
      </c>
      <c r="I4639" s="1178" t="s">
        <v>14732</v>
      </c>
      <c r="J4639" s="1178" t="s">
        <v>19704</v>
      </c>
      <c r="K4639" s="1178" t="s">
        <v>533</v>
      </c>
      <c r="L4639" s="1178"/>
      <c r="M4639" s="1369"/>
      <c r="N4639" s="1178"/>
      <c r="O4639" s="1178">
        <v>6</v>
      </c>
      <c r="P4639" s="1178">
        <v>11.5</v>
      </c>
    </row>
    <row r="4640" spans="1:16">
      <c r="A4640" s="1178" t="s">
        <v>22360</v>
      </c>
      <c r="B4640" s="1371" t="str">
        <f>HYPERLINK(IFERROR("#Main_Tariff!A"&amp;MATCH(Raeburn_Main_Tariff[[#This Row],[Product Code]],Main_Tariff!I:I,0),"#Main_Tariff!A"&amp;MATCH("*"&amp;RIGHT(A4640,8)&amp;"*",Main_Tariff!A:A,0)),Raeburn_Main_Tariff[[#This Row],[PRODUCER]])</f>
        <v>Quinta do Baixo by Niepoort</v>
      </c>
      <c r="C4640" s="1178" t="s">
        <v>22365</v>
      </c>
      <c r="D4640" s="1178" t="s">
        <v>897</v>
      </c>
      <c r="E4640" s="1179">
        <v>2021</v>
      </c>
      <c r="F4640" s="1282" t="s">
        <v>20220</v>
      </c>
      <c r="G4640" s="1368">
        <v>15.5</v>
      </c>
      <c r="H4640" s="1178" t="s">
        <v>20221</v>
      </c>
      <c r="I4640" s="1178" t="s">
        <v>14734</v>
      </c>
      <c r="J4640" s="1178" t="s">
        <v>19704</v>
      </c>
      <c r="K4640" s="1178" t="s">
        <v>533</v>
      </c>
      <c r="L4640" s="1178"/>
      <c r="M4640" s="1369"/>
      <c r="N4640" s="1178"/>
      <c r="O4640" s="1178">
        <v>6</v>
      </c>
      <c r="P4640" s="1178">
        <v>12</v>
      </c>
    </row>
    <row r="4641" spans="1:16">
      <c r="A4641" s="1178" t="s">
        <v>22360</v>
      </c>
      <c r="B4641" s="1371" t="str">
        <f>HYPERLINK(IFERROR("#Main_Tariff!A"&amp;MATCH(Raeburn_Main_Tariff[[#This Row],[Product Code]],Main_Tariff!I:I,0),"#Main_Tariff!A"&amp;MATCH("*"&amp;RIGHT(A4641,8)&amp;"*",Main_Tariff!A:A,0)),Raeburn_Main_Tariff[[#This Row],[PRODUCER]])</f>
        <v>Quinta do Baixo by Niepoort</v>
      </c>
      <c r="C4641" s="1178" t="s">
        <v>22365</v>
      </c>
      <c r="D4641" s="1178" t="s">
        <v>897</v>
      </c>
      <c r="E4641" s="1179">
        <v>2020</v>
      </c>
      <c r="F4641" s="1282" t="s">
        <v>20220</v>
      </c>
      <c r="G4641" s="1368">
        <v>15.5</v>
      </c>
      <c r="H4641" s="1178" t="s">
        <v>20277</v>
      </c>
      <c r="I4641" s="1178" t="s">
        <v>14735</v>
      </c>
      <c r="J4641" s="1178" t="s">
        <v>19704</v>
      </c>
      <c r="K4641" s="1178" t="s">
        <v>533</v>
      </c>
      <c r="L4641" s="1178"/>
      <c r="M4641" s="1369"/>
      <c r="N4641" s="1178"/>
      <c r="O4641" s="1178">
        <v>6</v>
      </c>
      <c r="P4641" s="1178">
        <v>12</v>
      </c>
    </row>
    <row r="4642" spans="1:16">
      <c r="A4642" s="1178" t="s">
        <v>22360</v>
      </c>
      <c r="B4642" s="1371" t="str">
        <f>HYPERLINK(IFERROR("#Main_Tariff!A"&amp;MATCH(Raeburn_Main_Tariff[[#This Row],[Product Code]],Main_Tariff!I:I,0),"#Main_Tariff!A"&amp;MATCH("*"&amp;RIGHT(A4642,8)&amp;"*",Main_Tariff!A:A,0)),Raeburn_Main_Tariff[[#This Row],[PRODUCER]])</f>
        <v>Quinta do Baixo by Niepoort</v>
      </c>
      <c r="C4642" s="1178" t="s">
        <v>22366</v>
      </c>
      <c r="D4642" s="1178" t="s">
        <v>897</v>
      </c>
      <c r="E4642" s="1179">
        <v>2015</v>
      </c>
      <c r="F4642" s="1282" t="s">
        <v>20220</v>
      </c>
      <c r="G4642" s="1368">
        <v>27</v>
      </c>
      <c r="H4642" s="1178" t="s">
        <v>20221</v>
      </c>
      <c r="I4642" s="1178" t="s">
        <v>14738</v>
      </c>
      <c r="J4642" s="1178" t="s">
        <v>19704</v>
      </c>
      <c r="K4642" s="1178" t="s">
        <v>533</v>
      </c>
      <c r="L4642" s="1178"/>
      <c r="M4642" s="1369"/>
      <c r="N4642" s="1178"/>
      <c r="O4642" s="1178">
        <v>3</v>
      </c>
      <c r="P4642" s="1178">
        <v>11.5</v>
      </c>
    </row>
    <row r="4643" spans="1:16">
      <c r="A4643" s="1178" t="s">
        <v>22360</v>
      </c>
      <c r="B4643" s="1371" t="str">
        <f>HYPERLINK(IFERROR("#Main_Tariff!A"&amp;MATCH(Raeburn_Main_Tariff[[#This Row],[Product Code]],Main_Tariff!I:I,0),"#Main_Tariff!A"&amp;MATCH("*"&amp;RIGHT(A4643,8)&amp;"*",Main_Tariff!A:A,0)),Raeburn_Main_Tariff[[#This Row],[PRODUCER]])</f>
        <v>Quinta do Baixo by Niepoort</v>
      </c>
      <c r="C4643" s="1178" t="s">
        <v>22367</v>
      </c>
      <c r="D4643" s="1178" t="s">
        <v>897</v>
      </c>
      <c r="E4643" s="1179">
        <v>2014</v>
      </c>
      <c r="F4643" s="1282" t="s">
        <v>20220</v>
      </c>
      <c r="G4643" s="1368">
        <v>70</v>
      </c>
      <c r="H4643" s="1178" t="s">
        <v>20221</v>
      </c>
      <c r="I4643" s="1178" t="s">
        <v>14740</v>
      </c>
      <c r="J4643" s="1178" t="s">
        <v>19704</v>
      </c>
      <c r="K4643" s="1178" t="s">
        <v>533</v>
      </c>
      <c r="L4643" s="1178"/>
      <c r="M4643" s="1369"/>
      <c r="N4643" s="1178"/>
      <c r="O4643" s="1178">
        <v>3</v>
      </c>
      <c r="P4643" s="1178">
        <v>11.5</v>
      </c>
    </row>
    <row r="4644" spans="1:16">
      <c r="A4644" s="1178" t="s">
        <v>22360</v>
      </c>
      <c r="B4644" s="1371" t="str">
        <f>HYPERLINK(IFERROR("#Main_Tariff!A"&amp;MATCH(Raeburn_Main_Tariff[[#This Row],[Product Code]],Main_Tariff!I:I,0),"#Main_Tariff!A"&amp;MATCH("*"&amp;RIGHT(A4644,8)&amp;"*",Main_Tariff!A:A,0)),Raeburn_Main_Tariff[[#This Row],[PRODUCER]])</f>
        <v>Quinta do Baixo by Niepoort</v>
      </c>
      <c r="C4644" s="1178" t="s">
        <v>22368</v>
      </c>
      <c r="D4644" s="1178" t="s">
        <v>897</v>
      </c>
      <c r="E4644" s="1179">
        <v>2018</v>
      </c>
      <c r="F4644" s="1282" t="s">
        <v>20288</v>
      </c>
      <c r="G4644" s="1368">
        <v>107</v>
      </c>
      <c r="H4644" s="1178" t="s">
        <v>20224</v>
      </c>
      <c r="I4644" s="1178" t="s">
        <v>14741</v>
      </c>
      <c r="J4644" s="1178" t="s">
        <v>19704</v>
      </c>
      <c r="K4644" s="1178" t="s">
        <v>533</v>
      </c>
      <c r="L4644" s="1178"/>
      <c r="M4644" s="1369"/>
      <c r="N4644" s="1178"/>
      <c r="O4644" s="1178">
        <v>1</v>
      </c>
      <c r="P4644" s="1178">
        <v>12.5</v>
      </c>
    </row>
    <row r="4645" spans="1:16">
      <c r="A4645" s="1178" t="s">
        <v>535</v>
      </c>
      <c r="B4645" s="1371" t="str">
        <f>HYPERLINK(IFERROR("#Main_Tariff!A"&amp;MATCH(Raeburn_Main_Tariff[[#This Row],[Product Code]],Main_Tariff!I:I,0),"#Main_Tariff!A"&amp;MATCH("*"&amp;RIGHT(A4645,8)&amp;"*",Main_Tariff!A:A,0)),Raeburn_Main_Tariff[[#This Row],[PRODUCER]])</f>
        <v>Bussaco Palace Hotel</v>
      </c>
      <c r="C4645" s="1178" t="s">
        <v>22369</v>
      </c>
      <c r="D4645" s="1178" t="s">
        <v>2573</v>
      </c>
      <c r="E4645" s="1179">
        <v>2021</v>
      </c>
      <c r="F4645" s="1282" t="s">
        <v>20220</v>
      </c>
      <c r="G4645" s="1368">
        <v>31</v>
      </c>
      <c r="H4645" s="1178" t="s">
        <v>20221</v>
      </c>
      <c r="I4645" s="1178" t="s">
        <v>14764</v>
      </c>
      <c r="J4645" s="1178" t="s">
        <v>19704</v>
      </c>
      <c r="K4645" s="1178" t="s">
        <v>533</v>
      </c>
      <c r="L4645" s="1178"/>
      <c r="M4645" s="1369"/>
      <c r="N4645" s="1178"/>
      <c r="O4645" s="1178">
        <v>6</v>
      </c>
      <c r="P4645" s="1178">
        <v>11.5</v>
      </c>
    </row>
    <row r="4646" spans="1:16">
      <c r="A4646" s="1178" t="s">
        <v>535</v>
      </c>
      <c r="B4646" s="1371" t="str">
        <f>HYPERLINK(IFERROR("#Main_Tariff!A"&amp;MATCH(Raeburn_Main_Tariff[[#This Row],[Product Code]],Main_Tariff!I:I,0),"#Main_Tariff!A"&amp;MATCH("*"&amp;RIGHT(A4646,8)&amp;"*",Main_Tariff!A:A,0)),Raeburn_Main_Tariff[[#This Row],[PRODUCER]])</f>
        <v>Bussaco Palace Hotel</v>
      </c>
      <c r="C4646" s="1178" t="s">
        <v>22370</v>
      </c>
      <c r="D4646" s="1178" t="s">
        <v>1129</v>
      </c>
      <c r="E4646" s="1179">
        <v>2021</v>
      </c>
      <c r="F4646" s="1282" t="s">
        <v>20220</v>
      </c>
      <c r="G4646" s="1368">
        <v>31</v>
      </c>
      <c r="H4646" s="1178" t="s">
        <v>20221</v>
      </c>
      <c r="I4646" s="1178" t="s">
        <v>14766</v>
      </c>
      <c r="J4646" s="1178" t="s">
        <v>19704</v>
      </c>
      <c r="K4646" s="1178" t="s">
        <v>533</v>
      </c>
      <c r="L4646" s="1178"/>
      <c r="M4646" s="1369"/>
      <c r="N4646" s="1178"/>
      <c r="O4646" s="1178">
        <v>6</v>
      </c>
      <c r="P4646" s="1178">
        <v>12</v>
      </c>
    </row>
    <row r="4647" spans="1:16">
      <c r="A4647" s="1178" t="s">
        <v>535</v>
      </c>
      <c r="B4647" s="1371" t="str">
        <f>HYPERLINK(IFERROR("#Main_Tariff!A"&amp;MATCH(Raeburn_Main_Tariff[[#This Row],[Product Code]],Main_Tariff!I:I,0),"#Main_Tariff!A"&amp;MATCH("*"&amp;RIGHT(A4647,8)&amp;"*",Main_Tariff!A:A,0)),Raeburn_Main_Tariff[[#This Row],[PRODUCER]])</f>
        <v>Bussaco Palace Hotel</v>
      </c>
      <c r="C4647" s="1178" t="s">
        <v>22371</v>
      </c>
      <c r="D4647" s="1178" t="s">
        <v>897</v>
      </c>
      <c r="E4647" s="1179">
        <v>2021</v>
      </c>
      <c r="F4647" s="1282" t="s">
        <v>20220</v>
      </c>
      <c r="G4647" s="1368">
        <v>31</v>
      </c>
      <c r="H4647" s="1178" t="s">
        <v>20221</v>
      </c>
      <c r="I4647" s="1178" t="s">
        <v>14768</v>
      </c>
      <c r="J4647" s="1178" t="s">
        <v>19704</v>
      </c>
      <c r="K4647" s="1178" t="s">
        <v>533</v>
      </c>
      <c r="L4647" s="1178"/>
      <c r="M4647" s="1369"/>
      <c r="N4647" s="1178"/>
      <c r="O4647" s="1178">
        <v>6</v>
      </c>
      <c r="P4647" s="1178">
        <v>13</v>
      </c>
    </row>
    <row r="4648" spans="1:16">
      <c r="A4648" s="1178" t="s">
        <v>535</v>
      </c>
      <c r="B4648" s="1371" t="str">
        <f>HYPERLINK(IFERROR("#Main_Tariff!A"&amp;MATCH(Raeburn_Main_Tariff[[#This Row],[Product Code]],Main_Tariff!I:I,0),"#Main_Tariff!A"&amp;MATCH("*"&amp;RIGHT(A4648,8)&amp;"*",Main_Tariff!A:A,0)),Raeburn_Main_Tariff[[#This Row],[PRODUCER]])</f>
        <v>Bussaco Palace Hotel</v>
      </c>
      <c r="C4648" s="1178" t="s">
        <v>22372</v>
      </c>
      <c r="D4648" s="1178" t="s">
        <v>2573</v>
      </c>
      <c r="E4648" s="1179">
        <v>2020</v>
      </c>
      <c r="F4648" s="1282" t="s">
        <v>20220</v>
      </c>
      <c r="G4648" s="1368">
        <v>49.5</v>
      </c>
      <c r="H4648" s="1178" t="s">
        <v>20224</v>
      </c>
      <c r="I4648" s="1178" t="s">
        <v>14771</v>
      </c>
      <c r="J4648" s="1178" t="s">
        <v>19704</v>
      </c>
      <c r="K4648" s="1178" t="s">
        <v>533</v>
      </c>
      <c r="L4648" s="1178"/>
      <c r="M4648" s="1369"/>
      <c r="N4648" s="1178"/>
      <c r="O4648" s="1178">
        <v>6</v>
      </c>
      <c r="P4648" s="1178">
        <v>13</v>
      </c>
    </row>
    <row r="4649" spans="1:16">
      <c r="A4649" s="1178" t="s">
        <v>535</v>
      </c>
      <c r="B4649" s="1371" t="str">
        <f>HYPERLINK(IFERROR("#Main_Tariff!A"&amp;MATCH(Raeburn_Main_Tariff[[#This Row],[Product Code]],Main_Tariff!I:I,0),"#Main_Tariff!A"&amp;MATCH("*"&amp;RIGHT(A4649,8)&amp;"*",Main_Tariff!A:A,0)),Raeburn_Main_Tariff[[#This Row],[PRODUCER]])</f>
        <v>Bussaco Palace Hotel</v>
      </c>
      <c r="C4649" s="1178" t="s">
        <v>22373</v>
      </c>
      <c r="D4649" s="1178" t="s">
        <v>2573</v>
      </c>
      <c r="E4649" s="1179">
        <v>2019</v>
      </c>
      <c r="F4649" s="1282" t="s">
        <v>20240</v>
      </c>
      <c r="G4649" s="1368">
        <v>100</v>
      </c>
      <c r="H4649" s="1178" t="s">
        <v>20224</v>
      </c>
      <c r="I4649" s="1178" t="s">
        <v>14773</v>
      </c>
      <c r="J4649" s="1178" t="s">
        <v>19704</v>
      </c>
      <c r="K4649" s="1178" t="s">
        <v>533</v>
      </c>
      <c r="L4649" s="1178"/>
      <c r="M4649" s="1369"/>
      <c r="N4649" s="1178"/>
      <c r="O4649" s="1178">
        <v>1</v>
      </c>
      <c r="P4649" s="1178">
        <v>13</v>
      </c>
    </row>
    <row r="4650" spans="1:16">
      <c r="A4650" s="1178" t="s">
        <v>535</v>
      </c>
      <c r="B4650" s="1371" t="str">
        <f>HYPERLINK(IFERROR("#Main_Tariff!A"&amp;MATCH(Raeburn_Main_Tariff[[#This Row],[Product Code]],Main_Tariff!I:I,0),"#Main_Tariff!A"&amp;MATCH("*"&amp;RIGHT(A4650,8)&amp;"*",Main_Tariff!A:A,0)),Raeburn_Main_Tariff[[#This Row],[PRODUCER]])</f>
        <v>Bussaco Palace Hotel</v>
      </c>
      <c r="C4650" s="1178" t="s">
        <v>22374</v>
      </c>
      <c r="D4650" s="1178" t="s">
        <v>1129</v>
      </c>
      <c r="E4650" s="1179">
        <v>2021</v>
      </c>
      <c r="F4650" s="1282" t="s">
        <v>20220</v>
      </c>
      <c r="G4650" s="1368">
        <v>53</v>
      </c>
      <c r="H4650" s="1178" t="s">
        <v>20221</v>
      </c>
      <c r="I4650" s="1178" t="s">
        <v>14777</v>
      </c>
      <c r="J4650" s="1178" t="s">
        <v>19704</v>
      </c>
      <c r="K4650" s="1178" t="s">
        <v>533</v>
      </c>
      <c r="L4650" s="1178"/>
      <c r="M4650" s="1369"/>
      <c r="N4650" s="1178"/>
      <c r="O4650" s="1178">
        <v>6</v>
      </c>
      <c r="P4650" s="1178">
        <v>13</v>
      </c>
    </row>
    <row r="4651" spans="1:16">
      <c r="A4651" s="1178" t="s">
        <v>535</v>
      </c>
      <c r="B4651" s="1371" t="str">
        <f>HYPERLINK(IFERROR("#Main_Tariff!A"&amp;MATCH(Raeburn_Main_Tariff[[#This Row],[Product Code]],Main_Tariff!I:I,0),"#Main_Tariff!A"&amp;MATCH("*"&amp;RIGHT(A4651,8)&amp;"*",Main_Tariff!A:A,0)),Raeburn_Main_Tariff[[#This Row],[PRODUCER]])</f>
        <v>Bussaco Palace Hotel</v>
      </c>
      <c r="C4651" s="1178" t="s">
        <v>22374</v>
      </c>
      <c r="D4651" s="1178" t="s">
        <v>1129</v>
      </c>
      <c r="E4651" s="1179">
        <v>2019</v>
      </c>
      <c r="F4651" s="1282" t="s">
        <v>20220</v>
      </c>
      <c r="G4651" s="1368">
        <v>53</v>
      </c>
      <c r="H4651" s="1178" t="s">
        <v>20221</v>
      </c>
      <c r="I4651" s="1178" t="s">
        <v>14778</v>
      </c>
      <c r="J4651" s="1178" t="s">
        <v>19704</v>
      </c>
      <c r="K4651" s="1178" t="s">
        <v>533</v>
      </c>
      <c r="L4651" s="1178"/>
      <c r="M4651" s="1369"/>
      <c r="N4651" s="1178"/>
      <c r="O4651" s="1178">
        <v>6</v>
      </c>
      <c r="P4651" s="1178">
        <v>13</v>
      </c>
    </row>
    <row r="4652" spans="1:16">
      <c r="A4652" s="1178" t="s">
        <v>535</v>
      </c>
      <c r="B4652" s="1371" t="str">
        <f>HYPERLINK(IFERROR("#Main_Tariff!A"&amp;MATCH(Raeburn_Main_Tariff[[#This Row],[Product Code]],Main_Tariff!I:I,0),"#Main_Tariff!A"&amp;MATCH("*"&amp;RIGHT(A4652,8)&amp;"*",Main_Tariff!A:A,0)),Raeburn_Main_Tariff[[#This Row],[PRODUCER]])</f>
        <v>Bussaco Palace Hotel</v>
      </c>
      <c r="C4652" s="1178" t="s">
        <v>22374</v>
      </c>
      <c r="D4652" s="1178" t="s">
        <v>1129</v>
      </c>
      <c r="E4652" s="1179">
        <v>2018</v>
      </c>
      <c r="F4652" s="1282" t="s">
        <v>20220</v>
      </c>
      <c r="G4652" s="1368">
        <v>53</v>
      </c>
      <c r="H4652" s="1178" t="s">
        <v>20221</v>
      </c>
      <c r="I4652" s="1178" t="s">
        <v>14780</v>
      </c>
      <c r="J4652" s="1178" t="s">
        <v>19704</v>
      </c>
      <c r="K4652" s="1178" t="s">
        <v>533</v>
      </c>
      <c r="L4652" s="1178"/>
      <c r="M4652" s="1369"/>
      <c r="N4652" s="1178"/>
      <c r="O4652" s="1178">
        <v>6</v>
      </c>
      <c r="P4652" s="1178">
        <v>13</v>
      </c>
    </row>
    <row r="4653" spans="1:16">
      <c r="A4653" s="1178" t="s">
        <v>535</v>
      </c>
      <c r="B4653" s="1371" t="str">
        <f>HYPERLINK(IFERROR("#Main_Tariff!A"&amp;MATCH(Raeburn_Main_Tariff[[#This Row],[Product Code]],Main_Tariff!I:I,0),"#Main_Tariff!A"&amp;MATCH("*"&amp;RIGHT(A4653,8)&amp;"*",Main_Tariff!A:A,0)),Raeburn_Main_Tariff[[#This Row],[PRODUCER]])</f>
        <v>Bussaco Palace Hotel</v>
      </c>
      <c r="C4653" s="1178" t="s">
        <v>22374</v>
      </c>
      <c r="D4653" s="1178" t="s">
        <v>1129</v>
      </c>
      <c r="E4653" s="1179">
        <v>2017</v>
      </c>
      <c r="F4653" s="1282" t="s">
        <v>20220</v>
      </c>
      <c r="G4653" s="1368">
        <v>53</v>
      </c>
      <c r="H4653" s="1178" t="s">
        <v>20277</v>
      </c>
      <c r="I4653" s="1178" t="s">
        <v>14782</v>
      </c>
      <c r="J4653" s="1178" t="s">
        <v>19704</v>
      </c>
      <c r="K4653" s="1178" t="s">
        <v>533</v>
      </c>
      <c r="L4653" s="1178"/>
      <c r="M4653" s="1369"/>
      <c r="N4653" s="1178"/>
      <c r="O4653" s="1178">
        <v>6</v>
      </c>
      <c r="P4653" s="1178">
        <v>13</v>
      </c>
    </row>
    <row r="4654" spans="1:16">
      <c r="A4654" s="1178" t="s">
        <v>535</v>
      </c>
      <c r="B4654" s="1371" t="str">
        <f>HYPERLINK(IFERROR("#Main_Tariff!A"&amp;MATCH(Raeburn_Main_Tariff[[#This Row],[Product Code]],Main_Tariff!I:I,0),"#Main_Tariff!A"&amp;MATCH("*"&amp;RIGHT(A4654,8)&amp;"*",Main_Tariff!A:A,0)),Raeburn_Main_Tariff[[#This Row],[PRODUCER]])</f>
        <v>Bussaco Palace Hotel</v>
      </c>
      <c r="C4654" s="1178" t="s">
        <v>22375</v>
      </c>
      <c r="D4654" s="1178" t="s">
        <v>1129</v>
      </c>
      <c r="E4654" s="1179">
        <v>2017</v>
      </c>
      <c r="F4654" s="1282" t="s">
        <v>20220</v>
      </c>
      <c r="G4654" s="1368">
        <v>87.5</v>
      </c>
      <c r="H4654" s="1178" t="s">
        <v>20224</v>
      </c>
      <c r="I4654" s="1178" t="s">
        <v>14784</v>
      </c>
      <c r="J4654" s="1178" t="s">
        <v>19704</v>
      </c>
      <c r="K4654" s="1178" t="s">
        <v>533</v>
      </c>
      <c r="L4654" s="1178"/>
      <c r="M4654" s="1369"/>
      <c r="N4654" s="1178"/>
      <c r="O4654" s="1178">
        <v>3</v>
      </c>
      <c r="P4654" s="1178">
        <v>13</v>
      </c>
    </row>
    <row r="4655" spans="1:16">
      <c r="A4655" s="1178" t="s">
        <v>535</v>
      </c>
      <c r="B4655" s="1371" t="str">
        <f>HYPERLINK(IFERROR("#Main_Tariff!A"&amp;MATCH(Raeburn_Main_Tariff[[#This Row],[Product Code]],Main_Tariff!I:I,0),"#Main_Tariff!A"&amp;MATCH("*"&amp;RIGHT(A4655,8)&amp;"*",Main_Tariff!A:A,0)),Raeburn_Main_Tariff[[#This Row],[PRODUCER]])</f>
        <v>Bussaco Palace Hotel</v>
      </c>
      <c r="C4655" s="1178" t="s">
        <v>22374</v>
      </c>
      <c r="D4655" s="1178" t="s">
        <v>1129</v>
      </c>
      <c r="E4655" s="1179">
        <v>2013</v>
      </c>
      <c r="F4655" s="1282" t="s">
        <v>20220</v>
      </c>
      <c r="G4655" s="1368">
        <v>60.5</v>
      </c>
      <c r="H4655" s="1178" t="s">
        <v>20224</v>
      </c>
      <c r="I4655" s="1178" t="s">
        <v>14786</v>
      </c>
      <c r="J4655" s="1178" t="s">
        <v>19704</v>
      </c>
      <c r="K4655" s="1178" t="s">
        <v>533</v>
      </c>
      <c r="L4655" s="1178"/>
      <c r="M4655" s="1369"/>
      <c r="N4655" s="1178"/>
      <c r="O4655" s="1178">
        <v>6</v>
      </c>
      <c r="P4655" s="1178">
        <v>13</v>
      </c>
    </row>
    <row r="4656" spans="1:16">
      <c r="A4656" s="1178" t="s">
        <v>535</v>
      </c>
      <c r="B4656" s="1371" t="str">
        <f>HYPERLINK(IFERROR("#Main_Tariff!A"&amp;MATCH(Raeburn_Main_Tariff[[#This Row],[Product Code]],Main_Tariff!I:I,0),"#Main_Tariff!A"&amp;MATCH("*"&amp;RIGHT(A4656,8)&amp;"*",Main_Tariff!A:A,0)),Raeburn_Main_Tariff[[#This Row],[PRODUCER]])</f>
        <v>Bussaco Palace Hotel</v>
      </c>
      <c r="C4656" s="1178" t="s">
        <v>22374</v>
      </c>
      <c r="D4656" s="1178" t="s">
        <v>1129</v>
      </c>
      <c r="E4656" s="1179">
        <v>2007</v>
      </c>
      <c r="F4656" s="1282" t="s">
        <v>20220</v>
      </c>
      <c r="G4656" s="1368">
        <v>85.5</v>
      </c>
      <c r="H4656" s="1178" t="s">
        <v>20224</v>
      </c>
      <c r="I4656" s="1178" t="s">
        <v>14788</v>
      </c>
      <c r="J4656" s="1178" t="s">
        <v>19704</v>
      </c>
      <c r="K4656" s="1178" t="s">
        <v>533</v>
      </c>
      <c r="L4656" s="1178"/>
      <c r="M4656" s="1369"/>
      <c r="N4656" s="1178"/>
      <c r="O4656" s="1178">
        <v>6</v>
      </c>
      <c r="P4656" s="1178">
        <v>13</v>
      </c>
    </row>
    <row r="4657" spans="1:16">
      <c r="A4657" s="1178" t="s">
        <v>535</v>
      </c>
      <c r="B4657" s="1371" t="str">
        <f>HYPERLINK(IFERROR("#Main_Tariff!A"&amp;MATCH(Raeburn_Main_Tariff[[#This Row],[Product Code]],Main_Tariff!I:I,0),"#Main_Tariff!A"&amp;MATCH("*"&amp;RIGHT(A4657,8)&amp;"*",Main_Tariff!A:A,0)),Raeburn_Main_Tariff[[#This Row],[PRODUCER]])</f>
        <v>Bussaco Palace Hotel</v>
      </c>
      <c r="C4657" s="1178" t="s">
        <v>22374</v>
      </c>
      <c r="D4657" s="1178" t="s">
        <v>1129</v>
      </c>
      <c r="E4657" s="1179">
        <v>2003</v>
      </c>
      <c r="F4657" s="1282" t="s">
        <v>20220</v>
      </c>
      <c r="G4657" s="1368">
        <v>90.5</v>
      </c>
      <c r="H4657" s="1178" t="s">
        <v>20224</v>
      </c>
      <c r="I4657" s="1178" t="s">
        <v>14790</v>
      </c>
      <c r="J4657" s="1178" t="s">
        <v>19704</v>
      </c>
      <c r="K4657" s="1178" t="s">
        <v>533</v>
      </c>
      <c r="L4657" s="1178"/>
      <c r="M4657" s="1369"/>
      <c r="N4657" s="1178"/>
      <c r="O4657" s="1178">
        <v>6</v>
      </c>
      <c r="P4657" s="1178">
        <v>13</v>
      </c>
    </row>
    <row r="4658" spans="1:16">
      <c r="A4658" s="1178" t="s">
        <v>535</v>
      </c>
      <c r="B4658" s="1371" t="str">
        <f>HYPERLINK(IFERROR("#Main_Tariff!A"&amp;MATCH(Raeburn_Main_Tariff[[#This Row],[Product Code]],Main_Tariff!I:I,0),"#Main_Tariff!A"&amp;MATCH("*"&amp;RIGHT(A4658,8)&amp;"*",Main_Tariff!A:A,0)),Raeburn_Main_Tariff[[#This Row],[PRODUCER]])</f>
        <v>Bussaco Palace Hotel</v>
      </c>
      <c r="C4658" s="1178" t="s">
        <v>22376</v>
      </c>
      <c r="D4658" s="1178" t="s">
        <v>1129</v>
      </c>
      <c r="E4658" s="1179">
        <v>2015</v>
      </c>
      <c r="F4658" s="1282" t="s">
        <v>20240</v>
      </c>
      <c r="G4658" s="1368">
        <v>102</v>
      </c>
      <c r="H4658" s="1178" t="s">
        <v>20221</v>
      </c>
      <c r="I4658" s="1178" t="s">
        <v>14792</v>
      </c>
      <c r="J4658" s="1178" t="s">
        <v>19704</v>
      </c>
      <c r="K4658" s="1178" t="s">
        <v>533</v>
      </c>
      <c r="L4658" s="1178"/>
      <c r="M4658" s="1369"/>
      <c r="N4658" s="1178"/>
      <c r="O4658" s="1178">
        <v>1</v>
      </c>
      <c r="P4658" s="1178">
        <v>13.5</v>
      </c>
    </row>
    <row r="4659" spans="1:16">
      <c r="A4659" s="1178" t="s">
        <v>535</v>
      </c>
      <c r="B4659" s="1371" t="str">
        <f>HYPERLINK(IFERROR("#Main_Tariff!A"&amp;MATCH(Raeburn_Main_Tariff[[#This Row],[Product Code]],Main_Tariff!I:I,0),"#Main_Tariff!A"&amp;MATCH("*"&amp;RIGHT(A4659,8)&amp;"*",Main_Tariff!A:A,0)),Raeburn_Main_Tariff[[#This Row],[PRODUCER]])</f>
        <v>Bussaco Palace Hotel</v>
      </c>
      <c r="C4659" s="1178" t="s">
        <v>22377</v>
      </c>
      <c r="D4659" s="1178" t="s">
        <v>897</v>
      </c>
      <c r="E4659" s="1179">
        <v>2018</v>
      </c>
      <c r="F4659" s="1282" t="s">
        <v>20220</v>
      </c>
      <c r="G4659" s="1368">
        <v>50</v>
      </c>
      <c r="H4659" s="1178" t="s">
        <v>20221</v>
      </c>
      <c r="I4659" s="1178" t="s">
        <v>14796</v>
      </c>
      <c r="J4659" s="1178" t="s">
        <v>19704</v>
      </c>
      <c r="K4659" s="1178" t="s">
        <v>533</v>
      </c>
      <c r="L4659" s="1178"/>
      <c r="M4659" s="1369"/>
      <c r="N4659" s="1178"/>
      <c r="O4659" s="1178">
        <v>6</v>
      </c>
      <c r="P4659" s="1178">
        <v>13</v>
      </c>
    </row>
    <row r="4660" spans="1:16">
      <c r="A4660" s="1178" t="s">
        <v>535</v>
      </c>
      <c r="B4660" s="1371" t="str">
        <f>HYPERLINK(IFERROR("#Main_Tariff!A"&amp;MATCH(Raeburn_Main_Tariff[[#This Row],[Product Code]],Main_Tariff!I:I,0),"#Main_Tariff!A"&amp;MATCH("*"&amp;RIGHT(A4660,8)&amp;"*",Main_Tariff!A:A,0)),Raeburn_Main_Tariff[[#This Row],[PRODUCER]])</f>
        <v>Bussaco Palace Hotel</v>
      </c>
      <c r="C4660" s="1178" t="s">
        <v>22377</v>
      </c>
      <c r="D4660" s="1178" t="s">
        <v>897</v>
      </c>
      <c r="E4660" s="1179">
        <v>2017</v>
      </c>
      <c r="F4660" s="1282" t="s">
        <v>20220</v>
      </c>
      <c r="G4660" s="1368">
        <v>50</v>
      </c>
      <c r="H4660" s="1178" t="s">
        <v>20221</v>
      </c>
      <c r="I4660" s="1178" t="s">
        <v>14798</v>
      </c>
      <c r="J4660" s="1178" t="s">
        <v>19704</v>
      </c>
      <c r="K4660" s="1178" t="s">
        <v>533</v>
      </c>
      <c r="L4660" s="1178"/>
      <c r="M4660" s="1369"/>
      <c r="N4660" s="1178"/>
      <c r="O4660" s="1178">
        <v>6</v>
      </c>
      <c r="P4660" s="1178">
        <v>13.5</v>
      </c>
    </row>
    <row r="4661" spans="1:16">
      <c r="A4661" s="1178" t="s">
        <v>535</v>
      </c>
      <c r="B4661" s="1371" t="str">
        <f>HYPERLINK(IFERROR("#Main_Tariff!A"&amp;MATCH(Raeburn_Main_Tariff[[#This Row],[Product Code]],Main_Tariff!I:I,0),"#Main_Tariff!A"&amp;MATCH("*"&amp;RIGHT(A4661,8)&amp;"*",Main_Tariff!A:A,0)),Raeburn_Main_Tariff[[#This Row],[PRODUCER]])</f>
        <v>Bussaco Palace Hotel</v>
      </c>
      <c r="C4661" s="1178" t="s">
        <v>22378</v>
      </c>
      <c r="D4661" s="1178" t="s">
        <v>897</v>
      </c>
      <c r="E4661" s="1179">
        <v>2017</v>
      </c>
      <c r="F4661" s="1282" t="s">
        <v>20220</v>
      </c>
      <c r="G4661" s="1368">
        <v>87.5</v>
      </c>
      <c r="H4661" s="1178" t="s">
        <v>20224</v>
      </c>
      <c r="I4661" s="1178" t="s">
        <v>14800</v>
      </c>
      <c r="J4661" s="1178" t="s">
        <v>19704</v>
      </c>
      <c r="K4661" s="1178" t="s">
        <v>533</v>
      </c>
      <c r="L4661" s="1178"/>
      <c r="M4661" s="1369"/>
      <c r="N4661" s="1178"/>
      <c r="O4661" s="1178">
        <v>3</v>
      </c>
      <c r="P4661" s="1178">
        <v>13</v>
      </c>
    </row>
    <row r="4662" spans="1:16">
      <c r="A4662" s="1178" t="s">
        <v>535</v>
      </c>
      <c r="B4662" s="1371" t="str">
        <f>HYPERLINK(IFERROR("#Main_Tariff!A"&amp;MATCH(Raeburn_Main_Tariff[[#This Row],[Product Code]],Main_Tariff!I:I,0),"#Main_Tariff!A"&amp;MATCH("*"&amp;RIGHT(A4662,8)&amp;"*",Main_Tariff!A:A,0)),Raeburn_Main_Tariff[[#This Row],[PRODUCER]])</f>
        <v>Bussaco Palace Hotel</v>
      </c>
      <c r="C4662" s="1178" t="s">
        <v>22379</v>
      </c>
      <c r="D4662" s="1178" t="s">
        <v>897</v>
      </c>
      <c r="E4662" s="1179">
        <v>2010</v>
      </c>
      <c r="F4662" s="1282" t="s">
        <v>20220</v>
      </c>
      <c r="G4662" s="1368">
        <v>96.5</v>
      </c>
      <c r="H4662" s="1178" t="s">
        <v>20221</v>
      </c>
      <c r="I4662" s="1178" t="s">
        <v>14802</v>
      </c>
      <c r="J4662" s="1178" t="s">
        <v>19704</v>
      </c>
      <c r="K4662" s="1178" t="s">
        <v>533</v>
      </c>
      <c r="L4662" s="1178"/>
      <c r="M4662" s="1369"/>
      <c r="N4662" s="1178"/>
      <c r="O4662" s="1178">
        <v>6</v>
      </c>
      <c r="P4662" s="1178">
        <v>13</v>
      </c>
    </row>
    <row r="4663" spans="1:16">
      <c r="A4663" s="1178" t="s">
        <v>535</v>
      </c>
      <c r="B4663" s="1371" t="str">
        <f>HYPERLINK(IFERROR("#Main_Tariff!A"&amp;MATCH(Raeburn_Main_Tariff[[#This Row],[Product Code]],Main_Tariff!I:I,0),"#Main_Tariff!A"&amp;MATCH("*"&amp;RIGHT(A4663,8)&amp;"*",Main_Tariff!A:A,0)),Raeburn_Main_Tariff[[#This Row],[PRODUCER]])</f>
        <v>Bussaco Palace Hotel</v>
      </c>
      <c r="C4663" s="1178" t="s">
        <v>22377</v>
      </c>
      <c r="D4663" s="1178" t="s">
        <v>897</v>
      </c>
      <c r="E4663" s="1179">
        <v>2002</v>
      </c>
      <c r="F4663" s="1282" t="s">
        <v>20220</v>
      </c>
      <c r="G4663" s="1368">
        <v>72.5</v>
      </c>
      <c r="H4663" s="1178" t="s">
        <v>20224</v>
      </c>
      <c r="I4663" s="1178" t="s">
        <v>14804</v>
      </c>
      <c r="J4663" s="1178" t="s">
        <v>19704</v>
      </c>
      <c r="K4663" s="1178" t="s">
        <v>533</v>
      </c>
      <c r="L4663" s="1178"/>
      <c r="M4663" s="1369"/>
      <c r="N4663" s="1178"/>
      <c r="O4663" s="1178">
        <v>6</v>
      </c>
      <c r="P4663" s="1178">
        <v>13</v>
      </c>
    </row>
    <row r="4664" spans="1:16">
      <c r="A4664" s="1178" t="s">
        <v>535</v>
      </c>
      <c r="B4664" s="1371" t="str">
        <f>HYPERLINK(IFERROR("#Main_Tariff!A"&amp;MATCH(Raeburn_Main_Tariff[[#This Row],[Product Code]],Main_Tariff!I:I,0),"#Main_Tariff!A"&amp;MATCH("*"&amp;RIGHT(A4664,8)&amp;"*",Main_Tariff!A:A,0)),Raeburn_Main_Tariff[[#This Row],[PRODUCER]])</f>
        <v>Bussaco Palace Hotel</v>
      </c>
      <c r="C4664" s="1178" t="s">
        <v>22377</v>
      </c>
      <c r="D4664" s="1178" t="s">
        <v>897</v>
      </c>
      <c r="E4664" s="1179">
        <v>2001</v>
      </c>
      <c r="F4664" s="1282" t="s">
        <v>20220</v>
      </c>
      <c r="G4664" s="1368">
        <v>75.5</v>
      </c>
      <c r="H4664" s="1178" t="s">
        <v>20224</v>
      </c>
      <c r="I4664" s="1178" t="s">
        <v>14806</v>
      </c>
      <c r="J4664" s="1178" t="s">
        <v>19704</v>
      </c>
      <c r="K4664" s="1178" t="s">
        <v>533</v>
      </c>
      <c r="L4664" s="1178"/>
      <c r="M4664" s="1369"/>
      <c r="N4664" s="1178"/>
      <c r="O4664" s="1178">
        <v>6</v>
      </c>
      <c r="P4664" s="1178">
        <v>13</v>
      </c>
    </row>
    <row r="4665" spans="1:16">
      <c r="A4665" s="1178" t="s">
        <v>535</v>
      </c>
      <c r="B4665" s="1371" t="str">
        <f>HYPERLINK(IFERROR("#Main_Tariff!A"&amp;MATCH(Raeburn_Main_Tariff[[#This Row],[Product Code]],Main_Tariff!I:I,0),"#Main_Tariff!A"&amp;MATCH("*"&amp;RIGHT(A4665,8)&amp;"*",Main_Tariff!A:A,0)),Raeburn_Main_Tariff[[#This Row],[PRODUCER]])</f>
        <v>Bussaco Palace Hotel</v>
      </c>
      <c r="C4665" s="1178" t="s">
        <v>22380</v>
      </c>
      <c r="D4665" s="1178" t="s">
        <v>897</v>
      </c>
      <c r="E4665" s="1179">
        <v>2016</v>
      </c>
      <c r="F4665" s="1282" t="s">
        <v>20240</v>
      </c>
      <c r="G4665" s="1368">
        <v>90</v>
      </c>
      <c r="H4665" s="1178" t="s">
        <v>20224</v>
      </c>
      <c r="I4665" s="1178" t="s">
        <v>14808</v>
      </c>
      <c r="J4665" s="1178" t="s">
        <v>19704</v>
      </c>
      <c r="K4665" s="1178" t="s">
        <v>533</v>
      </c>
      <c r="L4665" s="1178"/>
      <c r="M4665" s="1369"/>
      <c r="N4665" s="1178"/>
      <c r="O4665" s="1178">
        <v>6</v>
      </c>
      <c r="P4665" s="1178">
        <v>14</v>
      </c>
    </row>
    <row r="4666" spans="1:16">
      <c r="A4666" s="1178" t="s">
        <v>22360</v>
      </c>
      <c r="B4666" s="1371" t="str">
        <f>HYPERLINK(IFERROR("#Main_Tariff!A"&amp;MATCH(Raeburn_Main_Tariff[[#This Row],[Product Code]],Main_Tariff!I:I,0),"#Main_Tariff!A"&amp;MATCH("*"&amp;RIGHT(A4666,8)&amp;"*",Main_Tariff!A:A,0)),Raeburn_Main_Tariff[[#This Row],[PRODUCER]])</f>
        <v>Quinta do Baixo by Niepoort</v>
      </c>
      <c r="C4666" s="1178" t="s">
        <v>22381</v>
      </c>
      <c r="D4666" s="1178" t="s">
        <v>897</v>
      </c>
      <c r="E4666" s="1179">
        <v>2015</v>
      </c>
      <c r="F4666" s="1282" t="s">
        <v>20220</v>
      </c>
      <c r="G4666" s="1368">
        <v>24</v>
      </c>
      <c r="H4666" s="1178" t="s">
        <v>20221</v>
      </c>
      <c r="I4666" s="1178" t="s">
        <v>14810</v>
      </c>
      <c r="J4666" s="1178" t="s">
        <v>19704</v>
      </c>
      <c r="K4666" s="1178" t="s">
        <v>533</v>
      </c>
      <c r="L4666" s="1178"/>
      <c r="M4666" s="1369"/>
      <c r="N4666" s="1178"/>
      <c r="O4666" s="1178">
        <v>6</v>
      </c>
      <c r="P4666" s="1178">
        <v>11.5</v>
      </c>
    </row>
    <row r="4667" spans="1:16">
      <c r="A4667" s="1178" t="s">
        <v>22382</v>
      </c>
      <c r="B4667" s="1371" t="str">
        <f>HYPERLINK(IFERROR("#Main_Tariff!A"&amp;MATCH(Raeburn_Main_Tariff[[#This Row],[Product Code]],Main_Tariff!I:I,0),"#Main_Tariff!A"&amp;MATCH("*"&amp;RIGHT(A4667,8)&amp;"*",Main_Tariff!A:A,0)),Raeburn_Main_Tariff[[#This Row],[PRODUCER]])</f>
        <v>Quinta da Lomba by Niepoort</v>
      </c>
      <c r="C4667" s="1178" t="s">
        <v>22383</v>
      </c>
      <c r="D4667" s="1178" t="s">
        <v>1129</v>
      </c>
      <c r="E4667" s="1179">
        <v>2023</v>
      </c>
      <c r="F4667" s="1282" t="s">
        <v>20220</v>
      </c>
      <c r="G4667" s="1368">
        <v>22.5</v>
      </c>
      <c r="H4667" s="1178" t="s">
        <v>20221</v>
      </c>
      <c r="I4667" s="1178" t="s">
        <v>23358</v>
      </c>
      <c r="J4667" s="1178" t="s">
        <v>19704</v>
      </c>
      <c r="K4667" s="1178" t="s">
        <v>537</v>
      </c>
      <c r="L4667" s="1178"/>
      <c r="M4667" s="1369"/>
      <c r="N4667" s="1178" t="s">
        <v>20244</v>
      </c>
      <c r="O4667" s="1178">
        <v>6</v>
      </c>
      <c r="P4667" s="1178">
        <v>12.5</v>
      </c>
    </row>
    <row r="4668" spans="1:16">
      <c r="A4668" s="1178" t="s">
        <v>22382</v>
      </c>
      <c r="B4668" s="1371" t="str">
        <f>HYPERLINK(IFERROR("#Main_Tariff!A"&amp;MATCH(Raeburn_Main_Tariff[[#This Row],[Product Code]],Main_Tariff!I:I,0),"#Main_Tariff!A"&amp;MATCH("*"&amp;RIGHT(A4668,8)&amp;"*",Main_Tariff!A:A,0)),Raeburn_Main_Tariff[[#This Row],[PRODUCER]])</f>
        <v>Quinta da Lomba by Niepoort</v>
      </c>
      <c r="C4668" s="1178" t="s">
        <v>22384</v>
      </c>
      <c r="D4668" s="1178" t="s">
        <v>897</v>
      </c>
      <c r="E4668" s="1179">
        <v>2020</v>
      </c>
      <c r="F4668" s="1282" t="s">
        <v>20220</v>
      </c>
      <c r="G4668" s="1368">
        <v>12.5</v>
      </c>
      <c r="H4668" s="1178" t="s">
        <v>20221</v>
      </c>
      <c r="I4668" s="1178" t="s">
        <v>14819</v>
      </c>
      <c r="J4668" s="1178" t="s">
        <v>19704</v>
      </c>
      <c r="K4668" s="1178" t="s">
        <v>537</v>
      </c>
      <c r="L4668" s="1178"/>
      <c r="M4668" s="1369"/>
      <c r="N4668" s="1178"/>
      <c r="O4668" s="1178">
        <v>6</v>
      </c>
      <c r="P4668" s="1178">
        <v>12</v>
      </c>
    </row>
    <row r="4669" spans="1:16">
      <c r="A4669" s="1178" t="s">
        <v>22382</v>
      </c>
      <c r="B4669" s="1371" t="str">
        <f>HYPERLINK(IFERROR("#Main_Tariff!A"&amp;MATCH(Raeburn_Main_Tariff[[#This Row],[Product Code]],Main_Tariff!I:I,0),"#Main_Tariff!A"&amp;MATCH("*"&amp;RIGHT(A4669,8)&amp;"*",Main_Tariff!A:A,0)),Raeburn_Main_Tariff[[#This Row],[PRODUCER]])</f>
        <v>Quinta da Lomba by Niepoort</v>
      </c>
      <c r="C4669" s="1178" t="s">
        <v>22385</v>
      </c>
      <c r="D4669" s="1178" t="s">
        <v>897</v>
      </c>
      <c r="E4669" s="1179">
        <v>2017</v>
      </c>
      <c r="F4669" s="1282" t="s">
        <v>20220</v>
      </c>
      <c r="G4669" s="1368">
        <v>17.5</v>
      </c>
      <c r="H4669" s="1178" t="s">
        <v>20221</v>
      </c>
      <c r="I4669" s="1178" t="s">
        <v>14821</v>
      </c>
      <c r="J4669" s="1178" t="s">
        <v>19704</v>
      </c>
      <c r="K4669" s="1178" t="s">
        <v>537</v>
      </c>
      <c r="L4669" s="1178"/>
      <c r="M4669" s="1369"/>
      <c r="N4669" s="1178" t="s">
        <v>20244</v>
      </c>
      <c r="O4669" s="1178">
        <v>3</v>
      </c>
      <c r="P4669" s="1178">
        <v>13</v>
      </c>
    </row>
    <row r="4670" spans="1:16">
      <c r="A4670" s="1178" t="s">
        <v>540</v>
      </c>
      <c r="B4670" s="1371" t="str">
        <f>HYPERLINK(IFERROR("#Main_Tariff!A"&amp;MATCH(Raeburn_Main_Tariff[[#This Row],[Product Code]],Main_Tariff!I:I,0),"#Main_Tariff!A"&amp;MATCH("*"&amp;RIGHT(A4670,8)&amp;"*",Main_Tariff!A:A,0)),Raeburn_Main_Tariff[[#This Row],[PRODUCER]])</f>
        <v>Baias e Enseadas</v>
      </c>
      <c r="C4670" s="1178" t="s">
        <v>22386</v>
      </c>
      <c r="D4670" s="1178" t="s">
        <v>1129</v>
      </c>
      <c r="E4670" s="1179">
        <v>2021</v>
      </c>
      <c r="F4670" s="1282" t="s">
        <v>20220</v>
      </c>
      <c r="G4670" s="1368">
        <v>21</v>
      </c>
      <c r="H4670" s="1178" t="s">
        <v>20221</v>
      </c>
      <c r="I4670" s="1178" t="s">
        <v>14840</v>
      </c>
      <c r="J4670" s="1178" t="s">
        <v>19704</v>
      </c>
      <c r="K4670" s="1178" t="s">
        <v>539</v>
      </c>
      <c r="L4670" s="1178"/>
      <c r="M4670" s="1369"/>
      <c r="N4670" s="1178"/>
      <c r="O4670" s="1178">
        <v>6</v>
      </c>
      <c r="P4670" s="1178">
        <v>13</v>
      </c>
    </row>
    <row r="4671" spans="1:16">
      <c r="A4671" s="1178" t="s">
        <v>540</v>
      </c>
      <c r="B4671" s="1371" t="str">
        <f>HYPERLINK(IFERROR("#Main_Tariff!A"&amp;MATCH(Raeburn_Main_Tariff[[#This Row],[Product Code]],Main_Tariff!I:I,0),"#Main_Tariff!A"&amp;MATCH("*"&amp;RIGHT(A4671,8)&amp;"*",Main_Tariff!A:A,0)),Raeburn_Main_Tariff[[#This Row],[PRODUCER]])</f>
        <v>Baias e Enseadas</v>
      </c>
      <c r="C4671" s="1178" t="s">
        <v>22387</v>
      </c>
      <c r="D4671" s="1178" t="s">
        <v>1129</v>
      </c>
      <c r="E4671" s="1179">
        <v>2020</v>
      </c>
      <c r="F4671" s="1282" t="s">
        <v>20220</v>
      </c>
      <c r="G4671" s="1368">
        <v>19</v>
      </c>
      <c r="H4671" s="1178" t="s">
        <v>20221</v>
      </c>
      <c r="I4671" s="1178" t="s">
        <v>14842</v>
      </c>
      <c r="J4671" s="1178" t="s">
        <v>19704</v>
      </c>
      <c r="K4671" s="1178" t="s">
        <v>539</v>
      </c>
      <c r="L4671" s="1178"/>
      <c r="M4671" s="1369"/>
      <c r="N4671" s="1178"/>
      <c r="O4671" s="1178">
        <v>6</v>
      </c>
      <c r="P4671" s="1178">
        <v>12.5</v>
      </c>
    </row>
    <row r="4672" spans="1:16">
      <c r="A4672" s="1178" t="s">
        <v>540</v>
      </c>
      <c r="B4672" s="1371" t="str">
        <f>HYPERLINK(IFERROR("#Main_Tariff!A"&amp;MATCH(Raeburn_Main_Tariff[[#This Row],[Product Code]],Main_Tariff!I:I,0),"#Main_Tariff!A"&amp;MATCH("*"&amp;RIGHT(A4672,8)&amp;"*",Main_Tariff!A:A,0)),Raeburn_Main_Tariff[[#This Row],[PRODUCER]])</f>
        <v>Baias e Enseadas</v>
      </c>
      <c r="C4672" s="1178" t="s">
        <v>22386</v>
      </c>
      <c r="D4672" s="1178" t="s">
        <v>1129</v>
      </c>
      <c r="E4672" s="1179">
        <v>2018</v>
      </c>
      <c r="F4672" s="1282" t="s">
        <v>20220</v>
      </c>
      <c r="G4672" s="1368">
        <v>19</v>
      </c>
      <c r="H4672" s="1178" t="s">
        <v>20221</v>
      </c>
      <c r="I4672" s="1178" t="s">
        <v>14844</v>
      </c>
      <c r="J4672" s="1178" t="s">
        <v>19704</v>
      </c>
      <c r="K4672" s="1178" t="s">
        <v>539</v>
      </c>
      <c r="L4672" s="1178"/>
      <c r="M4672" s="1369"/>
      <c r="N4672" s="1178"/>
      <c r="O4672" s="1178">
        <v>6</v>
      </c>
      <c r="P4672" s="1178">
        <v>12.5</v>
      </c>
    </row>
    <row r="4673" spans="1:16">
      <c r="A4673" s="1178" t="s">
        <v>540</v>
      </c>
      <c r="B4673" s="1371" t="str">
        <f>HYPERLINK(IFERROR("#Main_Tariff!A"&amp;MATCH(Raeburn_Main_Tariff[[#This Row],[Product Code]],Main_Tariff!I:I,0),"#Main_Tariff!A"&amp;MATCH("*"&amp;RIGHT(A4673,8)&amp;"*",Main_Tariff!A:A,0)),Raeburn_Main_Tariff[[#This Row],[PRODUCER]])</f>
        <v>Baias e Enseadas</v>
      </c>
      <c r="C4673" s="1178" t="s">
        <v>22388</v>
      </c>
      <c r="D4673" s="1178" t="s">
        <v>1129</v>
      </c>
      <c r="E4673" s="1179">
        <v>2022</v>
      </c>
      <c r="F4673" s="1282" t="s">
        <v>20220</v>
      </c>
      <c r="G4673" s="1368">
        <v>21</v>
      </c>
      <c r="H4673" s="1178" t="s">
        <v>20221</v>
      </c>
      <c r="I4673" s="1178" t="s">
        <v>14846</v>
      </c>
      <c r="J4673" s="1178" t="s">
        <v>19704</v>
      </c>
      <c r="K4673" s="1178" t="s">
        <v>539</v>
      </c>
      <c r="L4673" s="1178"/>
      <c r="M4673" s="1369"/>
      <c r="N4673" s="1178"/>
      <c r="O4673" s="1178">
        <v>6</v>
      </c>
      <c r="P4673" s="1178">
        <v>13.5</v>
      </c>
    </row>
    <row r="4674" spans="1:16">
      <c r="A4674" s="1178" t="s">
        <v>540</v>
      </c>
      <c r="B4674" s="1371" t="str">
        <f>HYPERLINK(IFERROR("#Main_Tariff!A"&amp;MATCH(Raeburn_Main_Tariff[[#This Row],[Product Code]],Main_Tariff!I:I,0),"#Main_Tariff!A"&amp;MATCH("*"&amp;RIGHT(A4674,8)&amp;"*",Main_Tariff!A:A,0)),Raeburn_Main_Tariff[[#This Row],[PRODUCER]])</f>
        <v>Baias e Enseadas</v>
      </c>
      <c r="C4674" s="1178" t="s">
        <v>22389</v>
      </c>
      <c r="D4674" s="1178" t="s">
        <v>1129</v>
      </c>
      <c r="E4674" s="1179">
        <v>2021</v>
      </c>
      <c r="F4674" s="1282" t="s">
        <v>20220</v>
      </c>
      <c r="G4674" s="1368">
        <v>21</v>
      </c>
      <c r="H4674" s="1178" t="s">
        <v>20221</v>
      </c>
      <c r="I4674" s="1178" t="s">
        <v>14848</v>
      </c>
      <c r="J4674" s="1178" t="s">
        <v>19704</v>
      </c>
      <c r="K4674" s="1178" t="s">
        <v>539</v>
      </c>
      <c r="L4674" s="1178"/>
      <c r="M4674" s="1369"/>
      <c r="N4674" s="1178"/>
      <c r="O4674" s="1178">
        <v>6</v>
      </c>
      <c r="P4674" s="1178">
        <v>13.5</v>
      </c>
    </row>
    <row r="4675" spans="1:16">
      <c r="A4675" s="1178" t="s">
        <v>540</v>
      </c>
      <c r="B4675" s="1371" t="str">
        <f>HYPERLINK(IFERROR("#Main_Tariff!A"&amp;MATCH(Raeburn_Main_Tariff[[#This Row],[Product Code]],Main_Tariff!I:I,0),"#Main_Tariff!A"&amp;MATCH("*"&amp;RIGHT(A4675,8)&amp;"*",Main_Tariff!A:A,0)),Raeburn_Main_Tariff[[#This Row],[PRODUCER]])</f>
        <v>Baias e Enseadas</v>
      </c>
      <c r="C4675" s="1178" t="s">
        <v>22390</v>
      </c>
      <c r="D4675" s="1178" t="s">
        <v>1129</v>
      </c>
      <c r="E4675" s="1179">
        <v>2018</v>
      </c>
      <c r="F4675" s="1282" t="s">
        <v>20220</v>
      </c>
      <c r="G4675" s="1368">
        <v>19</v>
      </c>
      <c r="H4675" s="1178" t="s">
        <v>20221</v>
      </c>
      <c r="I4675" s="1178" t="s">
        <v>14850</v>
      </c>
      <c r="J4675" s="1178" t="s">
        <v>19704</v>
      </c>
      <c r="K4675" s="1178" t="s">
        <v>539</v>
      </c>
      <c r="L4675" s="1178"/>
      <c r="M4675" s="1369"/>
      <c r="N4675" s="1178"/>
      <c r="O4675" s="1178">
        <v>6</v>
      </c>
      <c r="P4675" s="1178">
        <v>15</v>
      </c>
    </row>
    <row r="4676" spans="1:16">
      <c r="A4676" s="1178" t="s">
        <v>540</v>
      </c>
      <c r="B4676" s="1371" t="str">
        <f>HYPERLINK(IFERROR("#Main_Tariff!A"&amp;MATCH(Raeburn_Main_Tariff[[#This Row],[Product Code]],Main_Tariff!I:I,0),"#Main_Tariff!A"&amp;MATCH("*"&amp;RIGHT(A4676,8)&amp;"*",Main_Tariff!A:A,0)),Raeburn_Main_Tariff[[#This Row],[PRODUCER]])</f>
        <v>Baias e Enseadas</v>
      </c>
      <c r="C4676" s="1178" t="s">
        <v>22062</v>
      </c>
      <c r="D4676" s="1178" t="s">
        <v>1129</v>
      </c>
      <c r="E4676" s="1179">
        <v>2021</v>
      </c>
      <c r="F4676" s="1282" t="s">
        <v>20220</v>
      </c>
      <c r="G4676" s="1368">
        <v>21</v>
      </c>
      <c r="H4676" s="1178" t="s">
        <v>20221</v>
      </c>
      <c r="I4676" s="1178" t="s">
        <v>14851</v>
      </c>
      <c r="J4676" s="1178" t="s">
        <v>19704</v>
      </c>
      <c r="K4676" s="1178" t="s">
        <v>539</v>
      </c>
      <c r="L4676" s="1178"/>
      <c r="M4676" s="1369"/>
      <c r="N4676" s="1178"/>
      <c r="O4676" s="1178">
        <v>6</v>
      </c>
      <c r="P4676" s="1178">
        <v>13</v>
      </c>
    </row>
    <row r="4677" spans="1:16">
      <c r="A4677" s="1178" t="s">
        <v>540</v>
      </c>
      <c r="B4677" s="1371" t="str">
        <f>HYPERLINK(IFERROR("#Main_Tariff!A"&amp;MATCH(Raeburn_Main_Tariff[[#This Row],[Product Code]],Main_Tariff!I:I,0),"#Main_Tariff!A"&amp;MATCH("*"&amp;RIGHT(A4677,8)&amp;"*",Main_Tariff!A:A,0)),Raeburn_Main_Tariff[[#This Row],[PRODUCER]])</f>
        <v>Baias e Enseadas</v>
      </c>
      <c r="C4677" s="1178" t="s">
        <v>22391</v>
      </c>
      <c r="D4677" s="1178" t="s">
        <v>1129</v>
      </c>
      <c r="E4677" s="1179">
        <v>2021</v>
      </c>
      <c r="F4677" s="1282" t="s">
        <v>20220</v>
      </c>
      <c r="G4677" s="1368">
        <v>30.5</v>
      </c>
      <c r="H4677" s="1178" t="s">
        <v>20221</v>
      </c>
      <c r="I4677" s="1178" t="s">
        <v>14855</v>
      </c>
      <c r="J4677" s="1178" t="s">
        <v>19704</v>
      </c>
      <c r="K4677" s="1178" t="s">
        <v>539</v>
      </c>
      <c r="L4677" s="1178"/>
      <c r="M4677" s="1369"/>
      <c r="N4677" s="1178"/>
      <c r="O4677" s="1178">
        <v>6</v>
      </c>
      <c r="P4677" s="1178">
        <v>12</v>
      </c>
    </row>
    <row r="4678" spans="1:16">
      <c r="A4678" s="1178" t="s">
        <v>540</v>
      </c>
      <c r="B4678" s="1371" t="str">
        <f>HYPERLINK(IFERROR("#Main_Tariff!A"&amp;MATCH(Raeburn_Main_Tariff[[#This Row],[Product Code]],Main_Tariff!I:I,0),"#Main_Tariff!A"&amp;MATCH("*"&amp;RIGHT(A4678,8)&amp;"*",Main_Tariff!A:A,0)),Raeburn_Main_Tariff[[#This Row],[PRODUCER]])</f>
        <v>Baias e Enseadas</v>
      </c>
      <c r="C4678" s="1178" t="s">
        <v>22392</v>
      </c>
      <c r="D4678" s="1178" t="s">
        <v>1129</v>
      </c>
      <c r="E4678" s="1179">
        <v>2022</v>
      </c>
      <c r="F4678" s="1282" t="s">
        <v>20220</v>
      </c>
      <c r="G4678" s="1368">
        <v>41.5</v>
      </c>
      <c r="H4678" s="1178" t="s">
        <v>20221</v>
      </c>
      <c r="I4678" s="1178" t="s">
        <v>14857</v>
      </c>
      <c r="J4678" s="1178" t="s">
        <v>19704</v>
      </c>
      <c r="K4678" s="1178" t="s">
        <v>539</v>
      </c>
      <c r="L4678" s="1178"/>
      <c r="M4678" s="1369"/>
      <c r="N4678" s="1178"/>
      <c r="O4678" s="1178">
        <v>6</v>
      </c>
      <c r="P4678" s="1178">
        <v>12</v>
      </c>
    </row>
    <row r="4679" spans="1:16">
      <c r="A4679" s="1178" t="s">
        <v>540</v>
      </c>
      <c r="B4679" s="1371" t="str">
        <f>HYPERLINK(IFERROR("#Main_Tariff!A"&amp;MATCH(Raeburn_Main_Tariff[[#This Row],[Product Code]],Main_Tariff!I:I,0),"#Main_Tariff!A"&amp;MATCH("*"&amp;RIGHT(A4679,8)&amp;"*",Main_Tariff!A:A,0)),Raeburn_Main_Tariff[[#This Row],[PRODUCER]])</f>
        <v>Baias e Enseadas</v>
      </c>
      <c r="C4679" s="1178" t="s">
        <v>22392</v>
      </c>
      <c r="D4679" s="1178" t="s">
        <v>1129</v>
      </c>
      <c r="E4679" s="1179">
        <v>2021</v>
      </c>
      <c r="F4679" s="1282" t="s">
        <v>20220</v>
      </c>
      <c r="G4679" s="1368">
        <v>41.25</v>
      </c>
      <c r="H4679" s="1178" t="s">
        <v>20221</v>
      </c>
      <c r="I4679" s="1178" t="s">
        <v>14859</v>
      </c>
      <c r="J4679" s="1178" t="s">
        <v>19704</v>
      </c>
      <c r="K4679" s="1178" t="s">
        <v>539</v>
      </c>
      <c r="L4679" s="1178"/>
      <c r="M4679" s="1369"/>
      <c r="N4679" s="1178"/>
      <c r="O4679" s="1178">
        <v>6</v>
      </c>
      <c r="P4679" s="1178">
        <v>11.5</v>
      </c>
    </row>
    <row r="4680" spans="1:16">
      <c r="A4680" s="1178" t="s">
        <v>540</v>
      </c>
      <c r="B4680" s="1371" t="str">
        <f>HYPERLINK(IFERROR("#Main_Tariff!A"&amp;MATCH(Raeburn_Main_Tariff[[#This Row],[Product Code]],Main_Tariff!I:I,0),"#Main_Tariff!A"&amp;MATCH("*"&amp;RIGHT(A4680,8)&amp;"*",Main_Tariff!A:A,0)),Raeburn_Main_Tariff[[#This Row],[PRODUCER]])</f>
        <v>Baias e Enseadas</v>
      </c>
      <c r="C4680" s="1178" t="s">
        <v>22393</v>
      </c>
      <c r="D4680" s="1178" t="s">
        <v>1129</v>
      </c>
      <c r="E4680" s="1179">
        <v>2022</v>
      </c>
      <c r="F4680" s="1282" t="s">
        <v>20220</v>
      </c>
      <c r="G4680" s="1368">
        <v>30.5</v>
      </c>
      <c r="H4680" s="1178" t="s">
        <v>20221</v>
      </c>
      <c r="I4680" s="1178" t="s">
        <v>14861</v>
      </c>
      <c r="J4680" s="1178" t="s">
        <v>19704</v>
      </c>
      <c r="K4680" s="1178" t="s">
        <v>539</v>
      </c>
      <c r="L4680" s="1178"/>
      <c r="M4680" s="1369"/>
      <c r="N4680" s="1178"/>
      <c r="O4680" s="1178">
        <v>6</v>
      </c>
      <c r="P4680" s="1178">
        <v>13.5</v>
      </c>
    </row>
    <row r="4681" spans="1:16">
      <c r="A4681" s="1178" t="s">
        <v>540</v>
      </c>
      <c r="B4681" s="1371" t="str">
        <f>HYPERLINK(IFERROR("#Main_Tariff!A"&amp;MATCH(Raeburn_Main_Tariff[[#This Row],[Product Code]],Main_Tariff!I:I,0),"#Main_Tariff!A"&amp;MATCH("*"&amp;RIGHT(A4681,8)&amp;"*",Main_Tariff!A:A,0)),Raeburn_Main_Tariff[[#This Row],[PRODUCER]])</f>
        <v>Baias e Enseadas</v>
      </c>
      <c r="C4681" s="1178" t="s">
        <v>22393</v>
      </c>
      <c r="D4681" s="1178" t="s">
        <v>1129</v>
      </c>
      <c r="E4681" s="1179">
        <v>2021</v>
      </c>
      <c r="F4681" s="1282" t="s">
        <v>20220</v>
      </c>
      <c r="G4681" s="1368">
        <v>30.5</v>
      </c>
      <c r="H4681" s="1178" t="s">
        <v>20221</v>
      </c>
      <c r="I4681" s="1178" t="s">
        <v>14863</v>
      </c>
      <c r="J4681" s="1178" t="s">
        <v>19704</v>
      </c>
      <c r="K4681" s="1178" t="s">
        <v>539</v>
      </c>
      <c r="L4681" s="1178"/>
      <c r="M4681" s="1369"/>
      <c r="N4681" s="1178"/>
      <c r="O4681" s="1178">
        <v>6</v>
      </c>
      <c r="P4681" s="1178">
        <v>14</v>
      </c>
    </row>
    <row r="4682" spans="1:16">
      <c r="A4682" s="1178" t="s">
        <v>540</v>
      </c>
      <c r="B4682" s="1371" t="str">
        <f>HYPERLINK(IFERROR("#Main_Tariff!A"&amp;MATCH(Raeburn_Main_Tariff[[#This Row],[Product Code]],Main_Tariff!I:I,0),"#Main_Tariff!A"&amp;MATCH("*"&amp;RIGHT(A4682,8)&amp;"*",Main_Tariff!A:A,0)),Raeburn_Main_Tariff[[#This Row],[PRODUCER]])</f>
        <v>Baias e Enseadas</v>
      </c>
      <c r="C4682" s="1178" t="s">
        <v>22394</v>
      </c>
      <c r="D4682" s="1178" t="s">
        <v>1129</v>
      </c>
      <c r="E4682" s="1179">
        <v>2022</v>
      </c>
      <c r="F4682" s="1282" t="s">
        <v>20220</v>
      </c>
      <c r="G4682" s="1368">
        <v>30.5</v>
      </c>
      <c r="H4682" s="1178" t="s">
        <v>20221</v>
      </c>
      <c r="I4682" s="1178" t="s">
        <v>14864</v>
      </c>
      <c r="J4682" s="1178" t="s">
        <v>19704</v>
      </c>
      <c r="K4682" s="1178" t="s">
        <v>539</v>
      </c>
      <c r="L4682" s="1178"/>
      <c r="M4682" s="1369"/>
      <c r="N4682" s="1178"/>
      <c r="O4682" s="1178">
        <v>6</v>
      </c>
      <c r="P4682" s="1178">
        <v>12.5</v>
      </c>
    </row>
    <row r="4683" spans="1:16">
      <c r="A4683" s="1178" t="s">
        <v>540</v>
      </c>
      <c r="B4683" s="1371" t="str">
        <f>HYPERLINK(IFERROR("#Main_Tariff!A"&amp;MATCH(Raeburn_Main_Tariff[[#This Row],[Product Code]],Main_Tariff!I:I,0),"#Main_Tariff!A"&amp;MATCH("*"&amp;RIGHT(A4683,8)&amp;"*",Main_Tariff!A:A,0)),Raeburn_Main_Tariff[[#This Row],[PRODUCER]])</f>
        <v>Baias e Enseadas</v>
      </c>
      <c r="C4683" s="1178" t="s">
        <v>22394</v>
      </c>
      <c r="D4683" s="1178" t="s">
        <v>1129</v>
      </c>
      <c r="E4683" s="1179">
        <v>2020</v>
      </c>
      <c r="F4683" s="1282" t="s">
        <v>20220</v>
      </c>
      <c r="G4683" s="1368">
        <v>29</v>
      </c>
      <c r="H4683" s="1178" t="s">
        <v>20221</v>
      </c>
      <c r="I4683" s="1178" t="s">
        <v>14866</v>
      </c>
      <c r="J4683" s="1178" t="s">
        <v>19704</v>
      </c>
      <c r="K4683" s="1178" t="s">
        <v>539</v>
      </c>
      <c r="L4683" s="1178"/>
      <c r="M4683" s="1369"/>
      <c r="N4683" s="1178"/>
      <c r="O4683" s="1178">
        <v>6</v>
      </c>
      <c r="P4683" s="1178">
        <v>13</v>
      </c>
    </row>
    <row r="4684" spans="1:16">
      <c r="A4684" s="1178" t="s">
        <v>540</v>
      </c>
      <c r="B4684" s="1371" t="str">
        <f>HYPERLINK(IFERROR("#Main_Tariff!A"&amp;MATCH(Raeburn_Main_Tariff[[#This Row],[Product Code]],Main_Tariff!I:I,0),"#Main_Tariff!A"&amp;MATCH("*"&amp;RIGHT(A4684,8)&amp;"*",Main_Tariff!A:A,0)),Raeburn_Main_Tariff[[#This Row],[PRODUCER]])</f>
        <v>Baias e Enseadas</v>
      </c>
      <c r="C4684" s="1178" t="s">
        <v>22395</v>
      </c>
      <c r="D4684" s="1178" t="s">
        <v>1129</v>
      </c>
      <c r="E4684" s="1179">
        <v>2020</v>
      </c>
      <c r="F4684" s="1282" t="s">
        <v>20240</v>
      </c>
      <c r="G4684" s="1368">
        <v>59</v>
      </c>
      <c r="H4684" s="1178" t="s">
        <v>20224</v>
      </c>
      <c r="I4684" s="1178" t="s">
        <v>14867</v>
      </c>
      <c r="J4684" s="1178" t="s">
        <v>19704</v>
      </c>
      <c r="K4684" s="1178" t="s">
        <v>539</v>
      </c>
      <c r="L4684" s="1178"/>
      <c r="M4684" s="1369"/>
      <c r="N4684" s="1178"/>
      <c r="O4684" s="1178">
        <v>6</v>
      </c>
      <c r="P4684" s="1178">
        <v>13</v>
      </c>
    </row>
    <row r="4685" spans="1:16">
      <c r="A4685" s="1178" t="s">
        <v>540</v>
      </c>
      <c r="B4685" s="1371" t="str">
        <f>HYPERLINK(IFERROR("#Main_Tariff!A"&amp;MATCH(Raeburn_Main_Tariff[[#This Row],[Product Code]],Main_Tariff!I:I,0),"#Main_Tariff!A"&amp;MATCH("*"&amp;RIGHT(A4685,8)&amp;"*",Main_Tariff!A:A,0)),Raeburn_Main_Tariff[[#This Row],[PRODUCER]])</f>
        <v>Baias e Enseadas</v>
      </c>
      <c r="C4685" s="1178" t="s">
        <v>22396</v>
      </c>
      <c r="D4685" s="1178" t="s">
        <v>897</v>
      </c>
      <c r="E4685" s="1179">
        <v>2022</v>
      </c>
      <c r="F4685" s="1282" t="s">
        <v>20220</v>
      </c>
      <c r="G4685" s="1368">
        <v>20.75</v>
      </c>
      <c r="H4685" s="1178" t="s">
        <v>20221</v>
      </c>
      <c r="I4685" s="1178" t="s">
        <v>14869</v>
      </c>
      <c r="J4685" s="1178" t="s">
        <v>19704</v>
      </c>
      <c r="K4685" s="1178" t="s">
        <v>539</v>
      </c>
      <c r="L4685" s="1178"/>
      <c r="M4685" s="1369"/>
      <c r="N4685" s="1178"/>
      <c r="O4685" s="1178">
        <v>6</v>
      </c>
      <c r="P4685" s="1178">
        <v>11</v>
      </c>
    </row>
    <row r="4686" spans="1:16">
      <c r="A4686" s="1178" t="s">
        <v>540</v>
      </c>
      <c r="B4686" s="1371" t="str">
        <f>HYPERLINK(IFERROR("#Main_Tariff!A"&amp;MATCH(Raeburn_Main_Tariff[[#This Row],[Product Code]],Main_Tariff!I:I,0),"#Main_Tariff!A"&amp;MATCH("*"&amp;RIGHT(A4686,8)&amp;"*",Main_Tariff!A:A,0)),Raeburn_Main_Tariff[[#This Row],[PRODUCER]])</f>
        <v>Baias e Enseadas</v>
      </c>
      <c r="C4686" s="1178" t="s">
        <v>22396</v>
      </c>
      <c r="D4686" s="1178" t="s">
        <v>897</v>
      </c>
      <c r="E4686" s="1179">
        <v>2021</v>
      </c>
      <c r="F4686" s="1282" t="s">
        <v>20220</v>
      </c>
      <c r="G4686" s="1368">
        <v>20.75</v>
      </c>
      <c r="H4686" s="1178" t="s">
        <v>20221</v>
      </c>
      <c r="I4686" s="1178" t="s">
        <v>14870</v>
      </c>
      <c r="J4686" s="1178" t="s">
        <v>19704</v>
      </c>
      <c r="K4686" s="1178" t="s">
        <v>539</v>
      </c>
      <c r="L4686" s="1178"/>
      <c r="M4686" s="1369"/>
      <c r="N4686" s="1178"/>
      <c r="O4686" s="1178">
        <v>6</v>
      </c>
      <c r="P4686" s="1178">
        <v>11.5</v>
      </c>
    </row>
    <row r="4687" spans="1:16">
      <c r="A4687" s="1178" t="s">
        <v>540</v>
      </c>
      <c r="B4687" s="1371" t="str">
        <f>HYPERLINK(IFERROR("#Main_Tariff!A"&amp;MATCH(Raeburn_Main_Tariff[[#This Row],[Product Code]],Main_Tariff!I:I,0),"#Main_Tariff!A"&amp;MATCH("*"&amp;RIGHT(A4687,8)&amp;"*",Main_Tariff!A:A,0)),Raeburn_Main_Tariff[[#This Row],[PRODUCER]])</f>
        <v>Baias e Enseadas</v>
      </c>
      <c r="C4687" s="1178" t="s">
        <v>22396</v>
      </c>
      <c r="D4687" s="1178" t="s">
        <v>897</v>
      </c>
      <c r="E4687" s="1179">
        <v>2020</v>
      </c>
      <c r="F4687" s="1282" t="s">
        <v>20220</v>
      </c>
      <c r="G4687" s="1368">
        <v>19</v>
      </c>
      <c r="H4687" s="1178" t="s">
        <v>20221</v>
      </c>
      <c r="I4687" s="1178" t="s">
        <v>14871</v>
      </c>
      <c r="J4687" s="1178" t="s">
        <v>19704</v>
      </c>
      <c r="K4687" s="1178" t="s">
        <v>539</v>
      </c>
      <c r="L4687" s="1178"/>
      <c r="M4687" s="1369"/>
      <c r="N4687" s="1178"/>
      <c r="O4687" s="1178">
        <v>6</v>
      </c>
      <c r="P4687" s="1178">
        <v>12</v>
      </c>
    </row>
    <row r="4688" spans="1:16">
      <c r="A4688" s="1178" t="s">
        <v>540</v>
      </c>
      <c r="B4688" s="1371" t="str">
        <f>HYPERLINK(IFERROR("#Main_Tariff!A"&amp;MATCH(Raeburn_Main_Tariff[[#This Row],[Product Code]],Main_Tariff!I:I,0),"#Main_Tariff!A"&amp;MATCH("*"&amp;RIGHT(A4688,8)&amp;"*",Main_Tariff!A:A,0)),Raeburn_Main_Tariff[[#This Row],[PRODUCER]])</f>
        <v>Baias e Enseadas</v>
      </c>
      <c r="C4688" s="1178" t="s">
        <v>22396</v>
      </c>
      <c r="D4688" s="1178" t="s">
        <v>897</v>
      </c>
      <c r="E4688" s="1179">
        <v>2018</v>
      </c>
      <c r="F4688" s="1282" t="s">
        <v>20220</v>
      </c>
      <c r="G4688" s="1368">
        <v>19</v>
      </c>
      <c r="H4688" s="1178" t="s">
        <v>20221</v>
      </c>
      <c r="I4688" s="1178" t="s">
        <v>14872</v>
      </c>
      <c r="J4688" s="1178" t="s">
        <v>19704</v>
      </c>
      <c r="K4688" s="1178" t="s">
        <v>539</v>
      </c>
      <c r="L4688" s="1178"/>
      <c r="M4688" s="1369"/>
      <c r="N4688" s="1178"/>
      <c r="O4688" s="1178">
        <v>6</v>
      </c>
      <c r="P4688" s="1178">
        <v>11.5</v>
      </c>
    </row>
    <row r="4689" spans="1:16">
      <c r="A4689" s="1178" t="s">
        <v>540</v>
      </c>
      <c r="B4689" s="1371" t="str">
        <f>HYPERLINK(IFERROR("#Main_Tariff!A"&amp;MATCH(Raeburn_Main_Tariff[[#This Row],[Product Code]],Main_Tariff!I:I,0),"#Main_Tariff!A"&amp;MATCH("*"&amp;RIGHT(A4689,8)&amp;"*",Main_Tariff!A:A,0)),Raeburn_Main_Tariff[[#This Row],[PRODUCER]])</f>
        <v>Baias e Enseadas</v>
      </c>
      <c r="C4689" s="1178" t="s">
        <v>22397</v>
      </c>
      <c r="D4689" s="1178" t="s">
        <v>897</v>
      </c>
      <c r="E4689" s="1179">
        <v>2021</v>
      </c>
      <c r="F4689" s="1282" t="s">
        <v>20220</v>
      </c>
      <c r="G4689" s="1368">
        <v>30.5</v>
      </c>
      <c r="H4689" s="1178" t="s">
        <v>20221</v>
      </c>
      <c r="I4689" s="1178" t="s">
        <v>14874</v>
      </c>
      <c r="J4689" s="1178" t="s">
        <v>19704</v>
      </c>
      <c r="K4689" s="1178" t="s">
        <v>539</v>
      </c>
      <c r="L4689" s="1178"/>
      <c r="M4689" s="1369"/>
      <c r="N4689" s="1178"/>
      <c r="O4689" s="1178">
        <v>6</v>
      </c>
      <c r="P4689" s="1178">
        <v>12</v>
      </c>
    </row>
    <row r="4690" spans="1:16">
      <c r="A4690" s="1178" t="s">
        <v>541</v>
      </c>
      <c r="B4690" s="1371" t="str">
        <f>HYPERLINK(IFERROR("#Main_Tariff!A"&amp;MATCH(Raeburn_Main_Tariff[[#This Row],[Product Code]],Main_Tariff!I:I,0),"#Main_Tariff!A"&amp;MATCH("*"&amp;RIGHT(A4690,8)&amp;"*",Main_Tariff!A:A,0)),Raeburn_Main_Tariff[[#This Row],[PRODUCER]])</f>
        <v>Viuva Gomes</v>
      </c>
      <c r="C4690" s="1178" t="s">
        <v>22398</v>
      </c>
      <c r="D4690" s="1178" t="s">
        <v>897</v>
      </c>
      <c r="E4690" s="1179"/>
      <c r="F4690" s="1282" t="s">
        <v>22399</v>
      </c>
      <c r="G4690" s="1368"/>
      <c r="H4690" s="1178" t="s">
        <v>3907</v>
      </c>
      <c r="I4690" s="1178" t="s">
        <v>14879</v>
      </c>
      <c r="J4690" s="1178" t="s">
        <v>19704</v>
      </c>
      <c r="K4690" s="1178" t="s">
        <v>539</v>
      </c>
      <c r="L4690" s="1178"/>
      <c r="M4690" s="1369"/>
      <c r="N4690" s="1178"/>
      <c r="O4690" s="1178">
        <v>6</v>
      </c>
      <c r="P4690" s="1178">
        <v>11</v>
      </c>
    </row>
    <row r="4691" spans="1:16">
      <c r="A4691" s="1178" t="s">
        <v>543</v>
      </c>
      <c r="B4691" s="1371" t="str">
        <f>HYPERLINK(IFERROR("#Main_Tariff!A"&amp;MATCH(Raeburn_Main_Tariff[[#This Row],[Product Code]],Main_Tariff!I:I,0),"#Main_Tariff!A"&amp;MATCH("*"&amp;RIGHT(A4691,8)&amp;"*",Main_Tariff!A:A,0)),Raeburn_Main_Tariff[[#This Row],[PRODUCER]])</f>
        <v>Vitor &amp; Rita Claro</v>
      </c>
      <c r="C4691" s="1178" t="s">
        <v>22400</v>
      </c>
      <c r="D4691" s="1178" t="s">
        <v>1129</v>
      </c>
      <c r="E4691" s="1179">
        <v>2010</v>
      </c>
      <c r="F4691" s="1282" t="s">
        <v>20220</v>
      </c>
      <c r="G4691" s="1368">
        <v>20</v>
      </c>
      <c r="H4691" s="1178" t="s">
        <v>20277</v>
      </c>
      <c r="I4691" s="1178" t="s">
        <v>14896</v>
      </c>
      <c r="J4691" s="1178" t="s">
        <v>19704</v>
      </c>
      <c r="K4691" s="1178" t="s">
        <v>542</v>
      </c>
      <c r="L4691" s="1178"/>
      <c r="M4691" s="1369"/>
      <c r="N4691" s="1178"/>
      <c r="O4691" s="1178">
        <v>3</v>
      </c>
      <c r="P4691" s="1178">
        <v>12.5</v>
      </c>
    </row>
    <row r="4692" spans="1:16">
      <c r="A4692" s="1178" t="s">
        <v>22401</v>
      </c>
      <c r="B4692" s="1371" t="str">
        <f>HYPERLINK(IFERROR("#Main_Tariff!A"&amp;MATCH(Raeburn_Main_Tariff[[#This Row],[Product Code]],Main_Tariff!I:I,0),"#Main_Tariff!A"&amp;MATCH("*"&amp;RIGHT(A4692,8)&amp;"*",Main_Tariff!A:A,0)),Raeburn_Main_Tariff[[#This Row],[PRODUCER]])</f>
        <v>Sempar by Niepoort</v>
      </c>
      <c r="C4692" s="1178" t="s">
        <v>22402</v>
      </c>
      <c r="D4692" s="1178" t="s">
        <v>897</v>
      </c>
      <c r="E4692" s="1179">
        <v>2017</v>
      </c>
      <c r="F4692" s="1282" t="s">
        <v>20220</v>
      </c>
      <c r="G4692" s="1368">
        <v>13</v>
      </c>
      <c r="H4692" s="1178" t="s">
        <v>20221</v>
      </c>
      <c r="I4692" s="1178" t="s">
        <v>14901</v>
      </c>
      <c r="J4692" s="1178" t="s">
        <v>19704</v>
      </c>
      <c r="K4692" s="1178" t="s">
        <v>542</v>
      </c>
      <c r="L4692" s="1178"/>
      <c r="M4692" s="1369"/>
      <c r="N4692" s="1178"/>
      <c r="O4692" s="1178">
        <v>6</v>
      </c>
      <c r="P4692" s="1178">
        <v>13.5</v>
      </c>
    </row>
    <row r="4693" spans="1:16">
      <c r="A4693" s="1178" t="s">
        <v>547</v>
      </c>
      <c r="B4693" s="1371" t="str">
        <f>HYPERLINK(IFERROR("#Main_Tariff!A"&amp;MATCH(Raeburn_Main_Tariff[[#This Row],[Product Code]],Main_Tariff!I:I,0),"#Main_Tariff!A"&amp;MATCH("*"&amp;RIGHT(A4693,8)&amp;"*",Main_Tariff!A:A,0)),Raeburn_Main_Tariff[[#This Row],[PRODUCER]])</f>
        <v>Pichler-Krutzler</v>
      </c>
      <c r="C4693" s="1178" t="s">
        <v>22403</v>
      </c>
      <c r="D4693" s="1178" t="s">
        <v>1129</v>
      </c>
      <c r="E4693" s="1179">
        <v>2022</v>
      </c>
      <c r="F4693" s="1282" t="s">
        <v>20220</v>
      </c>
      <c r="G4693" s="1368">
        <v>21.25</v>
      </c>
      <c r="H4693" s="1178" t="s">
        <v>20221</v>
      </c>
      <c r="I4693" s="1178" t="s">
        <v>14923</v>
      </c>
      <c r="J4693" s="1178" t="s">
        <v>22404</v>
      </c>
      <c r="K4693" s="1178" t="s">
        <v>546</v>
      </c>
      <c r="L4693" s="1178"/>
      <c r="M4693" s="1369"/>
      <c r="N4693" s="1178"/>
      <c r="O4693" s="1178">
        <v>6</v>
      </c>
      <c r="P4693" s="1178">
        <v>12.5</v>
      </c>
    </row>
    <row r="4694" spans="1:16">
      <c r="A4694" s="1178" t="s">
        <v>547</v>
      </c>
      <c r="B4694" s="1371" t="str">
        <f>HYPERLINK(IFERROR("#Main_Tariff!A"&amp;MATCH(Raeburn_Main_Tariff[[#This Row],[Product Code]],Main_Tariff!I:I,0),"#Main_Tariff!A"&amp;MATCH("*"&amp;RIGHT(A4694,8)&amp;"*",Main_Tariff!A:A,0)),Raeburn_Main_Tariff[[#This Row],[PRODUCER]])</f>
        <v>Pichler-Krutzler</v>
      </c>
      <c r="C4694" s="1178" t="s">
        <v>22403</v>
      </c>
      <c r="D4694" s="1178" t="s">
        <v>1129</v>
      </c>
      <c r="E4694" s="1179">
        <v>2021</v>
      </c>
      <c r="F4694" s="1282" t="s">
        <v>20220</v>
      </c>
      <c r="G4694" s="1368">
        <v>19.25</v>
      </c>
      <c r="H4694" s="1178" t="s">
        <v>20221</v>
      </c>
      <c r="I4694" s="1178" t="s">
        <v>14925</v>
      </c>
      <c r="J4694" s="1178" t="s">
        <v>22404</v>
      </c>
      <c r="K4694" s="1178" t="s">
        <v>546</v>
      </c>
      <c r="L4694" s="1178"/>
      <c r="M4694" s="1369"/>
      <c r="N4694" s="1178"/>
      <c r="O4694" s="1178">
        <v>6</v>
      </c>
      <c r="P4694" s="1178">
        <v>13</v>
      </c>
    </row>
    <row r="4695" spans="1:16">
      <c r="A4695" s="1178" t="s">
        <v>547</v>
      </c>
      <c r="B4695" s="1371" t="str">
        <f>HYPERLINK(IFERROR("#Main_Tariff!A"&amp;MATCH(Raeburn_Main_Tariff[[#This Row],[Product Code]],Main_Tariff!I:I,0),"#Main_Tariff!A"&amp;MATCH("*"&amp;RIGHT(A4695,8)&amp;"*",Main_Tariff!A:A,0)),Raeburn_Main_Tariff[[#This Row],[PRODUCER]])</f>
        <v>Pichler-Krutzler</v>
      </c>
      <c r="C4695" s="1178" t="s">
        <v>22403</v>
      </c>
      <c r="D4695" s="1178" t="s">
        <v>1129</v>
      </c>
      <c r="E4695" s="1179">
        <v>2020</v>
      </c>
      <c r="F4695" s="1282" t="s">
        <v>20220</v>
      </c>
      <c r="G4695" s="1368">
        <v>19</v>
      </c>
      <c r="H4695" s="1178" t="s">
        <v>20221</v>
      </c>
      <c r="I4695" s="1178" t="s">
        <v>14927</v>
      </c>
      <c r="J4695" s="1178" t="s">
        <v>22404</v>
      </c>
      <c r="K4695" s="1178" t="s">
        <v>546</v>
      </c>
      <c r="L4695" s="1178"/>
      <c r="M4695" s="1369"/>
      <c r="N4695" s="1178"/>
      <c r="O4695" s="1178">
        <v>6</v>
      </c>
      <c r="P4695" s="1178">
        <v>13</v>
      </c>
    </row>
    <row r="4696" spans="1:16">
      <c r="A4696" s="1178" t="s">
        <v>547</v>
      </c>
      <c r="B4696" s="1371" t="str">
        <f>HYPERLINK(IFERROR("#Main_Tariff!A"&amp;MATCH(Raeburn_Main_Tariff[[#This Row],[Product Code]],Main_Tariff!I:I,0),"#Main_Tariff!A"&amp;MATCH("*"&amp;RIGHT(A4696,8)&amp;"*",Main_Tariff!A:A,0)),Raeburn_Main_Tariff[[#This Row],[PRODUCER]])</f>
        <v>Pichler-Krutzler</v>
      </c>
      <c r="C4696" s="1178" t="s">
        <v>22405</v>
      </c>
      <c r="D4696" s="1178" t="s">
        <v>1129</v>
      </c>
      <c r="E4696" s="1179">
        <v>2018</v>
      </c>
      <c r="F4696" s="1282" t="s">
        <v>20220</v>
      </c>
      <c r="G4696" s="1368">
        <v>18.5</v>
      </c>
      <c r="H4696" s="1178" t="s">
        <v>20221</v>
      </c>
      <c r="I4696" s="1178" t="s">
        <v>14929</v>
      </c>
      <c r="J4696" s="1178" t="s">
        <v>22404</v>
      </c>
      <c r="K4696" s="1178" t="s">
        <v>546</v>
      </c>
      <c r="L4696" s="1178"/>
      <c r="M4696" s="1369"/>
      <c r="N4696" s="1178"/>
      <c r="O4696" s="1178">
        <v>6</v>
      </c>
      <c r="P4696" s="1178">
        <v>12.5</v>
      </c>
    </row>
    <row r="4697" spans="1:16">
      <c r="A4697" s="1178" t="s">
        <v>547</v>
      </c>
      <c r="B4697" s="1371" t="str">
        <f>HYPERLINK(IFERROR("#Main_Tariff!A"&amp;MATCH(Raeburn_Main_Tariff[[#This Row],[Product Code]],Main_Tariff!I:I,0),"#Main_Tariff!A"&amp;MATCH("*"&amp;RIGHT(A4697,8)&amp;"*",Main_Tariff!A:A,0)),Raeburn_Main_Tariff[[#This Row],[PRODUCER]])</f>
        <v>Pichler-Krutzler</v>
      </c>
      <c r="C4697" s="1178" t="s">
        <v>22406</v>
      </c>
      <c r="D4697" s="1178" t="s">
        <v>1129</v>
      </c>
      <c r="E4697" s="1179">
        <v>2023</v>
      </c>
      <c r="F4697" s="1282" t="s">
        <v>20220</v>
      </c>
      <c r="G4697" s="1368">
        <v>17.25</v>
      </c>
      <c r="H4697" s="1178" t="s">
        <v>20221</v>
      </c>
      <c r="I4697" s="1178" t="s">
        <v>14933</v>
      </c>
      <c r="J4697" s="1178" t="s">
        <v>22404</v>
      </c>
      <c r="K4697" s="1178" t="s">
        <v>546</v>
      </c>
      <c r="L4697" s="1178"/>
      <c r="M4697" s="1369"/>
      <c r="N4697" s="1178"/>
      <c r="O4697" s="1178">
        <v>6</v>
      </c>
      <c r="P4697" s="1178">
        <v>12.5</v>
      </c>
    </row>
    <row r="4698" spans="1:16">
      <c r="A4698" s="1178" t="s">
        <v>547</v>
      </c>
      <c r="B4698" s="1371" t="str">
        <f>HYPERLINK(IFERROR("#Main_Tariff!A"&amp;MATCH(Raeburn_Main_Tariff[[#This Row],[Product Code]],Main_Tariff!I:I,0),"#Main_Tariff!A"&amp;MATCH("*"&amp;RIGHT(A4698,8)&amp;"*",Main_Tariff!A:A,0)),Raeburn_Main_Tariff[[#This Row],[PRODUCER]])</f>
        <v>Pichler-Krutzler</v>
      </c>
      <c r="C4698" s="1178" t="s">
        <v>22407</v>
      </c>
      <c r="D4698" s="1178" t="s">
        <v>1129</v>
      </c>
      <c r="E4698" s="1179">
        <v>2022</v>
      </c>
      <c r="F4698" s="1282" t="s">
        <v>20220</v>
      </c>
      <c r="G4698" s="1368">
        <v>20.5</v>
      </c>
      <c r="H4698" s="1178" t="s">
        <v>20221</v>
      </c>
      <c r="I4698" s="1178" t="s">
        <v>14935</v>
      </c>
      <c r="J4698" s="1178" t="s">
        <v>22404</v>
      </c>
      <c r="K4698" s="1178" t="s">
        <v>546</v>
      </c>
      <c r="L4698" s="1178"/>
      <c r="M4698" s="1369"/>
      <c r="N4698" s="1178"/>
      <c r="O4698" s="1178">
        <v>6</v>
      </c>
      <c r="P4698" s="1178">
        <v>12.5</v>
      </c>
    </row>
    <row r="4699" spans="1:16">
      <c r="A4699" s="1178" t="s">
        <v>547</v>
      </c>
      <c r="B4699" s="1371" t="str">
        <f>HYPERLINK(IFERROR("#Main_Tariff!A"&amp;MATCH(Raeburn_Main_Tariff[[#This Row],[Product Code]],Main_Tariff!I:I,0),"#Main_Tariff!A"&amp;MATCH("*"&amp;RIGHT(A4699,8)&amp;"*",Main_Tariff!A:A,0)),Raeburn_Main_Tariff[[#This Row],[PRODUCER]])</f>
        <v>Pichler-Krutzler</v>
      </c>
      <c r="C4699" s="1178" t="s">
        <v>22408</v>
      </c>
      <c r="D4699" s="1178" t="s">
        <v>21143</v>
      </c>
      <c r="E4699" s="1179">
        <v>2021</v>
      </c>
      <c r="F4699" s="1282" t="s">
        <v>20220</v>
      </c>
      <c r="G4699" s="1368">
        <v>62</v>
      </c>
      <c r="H4699" s="1178" t="s">
        <v>20221</v>
      </c>
      <c r="I4699" s="1178" t="s">
        <v>14941</v>
      </c>
      <c r="J4699" s="1178" t="s">
        <v>22404</v>
      </c>
      <c r="K4699" s="1178" t="s">
        <v>546</v>
      </c>
      <c r="L4699" s="1178"/>
      <c r="M4699" s="1369"/>
      <c r="N4699" s="1178"/>
      <c r="O4699" s="1178">
        <v>6</v>
      </c>
      <c r="P4699" s="1178">
        <v>13.5</v>
      </c>
    </row>
    <row r="4700" spans="1:16">
      <c r="A4700" s="1178" t="s">
        <v>547</v>
      </c>
      <c r="B4700" s="1371" t="str">
        <f>HYPERLINK(IFERROR("#Main_Tariff!A"&amp;MATCH(Raeburn_Main_Tariff[[#This Row],[Product Code]],Main_Tariff!I:I,0),"#Main_Tariff!A"&amp;MATCH("*"&amp;RIGHT(A4700,8)&amp;"*",Main_Tariff!A:A,0)),Raeburn_Main_Tariff[[#This Row],[PRODUCER]])</f>
        <v>Pichler-Krutzler</v>
      </c>
      <c r="C4700" s="1178" t="s">
        <v>22409</v>
      </c>
      <c r="D4700" s="1178" t="s">
        <v>1129</v>
      </c>
      <c r="E4700" s="1179">
        <v>2018</v>
      </c>
      <c r="F4700" s="1282" t="s">
        <v>20220</v>
      </c>
      <c r="G4700" s="1368">
        <v>24.25</v>
      </c>
      <c r="H4700" s="1178" t="s">
        <v>20221</v>
      </c>
      <c r="I4700" s="1178" t="s">
        <v>14944</v>
      </c>
      <c r="J4700" s="1178" t="s">
        <v>22404</v>
      </c>
      <c r="K4700" s="1178" t="s">
        <v>546</v>
      </c>
      <c r="L4700" s="1178"/>
      <c r="M4700" s="1369"/>
      <c r="N4700" s="1178"/>
      <c r="O4700" s="1178">
        <v>6</v>
      </c>
      <c r="P4700" s="1178">
        <v>13</v>
      </c>
    </row>
    <row r="4701" spans="1:16">
      <c r="A4701" s="1178" t="s">
        <v>547</v>
      </c>
      <c r="B4701" s="1371" t="str">
        <f>HYPERLINK(IFERROR("#Main_Tariff!A"&amp;MATCH(Raeburn_Main_Tariff[[#This Row],[Product Code]],Main_Tariff!I:I,0),"#Main_Tariff!A"&amp;MATCH("*"&amp;RIGHT(A4701,8)&amp;"*",Main_Tariff!A:A,0)),Raeburn_Main_Tariff[[#This Row],[PRODUCER]])</f>
        <v>Pichler-Krutzler</v>
      </c>
      <c r="C4701" s="1178" t="s">
        <v>22409</v>
      </c>
      <c r="D4701" s="1178" t="s">
        <v>1129</v>
      </c>
      <c r="E4701" s="1179">
        <v>2014</v>
      </c>
      <c r="F4701" s="1282" t="s">
        <v>20220</v>
      </c>
      <c r="G4701" s="1368">
        <v>24</v>
      </c>
      <c r="H4701" s="1178" t="s">
        <v>20465</v>
      </c>
      <c r="I4701" s="1178" t="s">
        <v>14946</v>
      </c>
      <c r="J4701" s="1178" t="s">
        <v>22404</v>
      </c>
      <c r="K4701" s="1178" t="s">
        <v>546</v>
      </c>
      <c r="L4701" s="1178"/>
      <c r="M4701" s="1369"/>
      <c r="N4701" s="1178"/>
      <c r="O4701" s="1178">
        <v>6</v>
      </c>
      <c r="P4701" s="1178">
        <v>12.5</v>
      </c>
    </row>
    <row r="4702" spans="1:16">
      <c r="A4702" s="1178" t="s">
        <v>547</v>
      </c>
      <c r="B4702" s="1371" t="str">
        <f>HYPERLINK(IFERROR("#Main_Tariff!A"&amp;MATCH(Raeburn_Main_Tariff[[#This Row],[Product Code]],Main_Tariff!I:I,0),"#Main_Tariff!A"&amp;MATCH("*"&amp;RIGHT(A4702,8)&amp;"*",Main_Tariff!A:A,0)),Raeburn_Main_Tariff[[#This Row],[PRODUCER]])</f>
        <v>Pichler-Krutzler</v>
      </c>
      <c r="C4702" s="1178" t="s">
        <v>22410</v>
      </c>
      <c r="D4702" s="1178" t="s">
        <v>1129</v>
      </c>
      <c r="E4702" s="1179">
        <v>2023</v>
      </c>
      <c r="F4702" s="1282" t="s">
        <v>20220</v>
      </c>
      <c r="G4702" s="1368">
        <v>34.5</v>
      </c>
      <c r="H4702" s="1178" t="s">
        <v>20221</v>
      </c>
      <c r="I4702" s="1178" t="s">
        <v>14948</v>
      </c>
      <c r="J4702" s="1178" t="s">
        <v>22404</v>
      </c>
      <c r="K4702" s="1178" t="s">
        <v>546</v>
      </c>
      <c r="L4702" s="1178"/>
      <c r="M4702" s="1369"/>
      <c r="N4702" s="1178"/>
      <c r="O4702" s="1178">
        <v>6</v>
      </c>
      <c r="P4702" s="1178">
        <v>13.5</v>
      </c>
    </row>
    <row r="4703" spans="1:16">
      <c r="A4703" s="1178" t="s">
        <v>547</v>
      </c>
      <c r="B4703" s="1371" t="str">
        <f>HYPERLINK(IFERROR("#Main_Tariff!A"&amp;MATCH(Raeburn_Main_Tariff[[#This Row],[Product Code]],Main_Tariff!I:I,0),"#Main_Tariff!A"&amp;MATCH("*"&amp;RIGHT(A4703,8)&amp;"*",Main_Tariff!A:A,0)),Raeburn_Main_Tariff[[#This Row],[PRODUCER]])</f>
        <v>Pichler-Krutzler</v>
      </c>
      <c r="C4703" s="1178" t="s">
        <v>22410</v>
      </c>
      <c r="D4703" s="1178" t="s">
        <v>1129</v>
      </c>
      <c r="E4703" s="1179">
        <v>2022</v>
      </c>
      <c r="F4703" s="1282" t="s">
        <v>20220</v>
      </c>
      <c r="G4703" s="1368">
        <v>33</v>
      </c>
      <c r="H4703" s="1178" t="s">
        <v>20221</v>
      </c>
      <c r="I4703" s="1178" t="s">
        <v>14950</v>
      </c>
      <c r="J4703" s="1178" t="s">
        <v>22404</v>
      </c>
      <c r="K4703" s="1178" t="s">
        <v>546</v>
      </c>
      <c r="L4703" s="1178"/>
      <c r="M4703" s="1369"/>
      <c r="N4703" s="1178"/>
      <c r="O4703" s="1178">
        <v>6</v>
      </c>
      <c r="P4703" s="1178">
        <v>13</v>
      </c>
    </row>
    <row r="4704" spans="1:16">
      <c r="A4704" s="1178" t="s">
        <v>547</v>
      </c>
      <c r="B4704" s="1371" t="str">
        <f>HYPERLINK(IFERROR("#Main_Tariff!A"&amp;MATCH(Raeburn_Main_Tariff[[#This Row],[Product Code]],Main_Tariff!I:I,0),"#Main_Tariff!A"&amp;MATCH("*"&amp;RIGHT(A4704,8)&amp;"*",Main_Tariff!A:A,0)),Raeburn_Main_Tariff[[#This Row],[PRODUCER]])</f>
        <v>Pichler-Krutzler</v>
      </c>
      <c r="C4704" s="1178" t="s">
        <v>22410</v>
      </c>
      <c r="D4704" s="1178" t="s">
        <v>1129</v>
      </c>
      <c r="E4704" s="1179">
        <v>2021</v>
      </c>
      <c r="F4704" s="1282" t="s">
        <v>20220</v>
      </c>
      <c r="G4704" s="1368">
        <v>29.5</v>
      </c>
      <c r="H4704" s="1178" t="s">
        <v>20221</v>
      </c>
      <c r="I4704" s="1178" t="s">
        <v>14952</v>
      </c>
      <c r="J4704" s="1178" t="s">
        <v>22404</v>
      </c>
      <c r="K4704" s="1178" t="s">
        <v>546</v>
      </c>
      <c r="L4704" s="1178"/>
      <c r="M4704" s="1369"/>
      <c r="N4704" s="1178"/>
      <c r="O4704" s="1178">
        <v>6</v>
      </c>
      <c r="P4704" s="1178">
        <v>13</v>
      </c>
    </row>
    <row r="4705" spans="1:16">
      <c r="A4705" s="1178" t="s">
        <v>547</v>
      </c>
      <c r="B4705" s="1371" t="str">
        <f>HYPERLINK(IFERROR("#Main_Tariff!A"&amp;MATCH(Raeburn_Main_Tariff[[#This Row],[Product Code]],Main_Tariff!I:I,0),"#Main_Tariff!A"&amp;MATCH("*"&amp;RIGHT(A4705,8)&amp;"*",Main_Tariff!A:A,0)),Raeburn_Main_Tariff[[#This Row],[PRODUCER]])</f>
        <v>Pichler-Krutzler</v>
      </c>
      <c r="C4705" s="1178" t="s">
        <v>22411</v>
      </c>
      <c r="D4705" s="1178" t="s">
        <v>1129</v>
      </c>
      <c r="E4705" s="1179">
        <v>2023</v>
      </c>
      <c r="F4705" s="1282" t="s">
        <v>20220</v>
      </c>
      <c r="G4705" s="1368">
        <v>38.75</v>
      </c>
      <c r="H4705" s="1178" t="s">
        <v>20221</v>
      </c>
      <c r="I4705" s="1178" t="s">
        <v>14954</v>
      </c>
      <c r="J4705" s="1178" t="s">
        <v>22404</v>
      </c>
      <c r="K4705" s="1178" t="s">
        <v>546</v>
      </c>
      <c r="L4705" s="1178"/>
      <c r="M4705" s="1369"/>
      <c r="N4705" s="1178"/>
      <c r="O4705" s="1178">
        <v>6</v>
      </c>
      <c r="P4705" s="1178">
        <v>14</v>
      </c>
    </row>
    <row r="4706" spans="1:16">
      <c r="A4706" s="1178" t="s">
        <v>547</v>
      </c>
      <c r="B4706" s="1371" t="str">
        <f>HYPERLINK(IFERROR("#Main_Tariff!A"&amp;MATCH(Raeburn_Main_Tariff[[#This Row],[Product Code]],Main_Tariff!I:I,0),"#Main_Tariff!A"&amp;MATCH("*"&amp;RIGHT(A4706,8)&amp;"*",Main_Tariff!A:A,0)),Raeburn_Main_Tariff[[#This Row],[PRODUCER]])</f>
        <v>Pichler-Krutzler</v>
      </c>
      <c r="C4706" s="1178" t="s">
        <v>22411</v>
      </c>
      <c r="D4706" s="1178" t="s">
        <v>1129</v>
      </c>
      <c r="E4706" s="1179">
        <v>2021</v>
      </c>
      <c r="F4706" s="1282" t="s">
        <v>20220</v>
      </c>
      <c r="G4706" s="1368">
        <v>34</v>
      </c>
      <c r="H4706" s="1178" t="s">
        <v>20221</v>
      </c>
      <c r="I4706" s="1178" t="s">
        <v>14956</v>
      </c>
      <c r="J4706" s="1178" t="s">
        <v>22404</v>
      </c>
      <c r="K4706" s="1178" t="s">
        <v>546</v>
      </c>
      <c r="L4706" s="1178"/>
      <c r="M4706" s="1369"/>
      <c r="N4706" s="1178"/>
      <c r="O4706" s="1178">
        <v>6</v>
      </c>
      <c r="P4706" s="1178">
        <v>13.5</v>
      </c>
    </row>
    <row r="4707" spans="1:16">
      <c r="A4707" s="1178" t="s">
        <v>547</v>
      </c>
      <c r="B4707" s="1371" t="str">
        <f>HYPERLINK(IFERROR("#Main_Tariff!A"&amp;MATCH(Raeburn_Main_Tariff[[#This Row],[Product Code]],Main_Tariff!I:I,0),"#Main_Tariff!A"&amp;MATCH("*"&amp;RIGHT(A4707,8)&amp;"*",Main_Tariff!A:A,0)),Raeburn_Main_Tariff[[#This Row],[PRODUCER]])</f>
        <v>Pichler-Krutzler</v>
      </c>
      <c r="C4707" s="1178" t="s">
        <v>22411</v>
      </c>
      <c r="D4707" s="1178" t="s">
        <v>1129</v>
      </c>
      <c r="E4707" s="1179">
        <v>2020</v>
      </c>
      <c r="F4707" s="1282" t="s">
        <v>20220</v>
      </c>
      <c r="G4707" s="1368">
        <v>32</v>
      </c>
      <c r="H4707" s="1178" t="s">
        <v>20221</v>
      </c>
      <c r="I4707" s="1178" t="s">
        <v>14958</v>
      </c>
      <c r="J4707" s="1178" t="s">
        <v>22404</v>
      </c>
      <c r="K4707" s="1178" t="s">
        <v>546</v>
      </c>
      <c r="L4707" s="1178"/>
      <c r="M4707" s="1369"/>
      <c r="N4707" s="1178"/>
      <c r="O4707" s="1178">
        <v>6</v>
      </c>
      <c r="P4707" s="1178">
        <v>13.5</v>
      </c>
    </row>
    <row r="4708" spans="1:16">
      <c r="A4708" s="1178" t="s">
        <v>547</v>
      </c>
      <c r="B4708" s="1371" t="str">
        <f>HYPERLINK(IFERROR("#Main_Tariff!A"&amp;MATCH(Raeburn_Main_Tariff[[#This Row],[Product Code]],Main_Tariff!I:I,0),"#Main_Tariff!A"&amp;MATCH("*"&amp;RIGHT(A4708,8)&amp;"*",Main_Tariff!A:A,0)),Raeburn_Main_Tariff[[#This Row],[PRODUCER]])</f>
        <v>Pichler-Krutzler</v>
      </c>
      <c r="C4708" s="1178" t="s">
        <v>22411</v>
      </c>
      <c r="D4708" s="1178" t="s">
        <v>1129</v>
      </c>
      <c r="E4708" s="1179">
        <v>2018</v>
      </c>
      <c r="F4708" s="1282" t="s">
        <v>20220</v>
      </c>
      <c r="G4708" s="1368">
        <v>31</v>
      </c>
      <c r="H4708" s="1178" t="s">
        <v>20221</v>
      </c>
      <c r="I4708" s="1178" t="s">
        <v>14959</v>
      </c>
      <c r="J4708" s="1178" t="s">
        <v>22404</v>
      </c>
      <c r="K4708" s="1178" t="s">
        <v>546</v>
      </c>
      <c r="L4708" s="1178"/>
      <c r="M4708" s="1369"/>
      <c r="N4708" s="1178"/>
      <c r="O4708" s="1178">
        <v>6</v>
      </c>
      <c r="P4708" s="1178">
        <v>13.5</v>
      </c>
    </row>
    <row r="4709" spans="1:16">
      <c r="A4709" s="1178" t="s">
        <v>547</v>
      </c>
      <c r="B4709" s="1371" t="str">
        <f>HYPERLINK(IFERROR("#Main_Tariff!A"&amp;MATCH(Raeburn_Main_Tariff[[#This Row],[Product Code]],Main_Tariff!I:I,0),"#Main_Tariff!A"&amp;MATCH("*"&amp;RIGHT(A4709,8)&amp;"*",Main_Tariff!A:A,0)),Raeburn_Main_Tariff[[#This Row],[PRODUCER]])</f>
        <v>Pichler-Krutzler</v>
      </c>
      <c r="C4709" s="1178" t="s">
        <v>22411</v>
      </c>
      <c r="D4709" s="1178" t="s">
        <v>1129</v>
      </c>
      <c r="E4709" s="1179">
        <v>2017</v>
      </c>
      <c r="F4709" s="1282" t="s">
        <v>20220</v>
      </c>
      <c r="G4709" s="1368">
        <v>31</v>
      </c>
      <c r="H4709" s="1178" t="s">
        <v>20221</v>
      </c>
      <c r="I4709" s="1178" t="s">
        <v>14961</v>
      </c>
      <c r="J4709" s="1178" t="s">
        <v>22404</v>
      </c>
      <c r="K4709" s="1178" t="s">
        <v>546</v>
      </c>
      <c r="L4709" s="1178"/>
      <c r="M4709" s="1369"/>
      <c r="N4709" s="1178"/>
      <c r="O4709" s="1178">
        <v>6</v>
      </c>
      <c r="P4709" s="1178">
        <v>13.5</v>
      </c>
    </row>
    <row r="4710" spans="1:16">
      <c r="A4710" s="1178" t="s">
        <v>547</v>
      </c>
      <c r="B4710" s="1371" t="str">
        <f>HYPERLINK(IFERROR("#Main_Tariff!A"&amp;MATCH(Raeburn_Main_Tariff[[#This Row],[Product Code]],Main_Tariff!I:I,0),"#Main_Tariff!A"&amp;MATCH("*"&amp;RIGHT(A4710,8)&amp;"*",Main_Tariff!A:A,0)),Raeburn_Main_Tariff[[#This Row],[PRODUCER]])</f>
        <v>Pichler-Krutzler</v>
      </c>
      <c r="C4710" s="1178" t="s">
        <v>22411</v>
      </c>
      <c r="D4710" s="1178" t="s">
        <v>1129</v>
      </c>
      <c r="E4710" s="1179">
        <v>2016</v>
      </c>
      <c r="F4710" s="1282" t="s">
        <v>20220</v>
      </c>
      <c r="G4710" s="1368">
        <v>31</v>
      </c>
      <c r="H4710" s="1178" t="s">
        <v>20221</v>
      </c>
      <c r="I4710" s="1178" t="s">
        <v>14963</v>
      </c>
      <c r="J4710" s="1178" t="s">
        <v>22404</v>
      </c>
      <c r="K4710" s="1178" t="s">
        <v>546</v>
      </c>
      <c r="L4710" s="1178"/>
      <c r="M4710" s="1369"/>
      <c r="N4710" s="1178"/>
      <c r="O4710" s="1178">
        <v>6</v>
      </c>
      <c r="P4710" s="1178">
        <v>13.5</v>
      </c>
    </row>
    <row r="4711" spans="1:16">
      <c r="A4711" s="1178" t="s">
        <v>547</v>
      </c>
      <c r="B4711" s="1371" t="str">
        <f>HYPERLINK(IFERROR("#Main_Tariff!A"&amp;MATCH(Raeburn_Main_Tariff[[#This Row],[Product Code]],Main_Tariff!I:I,0),"#Main_Tariff!A"&amp;MATCH("*"&amp;RIGHT(A4711,8)&amp;"*",Main_Tariff!A:A,0)),Raeburn_Main_Tariff[[#This Row],[PRODUCER]])</f>
        <v>Pichler-Krutzler</v>
      </c>
      <c r="C4711" s="1178" t="s">
        <v>22411</v>
      </c>
      <c r="D4711" s="1178" t="s">
        <v>1129</v>
      </c>
      <c r="E4711" s="1179">
        <v>2014</v>
      </c>
      <c r="F4711" s="1282" t="s">
        <v>20220</v>
      </c>
      <c r="G4711" s="1368">
        <v>29.5</v>
      </c>
      <c r="H4711" s="1178" t="s">
        <v>20224</v>
      </c>
      <c r="I4711" s="1178" t="s">
        <v>14965</v>
      </c>
      <c r="J4711" s="1178" t="s">
        <v>22404</v>
      </c>
      <c r="K4711" s="1178" t="s">
        <v>546</v>
      </c>
      <c r="L4711" s="1178"/>
      <c r="M4711" s="1369"/>
      <c r="N4711" s="1178"/>
      <c r="O4711" s="1178">
        <v>6</v>
      </c>
      <c r="P4711" s="1178">
        <v>13</v>
      </c>
    </row>
    <row r="4712" spans="1:16">
      <c r="A4712" s="1178" t="s">
        <v>547</v>
      </c>
      <c r="B4712" s="1371" t="str">
        <f>HYPERLINK(IFERROR("#Main_Tariff!A"&amp;MATCH(Raeburn_Main_Tariff[[#This Row],[Product Code]],Main_Tariff!I:I,0),"#Main_Tariff!A"&amp;MATCH("*"&amp;RIGHT(A4712,8)&amp;"*",Main_Tariff!A:A,0)),Raeburn_Main_Tariff[[#This Row],[PRODUCER]])</f>
        <v>Pichler-Krutzler</v>
      </c>
      <c r="C4712" s="1178" t="s">
        <v>22412</v>
      </c>
      <c r="D4712" s="1178" t="s">
        <v>1129</v>
      </c>
      <c r="E4712" s="1179">
        <v>2023</v>
      </c>
      <c r="F4712" s="1282" t="s">
        <v>20220</v>
      </c>
      <c r="G4712" s="1368">
        <v>46.75</v>
      </c>
      <c r="H4712" s="1178" t="s">
        <v>20221</v>
      </c>
      <c r="I4712" s="1178" t="s">
        <v>14967</v>
      </c>
      <c r="J4712" s="1178" t="s">
        <v>22404</v>
      </c>
      <c r="K4712" s="1178" t="s">
        <v>546</v>
      </c>
      <c r="L4712" s="1178"/>
      <c r="M4712" s="1369"/>
      <c r="N4712" s="1178"/>
      <c r="O4712" s="1178">
        <v>6</v>
      </c>
      <c r="P4712" s="1178">
        <v>13.5</v>
      </c>
    </row>
    <row r="4713" spans="1:16">
      <c r="A4713" s="1178" t="s">
        <v>547</v>
      </c>
      <c r="B4713" s="1371" t="str">
        <f>HYPERLINK(IFERROR("#Main_Tariff!A"&amp;MATCH(Raeburn_Main_Tariff[[#This Row],[Product Code]],Main_Tariff!I:I,0),"#Main_Tariff!A"&amp;MATCH("*"&amp;RIGHT(A4713,8)&amp;"*",Main_Tariff!A:A,0)),Raeburn_Main_Tariff[[#This Row],[PRODUCER]])</f>
        <v>Pichler-Krutzler</v>
      </c>
      <c r="C4713" s="1178" t="s">
        <v>22412</v>
      </c>
      <c r="D4713" s="1178" t="s">
        <v>1129</v>
      </c>
      <c r="E4713" s="1179">
        <v>2022</v>
      </c>
      <c r="F4713" s="1282" t="s">
        <v>20220</v>
      </c>
      <c r="G4713" s="1368">
        <v>45.75</v>
      </c>
      <c r="H4713" s="1178" t="s">
        <v>20221</v>
      </c>
      <c r="I4713" s="1178" t="s">
        <v>14969</v>
      </c>
      <c r="J4713" s="1178" t="s">
        <v>22404</v>
      </c>
      <c r="K4713" s="1178" t="s">
        <v>546</v>
      </c>
      <c r="L4713" s="1178"/>
      <c r="M4713" s="1369"/>
      <c r="N4713" s="1178"/>
      <c r="O4713" s="1178">
        <v>6</v>
      </c>
      <c r="P4713" s="1178">
        <v>13</v>
      </c>
    </row>
    <row r="4714" spans="1:16">
      <c r="A4714" s="1178" t="s">
        <v>547</v>
      </c>
      <c r="B4714" s="1371" t="str">
        <f>HYPERLINK(IFERROR("#Main_Tariff!A"&amp;MATCH(Raeburn_Main_Tariff[[#This Row],[Product Code]],Main_Tariff!I:I,0),"#Main_Tariff!A"&amp;MATCH("*"&amp;RIGHT(A4714,8)&amp;"*",Main_Tariff!A:A,0)),Raeburn_Main_Tariff[[#This Row],[PRODUCER]])</f>
        <v>Pichler-Krutzler</v>
      </c>
      <c r="C4714" s="1178" t="s">
        <v>22412</v>
      </c>
      <c r="D4714" s="1178" t="s">
        <v>1129</v>
      </c>
      <c r="E4714" s="1179">
        <v>2021</v>
      </c>
      <c r="F4714" s="1282" t="s">
        <v>20220</v>
      </c>
      <c r="G4714" s="1368">
        <v>40.5</v>
      </c>
      <c r="H4714" s="1178" t="s">
        <v>20221</v>
      </c>
      <c r="I4714" s="1178" t="s">
        <v>14971</v>
      </c>
      <c r="J4714" s="1178" t="s">
        <v>22404</v>
      </c>
      <c r="K4714" s="1178" t="s">
        <v>546</v>
      </c>
      <c r="L4714" s="1178"/>
      <c r="M4714" s="1369"/>
      <c r="N4714" s="1178"/>
      <c r="O4714" s="1178">
        <v>6</v>
      </c>
      <c r="P4714" s="1178">
        <v>13.5</v>
      </c>
    </row>
    <row r="4715" spans="1:16">
      <c r="A4715" s="1178" t="s">
        <v>547</v>
      </c>
      <c r="B4715" s="1371" t="str">
        <f>HYPERLINK(IFERROR("#Main_Tariff!A"&amp;MATCH(Raeburn_Main_Tariff[[#This Row],[Product Code]],Main_Tariff!I:I,0),"#Main_Tariff!A"&amp;MATCH("*"&amp;RIGHT(A4715,8)&amp;"*",Main_Tariff!A:A,0)),Raeburn_Main_Tariff[[#This Row],[PRODUCER]])</f>
        <v>Pichler-Krutzler</v>
      </c>
      <c r="C4715" s="1178" t="s">
        <v>22412</v>
      </c>
      <c r="D4715" s="1178" t="s">
        <v>1129</v>
      </c>
      <c r="E4715" s="1179">
        <v>2020</v>
      </c>
      <c r="F4715" s="1282" t="s">
        <v>20220</v>
      </c>
      <c r="G4715" s="1368">
        <v>38</v>
      </c>
      <c r="H4715" s="1178" t="s">
        <v>20221</v>
      </c>
      <c r="I4715" s="1178" t="s">
        <v>14973</v>
      </c>
      <c r="J4715" s="1178" t="s">
        <v>22404</v>
      </c>
      <c r="K4715" s="1178" t="s">
        <v>546</v>
      </c>
      <c r="L4715" s="1178"/>
      <c r="M4715" s="1369"/>
      <c r="N4715" s="1178"/>
      <c r="O4715" s="1178">
        <v>6</v>
      </c>
      <c r="P4715" s="1178">
        <v>13</v>
      </c>
    </row>
    <row r="4716" spans="1:16">
      <c r="A4716" s="1178" t="s">
        <v>547</v>
      </c>
      <c r="B4716" s="1371" t="str">
        <f>HYPERLINK(IFERROR("#Main_Tariff!A"&amp;MATCH(Raeburn_Main_Tariff[[#This Row],[Product Code]],Main_Tariff!I:I,0),"#Main_Tariff!A"&amp;MATCH("*"&amp;RIGHT(A4716,8)&amp;"*",Main_Tariff!A:A,0)),Raeburn_Main_Tariff[[#This Row],[PRODUCER]])</f>
        <v>Pichler-Krutzler</v>
      </c>
      <c r="C4716" s="1178" t="s">
        <v>22412</v>
      </c>
      <c r="D4716" s="1178" t="s">
        <v>1129</v>
      </c>
      <c r="E4716" s="1179">
        <v>2019</v>
      </c>
      <c r="F4716" s="1282" t="s">
        <v>20220</v>
      </c>
      <c r="G4716" s="1368">
        <v>36.5</v>
      </c>
      <c r="H4716" s="1178" t="s">
        <v>20221</v>
      </c>
      <c r="I4716" s="1178" t="s">
        <v>14975</v>
      </c>
      <c r="J4716" s="1178" t="s">
        <v>22404</v>
      </c>
      <c r="K4716" s="1178" t="s">
        <v>546</v>
      </c>
      <c r="L4716" s="1178"/>
      <c r="M4716" s="1369"/>
      <c r="N4716" s="1178"/>
      <c r="O4716" s="1178">
        <v>6</v>
      </c>
      <c r="P4716" s="1178">
        <v>14.5</v>
      </c>
    </row>
    <row r="4717" spans="1:16">
      <c r="A4717" s="1178" t="s">
        <v>547</v>
      </c>
      <c r="B4717" s="1371" t="str">
        <f>HYPERLINK(IFERROR("#Main_Tariff!A"&amp;MATCH(Raeburn_Main_Tariff[[#This Row],[Product Code]],Main_Tariff!I:I,0),"#Main_Tariff!A"&amp;MATCH("*"&amp;RIGHT(A4717,8)&amp;"*",Main_Tariff!A:A,0)),Raeburn_Main_Tariff[[#This Row],[PRODUCER]])</f>
        <v>Pichler-Krutzler</v>
      </c>
      <c r="C4717" s="1178" t="s">
        <v>22412</v>
      </c>
      <c r="D4717" s="1178" t="s">
        <v>1129</v>
      </c>
      <c r="E4717" s="1179">
        <v>2017</v>
      </c>
      <c r="F4717" s="1282" t="s">
        <v>20220</v>
      </c>
      <c r="G4717" s="1368">
        <v>36.5</v>
      </c>
      <c r="H4717" s="1178" t="s">
        <v>20221</v>
      </c>
      <c r="I4717" s="1178" t="s">
        <v>14977</v>
      </c>
      <c r="J4717" s="1178" t="s">
        <v>22404</v>
      </c>
      <c r="K4717" s="1178" t="s">
        <v>546</v>
      </c>
      <c r="L4717" s="1178"/>
      <c r="M4717" s="1369"/>
      <c r="N4717" s="1178"/>
      <c r="O4717" s="1178">
        <v>6</v>
      </c>
      <c r="P4717" s="1178">
        <v>13.5</v>
      </c>
    </row>
    <row r="4718" spans="1:16">
      <c r="A4718" s="1178" t="s">
        <v>547</v>
      </c>
      <c r="B4718" s="1371" t="str">
        <f>HYPERLINK(IFERROR("#Main_Tariff!A"&amp;MATCH(Raeburn_Main_Tariff[[#This Row],[Product Code]],Main_Tariff!I:I,0),"#Main_Tariff!A"&amp;MATCH("*"&amp;RIGHT(A4718,8)&amp;"*",Main_Tariff!A:A,0)),Raeburn_Main_Tariff[[#This Row],[PRODUCER]])</f>
        <v>Pichler-Krutzler</v>
      </c>
      <c r="C4718" s="1178" t="s">
        <v>22412</v>
      </c>
      <c r="D4718" s="1178" t="s">
        <v>1129</v>
      </c>
      <c r="E4718" s="1179">
        <v>2016</v>
      </c>
      <c r="F4718" s="1282" t="s">
        <v>20220</v>
      </c>
      <c r="G4718" s="1368">
        <v>36.5</v>
      </c>
      <c r="H4718" s="1178" t="s">
        <v>20221</v>
      </c>
      <c r="I4718" s="1178" t="s">
        <v>14979</v>
      </c>
      <c r="J4718" s="1178" t="s">
        <v>22404</v>
      </c>
      <c r="K4718" s="1178" t="s">
        <v>546</v>
      </c>
      <c r="L4718" s="1178"/>
      <c r="M4718" s="1369"/>
      <c r="N4718" s="1178"/>
      <c r="O4718" s="1178">
        <v>6</v>
      </c>
      <c r="P4718" s="1178">
        <v>13.5</v>
      </c>
    </row>
    <row r="4719" spans="1:16">
      <c r="A4719" s="1178" t="s">
        <v>547</v>
      </c>
      <c r="B4719" s="1371" t="str">
        <f>HYPERLINK(IFERROR("#Main_Tariff!A"&amp;MATCH(Raeburn_Main_Tariff[[#This Row],[Product Code]],Main_Tariff!I:I,0),"#Main_Tariff!A"&amp;MATCH("*"&amp;RIGHT(A4719,8)&amp;"*",Main_Tariff!A:A,0)),Raeburn_Main_Tariff[[#This Row],[PRODUCER]])</f>
        <v>Pichler-Krutzler</v>
      </c>
      <c r="C4719" s="1178" t="s">
        <v>22412</v>
      </c>
      <c r="D4719" s="1178" t="s">
        <v>1129</v>
      </c>
      <c r="E4719" s="1179">
        <v>2015</v>
      </c>
      <c r="F4719" s="1282" t="s">
        <v>20220</v>
      </c>
      <c r="G4719" s="1368">
        <v>36.5</v>
      </c>
      <c r="H4719" s="1178" t="s">
        <v>20221</v>
      </c>
      <c r="I4719" s="1178" t="s">
        <v>14981</v>
      </c>
      <c r="J4719" s="1178" t="s">
        <v>22404</v>
      </c>
      <c r="K4719" s="1178" t="s">
        <v>546</v>
      </c>
      <c r="L4719" s="1178"/>
      <c r="M4719" s="1369"/>
      <c r="N4719" s="1178"/>
      <c r="O4719" s="1178">
        <v>6</v>
      </c>
      <c r="P4719" s="1178">
        <v>13.5</v>
      </c>
    </row>
    <row r="4720" spans="1:16">
      <c r="A4720" s="1178" t="s">
        <v>547</v>
      </c>
      <c r="B4720" s="1371" t="str">
        <f>HYPERLINK(IFERROR("#Main_Tariff!A"&amp;MATCH(Raeburn_Main_Tariff[[#This Row],[Product Code]],Main_Tariff!I:I,0),"#Main_Tariff!A"&amp;MATCH("*"&amp;RIGHT(A4720,8)&amp;"*",Main_Tariff!A:A,0)),Raeburn_Main_Tariff[[#This Row],[PRODUCER]])</f>
        <v>Pichler-Krutzler</v>
      </c>
      <c r="C4720" s="1178" t="s">
        <v>22412</v>
      </c>
      <c r="D4720" s="1178" t="s">
        <v>1129</v>
      </c>
      <c r="E4720" s="1179">
        <v>2014</v>
      </c>
      <c r="F4720" s="1282" t="s">
        <v>20220</v>
      </c>
      <c r="G4720" s="1368">
        <v>34.5</v>
      </c>
      <c r="H4720" s="1178" t="s">
        <v>20277</v>
      </c>
      <c r="I4720" s="1178" t="s">
        <v>14983</v>
      </c>
      <c r="J4720" s="1178" t="s">
        <v>22404</v>
      </c>
      <c r="K4720" s="1178" t="s">
        <v>546</v>
      </c>
      <c r="L4720" s="1178"/>
      <c r="M4720" s="1369"/>
      <c r="N4720" s="1178"/>
      <c r="O4720" s="1178">
        <v>6</v>
      </c>
      <c r="P4720" s="1178">
        <v>13</v>
      </c>
    </row>
    <row r="4721" spans="1:16">
      <c r="A4721" s="1178" t="s">
        <v>547</v>
      </c>
      <c r="B4721" s="1371" t="str">
        <f>HYPERLINK(IFERROR("#Main_Tariff!A"&amp;MATCH(Raeburn_Main_Tariff[[#This Row],[Product Code]],Main_Tariff!I:I,0),"#Main_Tariff!A"&amp;MATCH("*"&amp;RIGHT(A4721,8)&amp;"*",Main_Tariff!A:A,0)),Raeburn_Main_Tariff[[#This Row],[PRODUCER]])</f>
        <v>Pichler-Krutzler</v>
      </c>
      <c r="C4721" s="1178" t="s">
        <v>22412</v>
      </c>
      <c r="D4721" s="1178" t="s">
        <v>1129</v>
      </c>
      <c r="E4721" s="1179">
        <v>2013</v>
      </c>
      <c r="F4721" s="1282" t="s">
        <v>20220</v>
      </c>
      <c r="G4721" s="1368">
        <v>36.5</v>
      </c>
      <c r="H4721" s="1178" t="s">
        <v>20221</v>
      </c>
      <c r="I4721" s="1178" t="s">
        <v>14985</v>
      </c>
      <c r="J4721" s="1178" t="s">
        <v>22404</v>
      </c>
      <c r="K4721" s="1178" t="s">
        <v>546</v>
      </c>
      <c r="L4721" s="1178"/>
      <c r="M4721" s="1369"/>
      <c r="N4721" s="1178"/>
      <c r="O4721" s="1178">
        <v>6</v>
      </c>
      <c r="P4721" s="1178">
        <v>10</v>
      </c>
    </row>
    <row r="4722" spans="1:16">
      <c r="A4722" s="1178" t="s">
        <v>547</v>
      </c>
      <c r="B4722" s="1371" t="str">
        <f>HYPERLINK(IFERROR("#Main_Tariff!A"&amp;MATCH(Raeburn_Main_Tariff[[#This Row],[Product Code]],Main_Tariff!I:I,0),"#Main_Tariff!A"&amp;MATCH("*"&amp;RIGHT(A4722,8)&amp;"*",Main_Tariff!A:A,0)),Raeburn_Main_Tariff[[#This Row],[PRODUCER]])</f>
        <v>Pichler-Krutzler</v>
      </c>
      <c r="C4722" s="1178" t="s">
        <v>22413</v>
      </c>
      <c r="D4722" s="1178" t="s">
        <v>1129</v>
      </c>
      <c r="E4722" s="1179">
        <v>2012</v>
      </c>
      <c r="F4722" s="1282" t="s">
        <v>20220</v>
      </c>
      <c r="G4722" s="1368">
        <v>39.75</v>
      </c>
      <c r="H4722" s="1178" t="s">
        <v>20224</v>
      </c>
      <c r="I4722" s="1178" t="s">
        <v>14987</v>
      </c>
      <c r="J4722" s="1178" t="s">
        <v>22404</v>
      </c>
      <c r="K4722" s="1178" t="s">
        <v>546</v>
      </c>
      <c r="L4722" s="1178"/>
      <c r="M4722" s="1369"/>
      <c r="N4722" s="1178"/>
      <c r="O4722" s="1178">
        <v>6</v>
      </c>
      <c r="P4722" s="1178">
        <v>14</v>
      </c>
    </row>
    <row r="4723" spans="1:16">
      <c r="A4723" s="1178" t="s">
        <v>547</v>
      </c>
      <c r="B4723" s="1371" t="str">
        <f>HYPERLINK(IFERROR("#Main_Tariff!A"&amp;MATCH(Raeburn_Main_Tariff[[#This Row],[Product Code]],Main_Tariff!I:I,0),"#Main_Tariff!A"&amp;MATCH("*"&amp;RIGHT(A4723,8)&amp;"*",Main_Tariff!A:A,0)),Raeburn_Main_Tariff[[#This Row],[PRODUCER]])</f>
        <v>Pichler-Krutzler</v>
      </c>
      <c r="C4723" s="1178" t="s">
        <v>22414</v>
      </c>
      <c r="D4723" s="1178" t="s">
        <v>1129</v>
      </c>
      <c r="E4723" s="1179">
        <v>2022</v>
      </c>
      <c r="F4723" s="1282" t="s">
        <v>20220</v>
      </c>
      <c r="G4723" s="1368">
        <v>51</v>
      </c>
      <c r="H4723" s="1178" t="s">
        <v>20221</v>
      </c>
      <c r="I4723" s="1178" t="s">
        <v>14989</v>
      </c>
      <c r="J4723" s="1178" t="s">
        <v>22404</v>
      </c>
      <c r="K4723" s="1178" t="s">
        <v>546</v>
      </c>
      <c r="L4723" s="1178"/>
      <c r="M4723" s="1369"/>
      <c r="N4723" s="1178"/>
      <c r="O4723" s="1178">
        <v>6</v>
      </c>
      <c r="P4723" s="1178">
        <v>13</v>
      </c>
    </row>
    <row r="4724" spans="1:16">
      <c r="A4724" s="1178" t="s">
        <v>547</v>
      </c>
      <c r="B4724" s="1371" t="str">
        <f>HYPERLINK(IFERROR("#Main_Tariff!A"&amp;MATCH(Raeburn_Main_Tariff[[#This Row],[Product Code]],Main_Tariff!I:I,0),"#Main_Tariff!A"&amp;MATCH("*"&amp;RIGHT(A4724,8)&amp;"*",Main_Tariff!A:A,0)),Raeburn_Main_Tariff[[#This Row],[PRODUCER]])</f>
        <v>Pichler-Krutzler</v>
      </c>
      <c r="C4724" s="1178" t="s">
        <v>22414</v>
      </c>
      <c r="D4724" s="1178" t="s">
        <v>1129</v>
      </c>
      <c r="E4724" s="1179">
        <v>2021</v>
      </c>
      <c r="F4724" s="1282" t="s">
        <v>20220</v>
      </c>
      <c r="G4724" s="1368">
        <v>47.25</v>
      </c>
      <c r="H4724" s="1178" t="s">
        <v>20221</v>
      </c>
      <c r="I4724" s="1178" t="s">
        <v>14991</v>
      </c>
      <c r="J4724" s="1178" t="s">
        <v>22404</v>
      </c>
      <c r="K4724" s="1178" t="s">
        <v>546</v>
      </c>
      <c r="L4724" s="1178"/>
      <c r="M4724" s="1369"/>
      <c r="N4724" s="1178"/>
      <c r="O4724" s="1178">
        <v>6</v>
      </c>
      <c r="P4724" s="1178">
        <v>13.5</v>
      </c>
    </row>
    <row r="4725" spans="1:16">
      <c r="A4725" s="1178" t="s">
        <v>547</v>
      </c>
      <c r="B4725" s="1371" t="str">
        <f>HYPERLINK(IFERROR("#Main_Tariff!A"&amp;MATCH(Raeburn_Main_Tariff[[#This Row],[Product Code]],Main_Tariff!I:I,0),"#Main_Tariff!A"&amp;MATCH("*"&amp;RIGHT(A4725,8)&amp;"*",Main_Tariff!A:A,0)),Raeburn_Main_Tariff[[#This Row],[PRODUCER]])</f>
        <v>Pichler-Krutzler</v>
      </c>
      <c r="C4725" s="1178" t="s">
        <v>22414</v>
      </c>
      <c r="D4725" s="1178" t="s">
        <v>1129</v>
      </c>
      <c r="E4725" s="1179">
        <v>2020</v>
      </c>
      <c r="F4725" s="1282" t="s">
        <v>20220</v>
      </c>
      <c r="G4725" s="1368">
        <v>42</v>
      </c>
      <c r="H4725" s="1178" t="s">
        <v>20221</v>
      </c>
      <c r="I4725" s="1178" t="s">
        <v>14993</v>
      </c>
      <c r="J4725" s="1178" t="s">
        <v>22404</v>
      </c>
      <c r="K4725" s="1178" t="s">
        <v>546</v>
      </c>
      <c r="L4725" s="1178"/>
      <c r="M4725" s="1369"/>
      <c r="N4725" s="1178"/>
      <c r="O4725" s="1178">
        <v>6</v>
      </c>
      <c r="P4725" s="1178">
        <v>13</v>
      </c>
    </row>
    <row r="4726" spans="1:16">
      <c r="A4726" s="1178" t="s">
        <v>547</v>
      </c>
      <c r="B4726" s="1371" t="str">
        <f>HYPERLINK(IFERROR("#Main_Tariff!A"&amp;MATCH(Raeburn_Main_Tariff[[#This Row],[Product Code]],Main_Tariff!I:I,0),"#Main_Tariff!A"&amp;MATCH("*"&amp;RIGHT(A4726,8)&amp;"*",Main_Tariff!A:A,0)),Raeburn_Main_Tariff[[#This Row],[PRODUCER]])</f>
        <v>Pichler-Krutzler</v>
      </c>
      <c r="C4726" s="1178" t="s">
        <v>22414</v>
      </c>
      <c r="D4726" s="1178" t="s">
        <v>1129</v>
      </c>
      <c r="E4726" s="1179">
        <v>2018</v>
      </c>
      <c r="F4726" s="1282" t="s">
        <v>20220</v>
      </c>
      <c r="G4726" s="1368">
        <v>38.5</v>
      </c>
      <c r="H4726" s="1178" t="s">
        <v>20221</v>
      </c>
      <c r="I4726" s="1178" t="s">
        <v>14995</v>
      </c>
      <c r="J4726" s="1178" t="s">
        <v>22404</v>
      </c>
      <c r="K4726" s="1178" t="s">
        <v>546</v>
      </c>
      <c r="L4726" s="1178"/>
      <c r="M4726" s="1369"/>
      <c r="N4726" s="1178"/>
      <c r="O4726" s="1178">
        <v>6</v>
      </c>
      <c r="P4726" s="1178">
        <v>13</v>
      </c>
    </row>
    <row r="4727" spans="1:16">
      <c r="A4727" s="1178" t="s">
        <v>547</v>
      </c>
      <c r="B4727" s="1371" t="str">
        <f>HYPERLINK(IFERROR("#Main_Tariff!A"&amp;MATCH(Raeburn_Main_Tariff[[#This Row],[Product Code]],Main_Tariff!I:I,0),"#Main_Tariff!A"&amp;MATCH("*"&amp;RIGHT(A4727,8)&amp;"*",Main_Tariff!A:A,0)),Raeburn_Main_Tariff[[#This Row],[PRODUCER]])</f>
        <v>Pichler-Krutzler</v>
      </c>
      <c r="C4727" s="1178" t="s">
        <v>22414</v>
      </c>
      <c r="D4727" s="1178" t="s">
        <v>1129</v>
      </c>
      <c r="E4727" s="1179">
        <v>2017</v>
      </c>
      <c r="F4727" s="1282" t="s">
        <v>20220</v>
      </c>
      <c r="G4727" s="1368">
        <v>37.5</v>
      </c>
      <c r="H4727" s="1178" t="s">
        <v>20221</v>
      </c>
      <c r="I4727" s="1178" t="s">
        <v>14997</v>
      </c>
      <c r="J4727" s="1178" t="s">
        <v>22404</v>
      </c>
      <c r="K4727" s="1178" t="s">
        <v>546</v>
      </c>
      <c r="L4727" s="1178"/>
      <c r="M4727" s="1369"/>
      <c r="N4727" s="1178"/>
      <c r="O4727" s="1178">
        <v>6</v>
      </c>
      <c r="P4727" s="1178">
        <v>13.5</v>
      </c>
    </row>
    <row r="4728" spans="1:16">
      <c r="A4728" s="1178" t="s">
        <v>547</v>
      </c>
      <c r="B4728" s="1371" t="str">
        <f>HYPERLINK(IFERROR("#Main_Tariff!A"&amp;MATCH(Raeburn_Main_Tariff[[#This Row],[Product Code]],Main_Tariff!I:I,0),"#Main_Tariff!A"&amp;MATCH("*"&amp;RIGHT(A4728,8)&amp;"*",Main_Tariff!A:A,0)),Raeburn_Main_Tariff[[#This Row],[PRODUCER]])</f>
        <v>Pichler-Krutzler</v>
      </c>
      <c r="C4728" s="1178" t="s">
        <v>22414</v>
      </c>
      <c r="D4728" s="1178" t="s">
        <v>1129</v>
      </c>
      <c r="E4728" s="1179">
        <v>2016</v>
      </c>
      <c r="F4728" s="1282" t="s">
        <v>20220</v>
      </c>
      <c r="G4728" s="1368">
        <v>37.5</v>
      </c>
      <c r="H4728" s="1178" t="s">
        <v>20221</v>
      </c>
      <c r="I4728" s="1178" t="s">
        <v>14999</v>
      </c>
      <c r="J4728" s="1178" t="s">
        <v>22404</v>
      </c>
      <c r="K4728" s="1178" t="s">
        <v>546</v>
      </c>
      <c r="L4728" s="1178"/>
      <c r="M4728" s="1369"/>
      <c r="N4728" s="1178"/>
      <c r="O4728" s="1178">
        <v>6</v>
      </c>
      <c r="P4728" s="1178">
        <v>13</v>
      </c>
    </row>
    <row r="4729" spans="1:16">
      <c r="A4729" s="1178" t="s">
        <v>547</v>
      </c>
      <c r="B4729" s="1371" t="str">
        <f>HYPERLINK(IFERROR("#Main_Tariff!A"&amp;MATCH(Raeburn_Main_Tariff[[#This Row],[Product Code]],Main_Tariff!I:I,0),"#Main_Tariff!A"&amp;MATCH("*"&amp;RIGHT(A4729,8)&amp;"*",Main_Tariff!A:A,0)),Raeburn_Main_Tariff[[#This Row],[PRODUCER]])</f>
        <v>Pichler-Krutzler</v>
      </c>
      <c r="C4729" s="1178" t="s">
        <v>22415</v>
      </c>
      <c r="D4729" s="1178" t="s">
        <v>1129</v>
      </c>
      <c r="E4729" s="1179">
        <v>2019</v>
      </c>
      <c r="F4729" s="1282" t="s">
        <v>20220</v>
      </c>
      <c r="G4729" s="1368">
        <v>58.5</v>
      </c>
      <c r="H4729" s="1178" t="s">
        <v>20221</v>
      </c>
      <c r="I4729" s="1178" t="s">
        <v>15000</v>
      </c>
      <c r="J4729" s="1178" t="s">
        <v>22404</v>
      </c>
      <c r="K4729" s="1178" t="s">
        <v>546</v>
      </c>
      <c r="L4729" s="1178"/>
      <c r="M4729" s="1369"/>
      <c r="N4729" s="1178"/>
      <c r="O4729" s="1178">
        <v>6</v>
      </c>
      <c r="P4729" s="1178">
        <v>13.5</v>
      </c>
    </row>
    <row r="4730" spans="1:16">
      <c r="A4730" s="1178" t="s">
        <v>547</v>
      </c>
      <c r="B4730" s="1371" t="str">
        <f>HYPERLINK(IFERROR("#Main_Tariff!A"&amp;MATCH(Raeburn_Main_Tariff[[#This Row],[Product Code]],Main_Tariff!I:I,0),"#Main_Tariff!A"&amp;MATCH("*"&amp;RIGHT(A4730,8)&amp;"*",Main_Tariff!A:A,0)),Raeburn_Main_Tariff[[#This Row],[PRODUCER]])</f>
        <v>Pichler-Krutzler</v>
      </c>
      <c r="C4730" s="1178" t="s">
        <v>22416</v>
      </c>
      <c r="D4730" s="1178" t="s">
        <v>1129</v>
      </c>
      <c r="E4730" s="1179">
        <v>2018</v>
      </c>
      <c r="F4730" s="1282" t="s">
        <v>20240</v>
      </c>
      <c r="G4730" s="1368">
        <v>52</v>
      </c>
      <c r="H4730" s="1178" t="s">
        <v>20224</v>
      </c>
      <c r="I4730" s="1178" t="s">
        <v>15004</v>
      </c>
      <c r="J4730" s="1178" t="s">
        <v>22404</v>
      </c>
      <c r="K4730" s="1178" t="s">
        <v>546</v>
      </c>
      <c r="L4730" s="1178"/>
      <c r="M4730" s="1369"/>
      <c r="N4730" s="1178"/>
      <c r="O4730" s="1178">
        <v>3</v>
      </c>
      <c r="P4730" s="1178">
        <v>13</v>
      </c>
    </row>
    <row r="4731" spans="1:16">
      <c r="A4731" s="1178" t="s">
        <v>547</v>
      </c>
      <c r="B4731" s="1371" t="str">
        <f>HYPERLINK(IFERROR("#Main_Tariff!A"&amp;MATCH(Raeburn_Main_Tariff[[#This Row],[Product Code]],Main_Tariff!I:I,0),"#Main_Tariff!A"&amp;MATCH("*"&amp;RIGHT(A4731,8)&amp;"*",Main_Tariff!A:A,0)),Raeburn_Main_Tariff[[#This Row],[PRODUCER]])</f>
        <v>Pichler-Krutzler</v>
      </c>
      <c r="C4731" s="1178" t="s">
        <v>22417</v>
      </c>
      <c r="D4731" s="1178" t="s">
        <v>1129</v>
      </c>
      <c r="E4731" s="1179">
        <v>2021</v>
      </c>
      <c r="F4731" s="1282" t="s">
        <v>20240</v>
      </c>
      <c r="G4731" s="1368">
        <v>61</v>
      </c>
      <c r="H4731" s="1178" t="s">
        <v>20224</v>
      </c>
      <c r="I4731" s="1178" t="s">
        <v>15006</v>
      </c>
      <c r="J4731" s="1178" t="s">
        <v>22404</v>
      </c>
      <c r="K4731" s="1178" t="s">
        <v>546</v>
      </c>
      <c r="L4731" s="1178"/>
      <c r="M4731" s="1369"/>
      <c r="N4731" s="1178"/>
      <c r="O4731" s="1178">
        <v>1</v>
      </c>
      <c r="P4731" s="1178">
        <v>13</v>
      </c>
    </row>
    <row r="4732" spans="1:16">
      <c r="A4732" s="1178" t="s">
        <v>547</v>
      </c>
      <c r="B4732" s="1371" t="str">
        <f>HYPERLINK(IFERROR("#Main_Tariff!A"&amp;MATCH(Raeburn_Main_Tariff[[#This Row],[Product Code]],Main_Tariff!I:I,0),"#Main_Tariff!A"&amp;MATCH("*"&amp;RIGHT(A4732,8)&amp;"*",Main_Tariff!A:A,0)),Raeburn_Main_Tariff[[#This Row],[PRODUCER]])</f>
        <v>Pichler-Krutzler</v>
      </c>
      <c r="C4732" s="1178" t="s">
        <v>22418</v>
      </c>
      <c r="D4732" s="1178" t="s">
        <v>1129</v>
      </c>
      <c r="E4732" s="1179">
        <v>2016</v>
      </c>
      <c r="F4732" s="1282" t="s">
        <v>20240</v>
      </c>
      <c r="G4732" s="1368">
        <v>62</v>
      </c>
      <c r="H4732" s="1178" t="s">
        <v>20224</v>
      </c>
      <c r="I4732" s="1178" t="s">
        <v>15008</v>
      </c>
      <c r="J4732" s="1178" t="s">
        <v>22404</v>
      </c>
      <c r="K4732" s="1178" t="s">
        <v>546</v>
      </c>
      <c r="L4732" s="1178"/>
      <c r="M4732" s="1369"/>
      <c r="N4732" s="1178"/>
      <c r="O4732" s="1178">
        <v>3</v>
      </c>
      <c r="P4732" s="1178">
        <v>13.5</v>
      </c>
    </row>
    <row r="4733" spans="1:16">
      <c r="A4733" s="1178" t="s">
        <v>547</v>
      </c>
      <c r="B4733" s="1371" t="str">
        <f>HYPERLINK(IFERROR("#Main_Tariff!A"&amp;MATCH(Raeburn_Main_Tariff[[#This Row],[Product Code]],Main_Tariff!I:I,0),"#Main_Tariff!A"&amp;MATCH("*"&amp;RIGHT(A4733,8)&amp;"*",Main_Tariff!A:A,0)),Raeburn_Main_Tariff[[#This Row],[PRODUCER]])</f>
        <v>Pichler-Krutzler</v>
      </c>
      <c r="C4733" s="1178" t="s">
        <v>22419</v>
      </c>
      <c r="D4733" s="1178" t="s">
        <v>1129</v>
      </c>
      <c r="E4733" s="1179">
        <v>2017</v>
      </c>
      <c r="F4733" s="1282" t="s">
        <v>20240</v>
      </c>
      <c r="G4733" s="1368">
        <v>76</v>
      </c>
      <c r="H4733" s="1178" t="s">
        <v>20224</v>
      </c>
      <c r="I4733" s="1178" t="s">
        <v>15010</v>
      </c>
      <c r="J4733" s="1178" t="s">
        <v>22404</v>
      </c>
      <c r="K4733" s="1178" t="s">
        <v>546</v>
      </c>
      <c r="L4733" s="1178"/>
      <c r="M4733" s="1369"/>
      <c r="N4733" s="1178"/>
      <c r="O4733" s="1178">
        <v>3</v>
      </c>
      <c r="P4733" s="1178">
        <v>13.5</v>
      </c>
    </row>
    <row r="4734" spans="1:16">
      <c r="A4734" s="1178" t="s">
        <v>547</v>
      </c>
      <c r="B4734" s="1371" t="str">
        <f>HYPERLINK(IFERROR("#Main_Tariff!A"&amp;MATCH(Raeburn_Main_Tariff[[#This Row],[Product Code]],Main_Tariff!I:I,0),"#Main_Tariff!A"&amp;MATCH("*"&amp;RIGHT(A4734,8)&amp;"*",Main_Tariff!A:A,0)),Raeburn_Main_Tariff[[#This Row],[PRODUCER]])</f>
        <v>Pichler-Krutzler</v>
      </c>
      <c r="C4734" s="1178" t="s">
        <v>22420</v>
      </c>
      <c r="D4734" s="1178" t="s">
        <v>1129</v>
      </c>
      <c r="E4734" s="1179">
        <v>2018</v>
      </c>
      <c r="F4734" s="1282" t="s">
        <v>20240</v>
      </c>
      <c r="G4734" s="1368">
        <v>78</v>
      </c>
      <c r="H4734" s="1178" t="s">
        <v>20224</v>
      </c>
      <c r="I4734" s="1178" t="s">
        <v>15012</v>
      </c>
      <c r="J4734" s="1178" t="s">
        <v>22404</v>
      </c>
      <c r="K4734" s="1178" t="s">
        <v>546</v>
      </c>
      <c r="L4734" s="1178"/>
      <c r="M4734" s="1369"/>
      <c r="N4734" s="1178"/>
      <c r="O4734" s="1178">
        <v>3</v>
      </c>
      <c r="P4734" s="1178">
        <v>13.5</v>
      </c>
    </row>
    <row r="4735" spans="1:16">
      <c r="A4735" s="1178" t="s">
        <v>547</v>
      </c>
      <c r="B4735" s="1371" t="str">
        <f>HYPERLINK(IFERROR("#Main_Tariff!A"&amp;MATCH(Raeburn_Main_Tariff[[#This Row],[Product Code]],Main_Tariff!I:I,0),"#Main_Tariff!A"&amp;MATCH("*"&amp;RIGHT(A4735,8)&amp;"*",Main_Tariff!A:A,0)),Raeburn_Main_Tariff[[#This Row],[PRODUCER]])</f>
        <v>Pichler-Krutzler</v>
      </c>
      <c r="C4735" s="1178" t="s">
        <v>22420</v>
      </c>
      <c r="D4735" s="1178" t="s">
        <v>1129</v>
      </c>
      <c r="E4735" s="1179">
        <v>2017</v>
      </c>
      <c r="F4735" s="1282" t="s">
        <v>20240</v>
      </c>
      <c r="G4735" s="1368">
        <v>77</v>
      </c>
      <c r="H4735" s="1178" t="s">
        <v>20224</v>
      </c>
      <c r="I4735" s="1178" t="s">
        <v>15014</v>
      </c>
      <c r="J4735" s="1178" t="s">
        <v>22404</v>
      </c>
      <c r="K4735" s="1178" t="s">
        <v>546</v>
      </c>
      <c r="L4735" s="1178"/>
      <c r="M4735" s="1369"/>
      <c r="N4735" s="1178"/>
      <c r="O4735" s="1178">
        <v>3</v>
      </c>
      <c r="P4735" s="1178">
        <v>13.5</v>
      </c>
    </row>
    <row r="4736" spans="1:16">
      <c r="A4736" s="1178" t="s">
        <v>547</v>
      </c>
      <c r="B4736" s="1371" t="str">
        <f>HYPERLINK(IFERROR("#Main_Tariff!A"&amp;MATCH(Raeburn_Main_Tariff[[#This Row],[Product Code]],Main_Tariff!I:I,0),"#Main_Tariff!A"&amp;MATCH("*"&amp;RIGHT(A4736,8)&amp;"*",Main_Tariff!A:A,0)),Raeburn_Main_Tariff[[#This Row],[PRODUCER]])</f>
        <v>Pichler-Krutzler</v>
      </c>
      <c r="C4736" s="1178" t="s">
        <v>22421</v>
      </c>
      <c r="D4736" s="1178" t="s">
        <v>1129</v>
      </c>
      <c r="E4736" s="1179">
        <v>2018</v>
      </c>
      <c r="F4736" s="1282" t="s">
        <v>20220</v>
      </c>
      <c r="G4736" s="1368">
        <v>16.75</v>
      </c>
      <c r="H4736" s="1178" t="s">
        <v>20221</v>
      </c>
      <c r="I4736" s="1178" t="s">
        <v>15016</v>
      </c>
      <c r="J4736" s="1178" t="s">
        <v>22404</v>
      </c>
      <c r="K4736" s="1178" t="s">
        <v>546</v>
      </c>
      <c r="L4736" s="1178"/>
      <c r="M4736" s="1369"/>
      <c r="N4736" s="1178"/>
      <c r="O4736" s="1178">
        <v>6</v>
      </c>
      <c r="P4736" s="1178">
        <v>12</v>
      </c>
    </row>
    <row r="4737" spans="1:16">
      <c r="A4737" s="1178" t="s">
        <v>547</v>
      </c>
      <c r="B4737" s="1371" t="str">
        <f>HYPERLINK(IFERROR("#Main_Tariff!A"&amp;MATCH(Raeburn_Main_Tariff[[#This Row],[Product Code]],Main_Tariff!I:I,0),"#Main_Tariff!A"&amp;MATCH("*"&amp;RIGHT(A4737,8)&amp;"*",Main_Tariff!A:A,0)),Raeburn_Main_Tariff[[#This Row],[PRODUCER]])</f>
        <v>Pichler-Krutzler</v>
      </c>
      <c r="C4737" s="1178" t="s">
        <v>22422</v>
      </c>
      <c r="D4737" s="1178" t="s">
        <v>1129</v>
      </c>
      <c r="E4737" s="1179">
        <v>2023</v>
      </c>
      <c r="F4737" s="1282" t="s">
        <v>20220</v>
      </c>
      <c r="G4737" s="1368">
        <v>26.75</v>
      </c>
      <c r="H4737" s="1178" t="s">
        <v>20221</v>
      </c>
      <c r="I4737" s="1178" t="s">
        <v>15017</v>
      </c>
      <c r="J4737" s="1178" t="s">
        <v>22404</v>
      </c>
      <c r="K4737" s="1178" t="s">
        <v>546</v>
      </c>
      <c r="L4737" s="1178"/>
      <c r="M4737" s="1369"/>
      <c r="N4737" s="1178"/>
      <c r="O4737" s="1178">
        <v>6</v>
      </c>
      <c r="P4737" s="1178">
        <v>13</v>
      </c>
    </row>
    <row r="4738" spans="1:16">
      <c r="A4738" s="1178" t="s">
        <v>547</v>
      </c>
      <c r="B4738" s="1371" t="str">
        <f>HYPERLINK(IFERROR("#Main_Tariff!A"&amp;MATCH(Raeburn_Main_Tariff[[#This Row],[Product Code]],Main_Tariff!I:I,0),"#Main_Tariff!A"&amp;MATCH("*"&amp;RIGHT(A4738,8)&amp;"*",Main_Tariff!A:A,0)),Raeburn_Main_Tariff[[#This Row],[PRODUCER]])</f>
        <v>Pichler-Krutzler</v>
      </c>
      <c r="C4738" s="1178" t="s">
        <v>22422</v>
      </c>
      <c r="D4738" s="1178" t="s">
        <v>1129</v>
      </c>
      <c r="E4738" s="1179">
        <v>2019</v>
      </c>
      <c r="F4738" s="1282" t="s">
        <v>20220</v>
      </c>
      <c r="G4738" s="1368">
        <v>23</v>
      </c>
      <c r="H4738" s="1178" t="s">
        <v>20221</v>
      </c>
      <c r="I4738" s="1178" t="s">
        <v>15018</v>
      </c>
      <c r="J4738" s="1178" t="s">
        <v>22404</v>
      </c>
      <c r="K4738" s="1178" t="s">
        <v>546</v>
      </c>
      <c r="L4738" s="1178"/>
      <c r="M4738" s="1369"/>
      <c r="N4738" s="1178"/>
      <c r="O4738" s="1178">
        <v>6</v>
      </c>
      <c r="P4738" s="1178">
        <v>12.5</v>
      </c>
    </row>
    <row r="4739" spans="1:16">
      <c r="A4739" s="1178" t="s">
        <v>547</v>
      </c>
      <c r="B4739" s="1371" t="str">
        <f>HYPERLINK(IFERROR("#Main_Tariff!A"&amp;MATCH(Raeburn_Main_Tariff[[#This Row],[Product Code]],Main_Tariff!I:I,0),"#Main_Tariff!A"&amp;MATCH("*"&amp;RIGHT(A4739,8)&amp;"*",Main_Tariff!A:A,0)),Raeburn_Main_Tariff[[#This Row],[PRODUCER]])</f>
        <v>Pichler-Krutzler</v>
      </c>
      <c r="C4739" s="1178" t="s">
        <v>22422</v>
      </c>
      <c r="D4739" s="1178" t="s">
        <v>1129</v>
      </c>
      <c r="E4739" s="1179">
        <v>2017</v>
      </c>
      <c r="F4739" s="1282" t="s">
        <v>20220</v>
      </c>
      <c r="G4739" s="1368">
        <v>23</v>
      </c>
      <c r="H4739" s="1178" t="s">
        <v>20224</v>
      </c>
      <c r="I4739" s="1178" t="s">
        <v>15019</v>
      </c>
      <c r="J4739" s="1178" t="s">
        <v>22404</v>
      </c>
      <c r="K4739" s="1178" t="s">
        <v>546</v>
      </c>
      <c r="L4739" s="1178"/>
      <c r="M4739" s="1369"/>
      <c r="N4739" s="1178"/>
      <c r="O4739" s="1178">
        <v>6</v>
      </c>
      <c r="P4739" s="1178">
        <v>12.5</v>
      </c>
    </row>
    <row r="4740" spans="1:16">
      <c r="A4740" s="1178" t="s">
        <v>547</v>
      </c>
      <c r="B4740" s="1371" t="str">
        <f>HYPERLINK(IFERROR("#Main_Tariff!A"&amp;MATCH(Raeburn_Main_Tariff[[#This Row],[Product Code]],Main_Tariff!I:I,0),"#Main_Tariff!A"&amp;MATCH("*"&amp;RIGHT(A4740,8)&amp;"*",Main_Tariff!A:A,0)),Raeburn_Main_Tariff[[#This Row],[PRODUCER]])</f>
        <v>Pichler-Krutzler</v>
      </c>
      <c r="C4740" s="1178" t="s">
        <v>22422</v>
      </c>
      <c r="D4740" s="1178" t="s">
        <v>1129</v>
      </c>
      <c r="E4740" s="1179">
        <v>2014</v>
      </c>
      <c r="F4740" s="1282" t="s">
        <v>20220</v>
      </c>
      <c r="G4740" s="1368">
        <v>23</v>
      </c>
      <c r="H4740" s="1178" t="s">
        <v>20221</v>
      </c>
      <c r="I4740" s="1178" t="s">
        <v>15020</v>
      </c>
      <c r="J4740" s="1178" t="s">
        <v>22404</v>
      </c>
      <c r="K4740" s="1178" t="s">
        <v>546</v>
      </c>
      <c r="L4740" s="1178"/>
      <c r="M4740" s="1369"/>
      <c r="N4740" s="1178"/>
      <c r="O4740" s="1178">
        <v>6</v>
      </c>
      <c r="P4740" s="1178">
        <v>12</v>
      </c>
    </row>
    <row r="4741" spans="1:16">
      <c r="A4741" s="1178" t="s">
        <v>547</v>
      </c>
      <c r="B4741" s="1371" t="str">
        <f>HYPERLINK(IFERROR("#Main_Tariff!A"&amp;MATCH(Raeburn_Main_Tariff[[#This Row],[Product Code]],Main_Tariff!I:I,0),"#Main_Tariff!A"&amp;MATCH("*"&amp;RIGHT(A4741,8)&amp;"*",Main_Tariff!A:A,0)),Raeburn_Main_Tariff[[#This Row],[PRODUCER]])</f>
        <v>Pichler-Krutzler</v>
      </c>
      <c r="C4741" s="1178" t="s">
        <v>22422</v>
      </c>
      <c r="D4741" s="1178" t="s">
        <v>1129</v>
      </c>
      <c r="E4741" s="1179">
        <v>2013</v>
      </c>
      <c r="F4741" s="1282" t="s">
        <v>20220</v>
      </c>
      <c r="G4741" s="1368">
        <v>24</v>
      </c>
      <c r="H4741" s="1178" t="s">
        <v>20221</v>
      </c>
      <c r="I4741" s="1178" t="s">
        <v>15021</v>
      </c>
      <c r="J4741" s="1178" t="s">
        <v>22404</v>
      </c>
      <c r="K4741" s="1178" t="s">
        <v>546</v>
      </c>
      <c r="L4741" s="1178"/>
      <c r="M4741" s="1369"/>
      <c r="N4741" s="1178"/>
      <c r="O4741" s="1178">
        <v>6</v>
      </c>
      <c r="P4741" s="1178">
        <v>14</v>
      </c>
    </row>
    <row r="4742" spans="1:16">
      <c r="A4742" s="1178" t="s">
        <v>547</v>
      </c>
      <c r="B4742" s="1371" t="str">
        <f>HYPERLINK(IFERROR("#Main_Tariff!A"&amp;MATCH(Raeburn_Main_Tariff[[#This Row],[Product Code]],Main_Tariff!I:I,0),"#Main_Tariff!A"&amp;MATCH("*"&amp;RIGHT(A4742,8)&amp;"*",Main_Tariff!A:A,0)),Raeburn_Main_Tariff[[#This Row],[PRODUCER]])</f>
        <v>Pichler-Krutzler</v>
      </c>
      <c r="C4742" s="1178" t="s">
        <v>22423</v>
      </c>
      <c r="D4742" s="1178" t="s">
        <v>1129</v>
      </c>
      <c r="E4742" s="1179">
        <v>2022</v>
      </c>
      <c r="F4742" s="1282" t="s">
        <v>20220</v>
      </c>
      <c r="G4742" s="1368">
        <v>30.25</v>
      </c>
      <c r="H4742" s="1178" t="s">
        <v>20221</v>
      </c>
      <c r="I4742" s="1178" t="s">
        <v>15022</v>
      </c>
      <c r="J4742" s="1178" t="s">
        <v>22404</v>
      </c>
      <c r="K4742" s="1178" t="s">
        <v>546</v>
      </c>
      <c r="L4742" s="1178"/>
      <c r="M4742" s="1369"/>
      <c r="N4742" s="1178"/>
      <c r="O4742" s="1178">
        <v>6</v>
      </c>
      <c r="P4742" s="1178">
        <v>12.5</v>
      </c>
    </row>
    <row r="4743" spans="1:16">
      <c r="A4743" s="1178" t="s">
        <v>547</v>
      </c>
      <c r="B4743" s="1371" t="str">
        <f>HYPERLINK(IFERROR("#Main_Tariff!A"&amp;MATCH(Raeburn_Main_Tariff[[#This Row],[Product Code]],Main_Tariff!I:I,0),"#Main_Tariff!A"&amp;MATCH("*"&amp;RIGHT(A4743,8)&amp;"*",Main_Tariff!A:A,0)),Raeburn_Main_Tariff[[#This Row],[PRODUCER]])</f>
        <v>Pichler-Krutzler</v>
      </c>
      <c r="C4743" s="1178" t="s">
        <v>22423</v>
      </c>
      <c r="D4743" s="1178" t="s">
        <v>1129</v>
      </c>
      <c r="E4743" s="1179">
        <v>2021</v>
      </c>
      <c r="F4743" s="1282" t="s">
        <v>20220</v>
      </c>
      <c r="G4743" s="1368">
        <v>26.75</v>
      </c>
      <c r="H4743" s="1178" t="s">
        <v>20221</v>
      </c>
      <c r="I4743" s="1178" t="s">
        <v>15023</v>
      </c>
      <c r="J4743" s="1178" t="s">
        <v>22404</v>
      </c>
      <c r="K4743" s="1178" t="s">
        <v>546</v>
      </c>
      <c r="L4743" s="1178"/>
      <c r="M4743" s="1369"/>
      <c r="N4743" s="1178"/>
      <c r="O4743" s="1178">
        <v>6</v>
      </c>
      <c r="P4743" s="1178">
        <v>12.5</v>
      </c>
    </row>
    <row r="4744" spans="1:16">
      <c r="A4744" s="1178" t="s">
        <v>547</v>
      </c>
      <c r="B4744" s="1371" t="str">
        <f>HYPERLINK(IFERROR("#Main_Tariff!A"&amp;MATCH(Raeburn_Main_Tariff[[#This Row],[Product Code]],Main_Tariff!I:I,0),"#Main_Tariff!A"&amp;MATCH("*"&amp;RIGHT(A4744,8)&amp;"*",Main_Tariff!A:A,0)),Raeburn_Main_Tariff[[#This Row],[PRODUCER]])</f>
        <v>Pichler-Krutzler</v>
      </c>
      <c r="C4744" s="1178" t="s">
        <v>22423</v>
      </c>
      <c r="D4744" s="1178" t="s">
        <v>1129</v>
      </c>
      <c r="E4744" s="1179">
        <v>2020</v>
      </c>
      <c r="F4744" s="1282" t="s">
        <v>20220</v>
      </c>
      <c r="G4744" s="1368">
        <v>26</v>
      </c>
      <c r="H4744" s="1178" t="s">
        <v>20221</v>
      </c>
      <c r="I4744" s="1178" t="s">
        <v>15024</v>
      </c>
      <c r="J4744" s="1178" t="s">
        <v>22404</v>
      </c>
      <c r="K4744" s="1178" t="s">
        <v>546</v>
      </c>
      <c r="L4744" s="1178"/>
      <c r="M4744" s="1369"/>
      <c r="N4744" s="1178"/>
      <c r="O4744" s="1178">
        <v>6</v>
      </c>
      <c r="P4744" s="1178">
        <v>13</v>
      </c>
    </row>
    <row r="4745" spans="1:16">
      <c r="A4745" s="1178" t="s">
        <v>547</v>
      </c>
      <c r="B4745" s="1371" t="str">
        <f>HYPERLINK(IFERROR("#Main_Tariff!A"&amp;MATCH(Raeburn_Main_Tariff[[#This Row],[Product Code]],Main_Tariff!I:I,0),"#Main_Tariff!A"&amp;MATCH("*"&amp;RIGHT(A4745,8)&amp;"*",Main_Tariff!A:A,0)),Raeburn_Main_Tariff[[#This Row],[PRODUCER]])</f>
        <v>Pichler-Krutzler</v>
      </c>
      <c r="C4745" s="1178" t="s">
        <v>22423</v>
      </c>
      <c r="D4745" s="1178" t="s">
        <v>1129</v>
      </c>
      <c r="E4745" s="1179">
        <v>2018</v>
      </c>
      <c r="F4745" s="1282" t="s">
        <v>20220</v>
      </c>
      <c r="G4745" s="1368">
        <v>25.5</v>
      </c>
      <c r="H4745" s="1178" t="s">
        <v>20221</v>
      </c>
      <c r="I4745" s="1178" t="s">
        <v>15025</v>
      </c>
      <c r="J4745" s="1178" t="s">
        <v>22404</v>
      </c>
      <c r="K4745" s="1178" t="s">
        <v>546</v>
      </c>
      <c r="L4745" s="1178"/>
      <c r="M4745" s="1369"/>
      <c r="N4745" s="1178"/>
      <c r="O4745" s="1178">
        <v>6</v>
      </c>
      <c r="P4745" s="1178">
        <v>12</v>
      </c>
    </row>
    <row r="4746" spans="1:16">
      <c r="A4746" s="1178" t="s">
        <v>547</v>
      </c>
      <c r="B4746" s="1371" t="str">
        <f>HYPERLINK(IFERROR("#Main_Tariff!A"&amp;MATCH(Raeburn_Main_Tariff[[#This Row],[Product Code]],Main_Tariff!I:I,0),"#Main_Tariff!A"&amp;MATCH("*"&amp;RIGHT(A4746,8)&amp;"*",Main_Tariff!A:A,0)),Raeburn_Main_Tariff[[#This Row],[PRODUCER]])</f>
        <v>Pichler-Krutzler</v>
      </c>
      <c r="C4746" s="1178" t="s">
        <v>22423</v>
      </c>
      <c r="D4746" s="1178" t="s">
        <v>1129</v>
      </c>
      <c r="E4746" s="1179">
        <v>2014</v>
      </c>
      <c r="F4746" s="1282" t="s">
        <v>20220</v>
      </c>
      <c r="G4746" s="1368">
        <v>25</v>
      </c>
      <c r="H4746" s="1178" t="s">
        <v>20221</v>
      </c>
      <c r="I4746" s="1178" t="s">
        <v>15026</v>
      </c>
      <c r="J4746" s="1178" t="s">
        <v>22404</v>
      </c>
      <c r="K4746" s="1178" t="s">
        <v>546</v>
      </c>
      <c r="L4746" s="1178"/>
      <c r="M4746" s="1369"/>
      <c r="N4746" s="1178"/>
      <c r="O4746" s="1178">
        <v>6</v>
      </c>
      <c r="P4746" s="1178">
        <v>12</v>
      </c>
    </row>
    <row r="4747" spans="1:16">
      <c r="A4747" s="1178" t="s">
        <v>547</v>
      </c>
      <c r="B4747" s="1371" t="str">
        <f>HYPERLINK(IFERROR("#Main_Tariff!A"&amp;MATCH(Raeburn_Main_Tariff[[#This Row],[Product Code]],Main_Tariff!I:I,0),"#Main_Tariff!A"&amp;MATCH("*"&amp;RIGHT(A4747,8)&amp;"*",Main_Tariff!A:A,0)),Raeburn_Main_Tariff[[#This Row],[PRODUCER]])</f>
        <v>Pichler-Krutzler</v>
      </c>
      <c r="C4747" s="1178" t="s">
        <v>22423</v>
      </c>
      <c r="D4747" s="1178" t="s">
        <v>1129</v>
      </c>
      <c r="E4747" s="1179">
        <v>2012</v>
      </c>
      <c r="F4747" s="1282" t="s">
        <v>20220</v>
      </c>
      <c r="G4747" s="1368">
        <v>27.75</v>
      </c>
      <c r="H4747" s="1178" t="s">
        <v>20277</v>
      </c>
      <c r="I4747" s="1178" t="s">
        <v>15027</v>
      </c>
      <c r="J4747" s="1178" t="s">
        <v>22404</v>
      </c>
      <c r="K4747" s="1178" t="s">
        <v>546</v>
      </c>
      <c r="L4747" s="1178"/>
      <c r="M4747" s="1369"/>
      <c r="N4747" s="1178"/>
      <c r="O4747" s="1178">
        <v>6</v>
      </c>
      <c r="P4747" s="1178">
        <v>13</v>
      </c>
    </row>
    <row r="4748" spans="1:16">
      <c r="A4748" s="1178" t="s">
        <v>547</v>
      </c>
      <c r="B4748" s="1371" t="str">
        <f>HYPERLINK(IFERROR("#Main_Tariff!A"&amp;MATCH(Raeburn_Main_Tariff[[#This Row],[Product Code]],Main_Tariff!I:I,0),"#Main_Tariff!A"&amp;MATCH("*"&amp;RIGHT(A4748,8)&amp;"*",Main_Tariff!A:A,0)),Raeburn_Main_Tariff[[#This Row],[PRODUCER]])</f>
        <v>Pichler-Krutzler</v>
      </c>
      <c r="C4748" s="1178" t="s">
        <v>22424</v>
      </c>
      <c r="D4748" s="1178" t="s">
        <v>1129</v>
      </c>
      <c r="E4748" s="1179">
        <v>2022</v>
      </c>
      <c r="F4748" s="1282" t="s">
        <v>20220</v>
      </c>
      <c r="G4748" s="1368">
        <v>40</v>
      </c>
      <c r="H4748" s="1178" t="s">
        <v>20221</v>
      </c>
      <c r="I4748" s="1178" t="s">
        <v>15029</v>
      </c>
      <c r="J4748" s="1178" t="s">
        <v>22404</v>
      </c>
      <c r="K4748" s="1178" t="s">
        <v>546</v>
      </c>
      <c r="L4748" s="1178"/>
      <c r="M4748" s="1369"/>
      <c r="N4748" s="1178"/>
      <c r="O4748" s="1178">
        <v>6</v>
      </c>
      <c r="P4748" s="1178">
        <v>13.5</v>
      </c>
    </row>
    <row r="4749" spans="1:16">
      <c r="A4749" s="1178" t="s">
        <v>547</v>
      </c>
      <c r="B4749" s="1371" t="str">
        <f>HYPERLINK(IFERROR("#Main_Tariff!A"&amp;MATCH(Raeburn_Main_Tariff[[#This Row],[Product Code]],Main_Tariff!I:I,0),"#Main_Tariff!A"&amp;MATCH("*"&amp;RIGHT(A4749,8)&amp;"*",Main_Tariff!A:A,0)),Raeburn_Main_Tariff[[#This Row],[PRODUCER]])</f>
        <v>Pichler-Krutzler</v>
      </c>
      <c r="C4749" s="1178" t="s">
        <v>22424</v>
      </c>
      <c r="D4749" s="1178" t="s">
        <v>1129</v>
      </c>
      <c r="E4749" s="1179">
        <v>2021</v>
      </c>
      <c r="F4749" s="1282" t="s">
        <v>20220</v>
      </c>
      <c r="G4749" s="1368">
        <v>35</v>
      </c>
      <c r="H4749" s="1178" t="s">
        <v>20221</v>
      </c>
      <c r="I4749" s="1178" t="s">
        <v>15030</v>
      </c>
      <c r="J4749" s="1178" t="s">
        <v>22404</v>
      </c>
      <c r="K4749" s="1178" t="s">
        <v>546</v>
      </c>
      <c r="L4749" s="1178"/>
      <c r="M4749" s="1369"/>
      <c r="N4749" s="1178"/>
      <c r="O4749" s="1178">
        <v>6</v>
      </c>
      <c r="P4749" s="1178">
        <v>13.5</v>
      </c>
    </row>
    <row r="4750" spans="1:16">
      <c r="A4750" s="1178" t="s">
        <v>547</v>
      </c>
      <c r="B4750" s="1371" t="str">
        <f>HYPERLINK(IFERROR("#Main_Tariff!A"&amp;MATCH(Raeburn_Main_Tariff[[#This Row],[Product Code]],Main_Tariff!I:I,0),"#Main_Tariff!A"&amp;MATCH("*"&amp;RIGHT(A4750,8)&amp;"*",Main_Tariff!A:A,0)),Raeburn_Main_Tariff[[#This Row],[PRODUCER]])</f>
        <v>Pichler-Krutzler</v>
      </c>
      <c r="C4750" s="1178" t="s">
        <v>22424</v>
      </c>
      <c r="D4750" s="1178" t="s">
        <v>1129</v>
      </c>
      <c r="E4750" s="1179">
        <v>2020</v>
      </c>
      <c r="F4750" s="1282" t="s">
        <v>20220</v>
      </c>
      <c r="G4750" s="1368">
        <v>32.5</v>
      </c>
      <c r="H4750" s="1178" t="s">
        <v>20221</v>
      </c>
      <c r="I4750" s="1178" t="s">
        <v>15031</v>
      </c>
      <c r="J4750" s="1178" t="s">
        <v>22404</v>
      </c>
      <c r="K4750" s="1178" t="s">
        <v>546</v>
      </c>
      <c r="L4750" s="1178"/>
      <c r="M4750" s="1369"/>
      <c r="N4750" s="1178"/>
      <c r="O4750" s="1178">
        <v>6</v>
      </c>
      <c r="P4750" s="1178">
        <v>13.5</v>
      </c>
    </row>
    <row r="4751" spans="1:16">
      <c r="A4751" s="1178" t="s">
        <v>547</v>
      </c>
      <c r="B4751" s="1371" t="str">
        <f>HYPERLINK(IFERROR("#Main_Tariff!A"&amp;MATCH(Raeburn_Main_Tariff[[#This Row],[Product Code]],Main_Tariff!I:I,0),"#Main_Tariff!A"&amp;MATCH("*"&amp;RIGHT(A4751,8)&amp;"*",Main_Tariff!A:A,0)),Raeburn_Main_Tariff[[#This Row],[PRODUCER]])</f>
        <v>Pichler-Krutzler</v>
      </c>
      <c r="C4751" s="1178" t="s">
        <v>22424</v>
      </c>
      <c r="D4751" s="1178" t="s">
        <v>1129</v>
      </c>
      <c r="E4751" s="1179">
        <v>2016</v>
      </c>
      <c r="F4751" s="1282" t="s">
        <v>20220</v>
      </c>
      <c r="G4751" s="1368">
        <v>32</v>
      </c>
      <c r="H4751" s="1178" t="s">
        <v>20221</v>
      </c>
      <c r="I4751" s="1178" t="s">
        <v>15032</v>
      </c>
      <c r="J4751" s="1178" t="s">
        <v>22404</v>
      </c>
      <c r="K4751" s="1178" t="s">
        <v>546</v>
      </c>
      <c r="L4751" s="1178"/>
      <c r="M4751" s="1369"/>
      <c r="N4751" s="1178"/>
      <c r="O4751" s="1178">
        <v>6</v>
      </c>
      <c r="P4751" s="1178">
        <v>13</v>
      </c>
    </row>
    <row r="4752" spans="1:16">
      <c r="A4752" s="1178" t="s">
        <v>547</v>
      </c>
      <c r="B4752" s="1371" t="str">
        <f>HYPERLINK(IFERROR("#Main_Tariff!A"&amp;MATCH(Raeburn_Main_Tariff[[#This Row],[Product Code]],Main_Tariff!I:I,0),"#Main_Tariff!A"&amp;MATCH("*"&amp;RIGHT(A4752,8)&amp;"*",Main_Tariff!A:A,0)),Raeburn_Main_Tariff[[#This Row],[PRODUCER]])</f>
        <v>Pichler-Krutzler</v>
      </c>
      <c r="C4752" s="1178" t="s">
        <v>22424</v>
      </c>
      <c r="D4752" s="1178" t="s">
        <v>1129</v>
      </c>
      <c r="E4752" s="1179">
        <v>2014</v>
      </c>
      <c r="F4752" s="1282" t="s">
        <v>20220</v>
      </c>
      <c r="G4752" s="1368">
        <v>31</v>
      </c>
      <c r="H4752" s="1178" t="s">
        <v>20221</v>
      </c>
      <c r="I4752" s="1178" t="s">
        <v>15033</v>
      </c>
      <c r="J4752" s="1178" t="s">
        <v>22404</v>
      </c>
      <c r="K4752" s="1178" t="s">
        <v>546</v>
      </c>
      <c r="L4752" s="1178"/>
      <c r="M4752" s="1369"/>
      <c r="N4752" s="1178"/>
      <c r="O4752" s="1178">
        <v>6</v>
      </c>
      <c r="P4752" s="1178">
        <v>12.5</v>
      </c>
    </row>
    <row r="4753" spans="1:16">
      <c r="A4753" s="1178" t="s">
        <v>547</v>
      </c>
      <c r="B4753" s="1371" t="str">
        <f>HYPERLINK(IFERROR("#Main_Tariff!A"&amp;MATCH(Raeburn_Main_Tariff[[#This Row],[Product Code]],Main_Tariff!I:I,0),"#Main_Tariff!A"&amp;MATCH("*"&amp;RIGHT(A4753,8)&amp;"*",Main_Tariff!A:A,0)),Raeburn_Main_Tariff[[#This Row],[PRODUCER]])</f>
        <v>Pichler-Krutzler</v>
      </c>
      <c r="C4753" s="1178" t="s">
        <v>22424</v>
      </c>
      <c r="D4753" s="1178" t="s">
        <v>1129</v>
      </c>
      <c r="E4753" s="1179">
        <v>2013</v>
      </c>
      <c r="F4753" s="1282" t="s">
        <v>20220</v>
      </c>
      <c r="G4753" s="1368">
        <v>31</v>
      </c>
      <c r="H4753" s="1178" t="s">
        <v>20221</v>
      </c>
      <c r="I4753" s="1178" t="s">
        <v>15034</v>
      </c>
      <c r="J4753" s="1178" t="s">
        <v>22404</v>
      </c>
      <c r="K4753" s="1178" t="s">
        <v>546</v>
      </c>
      <c r="L4753" s="1178"/>
      <c r="M4753" s="1369"/>
      <c r="N4753" s="1178"/>
      <c r="O4753" s="1178">
        <v>6</v>
      </c>
      <c r="P4753" s="1178">
        <v>12.5</v>
      </c>
    </row>
    <row r="4754" spans="1:16">
      <c r="A4754" s="1178" t="s">
        <v>547</v>
      </c>
      <c r="B4754" s="1371" t="str">
        <f>HYPERLINK(IFERROR("#Main_Tariff!A"&amp;MATCH(Raeburn_Main_Tariff[[#This Row],[Product Code]],Main_Tariff!I:I,0),"#Main_Tariff!A"&amp;MATCH("*"&amp;RIGHT(A4754,8)&amp;"*",Main_Tariff!A:A,0)),Raeburn_Main_Tariff[[#This Row],[PRODUCER]])</f>
        <v>Pichler-Krutzler</v>
      </c>
      <c r="C4754" s="1178" t="s">
        <v>22425</v>
      </c>
      <c r="D4754" s="1178" t="s">
        <v>1129</v>
      </c>
      <c r="E4754" s="1179">
        <v>2023</v>
      </c>
      <c r="F4754" s="1282" t="s">
        <v>20220</v>
      </c>
      <c r="G4754" s="1368">
        <v>52</v>
      </c>
      <c r="H4754" s="1178" t="s">
        <v>20224</v>
      </c>
      <c r="I4754" s="1178" t="s">
        <v>15035</v>
      </c>
      <c r="J4754" s="1178" t="s">
        <v>22404</v>
      </c>
      <c r="K4754" s="1178" t="s">
        <v>546</v>
      </c>
      <c r="L4754" s="1178"/>
      <c r="M4754" s="1369"/>
      <c r="N4754" s="1178"/>
      <c r="O4754" s="1178">
        <v>6</v>
      </c>
      <c r="P4754" s="1178">
        <v>13</v>
      </c>
    </row>
    <row r="4755" spans="1:16">
      <c r="A4755" s="1178" t="s">
        <v>547</v>
      </c>
      <c r="B4755" s="1371" t="str">
        <f>HYPERLINK(IFERROR("#Main_Tariff!A"&amp;MATCH(Raeburn_Main_Tariff[[#This Row],[Product Code]],Main_Tariff!I:I,0),"#Main_Tariff!A"&amp;MATCH("*"&amp;RIGHT(A4755,8)&amp;"*",Main_Tariff!A:A,0)),Raeburn_Main_Tariff[[#This Row],[PRODUCER]])</f>
        <v>Pichler-Krutzler</v>
      </c>
      <c r="C4755" s="1178" t="s">
        <v>22425</v>
      </c>
      <c r="D4755" s="1178" t="s">
        <v>1129</v>
      </c>
      <c r="E4755" s="1179">
        <v>2022</v>
      </c>
      <c r="F4755" s="1282" t="s">
        <v>20220</v>
      </c>
      <c r="G4755" s="1368">
        <v>50</v>
      </c>
      <c r="H4755" s="1178" t="s">
        <v>20221</v>
      </c>
      <c r="I4755" s="1178" t="s">
        <v>15036</v>
      </c>
      <c r="J4755" s="1178" t="s">
        <v>22404</v>
      </c>
      <c r="K4755" s="1178" t="s">
        <v>546</v>
      </c>
      <c r="L4755" s="1178"/>
      <c r="M4755" s="1369"/>
      <c r="N4755" s="1178"/>
      <c r="O4755" s="1178">
        <v>6</v>
      </c>
      <c r="P4755" s="1178">
        <v>13</v>
      </c>
    </row>
    <row r="4756" spans="1:16">
      <c r="A4756" s="1178" t="s">
        <v>547</v>
      </c>
      <c r="B4756" s="1371" t="str">
        <f>HYPERLINK(IFERROR("#Main_Tariff!A"&amp;MATCH(Raeburn_Main_Tariff[[#This Row],[Product Code]],Main_Tariff!I:I,0),"#Main_Tariff!A"&amp;MATCH("*"&amp;RIGHT(A4756,8)&amp;"*",Main_Tariff!A:A,0)),Raeburn_Main_Tariff[[#This Row],[PRODUCER]])</f>
        <v>Pichler-Krutzler</v>
      </c>
      <c r="C4756" s="1178" t="s">
        <v>22425</v>
      </c>
      <c r="D4756" s="1178" t="s">
        <v>1129</v>
      </c>
      <c r="E4756" s="1179">
        <v>2021</v>
      </c>
      <c r="F4756" s="1282" t="s">
        <v>20220</v>
      </c>
      <c r="G4756" s="1368">
        <v>45</v>
      </c>
      <c r="H4756" s="1178" t="s">
        <v>20221</v>
      </c>
      <c r="I4756" s="1178" t="s">
        <v>15037</v>
      </c>
      <c r="J4756" s="1178" t="s">
        <v>22404</v>
      </c>
      <c r="K4756" s="1178" t="s">
        <v>546</v>
      </c>
      <c r="L4756" s="1178"/>
      <c r="M4756" s="1369"/>
      <c r="N4756" s="1178"/>
      <c r="O4756" s="1178">
        <v>6</v>
      </c>
      <c r="P4756" s="1178">
        <v>13</v>
      </c>
    </row>
    <row r="4757" spans="1:16">
      <c r="A4757" s="1178" t="s">
        <v>547</v>
      </c>
      <c r="B4757" s="1371" t="str">
        <f>HYPERLINK(IFERROR("#Main_Tariff!A"&amp;MATCH(Raeburn_Main_Tariff[[#This Row],[Product Code]],Main_Tariff!I:I,0),"#Main_Tariff!A"&amp;MATCH("*"&amp;RIGHT(A4757,8)&amp;"*",Main_Tariff!A:A,0)),Raeburn_Main_Tariff[[#This Row],[PRODUCER]])</f>
        <v>Pichler-Krutzler</v>
      </c>
      <c r="C4757" s="1178" t="s">
        <v>22425</v>
      </c>
      <c r="D4757" s="1178" t="s">
        <v>1129</v>
      </c>
      <c r="E4757" s="1179">
        <v>2020</v>
      </c>
      <c r="F4757" s="1282" t="s">
        <v>20220</v>
      </c>
      <c r="G4757" s="1368">
        <v>40</v>
      </c>
      <c r="H4757" s="1178" t="s">
        <v>20221</v>
      </c>
      <c r="I4757" s="1178" t="s">
        <v>15038</v>
      </c>
      <c r="J4757" s="1178" t="s">
        <v>22404</v>
      </c>
      <c r="K4757" s="1178" t="s">
        <v>546</v>
      </c>
      <c r="L4757" s="1178"/>
      <c r="M4757" s="1369"/>
      <c r="N4757" s="1178"/>
      <c r="O4757" s="1178">
        <v>6</v>
      </c>
      <c r="P4757" s="1178">
        <v>13.5</v>
      </c>
    </row>
    <row r="4758" spans="1:16">
      <c r="A4758" s="1178" t="s">
        <v>547</v>
      </c>
      <c r="B4758" s="1371" t="str">
        <f>HYPERLINK(IFERROR("#Main_Tariff!A"&amp;MATCH(Raeburn_Main_Tariff[[#This Row],[Product Code]],Main_Tariff!I:I,0),"#Main_Tariff!A"&amp;MATCH("*"&amp;RIGHT(A4758,8)&amp;"*",Main_Tariff!A:A,0)),Raeburn_Main_Tariff[[#This Row],[PRODUCER]])</f>
        <v>Pichler-Krutzler</v>
      </c>
      <c r="C4758" s="1178" t="s">
        <v>22425</v>
      </c>
      <c r="D4758" s="1178" t="s">
        <v>1129</v>
      </c>
      <c r="E4758" s="1179">
        <v>2019</v>
      </c>
      <c r="F4758" s="1282" t="s">
        <v>20220</v>
      </c>
      <c r="G4758" s="1368">
        <v>38.5</v>
      </c>
      <c r="H4758" s="1178" t="s">
        <v>20221</v>
      </c>
      <c r="I4758" s="1178" t="s">
        <v>15039</v>
      </c>
      <c r="J4758" s="1178" t="s">
        <v>22404</v>
      </c>
      <c r="K4758" s="1178" t="s">
        <v>546</v>
      </c>
      <c r="L4758" s="1178"/>
      <c r="M4758" s="1369"/>
      <c r="N4758" s="1178"/>
      <c r="O4758" s="1178">
        <v>6</v>
      </c>
      <c r="P4758" s="1178">
        <v>13</v>
      </c>
    </row>
    <row r="4759" spans="1:16">
      <c r="A4759" s="1178" t="s">
        <v>547</v>
      </c>
      <c r="B4759" s="1371" t="str">
        <f>HYPERLINK(IFERROR("#Main_Tariff!A"&amp;MATCH(Raeburn_Main_Tariff[[#This Row],[Product Code]],Main_Tariff!I:I,0),"#Main_Tariff!A"&amp;MATCH("*"&amp;RIGHT(A4759,8)&amp;"*",Main_Tariff!A:A,0)),Raeburn_Main_Tariff[[#This Row],[PRODUCER]])</f>
        <v>Pichler-Krutzler</v>
      </c>
      <c r="C4759" s="1178" t="s">
        <v>22425</v>
      </c>
      <c r="D4759" s="1178" t="s">
        <v>1129</v>
      </c>
      <c r="E4759" s="1179">
        <v>2018</v>
      </c>
      <c r="F4759" s="1282" t="s">
        <v>20220</v>
      </c>
      <c r="G4759" s="1368">
        <v>38.5</v>
      </c>
      <c r="H4759" s="1178" t="s">
        <v>20224</v>
      </c>
      <c r="I4759" s="1178" t="s">
        <v>15040</v>
      </c>
      <c r="J4759" s="1178" t="s">
        <v>22404</v>
      </c>
      <c r="K4759" s="1178" t="s">
        <v>546</v>
      </c>
      <c r="L4759" s="1178"/>
      <c r="M4759" s="1369"/>
      <c r="N4759" s="1178"/>
      <c r="O4759" s="1178">
        <v>6</v>
      </c>
      <c r="P4759" s="1178">
        <v>13</v>
      </c>
    </row>
    <row r="4760" spans="1:16">
      <c r="A4760" s="1178" t="s">
        <v>547</v>
      </c>
      <c r="B4760" s="1371" t="str">
        <f>HYPERLINK(IFERROR("#Main_Tariff!A"&amp;MATCH(Raeburn_Main_Tariff[[#This Row],[Product Code]],Main_Tariff!I:I,0),"#Main_Tariff!A"&amp;MATCH("*"&amp;RIGHT(A4760,8)&amp;"*",Main_Tariff!A:A,0)),Raeburn_Main_Tariff[[#This Row],[PRODUCER]])</f>
        <v>Pichler-Krutzler</v>
      </c>
      <c r="C4760" s="1178" t="s">
        <v>22425</v>
      </c>
      <c r="D4760" s="1178" t="s">
        <v>1129</v>
      </c>
      <c r="E4760" s="1179">
        <v>2017</v>
      </c>
      <c r="F4760" s="1282" t="s">
        <v>20220</v>
      </c>
      <c r="G4760" s="1368">
        <v>38.5</v>
      </c>
      <c r="H4760" s="1178" t="s">
        <v>20221</v>
      </c>
      <c r="I4760" s="1178" t="s">
        <v>15041</v>
      </c>
      <c r="J4760" s="1178" t="s">
        <v>22404</v>
      </c>
      <c r="K4760" s="1178" t="s">
        <v>546</v>
      </c>
      <c r="L4760" s="1178"/>
      <c r="M4760" s="1369"/>
      <c r="N4760" s="1178"/>
      <c r="O4760" s="1178">
        <v>6</v>
      </c>
      <c r="P4760" s="1178">
        <v>13</v>
      </c>
    </row>
    <row r="4761" spans="1:16">
      <c r="A4761" s="1178" t="s">
        <v>547</v>
      </c>
      <c r="B4761" s="1371" t="str">
        <f>HYPERLINK(IFERROR("#Main_Tariff!A"&amp;MATCH(Raeburn_Main_Tariff[[#This Row],[Product Code]],Main_Tariff!I:I,0),"#Main_Tariff!A"&amp;MATCH("*"&amp;RIGHT(A4761,8)&amp;"*",Main_Tariff!A:A,0)),Raeburn_Main_Tariff[[#This Row],[PRODUCER]])</f>
        <v>Pichler-Krutzler</v>
      </c>
      <c r="C4761" s="1178" t="s">
        <v>22425</v>
      </c>
      <c r="D4761" s="1178" t="s">
        <v>1129</v>
      </c>
      <c r="E4761" s="1179">
        <v>2016</v>
      </c>
      <c r="F4761" s="1282" t="s">
        <v>20220</v>
      </c>
      <c r="G4761" s="1368">
        <v>38.5</v>
      </c>
      <c r="H4761" s="1178" t="s">
        <v>20277</v>
      </c>
      <c r="I4761" s="1178" t="s">
        <v>15042</v>
      </c>
      <c r="J4761" s="1178" t="s">
        <v>22404</v>
      </c>
      <c r="K4761" s="1178" t="s">
        <v>546</v>
      </c>
      <c r="L4761" s="1178"/>
      <c r="M4761" s="1369"/>
      <c r="N4761" s="1178"/>
      <c r="O4761" s="1178">
        <v>6</v>
      </c>
      <c r="P4761" s="1178">
        <v>12.5</v>
      </c>
    </row>
    <row r="4762" spans="1:16">
      <c r="A4762" s="1178" t="s">
        <v>547</v>
      </c>
      <c r="B4762" s="1371" t="str">
        <f>HYPERLINK(IFERROR("#Main_Tariff!A"&amp;MATCH(Raeburn_Main_Tariff[[#This Row],[Product Code]],Main_Tariff!I:I,0),"#Main_Tariff!A"&amp;MATCH("*"&amp;RIGHT(A4762,8)&amp;"*",Main_Tariff!A:A,0)),Raeburn_Main_Tariff[[#This Row],[PRODUCER]])</f>
        <v>Pichler-Krutzler</v>
      </c>
      <c r="C4762" s="1178" t="s">
        <v>22426</v>
      </c>
      <c r="D4762" s="1178" t="s">
        <v>1129</v>
      </c>
      <c r="E4762" s="1179">
        <v>2022</v>
      </c>
      <c r="F4762" s="1282" t="s">
        <v>20220</v>
      </c>
      <c r="G4762" s="1368">
        <v>55</v>
      </c>
      <c r="H4762" s="1178" t="s">
        <v>20221</v>
      </c>
      <c r="I4762" s="1178" t="s">
        <v>15043</v>
      </c>
      <c r="J4762" s="1178" t="s">
        <v>22404</v>
      </c>
      <c r="K4762" s="1178" t="s">
        <v>546</v>
      </c>
      <c r="L4762" s="1178"/>
      <c r="M4762" s="1369"/>
      <c r="N4762" s="1178"/>
      <c r="O4762" s="1178">
        <v>6</v>
      </c>
      <c r="P4762" s="1178">
        <v>13</v>
      </c>
    </row>
    <row r="4763" spans="1:16">
      <c r="A4763" s="1178" t="s">
        <v>547</v>
      </c>
      <c r="B4763" s="1371" t="str">
        <f>HYPERLINK(IFERROR("#Main_Tariff!A"&amp;MATCH(Raeburn_Main_Tariff[[#This Row],[Product Code]],Main_Tariff!I:I,0),"#Main_Tariff!A"&amp;MATCH("*"&amp;RIGHT(A4763,8)&amp;"*",Main_Tariff!A:A,0)),Raeburn_Main_Tariff[[#This Row],[PRODUCER]])</f>
        <v>Pichler-Krutzler</v>
      </c>
      <c r="C4763" s="1178" t="s">
        <v>22426</v>
      </c>
      <c r="D4763" s="1178" t="s">
        <v>1129</v>
      </c>
      <c r="E4763" s="1179">
        <v>2021</v>
      </c>
      <c r="F4763" s="1282" t="s">
        <v>20220</v>
      </c>
      <c r="G4763" s="1368">
        <v>52.75</v>
      </c>
      <c r="H4763" s="1178" t="s">
        <v>20221</v>
      </c>
      <c r="I4763" s="1178" t="s">
        <v>15044</v>
      </c>
      <c r="J4763" s="1178" t="s">
        <v>22404</v>
      </c>
      <c r="K4763" s="1178" t="s">
        <v>546</v>
      </c>
      <c r="L4763" s="1178"/>
      <c r="M4763" s="1369"/>
      <c r="N4763" s="1178"/>
      <c r="O4763" s="1178">
        <v>6</v>
      </c>
      <c r="P4763" s="1178">
        <v>13</v>
      </c>
    </row>
    <row r="4764" spans="1:16">
      <c r="A4764" s="1178" t="s">
        <v>547</v>
      </c>
      <c r="B4764" s="1371" t="str">
        <f>HYPERLINK(IFERROR("#Main_Tariff!A"&amp;MATCH(Raeburn_Main_Tariff[[#This Row],[Product Code]],Main_Tariff!I:I,0),"#Main_Tariff!A"&amp;MATCH("*"&amp;RIGHT(A4764,8)&amp;"*",Main_Tariff!A:A,0)),Raeburn_Main_Tariff[[#This Row],[PRODUCER]])</f>
        <v>Pichler-Krutzler</v>
      </c>
      <c r="C4764" s="1178" t="s">
        <v>22426</v>
      </c>
      <c r="D4764" s="1178" t="s">
        <v>1129</v>
      </c>
      <c r="E4764" s="1179">
        <v>2020</v>
      </c>
      <c r="F4764" s="1282" t="s">
        <v>20220</v>
      </c>
      <c r="G4764" s="1368">
        <v>46</v>
      </c>
      <c r="H4764" s="1178" t="s">
        <v>20221</v>
      </c>
      <c r="I4764" s="1178" t="s">
        <v>15045</v>
      </c>
      <c r="J4764" s="1178" t="s">
        <v>22404</v>
      </c>
      <c r="K4764" s="1178" t="s">
        <v>546</v>
      </c>
      <c r="L4764" s="1178"/>
      <c r="M4764" s="1369"/>
      <c r="N4764" s="1178"/>
      <c r="O4764" s="1178">
        <v>6</v>
      </c>
      <c r="P4764" s="1178">
        <v>13</v>
      </c>
    </row>
    <row r="4765" spans="1:16">
      <c r="A4765" s="1178" t="s">
        <v>547</v>
      </c>
      <c r="B4765" s="1371" t="str">
        <f>HYPERLINK(IFERROR("#Main_Tariff!A"&amp;MATCH(Raeburn_Main_Tariff[[#This Row],[Product Code]],Main_Tariff!I:I,0),"#Main_Tariff!A"&amp;MATCH("*"&amp;RIGHT(A4765,8)&amp;"*",Main_Tariff!A:A,0)),Raeburn_Main_Tariff[[#This Row],[PRODUCER]])</f>
        <v>Pichler-Krutzler</v>
      </c>
      <c r="C4765" s="1178" t="s">
        <v>22426</v>
      </c>
      <c r="D4765" s="1178" t="s">
        <v>1129</v>
      </c>
      <c r="E4765" s="1179">
        <v>2019</v>
      </c>
      <c r="F4765" s="1282" t="s">
        <v>20220</v>
      </c>
      <c r="G4765" s="1368">
        <v>42</v>
      </c>
      <c r="H4765" s="1178" t="s">
        <v>20221</v>
      </c>
      <c r="I4765" s="1178" t="s">
        <v>15046</v>
      </c>
      <c r="J4765" s="1178" t="s">
        <v>22404</v>
      </c>
      <c r="K4765" s="1178" t="s">
        <v>546</v>
      </c>
      <c r="L4765" s="1178"/>
      <c r="M4765" s="1369"/>
      <c r="N4765" s="1178"/>
      <c r="O4765" s="1178">
        <v>6</v>
      </c>
      <c r="P4765" s="1178">
        <v>14.5</v>
      </c>
    </row>
    <row r="4766" spans="1:16">
      <c r="A4766" s="1178" t="s">
        <v>547</v>
      </c>
      <c r="B4766" s="1371" t="str">
        <f>HYPERLINK(IFERROR("#Main_Tariff!A"&amp;MATCH(Raeburn_Main_Tariff[[#This Row],[Product Code]],Main_Tariff!I:I,0),"#Main_Tariff!A"&amp;MATCH("*"&amp;RIGHT(A4766,8)&amp;"*",Main_Tariff!A:A,0)),Raeburn_Main_Tariff[[#This Row],[PRODUCER]])</f>
        <v>Pichler-Krutzler</v>
      </c>
      <c r="C4766" s="1178" t="s">
        <v>22426</v>
      </c>
      <c r="D4766" s="1178" t="s">
        <v>1129</v>
      </c>
      <c r="E4766" s="1179">
        <v>2018</v>
      </c>
      <c r="F4766" s="1282" t="s">
        <v>20220</v>
      </c>
      <c r="G4766" s="1368">
        <v>41</v>
      </c>
      <c r="H4766" s="1178" t="s">
        <v>20221</v>
      </c>
      <c r="I4766" s="1178" t="s">
        <v>15047</v>
      </c>
      <c r="J4766" s="1178" t="s">
        <v>22404</v>
      </c>
      <c r="K4766" s="1178" t="s">
        <v>546</v>
      </c>
      <c r="L4766" s="1178"/>
      <c r="M4766" s="1369"/>
      <c r="N4766" s="1178"/>
      <c r="O4766" s="1178">
        <v>6</v>
      </c>
      <c r="P4766" s="1178">
        <v>13.5</v>
      </c>
    </row>
    <row r="4767" spans="1:16">
      <c r="A4767" s="1178" t="s">
        <v>547</v>
      </c>
      <c r="B4767" s="1371" t="str">
        <f>HYPERLINK(IFERROR("#Main_Tariff!A"&amp;MATCH(Raeburn_Main_Tariff[[#This Row],[Product Code]],Main_Tariff!I:I,0),"#Main_Tariff!A"&amp;MATCH("*"&amp;RIGHT(A4767,8)&amp;"*",Main_Tariff!A:A,0)),Raeburn_Main_Tariff[[#This Row],[PRODUCER]])</f>
        <v>Pichler-Krutzler</v>
      </c>
      <c r="C4767" s="1178" t="s">
        <v>22426</v>
      </c>
      <c r="D4767" s="1178" t="s">
        <v>1129</v>
      </c>
      <c r="E4767" s="1179">
        <v>2017</v>
      </c>
      <c r="F4767" s="1282" t="s">
        <v>20220</v>
      </c>
      <c r="G4767" s="1368">
        <v>40</v>
      </c>
      <c r="H4767" s="1178" t="s">
        <v>20221</v>
      </c>
      <c r="I4767" s="1178" t="s">
        <v>15048</v>
      </c>
      <c r="J4767" s="1178" t="s">
        <v>22404</v>
      </c>
      <c r="K4767" s="1178" t="s">
        <v>546</v>
      </c>
      <c r="L4767" s="1178"/>
      <c r="M4767" s="1369"/>
      <c r="N4767" s="1178"/>
      <c r="O4767" s="1178">
        <v>6</v>
      </c>
      <c r="P4767" s="1178">
        <v>13.5</v>
      </c>
    </row>
    <row r="4768" spans="1:16">
      <c r="A4768" s="1178" t="s">
        <v>547</v>
      </c>
      <c r="B4768" s="1371" t="str">
        <f>HYPERLINK(IFERROR("#Main_Tariff!A"&amp;MATCH(Raeburn_Main_Tariff[[#This Row],[Product Code]],Main_Tariff!I:I,0),"#Main_Tariff!A"&amp;MATCH("*"&amp;RIGHT(A4768,8)&amp;"*",Main_Tariff!A:A,0)),Raeburn_Main_Tariff[[#This Row],[PRODUCER]])</f>
        <v>Pichler-Krutzler</v>
      </c>
      <c r="C4768" s="1178" t="s">
        <v>22426</v>
      </c>
      <c r="D4768" s="1178" t="s">
        <v>1129</v>
      </c>
      <c r="E4768" s="1179">
        <v>2016</v>
      </c>
      <c r="F4768" s="1282" t="s">
        <v>20220</v>
      </c>
      <c r="G4768" s="1368">
        <v>40</v>
      </c>
      <c r="H4768" s="1178" t="s">
        <v>20221</v>
      </c>
      <c r="I4768" s="1178" t="s">
        <v>15049</v>
      </c>
      <c r="J4768" s="1178" t="s">
        <v>22404</v>
      </c>
      <c r="K4768" s="1178" t="s">
        <v>546</v>
      </c>
      <c r="L4768" s="1178"/>
      <c r="M4768" s="1369"/>
      <c r="N4768" s="1178"/>
      <c r="O4768" s="1178">
        <v>6</v>
      </c>
      <c r="P4768" s="1178">
        <v>13</v>
      </c>
    </row>
    <row r="4769" spans="1:16">
      <c r="A4769" s="1178" t="s">
        <v>547</v>
      </c>
      <c r="B4769" s="1371" t="str">
        <f>HYPERLINK(IFERROR("#Main_Tariff!A"&amp;MATCH(Raeburn_Main_Tariff[[#This Row],[Product Code]],Main_Tariff!I:I,0),"#Main_Tariff!A"&amp;MATCH("*"&amp;RIGHT(A4769,8)&amp;"*",Main_Tariff!A:A,0)),Raeburn_Main_Tariff[[#This Row],[PRODUCER]])</f>
        <v>Pichler-Krutzler</v>
      </c>
      <c r="C4769" s="1178" t="s">
        <v>22427</v>
      </c>
      <c r="D4769" s="1178" t="s">
        <v>1129</v>
      </c>
      <c r="E4769" s="1179">
        <v>2016</v>
      </c>
      <c r="F4769" s="1282" t="s">
        <v>20220</v>
      </c>
      <c r="G4769" s="1368">
        <v>36</v>
      </c>
      <c r="H4769" s="1178" t="s">
        <v>20221</v>
      </c>
      <c r="I4769" s="1178" t="s">
        <v>15051</v>
      </c>
      <c r="J4769" s="1178" t="s">
        <v>22404</v>
      </c>
      <c r="K4769" s="1178" t="s">
        <v>546</v>
      </c>
      <c r="L4769" s="1178"/>
      <c r="M4769" s="1369"/>
      <c r="N4769" s="1178"/>
      <c r="O4769" s="1178">
        <v>6</v>
      </c>
      <c r="P4769" s="1178">
        <v>12</v>
      </c>
    </row>
    <row r="4770" spans="1:16">
      <c r="A4770" s="1178" t="s">
        <v>547</v>
      </c>
      <c r="B4770" s="1371" t="str">
        <f>HYPERLINK(IFERROR("#Main_Tariff!A"&amp;MATCH(Raeburn_Main_Tariff[[#This Row],[Product Code]],Main_Tariff!I:I,0),"#Main_Tariff!A"&amp;MATCH("*"&amp;RIGHT(A4770,8)&amp;"*",Main_Tariff!A:A,0)),Raeburn_Main_Tariff[[#This Row],[PRODUCER]])</f>
        <v>Pichler-Krutzler</v>
      </c>
      <c r="C4770" s="1178" t="s">
        <v>22427</v>
      </c>
      <c r="D4770" s="1178" t="s">
        <v>1129</v>
      </c>
      <c r="E4770" s="1179">
        <v>2015</v>
      </c>
      <c r="F4770" s="1282" t="s">
        <v>20220</v>
      </c>
      <c r="G4770" s="1368">
        <v>35</v>
      </c>
      <c r="H4770" s="1178" t="s">
        <v>20221</v>
      </c>
      <c r="I4770" s="1178" t="s">
        <v>15052</v>
      </c>
      <c r="J4770" s="1178" t="s">
        <v>22404</v>
      </c>
      <c r="K4770" s="1178" t="s">
        <v>546</v>
      </c>
      <c r="L4770" s="1178"/>
      <c r="M4770" s="1369"/>
      <c r="N4770" s="1178"/>
      <c r="O4770" s="1178">
        <v>6</v>
      </c>
      <c r="P4770" s="1178">
        <v>13</v>
      </c>
    </row>
    <row r="4771" spans="1:16">
      <c r="A4771" s="1178" t="s">
        <v>547</v>
      </c>
      <c r="B4771" s="1371" t="str">
        <f>HYPERLINK(IFERROR("#Main_Tariff!A"&amp;MATCH(Raeburn_Main_Tariff[[#This Row],[Product Code]],Main_Tariff!I:I,0),"#Main_Tariff!A"&amp;MATCH("*"&amp;RIGHT(A4771,8)&amp;"*",Main_Tariff!A:A,0)),Raeburn_Main_Tariff[[#This Row],[PRODUCER]])</f>
        <v>Pichler-Krutzler</v>
      </c>
      <c r="C4771" s="1178" t="s">
        <v>22428</v>
      </c>
      <c r="D4771" s="1178" t="s">
        <v>1129</v>
      </c>
      <c r="E4771" s="1179">
        <v>2016</v>
      </c>
      <c r="F4771" s="1282" t="s">
        <v>20240</v>
      </c>
      <c r="G4771" s="1368">
        <v>62</v>
      </c>
      <c r="H4771" s="1178" t="s">
        <v>20224</v>
      </c>
      <c r="I4771" s="1178" t="s">
        <v>15054</v>
      </c>
      <c r="J4771" s="1178" t="s">
        <v>22404</v>
      </c>
      <c r="K4771" s="1178" t="s">
        <v>546</v>
      </c>
      <c r="L4771" s="1178"/>
      <c r="M4771" s="1369"/>
      <c r="N4771" s="1178"/>
      <c r="O4771" s="1178">
        <v>3</v>
      </c>
      <c r="P4771" s="1178">
        <v>13</v>
      </c>
    </row>
    <row r="4772" spans="1:16">
      <c r="A4772" s="1178" t="s">
        <v>547</v>
      </c>
      <c r="B4772" s="1371" t="str">
        <f>HYPERLINK(IFERROR("#Main_Tariff!A"&amp;MATCH(Raeburn_Main_Tariff[[#This Row],[Product Code]],Main_Tariff!I:I,0),"#Main_Tariff!A"&amp;MATCH("*"&amp;RIGHT(A4772,8)&amp;"*",Main_Tariff!A:A,0)),Raeburn_Main_Tariff[[#This Row],[PRODUCER]])</f>
        <v>Pichler-Krutzler</v>
      </c>
      <c r="C4772" s="1178" t="s">
        <v>22428</v>
      </c>
      <c r="D4772" s="1178" t="s">
        <v>1129</v>
      </c>
      <c r="E4772" s="1179">
        <v>2014</v>
      </c>
      <c r="F4772" s="1282" t="s">
        <v>20240</v>
      </c>
      <c r="G4772" s="1368">
        <v>58.5</v>
      </c>
      <c r="H4772" s="1178" t="s">
        <v>20277</v>
      </c>
      <c r="I4772" s="1178" t="s">
        <v>15055</v>
      </c>
      <c r="J4772" s="1178" t="s">
        <v>22404</v>
      </c>
      <c r="K4772" s="1178" t="s">
        <v>546</v>
      </c>
      <c r="L4772" s="1178"/>
      <c r="M4772" s="1369"/>
      <c r="N4772" s="1178"/>
      <c r="O4772" s="1178">
        <v>3</v>
      </c>
      <c r="P4772" s="1178">
        <v>12.5</v>
      </c>
    </row>
    <row r="4773" spans="1:16">
      <c r="A4773" s="1178" t="s">
        <v>547</v>
      </c>
      <c r="B4773" s="1371" t="str">
        <f>HYPERLINK(IFERROR("#Main_Tariff!A"&amp;MATCH(Raeburn_Main_Tariff[[#This Row],[Product Code]],Main_Tariff!I:I,0),"#Main_Tariff!A"&amp;MATCH("*"&amp;RIGHT(A4773,8)&amp;"*",Main_Tariff!A:A,0)),Raeburn_Main_Tariff[[#This Row],[PRODUCER]])</f>
        <v>Pichler-Krutzler</v>
      </c>
      <c r="C4773" s="1178" t="s">
        <v>22429</v>
      </c>
      <c r="D4773" s="1178" t="s">
        <v>1129</v>
      </c>
      <c r="E4773" s="1179">
        <v>2020</v>
      </c>
      <c r="F4773" s="1282" t="s">
        <v>20240</v>
      </c>
      <c r="G4773" s="1368">
        <v>82</v>
      </c>
      <c r="H4773" s="1178" t="s">
        <v>20224</v>
      </c>
      <c r="I4773" s="1178" t="s">
        <v>15056</v>
      </c>
      <c r="J4773" s="1178" t="s">
        <v>22404</v>
      </c>
      <c r="K4773" s="1178" t="s">
        <v>546</v>
      </c>
      <c r="L4773" s="1178"/>
      <c r="M4773" s="1369"/>
      <c r="N4773" s="1178"/>
      <c r="O4773" s="1178">
        <v>3</v>
      </c>
      <c r="P4773" s="1178">
        <v>13.5</v>
      </c>
    </row>
    <row r="4774" spans="1:16">
      <c r="A4774" s="1178" t="s">
        <v>547</v>
      </c>
      <c r="B4774" s="1371" t="str">
        <f>HYPERLINK(IFERROR("#Main_Tariff!A"&amp;MATCH(Raeburn_Main_Tariff[[#This Row],[Product Code]],Main_Tariff!I:I,0),"#Main_Tariff!A"&amp;MATCH("*"&amp;RIGHT(A4774,8)&amp;"*",Main_Tariff!A:A,0)),Raeburn_Main_Tariff[[#This Row],[PRODUCER]])</f>
        <v>Pichler-Krutzler</v>
      </c>
      <c r="C4774" s="1178" t="s">
        <v>22430</v>
      </c>
      <c r="D4774" s="1178" t="s">
        <v>1129</v>
      </c>
      <c r="E4774" s="1179">
        <v>2012</v>
      </c>
      <c r="F4774" s="1282" t="s">
        <v>20240</v>
      </c>
      <c r="G4774" s="1368">
        <v>77</v>
      </c>
      <c r="H4774" s="1178" t="s">
        <v>20224</v>
      </c>
      <c r="I4774" s="1178" t="s">
        <v>15057</v>
      </c>
      <c r="J4774" s="1178" t="s">
        <v>22404</v>
      </c>
      <c r="K4774" s="1178" t="s">
        <v>546</v>
      </c>
      <c r="L4774" s="1178"/>
      <c r="M4774" s="1369"/>
      <c r="N4774" s="1178"/>
      <c r="O4774" s="1178">
        <v>3</v>
      </c>
      <c r="P4774" s="1178">
        <v>13</v>
      </c>
    </row>
    <row r="4775" spans="1:16">
      <c r="A4775" s="1178" t="s">
        <v>547</v>
      </c>
      <c r="B4775" s="1371" t="str">
        <f>HYPERLINK(IFERROR("#Main_Tariff!A"&amp;MATCH(Raeburn_Main_Tariff[[#This Row],[Product Code]],Main_Tariff!I:I,0),"#Main_Tariff!A"&amp;MATCH("*"&amp;RIGHT(A4775,8)&amp;"*",Main_Tariff!A:A,0)),Raeburn_Main_Tariff[[#This Row],[PRODUCER]])</f>
        <v>Pichler-Krutzler</v>
      </c>
      <c r="C4775" s="1178" t="s">
        <v>22431</v>
      </c>
      <c r="D4775" s="1178" t="s">
        <v>1129</v>
      </c>
      <c r="E4775" s="1179">
        <v>2017</v>
      </c>
      <c r="F4775" s="1282" t="s">
        <v>20240</v>
      </c>
      <c r="G4775" s="1368">
        <v>81</v>
      </c>
      <c r="H4775" s="1178" t="s">
        <v>20224</v>
      </c>
      <c r="I4775" s="1178" t="s">
        <v>15058</v>
      </c>
      <c r="J4775" s="1178" t="s">
        <v>22404</v>
      </c>
      <c r="K4775" s="1178" t="s">
        <v>546</v>
      </c>
      <c r="L4775" s="1178"/>
      <c r="M4775" s="1369"/>
      <c r="N4775" s="1178"/>
      <c r="O4775" s="1178">
        <v>3</v>
      </c>
      <c r="P4775" s="1178">
        <v>13.5</v>
      </c>
    </row>
    <row r="4776" spans="1:16">
      <c r="A4776" s="1178" t="s">
        <v>547</v>
      </c>
      <c r="B4776" s="1371" t="str">
        <f>HYPERLINK(IFERROR("#Main_Tariff!A"&amp;MATCH(Raeburn_Main_Tariff[[#This Row],[Product Code]],Main_Tariff!I:I,0),"#Main_Tariff!A"&amp;MATCH("*"&amp;RIGHT(A4776,8)&amp;"*",Main_Tariff!A:A,0)),Raeburn_Main_Tariff[[#This Row],[PRODUCER]])</f>
        <v>Pichler-Krutzler</v>
      </c>
      <c r="C4776" s="1178" t="s">
        <v>22431</v>
      </c>
      <c r="D4776" s="1178" t="s">
        <v>1129</v>
      </c>
      <c r="E4776" s="1179">
        <v>2016</v>
      </c>
      <c r="F4776" s="1282" t="s">
        <v>20240</v>
      </c>
      <c r="G4776" s="1368">
        <v>81</v>
      </c>
      <c r="H4776" s="1178" t="s">
        <v>20224</v>
      </c>
      <c r="I4776" s="1178" t="s">
        <v>15059</v>
      </c>
      <c r="J4776" s="1178" t="s">
        <v>22404</v>
      </c>
      <c r="K4776" s="1178" t="s">
        <v>546</v>
      </c>
      <c r="L4776" s="1178"/>
      <c r="M4776" s="1369"/>
      <c r="N4776" s="1178"/>
      <c r="O4776" s="1178">
        <v>3</v>
      </c>
      <c r="P4776" s="1178">
        <v>13</v>
      </c>
    </row>
    <row r="4777" spans="1:16">
      <c r="A4777" s="1178" t="s">
        <v>547</v>
      </c>
      <c r="B4777" s="1371" t="str">
        <f>HYPERLINK(IFERROR("#Main_Tariff!A"&amp;MATCH(Raeburn_Main_Tariff[[#This Row],[Product Code]],Main_Tariff!I:I,0),"#Main_Tariff!A"&amp;MATCH("*"&amp;RIGHT(A4777,8)&amp;"*",Main_Tariff!A:A,0)),Raeburn_Main_Tariff[[#This Row],[PRODUCER]])</f>
        <v>Pichler-Krutzler</v>
      </c>
      <c r="C4777" s="1178" t="s">
        <v>22431</v>
      </c>
      <c r="D4777" s="1178" t="s">
        <v>1129</v>
      </c>
      <c r="E4777" s="1179">
        <v>2013</v>
      </c>
      <c r="F4777" s="1282" t="s">
        <v>20240</v>
      </c>
      <c r="G4777" s="1368">
        <v>71</v>
      </c>
      <c r="H4777" s="1178" t="s">
        <v>20224</v>
      </c>
      <c r="I4777" s="1178" t="s">
        <v>15060</v>
      </c>
      <c r="J4777" s="1178" t="s">
        <v>22404</v>
      </c>
      <c r="K4777" s="1178" t="s">
        <v>546</v>
      </c>
      <c r="L4777" s="1178"/>
      <c r="M4777" s="1369"/>
      <c r="N4777" s="1178"/>
      <c r="O4777" s="1178">
        <v>3</v>
      </c>
      <c r="P4777" s="1178">
        <v>15</v>
      </c>
    </row>
    <row r="4778" spans="1:16">
      <c r="A4778" s="1178" t="s">
        <v>547</v>
      </c>
      <c r="B4778" s="1371" t="str">
        <f>HYPERLINK(IFERROR("#Main_Tariff!A"&amp;MATCH(Raeburn_Main_Tariff[[#This Row],[Product Code]],Main_Tariff!I:I,0),"#Main_Tariff!A"&amp;MATCH("*"&amp;RIGHT(A4778,8)&amp;"*",Main_Tariff!A:A,0)),Raeburn_Main_Tariff[[#This Row],[PRODUCER]])</f>
        <v>Pichler-Krutzler</v>
      </c>
      <c r="C4778" s="1178" t="s">
        <v>22432</v>
      </c>
      <c r="D4778" s="1178" t="s">
        <v>1129</v>
      </c>
      <c r="E4778" s="1179">
        <v>2016</v>
      </c>
      <c r="F4778" s="1282" t="s">
        <v>20240</v>
      </c>
      <c r="G4778" s="1368">
        <v>71</v>
      </c>
      <c r="H4778" s="1178" t="s">
        <v>20224</v>
      </c>
      <c r="I4778" s="1178" t="s">
        <v>15061</v>
      </c>
      <c r="J4778" s="1178" t="s">
        <v>22404</v>
      </c>
      <c r="K4778" s="1178" t="s">
        <v>546</v>
      </c>
      <c r="L4778" s="1178"/>
      <c r="M4778" s="1369"/>
      <c r="N4778" s="1178"/>
      <c r="O4778" s="1178">
        <v>3</v>
      </c>
      <c r="P4778" s="1178">
        <v>12</v>
      </c>
    </row>
    <row r="4779" spans="1:16">
      <c r="A4779" s="1178" t="s">
        <v>547</v>
      </c>
      <c r="B4779" s="1371" t="str">
        <f>HYPERLINK(IFERROR("#Main_Tariff!A"&amp;MATCH(Raeburn_Main_Tariff[[#This Row],[Product Code]],Main_Tariff!I:I,0),"#Main_Tariff!A"&amp;MATCH("*"&amp;RIGHT(A4779,8)&amp;"*",Main_Tariff!A:A,0)),Raeburn_Main_Tariff[[#This Row],[PRODUCER]])</f>
        <v>Pichler-Krutzler</v>
      </c>
      <c r="C4779" s="1178" t="s">
        <v>22432</v>
      </c>
      <c r="D4779" s="1178" t="s">
        <v>1129</v>
      </c>
      <c r="E4779" s="1179">
        <v>2015</v>
      </c>
      <c r="F4779" s="1282" t="s">
        <v>20240</v>
      </c>
      <c r="G4779" s="1368">
        <v>71</v>
      </c>
      <c r="H4779" s="1178" t="s">
        <v>20224</v>
      </c>
      <c r="I4779" s="1178" t="s">
        <v>15062</v>
      </c>
      <c r="J4779" s="1178" t="s">
        <v>22404</v>
      </c>
      <c r="K4779" s="1178" t="s">
        <v>546</v>
      </c>
      <c r="L4779" s="1178"/>
      <c r="M4779" s="1369"/>
      <c r="N4779" s="1178"/>
      <c r="O4779" s="1178">
        <v>3</v>
      </c>
      <c r="P4779" s="1178">
        <v>13</v>
      </c>
    </row>
    <row r="4780" spans="1:16">
      <c r="A4780" s="1178" t="s">
        <v>547</v>
      </c>
      <c r="B4780" s="1371" t="str">
        <f>HYPERLINK(IFERROR("#Main_Tariff!A"&amp;MATCH(Raeburn_Main_Tariff[[#This Row],[Product Code]],Main_Tariff!I:I,0),"#Main_Tariff!A"&amp;MATCH("*"&amp;RIGHT(A4780,8)&amp;"*",Main_Tariff!A:A,0)),Raeburn_Main_Tariff[[#This Row],[PRODUCER]])</f>
        <v>Pichler-Krutzler</v>
      </c>
      <c r="C4780" s="1178" t="s">
        <v>23374</v>
      </c>
      <c r="D4780" s="1178" t="s">
        <v>1410</v>
      </c>
      <c r="E4780" s="1179">
        <v>2013</v>
      </c>
      <c r="F4780" s="1282" t="s">
        <v>20280</v>
      </c>
      <c r="G4780" s="1368">
        <v>48</v>
      </c>
      <c r="H4780" s="1178" t="s">
        <v>20221</v>
      </c>
      <c r="I4780" s="1178" t="s">
        <v>15064</v>
      </c>
      <c r="J4780" s="1178" t="s">
        <v>22404</v>
      </c>
      <c r="K4780" s="1178" t="s">
        <v>546</v>
      </c>
      <c r="L4780" s="1178"/>
      <c r="M4780" s="1369"/>
      <c r="N4780" s="1178"/>
      <c r="O4780" s="1178">
        <v>6</v>
      </c>
      <c r="P4780" s="1178">
        <v>13</v>
      </c>
    </row>
    <row r="4781" spans="1:16">
      <c r="A4781" s="1178" t="s">
        <v>548</v>
      </c>
      <c r="B4781" s="1371" t="str">
        <f>HYPERLINK(IFERROR("#Main_Tariff!A"&amp;MATCH(Raeburn_Main_Tariff[[#This Row],[Product Code]],Main_Tariff!I:I,0),"#Main_Tariff!A"&amp;MATCH("*"&amp;RIGHT(A4781,8)&amp;"*",Main_Tariff!A:A,0)),Raeburn_Main_Tariff[[#This Row],[PRODUCER]])</f>
        <v>Emmerich Knoll</v>
      </c>
      <c r="C4781" s="1178" t="s">
        <v>22433</v>
      </c>
      <c r="D4781" s="1178" t="s">
        <v>1129</v>
      </c>
      <c r="E4781" s="1179">
        <v>2023</v>
      </c>
      <c r="F4781" s="1282" t="s">
        <v>20220</v>
      </c>
      <c r="G4781" s="1368">
        <v>27.25</v>
      </c>
      <c r="H4781" s="1178" t="s">
        <v>20221</v>
      </c>
      <c r="I4781" s="1178" t="s">
        <v>15070</v>
      </c>
      <c r="J4781" s="1178" t="s">
        <v>22404</v>
      </c>
      <c r="K4781" s="1178" t="s">
        <v>546</v>
      </c>
      <c r="L4781" s="1178"/>
      <c r="M4781" s="1369"/>
      <c r="N4781" s="1178"/>
      <c r="O4781" s="1178">
        <v>6</v>
      </c>
      <c r="P4781" s="1178">
        <v>12.5</v>
      </c>
    </row>
    <row r="4782" spans="1:16">
      <c r="A4782" s="1178" t="s">
        <v>548</v>
      </c>
      <c r="B4782" s="1371" t="str">
        <f>HYPERLINK(IFERROR("#Main_Tariff!A"&amp;MATCH(Raeburn_Main_Tariff[[#This Row],[Product Code]],Main_Tariff!I:I,0),"#Main_Tariff!A"&amp;MATCH("*"&amp;RIGHT(A4782,8)&amp;"*",Main_Tariff!A:A,0)),Raeburn_Main_Tariff[[#This Row],[PRODUCER]])</f>
        <v>Emmerich Knoll</v>
      </c>
      <c r="C4782" s="1178" t="s">
        <v>22433</v>
      </c>
      <c r="D4782" s="1178" t="s">
        <v>1129</v>
      </c>
      <c r="E4782" s="1179">
        <v>2022</v>
      </c>
      <c r="F4782" s="1282" t="s">
        <v>20220</v>
      </c>
      <c r="G4782" s="1368">
        <v>27.25</v>
      </c>
      <c r="H4782" s="1178" t="s">
        <v>20221</v>
      </c>
      <c r="I4782" s="1178" t="s">
        <v>15072</v>
      </c>
      <c r="J4782" s="1178" t="s">
        <v>22404</v>
      </c>
      <c r="K4782" s="1178" t="s">
        <v>546</v>
      </c>
      <c r="L4782" s="1178"/>
      <c r="M4782" s="1369"/>
      <c r="N4782" s="1178"/>
      <c r="O4782" s="1178">
        <v>6</v>
      </c>
      <c r="P4782" s="1178">
        <v>12.5</v>
      </c>
    </row>
    <row r="4783" spans="1:16">
      <c r="A4783" s="1178" t="s">
        <v>548</v>
      </c>
      <c r="B4783" s="1371" t="str">
        <f>HYPERLINK(IFERROR("#Main_Tariff!A"&amp;MATCH(Raeburn_Main_Tariff[[#This Row],[Product Code]],Main_Tariff!I:I,0),"#Main_Tariff!A"&amp;MATCH("*"&amp;RIGHT(A4783,8)&amp;"*",Main_Tariff!A:A,0)),Raeburn_Main_Tariff[[#This Row],[PRODUCER]])</f>
        <v>Emmerich Knoll</v>
      </c>
      <c r="C4783" s="1178" t="s">
        <v>22433</v>
      </c>
      <c r="D4783" s="1178" t="s">
        <v>1129</v>
      </c>
      <c r="E4783" s="1179">
        <v>2021</v>
      </c>
      <c r="F4783" s="1282" t="s">
        <v>20220</v>
      </c>
      <c r="G4783" s="1368">
        <v>26</v>
      </c>
      <c r="H4783" s="1178" t="s">
        <v>20221</v>
      </c>
      <c r="I4783" s="1178" t="s">
        <v>15074</v>
      </c>
      <c r="J4783" s="1178" t="s">
        <v>22404</v>
      </c>
      <c r="K4783" s="1178" t="s">
        <v>546</v>
      </c>
      <c r="L4783" s="1178"/>
      <c r="M4783" s="1369"/>
      <c r="N4783" s="1178"/>
      <c r="O4783" s="1178">
        <v>6</v>
      </c>
      <c r="P4783" s="1178">
        <v>12.5</v>
      </c>
    </row>
    <row r="4784" spans="1:16">
      <c r="A4784" s="1178" t="s">
        <v>548</v>
      </c>
      <c r="B4784" s="1371" t="str">
        <f>HYPERLINK(IFERROR("#Main_Tariff!A"&amp;MATCH(Raeburn_Main_Tariff[[#This Row],[Product Code]],Main_Tariff!I:I,0),"#Main_Tariff!A"&amp;MATCH("*"&amp;RIGHT(A4784,8)&amp;"*",Main_Tariff!A:A,0)),Raeburn_Main_Tariff[[#This Row],[PRODUCER]])</f>
        <v>Emmerich Knoll</v>
      </c>
      <c r="C4784" s="1178" t="s">
        <v>22433</v>
      </c>
      <c r="D4784" s="1178" t="s">
        <v>1129</v>
      </c>
      <c r="E4784" s="1179">
        <v>2020</v>
      </c>
      <c r="F4784" s="1282" t="s">
        <v>20220</v>
      </c>
      <c r="G4784" s="1368">
        <v>26</v>
      </c>
      <c r="H4784" s="1178" t="s">
        <v>20277</v>
      </c>
      <c r="I4784" s="1178" t="s">
        <v>15075</v>
      </c>
      <c r="J4784" s="1178" t="s">
        <v>22404</v>
      </c>
      <c r="K4784" s="1178" t="s">
        <v>546</v>
      </c>
      <c r="L4784" s="1178"/>
      <c r="M4784" s="1369"/>
      <c r="N4784" s="1178"/>
      <c r="O4784" s="1178">
        <v>6</v>
      </c>
      <c r="P4784" s="1178">
        <v>12</v>
      </c>
    </row>
    <row r="4785" spans="1:16">
      <c r="A4785" s="1178" t="s">
        <v>548</v>
      </c>
      <c r="B4785" s="1371" t="str">
        <f>HYPERLINK(IFERROR("#Main_Tariff!A"&amp;MATCH(Raeburn_Main_Tariff[[#This Row],[Product Code]],Main_Tariff!I:I,0),"#Main_Tariff!A"&amp;MATCH("*"&amp;RIGHT(A4785,8)&amp;"*",Main_Tariff!A:A,0)),Raeburn_Main_Tariff[[#This Row],[PRODUCER]])</f>
        <v>Emmerich Knoll</v>
      </c>
      <c r="C4785" s="1178" t="s">
        <v>22434</v>
      </c>
      <c r="D4785" s="1178" t="s">
        <v>1129</v>
      </c>
      <c r="E4785" s="1179">
        <v>2023</v>
      </c>
      <c r="F4785" s="1282" t="s">
        <v>20220</v>
      </c>
      <c r="G4785" s="1368">
        <v>39</v>
      </c>
      <c r="H4785" s="1178" t="s">
        <v>20221</v>
      </c>
      <c r="I4785" s="1178" t="s">
        <v>15079</v>
      </c>
      <c r="J4785" s="1178" t="s">
        <v>22404</v>
      </c>
      <c r="K4785" s="1178" t="s">
        <v>546</v>
      </c>
      <c r="L4785" s="1178"/>
      <c r="M4785" s="1369"/>
      <c r="N4785" s="1178"/>
      <c r="O4785" s="1178">
        <v>6</v>
      </c>
      <c r="P4785" s="1178">
        <v>13</v>
      </c>
    </row>
    <row r="4786" spans="1:16">
      <c r="A4786" s="1178" t="s">
        <v>548</v>
      </c>
      <c r="B4786" s="1371" t="str">
        <f>HYPERLINK(IFERROR("#Main_Tariff!A"&amp;MATCH(Raeburn_Main_Tariff[[#This Row],[Product Code]],Main_Tariff!I:I,0),"#Main_Tariff!A"&amp;MATCH("*"&amp;RIGHT(A4786,8)&amp;"*",Main_Tariff!A:A,0)),Raeburn_Main_Tariff[[#This Row],[PRODUCER]])</f>
        <v>Emmerich Knoll</v>
      </c>
      <c r="C4786" s="1178" t="s">
        <v>22434</v>
      </c>
      <c r="D4786" s="1178" t="s">
        <v>1129</v>
      </c>
      <c r="E4786" s="1179">
        <v>2022</v>
      </c>
      <c r="F4786" s="1282" t="s">
        <v>20220</v>
      </c>
      <c r="G4786" s="1368">
        <v>39</v>
      </c>
      <c r="H4786" s="1178" t="s">
        <v>20221</v>
      </c>
      <c r="I4786" s="1178" t="s">
        <v>15081</v>
      </c>
      <c r="J4786" s="1178" t="s">
        <v>22404</v>
      </c>
      <c r="K4786" s="1178" t="s">
        <v>546</v>
      </c>
      <c r="L4786" s="1178"/>
      <c r="M4786" s="1369"/>
      <c r="N4786" s="1178"/>
      <c r="O4786" s="1178">
        <v>6</v>
      </c>
      <c r="P4786" s="1178">
        <v>13</v>
      </c>
    </row>
    <row r="4787" spans="1:16">
      <c r="A4787" s="1178" t="s">
        <v>548</v>
      </c>
      <c r="B4787" s="1371" t="str">
        <f>HYPERLINK(IFERROR("#Main_Tariff!A"&amp;MATCH(Raeburn_Main_Tariff[[#This Row],[Product Code]],Main_Tariff!I:I,0),"#Main_Tariff!A"&amp;MATCH("*"&amp;RIGHT(A4787,8)&amp;"*",Main_Tariff!A:A,0)),Raeburn_Main_Tariff[[#This Row],[PRODUCER]])</f>
        <v>Emmerich Knoll</v>
      </c>
      <c r="C4787" s="1178" t="s">
        <v>22435</v>
      </c>
      <c r="D4787" s="1178" t="s">
        <v>1129</v>
      </c>
      <c r="E4787" s="1179">
        <v>2018</v>
      </c>
      <c r="F4787" s="1282" t="s">
        <v>20220</v>
      </c>
      <c r="G4787" s="1368">
        <v>37</v>
      </c>
      <c r="H4787" s="1178" t="s">
        <v>20224</v>
      </c>
      <c r="I4787" s="1178" t="s">
        <v>15085</v>
      </c>
      <c r="J4787" s="1178" t="s">
        <v>22404</v>
      </c>
      <c r="K4787" s="1178" t="s">
        <v>546</v>
      </c>
      <c r="L4787" s="1178"/>
      <c r="M4787" s="1369"/>
      <c r="N4787" s="1178"/>
      <c r="O4787" s="1178">
        <v>6</v>
      </c>
      <c r="P4787" s="1178">
        <v>13.5</v>
      </c>
    </row>
    <row r="4788" spans="1:16">
      <c r="A4788" s="1178" t="s">
        <v>548</v>
      </c>
      <c r="B4788" s="1371" t="str">
        <f>HYPERLINK(IFERROR("#Main_Tariff!A"&amp;MATCH(Raeburn_Main_Tariff[[#This Row],[Product Code]],Main_Tariff!I:I,0),"#Main_Tariff!A"&amp;MATCH("*"&amp;RIGHT(A4788,8)&amp;"*",Main_Tariff!A:A,0)),Raeburn_Main_Tariff[[#This Row],[PRODUCER]])</f>
        <v>Emmerich Knoll</v>
      </c>
      <c r="C4788" s="1178" t="s">
        <v>22436</v>
      </c>
      <c r="D4788" s="1178" t="s">
        <v>1129</v>
      </c>
      <c r="E4788" s="1179">
        <v>2023</v>
      </c>
      <c r="F4788" s="1282" t="s">
        <v>20220</v>
      </c>
      <c r="G4788" s="1368">
        <v>50</v>
      </c>
      <c r="H4788" s="1178" t="s">
        <v>20221</v>
      </c>
      <c r="I4788" s="1178" t="s">
        <v>15087</v>
      </c>
      <c r="J4788" s="1178" t="s">
        <v>22404</v>
      </c>
      <c r="K4788" s="1178" t="s">
        <v>546</v>
      </c>
      <c r="L4788" s="1178"/>
      <c r="M4788" s="1369"/>
      <c r="N4788" s="1178"/>
      <c r="O4788" s="1178">
        <v>6</v>
      </c>
      <c r="P4788" s="1178">
        <v>13.5</v>
      </c>
    </row>
    <row r="4789" spans="1:16">
      <c r="A4789" s="1178" t="s">
        <v>548</v>
      </c>
      <c r="B4789" s="1371" t="str">
        <f>HYPERLINK(IFERROR("#Main_Tariff!A"&amp;MATCH(Raeburn_Main_Tariff[[#This Row],[Product Code]],Main_Tariff!I:I,0),"#Main_Tariff!A"&amp;MATCH("*"&amp;RIGHT(A4789,8)&amp;"*",Main_Tariff!A:A,0)),Raeburn_Main_Tariff[[#This Row],[PRODUCER]])</f>
        <v>Emmerich Knoll</v>
      </c>
      <c r="C4789" s="1178" t="s">
        <v>22436</v>
      </c>
      <c r="D4789" s="1178" t="s">
        <v>1129</v>
      </c>
      <c r="E4789" s="1179">
        <v>2022</v>
      </c>
      <c r="F4789" s="1282" t="s">
        <v>20220</v>
      </c>
      <c r="G4789" s="1368">
        <v>49</v>
      </c>
      <c r="H4789" s="1178" t="s">
        <v>20221</v>
      </c>
      <c r="I4789" s="1178" t="s">
        <v>15089</v>
      </c>
      <c r="J4789" s="1178" t="s">
        <v>22404</v>
      </c>
      <c r="K4789" s="1178" t="s">
        <v>546</v>
      </c>
      <c r="L4789" s="1178"/>
      <c r="M4789" s="1369"/>
      <c r="N4789" s="1178"/>
      <c r="O4789" s="1178">
        <v>6</v>
      </c>
      <c r="P4789" s="1178">
        <v>13</v>
      </c>
    </row>
    <row r="4790" spans="1:16">
      <c r="A4790" s="1178" t="s">
        <v>548</v>
      </c>
      <c r="B4790" s="1371" t="str">
        <f>HYPERLINK(IFERROR("#Main_Tariff!A"&amp;MATCH(Raeburn_Main_Tariff[[#This Row],[Product Code]],Main_Tariff!I:I,0),"#Main_Tariff!A"&amp;MATCH("*"&amp;RIGHT(A4790,8)&amp;"*",Main_Tariff!A:A,0)),Raeburn_Main_Tariff[[#This Row],[PRODUCER]])</f>
        <v>Emmerich Knoll</v>
      </c>
      <c r="C4790" s="1178" t="s">
        <v>22437</v>
      </c>
      <c r="D4790" s="1178" t="s">
        <v>1410</v>
      </c>
      <c r="E4790" s="1179">
        <v>2014</v>
      </c>
      <c r="F4790" s="1282" t="s">
        <v>20313</v>
      </c>
      <c r="G4790" s="1368">
        <v>25</v>
      </c>
      <c r="H4790" s="1178" t="s">
        <v>20221</v>
      </c>
      <c r="I4790" s="1178" t="s">
        <v>15093</v>
      </c>
      <c r="J4790" s="1178" t="s">
        <v>22404</v>
      </c>
      <c r="K4790" s="1178" t="s">
        <v>546</v>
      </c>
      <c r="L4790" s="1178"/>
      <c r="M4790" s="1369"/>
      <c r="N4790" s="1178"/>
      <c r="O4790" s="1178">
        <v>12</v>
      </c>
      <c r="P4790" s="1178">
        <v>12.5</v>
      </c>
    </row>
    <row r="4791" spans="1:16">
      <c r="A4791" s="1178" t="s">
        <v>548</v>
      </c>
      <c r="B4791" s="1371" t="str">
        <f>HYPERLINK(IFERROR("#Main_Tariff!A"&amp;MATCH(Raeburn_Main_Tariff[[#This Row],[Product Code]],Main_Tariff!I:I,0),"#Main_Tariff!A"&amp;MATCH("*"&amp;RIGHT(A4791,8)&amp;"*",Main_Tariff!A:A,0)),Raeburn_Main_Tariff[[#This Row],[PRODUCER]])</f>
        <v>Emmerich Knoll</v>
      </c>
      <c r="C4791" s="1178" t="s">
        <v>22438</v>
      </c>
      <c r="D4791" s="1178" t="s">
        <v>1410</v>
      </c>
      <c r="E4791" s="1179">
        <v>2013</v>
      </c>
      <c r="F4791" s="1282" t="s">
        <v>20313</v>
      </c>
      <c r="G4791" s="1368">
        <v>24</v>
      </c>
      <c r="H4791" s="1178" t="s">
        <v>20224</v>
      </c>
      <c r="I4791" s="1178" t="s">
        <v>15095</v>
      </c>
      <c r="J4791" s="1178" t="s">
        <v>22404</v>
      </c>
      <c r="K4791" s="1178" t="s">
        <v>546</v>
      </c>
      <c r="L4791" s="1178"/>
      <c r="M4791" s="1369"/>
      <c r="N4791" s="1178"/>
      <c r="O4791" s="1178">
        <v>6</v>
      </c>
      <c r="P4791" s="1178">
        <v>13</v>
      </c>
    </row>
    <row r="4792" spans="1:16">
      <c r="A4792" s="1178" t="s">
        <v>549</v>
      </c>
      <c r="B4792" s="1371" t="str">
        <f>HYPERLINK(IFERROR("#Main_Tariff!A"&amp;MATCH(Raeburn_Main_Tariff[[#This Row],[Product Code]],Main_Tariff!I:I,0),"#Main_Tariff!A"&amp;MATCH("*"&amp;RIGHT(A4792,8)&amp;"*",Main_Tariff!A:A,0)),Raeburn_Main_Tariff[[#This Row],[PRODUCER]])</f>
        <v>Nikolaihof</v>
      </c>
      <c r="C4792" s="1178" t="s">
        <v>22439</v>
      </c>
      <c r="D4792" s="1178" t="s">
        <v>1129</v>
      </c>
      <c r="E4792" s="1179">
        <v>2000</v>
      </c>
      <c r="F4792" s="1282" t="s">
        <v>20220</v>
      </c>
      <c r="G4792" s="1368">
        <v>155.5</v>
      </c>
      <c r="H4792" s="1178" t="s">
        <v>20224</v>
      </c>
      <c r="I4792" s="1178" t="s">
        <v>15104</v>
      </c>
      <c r="J4792" s="1178" t="s">
        <v>22404</v>
      </c>
      <c r="K4792" s="1178" t="s">
        <v>546</v>
      </c>
      <c r="L4792" s="1178"/>
      <c r="M4792" s="1369"/>
      <c r="N4792" s="1178"/>
      <c r="O4792" s="1178">
        <v>6</v>
      </c>
      <c r="P4792" s="1178">
        <v>12.5</v>
      </c>
    </row>
    <row r="4793" spans="1:16">
      <c r="A4793" s="1178" t="s">
        <v>550</v>
      </c>
      <c r="B4793" s="1371" t="str">
        <f>HYPERLINK(IFERROR("#Main_Tariff!A"&amp;MATCH(Raeburn_Main_Tariff[[#This Row],[Product Code]],Main_Tariff!I:I,0),"#Main_Tariff!A"&amp;MATCH("*"&amp;RIGHT(A4793,8)&amp;"*",Main_Tariff!A:A,0)),Raeburn_Main_Tariff[[#This Row],[PRODUCER]])</f>
        <v>F.X. Pichler</v>
      </c>
      <c r="C4793" s="1178" t="s">
        <v>22440</v>
      </c>
      <c r="D4793" s="1178" t="s">
        <v>1129</v>
      </c>
      <c r="E4793" s="1179">
        <v>2023</v>
      </c>
      <c r="F4793" s="1282" t="s">
        <v>20220</v>
      </c>
      <c r="G4793" s="1368">
        <v>36.75</v>
      </c>
      <c r="H4793" s="1178" t="s">
        <v>20221</v>
      </c>
      <c r="I4793" s="1178" t="s">
        <v>15139</v>
      </c>
      <c r="J4793" s="1178" t="s">
        <v>22404</v>
      </c>
      <c r="K4793" s="1178" t="s">
        <v>546</v>
      </c>
      <c r="L4793" s="1178"/>
      <c r="M4793" s="1369"/>
      <c r="N4793" s="1178"/>
      <c r="O4793" s="1178">
        <v>6</v>
      </c>
      <c r="P4793" s="1178">
        <v>13</v>
      </c>
    </row>
    <row r="4794" spans="1:16">
      <c r="A4794" s="1178" t="s">
        <v>550</v>
      </c>
      <c r="B4794" s="1371" t="str">
        <f>HYPERLINK(IFERROR("#Main_Tariff!A"&amp;MATCH(Raeburn_Main_Tariff[[#This Row],[Product Code]],Main_Tariff!I:I,0),"#Main_Tariff!A"&amp;MATCH("*"&amp;RIGHT(A4794,8)&amp;"*",Main_Tariff!A:A,0)),Raeburn_Main_Tariff[[#This Row],[PRODUCER]])</f>
        <v>F.X. Pichler</v>
      </c>
      <c r="C4794" s="1178" t="s">
        <v>22441</v>
      </c>
      <c r="D4794" s="1178" t="s">
        <v>1129</v>
      </c>
      <c r="E4794" s="1179">
        <v>2022</v>
      </c>
      <c r="F4794" s="1282" t="s">
        <v>20280</v>
      </c>
      <c r="G4794" s="1368">
        <v>14.75</v>
      </c>
      <c r="H4794" s="1178" t="s">
        <v>20221</v>
      </c>
      <c r="I4794" s="1178" t="s">
        <v>15143</v>
      </c>
      <c r="J4794" s="1178" t="s">
        <v>22404</v>
      </c>
      <c r="K4794" s="1178" t="s">
        <v>546</v>
      </c>
      <c r="L4794" s="1178"/>
      <c r="M4794" s="1369"/>
      <c r="N4794" s="1178"/>
      <c r="O4794" s="1178">
        <v>12</v>
      </c>
      <c r="P4794" s="1178">
        <v>13</v>
      </c>
    </row>
    <row r="4795" spans="1:16">
      <c r="A4795" s="1178" t="s">
        <v>550</v>
      </c>
      <c r="B4795" s="1371" t="str">
        <f>HYPERLINK(IFERROR("#Main_Tariff!A"&amp;MATCH(Raeburn_Main_Tariff[[#This Row],[Product Code]],Main_Tariff!I:I,0),"#Main_Tariff!A"&amp;MATCH("*"&amp;RIGHT(A4795,8)&amp;"*",Main_Tariff!A:A,0)),Raeburn_Main_Tariff[[#This Row],[PRODUCER]])</f>
        <v>F.X. Pichler</v>
      </c>
      <c r="C4795" s="1178" t="s">
        <v>22442</v>
      </c>
      <c r="D4795" s="1178" t="s">
        <v>1129</v>
      </c>
      <c r="E4795" s="1179">
        <v>2022</v>
      </c>
      <c r="F4795" s="1282" t="s">
        <v>20280</v>
      </c>
      <c r="G4795" s="1368">
        <v>23.5</v>
      </c>
      <c r="H4795" s="1178" t="s">
        <v>20221</v>
      </c>
      <c r="I4795" s="1178" t="s">
        <v>15145</v>
      </c>
      <c r="J4795" s="1178" t="s">
        <v>22404</v>
      </c>
      <c r="K4795" s="1178" t="s">
        <v>546</v>
      </c>
      <c r="L4795" s="1178"/>
      <c r="M4795" s="1369"/>
      <c r="N4795" s="1178"/>
      <c r="O4795" s="1178">
        <v>12</v>
      </c>
      <c r="P4795" s="1178">
        <v>13</v>
      </c>
    </row>
    <row r="4796" spans="1:16">
      <c r="A4796" s="1178" t="s">
        <v>550</v>
      </c>
      <c r="B4796" s="1371" t="str">
        <f>HYPERLINK(IFERROR("#Main_Tariff!A"&amp;MATCH(Raeburn_Main_Tariff[[#This Row],[Product Code]],Main_Tariff!I:I,0),"#Main_Tariff!A"&amp;MATCH("*"&amp;RIGHT(A4796,8)&amp;"*",Main_Tariff!A:A,0)),Raeburn_Main_Tariff[[#This Row],[PRODUCER]])</f>
        <v>F.X. Pichler</v>
      </c>
      <c r="C4796" s="1178" t="s">
        <v>22443</v>
      </c>
      <c r="D4796" s="1178" t="s">
        <v>1129</v>
      </c>
      <c r="E4796" s="1179">
        <v>2022</v>
      </c>
      <c r="F4796" s="1282" t="s">
        <v>20220</v>
      </c>
      <c r="G4796" s="1368">
        <v>24.5</v>
      </c>
      <c r="H4796" s="1178" t="s">
        <v>20221</v>
      </c>
      <c r="I4796" s="1178" t="s">
        <v>15149</v>
      </c>
      <c r="J4796" s="1178" t="s">
        <v>22404</v>
      </c>
      <c r="K4796" s="1178" t="s">
        <v>546</v>
      </c>
      <c r="L4796" s="1178"/>
      <c r="M4796" s="1369"/>
      <c r="N4796" s="1178"/>
      <c r="O4796" s="1178">
        <v>6</v>
      </c>
      <c r="P4796" s="1178">
        <v>12.5</v>
      </c>
    </row>
    <row r="4797" spans="1:16">
      <c r="A4797" s="1178" t="s">
        <v>550</v>
      </c>
      <c r="B4797" s="1371" t="str">
        <f>HYPERLINK(IFERROR("#Main_Tariff!A"&amp;MATCH(Raeburn_Main_Tariff[[#This Row],[Product Code]],Main_Tariff!I:I,0),"#Main_Tariff!A"&amp;MATCH("*"&amp;RIGHT(A4797,8)&amp;"*",Main_Tariff!A:A,0)),Raeburn_Main_Tariff[[#This Row],[PRODUCER]])</f>
        <v>F.X. Pichler</v>
      </c>
      <c r="C4797" s="1178" t="s">
        <v>22444</v>
      </c>
      <c r="D4797" s="1178" t="s">
        <v>1129</v>
      </c>
      <c r="E4797" s="1179">
        <v>2023</v>
      </c>
      <c r="F4797" s="1282" t="s">
        <v>20220</v>
      </c>
      <c r="G4797" s="1368">
        <v>48</v>
      </c>
      <c r="H4797" s="1178" t="s">
        <v>20221</v>
      </c>
      <c r="I4797" s="1178" t="s">
        <v>15151</v>
      </c>
      <c r="J4797" s="1178" t="s">
        <v>22404</v>
      </c>
      <c r="K4797" s="1178" t="s">
        <v>546</v>
      </c>
      <c r="L4797" s="1178"/>
      <c r="M4797" s="1369"/>
      <c r="N4797" s="1178"/>
      <c r="O4797" s="1178">
        <v>6</v>
      </c>
      <c r="P4797" s="1178">
        <v>12.5</v>
      </c>
    </row>
    <row r="4798" spans="1:16">
      <c r="A4798" s="1178" t="s">
        <v>550</v>
      </c>
      <c r="B4798" s="1371" t="str">
        <f>HYPERLINK(IFERROR("#Main_Tariff!A"&amp;MATCH(Raeburn_Main_Tariff[[#This Row],[Product Code]],Main_Tariff!I:I,0),"#Main_Tariff!A"&amp;MATCH("*"&amp;RIGHT(A4798,8)&amp;"*",Main_Tariff!A:A,0)),Raeburn_Main_Tariff[[#This Row],[PRODUCER]])</f>
        <v>F.X. Pichler</v>
      </c>
      <c r="C4798" s="1178" t="s">
        <v>22444</v>
      </c>
      <c r="D4798" s="1178" t="s">
        <v>1129</v>
      </c>
      <c r="E4798" s="1179">
        <v>2022</v>
      </c>
      <c r="F4798" s="1282" t="s">
        <v>20220</v>
      </c>
      <c r="G4798" s="1368">
        <v>38.5</v>
      </c>
      <c r="H4798" s="1178" t="s">
        <v>20221</v>
      </c>
      <c r="I4798" s="1178" t="s">
        <v>15153</v>
      </c>
      <c r="J4798" s="1178" t="s">
        <v>22404</v>
      </c>
      <c r="K4798" s="1178" t="s">
        <v>546</v>
      </c>
      <c r="L4798" s="1178"/>
      <c r="M4798" s="1369"/>
      <c r="N4798" s="1178"/>
      <c r="O4798" s="1178">
        <v>6</v>
      </c>
      <c r="P4798" s="1178">
        <v>12.5</v>
      </c>
    </row>
    <row r="4799" spans="1:16">
      <c r="A4799" s="1178" t="s">
        <v>550</v>
      </c>
      <c r="B4799" s="1371" t="str">
        <f>HYPERLINK(IFERROR("#Main_Tariff!A"&amp;MATCH(Raeburn_Main_Tariff[[#This Row],[Product Code]],Main_Tariff!I:I,0),"#Main_Tariff!A"&amp;MATCH("*"&amp;RIGHT(A4799,8)&amp;"*",Main_Tariff!A:A,0)),Raeburn_Main_Tariff[[#This Row],[PRODUCER]])</f>
        <v>F.X. Pichler</v>
      </c>
      <c r="C4799" s="1178" t="s">
        <v>22445</v>
      </c>
      <c r="D4799" s="1178" t="s">
        <v>1129</v>
      </c>
      <c r="E4799" s="1179">
        <v>2016</v>
      </c>
      <c r="F4799" s="1282" t="s">
        <v>20220</v>
      </c>
      <c r="G4799" s="1368">
        <v>36.5</v>
      </c>
      <c r="H4799" s="1178" t="s">
        <v>20221</v>
      </c>
      <c r="I4799" s="1178" t="s">
        <v>15155</v>
      </c>
      <c r="J4799" s="1178" t="s">
        <v>22404</v>
      </c>
      <c r="K4799" s="1178" t="s">
        <v>546</v>
      </c>
      <c r="L4799" s="1178"/>
      <c r="M4799" s="1369"/>
      <c r="N4799" s="1178"/>
      <c r="O4799" s="1178">
        <v>6</v>
      </c>
      <c r="P4799" s="1178">
        <v>13</v>
      </c>
    </row>
    <row r="4800" spans="1:16">
      <c r="A4800" s="1178" t="s">
        <v>550</v>
      </c>
      <c r="B4800" s="1371" t="str">
        <f>HYPERLINK(IFERROR("#Main_Tariff!A"&amp;MATCH(Raeburn_Main_Tariff[[#This Row],[Product Code]],Main_Tariff!I:I,0),"#Main_Tariff!A"&amp;MATCH("*"&amp;RIGHT(A4800,8)&amp;"*",Main_Tariff!A:A,0)),Raeburn_Main_Tariff[[#This Row],[PRODUCER]])</f>
        <v>F.X. Pichler</v>
      </c>
      <c r="C4800" s="1178" t="s">
        <v>22445</v>
      </c>
      <c r="D4800" s="1178" t="s">
        <v>1129</v>
      </c>
      <c r="E4800" s="1179">
        <v>2012</v>
      </c>
      <c r="F4800" s="1282" t="s">
        <v>20220</v>
      </c>
      <c r="G4800" s="1368">
        <v>36.5</v>
      </c>
      <c r="H4800" s="1178" t="s">
        <v>20277</v>
      </c>
      <c r="I4800" s="1178" t="s">
        <v>15157</v>
      </c>
      <c r="J4800" s="1178" t="s">
        <v>22404</v>
      </c>
      <c r="K4800" s="1178" t="s">
        <v>546</v>
      </c>
      <c r="L4800" s="1178"/>
      <c r="M4800" s="1369"/>
      <c r="N4800" s="1178"/>
      <c r="O4800" s="1178">
        <v>6</v>
      </c>
      <c r="P4800" s="1178">
        <v>13.5</v>
      </c>
    </row>
    <row r="4801" spans="1:16">
      <c r="A4801" s="1178" t="s">
        <v>550</v>
      </c>
      <c r="B4801" s="1371" t="str">
        <f>HYPERLINK(IFERROR("#Main_Tariff!A"&amp;MATCH(Raeburn_Main_Tariff[[#This Row],[Product Code]],Main_Tariff!I:I,0),"#Main_Tariff!A"&amp;MATCH("*"&amp;RIGHT(A4801,8)&amp;"*",Main_Tariff!A:A,0)),Raeburn_Main_Tariff[[#This Row],[PRODUCER]])</f>
        <v>F.X. Pichler</v>
      </c>
      <c r="C4801" s="1178" t="s">
        <v>22446</v>
      </c>
      <c r="D4801" s="1178" t="s">
        <v>1129</v>
      </c>
      <c r="E4801" s="1179">
        <v>2014</v>
      </c>
      <c r="F4801" s="1282" t="s">
        <v>20220</v>
      </c>
      <c r="G4801" s="1368">
        <v>45</v>
      </c>
      <c r="H4801" s="1178" t="s">
        <v>20221</v>
      </c>
      <c r="I4801" s="1178" t="s">
        <v>15159</v>
      </c>
      <c r="J4801" s="1178" t="s">
        <v>22404</v>
      </c>
      <c r="K4801" s="1178" t="s">
        <v>546</v>
      </c>
      <c r="L4801" s="1178"/>
      <c r="M4801" s="1369"/>
      <c r="N4801" s="1178"/>
      <c r="O4801" s="1178">
        <v>6</v>
      </c>
      <c r="P4801" s="1178">
        <v>13</v>
      </c>
    </row>
    <row r="4802" spans="1:16">
      <c r="A4802" s="1178" t="s">
        <v>550</v>
      </c>
      <c r="B4802" s="1371" t="str">
        <f>HYPERLINK(IFERROR("#Main_Tariff!A"&amp;MATCH(Raeburn_Main_Tariff[[#This Row],[Product Code]],Main_Tariff!I:I,0),"#Main_Tariff!A"&amp;MATCH("*"&amp;RIGHT(A4802,8)&amp;"*",Main_Tariff!A:A,0)),Raeburn_Main_Tariff[[#This Row],[PRODUCER]])</f>
        <v>F.X. Pichler</v>
      </c>
      <c r="C4802" s="1178" t="s">
        <v>22447</v>
      </c>
      <c r="D4802" s="1178" t="s">
        <v>1129</v>
      </c>
      <c r="E4802" s="1179">
        <v>2012</v>
      </c>
      <c r="F4802" s="1282" t="s">
        <v>20220</v>
      </c>
      <c r="G4802" s="1368">
        <v>45</v>
      </c>
      <c r="H4802" s="1178" t="s">
        <v>20221</v>
      </c>
      <c r="I4802" s="1178" t="s">
        <v>15161</v>
      </c>
      <c r="J4802" s="1178" t="s">
        <v>22404</v>
      </c>
      <c r="K4802" s="1178" t="s">
        <v>546</v>
      </c>
      <c r="L4802" s="1178"/>
      <c r="M4802" s="1369"/>
      <c r="N4802" s="1178"/>
      <c r="O4802" s="1178">
        <v>6</v>
      </c>
      <c r="P4802" s="1178">
        <v>13.5</v>
      </c>
    </row>
    <row r="4803" spans="1:16">
      <c r="A4803" s="1178" t="s">
        <v>550</v>
      </c>
      <c r="B4803" s="1371" t="str">
        <f>HYPERLINK(IFERROR("#Main_Tariff!A"&amp;MATCH(Raeburn_Main_Tariff[[#This Row],[Product Code]],Main_Tariff!I:I,0),"#Main_Tariff!A"&amp;MATCH("*"&amp;RIGHT(A4803,8)&amp;"*",Main_Tariff!A:A,0)),Raeburn_Main_Tariff[[#This Row],[PRODUCER]])</f>
        <v>F.X. Pichler</v>
      </c>
      <c r="C4803" s="1178" t="s">
        <v>22448</v>
      </c>
      <c r="D4803" s="1178" t="s">
        <v>1129</v>
      </c>
      <c r="E4803" s="1179">
        <v>2023</v>
      </c>
      <c r="F4803" s="1282" t="s">
        <v>20220</v>
      </c>
      <c r="G4803" s="1368">
        <v>75</v>
      </c>
      <c r="H4803" s="1178" t="s">
        <v>20221</v>
      </c>
      <c r="I4803" s="1178" t="s">
        <v>15163</v>
      </c>
      <c r="J4803" s="1178" t="s">
        <v>22404</v>
      </c>
      <c r="K4803" s="1178" t="s">
        <v>546</v>
      </c>
      <c r="L4803" s="1178"/>
      <c r="M4803" s="1369"/>
      <c r="N4803" s="1178"/>
      <c r="O4803" s="1178">
        <v>6</v>
      </c>
      <c r="P4803" s="1178">
        <v>13</v>
      </c>
    </row>
    <row r="4804" spans="1:16">
      <c r="A4804" s="1178" t="s">
        <v>550</v>
      </c>
      <c r="B4804" s="1371" t="str">
        <f>HYPERLINK(IFERROR("#Main_Tariff!A"&amp;MATCH(Raeburn_Main_Tariff[[#This Row],[Product Code]],Main_Tariff!I:I,0),"#Main_Tariff!A"&amp;MATCH("*"&amp;RIGHT(A4804,8)&amp;"*",Main_Tariff!A:A,0)),Raeburn_Main_Tariff[[#This Row],[PRODUCER]])</f>
        <v>F.X. Pichler</v>
      </c>
      <c r="C4804" s="1178" t="s">
        <v>22448</v>
      </c>
      <c r="D4804" s="1178" t="s">
        <v>1129</v>
      </c>
      <c r="E4804" s="1179">
        <v>2022</v>
      </c>
      <c r="F4804" s="1282" t="s">
        <v>20220</v>
      </c>
      <c r="G4804" s="1368">
        <v>65.5</v>
      </c>
      <c r="H4804" s="1178" t="s">
        <v>20221</v>
      </c>
      <c r="I4804" s="1178" t="s">
        <v>15165</v>
      </c>
      <c r="J4804" s="1178" t="s">
        <v>22404</v>
      </c>
      <c r="K4804" s="1178" t="s">
        <v>546</v>
      </c>
      <c r="L4804" s="1178"/>
      <c r="M4804" s="1369"/>
      <c r="N4804" s="1178"/>
      <c r="O4804" s="1178">
        <v>6</v>
      </c>
      <c r="P4804" s="1178">
        <v>13.5</v>
      </c>
    </row>
    <row r="4805" spans="1:16">
      <c r="A4805" s="1178" t="s">
        <v>550</v>
      </c>
      <c r="B4805" s="1371" t="str">
        <f>HYPERLINK(IFERROR("#Main_Tariff!A"&amp;MATCH(Raeburn_Main_Tariff[[#This Row],[Product Code]],Main_Tariff!I:I,0),"#Main_Tariff!A"&amp;MATCH("*"&amp;RIGHT(A4805,8)&amp;"*",Main_Tariff!A:A,0)),Raeburn_Main_Tariff[[#This Row],[PRODUCER]])</f>
        <v>F.X. Pichler</v>
      </c>
      <c r="C4805" s="1178" t="s">
        <v>22449</v>
      </c>
      <c r="D4805" s="1178" t="s">
        <v>1129</v>
      </c>
      <c r="E4805" s="1179">
        <v>2016</v>
      </c>
      <c r="F4805" s="1282" t="s">
        <v>20220</v>
      </c>
      <c r="G4805" s="1368">
        <v>60</v>
      </c>
      <c r="H4805" s="1178" t="s">
        <v>20224</v>
      </c>
      <c r="I4805" s="1178" t="s">
        <v>15167</v>
      </c>
      <c r="J4805" s="1178" t="s">
        <v>22404</v>
      </c>
      <c r="K4805" s="1178" t="s">
        <v>546</v>
      </c>
      <c r="L4805" s="1178"/>
      <c r="M4805" s="1369"/>
      <c r="N4805" s="1178"/>
      <c r="O4805" s="1178">
        <v>6</v>
      </c>
      <c r="P4805" s="1178">
        <v>13</v>
      </c>
    </row>
    <row r="4806" spans="1:16">
      <c r="A4806" s="1178" t="s">
        <v>550</v>
      </c>
      <c r="B4806" s="1371" t="str">
        <f>HYPERLINK(IFERROR("#Main_Tariff!A"&amp;MATCH(Raeburn_Main_Tariff[[#This Row],[Product Code]],Main_Tariff!I:I,0),"#Main_Tariff!A"&amp;MATCH("*"&amp;RIGHT(A4806,8)&amp;"*",Main_Tariff!A:A,0)),Raeburn_Main_Tariff[[#This Row],[PRODUCER]])</f>
        <v>F.X. Pichler</v>
      </c>
      <c r="C4806" s="1178" t="s">
        <v>22449</v>
      </c>
      <c r="D4806" s="1178" t="s">
        <v>1129</v>
      </c>
      <c r="E4806" s="1179">
        <v>2014</v>
      </c>
      <c r="F4806" s="1282" t="s">
        <v>20220</v>
      </c>
      <c r="G4806" s="1368">
        <v>60</v>
      </c>
      <c r="H4806" s="1178" t="s">
        <v>20221</v>
      </c>
      <c r="I4806" s="1178" t="s">
        <v>15169</v>
      </c>
      <c r="J4806" s="1178" t="s">
        <v>22404</v>
      </c>
      <c r="K4806" s="1178" t="s">
        <v>546</v>
      </c>
      <c r="L4806" s="1178"/>
      <c r="M4806" s="1369"/>
      <c r="N4806" s="1178"/>
      <c r="O4806" s="1178">
        <v>6</v>
      </c>
      <c r="P4806" s="1178">
        <v>13</v>
      </c>
    </row>
    <row r="4807" spans="1:16">
      <c r="A4807" s="1178" t="s">
        <v>550</v>
      </c>
      <c r="B4807" s="1371" t="str">
        <f>HYPERLINK(IFERROR("#Main_Tariff!A"&amp;MATCH(Raeburn_Main_Tariff[[#This Row],[Product Code]],Main_Tariff!I:I,0),"#Main_Tariff!A"&amp;MATCH("*"&amp;RIGHT(A4807,8)&amp;"*",Main_Tariff!A:A,0)),Raeburn_Main_Tariff[[#This Row],[PRODUCER]])</f>
        <v>F.X. Pichler</v>
      </c>
      <c r="C4807" s="1178" t="s">
        <v>22450</v>
      </c>
      <c r="D4807" s="1178" t="s">
        <v>1129</v>
      </c>
      <c r="E4807" s="1179">
        <v>2021</v>
      </c>
      <c r="F4807" s="1282" t="s">
        <v>20220</v>
      </c>
      <c r="G4807" s="1368" t="s">
        <v>5258</v>
      </c>
      <c r="H4807" s="1178" t="s">
        <v>20224</v>
      </c>
      <c r="I4807" s="1178" t="s">
        <v>15172</v>
      </c>
      <c r="J4807" s="1178" t="s">
        <v>22404</v>
      </c>
      <c r="K4807" s="1178" t="s">
        <v>546</v>
      </c>
      <c r="L4807" s="1178"/>
      <c r="M4807" s="1369"/>
      <c r="N4807" s="1178"/>
      <c r="O4807" s="1178">
        <v>6</v>
      </c>
      <c r="P4807" s="1178">
        <v>13</v>
      </c>
    </row>
    <row r="4808" spans="1:16">
      <c r="A4808" s="1178" t="s">
        <v>550</v>
      </c>
      <c r="B4808" s="1371" t="str">
        <f>HYPERLINK(IFERROR("#Main_Tariff!A"&amp;MATCH(Raeburn_Main_Tariff[[#This Row],[Product Code]],Main_Tariff!I:I,0),"#Main_Tariff!A"&amp;MATCH("*"&amp;RIGHT(A4808,8)&amp;"*",Main_Tariff!A:A,0)),Raeburn_Main_Tariff[[#This Row],[PRODUCER]])</f>
        <v>F.X. Pichler</v>
      </c>
      <c r="C4808" s="1178" t="s">
        <v>22450</v>
      </c>
      <c r="D4808" s="1178" t="s">
        <v>1129</v>
      </c>
      <c r="E4808" s="1179">
        <v>2017</v>
      </c>
      <c r="F4808" s="1282" t="s">
        <v>20220</v>
      </c>
      <c r="G4808" s="1368" t="s">
        <v>5258</v>
      </c>
      <c r="H4808" s="1178" t="s">
        <v>20224</v>
      </c>
      <c r="I4808" s="1178" t="s">
        <v>15174</v>
      </c>
      <c r="J4808" s="1178" t="s">
        <v>22404</v>
      </c>
      <c r="K4808" s="1178" t="s">
        <v>546</v>
      </c>
      <c r="L4808" s="1178"/>
      <c r="M4808" s="1369"/>
      <c r="N4808" s="1178"/>
      <c r="O4808" s="1178">
        <v>6</v>
      </c>
      <c r="P4808" s="1178">
        <v>13</v>
      </c>
    </row>
    <row r="4809" spans="1:16">
      <c r="A4809" s="1178" t="s">
        <v>550</v>
      </c>
      <c r="B4809" s="1371" t="str">
        <f>HYPERLINK(IFERROR("#Main_Tariff!A"&amp;MATCH(Raeburn_Main_Tariff[[#This Row],[Product Code]],Main_Tariff!I:I,0),"#Main_Tariff!A"&amp;MATCH("*"&amp;RIGHT(A4809,8)&amp;"*",Main_Tariff!A:A,0)),Raeburn_Main_Tariff[[#This Row],[PRODUCER]])</f>
        <v>F.X. Pichler</v>
      </c>
      <c r="C4809" s="1178" t="s">
        <v>22451</v>
      </c>
      <c r="D4809" s="1178" t="s">
        <v>1129</v>
      </c>
      <c r="E4809" s="1179">
        <v>2017</v>
      </c>
      <c r="F4809" s="1282" t="s">
        <v>20240</v>
      </c>
      <c r="G4809" s="1368" t="s">
        <v>5258</v>
      </c>
      <c r="H4809" s="1178" t="s">
        <v>20224</v>
      </c>
      <c r="I4809" s="1178" t="s">
        <v>15176</v>
      </c>
      <c r="J4809" s="1178" t="s">
        <v>22404</v>
      </c>
      <c r="K4809" s="1178" t="s">
        <v>546</v>
      </c>
      <c r="L4809" s="1178"/>
      <c r="M4809" s="1369"/>
      <c r="N4809" s="1178"/>
      <c r="O4809" s="1178">
        <v>1</v>
      </c>
      <c r="P4809" s="1178">
        <v>13</v>
      </c>
    </row>
    <row r="4810" spans="1:16">
      <c r="A4810" s="1178" t="s">
        <v>550</v>
      </c>
      <c r="B4810" s="1371" t="str">
        <f>HYPERLINK(IFERROR("#Main_Tariff!A"&amp;MATCH(Raeburn_Main_Tariff[[#This Row],[Product Code]],Main_Tariff!I:I,0),"#Main_Tariff!A"&amp;MATCH("*"&amp;RIGHT(A4810,8)&amp;"*",Main_Tariff!A:A,0)),Raeburn_Main_Tariff[[#This Row],[PRODUCER]])</f>
        <v>F.X. Pichler</v>
      </c>
      <c r="C4810" s="1178" t="s">
        <v>22452</v>
      </c>
      <c r="D4810" s="1178" t="s">
        <v>1129</v>
      </c>
      <c r="E4810" s="1179">
        <v>2013</v>
      </c>
      <c r="F4810" s="1282" t="s">
        <v>20280</v>
      </c>
      <c r="G4810" s="1368">
        <v>23.25</v>
      </c>
      <c r="H4810" s="1178" t="s">
        <v>20277</v>
      </c>
      <c r="I4810" s="1178" t="s">
        <v>15180</v>
      </c>
      <c r="J4810" s="1178" t="s">
        <v>22404</v>
      </c>
      <c r="K4810" s="1178" t="s">
        <v>546</v>
      </c>
      <c r="L4810" s="1178"/>
      <c r="M4810" s="1369"/>
      <c r="N4810" s="1178"/>
      <c r="O4810" s="1178">
        <v>12</v>
      </c>
      <c r="P4810" s="1178">
        <v>13</v>
      </c>
    </row>
    <row r="4811" spans="1:16">
      <c r="A4811" s="1178" t="s">
        <v>550</v>
      </c>
      <c r="B4811" s="1371" t="str">
        <f>HYPERLINK(IFERROR("#Main_Tariff!A"&amp;MATCH(Raeburn_Main_Tariff[[#This Row],[Product Code]],Main_Tariff!I:I,0),"#Main_Tariff!A"&amp;MATCH("*"&amp;RIGHT(A4811,8)&amp;"*",Main_Tariff!A:A,0)),Raeburn_Main_Tariff[[#This Row],[PRODUCER]])</f>
        <v>F.X. Pichler</v>
      </c>
      <c r="C4811" s="1178" t="s">
        <v>22453</v>
      </c>
      <c r="D4811" s="1178" t="s">
        <v>1129</v>
      </c>
      <c r="E4811" s="1179">
        <v>2014</v>
      </c>
      <c r="F4811" s="1282" t="s">
        <v>20240</v>
      </c>
      <c r="G4811" s="1368">
        <v>49</v>
      </c>
      <c r="H4811" s="1178" t="s">
        <v>20221</v>
      </c>
      <c r="I4811" s="1178" t="s">
        <v>15184</v>
      </c>
      <c r="J4811" s="1178" t="s">
        <v>22404</v>
      </c>
      <c r="K4811" s="1178" t="s">
        <v>546</v>
      </c>
      <c r="L4811" s="1178"/>
      <c r="M4811" s="1369"/>
      <c r="N4811" s="1178"/>
      <c r="O4811" s="1178">
        <v>3</v>
      </c>
      <c r="P4811" s="1178">
        <v>11.5</v>
      </c>
    </row>
    <row r="4812" spans="1:16">
      <c r="A4812" s="1178" t="s">
        <v>550</v>
      </c>
      <c r="B4812" s="1371" t="str">
        <f>HYPERLINK(IFERROR("#Main_Tariff!A"&amp;MATCH(Raeburn_Main_Tariff[[#This Row],[Product Code]],Main_Tariff!I:I,0),"#Main_Tariff!A"&amp;MATCH("*"&amp;RIGHT(A4812,8)&amp;"*",Main_Tariff!A:A,0)),Raeburn_Main_Tariff[[#This Row],[PRODUCER]])</f>
        <v>F.X. Pichler</v>
      </c>
      <c r="C4812" s="1178" t="s">
        <v>22454</v>
      </c>
      <c r="D4812" s="1178" t="s">
        <v>1129</v>
      </c>
      <c r="E4812" s="1179">
        <v>2012</v>
      </c>
      <c r="F4812" s="1282" t="s">
        <v>20220</v>
      </c>
      <c r="G4812" s="1368">
        <v>44</v>
      </c>
      <c r="H4812" s="1178" t="s">
        <v>20221</v>
      </c>
      <c r="I4812" s="1178" t="s">
        <v>15187</v>
      </c>
      <c r="J4812" s="1178" t="s">
        <v>22404</v>
      </c>
      <c r="K4812" s="1178" t="s">
        <v>546</v>
      </c>
      <c r="L4812" s="1178"/>
      <c r="M4812" s="1369"/>
      <c r="N4812" s="1178"/>
      <c r="O4812" s="1178">
        <v>6</v>
      </c>
      <c r="P4812" s="1178">
        <v>15</v>
      </c>
    </row>
    <row r="4813" spans="1:16">
      <c r="A4813" s="1178" t="s">
        <v>550</v>
      </c>
      <c r="B4813" s="1371" t="str">
        <f>HYPERLINK(IFERROR("#Main_Tariff!A"&amp;MATCH(Raeburn_Main_Tariff[[#This Row],[Product Code]],Main_Tariff!I:I,0),"#Main_Tariff!A"&amp;MATCH("*"&amp;RIGHT(A4813,8)&amp;"*",Main_Tariff!A:A,0)),Raeburn_Main_Tariff[[#This Row],[PRODUCER]])</f>
        <v>F.X. Pichler</v>
      </c>
      <c r="C4813" s="1178" t="s">
        <v>22454</v>
      </c>
      <c r="D4813" s="1178" t="s">
        <v>1129</v>
      </c>
      <c r="E4813" s="1179">
        <v>2011</v>
      </c>
      <c r="F4813" s="1282" t="s">
        <v>20220</v>
      </c>
      <c r="G4813" s="1368">
        <v>44</v>
      </c>
      <c r="H4813" s="1178" t="s">
        <v>20277</v>
      </c>
      <c r="I4813" s="1178" t="s">
        <v>15189</v>
      </c>
      <c r="J4813" s="1178" t="s">
        <v>22404</v>
      </c>
      <c r="K4813" s="1178" t="s">
        <v>546</v>
      </c>
      <c r="L4813" s="1178"/>
      <c r="M4813" s="1369"/>
      <c r="N4813" s="1178"/>
      <c r="O4813" s="1178">
        <v>6</v>
      </c>
      <c r="P4813" s="1178">
        <v>13.5</v>
      </c>
    </row>
    <row r="4814" spans="1:16">
      <c r="A4814" s="1178" t="s">
        <v>550</v>
      </c>
      <c r="B4814" s="1371" t="str">
        <f>HYPERLINK(IFERROR("#Main_Tariff!A"&amp;MATCH(Raeburn_Main_Tariff[[#This Row],[Product Code]],Main_Tariff!I:I,0),"#Main_Tariff!A"&amp;MATCH("*"&amp;RIGHT(A4814,8)&amp;"*",Main_Tariff!A:A,0)),Raeburn_Main_Tariff[[#This Row],[PRODUCER]])</f>
        <v>F.X. Pichler</v>
      </c>
      <c r="C4814" s="1178" t="s">
        <v>22455</v>
      </c>
      <c r="D4814" s="1178" t="s">
        <v>1129</v>
      </c>
      <c r="E4814" s="1179">
        <v>2012</v>
      </c>
      <c r="F4814" s="1282" t="s">
        <v>20220</v>
      </c>
      <c r="G4814" s="1368">
        <v>48</v>
      </c>
      <c r="H4814" s="1178" t="s">
        <v>20224</v>
      </c>
      <c r="I4814" s="1178" t="s">
        <v>15191</v>
      </c>
      <c r="J4814" s="1178" t="s">
        <v>22404</v>
      </c>
      <c r="K4814" s="1178" t="s">
        <v>546</v>
      </c>
      <c r="L4814" s="1178"/>
      <c r="M4814" s="1369"/>
      <c r="N4814" s="1178"/>
      <c r="O4814" s="1178">
        <v>6</v>
      </c>
      <c r="P4814" s="1178">
        <v>15</v>
      </c>
    </row>
    <row r="4815" spans="1:16">
      <c r="A4815" s="1178" t="s">
        <v>550</v>
      </c>
      <c r="B4815" s="1371" t="str">
        <f>HYPERLINK(IFERROR("#Main_Tariff!A"&amp;MATCH(Raeburn_Main_Tariff[[#This Row],[Product Code]],Main_Tariff!I:I,0),"#Main_Tariff!A"&amp;MATCH("*"&amp;RIGHT(A4815,8)&amp;"*",Main_Tariff!A:A,0)),Raeburn_Main_Tariff[[#This Row],[PRODUCER]])</f>
        <v>F.X. Pichler</v>
      </c>
      <c r="C4815" s="1178" t="s">
        <v>22455</v>
      </c>
      <c r="D4815" s="1178" t="s">
        <v>1129</v>
      </c>
      <c r="E4815" s="1179">
        <v>2010</v>
      </c>
      <c r="F4815" s="1282" t="s">
        <v>20220</v>
      </c>
      <c r="G4815" s="1368">
        <v>48</v>
      </c>
      <c r="H4815" s="1178" t="s">
        <v>20224</v>
      </c>
      <c r="I4815" s="1178" t="s">
        <v>15193</v>
      </c>
      <c r="J4815" s="1178" t="s">
        <v>22404</v>
      </c>
      <c r="K4815" s="1178" t="s">
        <v>546</v>
      </c>
      <c r="L4815" s="1178"/>
      <c r="M4815" s="1369"/>
      <c r="N4815" s="1178"/>
      <c r="O4815" s="1178">
        <v>6</v>
      </c>
      <c r="P4815" s="1178">
        <v>12.5</v>
      </c>
    </row>
    <row r="4816" spans="1:16">
      <c r="A4816" s="1178" t="s">
        <v>550</v>
      </c>
      <c r="B4816" s="1371" t="str">
        <f>HYPERLINK(IFERROR("#Main_Tariff!A"&amp;MATCH(Raeburn_Main_Tariff[[#This Row],[Product Code]],Main_Tariff!I:I,0),"#Main_Tariff!A"&amp;MATCH("*"&amp;RIGHT(A4816,8)&amp;"*",Main_Tariff!A:A,0)),Raeburn_Main_Tariff[[#This Row],[PRODUCER]])</f>
        <v>F.X. Pichler</v>
      </c>
      <c r="C4816" s="1178" t="s">
        <v>22456</v>
      </c>
      <c r="D4816" s="1178" t="s">
        <v>1129</v>
      </c>
      <c r="E4816" s="1179">
        <v>2022</v>
      </c>
      <c r="F4816" s="1282" t="s">
        <v>20220</v>
      </c>
      <c r="G4816" s="1368">
        <v>65.5</v>
      </c>
      <c r="H4816" s="1178" t="s">
        <v>20221</v>
      </c>
      <c r="I4816" s="1178" t="s">
        <v>15195</v>
      </c>
      <c r="J4816" s="1178" t="s">
        <v>22404</v>
      </c>
      <c r="K4816" s="1178" t="s">
        <v>546</v>
      </c>
      <c r="L4816" s="1178"/>
      <c r="M4816" s="1369"/>
      <c r="N4816" s="1178"/>
      <c r="O4816" s="1178">
        <v>6</v>
      </c>
      <c r="P4816" s="1178">
        <v>13</v>
      </c>
    </row>
    <row r="4817" spans="1:16">
      <c r="A4817" s="1178" t="s">
        <v>550</v>
      </c>
      <c r="B4817" s="1371" t="str">
        <f>HYPERLINK(IFERROR("#Main_Tariff!A"&amp;MATCH(Raeburn_Main_Tariff[[#This Row],[Product Code]],Main_Tariff!I:I,0),"#Main_Tariff!A"&amp;MATCH("*"&amp;RIGHT(A4817,8)&amp;"*",Main_Tariff!A:A,0)),Raeburn_Main_Tariff[[#This Row],[PRODUCER]])</f>
        <v>F.X. Pichler</v>
      </c>
      <c r="C4817" s="1178" t="s">
        <v>22457</v>
      </c>
      <c r="D4817" s="1178" t="s">
        <v>1129</v>
      </c>
      <c r="E4817" s="1179">
        <v>2018</v>
      </c>
      <c r="F4817" s="1282" t="s">
        <v>20220</v>
      </c>
      <c r="G4817" s="1368">
        <v>60</v>
      </c>
      <c r="H4817" s="1178" t="s">
        <v>20221</v>
      </c>
      <c r="I4817" s="1178" t="s">
        <v>15197</v>
      </c>
      <c r="J4817" s="1178" t="s">
        <v>22404</v>
      </c>
      <c r="K4817" s="1178" t="s">
        <v>546</v>
      </c>
      <c r="L4817" s="1178"/>
      <c r="M4817" s="1369"/>
      <c r="N4817" s="1178"/>
      <c r="O4817" s="1178">
        <v>6</v>
      </c>
      <c r="P4817" s="1178">
        <v>13</v>
      </c>
    </row>
    <row r="4818" spans="1:16">
      <c r="A4818" s="1178" t="s">
        <v>550</v>
      </c>
      <c r="B4818" s="1371" t="str">
        <f>HYPERLINK(IFERROR("#Main_Tariff!A"&amp;MATCH(Raeburn_Main_Tariff[[#This Row],[Product Code]],Main_Tariff!I:I,0),"#Main_Tariff!A"&amp;MATCH("*"&amp;RIGHT(A4818,8)&amp;"*",Main_Tariff!A:A,0)),Raeburn_Main_Tariff[[#This Row],[PRODUCER]])</f>
        <v>F.X. Pichler</v>
      </c>
      <c r="C4818" s="1178" t="s">
        <v>22457</v>
      </c>
      <c r="D4818" s="1178" t="s">
        <v>1129</v>
      </c>
      <c r="E4818" s="1179">
        <v>2015</v>
      </c>
      <c r="F4818" s="1282" t="s">
        <v>20220</v>
      </c>
      <c r="G4818" s="1368">
        <v>60</v>
      </c>
      <c r="H4818" s="1178" t="s">
        <v>20277</v>
      </c>
      <c r="I4818" s="1178" t="s">
        <v>15199</v>
      </c>
      <c r="J4818" s="1178" t="s">
        <v>22404</v>
      </c>
      <c r="K4818" s="1178" t="s">
        <v>546</v>
      </c>
      <c r="L4818" s="1178"/>
      <c r="M4818" s="1369"/>
      <c r="N4818" s="1178"/>
      <c r="O4818" s="1178">
        <v>6</v>
      </c>
      <c r="P4818" s="1178">
        <v>13.5</v>
      </c>
    </row>
    <row r="4819" spans="1:16">
      <c r="A4819" s="1178" t="s">
        <v>550</v>
      </c>
      <c r="B4819" s="1371" t="str">
        <f>HYPERLINK(IFERROR("#Main_Tariff!A"&amp;MATCH(Raeburn_Main_Tariff[[#This Row],[Product Code]],Main_Tariff!I:I,0),"#Main_Tariff!A"&amp;MATCH("*"&amp;RIGHT(A4819,8)&amp;"*",Main_Tariff!A:A,0)),Raeburn_Main_Tariff[[#This Row],[PRODUCER]])</f>
        <v>F.X. Pichler</v>
      </c>
      <c r="C4819" s="1178" t="s">
        <v>22457</v>
      </c>
      <c r="D4819" s="1178" t="s">
        <v>1129</v>
      </c>
      <c r="E4819" s="1179">
        <v>2011</v>
      </c>
      <c r="F4819" s="1282" t="s">
        <v>20220</v>
      </c>
      <c r="G4819" s="1368">
        <v>60</v>
      </c>
      <c r="H4819" s="1178" t="s">
        <v>20224</v>
      </c>
      <c r="I4819" s="1178" t="s">
        <v>15201</v>
      </c>
      <c r="J4819" s="1178" t="s">
        <v>22404</v>
      </c>
      <c r="K4819" s="1178" t="s">
        <v>546</v>
      </c>
      <c r="L4819" s="1178"/>
      <c r="M4819" s="1369"/>
      <c r="N4819" s="1178"/>
      <c r="O4819" s="1178">
        <v>6</v>
      </c>
      <c r="P4819" s="1178">
        <v>13.5</v>
      </c>
    </row>
    <row r="4820" spans="1:16">
      <c r="A4820" s="1178" t="s">
        <v>550</v>
      </c>
      <c r="B4820" s="1371" t="str">
        <f>HYPERLINK(IFERROR("#Main_Tariff!A"&amp;MATCH(Raeburn_Main_Tariff[[#This Row],[Product Code]],Main_Tariff!I:I,0),"#Main_Tariff!A"&amp;MATCH("*"&amp;RIGHT(A4820,8)&amp;"*",Main_Tariff!A:A,0)),Raeburn_Main_Tariff[[#This Row],[PRODUCER]])</f>
        <v>F.X. Pichler</v>
      </c>
      <c r="C4820" s="1178" t="s">
        <v>22458</v>
      </c>
      <c r="D4820" s="1178" t="s">
        <v>1129</v>
      </c>
      <c r="E4820" s="1179">
        <v>2021</v>
      </c>
      <c r="F4820" s="1282" t="s">
        <v>20220</v>
      </c>
      <c r="G4820" s="1368" t="s">
        <v>5258</v>
      </c>
      <c r="H4820" s="1178" t="s">
        <v>20224</v>
      </c>
      <c r="I4820" s="1178" t="s">
        <v>15205</v>
      </c>
      <c r="J4820" s="1178" t="s">
        <v>22404</v>
      </c>
      <c r="K4820" s="1178" t="s">
        <v>546</v>
      </c>
      <c r="L4820" s="1178"/>
      <c r="M4820" s="1369"/>
      <c r="N4820" s="1178"/>
      <c r="O4820" s="1178">
        <v>6</v>
      </c>
      <c r="P4820" s="1178">
        <v>14.5</v>
      </c>
    </row>
    <row r="4821" spans="1:16">
      <c r="A4821" s="1178" t="s">
        <v>551</v>
      </c>
      <c r="B4821" s="1371" t="str">
        <f>HYPERLINK(IFERROR("#Main_Tariff!A"&amp;MATCH(Raeburn_Main_Tariff[[#This Row],[Product Code]],Main_Tariff!I:I,0),"#Main_Tariff!A"&amp;MATCH("*"&amp;RIGHT(A4821,8)&amp;"*",Main_Tariff!A:A,0)),Raeburn_Main_Tariff[[#This Row],[PRODUCER]])</f>
        <v>Prager</v>
      </c>
      <c r="C4821" s="1178" t="s">
        <v>22459</v>
      </c>
      <c r="D4821" s="1178" t="s">
        <v>1129</v>
      </c>
      <c r="E4821" s="1179">
        <v>2023</v>
      </c>
      <c r="F4821" s="1282" t="s">
        <v>20220</v>
      </c>
      <c r="G4821" s="1368">
        <v>25.5</v>
      </c>
      <c r="H4821" s="1178" t="s">
        <v>20221</v>
      </c>
      <c r="I4821" s="1178" t="s">
        <v>15245</v>
      </c>
      <c r="J4821" s="1178" t="s">
        <v>22404</v>
      </c>
      <c r="K4821" s="1178" t="s">
        <v>546</v>
      </c>
      <c r="L4821" s="1178"/>
      <c r="M4821" s="1369"/>
      <c r="N4821" s="1178"/>
      <c r="O4821" s="1178">
        <v>6</v>
      </c>
      <c r="P4821" s="1178">
        <v>13.5</v>
      </c>
    </row>
    <row r="4822" spans="1:16">
      <c r="A4822" s="1178" t="s">
        <v>551</v>
      </c>
      <c r="B4822" s="1371" t="str">
        <f>HYPERLINK(IFERROR("#Main_Tariff!A"&amp;MATCH(Raeburn_Main_Tariff[[#This Row],[Product Code]],Main_Tariff!I:I,0),"#Main_Tariff!A"&amp;MATCH("*"&amp;RIGHT(A4822,8)&amp;"*",Main_Tariff!A:A,0)),Raeburn_Main_Tariff[[#This Row],[PRODUCER]])</f>
        <v>Prager</v>
      </c>
      <c r="C4822" s="1178" t="s">
        <v>22459</v>
      </c>
      <c r="D4822" s="1178" t="s">
        <v>1129</v>
      </c>
      <c r="E4822" s="1179">
        <v>2022</v>
      </c>
      <c r="F4822" s="1282" t="s">
        <v>20220</v>
      </c>
      <c r="G4822" s="1368">
        <v>23</v>
      </c>
      <c r="H4822" s="1178" t="s">
        <v>20221</v>
      </c>
      <c r="I4822" s="1178" t="s">
        <v>15247</v>
      </c>
      <c r="J4822" s="1178" t="s">
        <v>22404</v>
      </c>
      <c r="K4822" s="1178" t="s">
        <v>546</v>
      </c>
      <c r="L4822" s="1178"/>
      <c r="M4822" s="1369"/>
      <c r="N4822" s="1178"/>
      <c r="O4822" s="1178">
        <v>6</v>
      </c>
      <c r="P4822" s="1178">
        <v>12.5</v>
      </c>
    </row>
    <row r="4823" spans="1:16">
      <c r="A4823" s="1178" t="s">
        <v>551</v>
      </c>
      <c r="B4823" s="1371" t="str">
        <f>HYPERLINK(IFERROR("#Main_Tariff!A"&amp;MATCH(Raeburn_Main_Tariff[[#This Row],[Product Code]],Main_Tariff!I:I,0),"#Main_Tariff!A"&amp;MATCH("*"&amp;RIGHT(A4823,8)&amp;"*",Main_Tariff!A:A,0)),Raeburn_Main_Tariff[[#This Row],[PRODUCER]])</f>
        <v>Prager</v>
      </c>
      <c r="C4823" s="1178" t="s">
        <v>22459</v>
      </c>
      <c r="D4823" s="1178" t="s">
        <v>1129</v>
      </c>
      <c r="E4823" s="1179">
        <v>2021</v>
      </c>
      <c r="F4823" s="1282" t="s">
        <v>20220</v>
      </c>
      <c r="G4823" s="1368">
        <v>21.5</v>
      </c>
      <c r="H4823" s="1178" t="s">
        <v>20221</v>
      </c>
      <c r="I4823" s="1178" t="s">
        <v>15249</v>
      </c>
      <c r="J4823" s="1178" t="s">
        <v>22404</v>
      </c>
      <c r="K4823" s="1178" t="s">
        <v>546</v>
      </c>
      <c r="L4823" s="1178"/>
      <c r="M4823" s="1369"/>
      <c r="N4823" s="1178"/>
      <c r="O4823" s="1178">
        <v>6</v>
      </c>
      <c r="P4823" s="1178">
        <v>12.5</v>
      </c>
    </row>
    <row r="4824" spans="1:16">
      <c r="A4824" s="1178" t="s">
        <v>551</v>
      </c>
      <c r="B4824" s="1371" t="str">
        <f>HYPERLINK(IFERROR("#Main_Tariff!A"&amp;MATCH(Raeburn_Main_Tariff[[#This Row],[Product Code]],Main_Tariff!I:I,0),"#Main_Tariff!A"&amp;MATCH("*"&amp;RIGHT(A4824,8)&amp;"*",Main_Tariff!A:A,0)),Raeburn_Main_Tariff[[#This Row],[PRODUCER]])</f>
        <v>Prager</v>
      </c>
      <c r="C4824" s="1178" t="s">
        <v>22459</v>
      </c>
      <c r="D4824" s="1178" t="s">
        <v>1129</v>
      </c>
      <c r="E4824" s="1179">
        <v>2020</v>
      </c>
      <c r="F4824" s="1282" t="s">
        <v>20220</v>
      </c>
      <c r="G4824" s="1368">
        <v>21</v>
      </c>
      <c r="H4824" s="1178" t="s">
        <v>20221</v>
      </c>
      <c r="I4824" s="1178" t="s">
        <v>15251</v>
      </c>
      <c r="J4824" s="1178" t="s">
        <v>22404</v>
      </c>
      <c r="K4824" s="1178" t="s">
        <v>546</v>
      </c>
      <c r="L4824" s="1178"/>
      <c r="M4824" s="1369"/>
      <c r="N4824" s="1178"/>
      <c r="O4824" s="1178">
        <v>6</v>
      </c>
      <c r="P4824" s="1178">
        <v>12.5</v>
      </c>
    </row>
    <row r="4825" spans="1:16">
      <c r="A4825" s="1178" t="s">
        <v>551</v>
      </c>
      <c r="B4825" s="1371" t="str">
        <f>HYPERLINK(IFERROR("#Main_Tariff!A"&amp;MATCH(Raeburn_Main_Tariff[[#This Row],[Product Code]],Main_Tariff!I:I,0),"#Main_Tariff!A"&amp;MATCH("*"&amp;RIGHT(A4825,8)&amp;"*",Main_Tariff!A:A,0)),Raeburn_Main_Tariff[[#This Row],[PRODUCER]])</f>
        <v>Prager</v>
      </c>
      <c r="C4825" s="1178" t="s">
        <v>22460</v>
      </c>
      <c r="D4825" s="1178" t="s">
        <v>1129</v>
      </c>
      <c r="E4825" s="1179">
        <v>2022</v>
      </c>
      <c r="F4825" s="1282" t="s">
        <v>20220</v>
      </c>
      <c r="G4825" s="1368">
        <v>39.75</v>
      </c>
      <c r="H4825" s="1178" t="s">
        <v>20221</v>
      </c>
      <c r="I4825" s="1178" t="s">
        <v>15254</v>
      </c>
      <c r="J4825" s="1178" t="s">
        <v>22404</v>
      </c>
      <c r="K4825" s="1178" t="s">
        <v>546</v>
      </c>
      <c r="L4825" s="1178"/>
      <c r="M4825" s="1369"/>
      <c r="N4825" s="1178"/>
      <c r="O4825" s="1178">
        <v>6</v>
      </c>
      <c r="P4825" s="1178">
        <v>13</v>
      </c>
    </row>
    <row r="4826" spans="1:16">
      <c r="A4826" s="1178" t="s">
        <v>551</v>
      </c>
      <c r="B4826" s="1371" t="str">
        <f>HYPERLINK(IFERROR("#Main_Tariff!A"&amp;MATCH(Raeburn_Main_Tariff[[#This Row],[Product Code]],Main_Tariff!I:I,0),"#Main_Tariff!A"&amp;MATCH("*"&amp;RIGHT(A4826,8)&amp;"*",Main_Tariff!A:A,0)),Raeburn_Main_Tariff[[#This Row],[PRODUCER]])</f>
        <v>Prager</v>
      </c>
      <c r="C4826" s="1178" t="s">
        <v>22461</v>
      </c>
      <c r="D4826" s="1178" t="s">
        <v>1129</v>
      </c>
      <c r="E4826" s="1179">
        <v>2023</v>
      </c>
      <c r="F4826" s="1282" t="s">
        <v>20220</v>
      </c>
      <c r="G4826" s="1368">
        <v>43.5</v>
      </c>
      <c r="H4826" s="1178" t="s">
        <v>20221</v>
      </c>
      <c r="I4826" s="1178" t="s">
        <v>15256</v>
      </c>
      <c r="J4826" s="1178" t="s">
        <v>22404</v>
      </c>
      <c r="K4826" s="1178" t="s">
        <v>546</v>
      </c>
      <c r="L4826" s="1178"/>
      <c r="M4826" s="1369"/>
      <c r="N4826" s="1178"/>
      <c r="O4826" s="1178">
        <v>6</v>
      </c>
      <c r="P4826" s="1178">
        <v>14.5</v>
      </c>
    </row>
    <row r="4827" spans="1:16">
      <c r="A4827" s="1178" t="s">
        <v>551</v>
      </c>
      <c r="B4827" s="1371" t="str">
        <f>HYPERLINK(IFERROR("#Main_Tariff!A"&amp;MATCH(Raeburn_Main_Tariff[[#This Row],[Product Code]],Main_Tariff!I:I,0),"#Main_Tariff!A"&amp;MATCH("*"&amp;RIGHT(A4827,8)&amp;"*",Main_Tariff!A:A,0)),Raeburn_Main_Tariff[[#This Row],[PRODUCER]])</f>
        <v>Prager</v>
      </c>
      <c r="C4827" s="1178" t="s">
        <v>22461</v>
      </c>
      <c r="D4827" s="1178" t="s">
        <v>1129</v>
      </c>
      <c r="E4827" s="1179">
        <v>2022</v>
      </c>
      <c r="F4827" s="1282" t="s">
        <v>20220</v>
      </c>
      <c r="G4827" s="1368">
        <v>41.5</v>
      </c>
      <c r="H4827" s="1178" t="s">
        <v>20221</v>
      </c>
      <c r="I4827" s="1178" t="s">
        <v>15258</v>
      </c>
      <c r="J4827" s="1178" t="s">
        <v>22404</v>
      </c>
      <c r="K4827" s="1178" t="s">
        <v>546</v>
      </c>
      <c r="L4827" s="1178"/>
      <c r="M4827" s="1369"/>
      <c r="N4827" s="1178"/>
      <c r="O4827" s="1178">
        <v>6</v>
      </c>
      <c r="P4827" s="1178">
        <v>13.5</v>
      </c>
    </row>
    <row r="4828" spans="1:16">
      <c r="A4828" s="1178" t="s">
        <v>551</v>
      </c>
      <c r="B4828" s="1371" t="str">
        <f>HYPERLINK(IFERROR("#Main_Tariff!A"&amp;MATCH(Raeburn_Main_Tariff[[#This Row],[Product Code]],Main_Tariff!I:I,0),"#Main_Tariff!A"&amp;MATCH("*"&amp;RIGHT(A4828,8)&amp;"*",Main_Tariff!A:A,0)),Raeburn_Main_Tariff[[#This Row],[PRODUCER]])</f>
        <v>Prager</v>
      </c>
      <c r="C4828" s="1178" t="s">
        <v>22461</v>
      </c>
      <c r="D4828" s="1178" t="s">
        <v>1129</v>
      </c>
      <c r="E4828" s="1179">
        <v>2020</v>
      </c>
      <c r="F4828" s="1282" t="s">
        <v>20220</v>
      </c>
      <c r="G4828" s="1368">
        <v>37.5</v>
      </c>
      <c r="H4828" s="1178" t="s">
        <v>20221</v>
      </c>
      <c r="I4828" s="1178" t="s">
        <v>15260</v>
      </c>
      <c r="J4828" s="1178" t="s">
        <v>22404</v>
      </c>
      <c r="K4828" s="1178" t="s">
        <v>546</v>
      </c>
      <c r="L4828" s="1178"/>
      <c r="M4828" s="1369"/>
      <c r="N4828" s="1178"/>
      <c r="O4828" s="1178">
        <v>6</v>
      </c>
      <c r="P4828" s="1178">
        <v>14</v>
      </c>
    </row>
    <row r="4829" spans="1:16">
      <c r="A4829" s="1178" t="s">
        <v>551</v>
      </c>
      <c r="B4829" s="1371" t="str">
        <f>HYPERLINK(IFERROR("#Main_Tariff!A"&amp;MATCH(Raeburn_Main_Tariff[[#This Row],[Product Code]],Main_Tariff!I:I,0),"#Main_Tariff!A"&amp;MATCH("*"&amp;RIGHT(A4829,8)&amp;"*",Main_Tariff!A:A,0)),Raeburn_Main_Tariff[[#This Row],[PRODUCER]])</f>
        <v>Prager</v>
      </c>
      <c r="C4829" s="1178" t="s">
        <v>22461</v>
      </c>
      <c r="D4829" s="1178" t="s">
        <v>1129</v>
      </c>
      <c r="E4829" s="1179">
        <v>2019</v>
      </c>
      <c r="F4829" s="1282" t="s">
        <v>20220</v>
      </c>
      <c r="G4829" s="1368">
        <v>37.5</v>
      </c>
      <c r="H4829" s="1178" t="s">
        <v>20277</v>
      </c>
      <c r="I4829" s="1178" t="s">
        <v>15262</v>
      </c>
      <c r="J4829" s="1178" t="s">
        <v>22404</v>
      </c>
      <c r="K4829" s="1178" t="s">
        <v>546</v>
      </c>
      <c r="L4829" s="1178"/>
      <c r="M4829" s="1369"/>
      <c r="N4829" s="1178"/>
      <c r="O4829" s="1178">
        <v>6</v>
      </c>
      <c r="P4829" s="1178">
        <v>14</v>
      </c>
    </row>
    <row r="4830" spans="1:16">
      <c r="A4830" s="1178" t="s">
        <v>551</v>
      </c>
      <c r="B4830" s="1371" t="str">
        <f>HYPERLINK(IFERROR("#Main_Tariff!A"&amp;MATCH(Raeburn_Main_Tariff[[#This Row],[Product Code]],Main_Tariff!I:I,0),"#Main_Tariff!A"&amp;MATCH("*"&amp;RIGHT(A4830,8)&amp;"*",Main_Tariff!A:A,0)),Raeburn_Main_Tariff[[#This Row],[PRODUCER]])</f>
        <v>Prager</v>
      </c>
      <c r="C4830" s="1178" t="s">
        <v>22462</v>
      </c>
      <c r="D4830" s="1178" t="s">
        <v>1129</v>
      </c>
      <c r="E4830" s="1179">
        <v>2023</v>
      </c>
      <c r="F4830" s="1282" t="s">
        <v>20220</v>
      </c>
      <c r="G4830" s="1368">
        <v>43.5</v>
      </c>
      <c r="H4830" s="1178" t="s">
        <v>20221</v>
      </c>
      <c r="I4830" s="1178" t="s">
        <v>15263</v>
      </c>
      <c r="J4830" s="1178" t="s">
        <v>22404</v>
      </c>
      <c r="K4830" s="1178" t="s">
        <v>546</v>
      </c>
      <c r="L4830" s="1178"/>
      <c r="M4830" s="1369"/>
      <c r="N4830" s="1178"/>
      <c r="O4830" s="1178">
        <v>6</v>
      </c>
      <c r="P4830" s="1178">
        <v>14.5</v>
      </c>
    </row>
    <row r="4831" spans="1:16">
      <c r="A4831" s="1178" t="s">
        <v>551</v>
      </c>
      <c r="B4831" s="1371" t="str">
        <f>HYPERLINK(IFERROR("#Main_Tariff!A"&amp;MATCH(Raeburn_Main_Tariff[[#This Row],[Product Code]],Main_Tariff!I:I,0),"#Main_Tariff!A"&amp;MATCH("*"&amp;RIGHT(A4831,8)&amp;"*",Main_Tariff!A:A,0)),Raeburn_Main_Tariff[[#This Row],[PRODUCER]])</f>
        <v>Prager</v>
      </c>
      <c r="C4831" s="1178" t="s">
        <v>22462</v>
      </c>
      <c r="D4831" s="1178" t="s">
        <v>1129</v>
      </c>
      <c r="E4831" s="1179">
        <v>2022</v>
      </c>
      <c r="F4831" s="1282" t="s">
        <v>20220</v>
      </c>
      <c r="G4831" s="1368">
        <v>41.5</v>
      </c>
      <c r="H4831" s="1178" t="s">
        <v>20221</v>
      </c>
      <c r="I4831" s="1178" t="s">
        <v>15265</v>
      </c>
      <c r="J4831" s="1178" t="s">
        <v>22404</v>
      </c>
      <c r="K4831" s="1178" t="s">
        <v>546</v>
      </c>
      <c r="L4831" s="1178"/>
      <c r="M4831" s="1369"/>
      <c r="N4831" s="1178"/>
      <c r="O4831" s="1178">
        <v>6</v>
      </c>
      <c r="P4831" s="1178">
        <v>13.5</v>
      </c>
    </row>
    <row r="4832" spans="1:16">
      <c r="A4832" s="1178" t="s">
        <v>551</v>
      </c>
      <c r="B4832" s="1371" t="str">
        <f>HYPERLINK(IFERROR("#Main_Tariff!A"&amp;MATCH(Raeburn_Main_Tariff[[#This Row],[Product Code]],Main_Tariff!I:I,0),"#Main_Tariff!A"&amp;MATCH("*"&amp;RIGHT(A4832,8)&amp;"*",Main_Tariff!A:A,0)),Raeburn_Main_Tariff[[#This Row],[PRODUCER]])</f>
        <v>Prager</v>
      </c>
      <c r="C4832" s="1178" t="s">
        <v>22462</v>
      </c>
      <c r="D4832" s="1178" t="s">
        <v>1129</v>
      </c>
      <c r="E4832" s="1179">
        <v>2021</v>
      </c>
      <c r="F4832" s="1282" t="s">
        <v>20220</v>
      </c>
      <c r="G4832" s="1368">
        <v>37.5</v>
      </c>
      <c r="H4832" s="1178" t="s">
        <v>20221</v>
      </c>
      <c r="I4832" s="1178" t="s">
        <v>15267</v>
      </c>
      <c r="J4832" s="1178" t="s">
        <v>22404</v>
      </c>
      <c r="K4832" s="1178" t="s">
        <v>546</v>
      </c>
      <c r="L4832" s="1178"/>
      <c r="M4832" s="1369"/>
      <c r="N4832" s="1178"/>
      <c r="O4832" s="1178">
        <v>6</v>
      </c>
      <c r="P4832" s="1178">
        <v>14</v>
      </c>
    </row>
    <row r="4833" spans="1:16">
      <c r="A4833" s="1178" t="s">
        <v>551</v>
      </c>
      <c r="B4833" s="1371" t="str">
        <f>HYPERLINK(IFERROR("#Main_Tariff!A"&amp;MATCH(Raeburn_Main_Tariff[[#This Row],[Product Code]],Main_Tariff!I:I,0),"#Main_Tariff!A"&amp;MATCH("*"&amp;RIGHT(A4833,8)&amp;"*",Main_Tariff!A:A,0)),Raeburn_Main_Tariff[[#This Row],[PRODUCER]])</f>
        <v>Prager</v>
      </c>
      <c r="C4833" s="1178" t="s">
        <v>22462</v>
      </c>
      <c r="D4833" s="1178" t="s">
        <v>1129</v>
      </c>
      <c r="E4833" s="1179">
        <v>2020</v>
      </c>
      <c r="F4833" s="1282" t="s">
        <v>20220</v>
      </c>
      <c r="G4833" s="1368">
        <v>37.5</v>
      </c>
      <c r="H4833" s="1178" t="s">
        <v>20221</v>
      </c>
      <c r="I4833" s="1178" t="s">
        <v>15269</v>
      </c>
      <c r="J4833" s="1178" t="s">
        <v>22404</v>
      </c>
      <c r="K4833" s="1178" t="s">
        <v>546</v>
      </c>
      <c r="L4833" s="1178"/>
      <c r="M4833" s="1369"/>
      <c r="N4833" s="1178"/>
      <c r="O4833" s="1178">
        <v>6</v>
      </c>
      <c r="P4833" s="1178">
        <v>13</v>
      </c>
    </row>
    <row r="4834" spans="1:16">
      <c r="A4834" s="1178" t="s">
        <v>551</v>
      </c>
      <c r="B4834" s="1371" t="str">
        <f>HYPERLINK(IFERROR("#Main_Tariff!A"&amp;MATCH(Raeburn_Main_Tariff[[#This Row],[Product Code]],Main_Tariff!I:I,0),"#Main_Tariff!A"&amp;MATCH("*"&amp;RIGHT(A4834,8)&amp;"*",Main_Tariff!A:A,0)),Raeburn_Main_Tariff[[#This Row],[PRODUCER]])</f>
        <v>Prager</v>
      </c>
      <c r="C4834" s="1178" t="s">
        <v>22462</v>
      </c>
      <c r="D4834" s="1178" t="s">
        <v>1129</v>
      </c>
      <c r="E4834" s="1179">
        <v>2019</v>
      </c>
      <c r="F4834" s="1282" t="s">
        <v>20220</v>
      </c>
      <c r="G4834" s="1368">
        <v>37.5</v>
      </c>
      <c r="H4834" s="1178" t="s">
        <v>20221</v>
      </c>
      <c r="I4834" s="1178" t="s">
        <v>15271</v>
      </c>
      <c r="J4834" s="1178" t="s">
        <v>22404</v>
      </c>
      <c r="K4834" s="1178" t="s">
        <v>546</v>
      </c>
      <c r="L4834" s="1178"/>
      <c r="M4834" s="1369"/>
      <c r="N4834" s="1178"/>
      <c r="O4834" s="1178">
        <v>6</v>
      </c>
      <c r="P4834" s="1178">
        <v>14</v>
      </c>
    </row>
    <row r="4835" spans="1:16">
      <c r="A4835" s="1178" t="s">
        <v>551</v>
      </c>
      <c r="B4835" s="1371" t="str">
        <f>HYPERLINK(IFERROR("#Main_Tariff!A"&amp;MATCH(Raeburn_Main_Tariff[[#This Row],[Product Code]],Main_Tariff!I:I,0),"#Main_Tariff!A"&amp;MATCH("*"&amp;RIGHT(A4835,8)&amp;"*",Main_Tariff!A:A,0)),Raeburn_Main_Tariff[[#This Row],[PRODUCER]])</f>
        <v>Prager</v>
      </c>
      <c r="C4835" s="1178" t="s">
        <v>22463</v>
      </c>
      <c r="D4835" s="1178" t="s">
        <v>1129</v>
      </c>
      <c r="E4835" s="1179">
        <v>2023</v>
      </c>
      <c r="F4835" s="1282" t="s">
        <v>20220</v>
      </c>
      <c r="G4835" s="1368">
        <v>59.75</v>
      </c>
      <c r="H4835" s="1178" t="s">
        <v>20221</v>
      </c>
      <c r="I4835" s="1178" t="s">
        <v>15273</v>
      </c>
      <c r="J4835" s="1178" t="s">
        <v>22404</v>
      </c>
      <c r="K4835" s="1178" t="s">
        <v>546</v>
      </c>
      <c r="L4835" s="1178"/>
      <c r="M4835" s="1369"/>
      <c r="N4835" s="1178"/>
      <c r="O4835" s="1178">
        <v>6</v>
      </c>
      <c r="P4835" s="1178">
        <v>14</v>
      </c>
    </row>
    <row r="4836" spans="1:16">
      <c r="A4836" s="1178" t="s">
        <v>551</v>
      </c>
      <c r="B4836" s="1371" t="str">
        <f>HYPERLINK(IFERROR("#Main_Tariff!A"&amp;MATCH(Raeburn_Main_Tariff[[#This Row],[Product Code]],Main_Tariff!I:I,0),"#Main_Tariff!A"&amp;MATCH("*"&amp;RIGHT(A4836,8)&amp;"*",Main_Tariff!A:A,0)),Raeburn_Main_Tariff[[#This Row],[PRODUCER]])</f>
        <v>Prager</v>
      </c>
      <c r="C4836" s="1178" t="s">
        <v>22463</v>
      </c>
      <c r="D4836" s="1178" t="s">
        <v>1129</v>
      </c>
      <c r="E4836" s="1179">
        <v>2022</v>
      </c>
      <c r="F4836" s="1282" t="s">
        <v>20220</v>
      </c>
      <c r="G4836" s="1368">
        <v>55.75</v>
      </c>
      <c r="H4836" s="1178" t="s">
        <v>20221</v>
      </c>
      <c r="I4836" s="1178" t="s">
        <v>15275</v>
      </c>
      <c r="J4836" s="1178" t="s">
        <v>22404</v>
      </c>
      <c r="K4836" s="1178" t="s">
        <v>546</v>
      </c>
      <c r="L4836" s="1178"/>
      <c r="M4836" s="1369"/>
      <c r="N4836" s="1178"/>
      <c r="O4836" s="1178">
        <v>6</v>
      </c>
      <c r="P4836" s="1178">
        <v>13.5</v>
      </c>
    </row>
    <row r="4837" spans="1:16">
      <c r="A4837" s="1178" t="s">
        <v>551</v>
      </c>
      <c r="B4837" s="1371" t="str">
        <f>HYPERLINK(IFERROR("#Main_Tariff!A"&amp;MATCH(Raeburn_Main_Tariff[[#This Row],[Product Code]],Main_Tariff!I:I,0),"#Main_Tariff!A"&amp;MATCH("*"&amp;RIGHT(A4837,8)&amp;"*",Main_Tariff!A:A,0)),Raeburn_Main_Tariff[[#This Row],[PRODUCER]])</f>
        <v>Prager</v>
      </c>
      <c r="C4837" s="1178" t="s">
        <v>22463</v>
      </c>
      <c r="D4837" s="1178" t="s">
        <v>1129</v>
      </c>
      <c r="E4837" s="1179">
        <v>2021</v>
      </c>
      <c r="F4837" s="1282" t="s">
        <v>20220</v>
      </c>
      <c r="G4837" s="1368">
        <v>51.5</v>
      </c>
      <c r="H4837" s="1178" t="s">
        <v>20221</v>
      </c>
      <c r="I4837" s="1178" t="s">
        <v>15277</v>
      </c>
      <c r="J4837" s="1178" t="s">
        <v>22404</v>
      </c>
      <c r="K4837" s="1178" t="s">
        <v>546</v>
      </c>
      <c r="L4837" s="1178"/>
      <c r="M4837" s="1369"/>
      <c r="N4837" s="1178"/>
      <c r="O4837" s="1178">
        <v>6</v>
      </c>
      <c r="P4837" s="1178">
        <v>14</v>
      </c>
    </row>
    <row r="4838" spans="1:16">
      <c r="A4838" s="1178" t="s">
        <v>551</v>
      </c>
      <c r="B4838" s="1371" t="str">
        <f>HYPERLINK(IFERROR("#Main_Tariff!A"&amp;MATCH(Raeburn_Main_Tariff[[#This Row],[Product Code]],Main_Tariff!I:I,0),"#Main_Tariff!A"&amp;MATCH("*"&amp;RIGHT(A4838,8)&amp;"*",Main_Tariff!A:A,0)),Raeburn_Main_Tariff[[#This Row],[PRODUCER]])</f>
        <v>Prager</v>
      </c>
      <c r="C4838" s="1178" t="s">
        <v>22463</v>
      </c>
      <c r="D4838" s="1178" t="s">
        <v>1129</v>
      </c>
      <c r="E4838" s="1179">
        <v>2020</v>
      </c>
      <c r="F4838" s="1282" t="s">
        <v>20220</v>
      </c>
      <c r="G4838" s="1368">
        <v>51.5</v>
      </c>
      <c r="H4838" s="1178" t="s">
        <v>20221</v>
      </c>
      <c r="I4838" s="1178" t="s">
        <v>15279</v>
      </c>
      <c r="J4838" s="1178" t="s">
        <v>22404</v>
      </c>
      <c r="K4838" s="1178" t="s">
        <v>546</v>
      </c>
      <c r="L4838" s="1178"/>
      <c r="M4838" s="1369"/>
      <c r="N4838" s="1178"/>
      <c r="O4838" s="1178">
        <v>6</v>
      </c>
      <c r="P4838" s="1178">
        <v>13.5</v>
      </c>
    </row>
    <row r="4839" spans="1:16">
      <c r="A4839" s="1178" t="s">
        <v>551</v>
      </c>
      <c r="B4839" s="1371" t="str">
        <f>HYPERLINK(IFERROR("#Main_Tariff!A"&amp;MATCH(Raeburn_Main_Tariff[[#This Row],[Product Code]],Main_Tariff!I:I,0),"#Main_Tariff!A"&amp;MATCH("*"&amp;RIGHT(A4839,8)&amp;"*",Main_Tariff!A:A,0)),Raeburn_Main_Tariff[[#This Row],[PRODUCER]])</f>
        <v>Prager</v>
      </c>
      <c r="C4839" s="1178" t="s">
        <v>22463</v>
      </c>
      <c r="D4839" s="1178" t="s">
        <v>1129</v>
      </c>
      <c r="E4839" s="1179">
        <v>2019</v>
      </c>
      <c r="F4839" s="1282" t="s">
        <v>20220</v>
      </c>
      <c r="G4839" s="1368">
        <v>51.5</v>
      </c>
      <c r="H4839" s="1178" t="s">
        <v>20221</v>
      </c>
      <c r="I4839" s="1178" t="s">
        <v>15281</v>
      </c>
      <c r="J4839" s="1178" t="s">
        <v>22404</v>
      </c>
      <c r="K4839" s="1178" t="s">
        <v>546</v>
      </c>
      <c r="L4839" s="1178"/>
      <c r="M4839" s="1369"/>
      <c r="N4839" s="1178"/>
      <c r="O4839" s="1178">
        <v>6</v>
      </c>
      <c r="P4839" s="1178">
        <v>13.5</v>
      </c>
    </row>
    <row r="4840" spans="1:16">
      <c r="A4840" s="1178" t="s">
        <v>551</v>
      </c>
      <c r="B4840" s="1371" t="str">
        <f>HYPERLINK(IFERROR("#Main_Tariff!A"&amp;MATCH(Raeburn_Main_Tariff[[#This Row],[Product Code]],Main_Tariff!I:I,0),"#Main_Tariff!A"&amp;MATCH("*"&amp;RIGHT(A4840,8)&amp;"*",Main_Tariff!A:A,0)),Raeburn_Main_Tariff[[#This Row],[PRODUCER]])</f>
        <v>Prager</v>
      </c>
      <c r="C4840" s="1178" t="s">
        <v>22463</v>
      </c>
      <c r="D4840" s="1178" t="s">
        <v>1129</v>
      </c>
      <c r="E4840" s="1179">
        <v>2018</v>
      </c>
      <c r="F4840" s="1282" t="s">
        <v>20220</v>
      </c>
      <c r="G4840" s="1368">
        <v>51.5</v>
      </c>
      <c r="H4840" s="1178" t="s">
        <v>20221</v>
      </c>
      <c r="I4840" s="1178" t="s">
        <v>15283</v>
      </c>
      <c r="J4840" s="1178" t="s">
        <v>22404</v>
      </c>
      <c r="K4840" s="1178" t="s">
        <v>546</v>
      </c>
      <c r="L4840" s="1178"/>
      <c r="M4840" s="1369"/>
      <c r="N4840" s="1178"/>
      <c r="O4840" s="1178">
        <v>6</v>
      </c>
      <c r="P4840" s="1178">
        <v>13.5</v>
      </c>
    </row>
    <row r="4841" spans="1:16">
      <c r="A4841" s="1178" t="s">
        <v>551</v>
      </c>
      <c r="B4841" s="1371" t="str">
        <f>HYPERLINK(IFERROR("#Main_Tariff!A"&amp;MATCH(Raeburn_Main_Tariff[[#This Row],[Product Code]],Main_Tariff!I:I,0),"#Main_Tariff!A"&amp;MATCH("*"&amp;RIGHT(A4841,8)&amp;"*",Main_Tariff!A:A,0)),Raeburn_Main_Tariff[[#This Row],[PRODUCER]])</f>
        <v>Prager</v>
      </c>
      <c r="C4841" s="1178" t="s">
        <v>22463</v>
      </c>
      <c r="D4841" s="1178" t="s">
        <v>1129</v>
      </c>
      <c r="E4841" s="1179">
        <v>2017</v>
      </c>
      <c r="F4841" s="1282" t="s">
        <v>20220</v>
      </c>
      <c r="G4841" s="1368">
        <v>51.5</v>
      </c>
      <c r="H4841" s="1178" t="s">
        <v>20221</v>
      </c>
      <c r="I4841" s="1178" t="s">
        <v>15285</v>
      </c>
      <c r="J4841" s="1178" t="s">
        <v>22404</v>
      </c>
      <c r="K4841" s="1178" t="s">
        <v>546</v>
      </c>
      <c r="L4841" s="1178"/>
      <c r="M4841" s="1369"/>
      <c r="N4841" s="1178"/>
      <c r="O4841" s="1178">
        <v>6</v>
      </c>
      <c r="P4841" s="1178">
        <v>14</v>
      </c>
    </row>
    <row r="4842" spans="1:16">
      <c r="A4842" s="1178" t="s">
        <v>551</v>
      </c>
      <c r="B4842" s="1371" t="str">
        <f>HYPERLINK(IFERROR("#Main_Tariff!A"&amp;MATCH(Raeburn_Main_Tariff[[#This Row],[Product Code]],Main_Tariff!I:I,0),"#Main_Tariff!A"&amp;MATCH("*"&amp;RIGHT(A4842,8)&amp;"*",Main_Tariff!A:A,0)),Raeburn_Main_Tariff[[#This Row],[PRODUCER]])</f>
        <v>Prager</v>
      </c>
      <c r="C4842" s="1178" t="s">
        <v>22464</v>
      </c>
      <c r="D4842" s="1178" t="s">
        <v>1129</v>
      </c>
      <c r="E4842" s="1179">
        <v>2023</v>
      </c>
      <c r="F4842" s="1282" t="s">
        <v>20240</v>
      </c>
      <c r="G4842" s="1368">
        <v>114.25</v>
      </c>
      <c r="H4842" s="1178" t="s">
        <v>20224</v>
      </c>
      <c r="I4842" s="1178" t="s">
        <v>15289</v>
      </c>
      <c r="J4842" s="1178" t="s">
        <v>22404</v>
      </c>
      <c r="K4842" s="1178" t="s">
        <v>546</v>
      </c>
      <c r="L4842" s="1178"/>
      <c r="M4842" s="1369"/>
      <c r="N4842" s="1178"/>
      <c r="O4842" s="1178">
        <v>3</v>
      </c>
      <c r="P4842" s="1178">
        <v>14.5</v>
      </c>
    </row>
    <row r="4843" spans="1:16">
      <c r="A4843" s="1178" t="s">
        <v>551</v>
      </c>
      <c r="B4843" s="1371" t="str">
        <f>HYPERLINK(IFERROR("#Main_Tariff!A"&amp;MATCH(Raeburn_Main_Tariff[[#This Row],[Product Code]],Main_Tariff!I:I,0),"#Main_Tariff!A"&amp;MATCH("*"&amp;RIGHT(A4843,8)&amp;"*",Main_Tariff!A:A,0)),Raeburn_Main_Tariff[[#This Row],[PRODUCER]])</f>
        <v>Prager</v>
      </c>
      <c r="C4843" s="1178" t="s">
        <v>22464</v>
      </c>
      <c r="D4843" s="1178" t="s">
        <v>1129</v>
      </c>
      <c r="E4843" s="1179">
        <v>2022</v>
      </c>
      <c r="F4843" s="1282" t="s">
        <v>20240</v>
      </c>
      <c r="G4843" s="1368">
        <v>100</v>
      </c>
      <c r="H4843" s="1178" t="s">
        <v>20224</v>
      </c>
      <c r="I4843" s="1178" t="s">
        <v>15291</v>
      </c>
      <c r="J4843" s="1178" t="s">
        <v>22404</v>
      </c>
      <c r="K4843" s="1178" t="s">
        <v>546</v>
      </c>
      <c r="L4843" s="1178"/>
      <c r="M4843" s="1369"/>
      <c r="N4843" s="1178"/>
      <c r="O4843" s="1178">
        <v>3</v>
      </c>
      <c r="P4843" s="1178">
        <v>13.5</v>
      </c>
    </row>
    <row r="4844" spans="1:16">
      <c r="A4844" s="1178" t="s">
        <v>551</v>
      </c>
      <c r="B4844" s="1371" t="str">
        <f>HYPERLINK(IFERROR("#Main_Tariff!A"&amp;MATCH(Raeburn_Main_Tariff[[#This Row],[Product Code]],Main_Tariff!I:I,0),"#Main_Tariff!A"&amp;MATCH("*"&amp;RIGHT(A4844,8)&amp;"*",Main_Tariff!A:A,0)),Raeburn_Main_Tariff[[#This Row],[PRODUCER]])</f>
        <v>Prager</v>
      </c>
      <c r="C4844" s="1178" t="s">
        <v>22464</v>
      </c>
      <c r="D4844" s="1178" t="s">
        <v>1129</v>
      </c>
      <c r="E4844" s="1179">
        <v>2020</v>
      </c>
      <c r="F4844" s="1282" t="s">
        <v>20240</v>
      </c>
      <c r="G4844" s="1368">
        <v>84</v>
      </c>
      <c r="H4844" s="1178" t="s">
        <v>20224</v>
      </c>
      <c r="I4844" s="1178" t="s">
        <v>15293</v>
      </c>
      <c r="J4844" s="1178" t="s">
        <v>22404</v>
      </c>
      <c r="K4844" s="1178" t="s">
        <v>546</v>
      </c>
      <c r="L4844" s="1178"/>
      <c r="M4844" s="1369"/>
      <c r="N4844" s="1178"/>
      <c r="O4844" s="1178">
        <v>3</v>
      </c>
      <c r="P4844" s="1178">
        <v>13.5</v>
      </c>
    </row>
    <row r="4845" spans="1:16">
      <c r="A4845" s="1178" t="s">
        <v>551</v>
      </c>
      <c r="B4845" s="1371" t="str">
        <f>HYPERLINK(IFERROR("#Main_Tariff!A"&amp;MATCH(Raeburn_Main_Tariff[[#This Row],[Product Code]],Main_Tariff!I:I,0),"#Main_Tariff!A"&amp;MATCH("*"&amp;RIGHT(A4845,8)&amp;"*",Main_Tariff!A:A,0)),Raeburn_Main_Tariff[[#This Row],[PRODUCER]])</f>
        <v>Prager</v>
      </c>
      <c r="C4845" s="1178" t="s">
        <v>22464</v>
      </c>
      <c r="D4845" s="1178" t="s">
        <v>1129</v>
      </c>
      <c r="E4845" s="1179">
        <v>2019</v>
      </c>
      <c r="F4845" s="1282" t="s">
        <v>20240</v>
      </c>
      <c r="G4845" s="1368">
        <v>84</v>
      </c>
      <c r="H4845" s="1178" t="s">
        <v>20224</v>
      </c>
      <c r="I4845" s="1178" t="s">
        <v>15295</v>
      </c>
      <c r="J4845" s="1178" t="s">
        <v>22404</v>
      </c>
      <c r="K4845" s="1178" t="s">
        <v>546</v>
      </c>
      <c r="L4845" s="1178"/>
      <c r="M4845" s="1369"/>
      <c r="N4845" s="1178"/>
      <c r="O4845" s="1178">
        <v>3</v>
      </c>
      <c r="P4845" s="1178">
        <v>14</v>
      </c>
    </row>
    <row r="4846" spans="1:16">
      <c r="A4846" s="1178" t="s">
        <v>551</v>
      </c>
      <c r="B4846" s="1371" t="str">
        <f>HYPERLINK(IFERROR("#Main_Tariff!A"&amp;MATCH(Raeburn_Main_Tariff[[#This Row],[Product Code]],Main_Tariff!I:I,0),"#Main_Tariff!A"&amp;MATCH("*"&amp;RIGHT(A4846,8)&amp;"*",Main_Tariff!A:A,0)),Raeburn_Main_Tariff[[#This Row],[PRODUCER]])</f>
        <v>Prager</v>
      </c>
      <c r="C4846" s="1178" t="s">
        <v>22465</v>
      </c>
      <c r="D4846" s="1178" t="s">
        <v>1129</v>
      </c>
      <c r="E4846" s="1179">
        <v>2023</v>
      </c>
      <c r="F4846" s="1282" t="s">
        <v>20240</v>
      </c>
      <c r="G4846" s="1368">
        <v>138.5</v>
      </c>
      <c r="H4846" s="1178" t="s">
        <v>20224</v>
      </c>
      <c r="I4846" s="1178" t="s">
        <v>15297</v>
      </c>
      <c r="J4846" s="1178" t="s">
        <v>22404</v>
      </c>
      <c r="K4846" s="1178" t="s">
        <v>546</v>
      </c>
      <c r="L4846" s="1178"/>
      <c r="M4846" s="1369"/>
      <c r="N4846" s="1178"/>
      <c r="O4846" s="1178">
        <v>3</v>
      </c>
      <c r="P4846" s="1178">
        <v>14</v>
      </c>
    </row>
    <row r="4847" spans="1:16">
      <c r="A4847" s="1178" t="s">
        <v>551</v>
      </c>
      <c r="B4847" s="1371" t="str">
        <f>HYPERLINK(IFERROR("#Main_Tariff!A"&amp;MATCH(Raeburn_Main_Tariff[[#This Row],[Product Code]],Main_Tariff!I:I,0),"#Main_Tariff!A"&amp;MATCH("*"&amp;RIGHT(A4847,8)&amp;"*",Main_Tariff!A:A,0)),Raeburn_Main_Tariff[[#This Row],[PRODUCER]])</f>
        <v>Prager</v>
      </c>
      <c r="C4847" s="1178" t="s">
        <v>22465</v>
      </c>
      <c r="D4847" s="1178" t="s">
        <v>1129</v>
      </c>
      <c r="E4847" s="1179">
        <v>2022</v>
      </c>
      <c r="F4847" s="1282" t="s">
        <v>20240</v>
      </c>
      <c r="G4847" s="1368">
        <v>124</v>
      </c>
      <c r="H4847" s="1178" t="s">
        <v>20224</v>
      </c>
      <c r="I4847" s="1178" t="s">
        <v>15299</v>
      </c>
      <c r="J4847" s="1178" t="s">
        <v>22404</v>
      </c>
      <c r="K4847" s="1178" t="s">
        <v>546</v>
      </c>
      <c r="L4847" s="1178"/>
      <c r="M4847" s="1369"/>
      <c r="N4847" s="1178"/>
      <c r="O4847" s="1178">
        <v>3</v>
      </c>
      <c r="P4847" s="1178">
        <v>13.5</v>
      </c>
    </row>
    <row r="4848" spans="1:16">
      <c r="A4848" s="1178" t="s">
        <v>551</v>
      </c>
      <c r="B4848" s="1371" t="str">
        <f>HYPERLINK(IFERROR("#Main_Tariff!A"&amp;MATCH(Raeburn_Main_Tariff[[#This Row],[Product Code]],Main_Tariff!I:I,0),"#Main_Tariff!A"&amp;MATCH("*"&amp;RIGHT(A4848,8)&amp;"*",Main_Tariff!A:A,0)),Raeburn_Main_Tariff[[#This Row],[PRODUCER]])</f>
        <v>Prager</v>
      </c>
      <c r="C4848" s="1178" t="s">
        <v>22465</v>
      </c>
      <c r="D4848" s="1178" t="s">
        <v>1129</v>
      </c>
      <c r="E4848" s="1179">
        <v>2020</v>
      </c>
      <c r="F4848" s="1282" t="s">
        <v>20240</v>
      </c>
      <c r="G4848" s="1368">
        <v>114</v>
      </c>
      <c r="H4848" s="1178" t="s">
        <v>20224</v>
      </c>
      <c r="I4848" s="1178" t="s">
        <v>15301</v>
      </c>
      <c r="J4848" s="1178" t="s">
        <v>22404</v>
      </c>
      <c r="K4848" s="1178" t="s">
        <v>546</v>
      </c>
      <c r="L4848" s="1178"/>
      <c r="M4848" s="1369"/>
      <c r="N4848" s="1178"/>
      <c r="O4848" s="1178">
        <v>3</v>
      </c>
      <c r="P4848" s="1178">
        <v>13.5</v>
      </c>
    </row>
    <row r="4849" spans="1:16">
      <c r="A4849" s="1178" t="s">
        <v>551</v>
      </c>
      <c r="B4849" s="1371" t="str">
        <f>HYPERLINK(IFERROR("#Main_Tariff!A"&amp;MATCH(Raeburn_Main_Tariff[[#This Row],[Product Code]],Main_Tariff!I:I,0),"#Main_Tariff!A"&amp;MATCH("*"&amp;RIGHT(A4849,8)&amp;"*",Main_Tariff!A:A,0)),Raeburn_Main_Tariff[[#This Row],[PRODUCER]])</f>
        <v>Prager</v>
      </c>
      <c r="C4849" s="1178" t="s">
        <v>22465</v>
      </c>
      <c r="D4849" s="1178" t="s">
        <v>1129</v>
      </c>
      <c r="E4849" s="1179">
        <v>2019</v>
      </c>
      <c r="F4849" s="1282" t="s">
        <v>20240</v>
      </c>
      <c r="G4849" s="1368">
        <v>114</v>
      </c>
      <c r="H4849" s="1178" t="s">
        <v>20224</v>
      </c>
      <c r="I4849" s="1178" t="s">
        <v>15303</v>
      </c>
      <c r="J4849" s="1178" t="s">
        <v>22404</v>
      </c>
      <c r="K4849" s="1178" t="s">
        <v>546</v>
      </c>
      <c r="L4849" s="1178"/>
      <c r="M4849" s="1369"/>
      <c r="N4849" s="1178"/>
      <c r="O4849" s="1178">
        <v>3</v>
      </c>
      <c r="P4849" s="1178">
        <v>13.5</v>
      </c>
    </row>
    <row r="4850" spans="1:16">
      <c r="A4850" s="1178" t="s">
        <v>551</v>
      </c>
      <c r="B4850" s="1371" t="str">
        <f>HYPERLINK(IFERROR("#Main_Tariff!A"&amp;MATCH(Raeburn_Main_Tariff[[#This Row],[Product Code]],Main_Tariff!I:I,0),"#Main_Tariff!A"&amp;MATCH("*"&amp;RIGHT(A4850,8)&amp;"*",Main_Tariff!A:A,0)),Raeburn_Main_Tariff[[#This Row],[PRODUCER]])</f>
        <v>Prager</v>
      </c>
      <c r="C4850" s="1178" t="s">
        <v>22465</v>
      </c>
      <c r="D4850" s="1178" t="s">
        <v>1129</v>
      </c>
      <c r="E4850" s="1179">
        <v>2018</v>
      </c>
      <c r="F4850" s="1282" t="s">
        <v>20240</v>
      </c>
      <c r="G4850" s="1368">
        <v>114</v>
      </c>
      <c r="H4850" s="1178" t="s">
        <v>20224</v>
      </c>
      <c r="I4850" s="1178" t="s">
        <v>15305</v>
      </c>
      <c r="J4850" s="1178" t="s">
        <v>22404</v>
      </c>
      <c r="K4850" s="1178" t="s">
        <v>546</v>
      </c>
      <c r="L4850" s="1178"/>
      <c r="M4850" s="1369"/>
      <c r="N4850" s="1178"/>
      <c r="O4850" s="1178">
        <v>3</v>
      </c>
      <c r="P4850" s="1178">
        <v>14</v>
      </c>
    </row>
    <row r="4851" spans="1:16">
      <c r="A4851" s="1178" t="s">
        <v>551</v>
      </c>
      <c r="B4851" s="1371" t="str">
        <f>HYPERLINK(IFERROR("#Main_Tariff!A"&amp;MATCH(Raeburn_Main_Tariff[[#This Row],[Product Code]],Main_Tariff!I:I,0),"#Main_Tariff!A"&amp;MATCH("*"&amp;RIGHT(A4851,8)&amp;"*",Main_Tariff!A:A,0)),Raeburn_Main_Tariff[[#This Row],[PRODUCER]])</f>
        <v>Prager</v>
      </c>
      <c r="C4851" s="1178" t="s">
        <v>22465</v>
      </c>
      <c r="D4851" s="1178" t="s">
        <v>1129</v>
      </c>
      <c r="E4851" s="1179">
        <v>2017</v>
      </c>
      <c r="F4851" s="1282" t="s">
        <v>20240</v>
      </c>
      <c r="G4851" s="1368">
        <v>114</v>
      </c>
      <c r="H4851" s="1178" t="s">
        <v>20224</v>
      </c>
      <c r="I4851" s="1178" t="s">
        <v>15307</v>
      </c>
      <c r="J4851" s="1178" t="s">
        <v>22404</v>
      </c>
      <c r="K4851" s="1178" t="s">
        <v>546</v>
      </c>
      <c r="L4851" s="1178"/>
      <c r="M4851" s="1369"/>
      <c r="N4851" s="1178"/>
      <c r="O4851" s="1178">
        <v>1</v>
      </c>
      <c r="P4851" s="1178">
        <v>14</v>
      </c>
    </row>
    <row r="4852" spans="1:16">
      <c r="A4852" s="1178" t="s">
        <v>551</v>
      </c>
      <c r="B4852" s="1371" t="str">
        <f>HYPERLINK(IFERROR("#Main_Tariff!A"&amp;MATCH(Raeburn_Main_Tariff[[#This Row],[Product Code]],Main_Tariff!I:I,0),"#Main_Tariff!A"&amp;MATCH("*"&amp;RIGHT(A4852,8)&amp;"*",Main_Tariff!A:A,0)),Raeburn_Main_Tariff[[#This Row],[PRODUCER]])</f>
        <v>Prager</v>
      </c>
      <c r="C4852" s="1178" t="s">
        <v>22466</v>
      </c>
      <c r="D4852" s="1178" t="s">
        <v>1129</v>
      </c>
      <c r="E4852" s="1179">
        <v>2023</v>
      </c>
      <c r="F4852" s="1282" t="s">
        <v>20220</v>
      </c>
      <c r="G4852" s="1368">
        <v>25.5</v>
      </c>
      <c r="H4852" s="1178" t="s">
        <v>20221</v>
      </c>
      <c r="I4852" s="1178" t="s">
        <v>15311</v>
      </c>
      <c r="J4852" s="1178" t="s">
        <v>22404</v>
      </c>
      <c r="K4852" s="1178" t="s">
        <v>546</v>
      </c>
      <c r="L4852" s="1178"/>
      <c r="M4852" s="1369"/>
      <c r="N4852" s="1178"/>
      <c r="O4852" s="1178">
        <v>6</v>
      </c>
      <c r="P4852" s="1178">
        <v>13</v>
      </c>
    </row>
    <row r="4853" spans="1:16">
      <c r="A4853" s="1178" t="s">
        <v>551</v>
      </c>
      <c r="B4853" s="1371" t="str">
        <f>HYPERLINK(IFERROR("#Main_Tariff!A"&amp;MATCH(Raeburn_Main_Tariff[[#This Row],[Product Code]],Main_Tariff!I:I,0),"#Main_Tariff!A"&amp;MATCH("*"&amp;RIGHT(A4853,8)&amp;"*",Main_Tariff!A:A,0)),Raeburn_Main_Tariff[[#This Row],[PRODUCER]])</f>
        <v>Prager</v>
      </c>
      <c r="C4853" s="1178" t="s">
        <v>22466</v>
      </c>
      <c r="D4853" s="1178" t="s">
        <v>1129</v>
      </c>
      <c r="E4853" s="1179">
        <v>2022</v>
      </c>
      <c r="F4853" s="1282" t="s">
        <v>20220</v>
      </c>
      <c r="G4853" s="1368">
        <v>23</v>
      </c>
      <c r="H4853" s="1178" t="s">
        <v>20221</v>
      </c>
      <c r="I4853" s="1178" t="s">
        <v>15313</v>
      </c>
      <c r="J4853" s="1178" t="s">
        <v>22404</v>
      </c>
      <c r="K4853" s="1178" t="s">
        <v>546</v>
      </c>
      <c r="L4853" s="1178"/>
      <c r="M4853" s="1369"/>
      <c r="N4853" s="1178"/>
      <c r="O4853" s="1178">
        <v>6</v>
      </c>
      <c r="P4853" s="1178">
        <v>12.5</v>
      </c>
    </row>
    <row r="4854" spans="1:16">
      <c r="A4854" s="1178" t="s">
        <v>551</v>
      </c>
      <c r="B4854" s="1371" t="str">
        <f>HYPERLINK(IFERROR("#Main_Tariff!A"&amp;MATCH(Raeburn_Main_Tariff[[#This Row],[Product Code]],Main_Tariff!I:I,0),"#Main_Tariff!A"&amp;MATCH("*"&amp;RIGHT(A4854,8)&amp;"*",Main_Tariff!A:A,0)),Raeburn_Main_Tariff[[#This Row],[PRODUCER]])</f>
        <v>Prager</v>
      </c>
      <c r="C4854" s="1178" t="s">
        <v>22466</v>
      </c>
      <c r="D4854" s="1178" t="s">
        <v>1129</v>
      </c>
      <c r="E4854" s="1179">
        <v>2021</v>
      </c>
      <c r="F4854" s="1282" t="s">
        <v>20220</v>
      </c>
      <c r="G4854" s="1368">
        <v>21.5</v>
      </c>
      <c r="H4854" s="1178" t="s">
        <v>20221</v>
      </c>
      <c r="I4854" s="1178" t="s">
        <v>15315</v>
      </c>
      <c r="J4854" s="1178" t="s">
        <v>22404</v>
      </c>
      <c r="K4854" s="1178" t="s">
        <v>546</v>
      </c>
      <c r="L4854" s="1178"/>
      <c r="M4854" s="1369"/>
      <c r="N4854" s="1178"/>
      <c r="O4854" s="1178">
        <v>6</v>
      </c>
      <c r="P4854" s="1178">
        <v>12.5</v>
      </c>
    </row>
    <row r="4855" spans="1:16">
      <c r="A4855" s="1178" t="s">
        <v>551</v>
      </c>
      <c r="B4855" s="1371" t="str">
        <f>HYPERLINK(IFERROR("#Main_Tariff!A"&amp;MATCH(Raeburn_Main_Tariff[[#This Row],[Product Code]],Main_Tariff!I:I,0),"#Main_Tariff!A"&amp;MATCH("*"&amp;RIGHT(A4855,8)&amp;"*",Main_Tariff!A:A,0)),Raeburn_Main_Tariff[[#This Row],[PRODUCER]])</f>
        <v>Prager</v>
      </c>
      <c r="C4855" s="1178" t="s">
        <v>22466</v>
      </c>
      <c r="D4855" s="1178" t="s">
        <v>1129</v>
      </c>
      <c r="E4855" s="1179">
        <v>2020</v>
      </c>
      <c r="F4855" s="1282" t="s">
        <v>20220</v>
      </c>
      <c r="G4855" s="1368">
        <v>21</v>
      </c>
      <c r="H4855" s="1178" t="s">
        <v>20277</v>
      </c>
      <c r="I4855" s="1178" t="s">
        <v>15317</v>
      </c>
      <c r="J4855" s="1178" t="s">
        <v>22404</v>
      </c>
      <c r="K4855" s="1178" t="s">
        <v>546</v>
      </c>
      <c r="L4855" s="1178"/>
      <c r="M4855" s="1369"/>
      <c r="N4855" s="1178"/>
      <c r="O4855" s="1178">
        <v>6</v>
      </c>
      <c r="P4855" s="1178">
        <v>12.5</v>
      </c>
    </row>
    <row r="4856" spans="1:16">
      <c r="A4856" s="1178" t="s">
        <v>551</v>
      </c>
      <c r="B4856" s="1371" t="str">
        <f>HYPERLINK(IFERROR("#Main_Tariff!A"&amp;MATCH(Raeburn_Main_Tariff[[#This Row],[Product Code]],Main_Tariff!I:I,0),"#Main_Tariff!A"&amp;MATCH("*"&amp;RIGHT(A4856,8)&amp;"*",Main_Tariff!A:A,0)),Raeburn_Main_Tariff[[#This Row],[PRODUCER]])</f>
        <v>Prager</v>
      </c>
      <c r="C4856" s="1178" t="s">
        <v>22467</v>
      </c>
      <c r="D4856" s="1178" t="s">
        <v>1129</v>
      </c>
      <c r="E4856" s="1179">
        <v>2023</v>
      </c>
      <c r="F4856" s="1282" t="s">
        <v>20220</v>
      </c>
      <c r="G4856" s="1368">
        <v>42.5</v>
      </c>
      <c r="H4856" s="1178" t="s">
        <v>20221</v>
      </c>
      <c r="I4856" s="1178" t="s">
        <v>15321</v>
      </c>
      <c r="J4856" s="1178" t="s">
        <v>22404</v>
      </c>
      <c r="K4856" s="1178" t="s">
        <v>546</v>
      </c>
      <c r="L4856" s="1178"/>
      <c r="M4856" s="1369"/>
      <c r="N4856" s="1178"/>
      <c r="O4856" s="1178">
        <v>6</v>
      </c>
      <c r="P4856" s="1178">
        <v>13.5</v>
      </c>
    </row>
    <row r="4857" spans="1:16">
      <c r="A4857" s="1178" t="s">
        <v>551</v>
      </c>
      <c r="B4857" s="1371" t="str">
        <f>HYPERLINK(IFERROR("#Main_Tariff!A"&amp;MATCH(Raeburn_Main_Tariff[[#This Row],[Product Code]],Main_Tariff!I:I,0),"#Main_Tariff!A"&amp;MATCH("*"&amp;RIGHT(A4857,8)&amp;"*",Main_Tariff!A:A,0)),Raeburn_Main_Tariff[[#This Row],[PRODUCER]])</f>
        <v>Prager</v>
      </c>
      <c r="C4857" s="1178" t="s">
        <v>22467</v>
      </c>
      <c r="D4857" s="1178" t="s">
        <v>1129</v>
      </c>
      <c r="E4857" s="1179">
        <v>2022</v>
      </c>
      <c r="F4857" s="1282" t="s">
        <v>20220</v>
      </c>
      <c r="G4857" s="1368">
        <v>39.75</v>
      </c>
      <c r="H4857" s="1178" t="s">
        <v>20221</v>
      </c>
      <c r="I4857" s="1178" t="s">
        <v>15323</v>
      </c>
      <c r="J4857" s="1178" t="s">
        <v>22404</v>
      </c>
      <c r="K4857" s="1178" t="s">
        <v>546</v>
      </c>
      <c r="L4857" s="1178"/>
      <c r="M4857" s="1369"/>
      <c r="N4857" s="1178"/>
      <c r="O4857" s="1178">
        <v>6</v>
      </c>
      <c r="P4857" s="1178">
        <v>13.5</v>
      </c>
    </row>
    <row r="4858" spans="1:16">
      <c r="A4858" s="1178" t="s">
        <v>551</v>
      </c>
      <c r="B4858" s="1371" t="str">
        <f>HYPERLINK(IFERROR("#Main_Tariff!A"&amp;MATCH(Raeburn_Main_Tariff[[#This Row],[Product Code]],Main_Tariff!I:I,0),"#Main_Tariff!A"&amp;MATCH("*"&amp;RIGHT(A4858,8)&amp;"*",Main_Tariff!A:A,0)),Raeburn_Main_Tariff[[#This Row],[PRODUCER]])</f>
        <v>Prager</v>
      </c>
      <c r="C4858" s="1178" t="s">
        <v>22467</v>
      </c>
      <c r="D4858" s="1178" t="s">
        <v>1129</v>
      </c>
      <c r="E4858" s="1179">
        <v>2021</v>
      </c>
      <c r="F4858" s="1282" t="s">
        <v>20220</v>
      </c>
      <c r="G4858" s="1368">
        <v>36.5</v>
      </c>
      <c r="H4858" s="1178" t="s">
        <v>20221</v>
      </c>
      <c r="I4858" s="1178" t="s">
        <v>15325</v>
      </c>
      <c r="J4858" s="1178" t="s">
        <v>22404</v>
      </c>
      <c r="K4858" s="1178" t="s">
        <v>546</v>
      </c>
      <c r="L4858" s="1178"/>
      <c r="M4858" s="1369"/>
      <c r="N4858" s="1178"/>
      <c r="O4858" s="1178">
        <v>6</v>
      </c>
      <c r="P4858" s="1178">
        <v>13.5</v>
      </c>
    </row>
    <row r="4859" spans="1:16">
      <c r="A4859" s="1178" t="s">
        <v>551</v>
      </c>
      <c r="B4859" s="1371" t="str">
        <f>HYPERLINK(IFERROR("#Main_Tariff!A"&amp;MATCH(Raeburn_Main_Tariff[[#This Row],[Product Code]],Main_Tariff!I:I,0),"#Main_Tariff!A"&amp;MATCH("*"&amp;RIGHT(A4859,8)&amp;"*",Main_Tariff!A:A,0)),Raeburn_Main_Tariff[[#This Row],[PRODUCER]])</f>
        <v>Prager</v>
      </c>
      <c r="C4859" s="1178" t="s">
        <v>22467</v>
      </c>
      <c r="D4859" s="1178" t="s">
        <v>1129</v>
      </c>
      <c r="E4859" s="1179">
        <v>2020</v>
      </c>
      <c r="F4859" s="1282" t="s">
        <v>20220</v>
      </c>
      <c r="G4859" s="1368">
        <v>36.5</v>
      </c>
      <c r="H4859" s="1178" t="s">
        <v>20221</v>
      </c>
      <c r="I4859" s="1178" t="s">
        <v>15327</v>
      </c>
      <c r="J4859" s="1178" t="s">
        <v>22404</v>
      </c>
      <c r="K4859" s="1178" t="s">
        <v>546</v>
      </c>
      <c r="L4859" s="1178"/>
      <c r="M4859" s="1369"/>
      <c r="N4859" s="1178"/>
      <c r="O4859" s="1178">
        <v>6</v>
      </c>
      <c r="P4859" s="1178">
        <v>13.5</v>
      </c>
    </row>
    <row r="4860" spans="1:16">
      <c r="A4860" s="1178" t="s">
        <v>551</v>
      </c>
      <c r="B4860" s="1371" t="str">
        <f>HYPERLINK(IFERROR("#Main_Tariff!A"&amp;MATCH(Raeburn_Main_Tariff[[#This Row],[Product Code]],Main_Tariff!I:I,0),"#Main_Tariff!A"&amp;MATCH("*"&amp;RIGHT(A4860,8)&amp;"*",Main_Tariff!A:A,0)),Raeburn_Main_Tariff[[#This Row],[PRODUCER]])</f>
        <v>Prager</v>
      </c>
      <c r="C4860" s="1178" t="s">
        <v>22467</v>
      </c>
      <c r="D4860" s="1178" t="s">
        <v>1129</v>
      </c>
      <c r="E4860" s="1179">
        <v>2019</v>
      </c>
      <c r="F4860" s="1282" t="s">
        <v>20220</v>
      </c>
      <c r="G4860" s="1368">
        <v>36.5</v>
      </c>
      <c r="H4860" s="1178" t="s">
        <v>20221</v>
      </c>
      <c r="I4860" s="1178" t="s">
        <v>15329</v>
      </c>
      <c r="J4860" s="1178" t="s">
        <v>22404</v>
      </c>
      <c r="K4860" s="1178" t="s">
        <v>546</v>
      </c>
      <c r="L4860" s="1178"/>
      <c r="M4860" s="1369"/>
      <c r="N4860" s="1178"/>
      <c r="O4860" s="1178">
        <v>6</v>
      </c>
      <c r="P4860" s="1178">
        <v>13.5</v>
      </c>
    </row>
    <row r="4861" spans="1:16">
      <c r="A4861" s="1178" t="s">
        <v>551</v>
      </c>
      <c r="B4861" s="1371" t="str">
        <f>HYPERLINK(IFERROR("#Main_Tariff!A"&amp;MATCH(Raeburn_Main_Tariff[[#This Row],[Product Code]],Main_Tariff!I:I,0),"#Main_Tariff!A"&amp;MATCH("*"&amp;RIGHT(A4861,8)&amp;"*",Main_Tariff!A:A,0)),Raeburn_Main_Tariff[[#This Row],[PRODUCER]])</f>
        <v>Prager</v>
      </c>
      <c r="C4861" s="1178" t="s">
        <v>22467</v>
      </c>
      <c r="D4861" s="1178" t="s">
        <v>1129</v>
      </c>
      <c r="E4861" s="1179">
        <v>2018</v>
      </c>
      <c r="F4861" s="1282" t="s">
        <v>20220</v>
      </c>
      <c r="G4861" s="1368">
        <v>36.5</v>
      </c>
      <c r="H4861" s="1178" t="s">
        <v>20221</v>
      </c>
      <c r="I4861" s="1178" t="s">
        <v>15331</v>
      </c>
      <c r="J4861" s="1178" t="s">
        <v>22404</v>
      </c>
      <c r="K4861" s="1178" t="s">
        <v>546</v>
      </c>
      <c r="L4861" s="1178"/>
      <c r="M4861" s="1369"/>
      <c r="N4861" s="1178"/>
      <c r="O4861" s="1178">
        <v>6</v>
      </c>
      <c r="P4861" s="1178">
        <v>13.5</v>
      </c>
    </row>
    <row r="4862" spans="1:16">
      <c r="A4862" s="1178" t="s">
        <v>551</v>
      </c>
      <c r="B4862" s="1371" t="str">
        <f>HYPERLINK(IFERROR("#Main_Tariff!A"&amp;MATCH(Raeburn_Main_Tariff[[#This Row],[Product Code]],Main_Tariff!I:I,0),"#Main_Tariff!A"&amp;MATCH("*"&amp;RIGHT(A4862,8)&amp;"*",Main_Tariff!A:A,0)),Raeburn_Main_Tariff[[#This Row],[PRODUCER]])</f>
        <v>Prager</v>
      </c>
      <c r="C4862" s="1178" t="s">
        <v>22467</v>
      </c>
      <c r="D4862" s="1178" t="s">
        <v>1129</v>
      </c>
      <c r="E4862" s="1179">
        <v>2017</v>
      </c>
      <c r="F4862" s="1282" t="s">
        <v>20220</v>
      </c>
      <c r="G4862" s="1368">
        <v>36.5</v>
      </c>
      <c r="H4862" s="1178" t="s">
        <v>20224</v>
      </c>
      <c r="I4862" s="1178" t="s">
        <v>15332</v>
      </c>
      <c r="J4862" s="1178" t="s">
        <v>22404</v>
      </c>
      <c r="K4862" s="1178" t="s">
        <v>546</v>
      </c>
      <c r="L4862" s="1178"/>
      <c r="M4862" s="1369"/>
      <c r="N4862" s="1178"/>
      <c r="O4862" s="1178">
        <v>6</v>
      </c>
      <c r="P4862" s="1178">
        <v>14</v>
      </c>
    </row>
    <row r="4863" spans="1:16">
      <c r="A4863" s="1178" t="s">
        <v>551</v>
      </c>
      <c r="B4863" s="1371" t="str">
        <f>HYPERLINK(IFERROR("#Main_Tariff!A"&amp;MATCH(Raeburn_Main_Tariff[[#This Row],[Product Code]],Main_Tariff!I:I,0),"#Main_Tariff!A"&amp;MATCH("*"&amp;RIGHT(A4863,8)&amp;"*",Main_Tariff!A:A,0)),Raeburn_Main_Tariff[[#This Row],[PRODUCER]])</f>
        <v>Prager</v>
      </c>
      <c r="C4863" s="1178" t="s">
        <v>22468</v>
      </c>
      <c r="D4863" s="1178" t="s">
        <v>1129</v>
      </c>
      <c r="E4863" s="1179">
        <v>2023</v>
      </c>
      <c r="F4863" s="1282" t="s">
        <v>20220</v>
      </c>
      <c r="G4863" s="1368">
        <v>43.5</v>
      </c>
      <c r="H4863" s="1178" t="s">
        <v>20221</v>
      </c>
      <c r="I4863" s="1178" t="s">
        <v>15334</v>
      </c>
      <c r="J4863" s="1178" t="s">
        <v>22404</v>
      </c>
      <c r="K4863" s="1178" t="s">
        <v>546</v>
      </c>
      <c r="L4863" s="1178"/>
      <c r="M4863" s="1369"/>
      <c r="N4863" s="1178"/>
      <c r="O4863" s="1178">
        <v>6</v>
      </c>
      <c r="P4863" s="1178">
        <v>13.5</v>
      </c>
    </row>
    <row r="4864" spans="1:16">
      <c r="A4864" s="1178" t="s">
        <v>551</v>
      </c>
      <c r="B4864" s="1371" t="str">
        <f>HYPERLINK(IFERROR("#Main_Tariff!A"&amp;MATCH(Raeburn_Main_Tariff[[#This Row],[Product Code]],Main_Tariff!I:I,0),"#Main_Tariff!A"&amp;MATCH("*"&amp;RIGHT(A4864,8)&amp;"*",Main_Tariff!A:A,0)),Raeburn_Main_Tariff[[#This Row],[PRODUCER]])</f>
        <v>Prager</v>
      </c>
      <c r="C4864" s="1178" t="s">
        <v>22468</v>
      </c>
      <c r="D4864" s="1178" t="s">
        <v>1129</v>
      </c>
      <c r="E4864" s="1179">
        <v>2021</v>
      </c>
      <c r="F4864" s="1282" t="s">
        <v>20220</v>
      </c>
      <c r="G4864" s="1368">
        <v>37.5</v>
      </c>
      <c r="H4864" s="1178" t="s">
        <v>20221</v>
      </c>
      <c r="I4864" s="1178" t="s">
        <v>15336</v>
      </c>
      <c r="J4864" s="1178" t="s">
        <v>22404</v>
      </c>
      <c r="K4864" s="1178" t="s">
        <v>546</v>
      </c>
      <c r="L4864" s="1178"/>
      <c r="M4864" s="1369"/>
      <c r="N4864" s="1178"/>
      <c r="O4864" s="1178">
        <v>6</v>
      </c>
      <c r="P4864" s="1178">
        <v>13.5</v>
      </c>
    </row>
    <row r="4865" spans="1:16">
      <c r="A4865" s="1178" t="s">
        <v>551</v>
      </c>
      <c r="B4865" s="1371" t="str">
        <f>HYPERLINK(IFERROR("#Main_Tariff!A"&amp;MATCH(Raeburn_Main_Tariff[[#This Row],[Product Code]],Main_Tariff!I:I,0),"#Main_Tariff!A"&amp;MATCH("*"&amp;RIGHT(A4865,8)&amp;"*",Main_Tariff!A:A,0)),Raeburn_Main_Tariff[[#This Row],[PRODUCER]])</f>
        <v>Prager</v>
      </c>
      <c r="C4865" s="1178" t="s">
        <v>22468</v>
      </c>
      <c r="D4865" s="1178" t="s">
        <v>1129</v>
      </c>
      <c r="E4865" s="1179">
        <v>2020</v>
      </c>
      <c r="F4865" s="1282" t="s">
        <v>20220</v>
      </c>
      <c r="G4865" s="1368">
        <v>37.5</v>
      </c>
      <c r="H4865" s="1178" t="s">
        <v>20221</v>
      </c>
      <c r="I4865" s="1178" t="s">
        <v>15338</v>
      </c>
      <c r="J4865" s="1178" t="s">
        <v>22404</v>
      </c>
      <c r="K4865" s="1178" t="s">
        <v>546</v>
      </c>
      <c r="L4865" s="1178"/>
      <c r="M4865" s="1369"/>
      <c r="N4865" s="1178"/>
      <c r="O4865" s="1178">
        <v>6</v>
      </c>
      <c r="P4865" s="1178">
        <v>13</v>
      </c>
    </row>
    <row r="4866" spans="1:16">
      <c r="A4866" s="1178" t="s">
        <v>551</v>
      </c>
      <c r="B4866" s="1371" t="str">
        <f>HYPERLINK(IFERROR("#Main_Tariff!A"&amp;MATCH(Raeburn_Main_Tariff[[#This Row],[Product Code]],Main_Tariff!I:I,0),"#Main_Tariff!A"&amp;MATCH("*"&amp;RIGHT(A4866,8)&amp;"*",Main_Tariff!A:A,0)),Raeburn_Main_Tariff[[#This Row],[PRODUCER]])</f>
        <v>Prager</v>
      </c>
      <c r="C4866" s="1178" t="s">
        <v>22469</v>
      </c>
      <c r="D4866" s="1178" t="s">
        <v>1129</v>
      </c>
      <c r="E4866" s="1179">
        <v>2023</v>
      </c>
      <c r="F4866" s="1282" t="s">
        <v>20220</v>
      </c>
      <c r="G4866" s="1368">
        <v>43.5</v>
      </c>
      <c r="H4866" s="1178" t="s">
        <v>20221</v>
      </c>
      <c r="I4866" s="1178" t="s">
        <v>15340</v>
      </c>
      <c r="J4866" s="1178" t="s">
        <v>22404</v>
      </c>
      <c r="K4866" s="1178" t="s">
        <v>546</v>
      </c>
      <c r="L4866" s="1178"/>
      <c r="M4866" s="1369"/>
      <c r="N4866" s="1178"/>
      <c r="O4866" s="1178">
        <v>6</v>
      </c>
      <c r="P4866" s="1178">
        <v>13.5</v>
      </c>
    </row>
    <row r="4867" spans="1:16">
      <c r="A4867" s="1178" t="s">
        <v>551</v>
      </c>
      <c r="B4867" s="1371" t="str">
        <f>HYPERLINK(IFERROR("#Main_Tariff!A"&amp;MATCH(Raeburn_Main_Tariff[[#This Row],[Product Code]],Main_Tariff!I:I,0),"#Main_Tariff!A"&amp;MATCH("*"&amp;RIGHT(A4867,8)&amp;"*",Main_Tariff!A:A,0)),Raeburn_Main_Tariff[[#This Row],[PRODUCER]])</f>
        <v>Prager</v>
      </c>
      <c r="C4867" s="1178" t="s">
        <v>22469</v>
      </c>
      <c r="D4867" s="1178" t="s">
        <v>1129</v>
      </c>
      <c r="E4867" s="1179">
        <v>2021</v>
      </c>
      <c r="F4867" s="1282" t="s">
        <v>20220</v>
      </c>
      <c r="G4867" s="1368">
        <v>37.5</v>
      </c>
      <c r="H4867" s="1178" t="s">
        <v>20221</v>
      </c>
      <c r="I4867" s="1178" t="s">
        <v>15341</v>
      </c>
      <c r="J4867" s="1178" t="s">
        <v>22404</v>
      </c>
      <c r="K4867" s="1178" t="s">
        <v>546</v>
      </c>
      <c r="L4867" s="1178"/>
      <c r="M4867" s="1369"/>
      <c r="N4867" s="1178"/>
      <c r="O4867" s="1178">
        <v>6</v>
      </c>
      <c r="P4867" s="1178">
        <v>13.5</v>
      </c>
    </row>
    <row r="4868" spans="1:16">
      <c r="A4868" s="1178" t="s">
        <v>551</v>
      </c>
      <c r="B4868" s="1371" t="str">
        <f>HYPERLINK(IFERROR("#Main_Tariff!A"&amp;MATCH(Raeburn_Main_Tariff[[#This Row],[Product Code]],Main_Tariff!I:I,0),"#Main_Tariff!A"&amp;MATCH("*"&amp;RIGHT(A4868,8)&amp;"*",Main_Tariff!A:A,0)),Raeburn_Main_Tariff[[#This Row],[PRODUCER]])</f>
        <v>Prager</v>
      </c>
      <c r="C4868" s="1178" t="s">
        <v>22469</v>
      </c>
      <c r="D4868" s="1178" t="s">
        <v>1129</v>
      </c>
      <c r="E4868" s="1179">
        <v>2020</v>
      </c>
      <c r="F4868" s="1282" t="s">
        <v>20220</v>
      </c>
      <c r="G4868" s="1368">
        <v>37.5</v>
      </c>
      <c r="H4868" s="1178" t="s">
        <v>20221</v>
      </c>
      <c r="I4868" s="1178" t="s">
        <v>15343</v>
      </c>
      <c r="J4868" s="1178" t="s">
        <v>22404</v>
      </c>
      <c r="K4868" s="1178" t="s">
        <v>546</v>
      </c>
      <c r="L4868" s="1178"/>
      <c r="M4868" s="1369"/>
      <c r="N4868" s="1178"/>
      <c r="O4868" s="1178">
        <v>6</v>
      </c>
      <c r="P4868" s="1178">
        <v>13.5</v>
      </c>
    </row>
    <row r="4869" spans="1:16">
      <c r="A4869" s="1178" t="s">
        <v>551</v>
      </c>
      <c r="B4869" s="1371" t="str">
        <f>HYPERLINK(IFERROR("#Main_Tariff!A"&amp;MATCH(Raeburn_Main_Tariff[[#This Row],[Product Code]],Main_Tariff!I:I,0),"#Main_Tariff!A"&amp;MATCH("*"&amp;RIGHT(A4869,8)&amp;"*",Main_Tariff!A:A,0)),Raeburn_Main_Tariff[[#This Row],[PRODUCER]])</f>
        <v>Prager</v>
      </c>
      <c r="C4869" s="1178" t="s">
        <v>22469</v>
      </c>
      <c r="D4869" s="1178" t="s">
        <v>1129</v>
      </c>
      <c r="E4869" s="1179">
        <v>2019</v>
      </c>
      <c r="F4869" s="1282" t="s">
        <v>20220</v>
      </c>
      <c r="G4869" s="1368">
        <v>37.5</v>
      </c>
      <c r="H4869" s="1178" t="s">
        <v>20221</v>
      </c>
      <c r="I4869" s="1178" t="s">
        <v>15345</v>
      </c>
      <c r="J4869" s="1178" t="s">
        <v>22404</v>
      </c>
      <c r="K4869" s="1178" t="s">
        <v>546</v>
      </c>
      <c r="L4869" s="1178"/>
      <c r="M4869" s="1369"/>
      <c r="N4869" s="1178"/>
      <c r="O4869" s="1178">
        <v>6</v>
      </c>
      <c r="P4869" s="1178">
        <v>13.5</v>
      </c>
    </row>
    <row r="4870" spans="1:16">
      <c r="A4870" s="1178" t="s">
        <v>551</v>
      </c>
      <c r="B4870" s="1371" t="str">
        <f>HYPERLINK(IFERROR("#Main_Tariff!A"&amp;MATCH(Raeburn_Main_Tariff[[#This Row],[Product Code]],Main_Tariff!I:I,0),"#Main_Tariff!A"&amp;MATCH("*"&amp;RIGHT(A4870,8)&amp;"*",Main_Tariff!A:A,0)),Raeburn_Main_Tariff[[#This Row],[PRODUCER]])</f>
        <v>Prager</v>
      </c>
      <c r="C4870" s="1178" t="s">
        <v>22469</v>
      </c>
      <c r="D4870" s="1178" t="s">
        <v>1129</v>
      </c>
      <c r="E4870" s="1179">
        <v>2018</v>
      </c>
      <c r="F4870" s="1282" t="s">
        <v>20220</v>
      </c>
      <c r="G4870" s="1368">
        <v>37.5</v>
      </c>
      <c r="H4870" s="1178" t="s">
        <v>20221</v>
      </c>
      <c r="I4870" s="1178" t="s">
        <v>15346</v>
      </c>
      <c r="J4870" s="1178" t="s">
        <v>22404</v>
      </c>
      <c r="K4870" s="1178" t="s">
        <v>546</v>
      </c>
      <c r="L4870" s="1178"/>
      <c r="M4870" s="1369"/>
      <c r="N4870" s="1178"/>
      <c r="O4870" s="1178">
        <v>6</v>
      </c>
      <c r="P4870" s="1178">
        <v>13.5</v>
      </c>
    </row>
    <row r="4871" spans="1:16">
      <c r="A4871" s="1178" t="s">
        <v>551</v>
      </c>
      <c r="B4871" s="1371" t="str">
        <f>HYPERLINK(IFERROR("#Main_Tariff!A"&amp;MATCH(Raeburn_Main_Tariff[[#This Row],[Product Code]],Main_Tariff!I:I,0),"#Main_Tariff!A"&amp;MATCH("*"&amp;RIGHT(A4871,8)&amp;"*",Main_Tariff!A:A,0)),Raeburn_Main_Tariff[[#This Row],[PRODUCER]])</f>
        <v>Prager</v>
      </c>
      <c r="C4871" s="1178" t="s">
        <v>22469</v>
      </c>
      <c r="D4871" s="1178" t="s">
        <v>1129</v>
      </c>
      <c r="E4871" s="1179">
        <v>2017</v>
      </c>
      <c r="F4871" s="1282" t="s">
        <v>20220</v>
      </c>
      <c r="G4871" s="1368">
        <v>37.5</v>
      </c>
      <c r="H4871" s="1178" t="s">
        <v>20277</v>
      </c>
      <c r="I4871" s="1178" t="s">
        <v>15347</v>
      </c>
      <c r="J4871" s="1178" t="s">
        <v>22404</v>
      </c>
      <c r="K4871" s="1178" t="s">
        <v>546</v>
      </c>
      <c r="L4871" s="1178"/>
      <c r="M4871" s="1369"/>
      <c r="N4871" s="1178"/>
      <c r="O4871" s="1178">
        <v>6</v>
      </c>
      <c r="P4871" s="1178">
        <v>14</v>
      </c>
    </row>
    <row r="4872" spans="1:16">
      <c r="A4872" s="1178" t="s">
        <v>551</v>
      </c>
      <c r="B4872" s="1371" t="str">
        <f>HYPERLINK(IFERROR("#Main_Tariff!A"&amp;MATCH(Raeburn_Main_Tariff[[#This Row],[Product Code]],Main_Tariff!I:I,0),"#Main_Tariff!A"&amp;MATCH("*"&amp;RIGHT(A4872,8)&amp;"*",Main_Tariff!A:A,0)),Raeburn_Main_Tariff[[#This Row],[PRODUCER]])</f>
        <v>Prager</v>
      </c>
      <c r="C4872" s="1178" t="s">
        <v>22470</v>
      </c>
      <c r="D4872" s="1178" t="s">
        <v>1129</v>
      </c>
      <c r="E4872" s="1179">
        <v>2023</v>
      </c>
      <c r="F4872" s="1282" t="s">
        <v>20240</v>
      </c>
      <c r="G4872" s="1368">
        <v>114.25</v>
      </c>
      <c r="H4872" s="1178" t="s">
        <v>20224</v>
      </c>
      <c r="I4872" s="1178" t="s">
        <v>15349</v>
      </c>
      <c r="J4872" s="1178" t="s">
        <v>22404</v>
      </c>
      <c r="K4872" s="1178" t="s">
        <v>546</v>
      </c>
      <c r="L4872" s="1178"/>
      <c r="M4872" s="1369"/>
      <c r="N4872" s="1178"/>
      <c r="O4872" s="1178">
        <v>3</v>
      </c>
      <c r="P4872" s="1178">
        <v>13.5</v>
      </c>
    </row>
    <row r="4873" spans="1:16">
      <c r="A4873" s="1178" t="s">
        <v>551</v>
      </c>
      <c r="B4873" s="1371" t="str">
        <f>HYPERLINK(IFERROR("#Main_Tariff!A"&amp;MATCH(Raeburn_Main_Tariff[[#This Row],[Product Code]],Main_Tariff!I:I,0),"#Main_Tariff!A"&amp;MATCH("*"&amp;RIGHT(A4873,8)&amp;"*",Main_Tariff!A:A,0)),Raeburn_Main_Tariff[[#This Row],[PRODUCER]])</f>
        <v>Prager</v>
      </c>
      <c r="C4873" s="1178" t="s">
        <v>22470</v>
      </c>
      <c r="D4873" s="1178" t="s">
        <v>1129</v>
      </c>
      <c r="E4873" s="1179">
        <v>2022</v>
      </c>
      <c r="F4873" s="1282" t="s">
        <v>20240</v>
      </c>
      <c r="G4873" s="1368">
        <v>100</v>
      </c>
      <c r="H4873" s="1178" t="s">
        <v>20224</v>
      </c>
      <c r="I4873" s="1178" t="s">
        <v>15350</v>
      </c>
      <c r="J4873" s="1178" t="s">
        <v>22404</v>
      </c>
      <c r="K4873" s="1178" t="s">
        <v>546</v>
      </c>
      <c r="L4873" s="1178"/>
      <c r="M4873" s="1369"/>
      <c r="N4873" s="1178"/>
      <c r="O4873" s="1178">
        <v>3</v>
      </c>
      <c r="P4873" s="1178">
        <v>13</v>
      </c>
    </row>
    <row r="4874" spans="1:16">
      <c r="A4874" s="1178" t="s">
        <v>551</v>
      </c>
      <c r="B4874" s="1371" t="str">
        <f>HYPERLINK(IFERROR("#Main_Tariff!A"&amp;MATCH(Raeburn_Main_Tariff[[#This Row],[Product Code]],Main_Tariff!I:I,0),"#Main_Tariff!A"&amp;MATCH("*"&amp;RIGHT(A4874,8)&amp;"*",Main_Tariff!A:A,0)),Raeburn_Main_Tariff[[#This Row],[PRODUCER]])</f>
        <v>Prager</v>
      </c>
      <c r="C4874" s="1178" t="s">
        <v>22470</v>
      </c>
      <c r="D4874" s="1178" t="s">
        <v>1129</v>
      </c>
      <c r="E4874" s="1179">
        <v>2021</v>
      </c>
      <c r="F4874" s="1282" t="s">
        <v>20240</v>
      </c>
      <c r="G4874" s="1368">
        <v>94</v>
      </c>
      <c r="H4874" s="1178" t="s">
        <v>20224</v>
      </c>
      <c r="I4874" s="1178" t="s">
        <v>15351</v>
      </c>
      <c r="J4874" s="1178" t="s">
        <v>22404</v>
      </c>
      <c r="K4874" s="1178" t="s">
        <v>546</v>
      </c>
      <c r="L4874" s="1178"/>
      <c r="M4874" s="1369"/>
      <c r="N4874" s="1178"/>
      <c r="O4874" s="1178">
        <v>3</v>
      </c>
      <c r="P4874" s="1178">
        <v>14</v>
      </c>
    </row>
    <row r="4875" spans="1:16">
      <c r="A4875" s="1178" t="s">
        <v>551</v>
      </c>
      <c r="B4875" s="1371" t="str">
        <f>HYPERLINK(IFERROR("#Main_Tariff!A"&amp;MATCH(Raeburn_Main_Tariff[[#This Row],[Product Code]],Main_Tariff!I:I,0),"#Main_Tariff!A"&amp;MATCH("*"&amp;RIGHT(A4875,8)&amp;"*",Main_Tariff!A:A,0)),Raeburn_Main_Tariff[[#This Row],[PRODUCER]])</f>
        <v>Prager</v>
      </c>
      <c r="C4875" s="1178" t="s">
        <v>22471</v>
      </c>
      <c r="D4875" s="1178" t="s">
        <v>1129</v>
      </c>
      <c r="E4875" s="1179">
        <v>2021</v>
      </c>
      <c r="F4875" s="1282" t="s">
        <v>20240</v>
      </c>
      <c r="G4875" s="1368">
        <v>94</v>
      </c>
      <c r="H4875" s="1178" t="s">
        <v>20224</v>
      </c>
      <c r="I4875" s="1178" t="s">
        <v>15352</v>
      </c>
      <c r="J4875" s="1178" t="s">
        <v>22404</v>
      </c>
      <c r="K4875" s="1178" t="s">
        <v>546</v>
      </c>
      <c r="L4875" s="1178"/>
      <c r="M4875" s="1369"/>
      <c r="N4875" s="1178"/>
      <c r="O4875" s="1178">
        <v>3</v>
      </c>
      <c r="P4875" s="1178">
        <v>13.5</v>
      </c>
    </row>
    <row r="4876" spans="1:16">
      <c r="A4876" s="1178" t="s">
        <v>551</v>
      </c>
      <c r="B4876" s="1371" t="str">
        <f>HYPERLINK(IFERROR("#Main_Tariff!A"&amp;MATCH(Raeburn_Main_Tariff[[#This Row],[Product Code]],Main_Tariff!I:I,0),"#Main_Tariff!A"&amp;MATCH("*"&amp;RIGHT(A4876,8)&amp;"*",Main_Tariff!A:A,0)),Raeburn_Main_Tariff[[#This Row],[PRODUCER]])</f>
        <v>Prager</v>
      </c>
      <c r="C4876" s="1178" t="s">
        <v>22472</v>
      </c>
      <c r="D4876" s="1178" t="s">
        <v>1129</v>
      </c>
      <c r="E4876" s="1179">
        <v>2022</v>
      </c>
      <c r="F4876" s="1282" t="s">
        <v>20240</v>
      </c>
      <c r="G4876" s="1368">
        <v>100</v>
      </c>
      <c r="H4876" s="1178" t="s">
        <v>20224</v>
      </c>
      <c r="I4876" s="1178" t="s">
        <v>15353</v>
      </c>
      <c r="J4876" s="1178" t="s">
        <v>22404</v>
      </c>
      <c r="K4876" s="1178" t="s">
        <v>546</v>
      </c>
      <c r="L4876" s="1178"/>
      <c r="M4876" s="1369"/>
      <c r="N4876" s="1178"/>
      <c r="O4876" s="1178">
        <v>3</v>
      </c>
      <c r="P4876" s="1178">
        <v>13</v>
      </c>
    </row>
    <row r="4877" spans="1:16">
      <c r="A4877" s="1178" t="s">
        <v>551</v>
      </c>
      <c r="B4877" s="1371" t="str">
        <f>HYPERLINK(IFERROR("#Main_Tariff!A"&amp;MATCH(Raeburn_Main_Tariff[[#This Row],[Product Code]],Main_Tariff!I:I,0),"#Main_Tariff!A"&amp;MATCH("*"&amp;RIGHT(A4877,8)&amp;"*",Main_Tariff!A:A,0)),Raeburn_Main_Tariff[[#This Row],[PRODUCER]])</f>
        <v>Prager</v>
      </c>
      <c r="C4877" s="1178" t="s">
        <v>22472</v>
      </c>
      <c r="D4877" s="1178" t="s">
        <v>1129</v>
      </c>
      <c r="E4877" s="1179">
        <v>2021</v>
      </c>
      <c r="F4877" s="1282" t="s">
        <v>20240</v>
      </c>
      <c r="G4877" s="1368">
        <v>94</v>
      </c>
      <c r="H4877" s="1178" t="s">
        <v>20224</v>
      </c>
      <c r="I4877" s="1178" t="s">
        <v>15354</v>
      </c>
      <c r="J4877" s="1178" t="s">
        <v>22404</v>
      </c>
      <c r="K4877" s="1178" t="s">
        <v>546</v>
      </c>
      <c r="L4877" s="1178"/>
      <c r="M4877" s="1369"/>
      <c r="N4877" s="1178"/>
      <c r="O4877" s="1178">
        <v>3</v>
      </c>
      <c r="P4877" s="1178">
        <v>13.5</v>
      </c>
    </row>
    <row r="4878" spans="1:16">
      <c r="A4878" s="1178" t="s">
        <v>551</v>
      </c>
      <c r="B4878" s="1371" t="str">
        <f>HYPERLINK(IFERROR("#Main_Tariff!A"&amp;MATCH(Raeburn_Main_Tariff[[#This Row],[Product Code]],Main_Tariff!I:I,0),"#Main_Tariff!A"&amp;MATCH("*"&amp;RIGHT(A4878,8)&amp;"*",Main_Tariff!A:A,0)),Raeburn_Main_Tariff[[#This Row],[PRODUCER]])</f>
        <v>Prager</v>
      </c>
      <c r="C4878" s="1178" t="s">
        <v>22472</v>
      </c>
      <c r="D4878" s="1178" t="s">
        <v>1129</v>
      </c>
      <c r="E4878" s="1179">
        <v>2020</v>
      </c>
      <c r="F4878" s="1282" t="s">
        <v>20240</v>
      </c>
      <c r="G4878" s="1368">
        <v>84</v>
      </c>
      <c r="H4878" s="1178" t="s">
        <v>20224</v>
      </c>
      <c r="I4878" s="1178" t="s">
        <v>15355</v>
      </c>
      <c r="J4878" s="1178" t="s">
        <v>22404</v>
      </c>
      <c r="K4878" s="1178" t="s">
        <v>546</v>
      </c>
      <c r="L4878" s="1178"/>
      <c r="M4878" s="1369"/>
      <c r="N4878" s="1178"/>
      <c r="O4878" s="1178">
        <v>3</v>
      </c>
      <c r="P4878" s="1178">
        <v>13.5</v>
      </c>
    </row>
    <row r="4879" spans="1:16">
      <c r="A4879" s="1178" t="s">
        <v>551</v>
      </c>
      <c r="B4879" s="1371" t="str">
        <f>HYPERLINK(IFERROR("#Main_Tariff!A"&amp;MATCH(Raeburn_Main_Tariff[[#This Row],[Product Code]],Main_Tariff!I:I,0),"#Main_Tariff!A"&amp;MATCH("*"&amp;RIGHT(A4879,8)&amp;"*",Main_Tariff!A:A,0)),Raeburn_Main_Tariff[[#This Row],[PRODUCER]])</f>
        <v>Prager</v>
      </c>
      <c r="C4879" s="1178" t="s">
        <v>22472</v>
      </c>
      <c r="D4879" s="1178" t="s">
        <v>1129</v>
      </c>
      <c r="E4879" s="1179">
        <v>2019</v>
      </c>
      <c r="F4879" s="1282" t="s">
        <v>20240</v>
      </c>
      <c r="G4879" s="1368">
        <v>84</v>
      </c>
      <c r="H4879" s="1178" t="s">
        <v>20224</v>
      </c>
      <c r="I4879" s="1178" t="s">
        <v>15356</v>
      </c>
      <c r="J4879" s="1178" t="s">
        <v>22404</v>
      </c>
      <c r="K4879" s="1178" t="s">
        <v>546</v>
      </c>
      <c r="L4879" s="1178"/>
      <c r="M4879" s="1369"/>
      <c r="N4879" s="1178"/>
      <c r="O4879" s="1178">
        <v>3</v>
      </c>
      <c r="P4879" s="1178">
        <v>13.5</v>
      </c>
    </row>
    <row r="4880" spans="1:16">
      <c r="A4880" s="1178" t="s">
        <v>551</v>
      </c>
      <c r="B4880" s="1371" t="str">
        <f>HYPERLINK(IFERROR("#Main_Tariff!A"&amp;MATCH(Raeburn_Main_Tariff[[#This Row],[Product Code]],Main_Tariff!I:I,0),"#Main_Tariff!A"&amp;MATCH("*"&amp;RIGHT(A4880,8)&amp;"*",Main_Tariff!A:A,0)),Raeburn_Main_Tariff[[#This Row],[PRODUCER]])</f>
        <v>Prager</v>
      </c>
      <c r="C4880" s="1178" t="s">
        <v>22472</v>
      </c>
      <c r="D4880" s="1178" t="s">
        <v>1129</v>
      </c>
      <c r="E4880" s="1179">
        <v>2018</v>
      </c>
      <c r="F4880" s="1282" t="s">
        <v>20240</v>
      </c>
      <c r="G4880" s="1368">
        <v>84</v>
      </c>
      <c r="H4880" s="1178" t="s">
        <v>20224</v>
      </c>
      <c r="I4880" s="1178" t="s">
        <v>15357</v>
      </c>
      <c r="J4880" s="1178" t="s">
        <v>22404</v>
      </c>
      <c r="K4880" s="1178" t="s">
        <v>546</v>
      </c>
      <c r="L4880" s="1178"/>
      <c r="M4880" s="1369"/>
      <c r="N4880" s="1178"/>
      <c r="O4880" s="1178">
        <v>3</v>
      </c>
      <c r="P4880" s="1178">
        <v>13.5</v>
      </c>
    </row>
    <row r="4881" spans="1:16">
      <c r="A4881" s="1178" t="s">
        <v>551</v>
      </c>
      <c r="B4881" s="1371" t="str">
        <f>HYPERLINK(IFERROR("#Main_Tariff!A"&amp;MATCH(Raeburn_Main_Tariff[[#This Row],[Product Code]],Main_Tariff!I:I,0),"#Main_Tariff!A"&amp;MATCH("*"&amp;RIGHT(A4881,8)&amp;"*",Main_Tariff!A:A,0)),Raeburn_Main_Tariff[[#This Row],[PRODUCER]])</f>
        <v>Prager</v>
      </c>
      <c r="C4881" s="1178" t="s">
        <v>22472</v>
      </c>
      <c r="D4881" s="1178" t="s">
        <v>1129</v>
      </c>
      <c r="E4881" s="1179">
        <v>2017</v>
      </c>
      <c r="F4881" s="1282" t="s">
        <v>20240</v>
      </c>
      <c r="G4881" s="1368">
        <v>84</v>
      </c>
      <c r="H4881" s="1178" t="s">
        <v>20224</v>
      </c>
      <c r="I4881" s="1178" t="s">
        <v>15358</v>
      </c>
      <c r="J4881" s="1178" t="s">
        <v>22404</v>
      </c>
      <c r="K4881" s="1178" t="s">
        <v>546</v>
      </c>
      <c r="L4881" s="1178"/>
      <c r="M4881" s="1369"/>
      <c r="N4881" s="1178"/>
      <c r="O4881" s="1178">
        <v>1</v>
      </c>
      <c r="P4881" s="1178">
        <v>14</v>
      </c>
    </row>
    <row r="4882" spans="1:16">
      <c r="A4882" s="1178" t="s">
        <v>551</v>
      </c>
      <c r="B4882" s="1371" t="str">
        <f>HYPERLINK(IFERROR("#Main_Tariff!A"&amp;MATCH(Raeburn_Main_Tariff[[#This Row],[Product Code]],Main_Tariff!I:I,0),"#Main_Tariff!A"&amp;MATCH("*"&amp;RIGHT(A4882,8)&amp;"*",Main_Tariff!A:A,0)),Raeburn_Main_Tariff[[#This Row],[PRODUCER]])</f>
        <v>Prager</v>
      </c>
      <c r="C4882" s="1178" t="s">
        <v>22473</v>
      </c>
      <c r="D4882" s="1178" t="s">
        <v>1410</v>
      </c>
      <c r="E4882" s="1179">
        <v>2021</v>
      </c>
      <c r="F4882" s="1282" t="s">
        <v>20313</v>
      </c>
      <c r="G4882" s="1368">
        <v>38.5</v>
      </c>
      <c r="H4882" s="1178" t="s">
        <v>20221</v>
      </c>
      <c r="I4882" s="1178" t="s">
        <v>15359</v>
      </c>
      <c r="J4882" s="1178" t="s">
        <v>22404</v>
      </c>
      <c r="K4882" s="1178" t="s">
        <v>546</v>
      </c>
      <c r="L4882" s="1178"/>
      <c r="M4882" s="1369"/>
      <c r="N4882" s="1178"/>
      <c r="O4882" s="1178">
        <v>6</v>
      </c>
      <c r="P4882" s="1178">
        <v>14</v>
      </c>
    </row>
    <row r="4883" spans="1:16">
      <c r="A4883" s="1178" t="s">
        <v>551</v>
      </c>
      <c r="B4883" s="1371" t="str">
        <f>HYPERLINK(IFERROR("#Main_Tariff!A"&amp;MATCH(Raeburn_Main_Tariff[[#This Row],[Product Code]],Main_Tariff!I:I,0),"#Main_Tariff!A"&amp;MATCH("*"&amp;RIGHT(A4883,8)&amp;"*",Main_Tariff!A:A,0)),Raeburn_Main_Tariff[[#This Row],[PRODUCER]])</f>
        <v>Prager</v>
      </c>
      <c r="C4883" s="1178" t="s">
        <v>22474</v>
      </c>
      <c r="D4883" s="1178" t="s">
        <v>1410</v>
      </c>
      <c r="E4883" s="1179">
        <v>2009</v>
      </c>
      <c r="F4883" s="1282" t="s">
        <v>20313</v>
      </c>
      <c r="G4883" s="1368">
        <v>31.5</v>
      </c>
      <c r="H4883" s="1178" t="s">
        <v>20277</v>
      </c>
      <c r="I4883" s="1178" t="s">
        <v>15360</v>
      </c>
      <c r="J4883" s="1178" t="s">
        <v>22404</v>
      </c>
      <c r="K4883" s="1178" t="s">
        <v>546</v>
      </c>
      <c r="L4883" s="1178"/>
      <c r="M4883" s="1369"/>
      <c r="N4883" s="1178"/>
      <c r="O4883" s="1178">
        <v>8</v>
      </c>
      <c r="P4883" s="1178">
        <v>13</v>
      </c>
    </row>
    <row r="4884" spans="1:16">
      <c r="A4884" s="1178" t="s">
        <v>22475</v>
      </c>
      <c r="B4884" s="1371" t="str">
        <f>HYPERLINK(IFERROR("#Main_Tariff!A"&amp;MATCH(Raeburn_Main_Tariff[[#This Row],[Product Code]],Main_Tariff!I:I,0),"#Main_Tariff!A"&amp;MATCH("*"&amp;RIGHT(A4884,8)&amp;"*",Main_Tariff!A:A,0)),Raeburn_Main_Tariff[[#This Row],[PRODUCER]])</f>
        <v>Bründlmayer</v>
      </c>
      <c r="C4884" s="1178" t="s">
        <v>22476</v>
      </c>
      <c r="D4884" s="1178" t="s">
        <v>879</v>
      </c>
      <c r="E4884" s="1179" t="s">
        <v>19060</v>
      </c>
      <c r="F4884" s="1282" t="s">
        <v>20280</v>
      </c>
      <c r="G4884" s="1368">
        <v>13.75</v>
      </c>
      <c r="H4884" s="1178" t="s">
        <v>20224</v>
      </c>
      <c r="I4884" s="1178" t="s">
        <v>15375</v>
      </c>
      <c r="J4884" s="1178" t="s">
        <v>22404</v>
      </c>
      <c r="K4884" s="1178" t="s">
        <v>552</v>
      </c>
      <c r="L4884" s="1178"/>
      <c r="M4884" s="1369"/>
      <c r="N4884" s="1178"/>
      <c r="O4884" s="1178">
        <v>6</v>
      </c>
      <c r="P4884" s="1178">
        <v>11.5</v>
      </c>
    </row>
    <row r="4885" spans="1:16">
      <c r="A4885" s="1178" t="s">
        <v>22475</v>
      </c>
      <c r="B4885" s="1371" t="str">
        <f>HYPERLINK(IFERROR("#Main_Tariff!A"&amp;MATCH(Raeburn_Main_Tariff[[#This Row],[Product Code]],Main_Tariff!I:I,0),"#Main_Tariff!A"&amp;MATCH("*"&amp;RIGHT(A4885,8)&amp;"*",Main_Tariff!A:A,0)),Raeburn_Main_Tariff[[#This Row],[PRODUCER]])</f>
        <v>Bründlmayer</v>
      </c>
      <c r="C4885" s="1178" t="s">
        <v>22477</v>
      </c>
      <c r="D4885" s="1178" t="s">
        <v>879</v>
      </c>
      <c r="E4885" s="1179" t="s">
        <v>19060</v>
      </c>
      <c r="F4885" s="1282" t="s">
        <v>20220</v>
      </c>
      <c r="G4885" s="1368">
        <v>25.5</v>
      </c>
      <c r="H4885" s="1178" t="s">
        <v>20224</v>
      </c>
      <c r="I4885" s="1178" t="s">
        <v>15377</v>
      </c>
      <c r="J4885" s="1178" t="s">
        <v>22404</v>
      </c>
      <c r="K4885" s="1178" t="s">
        <v>552</v>
      </c>
      <c r="L4885" s="1178"/>
      <c r="M4885" s="1369"/>
      <c r="N4885" s="1178"/>
      <c r="O4885" s="1178">
        <v>6</v>
      </c>
      <c r="P4885" s="1178">
        <v>11.5</v>
      </c>
    </row>
    <row r="4886" spans="1:16">
      <c r="A4886" s="1178" t="s">
        <v>22475</v>
      </c>
      <c r="B4886" s="1371" t="str">
        <f>HYPERLINK(IFERROR("#Main_Tariff!A"&amp;MATCH(Raeburn_Main_Tariff[[#This Row],[Product Code]],Main_Tariff!I:I,0),"#Main_Tariff!A"&amp;MATCH("*"&amp;RIGHT(A4886,8)&amp;"*",Main_Tariff!A:A,0)),Raeburn_Main_Tariff[[#This Row],[PRODUCER]])</f>
        <v>Bründlmayer</v>
      </c>
      <c r="C4886" s="1178" t="s">
        <v>22478</v>
      </c>
      <c r="D4886" s="1178" t="s">
        <v>2573</v>
      </c>
      <c r="E4886" s="1179">
        <v>2022</v>
      </c>
      <c r="F4886" s="1282" t="s">
        <v>20220</v>
      </c>
      <c r="G4886" s="1368">
        <v>16.5</v>
      </c>
      <c r="H4886" s="1178" t="s">
        <v>20221</v>
      </c>
      <c r="I4886" s="1178" t="s">
        <v>15380</v>
      </c>
      <c r="J4886" s="1178" t="s">
        <v>22404</v>
      </c>
      <c r="K4886" s="1178" t="s">
        <v>552</v>
      </c>
      <c r="L4886" s="1178"/>
      <c r="M4886" s="1369"/>
      <c r="N4886" s="1178"/>
      <c r="O4886" s="1178">
        <v>6</v>
      </c>
      <c r="P4886" s="1178">
        <v>11.5</v>
      </c>
    </row>
    <row r="4887" spans="1:16">
      <c r="A4887" s="1178" t="s">
        <v>22475</v>
      </c>
      <c r="B4887" s="1371" t="str">
        <f>HYPERLINK(IFERROR("#Main_Tariff!A"&amp;MATCH(Raeburn_Main_Tariff[[#This Row],[Product Code]],Main_Tariff!I:I,0),"#Main_Tariff!A"&amp;MATCH("*"&amp;RIGHT(A4887,8)&amp;"*",Main_Tariff!A:A,0)),Raeburn_Main_Tariff[[#This Row],[PRODUCER]])</f>
        <v>Bründlmayer</v>
      </c>
      <c r="C4887" s="1178" t="s">
        <v>22478</v>
      </c>
      <c r="D4887" s="1178" t="s">
        <v>2573</v>
      </c>
      <c r="E4887" s="1179">
        <v>2021</v>
      </c>
      <c r="F4887" s="1282" t="s">
        <v>20220</v>
      </c>
      <c r="G4887" s="1368">
        <v>15.5</v>
      </c>
      <c r="H4887" s="1178" t="s">
        <v>20221</v>
      </c>
      <c r="I4887" s="1178" t="s">
        <v>15382</v>
      </c>
      <c r="J4887" s="1178" t="s">
        <v>22404</v>
      </c>
      <c r="K4887" s="1178" t="s">
        <v>552</v>
      </c>
      <c r="L4887" s="1178"/>
      <c r="M4887" s="1369"/>
      <c r="N4887" s="1178"/>
      <c r="O4887" s="1178">
        <v>6</v>
      </c>
      <c r="P4887" s="1178">
        <v>12</v>
      </c>
    </row>
    <row r="4888" spans="1:16">
      <c r="A4888" s="1178" t="s">
        <v>22475</v>
      </c>
      <c r="B4888" s="1371" t="str">
        <f>HYPERLINK(IFERROR("#Main_Tariff!A"&amp;MATCH(Raeburn_Main_Tariff[[#This Row],[Product Code]],Main_Tariff!I:I,0),"#Main_Tariff!A"&amp;MATCH("*"&amp;RIGHT(A4888,8)&amp;"*",Main_Tariff!A:A,0)),Raeburn_Main_Tariff[[#This Row],[PRODUCER]])</f>
        <v>Bründlmayer</v>
      </c>
      <c r="C4888" s="1178" t="s">
        <v>21389</v>
      </c>
      <c r="D4888" s="1178" t="s">
        <v>897</v>
      </c>
      <c r="E4888" s="1179">
        <v>2016</v>
      </c>
      <c r="F4888" s="1282" t="s">
        <v>20220</v>
      </c>
      <c r="G4888" s="1368">
        <v>23.25</v>
      </c>
      <c r="H4888" s="1178" t="s">
        <v>20465</v>
      </c>
      <c r="I4888" s="1178" t="s">
        <v>15386</v>
      </c>
      <c r="J4888" s="1178" t="s">
        <v>22404</v>
      </c>
      <c r="K4888" s="1178" t="s">
        <v>552</v>
      </c>
      <c r="L4888" s="1178"/>
      <c r="M4888" s="1369"/>
      <c r="N4888" s="1178"/>
      <c r="O4888" s="1178">
        <v>6</v>
      </c>
      <c r="P4888" s="1178">
        <v>12.5</v>
      </c>
    </row>
    <row r="4889" spans="1:16">
      <c r="A4889" s="1178" t="s">
        <v>22475</v>
      </c>
      <c r="B4889" s="1371" t="str">
        <f>HYPERLINK(IFERROR("#Main_Tariff!A"&amp;MATCH(Raeburn_Main_Tariff[[#This Row],[Product Code]],Main_Tariff!I:I,0),"#Main_Tariff!A"&amp;MATCH("*"&amp;RIGHT(A4889,8)&amp;"*",Main_Tariff!A:A,0)),Raeburn_Main_Tariff[[#This Row],[PRODUCER]])</f>
        <v>Bründlmayer</v>
      </c>
      <c r="C4889" s="1178" t="s">
        <v>22479</v>
      </c>
      <c r="D4889" s="1178" t="s">
        <v>1129</v>
      </c>
      <c r="E4889" s="1179">
        <v>2022</v>
      </c>
      <c r="F4889" s="1282" t="s">
        <v>20280</v>
      </c>
      <c r="G4889" s="1368">
        <v>9.25</v>
      </c>
      <c r="H4889" s="1178" t="s">
        <v>20221</v>
      </c>
      <c r="I4889" s="1178" t="s">
        <v>15390</v>
      </c>
      <c r="J4889" s="1178" t="s">
        <v>22404</v>
      </c>
      <c r="K4889" s="1178" t="s">
        <v>552</v>
      </c>
      <c r="L4889" s="1178"/>
      <c r="M4889" s="1369"/>
      <c r="N4889" s="1178"/>
      <c r="O4889" s="1178">
        <v>12</v>
      </c>
      <c r="P4889" s="1178">
        <v>12.5</v>
      </c>
    </row>
    <row r="4890" spans="1:16">
      <c r="A4890" s="1178" t="s">
        <v>22475</v>
      </c>
      <c r="B4890" s="1371" t="str">
        <f>HYPERLINK(IFERROR("#Main_Tariff!A"&amp;MATCH(Raeburn_Main_Tariff[[#This Row],[Product Code]],Main_Tariff!I:I,0),"#Main_Tariff!A"&amp;MATCH("*"&amp;RIGHT(A4890,8)&amp;"*",Main_Tariff!A:A,0)),Raeburn_Main_Tariff[[#This Row],[PRODUCER]])</f>
        <v>Bründlmayer</v>
      </c>
      <c r="C4890" s="1178" t="s">
        <v>22480</v>
      </c>
      <c r="D4890" s="1178" t="s">
        <v>1129</v>
      </c>
      <c r="E4890" s="1179">
        <v>2023</v>
      </c>
      <c r="F4890" s="1282" t="s">
        <v>20220</v>
      </c>
      <c r="G4890" s="1368">
        <v>17.95</v>
      </c>
      <c r="H4890" s="1178" t="s">
        <v>20221</v>
      </c>
      <c r="I4890" s="1178" t="s">
        <v>15393</v>
      </c>
      <c r="J4890" s="1178" t="s">
        <v>22404</v>
      </c>
      <c r="K4890" s="1178" t="s">
        <v>552</v>
      </c>
      <c r="L4890" s="1178"/>
      <c r="M4890" s="1369"/>
      <c r="N4890" s="1178"/>
      <c r="O4890" s="1178">
        <v>6</v>
      </c>
      <c r="P4890" s="1178">
        <v>12.5</v>
      </c>
    </row>
    <row r="4891" spans="1:16">
      <c r="A4891" s="1178" t="s">
        <v>22475</v>
      </c>
      <c r="B4891" s="1371" t="str">
        <f>HYPERLINK(IFERROR("#Main_Tariff!A"&amp;MATCH(Raeburn_Main_Tariff[[#This Row],[Product Code]],Main_Tariff!I:I,0),"#Main_Tariff!A"&amp;MATCH("*"&amp;RIGHT(A4891,8)&amp;"*",Main_Tariff!A:A,0)),Raeburn_Main_Tariff[[#This Row],[PRODUCER]])</f>
        <v>Bründlmayer</v>
      </c>
      <c r="C4891" s="1178" t="s">
        <v>22481</v>
      </c>
      <c r="D4891" s="1178" t="s">
        <v>1129</v>
      </c>
      <c r="E4891" s="1179">
        <v>2021</v>
      </c>
      <c r="F4891" s="1282" t="s">
        <v>20220</v>
      </c>
      <c r="G4891" s="1368">
        <v>28.5</v>
      </c>
      <c r="H4891" s="1178" t="s">
        <v>20221</v>
      </c>
      <c r="I4891" s="1178" t="s">
        <v>15395</v>
      </c>
      <c r="J4891" s="1178" t="s">
        <v>22404</v>
      </c>
      <c r="K4891" s="1178" t="s">
        <v>552</v>
      </c>
      <c r="L4891" s="1178"/>
      <c r="M4891" s="1369"/>
      <c r="N4891" s="1178"/>
      <c r="O4891" s="1178">
        <v>6</v>
      </c>
      <c r="P4891" s="1178">
        <v>13</v>
      </c>
    </row>
    <row r="4892" spans="1:16">
      <c r="A4892" s="1178" t="s">
        <v>22475</v>
      </c>
      <c r="B4892" s="1371" t="str">
        <f>HYPERLINK(IFERROR("#Main_Tariff!A"&amp;MATCH(Raeburn_Main_Tariff[[#This Row],[Product Code]],Main_Tariff!I:I,0),"#Main_Tariff!A"&amp;MATCH("*"&amp;RIGHT(A4892,8)&amp;"*",Main_Tariff!A:A,0)),Raeburn_Main_Tariff[[#This Row],[PRODUCER]])</f>
        <v>Bründlmayer</v>
      </c>
      <c r="C4892" s="1178" t="s">
        <v>22481</v>
      </c>
      <c r="D4892" s="1178" t="s">
        <v>1129</v>
      </c>
      <c r="E4892" s="1179">
        <v>2020</v>
      </c>
      <c r="F4892" s="1282" t="s">
        <v>20220</v>
      </c>
      <c r="G4892" s="1368">
        <v>27.5</v>
      </c>
      <c r="H4892" s="1178" t="s">
        <v>20277</v>
      </c>
      <c r="I4892" s="1178" t="s">
        <v>15397</v>
      </c>
      <c r="J4892" s="1178" t="s">
        <v>22404</v>
      </c>
      <c r="K4892" s="1178" t="s">
        <v>552</v>
      </c>
      <c r="L4892" s="1178"/>
      <c r="M4892" s="1369"/>
      <c r="N4892" s="1178"/>
      <c r="O4892" s="1178">
        <v>6</v>
      </c>
      <c r="P4892" s="1178">
        <v>12.5</v>
      </c>
    </row>
    <row r="4893" spans="1:16">
      <c r="A4893" s="1178" t="s">
        <v>22475</v>
      </c>
      <c r="B4893" s="1371" t="str">
        <f>HYPERLINK(IFERROR("#Main_Tariff!A"&amp;MATCH(Raeburn_Main_Tariff[[#This Row],[Product Code]],Main_Tariff!I:I,0),"#Main_Tariff!A"&amp;MATCH("*"&amp;RIGHT(A4893,8)&amp;"*",Main_Tariff!A:A,0)),Raeburn_Main_Tariff[[#This Row],[PRODUCER]])</f>
        <v>Bründlmayer</v>
      </c>
      <c r="C4893" s="1178" t="s">
        <v>22482</v>
      </c>
      <c r="D4893" s="1178" t="s">
        <v>1129</v>
      </c>
      <c r="E4893" s="1179">
        <v>2018</v>
      </c>
      <c r="F4893" s="1282" t="s">
        <v>20280</v>
      </c>
      <c r="G4893" s="1368">
        <v>12.5</v>
      </c>
      <c r="H4893" s="1178" t="s">
        <v>20221</v>
      </c>
      <c r="I4893" s="1178" t="s">
        <v>15400</v>
      </c>
      <c r="J4893" s="1178" t="s">
        <v>22404</v>
      </c>
      <c r="K4893" s="1178" t="s">
        <v>552</v>
      </c>
      <c r="L4893" s="1178"/>
      <c r="M4893" s="1369"/>
      <c r="N4893" s="1178"/>
      <c r="O4893" s="1178">
        <v>12</v>
      </c>
      <c r="P4893" s="1178">
        <v>12.5</v>
      </c>
    </row>
    <row r="4894" spans="1:16">
      <c r="A4894" s="1178" t="s">
        <v>22475</v>
      </c>
      <c r="B4894" s="1371" t="str">
        <f>HYPERLINK(IFERROR("#Main_Tariff!A"&amp;MATCH(Raeburn_Main_Tariff[[#This Row],[Product Code]],Main_Tariff!I:I,0),"#Main_Tariff!A"&amp;MATCH("*"&amp;RIGHT(A4894,8)&amp;"*",Main_Tariff!A:A,0)),Raeburn_Main_Tariff[[#This Row],[PRODUCER]])</f>
        <v>Bründlmayer</v>
      </c>
      <c r="C4894" s="1178" t="s">
        <v>22483</v>
      </c>
      <c r="D4894" s="1178" t="s">
        <v>1129</v>
      </c>
      <c r="E4894" s="1179">
        <v>2020</v>
      </c>
      <c r="F4894" s="1282" t="s">
        <v>20220</v>
      </c>
      <c r="G4894" s="1368">
        <v>23.5</v>
      </c>
      <c r="H4894" s="1178" t="s">
        <v>20224</v>
      </c>
      <c r="I4894" s="1178" t="s">
        <v>15402</v>
      </c>
      <c r="J4894" s="1178" t="s">
        <v>22404</v>
      </c>
      <c r="K4894" s="1178" t="s">
        <v>552</v>
      </c>
      <c r="L4894" s="1178"/>
      <c r="M4894" s="1369"/>
      <c r="N4894" s="1178"/>
      <c r="O4894" s="1178">
        <v>6</v>
      </c>
      <c r="P4894" s="1178">
        <v>12</v>
      </c>
    </row>
    <row r="4895" spans="1:16">
      <c r="A4895" s="1178" t="s">
        <v>22475</v>
      </c>
      <c r="B4895" s="1371" t="str">
        <f>HYPERLINK(IFERROR("#Main_Tariff!A"&amp;MATCH(Raeburn_Main_Tariff[[#This Row],[Product Code]],Main_Tariff!I:I,0),"#Main_Tariff!A"&amp;MATCH("*"&amp;RIGHT(A4895,8)&amp;"*",Main_Tariff!A:A,0)),Raeburn_Main_Tariff[[#This Row],[PRODUCER]])</f>
        <v>Bründlmayer</v>
      </c>
      <c r="C4895" s="1178" t="s">
        <v>22484</v>
      </c>
      <c r="D4895" s="1178" t="s">
        <v>1129</v>
      </c>
      <c r="E4895" s="1179">
        <v>2022</v>
      </c>
      <c r="F4895" s="1282" t="s">
        <v>20220</v>
      </c>
      <c r="G4895" s="1368">
        <v>32.5</v>
      </c>
      <c r="H4895" s="1178" t="s">
        <v>20221</v>
      </c>
      <c r="I4895" s="1178" t="s">
        <v>15405</v>
      </c>
      <c r="J4895" s="1178" t="s">
        <v>22404</v>
      </c>
      <c r="K4895" s="1178" t="s">
        <v>552</v>
      </c>
      <c r="L4895" s="1178"/>
      <c r="M4895" s="1369"/>
      <c r="N4895" s="1178"/>
      <c r="O4895" s="1178">
        <v>6</v>
      </c>
      <c r="P4895" s="1178">
        <v>13</v>
      </c>
    </row>
    <row r="4896" spans="1:16">
      <c r="A4896" s="1178" t="s">
        <v>22475</v>
      </c>
      <c r="B4896" s="1371" t="str">
        <f>HYPERLINK(IFERROR("#Main_Tariff!A"&amp;MATCH(Raeburn_Main_Tariff[[#This Row],[Product Code]],Main_Tariff!I:I,0),"#Main_Tariff!A"&amp;MATCH("*"&amp;RIGHT(A4896,8)&amp;"*",Main_Tariff!A:A,0)),Raeburn_Main_Tariff[[#This Row],[PRODUCER]])</f>
        <v>Bründlmayer</v>
      </c>
      <c r="C4896" s="1178" t="s">
        <v>22484</v>
      </c>
      <c r="D4896" s="1178" t="s">
        <v>1129</v>
      </c>
      <c r="E4896" s="1179">
        <v>2018</v>
      </c>
      <c r="F4896" s="1282" t="s">
        <v>20220</v>
      </c>
      <c r="G4896" s="1368">
        <v>25</v>
      </c>
      <c r="H4896" s="1178" t="s">
        <v>20221</v>
      </c>
      <c r="I4896" s="1178" t="s">
        <v>15406</v>
      </c>
      <c r="J4896" s="1178" t="s">
        <v>22404</v>
      </c>
      <c r="K4896" s="1178" t="s">
        <v>552</v>
      </c>
      <c r="L4896" s="1178"/>
      <c r="M4896" s="1369"/>
      <c r="N4896" s="1178"/>
      <c r="O4896" s="1178">
        <v>6</v>
      </c>
      <c r="P4896" s="1178">
        <v>12.5</v>
      </c>
    </row>
    <row r="4897" spans="1:16">
      <c r="A4897" s="1178" t="s">
        <v>22475</v>
      </c>
      <c r="B4897" s="1371" t="str">
        <f>HYPERLINK(IFERROR("#Main_Tariff!A"&amp;MATCH(Raeburn_Main_Tariff[[#This Row],[Product Code]],Main_Tariff!I:I,0),"#Main_Tariff!A"&amp;MATCH("*"&amp;RIGHT(A4897,8)&amp;"*",Main_Tariff!A:A,0)),Raeburn_Main_Tariff[[#This Row],[PRODUCER]])</f>
        <v>Bründlmayer</v>
      </c>
      <c r="C4897" s="1178" t="s">
        <v>22485</v>
      </c>
      <c r="D4897" s="1178" t="s">
        <v>1129</v>
      </c>
      <c r="E4897" s="1179">
        <v>2011</v>
      </c>
      <c r="F4897" s="1282" t="s">
        <v>20220</v>
      </c>
      <c r="G4897" s="1368">
        <v>34.25</v>
      </c>
      <c r="H4897" s="1178" t="s">
        <v>20277</v>
      </c>
      <c r="I4897" s="1178" t="s">
        <v>15407</v>
      </c>
      <c r="J4897" s="1178" t="s">
        <v>22404</v>
      </c>
      <c r="K4897" s="1178" t="s">
        <v>552</v>
      </c>
      <c r="L4897" s="1178"/>
      <c r="M4897" s="1369"/>
      <c r="N4897" s="1178"/>
      <c r="O4897" s="1178">
        <v>6</v>
      </c>
      <c r="P4897" s="1178">
        <v>13.5</v>
      </c>
    </row>
    <row r="4898" spans="1:16">
      <c r="A4898" s="1178" t="s">
        <v>22475</v>
      </c>
      <c r="B4898" s="1371" t="str">
        <f>HYPERLINK(IFERROR("#Main_Tariff!A"&amp;MATCH(Raeburn_Main_Tariff[[#This Row],[Product Code]],Main_Tariff!I:I,0),"#Main_Tariff!A"&amp;MATCH("*"&amp;RIGHT(A4898,8)&amp;"*",Main_Tariff!A:A,0)),Raeburn_Main_Tariff[[#This Row],[PRODUCER]])</f>
        <v>Bründlmayer</v>
      </c>
      <c r="C4898" s="1178" t="s">
        <v>22486</v>
      </c>
      <c r="D4898" s="1178" t="s">
        <v>1410</v>
      </c>
      <c r="E4898" s="1179">
        <v>2018</v>
      </c>
      <c r="F4898" s="1282" t="s">
        <v>20280</v>
      </c>
      <c r="G4898" s="1368">
        <v>16.25</v>
      </c>
      <c r="H4898" s="1178" t="s">
        <v>20221</v>
      </c>
      <c r="I4898" s="1178" t="s">
        <v>15409</v>
      </c>
      <c r="J4898" s="1178" t="s">
        <v>22404</v>
      </c>
      <c r="K4898" s="1178" t="s">
        <v>552</v>
      </c>
      <c r="L4898" s="1178"/>
      <c r="M4898" s="1369"/>
      <c r="N4898" s="1178"/>
      <c r="O4898" s="1178">
        <v>6</v>
      </c>
      <c r="P4898" s="1178">
        <v>10</v>
      </c>
    </row>
    <row r="4899" spans="1:16">
      <c r="A4899" s="1178" t="s">
        <v>555</v>
      </c>
      <c r="B4899" s="1371" t="str">
        <f>HYPERLINK(IFERROR("#Main_Tariff!A"&amp;MATCH(Raeburn_Main_Tariff[[#This Row],[Product Code]],Main_Tariff!I:I,0),"#Main_Tariff!A"&amp;MATCH("*"&amp;RIGHT(A4899,8)&amp;"*",Main_Tariff!A:A,0)),Raeburn_Main_Tariff[[#This Row],[PRODUCER]])</f>
        <v>Ehmoser</v>
      </c>
      <c r="C4899" s="1178" t="s">
        <v>22487</v>
      </c>
      <c r="D4899" s="1178" t="s">
        <v>1129</v>
      </c>
      <c r="E4899" s="1179">
        <v>2024</v>
      </c>
      <c r="F4899" s="1282" t="s">
        <v>20220</v>
      </c>
      <c r="G4899" s="1368">
        <v>14</v>
      </c>
      <c r="H4899" s="1178" t="s">
        <v>20221</v>
      </c>
      <c r="I4899" s="1178" t="s">
        <v>15416</v>
      </c>
      <c r="J4899" s="1178" t="s">
        <v>22404</v>
      </c>
      <c r="K4899" s="1178" t="s">
        <v>554</v>
      </c>
      <c r="L4899" s="1178"/>
      <c r="M4899" s="1369"/>
      <c r="N4899" s="1178"/>
      <c r="O4899" s="1178">
        <v>6</v>
      </c>
      <c r="P4899" s="1178">
        <v>12.5</v>
      </c>
    </row>
    <row r="4900" spans="1:16">
      <c r="A4900" s="1178" t="s">
        <v>555</v>
      </c>
      <c r="B4900" s="1371" t="str">
        <f>HYPERLINK(IFERROR("#Main_Tariff!A"&amp;MATCH(Raeburn_Main_Tariff[[#This Row],[Product Code]],Main_Tariff!I:I,0),"#Main_Tariff!A"&amp;MATCH("*"&amp;RIGHT(A4900,8)&amp;"*",Main_Tariff!A:A,0)),Raeburn_Main_Tariff[[#This Row],[PRODUCER]])</f>
        <v>Ehmoser</v>
      </c>
      <c r="C4900" s="1178" t="s">
        <v>22488</v>
      </c>
      <c r="D4900" s="1178" t="s">
        <v>1129</v>
      </c>
      <c r="E4900" s="1179">
        <v>2021</v>
      </c>
      <c r="F4900" s="1282" t="s">
        <v>20220</v>
      </c>
      <c r="G4900" s="1368">
        <v>16.5</v>
      </c>
      <c r="H4900" s="1178" t="s">
        <v>20221</v>
      </c>
      <c r="I4900" s="1178" t="s">
        <v>15419</v>
      </c>
      <c r="J4900" s="1178" t="s">
        <v>22404</v>
      </c>
      <c r="K4900" s="1178" t="s">
        <v>554</v>
      </c>
      <c r="L4900" s="1178"/>
      <c r="M4900" s="1369"/>
      <c r="N4900" s="1178"/>
      <c r="O4900" s="1178">
        <v>6</v>
      </c>
      <c r="P4900" s="1178">
        <v>12</v>
      </c>
    </row>
    <row r="4901" spans="1:16">
      <c r="A4901" s="1178" t="s">
        <v>555</v>
      </c>
      <c r="B4901" s="1371" t="str">
        <f>HYPERLINK(IFERROR("#Main_Tariff!A"&amp;MATCH(Raeburn_Main_Tariff[[#This Row],[Product Code]],Main_Tariff!I:I,0),"#Main_Tariff!A"&amp;MATCH("*"&amp;RIGHT(A4901,8)&amp;"*",Main_Tariff!A:A,0)),Raeburn_Main_Tariff[[#This Row],[PRODUCER]])</f>
        <v>Ehmoser</v>
      </c>
      <c r="C4901" s="1178" t="s">
        <v>22489</v>
      </c>
      <c r="D4901" s="1178" t="s">
        <v>1129</v>
      </c>
      <c r="E4901" s="1179">
        <v>2018</v>
      </c>
      <c r="F4901" s="1282" t="s">
        <v>20220</v>
      </c>
      <c r="G4901" s="1368">
        <v>15.5</v>
      </c>
      <c r="H4901" s="1178" t="s">
        <v>20221</v>
      </c>
      <c r="I4901" s="1178" t="s">
        <v>15421</v>
      </c>
      <c r="J4901" s="1178" t="s">
        <v>22404</v>
      </c>
      <c r="K4901" s="1178" t="s">
        <v>554</v>
      </c>
      <c r="L4901" s="1178"/>
      <c r="M4901" s="1369"/>
      <c r="N4901" s="1178"/>
      <c r="O4901" s="1178">
        <v>12</v>
      </c>
      <c r="P4901" s="1178">
        <v>13</v>
      </c>
    </row>
    <row r="4902" spans="1:16">
      <c r="A4902" s="1178" t="s">
        <v>555</v>
      </c>
      <c r="B4902" s="1371" t="str">
        <f>HYPERLINK(IFERROR("#Main_Tariff!A"&amp;MATCH(Raeburn_Main_Tariff[[#This Row],[Product Code]],Main_Tariff!I:I,0),"#Main_Tariff!A"&amp;MATCH("*"&amp;RIGHT(A4902,8)&amp;"*",Main_Tariff!A:A,0)),Raeburn_Main_Tariff[[#This Row],[PRODUCER]])</f>
        <v>Ehmoser</v>
      </c>
      <c r="C4902" s="1178" t="s">
        <v>22490</v>
      </c>
      <c r="D4902" s="1178" t="s">
        <v>2573</v>
      </c>
      <c r="E4902" s="1179">
        <v>2022</v>
      </c>
      <c r="F4902" s="1282" t="s">
        <v>20220</v>
      </c>
      <c r="G4902" s="1368">
        <v>14</v>
      </c>
      <c r="H4902" s="1178" t="s">
        <v>20221</v>
      </c>
      <c r="I4902" s="1178" t="s">
        <v>15424</v>
      </c>
      <c r="J4902" s="1178" t="s">
        <v>22404</v>
      </c>
      <c r="K4902" s="1178" t="s">
        <v>554</v>
      </c>
      <c r="L4902" s="1178"/>
      <c r="M4902" s="1369"/>
      <c r="N4902" s="1178"/>
      <c r="O4902" s="1178">
        <v>6</v>
      </c>
      <c r="P4902" s="1178">
        <v>12</v>
      </c>
    </row>
    <row r="4903" spans="1:16">
      <c r="A4903" s="1178" t="s">
        <v>555</v>
      </c>
      <c r="B4903" s="1371" t="str">
        <f>HYPERLINK(IFERROR("#Main_Tariff!A"&amp;MATCH(Raeburn_Main_Tariff[[#This Row],[Product Code]],Main_Tariff!I:I,0),"#Main_Tariff!A"&amp;MATCH("*"&amp;RIGHT(A4903,8)&amp;"*",Main_Tariff!A:A,0)),Raeburn_Main_Tariff[[#This Row],[PRODUCER]])</f>
        <v>Ehmoser</v>
      </c>
      <c r="C4903" s="1178" t="s">
        <v>22491</v>
      </c>
      <c r="D4903" s="1178" t="s">
        <v>897</v>
      </c>
      <c r="E4903" s="1179">
        <v>2021</v>
      </c>
      <c r="F4903" s="1282" t="s">
        <v>20220</v>
      </c>
      <c r="G4903" s="1368">
        <v>15.5</v>
      </c>
      <c r="H4903" s="1178" t="s">
        <v>20221</v>
      </c>
      <c r="I4903" s="1178" t="s">
        <v>15427</v>
      </c>
      <c r="J4903" s="1178" t="s">
        <v>22404</v>
      </c>
      <c r="K4903" s="1178" t="s">
        <v>554</v>
      </c>
      <c r="L4903" s="1178"/>
      <c r="M4903" s="1369"/>
      <c r="N4903" s="1178"/>
      <c r="O4903" s="1178">
        <v>6</v>
      </c>
      <c r="P4903" s="1178">
        <v>13</v>
      </c>
    </row>
    <row r="4904" spans="1:16">
      <c r="A4904" s="1178" t="s">
        <v>555</v>
      </c>
      <c r="B4904" s="1371" t="str">
        <f>HYPERLINK(IFERROR("#Main_Tariff!A"&amp;MATCH(Raeburn_Main_Tariff[[#This Row],[Product Code]],Main_Tariff!I:I,0),"#Main_Tariff!A"&amp;MATCH("*"&amp;RIGHT(A4904,8)&amp;"*",Main_Tariff!A:A,0)),Raeburn_Main_Tariff[[#This Row],[PRODUCER]])</f>
        <v>Ehmoser</v>
      </c>
      <c r="C4904" s="1178" t="s">
        <v>22492</v>
      </c>
      <c r="D4904" s="1178" t="s">
        <v>897</v>
      </c>
      <c r="E4904" s="1179">
        <v>2015</v>
      </c>
      <c r="F4904" s="1282" t="s">
        <v>20220</v>
      </c>
      <c r="G4904" s="1368">
        <v>18.25</v>
      </c>
      <c r="H4904" s="1178" t="s">
        <v>20221</v>
      </c>
      <c r="I4904" s="1178" t="s">
        <v>15428</v>
      </c>
      <c r="J4904" s="1178" t="s">
        <v>22404</v>
      </c>
      <c r="K4904" s="1178" t="s">
        <v>554</v>
      </c>
      <c r="L4904" s="1178"/>
      <c r="M4904" s="1369"/>
      <c r="N4904" s="1178"/>
      <c r="O4904" s="1178">
        <v>12</v>
      </c>
      <c r="P4904" s="1178">
        <v>13</v>
      </c>
    </row>
    <row r="4905" spans="1:16">
      <c r="A4905" s="1178" t="s">
        <v>555</v>
      </c>
      <c r="B4905" s="1371" t="str">
        <f>HYPERLINK(IFERROR("#Main_Tariff!A"&amp;MATCH(Raeburn_Main_Tariff[[#This Row],[Product Code]],Main_Tariff!I:I,0),"#Main_Tariff!A"&amp;MATCH("*"&amp;RIGHT(A4905,8)&amp;"*",Main_Tariff!A:A,0)),Raeburn_Main_Tariff[[#This Row],[PRODUCER]])</f>
        <v>Ehmoser</v>
      </c>
      <c r="C4905" s="1178" t="s">
        <v>22493</v>
      </c>
      <c r="D4905" s="1178" t="s">
        <v>1410</v>
      </c>
      <c r="E4905" s="1179"/>
      <c r="F4905" s="1282" t="s">
        <v>20280</v>
      </c>
      <c r="G4905" s="1368"/>
      <c r="H4905" s="1178" t="s">
        <v>3907</v>
      </c>
      <c r="I4905" s="1178" t="s">
        <v>15430</v>
      </c>
      <c r="J4905" s="1178" t="s">
        <v>22404</v>
      </c>
      <c r="K4905" s="1178" t="s">
        <v>554</v>
      </c>
      <c r="L4905" s="1178"/>
      <c r="M4905" s="1369"/>
      <c r="N4905" s="1178"/>
      <c r="O4905" s="1178">
        <v>6</v>
      </c>
      <c r="P4905" s="1178">
        <v>9</v>
      </c>
    </row>
    <row r="4906" spans="1:16">
      <c r="A4906" s="1178" t="s">
        <v>557</v>
      </c>
      <c r="B4906" s="1371" t="str">
        <f>HYPERLINK(IFERROR("#Main_Tariff!A"&amp;MATCH(Raeburn_Main_Tariff[[#This Row],[Product Code]],Main_Tariff!I:I,0),"#Main_Tariff!A"&amp;MATCH("*"&amp;RIGHT(A4906,8)&amp;"*",Main_Tariff!A:A,0)),Raeburn_Main_Tariff[[#This Row],[PRODUCER]])</f>
        <v>Uwe Schiefer</v>
      </c>
      <c r="C4906" s="1178" t="s">
        <v>22494</v>
      </c>
      <c r="D4906" s="1178" t="s">
        <v>1129</v>
      </c>
      <c r="E4906" s="1179">
        <v>2020</v>
      </c>
      <c r="F4906" s="1282" t="s">
        <v>20220</v>
      </c>
      <c r="G4906" s="1368">
        <v>15.5</v>
      </c>
      <c r="H4906" s="1178" t="s">
        <v>20221</v>
      </c>
      <c r="I4906" s="1178" t="s">
        <v>15443</v>
      </c>
      <c r="J4906" s="1178" t="s">
        <v>22404</v>
      </c>
      <c r="K4906" s="1178" t="s">
        <v>556</v>
      </c>
      <c r="L4906" s="1178"/>
      <c r="M4906" s="1369"/>
      <c r="N4906" s="1178"/>
      <c r="O4906" s="1178">
        <v>12</v>
      </c>
      <c r="P4906" s="1178">
        <v>11</v>
      </c>
    </row>
    <row r="4907" spans="1:16">
      <c r="A4907" s="1178" t="s">
        <v>557</v>
      </c>
      <c r="B4907" s="1371" t="str">
        <f>HYPERLINK(IFERROR("#Main_Tariff!A"&amp;MATCH(Raeburn_Main_Tariff[[#This Row],[Product Code]],Main_Tariff!I:I,0),"#Main_Tariff!A"&amp;MATCH("*"&amp;RIGHT(A4907,8)&amp;"*",Main_Tariff!A:A,0)),Raeburn_Main_Tariff[[#This Row],[PRODUCER]])</f>
        <v>Uwe Schiefer</v>
      </c>
      <c r="C4907" s="1178" t="s">
        <v>22495</v>
      </c>
      <c r="D4907" s="1178" t="s">
        <v>1129</v>
      </c>
      <c r="E4907" s="1179">
        <v>2020</v>
      </c>
      <c r="F4907" s="1282" t="s">
        <v>20220</v>
      </c>
      <c r="G4907" s="1368">
        <v>17.5</v>
      </c>
      <c r="H4907" s="1178" t="s">
        <v>20221</v>
      </c>
      <c r="I4907" s="1178" t="s">
        <v>15445</v>
      </c>
      <c r="J4907" s="1178" t="s">
        <v>22404</v>
      </c>
      <c r="K4907" s="1178" t="s">
        <v>556</v>
      </c>
      <c r="L4907" s="1178"/>
      <c r="M4907" s="1369"/>
      <c r="N4907" s="1178"/>
      <c r="O4907" s="1178">
        <v>6</v>
      </c>
      <c r="P4907" s="1178">
        <v>12.5</v>
      </c>
    </row>
    <row r="4908" spans="1:16">
      <c r="A4908" s="1178" t="s">
        <v>557</v>
      </c>
      <c r="B4908" s="1371" t="str">
        <f>HYPERLINK(IFERROR("#Main_Tariff!A"&amp;MATCH(Raeburn_Main_Tariff[[#This Row],[Product Code]],Main_Tariff!I:I,0),"#Main_Tariff!A"&amp;MATCH("*"&amp;RIGHT(A4908,8)&amp;"*",Main_Tariff!A:A,0)),Raeburn_Main_Tariff[[#This Row],[PRODUCER]])</f>
        <v>Uwe Schiefer</v>
      </c>
      <c r="C4908" s="1178" t="s">
        <v>22496</v>
      </c>
      <c r="D4908" s="1178" t="s">
        <v>1370</v>
      </c>
      <c r="E4908" s="1179">
        <v>2015</v>
      </c>
      <c r="F4908" s="1282" t="s">
        <v>20220</v>
      </c>
      <c r="G4908" s="1368">
        <v>36</v>
      </c>
      <c r="H4908" s="1178" t="s">
        <v>20221</v>
      </c>
      <c r="I4908" s="1178" t="s">
        <v>15449</v>
      </c>
      <c r="J4908" s="1178" t="s">
        <v>22404</v>
      </c>
      <c r="K4908" s="1178" t="s">
        <v>556</v>
      </c>
      <c r="L4908" s="1178"/>
      <c r="M4908" s="1369"/>
      <c r="N4908" s="1178"/>
      <c r="O4908" s="1178">
        <v>12</v>
      </c>
      <c r="P4908" s="1178">
        <v>14</v>
      </c>
    </row>
    <row r="4909" spans="1:16">
      <c r="A4909" s="1178" t="s">
        <v>557</v>
      </c>
      <c r="B4909" s="1371" t="str">
        <f>HYPERLINK(IFERROR("#Main_Tariff!A"&amp;MATCH(Raeburn_Main_Tariff[[#This Row],[Product Code]],Main_Tariff!I:I,0),"#Main_Tariff!A"&amp;MATCH("*"&amp;RIGHT(A4909,8)&amp;"*",Main_Tariff!A:A,0)),Raeburn_Main_Tariff[[#This Row],[PRODUCER]])</f>
        <v>Uwe Schiefer</v>
      </c>
      <c r="C4909" s="1178" t="s">
        <v>22497</v>
      </c>
      <c r="D4909" s="1178" t="s">
        <v>1370</v>
      </c>
      <c r="E4909" s="1179">
        <v>2015</v>
      </c>
      <c r="F4909" s="1282" t="s">
        <v>20220</v>
      </c>
      <c r="G4909" s="1368">
        <v>30.5</v>
      </c>
      <c r="H4909" s="1178" t="s">
        <v>20221</v>
      </c>
      <c r="I4909" s="1178" t="s">
        <v>15451</v>
      </c>
      <c r="J4909" s="1178" t="s">
        <v>22404</v>
      </c>
      <c r="K4909" s="1178" t="s">
        <v>556</v>
      </c>
      <c r="L4909" s="1178"/>
      <c r="M4909" s="1369"/>
      <c r="N4909" s="1178"/>
      <c r="O4909" s="1178">
        <v>6</v>
      </c>
      <c r="P4909" s="1178">
        <v>13.5</v>
      </c>
    </row>
    <row r="4910" spans="1:16">
      <c r="A4910" s="1178" t="s">
        <v>557</v>
      </c>
      <c r="B4910" s="1371" t="str">
        <f>HYPERLINK(IFERROR("#Main_Tariff!A"&amp;MATCH(Raeburn_Main_Tariff[[#This Row],[Product Code]],Main_Tariff!I:I,0),"#Main_Tariff!A"&amp;MATCH("*"&amp;RIGHT(A4910,8)&amp;"*",Main_Tariff!A:A,0)),Raeburn_Main_Tariff[[#This Row],[PRODUCER]])</f>
        <v>Uwe Schiefer</v>
      </c>
      <c r="C4910" s="1178" t="s">
        <v>22498</v>
      </c>
      <c r="D4910" s="1178" t="s">
        <v>1370</v>
      </c>
      <c r="E4910" s="1179">
        <v>2015</v>
      </c>
      <c r="F4910" s="1282" t="s">
        <v>20240</v>
      </c>
      <c r="G4910" s="1368">
        <v>50</v>
      </c>
      <c r="H4910" s="1178" t="s">
        <v>20224</v>
      </c>
      <c r="I4910" s="1178" t="s">
        <v>15453</v>
      </c>
      <c r="J4910" s="1178" t="s">
        <v>22404</v>
      </c>
      <c r="K4910" s="1178" t="s">
        <v>556</v>
      </c>
      <c r="L4910" s="1178"/>
      <c r="M4910" s="1369"/>
      <c r="N4910" s="1178"/>
      <c r="O4910" s="1178">
        <v>3</v>
      </c>
      <c r="P4910" s="1178">
        <v>13.5</v>
      </c>
    </row>
    <row r="4911" spans="1:16">
      <c r="A4911" s="1178" t="s">
        <v>557</v>
      </c>
      <c r="B4911" s="1371" t="str">
        <f>HYPERLINK(IFERROR("#Main_Tariff!A"&amp;MATCH(Raeburn_Main_Tariff[[#This Row],[Product Code]],Main_Tariff!I:I,0),"#Main_Tariff!A"&amp;MATCH("*"&amp;RIGHT(A4911,8)&amp;"*",Main_Tariff!A:A,0)),Raeburn_Main_Tariff[[#This Row],[PRODUCER]])</f>
        <v>Uwe Schiefer</v>
      </c>
      <c r="C4911" s="1178" t="s">
        <v>22499</v>
      </c>
      <c r="D4911" s="1178" t="s">
        <v>897</v>
      </c>
      <c r="E4911" s="1179">
        <v>2015</v>
      </c>
      <c r="F4911" s="1282" t="s">
        <v>20280</v>
      </c>
      <c r="G4911" s="1368">
        <v>9.9499999999999993</v>
      </c>
      <c r="H4911" s="1178" t="s">
        <v>20277</v>
      </c>
      <c r="I4911" s="1178" t="s">
        <v>15457</v>
      </c>
      <c r="J4911" s="1178" t="s">
        <v>22404</v>
      </c>
      <c r="K4911" s="1178" t="s">
        <v>556</v>
      </c>
      <c r="L4911" s="1178"/>
      <c r="M4911" s="1369"/>
      <c r="N4911" s="1178"/>
      <c r="O4911" s="1178">
        <v>12</v>
      </c>
      <c r="P4911" s="1178">
        <v>13</v>
      </c>
    </row>
    <row r="4912" spans="1:16">
      <c r="A4912" s="1178" t="s">
        <v>557</v>
      </c>
      <c r="B4912" s="1371" t="str">
        <f>HYPERLINK(IFERROR("#Main_Tariff!A"&amp;MATCH(Raeburn_Main_Tariff[[#This Row],[Product Code]],Main_Tariff!I:I,0),"#Main_Tariff!A"&amp;MATCH("*"&amp;RIGHT(A4912,8)&amp;"*",Main_Tariff!A:A,0)),Raeburn_Main_Tariff[[#This Row],[PRODUCER]])</f>
        <v>Uwe Schiefer</v>
      </c>
      <c r="C4912" s="1178" t="s">
        <v>22500</v>
      </c>
      <c r="D4912" s="1178" t="s">
        <v>897</v>
      </c>
      <c r="E4912" s="1179">
        <v>2019</v>
      </c>
      <c r="F4912" s="1282" t="s">
        <v>20220</v>
      </c>
      <c r="G4912" s="1368">
        <v>15.5</v>
      </c>
      <c r="H4912" s="1178" t="s">
        <v>20221</v>
      </c>
      <c r="I4912" s="1178" t="s">
        <v>15459</v>
      </c>
      <c r="J4912" s="1178" t="s">
        <v>22404</v>
      </c>
      <c r="K4912" s="1178" t="s">
        <v>556</v>
      </c>
      <c r="L4912" s="1178"/>
      <c r="M4912" s="1369"/>
      <c r="N4912" s="1178"/>
      <c r="O4912" s="1178">
        <v>6</v>
      </c>
      <c r="P4912" s="1178">
        <v>13</v>
      </c>
    </row>
    <row r="4913" spans="1:16">
      <c r="A4913" s="1178" t="s">
        <v>557</v>
      </c>
      <c r="B4913" s="1371" t="str">
        <f>HYPERLINK(IFERROR("#Main_Tariff!A"&amp;MATCH(Raeburn_Main_Tariff[[#This Row],[Product Code]],Main_Tariff!I:I,0),"#Main_Tariff!A"&amp;MATCH("*"&amp;RIGHT(A4913,8)&amp;"*",Main_Tariff!A:A,0)),Raeburn_Main_Tariff[[#This Row],[PRODUCER]])</f>
        <v>Uwe Schiefer</v>
      </c>
      <c r="C4913" s="1178" t="s">
        <v>22500</v>
      </c>
      <c r="D4913" s="1178" t="s">
        <v>897</v>
      </c>
      <c r="E4913" s="1179">
        <v>2017</v>
      </c>
      <c r="F4913" s="1282" t="s">
        <v>20220</v>
      </c>
      <c r="G4913" s="1368">
        <v>15.5</v>
      </c>
      <c r="H4913" s="1178" t="s">
        <v>20221</v>
      </c>
      <c r="I4913" s="1178" t="s">
        <v>15461</v>
      </c>
      <c r="J4913" s="1178" t="s">
        <v>22404</v>
      </c>
      <c r="K4913" s="1178" t="s">
        <v>556</v>
      </c>
      <c r="L4913" s="1178"/>
      <c r="M4913" s="1369"/>
      <c r="N4913" s="1178"/>
      <c r="O4913" s="1178">
        <v>6</v>
      </c>
      <c r="P4913" s="1178">
        <v>13</v>
      </c>
    </row>
    <row r="4914" spans="1:16">
      <c r="A4914" s="1178" t="s">
        <v>557</v>
      </c>
      <c r="B4914" s="1371" t="str">
        <f>HYPERLINK(IFERROR("#Main_Tariff!A"&amp;MATCH(Raeburn_Main_Tariff[[#This Row],[Product Code]],Main_Tariff!I:I,0),"#Main_Tariff!A"&amp;MATCH("*"&amp;RIGHT(A4914,8)&amp;"*",Main_Tariff!A:A,0)),Raeburn_Main_Tariff[[#This Row],[PRODUCER]])</f>
        <v>Uwe Schiefer</v>
      </c>
      <c r="C4914" s="1178" t="s">
        <v>22501</v>
      </c>
      <c r="D4914" s="1178" t="s">
        <v>897</v>
      </c>
      <c r="E4914" s="1179">
        <v>2019</v>
      </c>
      <c r="F4914" s="1282" t="s">
        <v>20220</v>
      </c>
      <c r="G4914" s="1368">
        <v>19</v>
      </c>
      <c r="H4914" s="1178" t="s">
        <v>20221</v>
      </c>
      <c r="I4914" s="1178" t="s">
        <v>15463</v>
      </c>
      <c r="J4914" s="1178" t="s">
        <v>22404</v>
      </c>
      <c r="K4914" s="1178" t="s">
        <v>556</v>
      </c>
      <c r="L4914" s="1178"/>
      <c r="M4914" s="1369"/>
      <c r="N4914" s="1178"/>
      <c r="O4914" s="1178">
        <v>6</v>
      </c>
      <c r="P4914" s="1178">
        <v>13.5</v>
      </c>
    </row>
    <row r="4915" spans="1:16">
      <c r="A4915" s="1178" t="s">
        <v>557</v>
      </c>
      <c r="B4915" s="1371" t="str">
        <f>HYPERLINK(IFERROR("#Main_Tariff!A"&amp;MATCH(Raeburn_Main_Tariff[[#This Row],[Product Code]],Main_Tariff!I:I,0),"#Main_Tariff!A"&amp;MATCH("*"&amp;RIGHT(A4915,8)&amp;"*",Main_Tariff!A:A,0)),Raeburn_Main_Tariff[[#This Row],[PRODUCER]])</f>
        <v>Uwe Schiefer</v>
      </c>
      <c r="C4915" s="1178" t="s">
        <v>22501</v>
      </c>
      <c r="D4915" s="1178" t="s">
        <v>897</v>
      </c>
      <c r="E4915" s="1179">
        <v>2017</v>
      </c>
      <c r="F4915" s="1282" t="s">
        <v>20220</v>
      </c>
      <c r="G4915" s="1368">
        <v>19</v>
      </c>
      <c r="H4915" s="1178" t="s">
        <v>20221</v>
      </c>
      <c r="I4915" s="1178" t="s">
        <v>15465</v>
      </c>
      <c r="J4915" s="1178" t="s">
        <v>22404</v>
      </c>
      <c r="K4915" s="1178" t="s">
        <v>556</v>
      </c>
      <c r="L4915" s="1178"/>
      <c r="M4915" s="1369"/>
      <c r="N4915" s="1178"/>
      <c r="O4915" s="1178">
        <v>6</v>
      </c>
      <c r="P4915" s="1178">
        <v>13</v>
      </c>
    </row>
    <row r="4916" spans="1:16">
      <c r="A4916" s="1178" t="s">
        <v>557</v>
      </c>
      <c r="B4916" s="1371" t="str">
        <f>HYPERLINK(IFERROR("#Main_Tariff!A"&amp;MATCH(Raeburn_Main_Tariff[[#This Row],[Product Code]],Main_Tariff!I:I,0),"#Main_Tariff!A"&amp;MATCH("*"&amp;RIGHT(A4916,8)&amp;"*",Main_Tariff!A:A,0)),Raeburn_Main_Tariff[[#This Row],[PRODUCER]])</f>
        <v>Uwe Schiefer</v>
      </c>
      <c r="C4916" s="1178" t="s">
        <v>22502</v>
      </c>
      <c r="D4916" s="1178" t="s">
        <v>897</v>
      </c>
      <c r="E4916" s="1179">
        <v>2019</v>
      </c>
      <c r="F4916" s="1282" t="s">
        <v>20240</v>
      </c>
      <c r="G4916" s="1368">
        <v>31.25</v>
      </c>
      <c r="H4916" s="1178" t="s">
        <v>20221</v>
      </c>
      <c r="I4916" s="1178" t="s">
        <v>15466</v>
      </c>
      <c r="J4916" s="1178" t="s">
        <v>22404</v>
      </c>
      <c r="K4916" s="1178" t="s">
        <v>556</v>
      </c>
      <c r="L4916" s="1178"/>
      <c r="M4916" s="1369"/>
      <c r="N4916" s="1178"/>
      <c r="O4916" s="1178">
        <v>3</v>
      </c>
      <c r="P4916" s="1178">
        <v>13.5</v>
      </c>
    </row>
    <row r="4917" spans="1:16">
      <c r="A4917" s="1178" t="s">
        <v>557</v>
      </c>
      <c r="B4917" s="1371" t="str">
        <f>HYPERLINK(IFERROR("#Main_Tariff!A"&amp;MATCH(Raeburn_Main_Tariff[[#This Row],[Product Code]],Main_Tariff!I:I,0),"#Main_Tariff!A"&amp;MATCH("*"&amp;RIGHT(A4917,8)&amp;"*",Main_Tariff!A:A,0)),Raeburn_Main_Tariff[[#This Row],[PRODUCER]])</f>
        <v>Uwe Schiefer</v>
      </c>
      <c r="C4917" s="1178" t="s">
        <v>22503</v>
      </c>
      <c r="D4917" s="1178" t="s">
        <v>897</v>
      </c>
      <c r="E4917" s="1179">
        <v>2015</v>
      </c>
      <c r="F4917" s="1282" t="s">
        <v>20240</v>
      </c>
      <c r="G4917" s="1368">
        <v>48</v>
      </c>
      <c r="H4917" s="1178" t="s">
        <v>20221</v>
      </c>
      <c r="I4917" s="1178" t="s">
        <v>15468</v>
      </c>
      <c r="J4917" s="1178" t="s">
        <v>22404</v>
      </c>
      <c r="K4917" s="1178" t="s">
        <v>556</v>
      </c>
      <c r="L4917" s="1178"/>
      <c r="M4917" s="1369"/>
      <c r="N4917" s="1178"/>
      <c r="O4917" s="1178">
        <v>3</v>
      </c>
      <c r="P4917" s="1178">
        <v>13.5</v>
      </c>
    </row>
    <row r="4918" spans="1:16">
      <c r="A4918" s="1178" t="s">
        <v>557</v>
      </c>
      <c r="B4918" s="1371" t="str">
        <f>HYPERLINK(IFERROR("#Main_Tariff!A"&amp;MATCH(Raeburn_Main_Tariff[[#This Row],[Product Code]],Main_Tariff!I:I,0),"#Main_Tariff!A"&amp;MATCH("*"&amp;RIGHT(A4918,8)&amp;"*",Main_Tariff!A:A,0)),Raeburn_Main_Tariff[[#This Row],[PRODUCER]])</f>
        <v>Uwe Schiefer</v>
      </c>
      <c r="C4918" s="1178" t="s">
        <v>22504</v>
      </c>
      <c r="D4918" s="1178" t="s">
        <v>897</v>
      </c>
      <c r="E4918" s="1179">
        <v>2017</v>
      </c>
      <c r="F4918" s="1282" t="s">
        <v>20280</v>
      </c>
      <c r="G4918" s="1368">
        <v>16.25</v>
      </c>
      <c r="H4918" s="1178" t="s">
        <v>20221</v>
      </c>
      <c r="I4918" s="1178" t="s">
        <v>15472</v>
      </c>
      <c r="J4918" s="1178" t="s">
        <v>22404</v>
      </c>
      <c r="K4918" s="1178" t="s">
        <v>556</v>
      </c>
      <c r="L4918" s="1178"/>
      <c r="M4918" s="1369"/>
      <c r="N4918" s="1178"/>
      <c r="O4918" s="1178">
        <v>12</v>
      </c>
      <c r="P4918" s="1178">
        <v>13.5</v>
      </c>
    </row>
    <row r="4919" spans="1:16">
      <c r="A4919" s="1178" t="s">
        <v>557</v>
      </c>
      <c r="B4919" s="1371" t="str">
        <f>HYPERLINK(IFERROR("#Main_Tariff!A"&amp;MATCH(Raeburn_Main_Tariff[[#This Row],[Product Code]],Main_Tariff!I:I,0),"#Main_Tariff!A"&amp;MATCH("*"&amp;RIGHT(A4919,8)&amp;"*",Main_Tariff!A:A,0)),Raeburn_Main_Tariff[[#This Row],[PRODUCER]])</f>
        <v>Uwe Schiefer</v>
      </c>
      <c r="C4919" s="1178" t="s">
        <v>22505</v>
      </c>
      <c r="D4919" s="1178" t="s">
        <v>897</v>
      </c>
      <c r="E4919" s="1179">
        <v>2018</v>
      </c>
      <c r="F4919" s="1282" t="s">
        <v>20280</v>
      </c>
      <c r="G4919" s="1368">
        <v>20.25</v>
      </c>
      <c r="H4919" s="1178" t="s">
        <v>20221</v>
      </c>
      <c r="I4919" s="1178" t="s">
        <v>15474</v>
      </c>
      <c r="J4919" s="1178" t="s">
        <v>22404</v>
      </c>
      <c r="K4919" s="1178" t="s">
        <v>556</v>
      </c>
      <c r="L4919" s="1178"/>
      <c r="M4919" s="1369"/>
      <c r="N4919" s="1178"/>
      <c r="O4919" s="1178">
        <v>12</v>
      </c>
      <c r="P4919" s="1178">
        <v>13</v>
      </c>
    </row>
    <row r="4920" spans="1:16">
      <c r="A4920" s="1178" t="s">
        <v>557</v>
      </c>
      <c r="B4920" s="1371" t="str">
        <f>HYPERLINK(IFERROR("#Main_Tariff!A"&amp;MATCH(Raeburn_Main_Tariff[[#This Row],[Product Code]],Main_Tariff!I:I,0),"#Main_Tariff!A"&amp;MATCH("*"&amp;RIGHT(A4920,8)&amp;"*",Main_Tariff!A:A,0)),Raeburn_Main_Tariff[[#This Row],[PRODUCER]])</f>
        <v>Uwe Schiefer</v>
      </c>
      <c r="C4920" s="1178" t="s">
        <v>22506</v>
      </c>
      <c r="D4920" s="1178" t="s">
        <v>897</v>
      </c>
      <c r="E4920" s="1179">
        <v>2017</v>
      </c>
      <c r="F4920" s="1282" t="s">
        <v>20280</v>
      </c>
      <c r="G4920" s="1368">
        <v>24.5</v>
      </c>
      <c r="H4920" s="1178" t="s">
        <v>20221</v>
      </c>
      <c r="I4920" s="1178" t="s">
        <v>15476</v>
      </c>
      <c r="J4920" s="1178" t="s">
        <v>22404</v>
      </c>
      <c r="K4920" s="1178" t="s">
        <v>556</v>
      </c>
      <c r="L4920" s="1178"/>
      <c r="M4920" s="1369"/>
      <c r="N4920" s="1178"/>
      <c r="O4920" s="1178">
        <v>12</v>
      </c>
      <c r="P4920" s="1178">
        <v>13.5</v>
      </c>
    </row>
    <row r="4921" spans="1:16">
      <c r="A4921" s="1178" t="s">
        <v>557</v>
      </c>
      <c r="B4921" s="1371" t="str">
        <f>HYPERLINK(IFERROR("#Main_Tariff!A"&amp;MATCH(Raeburn_Main_Tariff[[#This Row],[Product Code]],Main_Tariff!I:I,0),"#Main_Tariff!A"&amp;MATCH("*"&amp;RIGHT(A4921,8)&amp;"*",Main_Tariff!A:A,0)),Raeburn_Main_Tariff[[#This Row],[PRODUCER]])</f>
        <v>Uwe Schiefer</v>
      </c>
      <c r="C4921" s="1178" t="s">
        <v>22507</v>
      </c>
      <c r="D4921" s="1178" t="s">
        <v>897</v>
      </c>
      <c r="E4921" s="1179">
        <v>2015</v>
      </c>
      <c r="F4921" s="1282" t="s">
        <v>20220</v>
      </c>
      <c r="G4921" s="1368">
        <v>27.75</v>
      </c>
      <c r="H4921" s="1178" t="s">
        <v>20221</v>
      </c>
      <c r="I4921" s="1178" t="s">
        <v>15478</v>
      </c>
      <c r="J4921" s="1178" t="s">
        <v>22404</v>
      </c>
      <c r="K4921" s="1178" t="s">
        <v>556</v>
      </c>
      <c r="L4921" s="1178" t="s">
        <v>22508</v>
      </c>
      <c r="M4921" s="1369"/>
      <c r="N4921" s="1178"/>
      <c r="O4921" s="1178">
        <v>6</v>
      </c>
      <c r="P4921" s="1178">
        <v>13</v>
      </c>
    </row>
    <row r="4922" spans="1:16">
      <c r="A4922" s="1178" t="s">
        <v>557</v>
      </c>
      <c r="B4922" s="1371" t="str">
        <f>HYPERLINK(IFERROR("#Main_Tariff!A"&amp;MATCH(Raeburn_Main_Tariff[[#This Row],[Product Code]],Main_Tariff!I:I,0),"#Main_Tariff!A"&amp;MATCH("*"&amp;RIGHT(A4922,8)&amp;"*",Main_Tariff!A:A,0)),Raeburn_Main_Tariff[[#This Row],[PRODUCER]])</f>
        <v>Uwe Schiefer</v>
      </c>
      <c r="C4922" s="1178" t="s">
        <v>22509</v>
      </c>
      <c r="D4922" s="1178" t="s">
        <v>897</v>
      </c>
      <c r="E4922" s="1179">
        <v>2019</v>
      </c>
      <c r="F4922" s="1282" t="s">
        <v>20220</v>
      </c>
      <c r="G4922" s="1368">
        <v>33.25</v>
      </c>
      <c r="H4922" s="1178" t="s">
        <v>20221</v>
      </c>
      <c r="I4922" s="1178" t="s">
        <v>15480</v>
      </c>
      <c r="J4922" s="1178" t="s">
        <v>22404</v>
      </c>
      <c r="K4922" s="1178" t="s">
        <v>556</v>
      </c>
      <c r="L4922" s="1178"/>
      <c r="M4922" s="1369"/>
      <c r="N4922" s="1178"/>
      <c r="O4922" s="1178">
        <v>6</v>
      </c>
      <c r="P4922" s="1178">
        <v>13.5</v>
      </c>
    </row>
    <row r="4923" spans="1:16">
      <c r="A4923" s="1178" t="s">
        <v>557</v>
      </c>
      <c r="B4923" s="1371" t="str">
        <f>HYPERLINK(IFERROR("#Main_Tariff!A"&amp;MATCH(Raeburn_Main_Tariff[[#This Row],[Product Code]],Main_Tariff!I:I,0),"#Main_Tariff!A"&amp;MATCH("*"&amp;RIGHT(A4923,8)&amp;"*",Main_Tariff!A:A,0)),Raeburn_Main_Tariff[[#This Row],[PRODUCER]])</f>
        <v>Uwe Schiefer</v>
      </c>
      <c r="C4923" s="1178" t="s">
        <v>22509</v>
      </c>
      <c r="D4923" s="1178" t="s">
        <v>897</v>
      </c>
      <c r="E4923" s="1179">
        <v>2016</v>
      </c>
      <c r="F4923" s="1282" t="s">
        <v>20220</v>
      </c>
      <c r="G4923" s="1368">
        <v>32.5</v>
      </c>
      <c r="H4923" s="1178" t="s">
        <v>20221</v>
      </c>
      <c r="I4923" s="1178" t="s">
        <v>15482</v>
      </c>
      <c r="J4923" s="1178" t="s">
        <v>22404</v>
      </c>
      <c r="K4923" s="1178" t="s">
        <v>556</v>
      </c>
      <c r="L4923" s="1178"/>
      <c r="M4923" s="1369"/>
      <c r="N4923" s="1178"/>
      <c r="O4923" s="1178">
        <v>6</v>
      </c>
      <c r="P4923" s="1178">
        <v>13</v>
      </c>
    </row>
    <row r="4924" spans="1:16">
      <c r="A4924" s="1178" t="s">
        <v>557</v>
      </c>
      <c r="B4924" s="1371" t="str">
        <f>HYPERLINK(IFERROR("#Main_Tariff!A"&amp;MATCH(Raeburn_Main_Tariff[[#This Row],[Product Code]],Main_Tariff!I:I,0),"#Main_Tariff!A"&amp;MATCH("*"&amp;RIGHT(A4924,8)&amp;"*",Main_Tariff!A:A,0)),Raeburn_Main_Tariff[[#This Row],[PRODUCER]])</f>
        <v>Uwe Schiefer</v>
      </c>
      <c r="C4924" s="1178" t="s">
        <v>22510</v>
      </c>
      <c r="D4924" s="1178" t="s">
        <v>897</v>
      </c>
      <c r="E4924" s="1179">
        <v>2018</v>
      </c>
      <c r="F4924" s="1282" t="s">
        <v>20220</v>
      </c>
      <c r="G4924" s="1368">
        <v>41.5</v>
      </c>
      <c r="H4924" s="1178" t="s">
        <v>20221</v>
      </c>
      <c r="I4924" s="1178" t="s">
        <v>15484</v>
      </c>
      <c r="J4924" s="1178" t="s">
        <v>22404</v>
      </c>
      <c r="K4924" s="1178" t="s">
        <v>556</v>
      </c>
      <c r="L4924" s="1178"/>
      <c r="M4924" s="1369"/>
      <c r="N4924" s="1178"/>
      <c r="O4924" s="1178">
        <v>6</v>
      </c>
      <c r="P4924" s="1178">
        <v>13</v>
      </c>
    </row>
    <row r="4925" spans="1:16">
      <c r="A4925" s="1178" t="s">
        <v>557</v>
      </c>
      <c r="B4925" s="1371" t="str">
        <f>HYPERLINK(IFERROR("#Main_Tariff!A"&amp;MATCH(Raeburn_Main_Tariff[[#This Row],[Product Code]],Main_Tariff!I:I,0),"#Main_Tariff!A"&amp;MATCH("*"&amp;RIGHT(A4925,8)&amp;"*",Main_Tariff!A:A,0)),Raeburn_Main_Tariff[[#This Row],[PRODUCER]])</f>
        <v>Uwe Schiefer</v>
      </c>
      <c r="C4925" s="1178" t="s">
        <v>22510</v>
      </c>
      <c r="D4925" s="1178" t="s">
        <v>897</v>
      </c>
      <c r="E4925" s="1179">
        <v>2013</v>
      </c>
      <c r="F4925" s="1282" t="s">
        <v>20220</v>
      </c>
      <c r="G4925" s="1368">
        <v>46</v>
      </c>
      <c r="H4925" s="1178" t="s">
        <v>20224</v>
      </c>
      <c r="I4925" s="1178" t="s">
        <v>15486</v>
      </c>
      <c r="J4925" s="1178" t="s">
        <v>22404</v>
      </c>
      <c r="K4925" s="1178" t="s">
        <v>556</v>
      </c>
      <c r="L4925" s="1178"/>
      <c r="M4925" s="1369"/>
      <c r="N4925" s="1178"/>
      <c r="O4925" s="1178">
        <v>6</v>
      </c>
      <c r="P4925" s="1178">
        <v>13</v>
      </c>
    </row>
    <row r="4926" spans="1:16">
      <c r="A4926" s="1178" t="s">
        <v>557</v>
      </c>
      <c r="B4926" s="1371" t="str">
        <f>HYPERLINK(IFERROR("#Main_Tariff!A"&amp;MATCH(Raeburn_Main_Tariff[[#This Row],[Product Code]],Main_Tariff!I:I,0),"#Main_Tariff!A"&amp;MATCH("*"&amp;RIGHT(A4926,8)&amp;"*",Main_Tariff!A:A,0)),Raeburn_Main_Tariff[[#This Row],[PRODUCER]])</f>
        <v>Uwe Schiefer</v>
      </c>
      <c r="C4926" s="1178" t="s">
        <v>22511</v>
      </c>
      <c r="D4926" s="1178" t="s">
        <v>897</v>
      </c>
      <c r="E4926" s="1179">
        <v>2021</v>
      </c>
      <c r="F4926" s="1282" t="s">
        <v>20220</v>
      </c>
      <c r="G4926" s="1368">
        <v>52</v>
      </c>
      <c r="H4926" s="1178" t="s">
        <v>20221</v>
      </c>
      <c r="I4926" s="1178" t="s">
        <v>15488</v>
      </c>
      <c r="J4926" s="1178" t="s">
        <v>22404</v>
      </c>
      <c r="K4926" s="1178" t="s">
        <v>556</v>
      </c>
      <c r="L4926" s="1178"/>
      <c r="M4926" s="1369"/>
      <c r="N4926" s="1178"/>
      <c r="O4926" s="1178">
        <v>6</v>
      </c>
      <c r="P4926" s="1178">
        <v>14.5</v>
      </c>
    </row>
    <row r="4927" spans="1:16">
      <c r="A4927" s="1178" t="s">
        <v>557</v>
      </c>
      <c r="B4927" s="1371" t="str">
        <f>HYPERLINK(IFERROR("#Main_Tariff!A"&amp;MATCH(Raeburn_Main_Tariff[[#This Row],[Product Code]],Main_Tariff!I:I,0),"#Main_Tariff!A"&amp;MATCH("*"&amp;RIGHT(A4927,8)&amp;"*",Main_Tariff!A:A,0)),Raeburn_Main_Tariff[[#This Row],[PRODUCER]])</f>
        <v>Uwe Schiefer</v>
      </c>
      <c r="C4927" s="1178" t="s">
        <v>22511</v>
      </c>
      <c r="D4927" s="1178" t="s">
        <v>897</v>
      </c>
      <c r="E4927" s="1179">
        <v>2018</v>
      </c>
      <c r="F4927" s="1282" t="s">
        <v>20220</v>
      </c>
      <c r="G4927" s="1368">
        <v>50</v>
      </c>
      <c r="H4927" s="1178" t="s">
        <v>20221</v>
      </c>
      <c r="I4927" s="1178" t="s">
        <v>15490</v>
      </c>
      <c r="J4927" s="1178" t="s">
        <v>22404</v>
      </c>
      <c r="K4927" s="1178" t="s">
        <v>556</v>
      </c>
      <c r="L4927" s="1178"/>
      <c r="M4927" s="1369"/>
      <c r="N4927" s="1178"/>
      <c r="O4927" s="1178">
        <v>6</v>
      </c>
      <c r="P4927" s="1178">
        <v>13.3</v>
      </c>
    </row>
    <row r="4928" spans="1:16">
      <c r="A4928" s="1178" t="s">
        <v>557</v>
      </c>
      <c r="B4928" s="1371" t="str">
        <f>HYPERLINK(IFERROR("#Main_Tariff!A"&amp;MATCH(Raeburn_Main_Tariff[[#This Row],[Product Code]],Main_Tariff!I:I,0),"#Main_Tariff!A"&amp;MATCH("*"&amp;RIGHT(A4928,8)&amp;"*",Main_Tariff!A:A,0)),Raeburn_Main_Tariff[[#This Row],[PRODUCER]])</f>
        <v>Uwe Schiefer</v>
      </c>
      <c r="C4928" s="1178" t="s">
        <v>22511</v>
      </c>
      <c r="D4928" s="1178" t="s">
        <v>897</v>
      </c>
      <c r="E4928" s="1179">
        <v>2007</v>
      </c>
      <c r="F4928" s="1282" t="s">
        <v>20220</v>
      </c>
      <c r="G4928" s="1368">
        <v>50</v>
      </c>
      <c r="H4928" s="1178" t="s">
        <v>20277</v>
      </c>
      <c r="I4928" s="1178" t="s">
        <v>15492</v>
      </c>
      <c r="J4928" s="1178" t="s">
        <v>22404</v>
      </c>
      <c r="K4928" s="1178" t="s">
        <v>556</v>
      </c>
      <c r="L4928" s="1178"/>
      <c r="M4928" s="1369"/>
      <c r="N4928" s="1178"/>
      <c r="O4928" s="1178">
        <v>6</v>
      </c>
      <c r="P4928" s="1178">
        <v>0</v>
      </c>
    </row>
    <row r="4929" spans="1:16">
      <c r="A4929" s="1178" t="s">
        <v>557</v>
      </c>
      <c r="B4929" s="1371" t="str">
        <f>HYPERLINK(IFERROR("#Main_Tariff!A"&amp;MATCH(Raeburn_Main_Tariff[[#This Row],[Product Code]],Main_Tariff!I:I,0),"#Main_Tariff!A"&amp;MATCH("*"&amp;RIGHT(A4929,8)&amp;"*",Main_Tariff!A:A,0)),Raeburn_Main_Tariff[[#This Row],[PRODUCER]])</f>
        <v>Uwe Schiefer</v>
      </c>
      <c r="C4929" s="1178" t="s">
        <v>22512</v>
      </c>
      <c r="D4929" s="1178" t="s">
        <v>897</v>
      </c>
      <c r="E4929" s="1179">
        <v>2016</v>
      </c>
      <c r="F4929" s="1282" t="s">
        <v>20240</v>
      </c>
      <c r="G4929" s="1368">
        <v>64</v>
      </c>
      <c r="H4929" s="1178" t="s">
        <v>20224</v>
      </c>
      <c r="I4929" s="1178" t="s">
        <v>15494</v>
      </c>
      <c r="J4929" s="1178" t="s">
        <v>22404</v>
      </c>
      <c r="K4929" s="1178" t="s">
        <v>556</v>
      </c>
      <c r="L4929" s="1178"/>
      <c r="M4929" s="1369"/>
      <c r="N4929" s="1178"/>
      <c r="O4929" s="1178">
        <v>3</v>
      </c>
      <c r="P4929" s="1178">
        <v>13</v>
      </c>
    </row>
    <row r="4930" spans="1:16">
      <c r="A4930" s="1178" t="s">
        <v>560</v>
      </c>
      <c r="B4930" s="1371" t="str">
        <f>HYPERLINK(IFERROR("#Main_Tariff!A"&amp;MATCH(Raeburn_Main_Tariff[[#This Row],[Product Code]],Main_Tariff!I:I,0),"#Main_Tariff!A"&amp;MATCH("*"&amp;RIGHT(A4930,8)&amp;"*",Main_Tariff!A:A,0)),Raeburn_Main_Tariff[[#This Row],[PRODUCER]])</f>
        <v>Carl Loewen</v>
      </c>
      <c r="C4930" s="1178" t="s">
        <v>22513</v>
      </c>
      <c r="D4930" s="1178" t="s">
        <v>1129</v>
      </c>
      <c r="E4930" s="1179">
        <v>2022</v>
      </c>
      <c r="F4930" s="1282" t="s">
        <v>20220</v>
      </c>
      <c r="G4930" s="1368">
        <v>14.25</v>
      </c>
      <c r="H4930" s="1178" t="s">
        <v>20221</v>
      </c>
      <c r="I4930" s="1178" t="s">
        <v>15585</v>
      </c>
      <c r="J4930" s="1178" t="s">
        <v>22514</v>
      </c>
      <c r="K4930" s="1178" t="s">
        <v>559</v>
      </c>
      <c r="L4930" s="1178"/>
      <c r="M4930" s="1369"/>
      <c r="N4930" s="1178"/>
      <c r="O4930" s="1178">
        <v>6</v>
      </c>
      <c r="P4930" s="1178">
        <v>12</v>
      </c>
    </row>
    <row r="4931" spans="1:16">
      <c r="A4931" s="1178" t="s">
        <v>560</v>
      </c>
      <c r="B4931" s="1371" t="str">
        <f>HYPERLINK(IFERROR("#Main_Tariff!A"&amp;MATCH(Raeburn_Main_Tariff[[#This Row],[Product Code]],Main_Tariff!I:I,0),"#Main_Tariff!A"&amp;MATCH("*"&amp;RIGHT(A4931,8)&amp;"*",Main_Tariff!A:A,0)),Raeburn_Main_Tariff[[#This Row],[PRODUCER]])</f>
        <v>Carl Loewen</v>
      </c>
      <c r="C4931" s="1178" t="s">
        <v>22513</v>
      </c>
      <c r="D4931" s="1178" t="s">
        <v>1129</v>
      </c>
      <c r="E4931" s="1179">
        <v>2021</v>
      </c>
      <c r="F4931" s="1282" t="s">
        <v>20220</v>
      </c>
      <c r="G4931" s="1368">
        <v>14</v>
      </c>
      <c r="H4931" s="1178" t="s">
        <v>20221</v>
      </c>
      <c r="I4931" s="1178" t="s">
        <v>15587</v>
      </c>
      <c r="J4931" s="1178" t="s">
        <v>22514</v>
      </c>
      <c r="K4931" s="1178" t="s">
        <v>559</v>
      </c>
      <c r="L4931" s="1178"/>
      <c r="M4931" s="1369"/>
      <c r="N4931" s="1178"/>
      <c r="O4931" s="1178">
        <v>6</v>
      </c>
      <c r="P4931" s="1178">
        <v>12</v>
      </c>
    </row>
    <row r="4932" spans="1:16">
      <c r="A4932" s="1178" t="s">
        <v>560</v>
      </c>
      <c r="B4932" s="1371" t="str">
        <f>HYPERLINK(IFERROR("#Main_Tariff!A"&amp;MATCH(Raeburn_Main_Tariff[[#This Row],[Product Code]],Main_Tariff!I:I,0),"#Main_Tariff!A"&amp;MATCH("*"&amp;RIGHT(A4932,8)&amp;"*",Main_Tariff!A:A,0)),Raeburn_Main_Tariff[[#This Row],[PRODUCER]])</f>
        <v>Carl Loewen</v>
      </c>
      <c r="C4932" s="1178" t="s">
        <v>22515</v>
      </c>
      <c r="D4932" s="1178" t="s">
        <v>1129</v>
      </c>
      <c r="E4932" s="1179">
        <v>2023</v>
      </c>
      <c r="F4932" s="1282" t="s">
        <v>20220</v>
      </c>
      <c r="G4932" s="1368">
        <v>15.75</v>
      </c>
      <c r="H4932" s="1178" t="s">
        <v>20221</v>
      </c>
      <c r="I4932" s="1178" t="s">
        <v>15589</v>
      </c>
      <c r="J4932" s="1178" t="s">
        <v>22514</v>
      </c>
      <c r="K4932" s="1178" t="s">
        <v>559</v>
      </c>
      <c r="L4932" s="1178"/>
      <c r="M4932" s="1369"/>
      <c r="N4932" s="1178"/>
      <c r="O4932" s="1178">
        <v>6</v>
      </c>
      <c r="P4932" s="1178">
        <v>12.5</v>
      </c>
    </row>
    <row r="4933" spans="1:16">
      <c r="A4933" s="1178" t="s">
        <v>560</v>
      </c>
      <c r="B4933" s="1371" t="str">
        <f>HYPERLINK(IFERROR("#Main_Tariff!A"&amp;MATCH(Raeburn_Main_Tariff[[#This Row],[Product Code]],Main_Tariff!I:I,0),"#Main_Tariff!A"&amp;MATCH("*"&amp;RIGHT(A4933,8)&amp;"*",Main_Tariff!A:A,0)),Raeburn_Main_Tariff[[#This Row],[PRODUCER]])</f>
        <v>Carl Loewen</v>
      </c>
      <c r="C4933" s="1178" t="s">
        <v>22515</v>
      </c>
      <c r="D4933" s="1178" t="s">
        <v>1129</v>
      </c>
      <c r="E4933" s="1179">
        <v>2022</v>
      </c>
      <c r="F4933" s="1282" t="s">
        <v>20220</v>
      </c>
      <c r="G4933" s="1368">
        <v>15.75</v>
      </c>
      <c r="H4933" s="1178" t="s">
        <v>20221</v>
      </c>
      <c r="I4933" s="1178" t="s">
        <v>15591</v>
      </c>
      <c r="J4933" s="1178" t="s">
        <v>22514</v>
      </c>
      <c r="K4933" s="1178" t="s">
        <v>559</v>
      </c>
      <c r="L4933" s="1178"/>
      <c r="M4933" s="1369"/>
      <c r="N4933" s="1178"/>
      <c r="O4933" s="1178">
        <v>6</v>
      </c>
      <c r="P4933" s="1178">
        <v>12.5</v>
      </c>
    </row>
    <row r="4934" spans="1:16">
      <c r="A4934" s="1178" t="s">
        <v>560</v>
      </c>
      <c r="B4934" s="1371" t="str">
        <f>HYPERLINK(IFERROR("#Main_Tariff!A"&amp;MATCH(Raeburn_Main_Tariff[[#This Row],[Product Code]],Main_Tariff!I:I,0),"#Main_Tariff!A"&amp;MATCH("*"&amp;RIGHT(A4934,8)&amp;"*",Main_Tariff!A:A,0)),Raeburn_Main_Tariff[[#This Row],[PRODUCER]])</f>
        <v>Carl Loewen</v>
      </c>
      <c r="C4934" s="1178" t="s">
        <v>22515</v>
      </c>
      <c r="D4934" s="1178" t="s">
        <v>1129</v>
      </c>
      <c r="E4934" s="1179">
        <v>2021</v>
      </c>
      <c r="F4934" s="1282" t="s">
        <v>20220</v>
      </c>
      <c r="G4934" s="1368">
        <v>15.5</v>
      </c>
      <c r="H4934" s="1178" t="s">
        <v>20221</v>
      </c>
      <c r="I4934" s="1178" t="s">
        <v>15593</v>
      </c>
      <c r="J4934" s="1178" t="s">
        <v>22514</v>
      </c>
      <c r="K4934" s="1178" t="s">
        <v>559</v>
      </c>
      <c r="L4934" s="1178"/>
      <c r="M4934" s="1369"/>
      <c r="N4934" s="1178"/>
      <c r="O4934" s="1178">
        <v>6</v>
      </c>
      <c r="P4934" s="1178">
        <v>11.5</v>
      </c>
    </row>
    <row r="4935" spans="1:16">
      <c r="A4935" s="1178" t="s">
        <v>560</v>
      </c>
      <c r="B4935" s="1371" t="str">
        <f>HYPERLINK(IFERROR("#Main_Tariff!A"&amp;MATCH(Raeburn_Main_Tariff[[#This Row],[Product Code]],Main_Tariff!I:I,0),"#Main_Tariff!A"&amp;MATCH("*"&amp;RIGHT(A4935,8)&amp;"*",Main_Tariff!A:A,0)),Raeburn_Main_Tariff[[#This Row],[PRODUCER]])</f>
        <v>Carl Loewen</v>
      </c>
      <c r="C4935" s="1178" t="s">
        <v>22515</v>
      </c>
      <c r="D4935" s="1178" t="s">
        <v>1129</v>
      </c>
      <c r="E4935" s="1179">
        <v>2019</v>
      </c>
      <c r="F4935" s="1282" t="s">
        <v>20220</v>
      </c>
      <c r="G4935" s="1368">
        <v>15.5</v>
      </c>
      <c r="H4935" s="1178" t="s">
        <v>20224</v>
      </c>
      <c r="I4935" s="1178" t="s">
        <v>15595</v>
      </c>
      <c r="J4935" s="1178" t="s">
        <v>22514</v>
      </c>
      <c r="K4935" s="1178" t="s">
        <v>559</v>
      </c>
      <c r="L4935" s="1178"/>
      <c r="M4935" s="1369"/>
      <c r="N4935" s="1178"/>
      <c r="O4935" s="1178">
        <v>6</v>
      </c>
      <c r="P4935" s="1178">
        <v>12</v>
      </c>
    </row>
    <row r="4936" spans="1:16">
      <c r="A4936" s="1178" t="s">
        <v>560</v>
      </c>
      <c r="B4936" s="1371" t="str">
        <f>HYPERLINK(IFERROR("#Main_Tariff!A"&amp;MATCH(Raeburn_Main_Tariff[[#This Row],[Product Code]],Main_Tariff!I:I,0),"#Main_Tariff!A"&amp;MATCH("*"&amp;RIGHT(A4936,8)&amp;"*",Main_Tariff!A:A,0)),Raeburn_Main_Tariff[[#This Row],[PRODUCER]])</f>
        <v>Carl Loewen</v>
      </c>
      <c r="C4936" s="1178" t="s">
        <v>22516</v>
      </c>
      <c r="D4936" s="1178" t="s">
        <v>1129</v>
      </c>
      <c r="E4936" s="1179">
        <v>2022</v>
      </c>
      <c r="F4936" s="1282" t="s">
        <v>20220</v>
      </c>
      <c r="G4936" s="1368">
        <v>18.25</v>
      </c>
      <c r="H4936" s="1178" t="s">
        <v>20221</v>
      </c>
      <c r="I4936" s="1178" t="s">
        <v>15597</v>
      </c>
      <c r="J4936" s="1178" t="s">
        <v>22514</v>
      </c>
      <c r="K4936" s="1178" t="s">
        <v>559</v>
      </c>
      <c r="L4936" s="1178"/>
      <c r="M4936" s="1369"/>
      <c r="N4936" s="1178"/>
      <c r="O4936" s="1178">
        <v>6</v>
      </c>
      <c r="P4936" s="1178">
        <v>12.5</v>
      </c>
    </row>
    <row r="4937" spans="1:16">
      <c r="A4937" s="1178" t="s">
        <v>560</v>
      </c>
      <c r="B4937" s="1371" t="str">
        <f>HYPERLINK(IFERROR("#Main_Tariff!A"&amp;MATCH(Raeburn_Main_Tariff[[#This Row],[Product Code]],Main_Tariff!I:I,0),"#Main_Tariff!A"&amp;MATCH("*"&amp;RIGHT(A4937,8)&amp;"*",Main_Tariff!A:A,0)),Raeburn_Main_Tariff[[#This Row],[PRODUCER]])</f>
        <v>Carl Loewen</v>
      </c>
      <c r="C4937" s="1178" t="s">
        <v>22517</v>
      </c>
      <c r="D4937" s="1178" t="s">
        <v>1129</v>
      </c>
      <c r="E4937" s="1179">
        <v>2023</v>
      </c>
      <c r="F4937" s="1282" t="s">
        <v>20220</v>
      </c>
      <c r="G4937" s="1368">
        <v>20.5</v>
      </c>
      <c r="H4937" s="1178" t="s">
        <v>20221</v>
      </c>
      <c r="I4937" s="1178" t="s">
        <v>15599</v>
      </c>
      <c r="J4937" s="1178" t="s">
        <v>22514</v>
      </c>
      <c r="K4937" s="1178" t="s">
        <v>559</v>
      </c>
      <c r="L4937" s="1178"/>
      <c r="M4937" s="1369"/>
      <c r="N4937" s="1178"/>
      <c r="O4937" s="1178">
        <v>6</v>
      </c>
      <c r="P4937" s="1178">
        <v>12.5</v>
      </c>
    </row>
    <row r="4938" spans="1:16">
      <c r="A4938" s="1178" t="s">
        <v>560</v>
      </c>
      <c r="B4938" s="1371" t="str">
        <f>HYPERLINK(IFERROR("#Main_Tariff!A"&amp;MATCH(Raeburn_Main_Tariff[[#This Row],[Product Code]],Main_Tariff!I:I,0),"#Main_Tariff!A"&amp;MATCH("*"&amp;RIGHT(A4938,8)&amp;"*",Main_Tariff!A:A,0)),Raeburn_Main_Tariff[[#This Row],[PRODUCER]])</f>
        <v>Carl Loewen</v>
      </c>
      <c r="C4938" s="1178" t="s">
        <v>22517</v>
      </c>
      <c r="D4938" s="1178" t="s">
        <v>1129</v>
      </c>
      <c r="E4938" s="1179">
        <v>2022</v>
      </c>
      <c r="F4938" s="1282" t="s">
        <v>20220</v>
      </c>
      <c r="G4938" s="1368">
        <v>20.25</v>
      </c>
      <c r="H4938" s="1178" t="s">
        <v>20221</v>
      </c>
      <c r="I4938" s="1178" t="s">
        <v>15601</v>
      </c>
      <c r="J4938" s="1178" t="s">
        <v>22514</v>
      </c>
      <c r="K4938" s="1178" t="s">
        <v>559</v>
      </c>
      <c r="L4938" s="1178"/>
      <c r="M4938" s="1369"/>
      <c r="N4938" s="1178"/>
      <c r="O4938" s="1178">
        <v>6</v>
      </c>
      <c r="P4938" s="1178">
        <v>12.5</v>
      </c>
    </row>
    <row r="4939" spans="1:16">
      <c r="A4939" s="1178" t="s">
        <v>560</v>
      </c>
      <c r="B4939" s="1371" t="str">
        <f>HYPERLINK(IFERROR("#Main_Tariff!A"&amp;MATCH(Raeburn_Main_Tariff[[#This Row],[Product Code]],Main_Tariff!I:I,0),"#Main_Tariff!A"&amp;MATCH("*"&amp;RIGHT(A4939,8)&amp;"*",Main_Tariff!A:A,0)),Raeburn_Main_Tariff[[#This Row],[PRODUCER]])</f>
        <v>Carl Loewen</v>
      </c>
      <c r="C4939" s="1178" t="s">
        <v>22517</v>
      </c>
      <c r="D4939" s="1178" t="s">
        <v>1129</v>
      </c>
      <c r="E4939" s="1179">
        <v>2021</v>
      </c>
      <c r="F4939" s="1282" t="s">
        <v>20220</v>
      </c>
      <c r="G4939" s="1368">
        <v>19.5</v>
      </c>
      <c r="H4939" s="1178" t="s">
        <v>20221</v>
      </c>
      <c r="I4939" s="1178" t="s">
        <v>15603</v>
      </c>
      <c r="J4939" s="1178" t="s">
        <v>22514</v>
      </c>
      <c r="K4939" s="1178" t="s">
        <v>559</v>
      </c>
      <c r="L4939" s="1178"/>
      <c r="M4939" s="1369"/>
      <c r="N4939" s="1178"/>
      <c r="O4939" s="1178">
        <v>6</v>
      </c>
      <c r="P4939" s="1178">
        <v>12</v>
      </c>
    </row>
    <row r="4940" spans="1:16">
      <c r="A4940" s="1178" t="s">
        <v>560</v>
      </c>
      <c r="B4940" s="1371" t="str">
        <f>HYPERLINK(IFERROR("#Main_Tariff!A"&amp;MATCH(Raeburn_Main_Tariff[[#This Row],[Product Code]],Main_Tariff!I:I,0),"#Main_Tariff!A"&amp;MATCH("*"&amp;RIGHT(A4940,8)&amp;"*",Main_Tariff!A:A,0)),Raeburn_Main_Tariff[[#This Row],[PRODUCER]])</f>
        <v>Carl Loewen</v>
      </c>
      <c r="C4940" s="1178" t="s">
        <v>22517</v>
      </c>
      <c r="D4940" s="1178" t="s">
        <v>1129</v>
      </c>
      <c r="E4940" s="1179">
        <v>2019</v>
      </c>
      <c r="F4940" s="1282" t="s">
        <v>20220</v>
      </c>
      <c r="G4940" s="1368">
        <v>19.5</v>
      </c>
      <c r="H4940" s="1178" t="s">
        <v>20221</v>
      </c>
      <c r="I4940" s="1178" t="s">
        <v>15605</v>
      </c>
      <c r="J4940" s="1178" t="s">
        <v>22514</v>
      </c>
      <c r="K4940" s="1178" t="s">
        <v>559</v>
      </c>
      <c r="L4940" s="1178"/>
      <c r="M4940" s="1369"/>
      <c r="N4940" s="1178"/>
      <c r="O4940" s="1178">
        <v>6</v>
      </c>
      <c r="P4940" s="1178">
        <v>12.5</v>
      </c>
    </row>
    <row r="4941" spans="1:16">
      <c r="A4941" s="1178" t="s">
        <v>560</v>
      </c>
      <c r="B4941" s="1371" t="str">
        <f>HYPERLINK(IFERROR("#Main_Tariff!A"&amp;MATCH(Raeburn_Main_Tariff[[#This Row],[Product Code]],Main_Tariff!I:I,0),"#Main_Tariff!A"&amp;MATCH("*"&amp;RIGHT(A4941,8)&amp;"*",Main_Tariff!A:A,0)),Raeburn_Main_Tariff[[#This Row],[PRODUCER]])</f>
        <v>Carl Loewen</v>
      </c>
      <c r="C4941" s="1178" t="s">
        <v>22517</v>
      </c>
      <c r="D4941" s="1178" t="s">
        <v>1129</v>
      </c>
      <c r="E4941" s="1179">
        <v>2018</v>
      </c>
      <c r="F4941" s="1282" t="s">
        <v>20220</v>
      </c>
      <c r="G4941" s="1368">
        <v>19.5</v>
      </c>
      <c r="H4941" s="1178" t="s">
        <v>20221</v>
      </c>
      <c r="I4941" s="1178" t="s">
        <v>15607</v>
      </c>
      <c r="J4941" s="1178" t="s">
        <v>22514</v>
      </c>
      <c r="K4941" s="1178" t="s">
        <v>559</v>
      </c>
      <c r="L4941" s="1178"/>
      <c r="M4941" s="1369"/>
      <c r="N4941" s="1178"/>
      <c r="O4941" s="1178">
        <v>6</v>
      </c>
      <c r="P4941" s="1178">
        <v>13</v>
      </c>
    </row>
    <row r="4942" spans="1:16">
      <c r="A4942" s="1178" t="s">
        <v>560</v>
      </c>
      <c r="B4942" s="1371" t="str">
        <f>HYPERLINK(IFERROR("#Main_Tariff!A"&amp;MATCH(Raeburn_Main_Tariff[[#This Row],[Product Code]],Main_Tariff!I:I,0),"#Main_Tariff!A"&amp;MATCH("*"&amp;RIGHT(A4942,8)&amp;"*",Main_Tariff!A:A,0)),Raeburn_Main_Tariff[[#This Row],[PRODUCER]])</f>
        <v>Carl Loewen</v>
      </c>
      <c r="C4942" s="1178" t="s">
        <v>22517</v>
      </c>
      <c r="D4942" s="1178" t="s">
        <v>1129</v>
      </c>
      <c r="E4942" s="1179">
        <v>2016</v>
      </c>
      <c r="F4942" s="1282" t="s">
        <v>20220</v>
      </c>
      <c r="G4942" s="1368">
        <v>19.5</v>
      </c>
      <c r="H4942" s="1178" t="s">
        <v>20221</v>
      </c>
      <c r="I4942" s="1178" t="s">
        <v>15609</v>
      </c>
      <c r="J4942" s="1178" t="s">
        <v>22514</v>
      </c>
      <c r="K4942" s="1178" t="s">
        <v>559</v>
      </c>
      <c r="L4942" s="1178"/>
      <c r="M4942" s="1369"/>
      <c r="N4942" s="1178"/>
      <c r="O4942" s="1178">
        <v>6</v>
      </c>
      <c r="P4942" s="1178">
        <v>12</v>
      </c>
    </row>
    <row r="4943" spans="1:16">
      <c r="A4943" s="1178" t="s">
        <v>560</v>
      </c>
      <c r="B4943" s="1371" t="str">
        <f>HYPERLINK(IFERROR("#Main_Tariff!A"&amp;MATCH(Raeburn_Main_Tariff[[#This Row],[Product Code]],Main_Tariff!I:I,0),"#Main_Tariff!A"&amp;MATCH("*"&amp;RIGHT(A4943,8)&amp;"*",Main_Tariff!A:A,0)),Raeburn_Main_Tariff[[#This Row],[PRODUCER]])</f>
        <v>Carl Loewen</v>
      </c>
      <c r="C4943" s="1178" t="s">
        <v>22518</v>
      </c>
      <c r="D4943" s="1178" t="s">
        <v>1129</v>
      </c>
      <c r="E4943" s="1179">
        <v>2022</v>
      </c>
      <c r="F4943" s="1282" t="s">
        <v>20220</v>
      </c>
      <c r="G4943" s="1368">
        <v>25</v>
      </c>
      <c r="H4943" s="1178" t="s">
        <v>20221</v>
      </c>
      <c r="I4943" s="1178" t="s">
        <v>15611</v>
      </c>
      <c r="J4943" s="1178" t="s">
        <v>22514</v>
      </c>
      <c r="K4943" s="1178" t="s">
        <v>559</v>
      </c>
      <c r="L4943" s="1178"/>
      <c r="M4943" s="1369"/>
      <c r="N4943" s="1178"/>
      <c r="O4943" s="1178">
        <v>6</v>
      </c>
      <c r="P4943" s="1178">
        <v>12.5</v>
      </c>
    </row>
    <row r="4944" spans="1:16">
      <c r="A4944" s="1178" t="s">
        <v>560</v>
      </c>
      <c r="B4944" s="1371" t="str">
        <f>HYPERLINK(IFERROR("#Main_Tariff!A"&amp;MATCH(Raeburn_Main_Tariff[[#This Row],[Product Code]],Main_Tariff!I:I,0),"#Main_Tariff!A"&amp;MATCH("*"&amp;RIGHT(A4944,8)&amp;"*",Main_Tariff!A:A,0)),Raeburn_Main_Tariff[[#This Row],[PRODUCER]])</f>
        <v>Carl Loewen</v>
      </c>
      <c r="C4944" s="1178" t="s">
        <v>22518</v>
      </c>
      <c r="D4944" s="1178" t="s">
        <v>1129</v>
      </c>
      <c r="E4944" s="1179">
        <v>2021</v>
      </c>
      <c r="F4944" s="1282" t="s">
        <v>20220</v>
      </c>
      <c r="G4944" s="1368">
        <v>24.5</v>
      </c>
      <c r="H4944" s="1178" t="s">
        <v>20221</v>
      </c>
      <c r="I4944" s="1178" t="s">
        <v>15613</v>
      </c>
      <c r="J4944" s="1178" t="s">
        <v>22514</v>
      </c>
      <c r="K4944" s="1178" t="s">
        <v>559</v>
      </c>
      <c r="L4944" s="1178"/>
      <c r="M4944" s="1369"/>
      <c r="N4944" s="1178"/>
      <c r="O4944" s="1178">
        <v>6</v>
      </c>
      <c r="P4944" s="1178">
        <v>11.5</v>
      </c>
    </row>
    <row r="4945" spans="1:16">
      <c r="A4945" s="1178" t="s">
        <v>560</v>
      </c>
      <c r="B4945" s="1371" t="str">
        <f>HYPERLINK(IFERROR("#Main_Tariff!A"&amp;MATCH(Raeburn_Main_Tariff[[#This Row],[Product Code]],Main_Tariff!I:I,0),"#Main_Tariff!A"&amp;MATCH("*"&amp;RIGHT(A4945,8)&amp;"*",Main_Tariff!A:A,0)),Raeburn_Main_Tariff[[#This Row],[PRODUCER]])</f>
        <v>Carl Loewen</v>
      </c>
      <c r="C4945" s="1178" t="s">
        <v>22518</v>
      </c>
      <c r="D4945" s="1178" t="s">
        <v>1129</v>
      </c>
      <c r="E4945" s="1179">
        <v>2019</v>
      </c>
      <c r="F4945" s="1282" t="s">
        <v>20220</v>
      </c>
      <c r="G4945" s="1368">
        <v>24.5</v>
      </c>
      <c r="H4945" s="1178" t="s">
        <v>20221</v>
      </c>
      <c r="I4945" s="1178" t="s">
        <v>15615</v>
      </c>
      <c r="J4945" s="1178" t="s">
        <v>22514</v>
      </c>
      <c r="K4945" s="1178" t="s">
        <v>559</v>
      </c>
      <c r="L4945" s="1178"/>
      <c r="M4945" s="1369"/>
      <c r="N4945" s="1178"/>
      <c r="O4945" s="1178">
        <v>6</v>
      </c>
      <c r="P4945" s="1178">
        <v>12.5</v>
      </c>
    </row>
    <row r="4946" spans="1:16">
      <c r="A4946" s="1178" t="s">
        <v>560</v>
      </c>
      <c r="B4946" s="1371" t="str">
        <f>HYPERLINK(IFERROR("#Main_Tariff!A"&amp;MATCH(Raeburn_Main_Tariff[[#This Row],[Product Code]],Main_Tariff!I:I,0),"#Main_Tariff!A"&amp;MATCH("*"&amp;RIGHT(A4946,8)&amp;"*",Main_Tariff!A:A,0)),Raeburn_Main_Tariff[[#This Row],[PRODUCER]])</f>
        <v>Carl Loewen</v>
      </c>
      <c r="C4946" s="1178" t="s">
        <v>22518</v>
      </c>
      <c r="D4946" s="1178" t="s">
        <v>1129</v>
      </c>
      <c r="E4946" s="1179">
        <v>2018</v>
      </c>
      <c r="F4946" s="1282" t="s">
        <v>20220</v>
      </c>
      <c r="G4946" s="1368">
        <v>24.5</v>
      </c>
      <c r="H4946" s="1178" t="s">
        <v>20221</v>
      </c>
      <c r="I4946" s="1178" t="s">
        <v>15617</v>
      </c>
      <c r="J4946" s="1178" t="s">
        <v>22514</v>
      </c>
      <c r="K4946" s="1178" t="s">
        <v>559</v>
      </c>
      <c r="L4946" s="1178"/>
      <c r="M4946" s="1369"/>
      <c r="N4946" s="1178"/>
      <c r="O4946" s="1178">
        <v>6</v>
      </c>
      <c r="P4946" s="1178">
        <v>13</v>
      </c>
    </row>
    <row r="4947" spans="1:16">
      <c r="A4947" s="1178" t="s">
        <v>560</v>
      </c>
      <c r="B4947" s="1371" t="str">
        <f>HYPERLINK(IFERROR("#Main_Tariff!A"&amp;MATCH(Raeburn_Main_Tariff[[#This Row],[Product Code]],Main_Tariff!I:I,0),"#Main_Tariff!A"&amp;MATCH("*"&amp;RIGHT(A4947,8)&amp;"*",Main_Tariff!A:A,0)),Raeburn_Main_Tariff[[#This Row],[PRODUCER]])</f>
        <v>Carl Loewen</v>
      </c>
      <c r="C4947" s="1178" t="s">
        <v>22519</v>
      </c>
      <c r="D4947" s="1178" t="s">
        <v>1129</v>
      </c>
      <c r="E4947" s="1179"/>
      <c r="F4947" s="1282" t="s">
        <v>20220</v>
      </c>
      <c r="G4947" s="1368"/>
      <c r="H4947" s="1178" t="s">
        <v>3907</v>
      </c>
      <c r="I4947" s="1178" t="s">
        <v>15619</v>
      </c>
      <c r="J4947" s="1178" t="s">
        <v>22514</v>
      </c>
      <c r="K4947" s="1178" t="s">
        <v>559</v>
      </c>
      <c r="L4947" s="1178"/>
      <c r="M4947" s="1369"/>
      <c r="N4947" s="1178"/>
      <c r="O4947" s="1178">
        <v>6</v>
      </c>
      <c r="P4947" s="1178">
        <v>12.5</v>
      </c>
    </row>
    <row r="4948" spans="1:16">
      <c r="A4948" s="1178" t="s">
        <v>560</v>
      </c>
      <c r="B4948" s="1371" t="str">
        <f>HYPERLINK(IFERROR("#Main_Tariff!A"&amp;MATCH(Raeburn_Main_Tariff[[#This Row],[Product Code]],Main_Tariff!I:I,0),"#Main_Tariff!A"&amp;MATCH("*"&amp;RIGHT(A4948,8)&amp;"*",Main_Tariff!A:A,0)),Raeburn_Main_Tariff[[#This Row],[PRODUCER]])</f>
        <v>Carl Loewen</v>
      </c>
      <c r="C4948" s="1178" t="s">
        <v>22520</v>
      </c>
      <c r="D4948" s="1178" t="s">
        <v>1129</v>
      </c>
      <c r="E4948" s="1179">
        <v>2020</v>
      </c>
      <c r="F4948" s="1282" t="s">
        <v>20220</v>
      </c>
      <c r="G4948" s="1368">
        <v>27.5</v>
      </c>
      <c r="H4948" s="1178" t="s">
        <v>20224</v>
      </c>
      <c r="I4948" s="1178" t="s">
        <v>15621</v>
      </c>
      <c r="J4948" s="1178" t="s">
        <v>22514</v>
      </c>
      <c r="K4948" s="1178" t="s">
        <v>559</v>
      </c>
      <c r="L4948" s="1178"/>
      <c r="M4948" s="1369"/>
      <c r="N4948" s="1178"/>
      <c r="O4948" s="1178">
        <v>6</v>
      </c>
      <c r="P4948" s="1178">
        <v>12.5</v>
      </c>
    </row>
    <row r="4949" spans="1:16">
      <c r="A4949" s="1178" t="s">
        <v>560</v>
      </c>
      <c r="B4949" s="1371" t="str">
        <f>HYPERLINK(IFERROR("#Main_Tariff!A"&amp;MATCH(Raeburn_Main_Tariff[[#This Row],[Product Code]],Main_Tariff!I:I,0),"#Main_Tariff!A"&amp;MATCH("*"&amp;RIGHT(A4949,8)&amp;"*",Main_Tariff!A:A,0)),Raeburn_Main_Tariff[[#This Row],[PRODUCER]])</f>
        <v>Carl Loewen</v>
      </c>
      <c r="C4949" s="1178" t="s">
        <v>22521</v>
      </c>
      <c r="D4949" s="1178" t="s">
        <v>1129</v>
      </c>
      <c r="E4949" s="1179">
        <v>2023</v>
      </c>
      <c r="F4949" s="1282" t="s">
        <v>20220</v>
      </c>
      <c r="G4949" s="1368">
        <v>41.5</v>
      </c>
      <c r="H4949" s="1178" t="s">
        <v>20221</v>
      </c>
      <c r="I4949" s="1178" t="s">
        <v>15623</v>
      </c>
      <c r="J4949" s="1178" t="s">
        <v>22514</v>
      </c>
      <c r="K4949" s="1178" t="s">
        <v>559</v>
      </c>
      <c r="L4949" s="1178"/>
      <c r="M4949" s="1369"/>
      <c r="N4949" s="1178"/>
      <c r="O4949" s="1178">
        <v>6</v>
      </c>
      <c r="P4949" s="1178">
        <v>12.5</v>
      </c>
    </row>
    <row r="4950" spans="1:16">
      <c r="A4950" s="1178" t="s">
        <v>560</v>
      </c>
      <c r="B4950" s="1371" t="str">
        <f>HYPERLINK(IFERROR("#Main_Tariff!A"&amp;MATCH(Raeburn_Main_Tariff[[#This Row],[Product Code]],Main_Tariff!I:I,0),"#Main_Tariff!A"&amp;MATCH("*"&amp;RIGHT(A4950,8)&amp;"*",Main_Tariff!A:A,0)),Raeburn_Main_Tariff[[#This Row],[PRODUCER]])</f>
        <v>Carl Loewen</v>
      </c>
      <c r="C4950" s="1178" t="s">
        <v>22521</v>
      </c>
      <c r="D4950" s="1178" t="s">
        <v>1129</v>
      </c>
      <c r="E4950" s="1179">
        <v>2022</v>
      </c>
      <c r="F4950" s="1282" t="s">
        <v>20220</v>
      </c>
      <c r="G4950" s="1368">
        <v>41.5</v>
      </c>
      <c r="H4950" s="1178" t="s">
        <v>20221</v>
      </c>
      <c r="I4950" s="1178" t="s">
        <v>15625</v>
      </c>
      <c r="J4950" s="1178" t="s">
        <v>22514</v>
      </c>
      <c r="K4950" s="1178" t="s">
        <v>559</v>
      </c>
      <c r="L4950" s="1178"/>
      <c r="M4950" s="1369"/>
      <c r="N4950" s="1178"/>
      <c r="O4950" s="1178">
        <v>6</v>
      </c>
      <c r="P4950" s="1178">
        <v>12</v>
      </c>
    </row>
    <row r="4951" spans="1:16">
      <c r="A4951" s="1178" t="s">
        <v>560</v>
      </c>
      <c r="B4951" s="1371" t="str">
        <f>HYPERLINK(IFERROR("#Main_Tariff!A"&amp;MATCH(Raeburn_Main_Tariff[[#This Row],[Product Code]],Main_Tariff!I:I,0),"#Main_Tariff!A"&amp;MATCH("*"&amp;RIGHT(A4951,8)&amp;"*",Main_Tariff!A:A,0)),Raeburn_Main_Tariff[[#This Row],[PRODUCER]])</f>
        <v>Carl Loewen</v>
      </c>
      <c r="C4951" s="1178" t="s">
        <v>22521</v>
      </c>
      <c r="D4951" s="1178" t="s">
        <v>1129</v>
      </c>
      <c r="E4951" s="1179">
        <v>2021</v>
      </c>
      <c r="F4951" s="1282" t="s">
        <v>20220</v>
      </c>
      <c r="G4951" s="1368">
        <v>39.5</v>
      </c>
      <c r="H4951" s="1178" t="s">
        <v>20221</v>
      </c>
      <c r="I4951" s="1178" t="s">
        <v>15627</v>
      </c>
      <c r="J4951" s="1178" t="s">
        <v>22514</v>
      </c>
      <c r="K4951" s="1178" t="s">
        <v>559</v>
      </c>
      <c r="L4951" s="1178"/>
      <c r="M4951" s="1369"/>
      <c r="N4951" s="1178"/>
      <c r="O4951" s="1178">
        <v>6</v>
      </c>
      <c r="P4951" s="1178">
        <v>11.5</v>
      </c>
    </row>
    <row r="4952" spans="1:16">
      <c r="A4952" s="1178" t="s">
        <v>560</v>
      </c>
      <c r="B4952" s="1371" t="str">
        <f>HYPERLINK(IFERROR("#Main_Tariff!A"&amp;MATCH(Raeburn_Main_Tariff[[#This Row],[Product Code]],Main_Tariff!I:I,0),"#Main_Tariff!A"&amp;MATCH("*"&amp;RIGHT(A4952,8)&amp;"*",Main_Tariff!A:A,0)),Raeburn_Main_Tariff[[#This Row],[PRODUCER]])</f>
        <v>Carl Loewen</v>
      </c>
      <c r="C4952" s="1178" t="s">
        <v>22521</v>
      </c>
      <c r="D4952" s="1178" t="s">
        <v>1129</v>
      </c>
      <c r="E4952" s="1179">
        <v>2019</v>
      </c>
      <c r="F4952" s="1282" t="s">
        <v>20220</v>
      </c>
      <c r="G4952" s="1368">
        <v>39.5</v>
      </c>
      <c r="H4952" s="1178" t="s">
        <v>20221</v>
      </c>
      <c r="I4952" s="1178" t="s">
        <v>15629</v>
      </c>
      <c r="J4952" s="1178" t="s">
        <v>22514</v>
      </c>
      <c r="K4952" s="1178" t="s">
        <v>559</v>
      </c>
      <c r="L4952" s="1178"/>
      <c r="M4952" s="1369"/>
      <c r="N4952" s="1178"/>
      <c r="O4952" s="1178">
        <v>6</v>
      </c>
      <c r="P4952" s="1178">
        <v>13</v>
      </c>
    </row>
    <row r="4953" spans="1:16">
      <c r="A4953" s="1178" t="s">
        <v>560</v>
      </c>
      <c r="B4953" s="1371" t="str">
        <f>HYPERLINK(IFERROR("#Main_Tariff!A"&amp;MATCH(Raeburn_Main_Tariff[[#This Row],[Product Code]],Main_Tariff!I:I,0),"#Main_Tariff!A"&amp;MATCH("*"&amp;RIGHT(A4953,8)&amp;"*",Main_Tariff!A:A,0)),Raeburn_Main_Tariff[[#This Row],[PRODUCER]])</f>
        <v>Carl Loewen</v>
      </c>
      <c r="C4953" s="1178" t="s">
        <v>22521</v>
      </c>
      <c r="D4953" s="1178" t="s">
        <v>1129</v>
      </c>
      <c r="E4953" s="1179">
        <v>2018</v>
      </c>
      <c r="F4953" s="1282" t="s">
        <v>20220</v>
      </c>
      <c r="G4953" s="1368">
        <v>39.5</v>
      </c>
      <c r="H4953" s="1178" t="s">
        <v>20221</v>
      </c>
      <c r="I4953" s="1178" t="s">
        <v>15631</v>
      </c>
      <c r="J4953" s="1178" t="s">
        <v>22514</v>
      </c>
      <c r="K4953" s="1178" t="s">
        <v>559</v>
      </c>
      <c r="L4953" s="1178"/>
      <c r="M4953" s="1369"/>
      <c r="N4953" s="1178"/>
      <c r="O4953" s="1178">
        <v>6</v>
      </c>
      <c r="P4953" s="1178">
        <v>13</v>
      </c>
    </row>
    <row r="4954" spans="1:16">
      <c r="A4954" s="1178" t="s">
        <v>560</v>
      </c>
      <c r="B4954" s="1371" t="str">
        <f>HYPERLINK(IFERROR("#Main_Tariff!A"&amp;MATCH(Raeburn_Main_Tariff[[#This Row],[Product Code]],Main_Tariff!I:I,0),"#Main_Tariff!A"&amp;MATCH("*"&amp;RIGHT(A4954,8)&amp;"*",Main_Tariff!A:A,0)),Raeburn_Main_Tariff[[#This Row],[PRODUCER]])</f>
        <v>Carl Loewen</v>
      </c>
      <c r="C4954" s="1178" t="s">
        <v>22521</v>
      </c>
      <c r="D4954" s="1178" t="s">
        <v>1129</v>
      </c>
      <c r="E4954" s="1179">
        <v>2016</v>
      </c>
      <c r="F4954" s="1282" t="s">
        <v>20220</v>
      </c>
      <c r="G4954" s="1368">
        <v>39.5</v>
      </c>
      <c r="H4954" s="1178" t="s">
        <v>20221</v>
      </c>
      <c r="I4954" s="1178" t="s">
        <v>15633</v>
      </c>
      <c r="J4954" s="1178" t="s">
        <v>22514</v>
      </c>
      <c r="K4954" s="1178" t="s">
        <v>559</v>
      </c>
      <c r="L4954" s="1178"/>
      <c r="M4954" s="1369"/>
      <c r="N4954" s="1178"/>
      <c r="O4954" s="1178">
        <v>6</v>
      </c>
      <c r="P4954" s="1178">
        <v>12</v>
      </c>
    </row>
    <row r="4955" spans="1:16">
      <c r="A4955" s="1178" t="s">
        <v>560</v>
      </c>
      <c r="B4955" s="1371" t="str">
        <f>HYPERLINK(IFERROR("#Main_Tariff!A"&amp;MATCH(Raeburn_Main_Tariff[[#This Row],[Product Code]],Main_Tariff!I:I,0),"#Main_Tariff!A"&amp;MATCH("*"&amp;RIGHT(A4955,8)&amp;"*",Main_Tariff!A:A,0)),Raeburn_Main_Tariff[[#This Row],[PRODUCER]])</f>
        <v>Carl Loewen</v>
      </c>
      <c r="C4955" s="1178" t="s">
        <v>22522</v>
      </c>
      <c r="D4955" s="1178" t="s">
        <v>1129</v>
      </c>
      <c r="E4955" s="1179"/>
      <c r="F4955" s="1282" t="s">
        <v>20220</v>
      </c>
      <c r="G4955" s="1368"/>
      <c r="H4955" s="1178" t="s">
        <v>3907</v>
      </c>
      <c r="I4955" s="1178" t="s">
        <v>15637</v>
      </c>
      <c r="J4955" s="1178" t="s">
        <v>22514</v>
      </c>
      <c r="K4955" s="1178" t="s">
        <v>559</v>
      </c>
      <c r="L4955" s="1178"/>
      <c r="M4955" s="1369"/>
      <c r="N4955" s="1178"/>
      <c r="O4955" s="1178">
        <v>6</v>
      </c>
      <c r="P4955" s="1178">
        <v>11.5</v>
      </c>
    </row>
    <row r="4956" spans="1:16">
      <c r="A4956" s="1178" t="s">
        <v>560</v>
      </c>
      <c r="B4956" s="1371" t="str">
        <f>HYPERLINK(IFERROR("#Main_Tariff!A"&amp;MATCH(Raeburn_Main_Tariff[[#This Row],[Product Code]],Main_Tariff!I:I,0),"#Main_Tariff!A"&amp;MATCH("*"&amp;RIGHT(A4956,8)&amp;"*",Main_Tariff!A:A,0)),Raeburn_Main_Tariff[[#This Row],[PRODUCER]])</f>
        <v>Carl Loewen</v>
      </c>
      <c r="C4956" s="1178" t="s">
        <v>22523</v>
      </c>
      <c r="D4956" s="1178" t="s">
        <v>1129</v>
      </c>
      <c r="E4956" s="1179">
        <v>2023</v>
      </c>
      <c r="F4956" s="1282" t="s">
        <v>20220</v>
      </c>
      <c r="G4956" s="1368">
        <v>15</v>
      </c>
      <c r="H4956" s="1178" t="s">
        <v>20221</v>
      </c>
      <c r="I4956" s="1178" t="s">
        <v>15638</v>
      </c>
      <c r="J4956" s="1178" t="s">
        <v>22514</v>
      </c>
      <c r="K4956" s="1178" t="s">
        <v>559</v>
      </c>
      <c r="L4956" s="1178"/>
      <c r="M4956" s="1369"/>
      <c r="N4956" s="1178"/>
      <c r="O4956" s="1178">
        <v>6</v>
      </c>
      <c r="P4956" s="1178">
        <v>9</v>
      </c>
    </row>
    <row r="4957" spans="1:16">
      <c r="A4957" s="1178" t="s">
        <v>560</v>
      </c>
      <c r="B4957" s="1371" t="str">
        <f>HYPERLINK(IFERROR("#Main_Tariff!A"&amp;MATCH(Raeburn_Main_Tariff[[#This Row],[Product Code]],Main_Tariff!I:I,0),"#Main_Tariff!A"&amp;MATCH("*"&amp;RIGHT(A4957,8)&amp;"*",Main_Tariff!A:A,0)),Raeburn_Main_Tariff[[#This Row],[PRODUCER]])</f>
        <v>Carl Loewen</v>
      </c>
      <c r="C4957" s="1178" t="s">
        <v>22523</v>
      </c>
      <c r="D4957" s="1178" t="s">
        <v>1129</v>
      </c>
      <c r="E4957" s="1179">
        <v>2022</v>
      </c>
      <c r="F4957" s="1282" t="s">
        <v>20220</v>
      </c>
      <c r="G4957" s="1368">
        <v>15</v>
      </c>
      <c r="H4957" s="1178" t="s">
        <v>20221</v>
      </c>
      <c r="I4957" s="1178" t="s">
        <v>15640</v>
      </c>
      <c r="J4957" s="1178" t="s">
        <v>22514</v>
      </c>
      <c r="K4957" s="1178" t="s">
        <v>559</v>
      </c>
      <c r="L4957" s="1178"/>
      <c r="M4957" s="1369"/>
      <c r="N4957" s="1178"/>
      <c r="O4957" s="1178">
        <v>6</v>
      </c>
      <c r="P4957" s="1178">
        <v>9</v>
      </c>
    </row>
    <row r="4958" spans="1:16">
      <c r="A4958" s="1178" t="s">
        <v>560</v>
      </c>
      <c r="B4958" s="1371" t="str">
        <f>HYPERLINK(IFERROR("#Main_Tariff!A"&amp;MATCH(Raeburn_Main_Tariff[[#This Row],[Product Code]],Main_Tariff!I:I,0),"#Main_Tariff!A"&amp;MATCH("*"&amp;RIGHT(A4958,8)&amp;"*",Main_Tariff!A:A,0)),Raeburn_Main_Tariff[[#This Row],[PRODUCER]])</f>
        <v>Carl Loewen</v>
      </c>
      <c r="C4958" s="1178" t="s">
        <v>22524</v>
      </c>
      <c r="D4958" s="1178" t="s">
        <v>1129</v>
      </c>
      <c r="E4958" s="1179">
        <v>2022</v>
      </c>
      <c r="F4958" s="1282" t="s">
        <v>20220</v>
      </c>
      <c r="G4958" s="1368">
        <v>35.5</v>
      </c>
      <c r="H4958" s="1178" t="s">
        <v>20221</v>
      </c>
      <c r="I4958" s="1178" t="s">
        <v>15642</v>
      </c>
      <c r="J4958" s="1178" t="s">
        <v>22514</v>
      </c>
      <c r="K4958" s="1178" t="s">
        <v>559</v>
      </c>
      <c r="L4958" s="1178"/>
      <c r="M4958" s="1369"/>
      <c r="N4958" s="1178"/>
      <c r="O4958" s="1178">
        <v>6</v>
      </c>
      <c r="P4958" s="1178">
        <v>9</v>
      </c>
    </row>
    <row r="4959" spans="1:16">
      <c r="A4959" s="1178" t="s">
        <v>560</v>
      </c>
      <c r="B4959" s="1371" t="str">
        <f>HYPERLINK(IFERROR("#Main_Tariff!A"&amp;MATCH(Raeburn_Main_Tariff[[#This Row],[Product Code]],Main_Tariff!I:I,0),"#Main_Tariff!A"&amp;MATCH("*"&amp;RIGHT(A4959,8)&amp;"*",Main_Tariff!A:A,0)),Raeburn_Main_Tariff[[#This Row],[PRODUCER]])</f>
        <v>Carl Loewen</v>
      </c>
      <c r="C4959" s="1178" t="s">
        <v>22525</v>
      </c>
      <c r="D4959" s="1178" t="s">
        <v>1129</v>
      </c>
      <c r="E4959" s="1179">
        <v>2022</v>
      </c>
      <c r="F4959" s="1282" t="s">
        <v>20220</v>
      </c>
      <c r="G4959" s="1368">
        <v>18</v>
      </c>
      <c r="H4959" s="1178" t="s">
        <v>20221</v>
      </c>
      <c r="I4959" s="1178" t="s">
        <v>15644</v>
      </c>
      <c r="J4959" s="1178" t="s">
        <v>22514</v>
      </c>
      <c r="K4959" s="1178" t="s">
        <v>559</v>
      </c>
      <c r="L4959" s="1178"/>
      <c r="M4959" s="1369"/>
      <c r="N4959" s="1178"/>
      <c r="O4959" s="1178">
        <v>6</v>
      </c>
      <c r="P4959" s="1178">
        <v>9</v>
      </c>
    </row>
    <row r="4960" spans="1:16">
      <c r="A4960" s="1178" t="s">
        <v>560</v>
      </c>
      <c r="B4960" s="1371" t="str">
        <f>HYPERLINK(IFERROR("#Main_Tariff!A"&amp;MATCH(Raeburn_Main_Tariff[[#This Row],[Product Code]],Main_Tariff!I:I,0),"#Main_Tariff!A"&amp;MATCH("*"&amp;RIGHT(A4960,8)&amp;"*",Main_Tariff!A:A,0)),Raeburn_Main_Tariff[[#This Row],[PRODUCER]])</f>
        <v>Carl Loewen</v>
      </c>
      <c r="C4960" s="1178" t="s">
        <v>22525</v>
      </c>
      <c r="D4960" s="1178" t="s">
        <v>1129</v>
      </c>
      <c r="E4960" s="1179">
        <v>2018</v>
      </c>
      <c r="F4960" s="1282" t="s">
        <v>20220</v>
      </c>
      <c r="G4960" s="1368">
        <v>17.5</v>
      </c>
      <c r="H4960" s="1178" t="s">
        <v>20221</v>
      </c>
      <c r="I4960" s="1178" t="s">
        <v>15646</v>
      </c>
      <c r="J4960" s="1178" t="s">
        <v>22514</v>
      </c>
      <c r="K4960" s="1178" t="s">
        <v>559</v>
      </c>
      <c r="L4960" s="1178"/>
      <c r="M4960" s="1369"/>
      <c r="N4960" s="1178"/>
      <c r="O4960" s="1178">
        <v>6</v>
      </c>
      <c r="P4960" s="1178">
        <v>13</v>
      </c>
    </row>
    <row r="4961" spans="1:16">
      <c r="A4961" s="1178" t="s">
        <v>560</v>
      </c>
      <c r="B4961" s="1371" t="str">
        <f>HYPERLINK(IFERROR("#Main_Tariff!A"&amp;MATCH(Raeburn_Main_Tariff[[#This Row],[Product Code]],Main_Tariff!I:I,0),"#Main_Tariff!A"&amp;MATCH("*"&amp;RIGHT(A4961,8)&amp;"*",Main_Tariff!A:A,0)),Raeburn_Main_Tariff[[#This Row],[PRODUCER]])</f>
        <v>Carl Loewen</v>
      </c>
      <c r="C4961" s="1178" t="s">
        <v>22525</v>
      </c>
      <c r="D4961" s="1178" t="s">
        <v>1129</v>
      </c>
      <c r="E4961" s="1179">
        <v>2015</v>
      </c>
      <c r="F4961" s="1282" t="s">
        <v>20220</v>
      </c>
      <c r="G4961" s="1368">
        <v>17.5</v>
      </c>
      <c r="H4961" s="1178" t="s">
        <v>20221</v>
      </c>
      <c r="I4961" s="1178" t="s">
        <v>15648</v>
      </c>
      <c r="J4961" s="1178" t="s">
        <v>22514</v>
      </c>
      <c r="K4961" s="1178" t="s">
        <v>559</v>
      </c>
      <c r="L4961" s="1178"/>
      <c r="M4961" s="1369"/>
      <c r="N4961" s="1178"/>
      <c r="O4961" s="1178">
        <v>6</v>
      </c>
      <c r="P4961" s="1178">
        <v>8.5</v>
      </c>
    </row>
    <row r="4962" spans="1:16">
      <c r="A4962" s="1178" t="s">
        <v>560</v>
      </c>
      <c r="B4962" s="1371" t="str">
        <f>HYPERLINK(IFERROR("#Main_Tariff!A"&amp;MATCH(Raeburn_Main_Tariff[[#This Row],[Product Code]],Main_Tariff!I:I,0),"#Main_Tariff!A"&amp;MATCH("*"&amp;RIGHT(A4962,8)&amp;"*",Main_Tariff!A:A,0)),Raeburn_Main_Tariff[[#This Row],[PRODUCER]])</f>
        <v>Carl Loewen</v>
      </c>
      <c r="C4962" s="1178" t="s">
        <v>22525</v>
      </c>
      <c r="D4962" s="1178" t="s">
        <v>1129</v>
      </c>
      <c r="E4962" s="1179">
        <v>2014</v>
      </c>
      <c r="F4962" s="1282" t="s">
        <v>20220</v>
      </c>
      <c r="G4962" s="1368">
        <v>17</v>
      </c>
      <c r="H4962" s="1178" t="s">
        <v>20221</v>
      </c>
      <c r="I4962" s="1178" t="s">
        <v>15650</v>
      </c>
      <c r="J4962" s="1178" t="s">
        <v>22514</v>
      </c>
      <c r="K4962" s="1178" t="s">
        <v>559</v>
      </c>
      <c r="L4962" s="1178"/>
      <c r="M4962" s="1369"/>
      <c r="N4962" s="1178"/>
      <c r="O4962" s="1178">
        <v>6</v>
      </c>
      <c r="P4962" s="1178">
        <v>8</v>
      </c>
    </row>
    <row r="4963" spans="1:16">
      <c r="A4963" s="1178" t="s">
        <v>560</v>
      </c>
      <c r="B4963" s="1371" t="str">
        <f>HYPERLINK(IFERROR("#Main_Tariff!A"&amp;MATCH(Raeburn_Main_Tariff[[#This Row],[Product Code]],Main_Tariff!I:I,0),"#Main_Tariff!A"&amp;MATCH("*"&amp;RIGHT(A4963,8)&amp;"*",Main_Tariff!A:A,0)),Raeburn_Main_Tariff[[#This Row],[PRODUCER]])</f>
        <v>Carl Loewen</v>
      </c>
      <c r="C4963" s="1178" t="s">
        <v>22526</v>
      </c>
      <c r="D4963" s="1178" t="s">
        <v>1410</v>
      </c>
      <c r="E4963" s="1179">
        <v>2023</v>
      </c>
      <c r="F4963" s="1282" t="s">
        <v>20220</v>
      </c>
      <c r="G4963" s="1368">
        <v>29.25</v>
      </c>
      <c r="H4963" s="1178" t="s">
        <v>20221</v>
      </c>
      <c r="I4963" s="1178" t="s">
        <v>15658</v>
      </c>
      <c r="J4963" s="1178" t="s">
        <v>22514</v>
      </c>
      <c r="K4963" s="1178" t="s">
        <v>559</v>
      </c>
      <c r="L4963" s="1178"/>
      <c r="M4963" s="1369"/>
      <c r="N4963" s="1178"/>
      <c r="O4963" s="1178">
        <v>6</v>
      </c>
      <c r="P4963" s="1178">
        <v>8</v>
      </c>
    </row>
    <row r="4964" spans="1:16">
      <c r="A4964" s="1178" t="s">
        <v>560</v>
      </c>
      <c r="B4964" s="1371" t="str">
        <f>HYPERLINK(IFERROR("#Main_Tariff!A"&amp;MATCH(Raeburn_Main_Tariff[[#This Row],[Product Code]],Main_Tariff!I:I,0),"#Main_Tariff!A"&amp;MATCH("*"&amp;RIGHT(A4964,8)&amp;"*",Main_Tariff!A:A,0)),Raeburn_Main_Tariff[[#This Row],[PRODUCER]])</f>
        <v>Carl Loewen</v>
      </c>
      <c r="C4964" s="1178" t="s">
        <v>22526</v>
      </c>
      <c r="D4964" s="1178" t="s">
        <v>1410</v>
      </c>
      <c r="E4964" s="1179">
        <v>2020</v>
      </c>
      <c r="F4964" s="1282" t="s">
        <v>20220</v>
      </c>
      <c r="G4964" s="1368">
        <v>27</v>
      </c>
      <c r="H4964" s="1178" t="s">
        <v>20221</v>
      </c>
      <c r="I4964" s="1178" t="s">
        <v>15654</v>
      </c>
      <c r="J4964" s="1178" t="s">
        <v>22514</v>
      </c>
      <c r="K4964" s="1178" t="s">
        <v>559</v>
      </c>
      <c r="L4964" s="1178"/>
      <c r="M4964" s="1369"/>
      <c r="N4964" s="1178"/>
      <c r="O4964" s="1178">
        <v>6</v>
      </c>
      <c r="P4964" s="1178">
        <v>8</v>
      </c>
    </row>
    <row r="4965" spans="1:16">
      <c r="A4965" s="1178" t="s">
        <v>560</v>
      </c>
      <c r="B4965" s="1371" t="str">
        <f>HYPERLINK(IFERROR("#Main_Tariff!A"&amp;MATCH(Raeburn_Main_Tariff[[#This Row],[Product Code]],Main_Tariff!I:I,0),"#Main_Tariff!A"&amp;MATCH("*"&amp;RIGHT(A4965,8)&amp;"*",Main_Tariff!A:A,0)),Raeburn_Main_Tariff[[#This Row],[PRODUCER]])</f>
        <v>Carl Loewen</v>
      </c>
      <c r="C4965" s="1178" t="s">
        <v>22526</v>
      </c>
      <c r="D4965" s="1178" t="s">
        <v>1410</v>
      </c>
      <c r="E4965" s="1179">
        <v>2019</v>
      </c>
      <c r="F4965" s="1282" t="s">
        <v>20220</v>
      </c>
      <c r="G4965" s="1368">
        <v>27.5</v>
      </c>
      <c r="H4965" s="1178" t="s">
        <v>20224</v>
      </c>
      <c r="I4965" s="1178" t="s">
        <v>15656</v>
      </c>
      <c r="J4965" s="1178" t="s">
        <v>22514</v>
      </c>
      <c r="K4965" s="1178" t="s">
        <v>559</v>
      </c>
      <c r="L4965" s="1178"/>
      <c r="M4965" s="1369"/>
      <c r="N4965" s="1178"/>
      <c r="O4965" s="1178">
        <v>6</v>
      </c>
      <c r="P4965" s="1178">
        <v>8.5</v>
      </c>
    </row>
    <row r="4966" spans="1:16">
      <c r="A4966" s="1178" t="s">
        <v>560</v>
      </c>
      <c r="B4966" s="1371" t="str">
        <f>HYPERLINK(IFERROR("#Main_Tariff!A"&amp;MATCH(Raeburn_Main_Tariff[[#This Row],[Product Code]],Main_Tariff!I:I,0),"#Main_Tariff!A"&amp;MATCH("*"&amp;RIGHT(A4966,8)&amp;"*",Main_Tariff!A:A,0)),Raeburn_Main_Tariff[[#This Row],[PRODUCER]])</f>
        <v>Carl Loewen</v>
      </c>
      <c r="C4966" s="1178" t="s">
        <v>22527</v>
      </c>
      <c r="D4966" s="1178" t="s">
        <v>1410</v>
      </c>
      <c r="E4966" s="1179">
        <v>2022</v>
      </c>
      <c r="F4966" s="1282" t="s">
        <v>20220</v>
      </c>
      <c r="G4966" s="1368">
        <v>30.5</v>
      </c>
      <c r="H4966" s="1178" t="s">
        <v>20221</v>
      </c>
      <c r="I4966" s="1178" t="s">
        <v>15660</v>
      </c>
      <c r="J4966" s="1178" t="s">
        <v>22514</v>
      </c>
      <c r="K4966" s="1178" t="s">
        <v>559</v>
      </c>
      <c r="L4966" s="1178"/>
      <c r="M4966" s="1369"/>
      <c r="N4966" s="1178"/>
      <c r="O4966" s="1178">
        <v>6</v>
      </c>
      <c r="P4966" s="1178">
        <v>9</v>
      </c>
    </row>
    <row r="4967" spans="1:16">
      <c r="A4967" s="1178" t="s">
        <v>560</v>
      </c>
      <c r="B4967" s="1371" t="str">
        <f>HYPERLINK(IFERROR("#Main_Tariff!A"&amp;MATCH(Raeburn_Main_Tariff[[#This Row],[Product Code]],Main_Tariff!I:I,0),"#Main_Tariff!A"&amp;MATCH("*"&amp;RIGHT(A4967,8)&amp;"*",Main_Tariff!A:A,0)),Raeburn_Main_Tariff[[#This Row],[PRODUCER]])</f>
        <v>Carl Loewen</v>
      </c>
      <c r="C4967" s="1178" t="s">
        <v>22528</v>
      </c>
      <c r="D4967" s="1178" t="s">
        <v>1410</v>
      </c>
      <c r="E4967" s="1179">
        <v>2018</v>
      </c>
      <c r="F4967" s="1282" t="s">
        <v>20220</v>
      </c>
      <c r="G4967" s="1368">
        <v>58</v>
      </c>
      <c r="H4967" s="1178" t="s">
        <v>20224</v>
      </c>
      <c r="I4967" s="1178" t="s">
        <v>15661</v>
      </c>
      <c r="J4967" s="1178" t="s">
        <v>22514</v>
      </c>
      <c r="K4967" s="1178" t="s">
        <v>559</v>
      </c>
      <c r="L4967" s="1178"/>
      <c r="M4967" s="1369"/>
      <c r="N4967" s="1178"/>
      <c r="O4967" s="1178">
        <v>6</v>
      </c>
      <c r="P4967" s="1178">
        <v>13</v>
      </c>
    </row>
    <row r="4968" spans="1:16">
      <c r="A4968" s="1178" t="s">
        <v>560</v>
      </c>
      <c r="B4968" s="1371" t="str">
        <f>HYPERLINK(IFERROR("#Main_Tariff!A"&amp;MATCH(Raeburn_Main_Tariff[[#This Row],[Product Code]],Main_Tariff!I:I,0),"#Main_Tariff!A"&amp;MATCH("*"&amp;RIGHT(A4968,8)&amp;"*",Main_Tariff!A:A,0)),Raeburn_Main_Tariff[[#This Row],[PRODUCER]])</f>
        <v>Carl Loewen</v>
      </c>
      <c r="C4968" s="1178" t="s">
        <v>22529</v>
      </c>
      <c r="D4968" s="1178" t="s">
        <v>1410</v>
      </c>
      <c r="E4968" s="1179">
        <v>2021</v>
      </c>
      <c r="F4968" s="1282" t="s">
        <v>20280</v>
      </c>
      <c r="G4968" s="1368">
        <v>123</v>
      </c>
      <c r="H4968" s="1178" t="s">
        <v>20224</v>
      </c>
      <c r="I4968" s="1178" t="s">
        <v>15665</v>
      </c>
      <c r="J4968" s="1178" t="s">
        <v>22514</v>
      </c>
      <c r="K4968" s="1178" t="s">
        <v>559</v>
      </c>
      <c r="L4968" s="1178"/>
      <c r="M4968" s="1369"/>
      <c r="N4968" s="1178"/>
      <c r="O4968" s="1178">
        <v>6</v>
      </c>
      <c r="P4968" s="1178">
        <v>7</v>
      </c>
    </row>
    <row r="4969" spans="1:16">
      <c r="A4969" s="1178" t="s">
        <v>560</v>
      </c>
      <c r="B4969" s="1371" t="str">
        <f>HYPERLINK(IFERROR("#Main_Tariff!A"&amp;MATCH(Raeburn_Main_Tariff[[#This Row],[Product Code]],Main_Tariff!I:I,0),"#Main_Tariff!A"&amp;MATCH("*"&amp;RIGHT(A4969,8)&amp;"*",Main_Tariff!A:A,0)),Raeburn_Main_Tariff[[#This Row],[PRODUCER]])</f>
        <v>Carl Loewen</v>
      </c>
      <c r="C4969" s="1178" t="s">
        <v>22530</v>
      </c>
      <c r="D4969" s="1178" t="s">
        <v>1410</v>
      </c>
      <c r="E4969" s="1179">
        <v>2020</v>
      </c>
      <c r="F4969" s="1282" t="s">
        <v>20280</v>
      </c>
      <c r="G4969" s="1368">
        <v>134.5</v>
      </c>
      <c r="H4969" s="1178" t="s">
        <v>20224</v>
      </c>
      <c r="I4969" s="1178" t="s">
        <v>15669</v>
      </c>
      <c r="J4969" s="1178" t="s">
        <v>22514</v>
      </c>
      <c r="K4969" s="1178" t="s">
        <v>559</v>
      </c>
      <c r="L4969" s="1178"/>
      <c r="M4969" s="1369"/>
      <c r="N4969" s="1178"/>
      <c r="O4969" s="1178">
        <v>6</v>
      </c>
      <c r="P4969" s="1178">
        <v>8</v>
      </c>
    </row>
    <row r="4970" spans="1:16">
      <c r="A4970" s="1178" t="s">
        <v>560</v>
      </c>
      <c r="B4970" s="1371" t="str">
        <f>HYPERLINK(IFERROR("#Main_Tariff!A"&amp;MATCH(Raeburn_Main_Tariff[[#This Row],[Product Code]],Main_Tariff!I:I,0),"#Main_Tariff!A"&amp;MATCH("*"&amp;RIGHT(A4970,8)&amp;"*",Main_Tariff!A:A,0)),Raeburn_Main_Tariff[[#This Row],[PRODUCER]])</f>
        <v>Carl Loewen</v>
      </c>
      <c r="C4970" s="1178" t="s">
        <v>22531</v>
      </c>
      <c r="D4970" s="1178" t="s">
        <v>1410</v>
      </c>
      <c r="E4970" s="1179">
        <v>2018</v>
      </c>
      <c r="F4970" s="1282" t="s">
        <v>20280</v>
      </c>
      <c r="G4970" s="1368">
        <v>129</v>
      </c>
      <c r="H4970" s="1178" t="s">
        <v>20224</v>
      </c>
      <c r="I4970" s="1178" t="s">
        <v>15671</v>
      </c>
      <c r="J4970" s="1178" t="s">
        <v>22514</v>
      </c>
      <c r="K4970" s="1178" t="s">
        <v>559</v>
      </c>
      <c r="L4970" s="1178"/>
      <c r="M4970" s="1369"/>
      <c r="N4970" s="1178"/>
      <c r="O4970" s="1178">
        <v>1</v>
      </c>
      <c r="P4970" s="1178">
        <v>7</v>
      </c>
    </row>
    <row r="4971" spans="1:16">
      <c r="A4971" s="1178" t="s">
        <v>561</v>
      </c>
      <c r="B4971" s="1371" t="str">
        <f>HYPERLINK(IFERROR("#Main_Tariff!A"&amp;MATCH(Raeburn_Main_Tariff[[#This Row],[Product Code]],Main_Tariff!I:I,0),"#Main_Tariff!A"&amp;MATCH("*"&amp;RIGHT(A4971,8)&amp;"*",Main_Tariff!A:A,0)),Raeburn_Main_Tariff[[#This Row],[PRODUCER]])</f>
        <v>A.J. Adam</v>
      </c>
      <c r="C4971" s="1178" t="s">
        <v>22532</v>
      </c>
      <c r="D4971" s="1178" t="s">
        <v>1129</v>
      </c>
      <c r="E4971" s="1179">
        <v>2022</v>
      </c>
      <c r="F4971" s="1282" t="s">
        <v>20220</v>
      </c>
      <c r="G4971" s="1368">
        <v>37.75</v>
      </c>
      <c r="H4971" s="1178" t="s">
        <v>20221</v>
      </c>
      <c r="I4971" s="1178" t="s">
        <v>15690</v>
      </c>
      <c r="J4971" s="1178" t="s">
        <v>22514</v>
      </c>
      <c r="K4971" s="1178" t="s">
        <v>559</v>
      </c>
      <c r="L4971" s="1178"/>
      <c r="M4971" s="1369"/>
      <c r="N4971" s="1178"/>
      <c r="O4971" s="1178">
        <v>6</v>
      </c>
      <c r="P4971" s="1178">
        <v>12.5</v>
      </c>
    </row>
    <row r="4972" spans="1:16">
      <c r="A4972" s="1178" t="s">
        <v>561</v>
      </c>
      <c r="B4972" s="1371" t="str">
        <f>HYPERLINK(IFERROR("#Main_Tariff!A"&amp;MATCH(Raeburn_Main_Tariff[[#This Row],[Product Code]],Main_Tariff!I:I,0),"#Main_Tariff!A"&amp;MATCH("*"&amp;RIGHT(A4972,8)&amp;"*",Main_Tariff!A:A,0)),Raeburn_Main_Tariff[[#This Row],[PRODUCER]])</f>
        <v>A.J. Adam</v>
      </c>
      <c r="C4972" s="1178" t="s">
        <v>22533</v>
      </c>
      <c r="D4972" s="1178" t="s">
        <v>1129</v>
      </c>
      <c r="E4972" s="1179">
        <v>2022</v>
      </c>
      <c r="F4972" s="1282" t="s">
        <v>20220</v>
      </c>
      <c r="G4972" s="1368">
        <v>26.25</v>
      </c>
      <c r="H4972" s="1178" t="s">
        <v>20221</v>
      </c>
      <c r="I4972" s="1178" t="s">
        <v>15694</v>
      </c>
      <c r="J4972" s="1178" t="s">
        <v>22514</v>
      </c>
      <c r="K4972" s="1178" t="s">
        <v>559</v>
      </c>
      <c r="L4972" s="1178"/>
      <c r="M4972" s="1369"/>
      <c r="N4972" s="1178"/>
      <c r="O4972" s="1178">
        <v>6</v>
      </c>
      <c r="P4972" s="1178">
        <v>10</v>
      </c>
    </row>
    <row r="4973" spans="1:16">
      <c r="A4973" s="1178" t="s">
        <v>561</v>
      </c>
      <c r="B4973" s="1371" t="str">
        <f>HYPERLINK(IFERROR("#Main_Tariff!A"&amp;MATCH(Raeburn_Main_Tariff[[#This Row],[Product Code]],Main_Tariff!I:I,0),"#Main_Tariff!A"&amp;MATCH("*"&amp;RIGHT(A4973,8)&amp;"*",Main_Tariff!A:A,0)),Raeburn_Main_Tariff[[#This Row],[PRODUCER]])</f>
        <v>A.J. Adam</v>
      </c>
      <c r="C4973" s="1178" t="s">
        <v>22533</v>
      </c>
      <c r="D4973" s="1178" t="s">
        <v>1129</v>
      </c>
      <c r="E4973" s="1179">
        <v>2020</v>
      </c>
      <c r="F4973" s="1282" t="s">
        <v>20220</v>
      </c>
      <c r="G4973" s="1368">
        <v>21.5</v>
      </c>
      <c r="H4973" s="1178" t="s">
        <v>20221</v>
      </c>
      <c r="I4973" s="1178" t="s">
        <v>15696</v>
      </c>
      <c r="J4973" s="1178" t="s">
        <v>22514</v>
      </c>
      <c r="K4973" s="1178" t="s">
        <v>559</v>
      </c>
      <c r="L4973" s="1178"/>
      <c r="M4973" s="1369"/>
      <c r="N4973" s="1178"/>
      <c r="O4973" s="1178">
        <v>6</v>
      </c>
      <c r="P4973" s="1178">
        <v>11</v>
      </c>
    </row>
    <row r="4974" spans="1:16">
      <c r="A4974" s="1178" t="s">
        <v>561</v>
      </c>
      <c r="B4974" s="1371" t="str">
        <f>HYPERLINK(IFERROR("#Main_Tariff!A"&amp;MATCH(Raeburn_Main_Tariff[[#This Row],[Product Code]],Main_Tariff!I:I,0),"#Main_Tariff!A"&amp;MATCH("*"&amp;RIGHT(A4974,8)&amp;"*",Main_Tariff!A:A,0)),Raeburn_Main_Tariff[[#This Row],[PRODUCER]])</f>
        <v>A.J. Adam</v>
      </c>
      <c r="C4974" s="1178" t="s">
        <v>22534</v>
      </c>
      <c r="D4974" s="1178" t="s">
        <v>1129</v>
      </c>
      <c r="E4974" s="1179">
        <v>2022</v>
      </c>
      <c r="F4974" s="1282" t="s">
        <v>20220</v>
      </c>
      <c r="G4974" s="1368">
        <v>21</v>
      </c>
      <c r="H4974" s="1178" t="s">
        <v>20221</v>
      </c>
      <c r="I4974" s="1178" t="s">
        <v>15698</v>
      </c>
      <c r="J4974" s="1178" t="s">
        <v>22514</v>
      </c>
      <c r="K4974" s="1178" t="s">
        <v>559</v>
      </c>
      <c r="L4974" s="1178"/>
      <c r="M4974" s="1369"/>
      <c r="N4974" s="1178"/>
      <c r="O4974" s="1178">
        <v>6</v>
      </c>
      <c r="P4974" s="1178">
        <v>7.5</v>
      </c>
    </row>
    <row r="4975" spans="1:16">
      <c r="A4975" s="1178" t="s">
        <v>561</v>
      </c>
      <c r="B4975" s="1371" t="str">
        <f>HYPERLINK(IFERROR("#Main_Tariff!A"&amp;MATCH(Raeburn_Main_Tariff[[#This Row],[Product Code]],Main_Tariff!I:I,0),"#Main_Tariff!A"&amp;MATCH("*"&amp;RIGHT(A4975,8)&amp;"*",Main_Tariff!A:A,0)),Raeburn_Main_Tariff[[#This Row],[PRODUCER]])</f>
        <v>A.J. Adam</v>
      </c>
      <c r="C4975" s="1178" t="s">
        <v>22535</v>
      </c>
      <c r="D4975" s="1178" t="s">
        <v>1129</v>
      </c>
      <c r="E4975" s="1179">
        <v>2022</v>
      </c>
      <c r="F4975" s="1282" t="s">
        <v>20220</v>
      </c>
      <c r="G4975" s="1368">
        <v>22.25</v>
      </c>
      <c r="H4975" s="1178" t="s">
        <v>20221</v>
      </c>
      <c r="I4975" s="1178" t="s">
        <v>15700</v>
      </c>
      <c r="J4975" s="1178" t="s">
        <v>22514</v>
      </c>
      <c r="K4975" s="1178" t="s">
        <v>559</v>
      </c>
      <c r="L4975" s="1178"/>
      <c r="M4975" s="1369"/>
      <c r="N4975" s="1178"/>
      <c r="O4975" s="1178">
        <v>6</v>
      </c>
      <c r="P4975" s="1178">
        <v>7</v>
      </c>
    </row>
    <row r="4976" spans="1:16">
      <c r="A4976" s="1178" t="s">
        <v>561</v>
      </c>
      <c r="B4976" s="1371" t="str">
        <f>HYPERLINK(IFERROR("#Main_Tariff!A"&amp;MATCH(Raeburn_Main_Tariff[[#This Row],[Product Code]],Main_Tariff!I:I,0),"#Main_Tariff!A"&amp;MATCH("*"&amp;RIGHT(A4976,8)&amp;"*",Main_Tariff!A:A,0)),Raeburn_Main_Tariff[[#This Row],[PRODUCER]])</f>
        <v>A.J. Adam</v>
      </c>
      <c r="C4976" s="1178" t="s">
        <v>22536</v>
      </c>
      <c r="D4976" s="1178" t="s">
        <v>1129</v>
      </c>
      <c r="E4976" s="1179">
        <v>2022</v>
      </c>
      <c r="F4976" s="1282" t="s">
        <v>20220</v>
      </c>
      <c r="G4976" s="1368">
        <v>39.75</v>
      </c>
      <c r="H4976" s="1178" t="s">
        <v>20224</v>
      </c>
      <c r="I4976" s="1178" t="s">
        <v>15702</v>
      </c>
      <c r="J4976" s="1178" t="s">
        <v>22514</v>
      </c>
      <c r="K4976" s="1178" t="s">
        <v>559</v>
      </c>
      <c r="L4976" s="1178"/>
      <c r="M4976" s="1369"/>
      <c r="N4976" s="1178"/>
      <c r="O4976" s="1178">
        <v>6</v>
      </c>
      <c r="P4976" s="1178">
        <v>8</v>
      </c>
    </row>
    <row r="4977" spans="1:16">
      <c r="A4977" s="1178" t="s">
        <v>561</v>
      </c>
      <c r="B4977" s="1371" t="str">
        <f>HYPERLINK(IFERROR("#Main_Tariff!A"&amp;MATCH(Raeburn_Main_Tariff[[#This Row],[Product Code]],Main_Tariff!I:I,0),"#Main_Tariff!A"&amp;MATCH("*"&amp;RIGHT(A4977,8)&amp;"*",Main_Tariff!A:A,0)),Raeburn_Main_Tariff[[#This Row],[PRODUCER]])</f>
        <v>A.J. Adam</v>
      </c>
      <c r="C4977" s="1178" t="s">
        <v>22537</v>
      </c>
      <c r="D4977" s="1178" t="s">
        <v>1129</v>
      </c>
      <c r="E4977" s="1179">
        <v>2022</v>
      </c>
      <c r="F4977" s="1282" t="s">
        <v>20220</v>
      </c>
      <c r="G4977" s="1368">
        <v>24.75</v>
      </c>
      <c r="H4977" s="1178" t="s">
        <v>20221</v>
      </c>
      <c r="I4977" s="1178" t="s">
        <v>15703</v>
      </c>
      <c r="J4977" s="1178" t="s">
        <v>22514</v>
      </c>
      <c r="K4977" s="1178" t="s">
        <v>559</v>
      </c>
      <c r="L4977" s="1178"/>
      <c r="M4977" s="1369"/>
      <c r="N4977" s="1178"/>
      <c r="O4977" s="1178">
        <v>6</v>
      </c>
      <c r="P4977" s="1178">
        <v>7</v>
      </c>
    </row>
    <row r="4978" spans="1:16">
      <c r="A4978" s="1178" t="s">
        <v>561</v>
      </c>
      <c r="B4978" s="1371" t="str">
        <f>HYPERLINK(IFERROR("#Main_Tariff!A"&amp;MATCH(Raeburn_Main_Tariff[[#This Row],[Product Code]],Main_Tariff!I:I,0),"#Main_Tariff!A"&amp;MATCH("*"&amp;RIGHT(A4978,8)&amp;"*",Main_Tariff!A:A,0)),Raeburn_Main_Tariff[[#This Row],[PRODUCER]])</f>
        <v>A.J. Adam</v>
      </c>
      <c r="C4978" s="1178" t="s">
        <v>22537</v>
      </c>
      <c r="D4978" s="1178" t="s">
        <v>1129</v>
      </c>
      <c r="E4978" s="1179">
        <v>2020</v>
      </c>
      <c r="F4978" s="1282" t="s">
        <v>20220</v>
      </c>
      <c r="G4978" s="1368">
        <v>22.75</v>
      </c>
      <c r="H4978" s="1178" t="s">
        <v>20221</v>
      </c>
      <c r="I4978" s="1178" t="s">
        <v>15705</v>
      </c>
      <c r="J4978" s="1178" t="s">
        <v>22514</v>
      </c>
      <c r="K4978" s="1178" t="s">
        <v>559</v>
      </c>
      <c r="L4978" s="1178"/>
      <c r="M4978" s="1369"/>
      <c r="N4978" s="1178"/>
      <c r="O4978" s="1178">
        <v>6</v>
      </c>
      <c r="P4978" s="1178">
        <v>8</v>
      </c>
    </row>
    <row r="4979" spans="1:16">
      <c r="A4979" s="1178" t="s">
        <v>561</v>
      </c>
      <c r="B4979" s="1371" t="str">
        <f>HYPERLINK(IFERROR("#Main_Tariff!A"&amp;MATCH(Raeburn_Main_Tariff[[#This Row],[Product Code]],Main_Tariff!I:I,0),"#Main_Tariff!A"&amp;MATCH("*"&amp;RIGHT(A4979,8)&amp;"*",Main_Tariff!A:A,0)),Raeburn_Main_Tariff[[#This Row],[PRODUCER]])</f>
        <v>A.J. Adam</v>
      </c>
      <c r="C4979" s="1178" t="s">
        <v>22538</v>
      </c>
      <c r="D4979" s="1178" t="s">
        <v>1129</v>
      </c>
      <c r="E4979" s="1179">
        <v>2022</v>
      </c>
      <c r="F4979" s="1282" t="s">
        <v>20220</v>
      </c>
      <c r="G4979" s="1368">
        <v>48.25</v>
      </c>
      <c r="H4979" s="1178" t="s">
        <v>20277</v>
      </c>
      <c r="I4979" s="1178" t="s">
        <v>15708</v>
      </c>
      <c r="J4979" s="1178" t="s">
        <v>22514</v>
      </c>
      <c r="K4979" s="1178" t="s">
        <v>559</v>
      </c>
      <c r="L4979" s="1178"/>
      <c r="M4979" s="1369"/>
      <c r="N4979" s="1178"/>
      <c r="O4979" s="1178">
        <v>6</v>
      </c>
      <c r="P4979" s="1178">
        <v>7.5</v>
      </c>
    </row>
    <row r="4980" spans="1:16">
      <c r="A4980" s="1178" t="s">
        <v>561</v>
      </c>
      <c r="B4980" s="1371" t="str">
        <f>HYPERLINK(IFERROR("#Main_Tariff!A"&amp;MATCH(Raeburn_Main_Tariff[[#This Row],[Product Code]],Main_Tariff!I:I,0),"#Main_Tariff!A"&amp;MATCH("*"&amp;RIGHT(A4980,8)&amp;"*",Main_Tariff!A:A,0)),Raeburn_Main_Tariff[[#This Row],[PRODUCER]])</f>
        <v>A.J. Adam</v>
      </c>
      <c r="C4980" s="1178" t="s">
        <v>22539</v>
      </c>
      <c r="D4980" s="1178" t="s">
        <v>1129</v>
      </c>
      <c r="E4980" s="1179">
        <v>2018</v>
      </c>
      <c r="F4980" s="1282" t="s">
        <v>20240</v>
      </c>
      <c r="G4980" s="1368">
        <v>49</v>
      </c>
      <c r="H4980" s="1178" t="s">
        <v>20224</v>
      </c>
      <c r="I4980" s="1178" t="s">
        <v>15710</v>
      </c>
      <c r="J4980" s="1178" t="s">
        <v>22514</v>
      </c>
      <c r="K4980" s="1178" t="s">
        <v>559</v>
      </c>
      <c r="L4980" s="1178"/>
      <c r="M4980" s="1369"/>
      <c r="N4980" s="1178"/>
      <c r="O4980" s="1178">
        <v>6</v>
      </c>
      <c r="P4980" s="1178">
        <v>11</v>
      </c>
    </row>
    <row r="4981" spans="1:16">
      <c r="A4981" s="1178" t="s">
        <v>561</v>
      </c>
      <c r="B4981" s="1371" t="str">
        <f>HYPERLINK(IFERROR("#Main_Tariff!A"&amp;MATCH(Raeburn_Main_Tariff[[#This Row],[Product Code]],Main_Tariff!I:I,0),"#Main_Tariff!A"&amp;MATCH("*"&amp;RIGHT(A4981,8)&amp;"*",Main_Tariff!A:A,0)),Raeburn_Main_Tariff[[#This Row],[PRODUCER]])</f>
        <v>A.J. Adam</v>
      </c>
      <c r="C4981" s="1178" t="s">
        <v>22540</v>
      </c>
      <c r="D4981" s="1178" t="s">
        <v>1129</v>
      </c>
      <c r="E4981" s="1179">
        <v>2020</v>
      </c>
      <c r="F4981" s="1282" t="s">
        <v>20240</v>
      </c>
      <c r="G4981" s="1368">
        <v>50.5</v>
      </c>
      <c r="H4981" s="1178" t="s">
        <v>20224</v>
      </c>
      <c r="I4981" s="1178" t="s">
        <v>15712</v>
      </c>
      <c r="J4981" s="1178" t="s">
        <v>22514</v>
      </c>
      <c r="K4981" s="1178" t="s">
        <v>559</v>
      </c>
      <c r="L4981" s="1178"/>
      <c r="M4981" s="1369"/>
      <c r="N4981" s="1178"/>
      <c r="O4981" s="1178">
        <v>6</v>
      </c>
      <c r="P4981" s="1178">
        <v>8.5</v>
      </c>
    </row>
    <row r="4982" spans="1:16">
      <c r="A4982" s="1178" t="s">
        <v>561</v>
      </c>
      <c r="B4982" s="1371" t="str">
        <f>HYPERLINK(IFERROR("#Main_Tariff!A"&amp;MATCH(Raeburn_Main_Tariff[[#This Row],[Product Code]],Main_Tariff!I:I,0),"#Main_Tariff!A"&amp;MATCH("*"&amp;RIGHT(A4982,8)&amp;"*",Main_Tariff!A:A,0)),Raeburn_Main_Tariff[[#This Row],[PRODUCER]])</f>
        <v>A.J. Adam</v>
      </c>
      <c r="C4982" s="1178" t="s">
        <v>22541</v>
      </c>
      <c r="D4982" s="1178" t="s">
        <v>1410</v>
      </c>
      <c r="E4982" s="1179">
        <v>2018</v>
      </c>
      <c r="F4982" s="1282" t="s">
        <v>20280</v>
      </c>
      <c r="G4982" s="1368">
        <v>22</v>
      </c>
      <c r="H4982" s="1178" t="s">
        <v>20221</v>
      </c>
      <c r="I4982" s="1178" t="s">
        <v>15716</v>
      </c>
      <c r="J4982" s="1178" t="s">
        <v>22514</v>
      </c>
      <c r="K4982" s="1178" t="s">
        <v>559</v>
      </c>
      <c r="L4982" s="1178"/>
      <c r="M4982" s="1369"/>
      <c r="N4982" s="1178"/>
      <c r="O4982" s="1178">
        <v>12</v>
      </c>
      <c r="P4982" s="1178">
        <v>7</v>
      </c>
    </row>
    <row r="4983" spans="1:16">
      <c r="A4983" s="1178" t="s">
        <v>561</v>
      </c>
      <c r="B4983" s="1371" t="str">
        <f>HYPERLINK(IFERROR("#Main_Tariff!A"&amp;MATCH(Raeburn_Main_Tariff[[#This Row],[Product Code]],Main_Tariff!I:I,0),"#Main_Tariff!A"&amp;MATCH("*"&amp;RIGHT(A4983,8)&amp;"*",Main_Tariff!A:A,0)),Raeburn_Main_Tariff[[#This Row],[PRODUCER]])</f>
        <v>A.J. Adam</v>
      </c>
      <c r="C4983" s="1178" t="s">
        <v>22542</v>
      </c>
      <c r="D4983" s="1178" t="s">
        <v>1410</v>
      </c>
      <c r="E4983" s="1179">
        <v>2011</v>
      </c>
      <c r="F4983" s="1282" t="s">
        <v>20280</v>
      </c>
      <c r="G4983" s="1368">
        <v>25.5</v>
      </c>
      <c r="H4983" s="1178" t="s">
        <v>20221</v>
      </c>
      <c r="I4983" s="1178" t="s">
        <v>15717</v>
      </c>
      <c r="J4983" s="1178" t="s">
        <v>22514</v>
      </c>
      <c r="K4983" s="1178" t="s">
        <v>559</v>
      </c>
      <c r="L4983" s="1178"/>
      <c r="M4983" s="1369"/>
      <c r="N4983" s="1178"/>
      <c r="O4983" s="1178">
        <v>12</v>
      </c>
      <c r="P4983" s="1178">
        <v>8</v>
      </c>
    </row>
    <row r="4984" spans="1:16">
      <c r="A4984" s="1178" t="s">
        <v>561</v>
      </c>
      <c r="B4984" s="1371" t="str">
        <f>HYPERLINK(IFERROR("#Main_Tariff!A"&amp;MATCH(Raeburn_Main_Tariff[[#This Row],[Product Code]],Main_Tariff!I:I,0),"#Main_Tariff!A"&amp;MATCH("*"&amp;RIGHT(A4984,8)&amp;"*",Main_Tariff!A:A,0)),Raeburn_Main_Tariff[[#This Row],[PRODUCER]])</f>
        <v>A.J. Adam</v>
      </c>
      <c r="C4984" s="1178" t="s">
        <v>22543</v>
      </c>
      <c r="D4984" s="1178" t="s">
        <v>1410</v>
      </c>
      <c r="E4984" s="1179">
        <v>2022</v>
      </c>
      <c r="F4984" s="1282" t="s">
        <v>20220</v>
      </c>
      <c r="G4984" s="1368">
        <v>32.75</v>
      </c>
      <c r="H4984" s="1178" t="s">
        <v>20221</v>
      </c>
      <c r="I4984" s="1178" t="s">
        <v>15720</v>
      </c>
      <c r="J4984" s="1178" t="s">
        <v>22514</v>
      </c>
      <c r="K4984" s="1178" t="s">
        <v>559</v>
      </c>
      <c r="L4984" s="1178"/>
      <c r="M4984" s="1369"/>
      <c r="N4984" s="1178"/>
      <c r="O4984" s="1178">
        <v>6</v>
      </c>
      <c r="P4984" s="1178">
        <v>7.5</v>
      </c>
    </row>
    <row r="4985" spans="1:16">
      <c r="A4985" s="1178" t="s">
        <v>561</v>
      </c>
      <c r="B4985" s="1371" t="str">
        <f>HYPERLINK(IFERROR("#Main_Tariff!A"&amp;MATCH(Raeburn_Main_Tariff[[#This Row],[Product Code]],Main_Tariff!I:I,0),"#Main_Tariff!A"&amp;MATCH("*"&amp;RIGHT(A4985,8)&amp;"*",Main_Tariff!A:A,0)),Raeburn_Main_Tariff[[#This Row],[PRODUCER]])</f>
        <v>A.J. Adam</v>
      </c>
      <c r="C4985" s="1178" t="s">
        <v>22543</v>
      </c>
      <c r="D4985" s="1178" t="s">
        <v>1410</v>
      </c>
      <c r="E4985" s="1179">
        <v>2020</v>
      </c>
      <c r="F4985" s="1282" t="s">
        <v>20220</v>
      </c>
      <c r="G4985" s="1368">
        <v>28.25</v>
      </c>
      <c r="H4985" s="1178" t="s">
        <v>20221</v>
      </c>
      <c r="I4985" s="1178" t="s">
        <v>15721</v>
      </c>
      <c r="J4985" s="1178" t="s">
        <v>22514</v>
      </c>
      <c r="K4985" s="1178" t="s">
        <v>559</v>
      </c>
      <c r="L4985" s="1178"/>
      <c r="M4985" s="1369"/>
      <c r="N4985" s="1178"/>
      <c r="O4985" s="1178">
        <v>6</v>
      </c>
      <c r="P4985" s="1178">
        <v>7</v>
      </c>
    </row>
    <row r="4986" spans="1:16">
      <c r="A4986" s="1178" t="s">
        <v>561</v>
      </c>
      <c r="B4986" s="1371" t="str">
        <f>HYPERLINK(IFERROR("#Main_Tariff!A"&amp;MATCH(Raeburn_Main_Tariff[[#This Row],[Product Code]],Main_Tariff!I:I,0),"#Main_Tariff!A"&amp;MATCH("*"&amp;RIGHT(A4986,8)&amp;"*",Main_Tariff!A:A,0)),Raeburn_Main_Tariff[[#This Row],[PRODUCER]])</f>
        <v>A.J. Adam</v>
      </c>
      <c r="C4986" s="1178" t="s">
        <v>22544</v>
      </c>
      <c r="D4986" s="1178" t="s">
        <v>1410</v>
      </c>
      <c r="E4986" s="1179">
        <v>2019</v>
      </c>
      <c r="F4986" s="1282" t="s">
        <v>20220</v>
      </c>
      <c r="G4986" s="1368">
        <v>31.5</v>
      </c>
      <c r="H4986" s="1178" t="s">
        <v>20221</v>
      </c>
      <c r="I4986" s="1178" t="s">
        <v>15723</v>
      </c>
      <c r="J4986" s="1178" t="s">
        <v>22514</v>
      </c>
      <c r="K4986" s="1178" t="s">
        <v>559</v>
      </c>
      <c r="L4986" s="1178"/>
      <c r="M4986" s="1369"/>
      <c r="N4986" s="1178"/>
      <c r="O4986" s="1178">
        <v>6</v>
      </c>
      <c r="P4986" s="1178">
        <v>7</v>
      </c>
    </row>
    <row r="4987" spans="1:16">
      <c r="A4987" s="1178" t="s">
        <v>562</v>
      </c>
      <c r="B4987" s="1371" t="str">
        <f>HYPERLINK(IFERROR("#Main_Tariff!A"&amp;MATCH(Raeburn_Main_Tariff[[#This Row],[Product Code]],Main_Tariff!I:I,0),"#Main_Tariff!A"&amp;MATCH("*"&amp;RIGHT(A4987,8)&amp;"*",Main_Tariff!A:A,0)),Raeburn_Main_Tariff[[#This Row],[PRODUCER]])</f>
        <v>Fritz Haag</v>
      </c>
      <c r="C4987" s="1178" t="s">
        <v>22545</v>
      </c>
      <c r="D4987" s="1178" t="s">
        <v>1129</v>
      </c>
      <c r="E4987" s="1179">
        <v>2019</v>
      </c>
      <c r="F4987" s="1282" t="s">
        <v>20220</v>
      </c>
      <c r="G4987" s="1368">
        <v>14</v>
      </c>
      <c r="H4987" s="1178" t="s">
        <v>20221</v>
      </c>
      <c r="I4987" s="1178" t="s">
        <v>15756</v>
      </c>
      <c r="J4987" s="1178" t="s">
        <v>22514</v>
      </c>
      <c r="K4987" s="1178" t="s">
        <v>559</v>
      </c>
      <c r="L4987" s="1178"/>
      <c r="M4987" s="1369"/>
      <c r="N4987" s="1178"/>
      <c r="O4987" s="1178">
        <v>6</v>
      </c>
      <c r="P4987" s="1178">
        <v>12.5</v>
      </c>
    </row>
    <row r="4988" spans="1:16">
      <c r="A4988" s="1178" t="s">
        <v>562</v>
      </c>
      <c r="B4988" s="1371" t="str">
        <f>HYPERLINK(IFERROR("#Main_Tariff!A"&amp;MATCH(Raeburn_Main_Tariff[[#This Row],[Product Code]],Main_Tariff!I:I,0),"#Main_Tariff!A"&amp;MATCH("*"&amp;RIGHT(A4988,8)&amp;"*",Main_Tariff!A:A,0)),Raeburn_Main_Tariff[[#This Row],[PRODUCER]])</f>
        <v>Fritz Haag</v>
      </c>
      <c r="C4988" s="1178" t="s">
        <v>22546</v>
      </c>
      <c r="D4988" s="1178" t="s">
        <v>1129</v>
      </c>
      <c r="E4988" s="1179">
        <v>2018</v>
      </c>
      <c r="F4988" s="1282" t="s">
        <v>20280</v>
      </c>
      <c r="G4988" s="1368">
        <v>9.5</v>
      </c>
      <c r="H4988" s="1178" t="s">
        <v>20221</v>
      </c>
      <c r="I4988" s="1178" t="s">
        <v>15760</v>
      </c>
      <c r="J4988" s="1178" t="s">
        <v>22514</v>
      </c>
      <c r="K4988" s="1178" t="s">
        <v>559</v>
      </c>
      <c r="L4988" s="1178"/>
      <c r="M4988" s="1369"/>
      <c r="N4988" s="1178"/>
      <c r="O4988" s="1178">
        <v>12</v>
      </c>
      <c r="P4988" s="1178">
        <v>12.5</v>
      </c>
    </row>
    <row r="4989" spans="1:16">
      <c r="A4989" s="1178" t="s">
        <v>562</v>
      </c>
      <c r="B4989" s="1371" t="str">
        <f>HYPERLINK(IFERROR("#Main_Tariff!A"&amp;MATCH(Raeburn_Main_Tariff[[#This Row],[Product Code]],Main_Tariff!I:I,0),"#Main_Tariff!A"&amp;MATCH("*"&amp;RIGHT(A4989,8)&amp;"*",Main_Tariff!A:A,0)),Raeburn_Main_Tariff[[#This Row],[PRODUCER]])</f>
        <v>Fritz Haag</v>
      </c>
      <c r="C4989" s="1178" t="s">
        <v>22547</v>
      </c>
      <c r="D4989" s="1178" t="s">
        <v>1129</v>
      </c>
      <c r="E4989" s="1179">
        <v>2020</v>
      </c>
      <c r="F4989" s="1282" t="s">
        <v>20280</v>
      </c>
      <c r="G4989" s="1368">
        <v>13.25</v>
      </c>
      <c r="H4989" s="1178" t="s">
        <v>20224</v>
      </c>
      <c r="I4989" s="1178" t="s">
        <v>15762</v>
      </c>
      <c r="J4989" s="1178" t="s">
        <v>22514</v>
      </c>
      <c r="K4989" s="1178" t="s">
        <v>559</v>
      </c>
      <c r="L4989" s="1178"/>
      <c r="M4989" s="1369"/>
      <c r="N4989" s="1178"/>
      <c r="O4989" s="1178">
        <v>12</v>
      </c>
      <c r="P4989" s="1178">
        <v>12.5</v>
      </c>
    </row>
    <row r="4990" spans="1:16">
      <c r="A4990" s="1178" t="s">
        <v>562</v>
      </c>
      <c r="B4990" s="1371" t="str">
        <f>HYPERLINK(IFERROR("#Main_Tariff!A"&amp;MATCH(Raeburn_Main_Tariff[[#This Row],[Product Code]],Main_Tariff!I:I,0),"#Main_Tariff!A"&amp;MATCH("*"&amp;RIGHT(A4990,8)&amp;"*",Main_Tariff!A:A,0)),Raeburn_Main_Tariff[[#This Row],[PRODUCER]])</f>
        <v>Fritz Haag</v>
      </c>
      <c r="C4990" s="1178" t="s">
        <v>22548</v>
      </c>
      <c r="D4990" s="1178" t="s">
        <v>1129</v>
      </c>
      <c r="E4990" s="1179"/>
      <c r="F4990" s="1282" t="s">
        <v>20220</v>
      </c>
      <c r="G4990" s="1368"/>
      <c r="H4990" s="1178" t="s">
        <v>3907</v>
      </c>
      <c r="I4990" s="1178" t="s">
        <v>15764</v>
      </c>
      <c r="J4990" s="1178" t="s">
        <v>22514</v>
      </c>
      <c r="K4990" s="1178" t="s">
        <v>559</v>
      </c>
      <c r="L4990" s="1178"/>
      <c r="M4990" s="1369"/>
      <c r="N4990" s="1178"/>
      <c r="O4990" s="1178">
        <v>6</v>
      </c>
      <c r="P4990" s="1178">
        <v>7.5</v>
      </c>
    </row>
    <row r="4991" spans="1:16">
      <c r="A4991" s="1178" t="s">
        <v>562</v>
      </c>
      <c r="B4991" s="1371" t="str">
        <f>HYPERLINK(IFERROR("#Main_Tariff!A"&amp;MATCH(Raeburn_Main_Tariff[[#This Row],[Product Code]],Main_Tariff!I:I,0),"#Main_Tariff!A"&amp;MATCH("*"&amp;RIGHT(A4991,8)&amp;"*",Main_Tariff!A:A,0)),Raeburn_Main_Tariff[[#This Row],[PRODUCER]])</f>
        <v>Fritz Haag</v>
      </c>
      <c r="C4991" s="1178" t="s">
        <v>22549</v>
      </c>
      <c r="D4991" s="1178" t="s">
        <v>1129</v>
      </c>
      <c r="E4991" s="1179">
        <v>2021</v>
      </c>
      <c r="F4991" s="1282" t="s">
        <v>20220</v>
      </c>
      <c r="G4991" s="1368">
        <v>31</v>
      </c>
      <c r="H4991" s="1178" t="s">
        <v>20221</v>
      </c>
      <c r="I4991" s="1178" t="s">
        <v>15766</v>
      </c>
      <c r="J4991" s="1178" t="s">
        <v>22514</v>
      </c>
      <c r="K4991" s="1178" t="s">
        <v>559</v>
      </c>
      <c r="L4991" s="1178"/>
      <c r="M4991" s="1369"/>
      <c r="N4991" s="1178"/>
      <c r="O4991" s="1178">
        <v>6</v>
      </c>
      <c r="P4991" s="1178">
        <v>12.5</v>
      </c>
    </row>
    <row r="4992" spans="1:16">
      <c r="A4992" s="1178" t="s">
        <v>562</v>
      </c>
      <c r="B4992" s="1371" t="str">
        <f>HYPERLINK(IFERROR("#Main_Tariff!A"&amp;MATCH(Raeburn_Main_Tariff[[#This Row],[Product Code]],Main_Tariff!I:I,0),"#Main_Tariff!A"&amp;MATCH("*"&amp;RIGHT(A4992,8)&amp;"*",Main_Tariff!A:A,0)),Raeburn_Main_Tariff[[#This Row],[PRODUCER]])</f>
        <v>Fritz Haag</v>
      </c>
      <c r="C4992" s="1178" t="s">
        <v>22549</v>
      </c>
      <c r="D4992" s="1178" t="s">
        <v>1129</v>
      </c>
      <c r="E4992" s="1179">
        <v>2020</v>
      </c>
      <c r="F4992" s="1282" t="s">
        <v>20220</v>
      </c>
      <c r="G4992" s="1368">
        <v>29.5</v>
      </c>
      <c r="H4992" s="1178" t="s">
        <v>20221</v>
      </c>
      <c r="I4992" s="1178" t="s">
        <v>15768</v>
      </c>
      <c r="J4992" s="1178" t="s">
        <v>22514</v>
      </c>
      <c r="K4992" s="1178" t="s">
        <v>559</v>
      </c>
      <c r="L4992" s="1178"/>
      <c r="M4992" s="1369"/>
      <c r="N4992" s="1178"/>
      <c r="O4992" s="1178">
        <v>6</v>
      </c>
      <c r="P4992" s="1178">
        <v>12.5</v>
      </c>
    </row>
    <row r="4993" spans="1:16">
      <c r="A4993" s="1178" t="s">
        <v>562</v>
      </c>
      <c r="B4993" s="1371" t="str">
        <f>HYPERLINK(IFERROR("#Main_Tariff!A"&amp;MATCH(Raeburn_Main_Tariff[[#This Row],[Product Code]],Main_Tariff!I:I,0),"#Main_Tariff!A"&amp;MATCH("*"&amp;RIGHT(A4993,8)&amp;"*",Main_Tariff!A:A,0)),Raeburn_Main_Tariff[[#This Row],[PRODUCER]])</f>
        <v>Fritz Haag</v>
      </c>
      <c r="C4993" s="1178" t="s">
        <v>22550</v>
      </c>
      <c r="D4993" s="1178" t="s">
        <v>1129</v>
      </c>
      <c r="E4993" s="1179"/>
      <c r="F4993" s="1282" t="s">
        <v>20220</v>
      </c>
      <c r="G4993" s="1368"/>
      <c r="H4993" s="1178" t="s">
        <v>3907</v>
      </c>
      <c r="I4993" s="1178" t="s">
        <v>15772</v>
      </c>
      <c r="J4993" s="1178" t="s">
        <v>22514</v>
      </c>
      <c r="K4993" s="1178" t="s">
        <v>559</v>
      </c>
      <c r="L4993" s="1178"/>
      <c r="M4993" s="1369"/>
      <c r="N4993" s="1178"/>
      <c r="O4993" s="1178">
        <v>6</v>
      </c>
      <c r="P4993" s="1178">
        <v>11.5</v>
      </c>
    </row>
    <row r="4994" spans="1:16">
      <c r="A4994" s="1178" t="s">
        <v>562</v>
      </c>
      <c r="B4994" s="1371" t="str">
        <f>HYPERLINK(IFERROR("#Main_Tariff!A"&amp;MATCH(Raeburn_Main_Tariff[[#This Row],[Product Code]],Main_Tariff!I:I,0),"#Main_Tariff!A"&amp;MATCH("*"&amp;RIGHT(A4994,8)&amp;"*",Main_Tariff!A:A,0)),Raeburn_Main_Tariff[[#This Row],[PRODUCER]])</f>
        <v>Fritz Haag</v>
      </c>
      <c r="C4994" s="1178" t="s">
        <v>22551</v>
      </c>
      <c r="D4994" s="1178" t="s">
        <v>1129</v>
      </c>
      <c r="E4994" s="1179">
        <v>2019</v>
      </c>
      <c r="F4994" s="1282" t="s">
        <v>20220</v>
      </c>
      <c r="G4994" s="1368">
        <v>20.5</v>
      </c>
      <c r="H4994" s="1178" t="s">
        <v>20277</v>
      </c>
      <c r="I4994" s="1178" t="s">
        <v>15774</v>
      </c>
      <c r="J4994" s="1178" t="s">
        <v>22514</v>
      </c>
      <c r="K4994" s="1178" t="s">
        <v>559</v>
      </c>
      <c r="L4994" s="1178"/>
      <c r="M4994" s="1369"/>
      <c r="N4994" s="1178"/>
      <c r="O4994" s="1178">
        <v>6</v>
      </c>
      <c r="P4994" s="1178">
        <v>12.5</v>
      </c>
    </row>
    <row r="4995" spans="1:16">
      <c r="A4995" s="1178" t="s">
        <v>562</v>
      </c>
      <c r="B4995" s="1371" t="str">
        <f>HYPERLINK(IFERROR("#Main_Tariff!A"&amp;MATCH(Raeburn_Main_Tariff[[#This Row],[Product Code]],Main_Tariff!I:I,0),"#Main_Tariff!A"&amp;MATCH("*"&amp;RIGHT(A4995,8)&amp;"*",Main_Tariff!A:A,0)),Raeburn_Main_Tariff[[#This Row],[PRODUCER]])</f>
        <v>Fritz Haag</v>
      </c>
      <c r="C4995" s="1178" t="s">
        <v>22552</v>
      </c>
      <c r="D4995" s="1178" t="s">
        <v>1129</v>
      </c>
      <c r="E4995" s="1179">
        <v>2021</v>
      </c>
      <c r="F4995" s="1282" t="s">
        <v>20220</v>
      </c>
      <c r="G4995" s="1368">
        <v>15.75</v>
      </c>
      <c r="H4995" s="1178" t="s">
        <v>20221</v>
      </c>
      <c r="I4995" s="1178" t="s">
        <v>15776</v>
      </c>
      <c r="J4995" s="1178" t="s">
        <v>22514</v>
      </c>
      <c r="K4995" s="1178" t="s">
        <v>559</v>
      </c>
      <c r="L4995" s="1178"/>
      <c r="M4995" s="1369"/>
      <c r="N4995" s="1178"/>
      <c r="O4995" s="1178">
        <v>6</v>
      </c>
      <c r="P4995" s="1178">
        <v>8</v>
      </c>
    </row>
    <row r="4996" spans="1:16">
      <c r="A4996" s="1178" t="s">
        <v>562</v>
      </c>
      <c r="B4996" s="1371" t="str">
        <f>HYPERLINK(IFERROR("#Main_Tariff!A"&amp;MATCH(Raeburn_Main_Tariff[[#This Row],[Product Code]],Main_Tariff!I:I,0),"#Main_Tariff!A"&amp;MATCH("*"&amp;RIGHT(A4996,8)&amp;"*",Main_Tariff!A:A,0)),Raeburn_Main_Tariff[[#This Row],[PRODUCER]])</f>
        <v>Fritz Haag</v>
      </c>
      <c r="C4996" s="1178" t="s">
        <v>22552</v>
      </c>
      <c r="D4996" s="1178" t="s">
        <v>1129</v>
      </c>
      <c r="E4996" s="1179">
        <v>2020</v>
      </c>
      <c r="F4996" s="1282" t="s">
        <v>20220</v>
      </c>
      <c r="G4996" s="1368">
        <v>16</v>
      </c>
      <c r="H4996" s="1178" t="s">
        <v>20224</v>
      </c>
      <c r="I4996" s="1178" t="s">
        <v>15778</v>
      </c>
      <c r="J4996" s="1178" t="s">
        <v>22514</v>
      </c>
      <c r="K4996" s="1178" t="s">
        <v>559</v>
      </c>
      <c r="L4996" s="1178"/>
      <c r="M4996" s="1369"/>
      <c r="N4996" s="1178"/>
      <c r="O4996" s="1178">
        <v>6</v>
      </c>
      <c r="P4996" s="1178">
        <v>8.5</v>
      </c>
    </row>
    <row r="4997" spans="1:16">
      <c r="A4997" s="1178" t="s">
        <v>562</v>
      </c>
      <c r="B4997" s="1371" t="str">
        <f>HYPERLINK(IFERROR("#Main_Tariff!A"&amp;MATCH(Raeburn_Main_Tariff[[#This Row],[Product Code]],Main_Tariff!I:I,0),"#Main_Tariff!A"&amp;MATCH("*"&amp;RIGHT(A4997,8)&amp;"*",Main_Tariff!A:A,0)),Raeburn_Main_Tariff[[#This Row],[PRODUCER]])</f>
        <v>Fritz Haag</v>
      </c>
      <c r="C4997" s="1178" t="s">
        <v>22553</v>
      </c>
      <c r="D4997" s="1178" t="s">
        <v>1129</v>
      </c>
      <c r="E4997" s="1179">
        <v>2018</v>
      </c>
      <c r="F4997" s="1282" t="s">
        <v>20220</v>
      </c>
      <c r="G4997" s="1368">
        <v>16</v>
      </c>
      <c r="H4997" s="1178" t="s">
        <v>20221</v>
      </c>
      <c r="I4997" s="1178" t="s">
        <v>15780</v>
      </c>
      <c r="J4997" s="1178" t="s">
        <v>22514</v>
      </c>
      <c r="K4997" s="1178" t="s">
        <v>559</v>
      </c>
      <c r="L4997" s="1178"/>
      <c r="M4997" s="1369"/>
      <c r="N4997" s="1178"/>
      <c r="O4997" s="1178">
        <v>6</v>
      </c>
      <c r="P4997" s="1178">
        <v>9</v>
      </c>
    </row>
    <row r="4998" spans="1:16">
      <c r="A4998" s="1178" t="s">
        <v>562</v>
      </c>
      <c r="B4998" s="1371" t="str">
        <f>HYPERLINK(IFERROR("#Main_Tariff!A"&amp;MATCH(Raeburn_Main_Tariff[[#This Row],[Product Code]],Main_Tariff!I:I,0),"#Main_Tariff!A"&amp;MATCH("*"&amp;RIGHT(A4998,8)&amp;"*",Main_Tariff!A:A,0)),Raeburn_Main_Tariff[[#This Row],[PRODUCER]])</f>
        <v>Fritz Haag</v>
      </c>
      <c r="C4998" s="1178" t="s">
        <v>22554</v>
      </c>
      <c r="D4998" s="1178" t="s">
        <v>1129</v>
      </c>
      <c r="E4998" s="1179">
        <v>2004</v>
      </c>
      <c r="F4998" s="1282" t="s">
        <v>20280</v>
      </c>
      <c r="G4998" s="1368">
        <v>15</v>
      </c>
      <c r="H4998" s="1178" t="s">
        <v>20221</v>
      </c>
      <c r="I4998" s="1178" t="s">
        <v>15784</v>
      </c>
      <c r="J4998" s="1178" t="s">
        <v>22514</v>
      </c>
      <c r="K4998" s="1178" t="s">
        <v>559</v>
      </c>
      <c r="L4998" s="1178"/>
      <c r="M4998" s="1369"/>
      <c r="N4998" s="1178"/>
      <c r="O4998" s="1178">
        <v>6</v>
      </c>
      <c r="P4998" s="1178">
        <v>7.5</v>
      </c>
    </row>
    <row r="4999" spans="1:16">
      <c r="A4999" s="1178" t="s">
        <v>562</v>
      </c>
      <c r="B4999" s="1371" t="str">
        <f>HYPERLINK(IFERROR("#Main_Tariff!A"&amp;MATCH(Raeburn_Main_Tariff[[#This Row],[Product Code]],Main_Tariff!I:I,0),"#Main_Tariff!A"&amp;MATCH("*"&amp;RIGHT(A4999,8)&amp;"*",Main_Tariff!A:A,0)),Raeburn_Main_Tariff[[#This Row],[PRODUCER]])</f>
        <v>Fritz Haag</v>
      </c>
      <c r="C4999" s="1178" t="s">
        <v>22555</v>
      </c>
      <c r="D4999" s="1178" t="s">
        <v>1129</v>
      </c>
      <c r="E4999" s="1179">
        <v>2021</v>
      </c>
      <c r="F4999" s="1282" t="s">
        <v>20220</v>
      </c>
      <c r="G4999" s="1368">
        <v>20.25</v>
      </c>
      <c r="H4999" s="1178" t="s">
        <v>20221</v>
      </c>
      <c r="I4999" s="1178" t="s">
        <v>15786</v>
      </c>
      <c r="J4999" s="1178" t="s">
        <v>22514</v>
      </c>
      <c r="K4999" s="1178" t="s">
        <v>559</v>
      </c>
      <c r="L4999" s="1178"/>
      <c r="M4999" s="1369"/>
      <c r="N4999" s="1178"/>
      <c r="O4999" s="1178">
        <v>6</v>
      </c>
      <c r="P4999" s="1178">
        <v>7.5</v>
      </c>
    </row>
    <row r="5000" spans="1:16">
      <c r="A5000" s="1178" t="s">
        <v>562</v>
      </c>
      <c r="B5000" s="1371" t="str">
        <f>HYPERLINK(IFERROR("#Main_Tariff!A"&amp;MATCH(Raeburn_Main_Tariff[[#This Row],[Product Code]],Main_Tariff!I:I,0),"#Main_Tariff!A"&amp;MATCH("*"&amp;RIGHT(A5000,8)&amp;"*",Main_Tariff!A:A,0)),Raeburn_Main_Tariff[[#This Row],[PRODUCER]])</f>
        <v>Fritz Haag</v>
      </c>
      <c r="C5000" s="1178" t="s">
        <v>22555</v>
      </c>
      <c r="D5000" s="1178" t="s">
        <v>1129</v>
      </c>
      <c r="E5000" s="1179">
        <v>2020</v>
      </c>
      <c r="F5000" s="1282" t="s">
        <v>20220</v>
      </c>
      <c r="G5000" s="1368">
        <v>19.25</v>
      </c>
      <c r="H5000" s="1178" t="s">
        <v>20221</v>
      </c>
      <c r="I5000" s="1178" t="s">
        <v>15788</v>
      </c>
      <c r="J5000" s="1178" t="s">
        <v>22514</v>
      </c>
      <c r="K5000" s="1178" t="s">
        <v>559</v>
      </c>
      <c r="L5000" s="1178"/>
      <c r="M5000" s="1369"/>
      <c r="N5000" s="1178"/>
      <c r="O5000" s="1178">
        <v>6</v>
      </c>
      <c r="P5000" s="1178">
        <v>7.5</v>
      </c>
    </row>
    <row r="5001" spans="1:16">
      <c r="A5001" s="1178" t="s">
        <v>562</v>
      </c>
      <c r="B5001" s="1371" t="str">
        <f>HYPERLINK(IFERROR("#Main_Tariff!A"&amp;MATCH(Raeburn_Main_Tariff[[#This Row],[Product Code]],Main_Tariff!I:I,0),"#Main_Tariff!A"&amp;MATCH("*"&amp;RIGHT(A5001,8)&amp;"*",Main_Tariff!A:A,0)),Raeburn_Main_Tariff[[#This Row],[PRODUCER]])</f>
        <v>Fritz Haag</v>
      </c>
      <c r="C5001" s="1178" t="s">
        <v>22555</v>
      </c>
      <c r="D5001" s="1178" t="s">
        <v>1129</v>
      </c>
      <c r="E5001" s="1179">
        <v>2019</v>
      </c>
      <c r="F5001" s="1282" t="s">
        <v>20220</v>
      </c>
      <c r="G5001" s="1368">
        <v>19.5</v>
      </c>
      <c r="H5001" s="1178" t="s">
        <v>20224</v>
      </c>
      <c r="I5001" s="1178" t="s">
        <v>15790</v>
      </c>
      <c r="J5001" s="1178" t="s">
        <v>22514</v>
      </c>
      <c r="K5001" s="1178" t="s">
        <v>559</v>
      </c>
      <c r="L5001" s="1178"/>
      <c r="M5001" s="1369"/>
      <c r="N5001" s="1178"/>
      <c r="O5001" s="1178">
        <v>6</v>
      </c>
      <c r="P5001" s="1178">
        <v>7.5</v>
      </c>
    </row>
    <row r="5002" spans="1:16">
      <c r="A5002" s="1178" t="s">
        <v>562</v>
      </c>
      <c r="B5002" s="1371" t="str">
        <f>HYPERLINK(IFERROR("#Main_Tariff!A"&amp;MATCH(Raeburn_Main_Tariff[[#This Row],[Product Code]],Main_Tariff!I:I,0),"#Main_Tariff!A"&amp;MATCH("*"&amp;RIGHT(A5002,8)&amp;"*",Main_Tariff!A:A,0)),Raeburn_Main_Tariff[[#This Row],[PRODUCER]])</f>
        <v>Fritz Haag</v>
      </c>
      <c r="C5002" s="1178" t="s">
        <v>22556</v>
      </c>
      <c r="D5002" s="1178" t="s">
        <v>1129</v>
      </c>
      <c r="E5002" s="1179">
        <v>2018</v>
      </c>
      <c r="F5002" s="1282" t="s">
        <v>20220</v>
      </c>
      <c r="G5002" s="1368">
        <v>19.25</v>
      </c>
      <c r="H5002" s="1178" t="s">
        <v>20221</v>
      </c>
      <c r="I5002" s="1178" t="s">
        <v>15792</v>
      </c>
      <c r="J5002" s="1178" t="s">
        <v>22514</v>
      </c>
      <c r="K5002" s="1178" t="s">
        <v>559</v>
      </c>
      <c r="L5002" s="1178"/>
      <c r="M5002" s="1369"/>
      <c r="N5002" s="1178"/>
      <c r="O5002" s="1178">
        <v>6</v>
      </c>
      <c r="P5002" s="1178">
        <v>7.5</v>
      </c>
    </row>
    <row r="5003" spans="1:16">
      <c r="A5003" s="1178" t="s">
        <v>562</v>
      </c>
      <c r="B5003" s="1371" t="str">
        <f>HYPERLINK(IFERROR("#Main_Tariff!A"&amp;MATCH(Raeburn_Main_Tariff[[#This Row],[Product Code]],Main_Tariff!I:I,0),"#Main_Tariff!A"&amp;MATCH("*"&amp;RIGHT(A5003,8)&amp;"*",Main_Tariff!A:A,0)),Raeburn_Main_Tariff[[#This Row],[PRODUCER]])</f>
        <v>Fritz Haag</v>
      </c>
      <c r="C5003" s="1178" t="s">
        <v>22555</v>
      </c>
      <c r="D5003" s="1178" t="s">
        <v>1129</v>
      </c>
      <c r="E5003" s="1179">
        <v>2016</v>
      </c>
      <c r="F5003" s="1282" t="s">
        <v>20220</v>
      </c>
      <c r="G5003" s="1368">
        <v>19.25</v>
      </c>
      <c r="H5003" s="1178" t="s">
        <v>20221</v>
      </c>
      <c r="I5003" s="1178" t="s">
        <v>15794</v>
      </c>
      <c r="J5003" s="1178" t="s">
        <v>22514</v>
      </c>
      <c r="K5003" s="1178" t="s">
        <v>559</v>
      </c>
      <c r="L5003" s="1178"/>
      <c r="M5003" s="1369"/>
      <c r="N5003" s="1178"/>
      <c r="O5003" s="1178">
        <v>6</v>
      </c>
      <c r="P5003" s="1178">
        <v>7.5</v>
      </c>
    </row>
    <row r="5004" spans="1:16">
      <c r="A5004" s="1178" t="s">
        <v>562</v>
      </c>
      <c r="B5004" s="1371" t="str">
        <f>HYPERLINK(IFERROR("#Main_Tariff!A"&amp;MATCH(Raeburn_Main_Tariff[[#This Row],[Product Code]],Main_Tariff!I:I,0),"#Main_Tariff!A"&amp;MATCH("*"&amp;RIGHT(A5004,8)&amp;"*",Main_Tariff!A:A,0)),Raeburn_Main_Tariff[[#This Row],[PRODUCER]])</f>
        <v>Fritz Haag</v>
      </c>
      <c r="C5004" s="1178" t="s">
        <v>22557</v>
      </c>
      <c r="D5004" s="1178" t="s">
        <v>1410</v>
      </c>
      <c r="E5004" s="1179">
        <v>2021</v>
      </c>
      <c r="F5004" s="1282" t="s">
        <v>20280</v>
      </c>
      <c r="G5004" s="1368">
        <v>14.5</v>
      </c>
      <c r="H5004" s="1178" t="s">
        <v>20221</v>
      </c>
      <c r="I5004" s="1178" t="s">
        <v>15797</v>
      </c>
      <c r="J5004" s="1178" t="s">
        <v>22514</v>
      </c>
      <c r="K5004" s="1178" t="s">
        <v>559</v>
      </c>
      <c r="L5004" s="1178"/>
      <c r="M5004" s="1369"/>
      <c r="N5004" s="1178"/>
      <c r="O5004" s="1178">
        <v>12</v>
      </c>
      <c r="P5004" s="1178">
        <v>7.5</v>
      </c>
    </row>
    <row r="5005" spans="1:16">
      <c r="A5005" s="1178" t="s">
        <v>562</v>
      </c>
      <c r="B5005" s="1371" t="str">
        <f>HYPERLINK(IFERROR("#Main_Tariff!A"&amp;MATCH(Raeburn_Main_Tariff[[#This Row],[Product Code]],Main_Tariff!I:I,0),"#Main_Tariff!A"&amp;MATCH("*"&amp;RIGHT(A5005,8)&amp;"*",Main_Tariff!A:A,0)),Raeburn_Main_Tariff[[#This Row],[PRODUCER]])</f>
        <v>Fritz Haag</v>
      </c>
      <c r="C5005" s="1178" t="s">
        <v>22557</v>
      </c>
      <c r="D5005" s="1178" t="s">
        <v>1410</v>
      </c>
      <c r="E5005" s="1179">
        <v>2020</v>
      </c>
      <c r="F5005" s="1282" t="s">
        <v>20280</v>
      </c>
      <c r="G5005" s="1368">
        <v>14</v>
      </c>
      <c r="H5005" s="1178" t="s">
        <v>20221</v>
      </c>
      <c r="I5005" s="1178" t="s">
        <v>15799</v>
      </c>
      <c r="J5005" s="1178" t="s">
        <v>22514</v>
      </c>
      <c r="K5005" s="1178" t="s">
        <v>559</v>
      </c>
      <c r="L5005" s="1178"/>
      <c r="M5005" s="1369"/>
      <c r="N5005" s="1178"/>
      <c r="O5005" s="1178">
        <v>12</v>
      </c>
      <c r="P5005" s="1178">
        <v>7.5</v>
      </c>
    </row>
    <row r="5006" spans="1:16">
      <c r="A5006" s="1178" t="s">
        <v>562</v>
      </c>
      <c r="B5006" s="1371" t="str">
        <f>HYPERLINK(IFERROR("#Main_Tariff!A"&amp;MATCH(Raeburn_Main_Tariff[[#This Row],[Product Code]],Main_Tariff!I:I,0),"#Main_Tariff!A"&amp;MATCH("*"&amp;RIGHT(A5006,8)&amp;"*",Main_Tariff!A:A,0)),Raeburn_Main_Tariff[[#This Row],[PRODUCER]])</f>
        <v>Fritz Haag</v>
      </c>
      <c r="C5006" s="1178" t="s">
        <v>22557</v>
      </c>
      <c r="D5006" s="1178" t="s">
        <v>1410</v>
      </c>
      <c r="E5006" s="1179">
        <v>2019</v>
      </c>
      <c r="F5006" s="1282" t="s">
        <v>20280</v>
      </c>
      <c r="G5006" s="1368">
        <v>14</v>
      </c>
      <c r="H5006" s="1178" t="s">
        <v>20221</v>
      </c>
      <c r="I5006" s="1178" t="s">
        <v>15801</v>
      </c>
      <c r="J5006" s="1178" t="s">
        <v>22514</v>
      </c>
      <c r="K5006" s="1178" t="s">
        <v>559</v>
      </c>
      <c r="L5006" s="1178"/>
      <c r="M5006" s="1369"/>
      <c r="N5006" s="1178"/>
      <c r="O5006" s="1178">
        <v>12</v>
      </c>
      <c r="P5006" s="1178">
        <v>7.5</v>
      </c>
    </row>
    <row r="5007" spans="1:16">
      <c r="A5007" s="1178" t="s">
        <v>562</v>
      </c>
      <c r="B5007" s="1371" t="str">
        <f>HYPERLINK(IFERROR("#Main_Tariff!A"&amp;MATCH(Raeburn_Main_Tariff[[#This Row],[Product Code]],Main_Tariff!I:I,0),"#Main_Tariff!A"&amp;MATCH("*"&amp;RIGHT(A5007,8)&amp;"*",Main_Tariff!A:A,0)),Raeburn_Main_Tariff[[#This Row],[PRODUCER]])</f>
        <v>Fritz Haag</v>
      </c>
      <c r="C5007" s="1178" t="s">
        <v>22558</v>
      </c>
      <c r="D5007" s="1178" t="s">
        <v>1410</v>
      </c>
      <c r="E5007" s="1179">
        <v>2018</v>
      </c>
      <c r="F5007" s="1282" t="s">
        <v>20280</v>
      </c>
      <c r="G5007" s="1368">
        <v>14</v>
      </c>
      <c r="H5007" s="1178" t="s">
        <v>20221</v>
      </c>
      <c r="I5007" s="1178" t="s">
        <v>15803</v>
      </c>
      <c r="J5007" s="1178" t="s">
        <v>22514</v>
      </c>
      <c r="K5007" s="1178" t="s">
        <v>559</v>
      </c>
      <c r="L5007" s="1178"/>
      <c r="M5007" s="1369"/>
      <c r="N5007" s="1178"/>
      <c r="O5007" s="1178">
        <v>12</v>
      </c>
      <c r="P5007" s="1178">
        <v>7.5</v>
      </c>
    </row>
    <row r="5008" spans="1:16">
      <c r="A5008" s="1178" t="s">
        <v>562</v>
      </c>
      <c r="B5008" s="1371" t="str">
        <f>HYPERLINK(IFERROR("#Main_Tariff!A"&amp;MATCH(Raeburn_Main_Tariff[[#This Row],[Product Code]],Main_Tariff!I:I,0),"#Main_Tariff!A"&amp;MATCH("*"&amp;RIGHT(A5008,8)&amp;"*",Main_Tariff!A:A,0)),Raeburn_Main_Tariff[[#This Row],[PRODUCER]])</f>
        <v>Fritz Haag</v>
      </c>
      <c r="C5008" s="1178" t="s">
        <v>22559</v>
      </c>
      <c r="D5008" s="1178" t="s">
        <v>1410</v>
      </c>
      <c r="E5008" s="1179">
        <v>2021</v>
      </c>
      <c r="F5008" s="1282" t="s">
        <v>20220</v>
      </c>
      <c r="G5008" s="1368">
        <v>25.5</v>
      </c>
      <c r="H5008" s="1178" t="s">
        <v>20221</v>
      </c>
      <c r="I5008" s="1178" t="s">
        <v>15806</v>
      </c>
      <c r="J5008" s="1178" t="s">
        <v>22514</v>
      </c>
      <c r="K5008" s="1178" t="s">
        <v>559</v>
      </c>
      <c r="L5008" s="1178"/>
      <c r="M5008" s="1369"/>
      <c r="N5008" s="1178"/>
      <c r="O5008" s="1178">
        <v>6</v>
      </c>
      <c r="P5008" s="1178">
        <v>7.5</v>
      </c>
    </row>
    <row r="5009" spans="1:16">
      <c r="A5009" s="1178" t="s">
        <v>562</v>
      </c>
      <c r="B5009" s="1371" t="str">
        <f>HYPERLINK(IFERROR("#Main_Tariff!A"&amp;MATCH(Raeburn_Main_Tariff[[#This Row],[Product Code]],Main_Tariff!I:I,0),"#Main_Tariff!A"&amp;MATCH("*"&amp;RIGHT(A5009,8)&amp;"*",Main_Tariff!A:A,0)),Raeburn_Main_Tariff[[#This Row],[PRODUCER]])</f>
        <v>Fritz Haag</v>
      </c>
      <c r="C5009" s="1178" t="s">
        <v>22559</v>
      </c>
      <c r="D5009" s="1178" t="s">
        <v>1410</v>
      </c>
      <c r="E5009" s="1179">
        <v>2020</v>
      </c>
      <c r="F5009" s="1282" t="s">
        <v>20220</v>
      </c>
      <c r="G5009" s="1368">
        <v>25.5</v>
      </c>
      <c r="H5009" s="1178" t="s">
        <v>20221</v>
      </c>
      <c r="I5009" s="1178" t="s">
        <v>15807</v>
      </c>
      <c r="J5009" s="1178" t="s">
        <v>22514</v>
      </c>
      <c r="K5009" s="1178" t="s">
        <v>559</v>
      </c>
      <c r="L5009" s="1178"/>
      <c r="M5009" s="1369"/>
      <c r="N5009" s="1178"/>
      <c r="O5009" s="1178">
        <v>6</v>
      </c>
      <c r="P5009" s="1178">
        <v>7.5</v>
      </c>
    </row>
    <row r="5010" spans="1:16">
      <c r="A5010" s="1178" t="s">
        <v>562</v>
      </c>
      <c r="B5010" s="1371" t="str">
        <f>HYPERLINK(IFERROR("#Main_Tariff!A"&amp;MATCH(Raeburn_Main_Tariff[[#This Row],[Product Code]],Main_Tariff!I:I,0),"#Main_Tariff!A"&amp;MATCH("*"&amp;RIGHT(A5010,8)&amp;"*",Main_Tariff!A:A,0)),Raeburn_Main_Tariff[[#This Row],[PRODUCER]])</f>
        <v>Fritz Haag</v>
      </c>
      <c r="C5010" s="1178" t="s">
        <v>22560</v>
      </c>
      <c r="D5010" s="1178" t="s">
        <v>1410</v>
      </c>
      <c r="E5010" s="1179">
        <v>2021</v>
      </c>
      <c r="F5010" s="1282" t="s">
        <v>20220</v>
      </c>
      <c r="G5010" s="1368">
        <v>27</v>
      </c>
      <c r="H5010" s="1178" t="s">
        <v>20221</v>
      </c>
      <c r="I5010" s="1178" t="s">
        <v>15809</v>
      </c>
      <c r="J5010" s="1178" t="s">
        <v>22514</v>
      </c>
      <c r="K5010" s="1178" t="s">
        <v>559</v>
      </c>
      <c r="L5010" s="1178"/>
      <c r="M5010" s="1369"/>
      <c r="N5010" s="1178"/>
      <c r="O5010" s="1178">
        <v>6</v>
      </c>
      <c r="P5010" s="1178">
        <v>7</v>
      </c>
    </row>
    <row r="5011" spans="1:16">
      <c r="A5011" s="1178" t="s">
        <v>562</v>
      </c>
      <c r="B5011" s="1371" t="str">
        <f>HYPERLINK(IFERROR("#Main_Tariff!A"&amp;MATCH(Raeburn_Main_Tariff[[#This Row],[Product Code]],Main_Tariff!I:I,0),"#Main_Tariff!A"&amp;MATCH("*"&amp;RIGHT(A5011,8)&amp;"*",Main_Tariff!A:A,0)),Raeburn_Main_Tariff[[#This Row],[PRODUCER]])</f>
        <v>Fritz Haag</v>
      </c>
      <c r="C5011" s="1178" t="s">
        <v>22560</v>
      </c>
      <c r="D5011" s="1178" t="s">
        <v>1410</v>
      </c>
      <c r="E5011" s="1179">
        <v>2020</v>
      </c>
      <c r="F5011" s="1282" t="s">
        <v>20220</v>
      </c>
      <c r="G5011" s="1368">
        <v>27</v>
      </c>
      <c r="H5011" s="1178" t="s">
        <v>20221</v>
      </c>
      <c r="I5011" s="1178" t="s">
        <v>15811</v>
      </c>
      <c r="J5011" s="1178" t="s">
        <v>22514</v>
      </c>
      <c r="K5011" s="1178" t="s">
        <v>559</v>
      </c>
      <c r="L5011" s="1178"/>
      <c r="M5011" s="1369"/>
      <c r="N5011" s="1178"/>
      <c r="O5011" s="1178">
        <v>6</v>
      </c>
      <c r="P5011" s="1178">
        <v>7.5</v>
      </c>
    </row>
    <row r="5012" spans="1:16">
      <c r="A5012" s="1178" t="s">
        <v>562</v>
      </c>
      <c r="B5012" s="1371" t="str">
        <f>HYPERLINK(IFERROR("#Main_Tariff!A"&amp;MATCH(Raeburn_Main_Tariff[[#This Row],[Product Code]],Main_Tariff!I:I,0),"#Main_Tariff!A"&amp;MATCH("*"&amp;RIGHT(A5012,8)&amp;"*",Main_Tariff!A:A,0)),Raeburn_Main_Tariff[[#This Row],[PRODUCER]])</f>
        <v>Fritz Haag</v>
      </c>
      <c r="C5012" s="1178" t="s">
        <v>22561</v>
      </c>
      <c r="D5012" s="1178" t="s">
        <v>1410</v>
      </c>
      <c r="E5012" s="1179">
        <v>2019</v>
      </c>
      <c r="F5012" s="1282" t="s">
        <v>20280</v>
      </c>
      <c r="G5012" s="1368">
        <v>22.75</v>
      </c>
      <c r="H5012" s="1178" t="s">
        <v>20221</v>
      </c>
      <c r="I5012" s="1178" t="s">
        <v>15815</v>
      </c>
      <c r="J5012" s="1178" t="s">
        <v>22514</v>
      </c>
      <c r="K5012" s="1178" t="s">
        <v>559</v>
      </c>
      <c r="L5012" s="1178"/>
      <c r="M5012" s="1369"/>
      <c r="N5012" s="1178"/>
      <c r="O5012" s="1178">
        <v>12</v>
      </c>
      <c r="P5012" s="1178">
        <v>7.5</v>
      </c>
    </row>
    <row r="5013" spans="1:16">
      <c r="A5013" s="1178" t="s">
        <v>562</v>
      </c>
      <c r="B5013" s="1371" t="str">
        <f>HYPERLINK(IFERROR("#Main_Tariff!A"&amp;MATCH(Raeburn_Main_Tariff[[#This Row],[Product Code]],Main_Tariff!I:I,0),"#Main_Tariff!A"&amp;MATCH("*"&amp;RIGHT(A5013,8)&amp;"*",Main_Tariff!A:A,0)),Raeburn_Main_Tariff[[#This Row],[PRODUCER]])</f>
        <v>Fritz Haag</v>
      </c>
      <c r="C5013" s="1178" t="s">
        <v>22562</v>
      </c>
      <c r="D5013" s="1178" t="s">
        <v>1410</v>
      </c>
      <c r="E5013" s="1179">
        <v>2018</v>
      </c>
      <c r="F5013" s="1282" t="s">
        <v>20280</v>
      </c>
      <c r="G5013" s="1368">
        <v>22.5</v>
      </c>
      <c r="H5013" s="1178" t="s">
        <v>20221</v>
      </c>
      <c r="I5013" s="1178" t="s">
        <v>15817</v>
      </c>
      <c r="J5013" s="1178" t="s">
        <v>22514</v>
      </c>
      <c r="K5013" s="1178" t="s">
        <v>559</v>
      </c>
      <c r="L5013" s="1178"/>
      <c r="M5013" s="1369"/>
      <c r="N5013" s="1178"/>
      <c r="O5013" s="1178">
        <v>12</v>
      </c>
      <c r="P5013" s="1178">
        <v>7.5</v>
      </c>
    </row>
    <row r="5014" spans="1:16">
      <c r="A5014" s="1178" t="s">
        <v>562</v>
      </c>
      <c r="B5014" s="1371" t="str">
        <f>HYPERLINK(IFERROR("#Main_Tariff!A"&amp;MATCH(Raeburn_Main_Tariff[[#This Row],[Product Code]],Main_Tariff!I:I,0),"#Main_Tariff!A"&amp;MATCH("*"&amp;RIGHT(A5014,8)&amp;"*",Main_Tariff!A:A,0)),Raeburn_Main_Tariff[[#This Row],[PRODUCER]])</f>
        <v>Fritz Haag</v>
      </c>
      <c r="C5014" s="1178" t="s">
        <v>22563</v>
      </c>
      <c r="D5014" s="1178" t="s">
        <v>1410</v>
      </c>
      <c r="E5014" s="1179">
        <v>2006</v>
      </c>
      <c r="F5014" s="1282" t="s">
        <v>20280</v>
      </c>
      <c r="G5014" s="1368">
        <v>25.25</v>
      </c>
      <c r="H5014" s="1178" t="s">
        <v>20221</v>
      </c>
      <c r="I5014" s="1178" t="s">
        <v>15818</v>
      </c>
      <c r="J5014" s="1178" t="s">
        <v>22514</v>
      </c>
      <c r="K5014" s="1178" t="s">
        <v>559</v>
      </c>
      <c r="L5014" s="1178"/>
      <c r="M5014" s="1369"/>
      <c r="N5014" s="1178"/>
      <c r="O5014" s="1178">
        <v>12</v>
      </c>
      <c r="P5014" s="1178">
        <v>12.5</v>
      </c>
    </row>
    <row r="5015" spans="1:16">
      <c r="A5015" s="1178" t="s">
        <v>562</v>
      </c>
      <c r="B5015" s="1371" t="str">
        <f>HYPERLINK(IFERROR("#Main_Tariff!A"&amp;MATCH(Raeburn_Main_Tariff[[#This Row],[Product Code]],Main_Tariff!I:I,0),"#Main_Tariff!A"&amp;MATCH("*"&amp;RIGHT(A5015,8)&amp;"*",Main_Tariff!A:A,0)),Raeburn_Main_Tariff[[#This Row],[PRODUCER]])</f>
        <v>Fritz Haag</v>
      </c>
      <c r="C5015" s="1178" t="s">
        <v>22564</v>
      </c>
      <c r="D5015" s="1178" t="s">
        <v>1410</v>
      </c>
      <c r="E5015" s="1179">
        <v>2002</v>
      </c>
      <c r="F5015" s="1282" t="s">
        <v>20280</v>
      </c>
      <c r="G5015" s="1368">
        <v>22.75</v>
      </c>
      <c r="H5015" s="1178" t="s">
        <v>20221</v>
      </c>
      <c r="I5015" s="1178" t="s">
        <v>15819</v>
      </c>
      <c r="J5015" s="1178" t="s">
        <v>22514</v>
      </c>
      <c r="K5015" s="1178" t="s">
        <v>559</v>
      </c>
      <c r="L5015" s="1178"/>
      <c r="M5015" s="1369"/>
      <c r="N5015" s="1178"/>
      <c r="O5015" s="1178">
        <v>12</v>
      </c>
      <c r="P5015" s="1178">
        <v>12.5</v>
      </c>
    </row>
    <row r="5016" spans="1:16">
      <c r="A5016" s="1178" t="s">
        <v>562</v>
      </c>
      <c r="B5016" s="1371" t="str">
        <f>HYPERLINK(IFERROR("#Main_Tariff!A"&amp;MATCH(Raeburn_Main_Tariff[[#This Row],[Product Code]],Main_Tariff!I:I,0),"#Main_Tariff!A"&amp;MATCH("*"&amp;RIGHT(A5016,8)&amp;"*",Main_Tariff!A:A,0)),Raeburn_Main_Tariff[[#This Row],[PRODUCER]])</f>
        <v>Fritz Haag</v>
      </c>
      <c r="C5016" s="1178" t="s">
        <v>22565</v>
      </c>
      <c r="D5016" s="1178" t="s">
        <v>1410</v>
      </c>
      <c r="E5016" s="1179">
        <v>2019</v>
      </c>
      <c r="F5016" s="1282" t="s">
        <v>20220</v>
      </c>
      <c r="G5016" s="1368">
        <v>39</v>
      </c>
      <c r="H5016" s="1178" t="s">
        <v>20224</v>
      </c>
      <c r="I5016" s="1178" t="s">
        <v>15823</v>
      </c>
      <c r="J5016" s="1178" t="s">
        <v>22514</v>
      </c>
      <c r="K5016" s="1178" t="s">
        <v>559</v>
      </c>
      <c r="L5016" s="1178"/>
      <c r="M5016" s="1369"/>
      <c r="N5016" s="1178"/>
      <c r="O5016" s="1178">
        <v>6</v>
      </c>
      <c r="P5016" s="1178">
        <v>7.5</v>
      </c>
    </row>
    <row r="5017" spans="1:16">
      <c r="A5017" s="1178" t="s">
        <v>562</v>
      </c>
      <c r="B5017" s="1371" t="str">
        <f>HYPERLINK(IFERROR("#Main_Tariff!A"&amp;MATCH(Raeburn_Main_Tariff[[#This Row],[Product Code]],Main_Tariff!I:I,0),"#Main_Tariff!A"&amp;MATCH("*"&amp;RIGHT(A5017,8)&amp;"*",Main_Tariff!A:A,0)),Raeburn_Main_Tariff[[#This Row],[PRODUCER]])</f>
        <v>Fritz Haag</v>
      </c>
      <c r="C5017" s="1178" t="s">
        <v>22566</v>
      </c>
      <c r="D5017" s="1178" t="s">
        <v>1410</v>
      </c>
      <c r="E5017" s="1179">
        <v>2018</v>
      </c>
      <c r="F5017" s="1282" t="s">
        <v>20220</v>
      </c>
      <c r="G5017" s="1368">
        <v>39</v>
      </c>
      <c r="H5017" s="1178" t="s">
        <v>20221</v>
      </c>
      <c r="I5017" s="1178" t="s">
        <v>15825</v>
      </c>
      <c r="J5017" s="1178" t="s">
        <v>22514</v>
      </c>
      <c r="K5017" s="1178" t="s">
        <v>559</v>
      </c>
      <c r="L5017" s="1178"/>
      <c r="M5017" s="1369"/>
      <c r="N5017" s="1178"/>
      <c r="O5017" s="1178">
        <v>6</v>
      </c>
      <c r="P5017" s="1178">
        <v>7.5</v>
      </c>
    </row>
    <row r="5018" spans="1:16">
      <c r="A5018" s="1178" t="s">
        <v>562</v>
      </c>
      <c r="B5018" s="1371" t="str">
        <f>HYPERLINK(IFERROR("#Main_Tariff!A"&amp;MATCH(Raeburn_Main_Tariff[[#This Row],[Product Code]],Main_Tariff!I:I,0),"#Main_Tariff!A"&amp;MATCH("*"&amp;RIGHT(A5018,8)&amp;"*",Main_Tariff!A:A,0)),Raeburn_Main_Tariff[[#This Row],[PRODUCER]])</f>
        <v>Fritz Haag</v>
      </c>
      <c r="C5018" s="1178" t="s">
        <v>22567</v>
      </c>
      <c r="D5018" s="1178" t="s">
        <v>1410</v>
      </c>
      <c r="E5018" s="1179">
        <v>2016</v>
      </c>
      <c r="F5018" s="1282" t="s">
        <v>20220</v>
      </c>
      <c r="G5018" s="1368">
        <v>39</v>
      </c>
      <c r="H5018" s="1178" t="s">
        <v>20221</v>
      </c>
      <c r="I5018" s="1178" t="s">
        <v>15827</v>
      </c>
      <c r="J5018" s="1178" t="s">
        <v>22514</v>
      </c>
      <c r="K5018" s="1178" t="s">
        <v>559</v>
      </c>
      <c r="L5018" s="1178"/>
      <c r="M5018" s="1369"/>
      <c r="N5018" s="1178"/>
      <c r="O5018" s="1178">
        <v>6</v>
      </c>
      <c r="P5018" s="1178">
        <v>7.5</v>
      </c>
    </row>
    <row r="5019" spans="1:16">
      <c r="A5019" s="1178" t="s">
        <v>562</v>
      </c>
      <c r="B5019" s="1371" t="str">
        <f>HYPERLINK(IFERROR("#Main_Tariff!A"&amp;MATCH(Raeburn_Main_Tariff[[#This Row],[Product Code]],Main_Tariff!I:I,0),"#Main_Tariff!A"&amp;MATCH("*"&amp;RIGHT(A5019,8)&amp;"*",Main_Tariff!A:A,0)),Raeburn_Main_Tariff[[#This Row],[PRODUCER]])</f>
        <v>Fritz Haag</v>
      </c>
      <c r="C5019" s="1178" t="s">
        <v>22568</v>
      </c>
      <c r="D5019" s="1178" t="s">
        <v>1410</v>
      </c>
      <c r="E5019" s="1179">
        <v>2010</v>
      </c>
      <c r="F5019" s="1282" t="s">
        <v>20220</v>
      </c>
      <c r="G5019" s="1368">
        <v>39.5</v>
      </c>
      <c r="H5019" s="1178" t="s">
        <v>20221</v>
      </c>
      <c r="I5019" s="1178" t="s">
        <v>15829</v>
      </c>
      <c r="J5019" s="1178" t="s">
        <v>22514</v>
      </c>
      <c r="K5019" s="1178" t="s">
        <v>559</v>
      </c>
      <c r="L5019" s="1178"/>
      <c r="M5019" s="1369"/>
      <c r="N5019" s="1178"/>
      <c r="O5019" s="1178">
        <v>6</v>
      </c>
      <c r="P5019" s="1178">
        <v>12.5</v>
      </c>
    </row>
    <row r="5020" spans="1:16">
      <c r="A5020" s="1178" t="s">
        <v>562</v>
      </c>
      <c r="B5020" s="1371" t="str">
        <f>HYPERLINK(IFERROR("#Main_Tariff!A"&amp;MATCH(Raeburn_Main_Tariff[[#This Row],[Product Code]],Main_Tariff!I:I,0),"#Main_Tariff!A"&amp;MATCH("*"&amp;RIGHT(A5020,8)&amp;"*",Main_Tariff!A:A,0)),Raeburn_Main_Tariff[[#This Row],[PRODUCER]])</f>
        <v>Fritz Haag</v>
      </c>
      <c r="C5020" s="1178" t="s">
        <v>22569</v>
      </c>
      <c r="D5020" s="1178" t="s">
        <v>1410</v>
      </c>
      <c r="E5020" s="1179">
        <v>2009</v>
      </c>
      <c r="F5020" s="1282" t="s">
        <v>20220</v>
      </c>
      <c r="G5020" s="1368">
        <v>39.5</v>
      </c>
      <c r="H5020" s="1178" t="s">
        <v>20224</v>
      </c>
      <c r="I5020" s="1178" t="s">
        <v>15831</v>
      </c>
      <c r="J5020" s="1178" t="s">
        <v>22514</v>
      </c>
      <c r="K5020" s="1178" t="s">
        <v>559</v>
      </c>
      <c r="L5020" s="1178"/>
      <c r="M5020" s="1369"/>
      <c r="N5020" s="1178"/>
      <c r="O5020" s="1178">
        <v>6</v>
      </c>
      <c r="P5020" s="1178">
        <v>12.5</v>
      </c>
    </row>
    <row r="5021" spans="1:16">
      <c r="A5021" s="1178" t="s">
        <v>562</v>
      </c>
      <c r="B5021" s="1371" t="str">
        <f>HYPERLINK(IFERROR("#Main_Tariff!A"&amp;MATCH(Raeburn_Main_Tariff[[#This Row],[Product Code]],Main_Tariff!I:I,0),"#Main_Tariff!A"&amp;MATCH("*"&amp;RIGHT(A5021,8)&amp;"*",Main_Tariff!A:A,0)),Raeburn_Main_Tariff[[#This Row],[PRODUCER]])</f>
        <v>Fritz Haag</v>
      </c>
      <c r="C5021" s="1178" t="s">
        <v>22570</v>
      </c>
      <c r="D5021" s="1178" t="s">
        <v>1410</v>
      </c>
      <c r="E5021" s="1179">
        <v>2003</v>
      </c>
      <c r="F5021" s="1282" t="s">
        <v>20220</v>
      </c>
      <c r="G5021" s="1368">
        <v>55</v>
      </c>
      <c r="H5021" s="1178" t="s">
        <v>20465</v>
      </c>
      <c r="I5021" s="1178" t="s">
        <v>15833</v>
      </c>
      <c r="J5021" s="1178" t="s">
        <v>22514</v>
      </c>
      <c r="K5021" s="1178" t="s">
        <v>559</v>
      </c>
      <c r="L5021" s="1178"/>
      <c r="M5021" s="1369"/>
      <c r="N5021" s="1178"/>
      <c r="O5021" s="1178">
        <v>12</v>
      </c>
      <c r="P5021" s="1178">
        <v>7</v>
      </c>
    </row>
    <row r="5022" spans="1:16">
      <c r="A5022" s="1178" t="s">
        <v>562</v>
      </c>
      <c r="B5022" s="1371" t="str">
        <f>HYPERLINK(IFERROR("#Main_Tariff!A"&amp;MATCH(Raeburn_Main_Tariff[[#This Row],[Product Code]],Main_Tariff!I:I,0),"#Main_Tariff!A"&amp;MATCH("*"&amp;RIGHT(A5022,8)&amp;"*",Main_Tariff!A:A,0)),Raeburn_Main_Tariff[[#This Row],[PRODUCER]])</f>
        <v>Fritz Haag</v>
      </c>
      <c r="C5022" s="1178" t="s">
        <v>22571</v>
      </c>
      <c r="D5022" s="1178" t="s">
        <v>1410</v>
      </c>
      <c r="E5022" s="1179"/>
      <c r="F5022" s="1282" t="s">
        <v>20280</v>
      </c>
      <c r="G5022" s="1368"/>
      <c r="H5022" s="1178" t="s">
        <v>3907</v>
      </c>
      <c r="I5022" s="1178" t="s">
        <v>15836</v>
      </c>
      <c r="J5022" s="1178" t="s">
        <v>22514</v>
      </c>
      <c r="K5022" s="1178" t="s">
        <v>559</v>
      </c>
      <c r="L5022" s="1178"/>
      <c r="M5022" s="1369"/>
      <c r="N5022" s="1178"/>
      <c r="O5022" s="1178">
        <v>3</v>
      </c>
      <c r="P5022" s="1178">
        <v>6.5</v>
      </c>
    </row>
    <row r="5023" spans="1:16">
      <c r="A5023" s="1178" t="s">
        <v>562</v>
      </c>
      <c r="B5023" s="1371" t="str">
        <f>HYPERLINK(IFERROR("#Main_Tariff!A"&amp;MATCH(Raeburn_Main_Tariff[[#This Row],[Product Code]],Main_Tariff!I:I,0),"#Main_Tariff!A"&amp;MATCH("*"&amp;RIGHT(A5023,8)&amp;"*",Main_Tariff!A:A,0)),Raeburn_Main_Tariff[[#This Row],[PRODUCER]])</f>
        <v>Fritz Haag</v>
      </c>
      <c r="C5023" s="1178" t="s">
        <v>22572</v>
      </c>
      <c r="D5023" s="1178" t="s">
        <v>1410</v>
      </c>
      <c r="E5023" s="1179">
        <v>2018</v>
      </c>
      <c r="F5023" s="1282" t="s">
        <v>20280</v>
      </c>
      <c r="G5023" s="1368">
        <v>98</v>
      </c>
      <c r="H5023" s="1178" t="s">
        <v>20221</v>
      </c>
      <c r="I5023" s="1178" t="s">
        <v>15838</v>
      </c>
      <c r="J5023" s="1178" t="s">
        <v>22514</v>
      </c>
      <c r="K5023" s="1178" t="s">
        <v>559</v>
      </c>
      <c r="L5023" s="1178"/>
      <c r="M5023" s="1369"/>
      <c r="N5023" s="1178"/>
      <c r="O5023" s="1178">
        <v>6</v>
      </c>
      <c r="P5023" s="1178">
        <v>6.5</v>
      </c>
    </row>
    <row r="5024" spans="1:16">
      <c r="A5024" s="1178" t="s">
        <v>562</v>
      </c>
      <c r="B5024" s="1371" t="str">
        <f>HYPERLINK(IFERROR("#Main_Tariff!A"&amp;MATCH(Raeburn_Main_Tariff[[#This Row],[Product Code]],Main_Tariff!I:I,0),"#Main_Tariff!A"&amp;MATCH("*"&amp;RIGHT(A5024,8)&amp;"*",Main_Tariff!A:A,0)),Raeburn_Main_Tariff[[#This Row],[PRODUCER]])</f>
        <v>Fritz Haag</v>
      </c>
      <c r="C5024" s="1178" t="s">
        <v>22573</v>
      </c>
      <c r="D5024" s="1178" t="s">
        <v>1410</v>
      </c>
      <c r="E5024" s="1179">
        <v>2015</v>
      </c>
      <c r="F5024" s="1282" t="s">
        <v>20280</v>
      </c>
      <c r="G5024" s="1368">
        <v>98</v>
      </c>
      <c r="H5024" s="1178" t="s">
        <v>20224</v>
      </c>
      <c r="I5024" s="1178" t="s">
        <v>15840</v>
      </c>
      <c r="J5024" s="1178" t="s">
        <v>22514</v>
      </c>
      <c r="K5024" s="1178" t="s">
        <v>559</v>
      </c>
      <c r="L5024" s="1178"/>
      <c r="M5024" s="1369"/>
      <c r="N5024" s="1178"/>
      <c r="O5024" s="1178">
        <v>3</v>
      </c>
      <c r="P5024" s="1178">
        <v>6.5</v>
      </c>
    </row>
    <row r="5025" spans="1:16">
      <c r="A5025" s="1178" t="s">
        <v>562</v>
      </c>
      <c r="B5025" s="1371" t="str">
        <f>HYPERLINK(IFERROR("#Main_Tariff!A"&amp;MATCH(Raeburn_Main_Tariff[[#This Row],[Product Code]],Main_Tariff!I:I,0),"#Main_Tariff!A"&amp;MATCH("*"&amp;RIGHT(A5025,8)&amp;"*",Main_Tariff!A:A,0)),Raeburn_Main_Tariff[[#This Row],[PRODUCER]])</f>
        <v>Fritz Haag</v>
      </c>
      <c r="C5025" s="1178" t="s">
        <v>22574</v>
      </c>
      <c r="D5025" s="1178" t="s">
        <v>1410</v>
      </c>
      <c r="E5025" s="1179">
        <v>2010</v>
      </c>
      <c r="F5025" s="1282" t="s">
        <v>20280</v>
      </c>
      <c r="G5025" s="1368">
        <v>123.25</v>
      </c>
      <c r="H5025" s="1178" t="s">
        <v>20224</v>
      </c>
      <c r="I5025" s="1178" t="s">
        <v>15842</v>
      </c>
      <c r="J5025" s="1178" t="s">
        <v>22514</v>
      </c>
      <c r="K5025" s="1178" t="s">
        <v>559</v>
      </c>
      <c r="L5025" s="1178"/>
      <c r="M5025" s="1369"/>
      <c r="N5025" s="1178"/>
      <c r="O5025" s="1178">
        <v>6</v>
      </c>
      <c r="P5025" s="1178">
        <v>12.5</v>
      </c>
    </row>
    <row r="5026" spans="1:16">
      <c r="A5026" s="1178" t="s">
        <v>562</v>
      </c>
      <c r="B5026" s="1371" t="str">
        <f>HYPERLINK(IFERROR("#Main_Tariff!A"&amp;MATCH(Raeburn_Main_Tariff[[#This Row],[Product Code]],Main_Tariff!I:I,0),"#Main_Tariff!A"&amp;MATCH("*"&amp;RIGHT(A5026,8)&amp;"*",Main_Tariff!A:A,0)),Raeburn_Main_Tariff[[#This Row],[PRODUCER]])</f>
        <v>Fritz Haag</v>
      </c>
      <c r="C5026" s="1178" t="s">
        <v>22575</v>
      </c>
      <c r="D5026" s="1178" t="s">
        <v>1410</v>
      </c>
      <c r="E5026" s="1179">
        <v>2009</v>
      </c>
      <c r="F5026" s="1282" t="s">
        <v>20280</v>
      </c>
      <c r="G5026" s="1368">
        <v>123.25</v>
      </c>
      <c r="H5026" s="1178" t="s">
        <v>20224</v>
      </c>
      <c r="I5026" s="1178" t="s">
        <v>15844</v>
      </c>
      <c r="J5026" s="1178" t="s">
        <v>22514</v>
      </c>
      <c r="K5026" s="1178" t="s">
        <v>559</v>
      </c>
      <c r="L5026" s="1178"/>
      <c r="M5026" s="1369"/>
      <c r="N5026" s="1178"/>
      <c r="O5026" s="1178">
        <v>6</v>
      </c>
      <c r="P5026" s="1178">
        <v>12.5</v>
      </c>
    </row>
    <row r="5027" spans="1:16">
      <c r="A5027" s="1178" t="s">
        <v>562</v>
      </c>
      <c r="B5027" s="1371" t="str">
        <f>HYPERLINK(IFERROR("#Main_Tariff!A"&amp;MATCH(Raeburn_Main_Tariff[[#This Row],[Product Code]],Main_Tariff!I:I,0),"#Main_Tariff!A"&amp;MATCH("*"&amp;RIGHT(A5027,8)&amp;"*",Main_Tariff!A:A,0)),Raeburn_Main_Tariff[[#This Row],[PRODUCER]])</f>
        <v>Fritz Haag</v>
      </c>
      <c r="C5027" s="1178" t="s">
        <v>22576</v>
      </c>
      <c r="D5027" s="1178" t="s">
        <v>1410</v>
      </c>
      <c r="E5027" s="1179">
        <v>2006</v>
      </c>
      <c r="F5027" s="1282" t="s">
        <v>20280</v>
      </c>
      <c r="G5027" s="1368">
        <v>115.25</v>
      </c>
      <c r="H5027" s="1178" t="s">
        <v>20224</v>
      </c>
      <c r="I5027" s="1178" t="s">
        <v>15845</v>
      </c>
      <c r="J5027" s="1178" t="s">
        <v>22514</v>
      </c>
      <c r="K5027" s="1178" t="s">
        <v>559</v>
      </c>
      <c r="L5027" s="1178"/>
      <c r="M5027" s="1369"/>
      <c r="N5027" s="1178"/>
      <c r="O5027" s="1178">
        <v>12</v>
      </c>
      <c r="P5027" s="1178">
        <v>12.5</v>
      </c>
    </row>
    <row r="5028" spans="1:16">
      <c r="A5028" s="1178" t="s">
        <v>562</v>
      </c>
      <c r="B5028" s="1371" t="str">
        <f>HYPERLINK(IFERROR("#Main_Tariff!A"&amp;MATCH(Raeburn_Main_Tariff[[#This Row],[Product Code]],Main_Tariff!I:I,0),"#Main_Tariff!A"&amp;MATCH("*"&amp;RIGHT(A5028,8)&amp;"*",Main_Tariff!A:A,0)),Raeburn_Main_Tariff[[#This Row],[PRODUCER]])</f>
        <v>Fritz Haag</v>
      </c>
      <c r="C5028" s="1178" t="s">
        <v>22577</v>
      </c>
      <c r="D5028" s="1178" t="s">
        <v>1410</v>
      </c>
      <c r="E5028" s="1179">
        <v>2018</v>
      </c>
      <c r="F5028" s="1282" t="s">
        <v>20280</v>
      </c>
      <c r="G5028" s="1368">
        <v>181</v>
      </c>
      <c r="H5028" s="1178" t="s">
        <v>20221</v>
      </c>
      <c r="I5028" s="1178" t="s">
        <v>15849</v>
      </c>
      <c r="J5028" s="1178" t="s">
        <v>22514</v>
      </c>
      <c r="K5028" s="1178" t="s">
        <v>559</v>
      </c>
      <c r="L5028" s="1178"/>
      <c r="M5028" s="1369"/>
      <c r="N5028" s="1178"/>
      <c r="O5028" s="1178">
        <v>6</v>
      </c>
      <c r="P5028" s="1178">
        <v>6</v>
      </c>
    </row>
    <row r="5029" spans="1:16">
      <c r="A5029" s="1178" t="s">
        <v>562</v>
      </c>
      <c r="B5029" s="1371" t="str">
        <f>HYPERLINK(IFERROR("#Main_Tariff!A"&amp;MATCH(Raeburn_Main_Tariff[[#This Row],[Product Code]],Main_Tariff!I:I,0),"#Main_Tariff!A"&amp;MATCH("*"&amp;RIGHT(A5029,8)&amp;"*",Main_Tariff!A:A,0)),Raeburn_Main_Tariff[[#This Row],[PRODUCER]])</f>
        <v>Fritz Haag</v>
      </c>
      <c r="C5029" s="1178" t="s">
        <v>22578</v>
      </c>
      <c r="D5029" s="1178" t="s">
        <v>1410</v>
      </c>
      <c r="E5029" s="1179">
        <v>2009</v>
      </c>
      <c r="F5029" s="1282" t="s">
        <v>20280</v>
      </c>
      <c r="G5029" s="1368">
        <v>222.25</v>
      </c>
      <c r="H5029" s="1178" t="s">
        <v>20224</v>
      </c>
      <c r="I5029" s="1178" t="s">
        <v>15852</v>
      </c>
      <c r="J5029" s="1178" t="s">
        <v>22514</v>
      </c>
      <c r="K5029" s="1178" t="s">
        <v>559</v>
      </c>
      <c r="L5029" s="1178"/>
      <c r="M5029" s="1369"/>
      <c r="N5029" s="1178"/>
      <c r="O5029" s="1178">
        <v>3</v>
      </c>
      <c r="P5029" s="1178">
        <v>12.5</v>
      </c>
    </row>
    <row r="5030" spans="1:16">
      <c r="A5030" s="1178" t="s">
        <v>563</v>
      </c>
      <c r="B5030" s="1371" t="str">
        <f>HYPERLINK(IFERROR("#Main_Tariff!A"&amp;MATCH(Raeburn_Main_Tariff[[#This Row],[Product Code]],Main_Tariff!I:I,0),"#Main_Tariff!A"&amp;MATCH("*"&amp;RIGHT(A5030,8)&amp;"*",Main_Tariff!A:A,0)),Raeburn_Main_Tariff[[#This Row],[PRODUCER]])</f>
        <v>Meulenhof</v>
      </c>
      <c r="C5030" s="1178" t="s">
        <v>22579</v>
      </c>
      <c r="D5030" s="1178" t="s">
        <v>1129</v>
      </c>
      <c r="E5030" s="1179">
        <v>2021</v>
      </c>
      <c r="F5030" s="1282" t="s">
        <v>20220</v>
      </c>
      <c r="G5030" s="1368">
        <v>12.5</v>
      </c>
      <c r="H5030" s="1178" t="s">
        <v>20221</v>
      </c>
      <c r="I5030" s="1178" t="s">
        <v>15861</v>
      </c>
      <c r="J5030" s="1178" t="s">
        <v>22514</v>
      </c>
      <c r="K5030" s="1178" t="s">
        <v>559</v>
      </c>
      <c r="L5030" s="1178"/>
      <c r="M5030" s="1369"/>
      <c r="N5030" s="1178"/>
      <c r="O5030" s="1178">
        <v>6</v>
      </c>
      <c r="P5030" s="1178">
        <v>12</v>
      </c>
    </row>
    <row r="5031" spans="1:16">
      <c r="A5031" s="1178" t="s">
        <v>563</v>
      </c>
      <c r="B5031" s="1371" t="str">
        <f>HYPERLINK(IFERROR("#Main_Tariff!A"&amp;MATCH(Raeburn_Main_Tariff[[#This Row],[Product Code]],Main_Tariff!I:I,0),"#Main_Tariff!A"&amp;MATCH("*"&amp;RIGHT(A5031,8)&amp;"*",Main_Tariff!A:A,0)),Raeburn_Main_Tariff[[#This Row],[PRODUCER]])</f>
        <v>Meulenhof</v>
      </c>
      <c r="C5031" s="1178" t="s">
        <v>22580</v>
      </c>
      <c r="D5031" s="1178" t="s">
        <v>1129</v>
      </c>
      <c r="E5031" s="1179">
        <v>2018</v>
      </c>
      <c r="F5031" s="1282" t="s">
        <v>20220</v>
      </c>
      <c r="G5031" s="1368">
        <v>13.5</v>
      </c>
      <c r="H5031" s="1178" t="s">
        <v>20221</v>
      </c>
      <c r="I5031" s="1178" t="s">
        <v>15863</v>
      </c>
      <c r="J5031" s="1178" t="s">
        <v>22514</v>
      </c>
      <c r="K5031" s="1178" t="s">
        <v>559</v>
      </c>
      <c r="L5031" s="1178"/>
      <c r="M5031" s="1369"/>
      <c r="N5031" s="1178"/>
      <c r="O5031" s="1178">
        <v>6</v>
      </c>
      <c r="P5031" s="1178">
        <v>10.5</v>
      </c>
    </row>
    <row r="5032" spans="1:16">
      <c r="A5032" s="1178" t="s">
        <v>563</v>
      </c>
      <c r="B5032" s="1371" t="str">
        <f>HYPERLINK(IFERROR("#Main_Tariff!A"&amp;MATCH(Raeburn_Main_Tariff[[#This Row],[Product Code]],Main_Tariff!I:I,0),"#Main_Tariff!A"&amp;MATCH("*"&amp;RIGHT(A5032,8)&amp;"*",Main_Tariff!A:A,0)),Raeburn_Main_Tariff[[#This Row],[PRODUCER]])</f>
        <v>Meulenhof</v>
      </c>
      <c r="C5032" s="1178" t="s">
        <v>22581</v>
      </c>
      <c r="D5032" s="1178" t="s">
        <v>1129</v>
      </c>
      <c r="E5032" s="1179">
        <v>2017</v>
      </c>
      <c r="F5032" s="1282" t="s">
        <v>20220</v>
      </c>
      <c r="G5032" s="1368">
        <v>13.5</v>
      </c>
      <c r="H5032" s="1178" t="s">
        <v>20221</v>
      </c>
      <c r="I5032" s="1178" t="s">
        <v>15865</v>
      </c>
      <c r="J5032" s="1178" t="s">
        <v>22514</v>
      </c>
      <c r="K5032" s="1178" t="s">
        <v>559</v>
      </c>
      <c r="L5032" s="1178"/>
      <c r="M5032" s="1369"/>
      <c r="N5032" s="1178"/>
      <c r="O5032" s="1178">
        <v>6</v>
      </c>
      <c r="P5032" s="1178">
        <v>9.5</v>
      </c>
    </row>
    <row r="5033" spans="1:16">
      <c r="A5033" s="1178" t="s">
        <v>563</v>
      </c>
      <c r="B5033" s="1371" t="str">
        <f>HYPERLINK(IFERROR("#Main_Tariff!A"&amp;MATCH(Raeburn_Main_Tariff[[#This Row],[Product Code]],Main_Tariff!I:I,0),"#Main_Tariff!A"&amp;MATCH("*"&amp;RIGHT(A5033,8)&amp;"*",Main_Tariff!A:A,0)),Raeburn_Main_Tariff[[#This Row],[PRODUCER]])</f>
        <v>Meulenhof</v>
      </c>
      <c r="C5033" s="1178" t="s">
        <v>22582</v>
      </c>
      <c r="D5033" s="1178" t="s">
        <v>1129</v>
      </c>
      <c r="E5033" s="1179">
        <v>2011</v>
      </c>
      <c r="F5033" s="1282" t="s">
        <v>20220</v>
      </c>
      <c r="G5033" s="1368">
        <v>19.95</v>
      </c>
      <c r="H5033" s="1178" t="s">
        <v>20221</v>
      </c>
      <c r="I5033" s="1178" t="s">
        <v>15869</v>
      </c>
      <c r="J5033" s="1178" t="s">
        <v>22514</v>
      </c>
      <c r="K5033" s="1178" t="s">
        <v>559</v>
      </c>
      <c r="L5033" s="1178"/>
      <c r="M5033" s="1369"/>
      <c r="N5033" s="1178"/>
      <c r="O5033" s="1178">
        <v>12</v>
      </c>
      <c r="P5033" s="1178">
        <v>13.5</v>
      </c>
    </row>
    <row r="5034" spans="1:16">
      <c r="A5034" s="1178" t="s">
        <v>563</v>
      </c>
      <c r="B5034" s="1371" t="str">
        <f>HYPERLINK(IFERROR("#Main_Tariff!A"&amp;MATCH(Raeburn_Main_Tariff[[#This Row],[Product Code]],Main_Tariff!I:I,0),"#Main_Tariff!A"&amp;MATCH("*"&amp;RIGHT(A5034,8)&amp;"*",Main_Tariff!A:A,0)),Raeburn_Main_Tariff[[#This Row],[PRODUCER]])</f>
        <v>Meulenhof</v>
      </c>
      <c r="C5034" s="1178" t="s">
        <v>22582</v>
      </c>
      <c r="D5034" s="1178" t="s">
        <v>1129</v>
      </c>
      <c r="E5034" s="1179">
        <v>2003</v>
      </c>
      <c r="F5034" s="1282" t="s">
        <v>20220</v>
      </c>
      <c r="G5034" s="1368">
        <v>16.5</v>
      </c>
      <c r="H5034" s="1178" t="s">
        <v>20221</v>
      </c>
      <c r="I5034" s="1178" t="s">
        <v>15870</v>
      </c>
      <c r="J5034" s="1178" t="s">
        <v>22514</v>
      </c>
      <c r="K5034" s="1178" t="s">
        <v>559</v>
      </c>
      <c r="L5034" s="1178"/>
      <c r="M5034" s="1369"/>
      <c r="N5034" s="1178"/>
      <c r="O5034" s="1178">
        <v>6</v>
      </c>
      <c r="P5034" s="1178">
        <v>9</v>
      </c>
    </row>
    <row r="5035" spans="1:16">
      <c r="A5035" s="1178" t="s">
        <v>563</v>
      </c>
      <c r="B5035" s="1371" t="str">
        <f>HYPERLINK(IFERROR("#Main_Tariff!A"&amp;MATCH(Raeburn_Main_Tariff[[#This Row],[Product Code]],Main_Tariff!I:I,0),"#Main_Tariff!A"&amp;MATCH("*"&amp;RIGHT(A5035,8)&amp;"*",Main_Tariff!A:A,0)),Raeburn_Main_Tariff[[#This Row],[PRODUCER]])</f>
        <v>Meulenhof</v>
      </c>
      <c r="C5035" s="1178" t="s">
        <v>22583</v>
      </c>
      <c r="D5035" s="1178" t="s">
        <v>1129</v>
      </c>
      <c r="E5035" s="1179">
        <v>2012</v>
      </c>
      <c r="F5035" s="1282" t="s">
        <v>20220</v>
      </c>
      <c r="G5035" s="1368">
        <v>14.5</v>
      </c>
      <c r="H5035" s="1178" t="s">
        <v>20221</v>
      </c>
      <c r="I5035" s="1178" t="s">
        <v>15867</v>
      </c>
      <c r="J5035" s="1178" t="s">
        <v>22514</v>
      </c>
      <c r="K5035" s="1178" t="s">
        <v>559</v>
      </c>
      <c r="L5035" s="1178"/>
      <c r="M5035" s="1369"/>
      <c r="N5035" s="1178"/>
      <c r="O5035" s="1178">
        <v>6</v>
      </c>
      <c r="P5035" s="1178">
        <v>13.5</v>
      </c>
    </row>
    <row r="5036" spans="1:16">
      <c r="A5036" s="1178" t="s">
        <v>563</v>
      </c>
      <c r="B5036" s="1371" t="str">
        <f>HYPERLINK(IFERROR("#Main_Tariff!A"&amp;MATCH(Raeburn_Main_Tariff[[#This Row],[Product Code]],Main_Tariff!I:I,0),"#Main_Tariff!A"&amp;MATCH("*"&amp;RIGHT(A5036,8)&amp;"*",Main_Tariff!A:A,0)),Raeburn_Main_Tariff[[#This Row],[PRODUCER]])</f>
        <v>Meulenhof</v>
      </c>
      <c r="C5036" s="1178" t="s">
        <v>22584</v>
      </c>
      <c r="D5036" s="1178" t="s">
        <v>1129</v>
      </c>
      <c r="E5036" s="1179">
        <v>2011</v>
      </c>
      <c r="F5036" s="1282" t="s">
        <v>20220</v>
      </c>
      <c r="G5036" s="1368">
        <v>19.95</v>
      </c>
      <c r="H5036" s="1178" t="s">
        <v>20224</v>
      </c>
      <c r="I5036" s="1178" t="s">
        <v>15872</v>
      </c>
      <c r="J5036" s="1178" t="s">
        <v>22514</v>
      </c>
      <c r="K5036" s="1178" t="s">
        <v>559</v>
      </c>
      <c r="L5036" s="1178"/>
      <c r="M5036" s="1369"/>
      <c r="N5036" s="1178"/>
      <c r="O5036" s="1178">
        <v>12</v>
      </c>
      <c r="P5036" s="1178">
        <v>13.5</v>
      </c>
    </row>
    <row r="5037" spans="1:16">
      <c r="A5037" s="1178" t="s">
        <v>563</v>
      </c>
      <c r="B5037" s="1371" t="str">
        <f>HYPERLINK(IFERROR("#Main_Tariff!A"&amp;MATCH(Raeburn_Main_Tariff[[#This Row],[Product Code]],Main_Tariff!I:I,0),"#Main_Tariff!A"&amp;MATCH("*"&amp;RIGHT(A5037,8)&amp;"*",Main_Tariff!A:A,0)),Raeburn_Main_Tariff[[#This Row],[PRODUCER]])</f>
        <v>Meulenhof</v>
      </c>
      <c r="C5037" s="1178" t="s">
        <v>22585</v>
      </c>
      <c r="D5037" s="1178" t="s">
        <v>1129</v>
      </c>
      <c r="E5037" s="1179">
        <v>2002</v>
      </c>
      <c r="F5037" s="1282" t="s">
        <v>20220</v>
      </c>
      <c r="G5037" s="1368">
        <v>16.5</v>
      </c>
      <c r="H5037" s="1178" t="s">
        <v>20221</v>
      </c>
      <c r="I5037" s="1178" t="s">
        <v>15874</v>
      </c>
      <c r="J5037" s="1178" t="s">
        <v>22514</v>
      </c>
      <c r="K5037" s="1178" t="s">
        <v>559</v>
      </c>
      <c r="L5037" s="1178"/>
      <c r="M5037" s="1369"/>
      <c r="N5037" s="1178"/>
      <c r="O5037" s="1178">
        <v>6</v>
      </c>
      <c r="P5037" s="1178">
        <v>8.5</v>
      </c>
    </row>
    <row r="5038" spans="1:16">
      <c r="A5038" s="1178" t="s">
        <v>563</v>
      </c>
      <c r="B5038" s="1371" t="str">
        <f>HYPERLINK(IFERROR("#Main_Tariff!A"&amp;MATCH(Raeburn_Main_Tariff[[#This Row],[Product Code]],Main_Tariff!I:I,0),"#Main_Tariff!A"&amp;MATCH("*"&amp;RIGHT(A5038,8)&amp;"*",Main_Tariff!A:A,0)),Raeburn_Main_Tariff[[#This Row],[PRODUCER]])</f>
        <v>Meulenhof</v>
      </c>
      <c r="C5038" s="1178" t="s">
        <v>22586</v>
      </c>
      <c r="D5038" s="1178" t="s">
        <v>1129</v>
      </c>
      <c r="E5038" s="1179">
        <v>2018</v>
      </c>
      <c r="F5038" s="1282" t="s">
        <v>20220</v>
      </c>
      <c r="G5038" s="1368">
        <v>20</v>
      </c>
      <c r="H5038" s="1178" t="s">
        <v>20224</v>
      </c>
      <c r="I5038" s="1178" t="s">
        <v>15876</v>
      </c>
      <c r="J5038" s="1178" t="s">
        <v>22514</v>
      </c>
      <c r="K5038" s="1178" t="s">
        <v>559</v>
      </c>
      <c r="L5038" s="1178"/>
      <c r="M5038" s="1369"/>
      <c r="N5038" s="1178"/>
      <c r="O5038" s="1178">
        <v>6</v>
      </c>
      <c r="P5038" s="1178">
        <v>13.5</v>
      </c>
    </row>
    <row r="5039" spans="1:16">
      <c r="A5039" s="1178" t="s">
        <v>563</v>
      </c>
      <c r="B5039" s="1371" t="str">
        <f>HYPERLINK(IFERROR("#Main_Tariff!A"&amp;MATCH(Raeburn_Main_Tariff[[#This Row],[Product Code]],Main_Tariff!I:I,0),"#Main_Tariff!A"&amp;MATCH("*"&amp;RIGHT(A5039,8)&amp;"*",Main_Tariff!A:A,0)),Raeburn_Main_Tariff[[#This Row],[PRODUCER]])</f>
        <v>Meulenhof</v>
      </c>
      <c r="C5039" s="1178" t="s">
        <v>22587</v>
      </c>
      <c r="D5039" s="1178" t="s">
        <v>1129</v>
      </c>
      <c r="E5039" s="1179">
        <v>2014</v>
      </c>
      <c r="F5039" s="1282" t="s">
        <v>20220</v>
      </c>
      <c r="G5039" s="1368">
        <v>21</v>
      </c>
      <c r="H5039" s="1178" t="s">
        <v>20221</v>
      </c>
      <c r="I5039" s="1178" t="s">
        <v>15878</v>
      </c>
      <c r="J5039" s="1178" t="s">
        <v>22514</v>
      </c>
      <c r="K5039" s="1178" t="s">
        <v>559</v>
      </c>
      <c r="L5039" s="1178"/>
      <c r="M5039" s="1369"/>
      <c r="N5039" s="1178"/>
      <c r="O5039" s="1178">
        <v>6</v>
      </c>
      <c r="P5039" s="1178">
        <v>7.5</v>
      </c>
    </row>
    <row r="5040" spans="1:16">
      <c r="A5040" s="1178" t="s">
        <v>563</v>
      </c>
      <c r="B5040" s="1371" t="str">
        <f>HYPERLINK(IFERROR("#Main_Tariff!A"&amp;MATCH(Raeburn_Main_Tariff[[#This Row],[Product Code]],Main_Tariff!I:I,0),"#Main_Tariff!A"&amp;MATCH("*"&amp;RIGHT(A5040,8)&amp;"*",Main_Tariff!A:A,0)),Raeburn_Main_Tariff[[#This Row],[PRODUCER]])</f>
        <v>Meulenhof</v>
      </c>
      <c r="C5040" s="1178" t="s">
        <v>22588</v>
      </c>
      <c r="D5040" s="1178" t="s">
        <v>1410</v>
      </c>
      <c r="E5040" s="1179">
        <v>2023</v>
      </c>
      <c r="F5040" s="1282" t="s">
        <v>20220</v>
      </c>
      <c r="G5040" s="1368">
        <v>17.5</v>
      </c>
      <c r="H5040" s="1178" t="s">
        <v>20221</v>
      </c>
      <c r="I5040" s="1178" t="s">
        <v>15881</v>
      </c>
      <c r="J5040" s="1178" t="s">
        <v>22514</v>
      </c>
      <c r="K5040" s="1178" t="s">
        <v>559</v>
      </c>
      <c r="L5040" s="1178"/>
      <c r="M5040" s="1369"/>
      <c r="N5040" s="1178"/>
      <c r="O5040" s="1178">
        <v>6</v>
      </c>
      <c r="P5040" s="1178">
        <v>8.5</v>
      </c>
    </row>
    <row r="5041" spans="1:16">
      <c r="A5041" s="1178" t="s">
        <v>563</v>
      </c>
      <c r="B5041" s="1371" t="str">
        <f>HYPERLINK(IFERROR("#Main_Tariff!A"&amp;MATCH(Raeburn_Main_Tariff[[#This Row],[Product Code]],Main_Tariff!I:I,0),"#Main_Tariff!A"&amp;MATCH("*"&amp;RIGHT(A5041,8)&amp;"*",Main_Tariff!A:A,0)),Raeburn_Main_Tariff[[#This Row],[PRODUCER]])</f>
        <v>Meulenhof</v>
      </c>
      <c r="C5041" s="1178" t="s">
        <v>22589</v>
      </c>
      <c r="D5041" s="1178" t="s">
        <v>1410</v>
      </c>
      <c r="E5041" s="1179">
        <v>2002</v>
      </c>
      <c r="F5041" s="1282" t="s">
        <v>20220</v>
      </c>
      <c r="G5041" s="1368">
        <v>23</v>
      </c>
      <c r="H5041" s="1178" t="s">
        <v>20277</v>
      </c>
      <c r="I5041" s="1178" t="s">
        <v>15883</v>
      </c>
      <c r="J5041" s="1178" t="s">
        <v>22514</v>
      </c>
      <c r="K5041" s="1178" t="s">
        <v>559</v>
      </c>
      <c r="L5041" s="1178"/>
      <c r="M5041" s="1369"/>
      <c r="N5041" s="1178"/>
      <c r="O5041" s="1178">
        <v>6</v>
      </c>
      <c r="P5041" s="1178">
        <v>8</v>
      </c>
    </row>
    <row r="5042" spans="1:16">
      <c r="A5042" s="1178" t="s">
        <v>563</v>
      </c>
      <c r="B5042" s="1371" t="str">
        <f>HYPERLINK(IFERROR("#Main_Tariff!A"&amp;MATCH(Raeburn_Main_Tariff[[#This Row],[Product Code]],Main_Tariff!I:I,0),"#Main_Tariff!A"&amp;MATCH("*"&amp;RIGHT(A5042,8)&amp;"*",Main_Tariff!A:A,0)),Raeburn_Main_Tariff[[#This Row],[PRODUCER]])</f>
        <v>Meulenhof</v>
      </c>
      <c r="C5042" s="1178" t="s">
        <v>22590</v>
      </c>
      <c r="D5042" s="1178" t="s">
        <v>1410</v>
      </c>
      <c r="E5042" s="1179">
        <v>2010</v>
      </c>
      <c r="F5042" s="1282" t="s">
        <v>20280</v>
      </c>
      <c r="G5042" s="1368">
        <v>48</v>
      </c>
      <c r="H5042" s="1178" t="s">
        <v>20221</v>
      </c>
      <c r="I5042" s="1178" t="s">
        <v>15886</v>
      </c>
      <c r="J5042" s="1178" t="s">
        <v>22514</v>
      </c>
      <c r="K5042" s="1178" t="s">
        <v>559</v>
      </c>
      <c r="L5042" s="1178"/>
      <c r="M5042" s="1369"/>
      <c r="N5042" s="1178"/>
      <c r="O5042" s="1178">
        <v>12</v>
      </c>
      <c r="P5042" s="1178">
        <v>13.5</v>
      </c>
    </row>
    <row r="5043" spans="1:16">
      <c r="A5043" s="1178" t="s">
        <v>563</v>
      </c>
      <c r="B5043" s="1371" t="str">
        <f>HYPERLINK(IFERROR("#Main_Tariff!A"&amp;MATCH(Raeburn_Main_Tariff[[#This Row],[Product Code]],Main_Tariff!I:I,0),"#Main_Tariff!A"&amp;MATCH("*"&amp;RIGHT(A5043,8)&amp;"*",Main_Tariff!A:A,0)),Raeburn_Main_Tariff[[#This Row],[PRODUCER]])</f>
        <v>Meulenhof</v>
      </c>
      <c r="C5043" s="1178" t="s">
        <v>22590</v>
      </c>
      <c r="D5043" s="1178" t="s">
        <v>1410</v>
      </c>
      <c r="E5043" s="1179">
        <v>2006</v>
      </c>
      <c r="F5043" s="1282" t="s">
        <v>20280</v>
      </c>
      <c r="G5043" s="1368">
        <v>30.75</v>
      </c>
      <c r="H5043" s="1178" t="s">
        <v>20221</v>
      </c>
      <c r="I5043" s="1178" t="s">
        <v>15888</v>
      </c>
      <c r="J5043" s="1178" t="s">
        <v>22514</v>
      </c>
      <c r="K5043" s="1178" t="s">
        <v>559</v>
      </c>
      <c r="L5043" s="1178"/>
      <c r="M5043" s="1369"/>
      <c r="N5043" s="1178"/>
      <c r="O5043" s="1178">
        <v>12</v>
      </c>
      <c r="P5043" s="1178">
        <v>8.5</v>
      </c>
    </row>
    <row r="5044" spans="1:16">
      <c r="A5044" s="1178" t="s">
        <v>563</v>
      </c>
      <c r="B5044" s="1371" t="str">
        <f>HYPERLINK(IFERROR("#Main_Tariff!A"&amp;MATCH(Raeburn_Main_Tariff[[#This Row],[Product Code]],Main_Tariff!I:I,0),"#Main_Tariff!A"&amp;MATCH("*"&amp;RIGHT(A5044,8)&amp;"*",Main_Tariff!A:A,0)),Raeburn_Main_Tariff[[#This Row],[PRODUCER]])</f>
        <v>Meulenhof</v>
      </c>
      <c r="C5044" s="1178" t="s">
        <v>22591</v>
      </c>
      <c r="D5044" s="1178" t="s">
        <v>1410</v>
      </c>
      <c r="E5044" s="1179">
        <v>2010</v>
      </c>
      <c r="F5044" s="1282" t="s">
        <v>20280</v>
      </c>
      <c r="G5044" s="1368">
        <v>42.25</v>
      </c>
      <c r="H5044" s="1178" t="s">
        <v>20221</v>
      </c>
      <c r="I5044" s="1178" t="s">
        <v>15890</v>
      </c>
      <c r="J5044" s="1178" t="s">
        <v>22514</v>
      </c>
      <c r="K5044" s="1178" t="s">
        <v>559</v>
      </c>
      <c r="L5044" s="1178"/>
      <c r="M5044" s="1369"/>
      <c r="N5044" s="1178"/>
      <c r="O5044" s="1178">
        <v>12</v>
      </c>
      <c r="P5044" s="1178">
        <v>8.5</v>
      </c>
    </row>
    <row r="5045" spans="1:16">
      <c r="A5045" s="1178" t="s">
        <v>563</v>
      </c>
      <c r="B5045" s="1371" t="str">
        <f>HYPERLINK(IFERROR("#Main_Tariff!A"&amp;MATCH(Raeburn_Main_Tariff[[#This Row],[Product Code]],Main_Tariff!I:I,0),"#Main_Tariff!A"&amp;MATCH("*"&amp;RIGHT(A5045,8)&amp;"*",Main_Tariff!A:A,0)),Raeburn_Main_Tariff[[#This Row],[PRODUCER]])</f>
        <v>Meulenhof</v>
      </c>
      <c r="C5045" s="1178" t="s">
        <v>22592</v>
      </c>
      <c r="D5045" s="1178" t="s">
        <v>1129</v>
      </c>
      <c r="E5045" s="1179">
        <v>2011</v>
      </c>
      <c r="F5045" s="1282" t="s">
        <v>20240</v>
      </c>
      <c r="G5045" s="1368">
        <v>131.25</v>
      </c>
      <c r="H5045" s="1178" t="s">
        <v>20224</v>
      </c>
      <c r="I5045" s="1178" t="s">
        <v>15894</v>
      </c>
      <c r="J5045" s="1178" t="s">
        <v>22514</v>
      </c>
      <c r="K5045" s="1178" t="s">
        <v>559</v>
      </c>
      <c r="L5045" s="1178"/>
      <c r="M5045" s="1369"/>
      <c r="N5045" s="1178"/>
      <c r="O5045" s="1178">
        <v>4</v>
      </c>
      <c r="P5045" s="1178">
        <v>8.5</v>
      </c>
    </row>
    <row r="5046" spans="1:16">
      <c r="A5046" s="1178" t="s">
        <v>564</v>
      </c>
      <c r="B5046" s="1371" t="str">
        <f>HYPERLINK(IFERROR("#Main_Tariff!A"&amp;MATCH(Raeburn_Main_Tariff[[#This Row],[Product Code]],Main_Tariff!I:I,0),"#Main_Tariff!A"&amp;MATCH("*"&amp;RIGHT(A5046,8)&amp;"*",Main_Tariff!A:A,0)),Raeburn_Main_Tariff[[#This Row],[PRODUCER]])</f>
        <v>J.J. Prüm</v>
      </c>
      <c r="C5046" s="1178" t="s">
        <v>22593</v>
      </c>
      <c r="D5046" s="1178" t="s">
        <v>1129</v>
      </c>
      <c r="E5046" s="1179">
        <v>2023</v>
      </c>
      <c r="F5046" s="1282" t="s">
        <v>20220</v>
      </c>
      <c r="G5046" s="1368">
        <v>25.5</v>
      </c>
      <c r="H5046" s="1178" t="s">
        <v>20221</v>
      </c>
      <c r="I5046" s="1178" t="s">
        <v>15927</v>
      </c>
      <c r="J5046" s="1178" t="s">
        <v>22514</v>
      </c>
      <c r="K5046" s="1178" t="s">
        <v>559</v>
      </c>
      <c r="L5046" s="1178"/>
      <c r="M5046" s="1369"/>
      <c r="N5046" s="1178"/>
      <c r="O5046" s="1178">
        <v>6</v>
      </c>
      <c r="P5046" s="1178">
        <v>9</v>
      </c>
    </row>
    <row r="5047" spans="1:16">
      <c r="A5047" s="1178" t="s">
        <v>564</v>
      </c>
      <c r="B5047" s="1371" t="str">
        <f>HYPERLINK(IFERROR("#Main_Tariff!A"&amp;MATCH(Raeburn_Main_Tariff[[#This Row],[Product Code]],Main_Tariff!I:I,0),"#Main_Tariff!A"&amp;MATCH("*"&amp;RIGHT(A5047,8)&amp;"*",Main_Tariff!A:A,0)),Raeburn_Main_Tariff[[#This Row],[PRODUCER]])</f>
        <v>J.J. Prüm</v>
      </c>
      <c r="C5047" s="1178" t="s">
        <v>22594</v>
      </c>
      <c r="D5047" s="1178" t="s">
        <v>1129</v>
      </c>
      <c r="E5047" s="1179">
        <v>2022</v>
      </c>
      <c r="F5047" s="1282" t="s">
        <v>20220</v>
      </c>
      <c r="G5047" s="1368">
        <v>25.5</v>
      </c>
      <c r="H5047" s="1178" t="s">
        <v>20221</v>
      </c>
      <c r="I5047" s="1178" t="s">
        <v>15929</v>
      </c>
      <c r="J5047" s="1178" t="s">
        <v>22514</v>
      </c>
      <c r="K5047" s="1178" t="s">
        <v>559</v>
      </c>
      <c r="L5047" s="1178"/>
      <c r="M5047" s="1369"/>
      <c r="N5047" s="1178"/>
      <c r="O5047" s="1178">
        <v>6</v>
      </c>
      <c r="P5047" s="1178">
        <v>8.5</v>
      </c>
    </row>
    <row r="5048" spans="1:16">
      <c r="A5048" s="1178" t="s">
        <v>564</v>
      </c>
      <c r="B5048" s="1371" t="str">
        <f>HYPERLINK(IFERROR("#Main_Tariff!A"&amp;MATCH(Raeburn_Main_Tariff[[#This Row],[Product Code]],Main_Tariff!I:I,0),"#Main_Tariff!A"&amp;MATCH("*"&amp;RIGHT(A5048,8)&amp;"*",Main_Tariff!A:A,0)),Raeburn_Main_Tariff[[#This Row],[PRODUCER]])</f>
        <v>J.J. Prüm</v>
      </c>
      <c r="C5048" s="1178" t="s">
        <v>22595</v>
      </c>
      <c r="D5048" s="1178" t="s">
        <v>1129</v>
      </c>
      <c r="E5048" s="1179">
        <v>2021</v>
      </c>
      <c r="F5048" s="1282" t="s">
        <v>20220</v>
      </c>
      <c r="G5048" s="1368">
        <v>22.5</v>
      </c>
      <c r="H5048" s="1178" t="s">
        <v>20221</v>
      </c>
      <c r="I5048" s="1178" t="s">
        <v>15931</v>
      </c>
      <c r="J5048" s="1178" t="s">
        <v>22514</v>
      </c>
      <c r="K5048" s="1178" t="s">
        <v>559</v>
      </c>
      <c r="L5048" s="1178"/>
      <c r="M5048" s="1369"/>
      <c r="N5048" s="1178"/>
      <c r="O5048" s="1178">
        <v>6</v>
      </c>
      <c r="P5048" s="1178">
        <v>8</v>
      </c>
    </row>
    <row r="5049" spans="1:16">
      <c r="A5049" s="1178" t="s">
        <v>564</v>
      </c>
      <c r="B5049" s="1371" t="str">
        <f>HYPERLINK(IFERROR("#Main_Tariff!A"&amp;MATCH(Raeburn_Main_Tariff[[#This Row],[Product Code]],Main_Tariff!I:I,0),"#Main_Tariff!A"&amp;MATCH("*"&amp;RIGHT(A5049,8)&amp;"*",Main_Tariff!A:A,0)),Raeburn_Main_Tariff[[#This Row],[PRODUCER]])</f>
        <v>J.J. Prüm</v>
      </c>
      <c r="C5049" s="1178" t="s">
        <v>22596</v>
      </c>
      <c r="D5049" s="1178" t="s">
        <v>1129</v>
      </c>
      <c r="E5049" s="1179">
        <v>2020</v>
      </c>
      <c r="F5049" s="1282" t="s">
        <v>20220</v>
      </c>
      <c r="G5049" s="1368">
        <v>22.5</v>
      </c>
      <c r="H5049" s="1178" t="s">
        <v>20221</v>
      </c>
      <c r="I5049" s="1178" t="s">
        <v>15933</v>
      </c>
      <c r="J5049" s="1178" t="s">
        <v>22514</v>
      </c>
      <c r="K5049" s="1178" t="s">
        <v>559</v>
      </c>
      <c r="L5049" s="1178"/>
      <c r="M5049" s="1369"/>
      <c r="N5049" s="1178"/>
      <c r="O5049" s="1178">
        <v>6</v>
      </c>
      <c r="P5049" s="1178">
        <v>8</v>
      </c>
    </row>
    <row r="5050" spans="1:16">
      <c r="A5050" s="1178" t="s">
        <v>564</v>
      </c>
      <c r="B5050" s="1371" t="str">
        <f>HYPERLINK(IFERROR("#Main_Tariff!A"&amp;MATCH(Raeburn_Main_Tariff[[#This Row],[Product Code]],Main_Tariff!I:I,0),"#Main_Tariff!A"&amp;MATCH("*"&amp;RIGHT(A5050,8)&amp;"*",Main_Tariff!A:A,0)),Raeburn_Main_Tariff[[#This Row],[PRODUCER]])</f>
        <v>J.J. Prüm</v>
      </c>
      <c r="C5050" s="1178" t="s">
        <v>22597</v>
      </c>
      <c r="D5050" s="1178" t="s">
        <v>1129</v>
      </c>
      <c r="E5050" s="1179">
        <v>2023</v>
      </c>
      <c r="F5050" s="1282" t="s">
        <v>20220</v>
      </c>
      <c r="G5050" s="1368">
        <v>30.75</v>
      </c>
      <c r="H5050" s="1178" t="s">
        <v>20221</v>
      </c>
      <c r="I5050" s="1178" t="s">
        <v>15935</v>
      </c>
      <c r="J5050" s="1178" t="s">
        <v>22514</v>
      </c>
      <c r="K5050" s="1178" t="s">
        <v>559</v>
      </c>
      <c r="L5050" s="1178"/>
      <c r="M5050" s="1369"/>
      <c r="N5050" s="1178"/>
      <c r="O5050" s="1178">
        <v>6</v>
      </c>
      <c r="P5050" s="1178">
        <v>9</v>
      </c>
    </row>
    <row r="5051" spans="1:16">
      <c r="A5051" s="1178" t="s">
        <v>564</v>
      </c>
      <c r="B5051" s="1371" t="str">
        <f>HYPERLINK(IFERROR("#Main_Tariff!A"&amp;MATCH(Raeburn_Main_Tariff[[#This Row],[Product Code]],Main_Tariff!I:I,0),"#Main_Tariff!A"&amp;MATCH("*"&amp;RIGHT(A5051,8)&amp;"*",Main_Tariff!A:A,0)),Raeburn_Main_Tariff[[#This Row],[PRODUCER]])</f>
        <v>J.J. Prüm</v>
      </c>
      <c r="C5051" s="1178" t="s">
        <v>22598</v>
      </c>
      <c r="D5051" s="1178" t="s">
        <v>1129</v>
      </c>
      <c r="E5051" s="1179">
        <v>2022</v>
      </c>
      <c r="F5051" s="1282" t="s">
        <v>20220</v>
      </c>
      <c r="G5051" s="1368">
        <v>30.75</v>
      </c>
      <c r="H5051" s="1178" t="s">
        <v>20221</v>
      </c>
      <c r="I5051" s="1178" t="s">
        <v>15937</v>
      </c>
      <c r="J5051" s="1178" t="s">
        <v>22514</v>
      </c>
      <c r="K5051" s="1178" t="s">
        <v>559</v>
      </c>
      <c r="L5051" s="1178"/>
      <c r="M5051" s="1369"/>
      <c r="N5051" s="1178"/>
      <c r="O5051" s="1178">
        <v>6</v>
      </c>
      <c r="P5051" s="1178">
        <v>9</v>
      </c>
    </row>
    <row r="5052" spans="1:16">
      <c r="A5052" s="1178" t="s">
        <v>564</v>
      </c>
      <c r="B5052" s="1371" t="str">
        <f>HYPERLINK(IFERROR("#Main_Tariff!A"&amp;MATCH(Raeburn_Main_Tariff[[#This Row],[Product Code]],Main_Tariff!I:I,0),"#Main_Tariff!A"&amp;MATCH("*"&amp;RIGHT(A5052,8)&amp;"*",Main_Tariff!A:A,0)),Raeburn_Main_Tariff[[#This Row],[PRODUCER]])</f>
        <v>J.J. Prüm</v>
      </c>
      <c r="C5052" s="1178" t="s">
        <v>22599</v>
      </c>
      <c r="D5052" s="1178" t="s">
        <v>1129</v>
      </c>
      <c r="E5052" s="1179">
        <v>2021</v>
      </c>
      <c r="F5052" s="1282" t="s">
        <v>20220</v>
      </c>
      <c r="G5052" s="1368">
        <v>26.5</v>
      </c>
      <c r="H5052" s="1178" t="s">
        <v>20221</v>
      </c>
      <c r="I5052" s="1178" t="s">
        <v>15939</v>
      </c>
      <c r="J5052" s="1178" t="s">
        <v>22514</v>
      </c>
      <c r="K5052" s="1178" t="s">
        <v>559</v>
      </c>
      <c r="L5052" s="1178"/>
      <c r="M5052" s="1369"/>
      <c r="N5052" s="1178"/>
      <c r="O5052" s="1178">
        <v>6</v>
      </c>
      <c r="P5052" s="1178">
        <v>8</v>
      </c>
    </row>
    <row r="5053" spans="1:16">
      <c r="A5053" s="1178" t="s">
        <v>564</v>
      </c>
      <c r="B5053" s="1371" t="str">
        <f>HYPERLINK(IFERROR("#Main_Tariff!A"&amp;MATCH(Raeburn_Main_Tariff[[#This Row],[Product Code]],Main_Tariff!I:I,0),"#Main_Tariff!A"&amp;MATCH("*"&amp;RIGHT(A5053,8)&amp;"*",Main_Tariff!A:A,0)),Raeburn_Main_Tariff[[#This Row],[PRODUCER]])</f>
        <v>J.J. Prüm</v>
      </c>
      <c r="C5053" s="1178" t="s">
        <v>22600</v>
      </c>
      <c r="D5053" s="1178" t="s">
        <v>1129</v>
      </c>
      <c r="E5053" s="1179">
        <v>2020</v>
      </c>
      <c r="F5053" s="1282" t="s">
        <v>20220</v>
      </c>
      <c r="G5053" s="1368">
        <v>27</v>
      </c>
      <c r="H5053" s="1178" t="s">
        <v>20221</v>
      </c>
      <c r="I5053" s="1178" t="s">
        <v>15940</v>
      </c>
      <c r="J5053" s="1178" t="s">
        <v>22514</v>
      </c>
      <c r="K5053" s="1178" t="s">
        <v>559</v>
      </c>
      <c r="L5053" s="1178"/>
      <c r="M5053" s="1369"/>
      <c r="N5053" s="1178"/>
      <c r="O5053" s="1178">
        <v>6</v>
      </c>
      <c r="P5053" s="1178">
        <v>8.5</v>
      </c>
    </row>
    <row r="5054" spans="1:16">
      <c r="A5054" s="1178" t="s">
        <v>564</v>
      </c>
      <c r="B5054" s="1371" t="str">
        <f>HYPERLINK(IFERROR("#Main_Tariff!A"&amp;MATCH(Raeburn_Main_Tariff[[#This Row],[Product Code]],Main_Tariff!I:I,0),"#Main_Tariff!A"&amp;MATCH("*"&amp;RIGHT(A5054,8)&amp;"*",Main_Tariff!A:A,0)),Raeburn_Main_Tariff[[#This Row],[PRODUCER]])</f>
        <v>J.J. Prüm</v>
      </c>
      <c r="C5054" s="1178" t="s">
        <v>22601</v>
      </c>
      <c r="D5054" s="1178" t="s">
        <v>1129</v>
      </c>
      <c r="E5054" s="1179">
        <v>2023</v>
      </c>
      <c r="F5054" s="1282" t="s">
        <v>20220</v>
      </c>
      <c r="G5054" s="1368">
        <v>31.75</v>
      </c>
      <c r="H5054" s="1178" t="s">
        <v>20221</v>
      </c>
      <c r="I5054" s="1178" t="s">
        <v>15941</v>
      </c>
      <c r="J5054" s="1178" t="s">
        <v>22514</v>
      </c>
      <c r="K5054" s="1178" t="s">
        <v>559</v>
      </c>
      <c r="L5054" s="1178"/>
      <c r="M5054" s="1369"/>
      <c r="N5054" s="1178"/>
      <c r="O5054" s="1178">
        <v>6</v>
      </c>
      <c r="P5054" s="1178">
        <v>8.5</v>
      </c>
    </row>
    <row r="5055" spans="1:16">
      <c r="A5055" s="1178" t="s">
        <v>564</v>
      </c>
      <c r="B5055" s="1371" t="str">
        <f>HYPERLINK(IFERROR("#Main_Tariff!A"&amp;MATCH(Raeburn_Main_Tariff[[#This Row],[Product Code]],Main_Tariff!I:I,0),"#Main_Tariff!A"&amp;MATCH("*"&amp;RIGHT(A5055,8)&amp;"*",Main_Tariff!A:A,0)),Raeburn_Main_Tariff[[#This Row],[PRODUCER]])</f>
        <v>J.J. Prüm</v>
      </c>
      <c r="C5055" s="1178" t="s">
        <v>22602</v>
      </c>
      <c r="D5055" s="1178" t="s">
        <v>1129</v>
      </c>
      <c r="E5055" s="1179">
        <v>2022</v>
      </c>
      <c r="F5055" s="1282" t="s">
        <v>20220</v>
      </c>
      <c r="G5055" s="1368">
        <v>31.75</v>
      </c>
      <c r="H5055" s="1178" t="s">
        <v>20221</v>
      </c>
      <c r="I5055" s="1178" t="s">
        <v>15943</v>
      </c>
      <c r="J5055" s="1178" t="s">
        <v>22514</v>
      </c>
      <c r="K5055" s="1178" t="s">
        <v>559</v>
      </c>
      <c r="L5055" s="1178"/>
      <c r="M5055" s="1369"/>
      <c r="N5055" s="1178"/>
      <c r="O5055" s="1178">
        <v>6</v>
      </c>
      <c r="P5055" s="1178">
        <v>8</v>
      </c>
    </row>
    <row r="5056" spans="1:16">
      <c r="A5056" s="1178" t="s">
        <v>564</v>
      </c>
      <c r="B5056" s="1371" t="str">
        <f>HYPERLINK(IFERROR("#Main_Tariff!A"&amp;MATCH(Raeburn_Main_Tariff[[#This Row],[Product Code]],Main_Tariff!I:I,0),"#Main_Tariff!A"&amp;MATCH("*"&amp;RIGHT(A5056,8)&amp;"*",Main_Tariff!A:A,0)),Raeburn_Main_Tariff[[#This Row],[PRODUCER]])</f>
        <v>J.J. Prüm</v>
      </c>
      <c r="C5056" s="1178" t="s">
        <v>22603</v>
      </c>
      <c r="D5056" s="1178" t="s">
        <v>1129</v>
      </c>
      <c r="E5056" s="1179">
        <v>2021</v>
      </c>
      <c r="F5056" s="1282" t="s">
        <v>20220</v>
      </c>
      <c r="G5056" s="1368">
        <v>29</v>
      </c>
      <c r="H5056" s="1178" t="s">
        <v>20221</v>
      </c>
      <c r="I5056" s="1178" t="s">
        <v>15945</v>
      </c>
      <c r="J5056" s="1178" t="s">
        <v>22514</v>
      </c>
      <c r="K5056" s="1178" t="s">
        <v>559</v>
      </c>
      <c r="L5056" s="1178"/>
      <c r="M5056" s="1369"/>
      <c r="N5056" s="1178"/>
      <c r="O5056" s="1178">
        <v>6</v>
      </c>
      <c r="P5056" s="1178">
        <v>7.5</v>
      </c>
    </row>
    <row r="5057" spans="1:16">
      <c r="A5057" s="1178" t="s">
        <v>564</v>
      </c>
      <c r="B5057" s="1371" t="str">
        <f>HYPERLINK(IFERROR("#Main_Tariff!A"&amp;MATCH(Raeburn_Main_Tariff[[#This Row],[Product Code]],Main_Tariff!I:I,0),"#Main_Tariff!A"&amp;MATCH("*"&amp;RIGHT(A5057,8)&amp;"*",Main_Tariff!A:A,0)),Raeburn_Main_Tariff[[#This Row],[PRODUCER]])</f>
        <v>J.J. Prüm</v>
      </c>
      <c r="C5057" s="1178" t="s">
        <v>22604</v>
      </c>
      <c r="D5057" s="1178" t="s">
        <v>1129</v>
      </c>
      <c r="E5057" s="1179">
        <v>2019</v>
      </c>
      <c r="F5057" s="1282" t="s">
        <v>20220</v>
      </c>
      <c r="G5057" s="1368">
        <v>29.5</v>
      </c>
      <c r="H5057" s="1178" t="s">
        <v>20221</v>
      </c>
      <c r="I5057" s="1178" t="s">
        <v>15947</v>
      </c>
      <c r="J5057" s="1178" t="s">
        <v>22514</v>
      </c>
      <c r="K5057" s="1178" t="s">
        <v>559</v>
      </c>
      <c r="L5057" s="1178"/>
      <c r="M5057" s="1369"/>
      <c r="N5057" s="1178"/>
      <c r="O5057" s="1178">
        <v>6</v>
      </c>
      <c r="P5057" s="1178">
        <v>9.5</v>
      </c>
    </row>
    <row r="5058" spans="1:16">
      <c r="A5058" s="1178" t="s">
        <v>564</v>
      </c>
      <c r="B5058" s="1371" t="str">
        <f>HYPERLINK(IFERROR("#Main_Tariff!A"&amp;MATCH(Raeburn_Main_Tariff[[#This Row],[Product Code]],Main_Tariff!I:I,0),"#Main_Tariff!A"&amp;MATCH("*"&amp;RIGHT(A5058,8)&amp;"*",Main_Tariff!A:A,0)),Raeburn_Main_Tariff[[#This Row],[PRODUCER]])</f>
        <v>J.J. Prüm</v>
      </c>
      <c r="C5058" s="1178" t="s">
        <v>22605</v>
      </c>
      <c r="D5058" s="1178" t="s">
        <v>1129</v>
      </c>
      <c r="E5058" s="1179">
        <v>2022</v>
      </c>
      <c r="F5058" s="1282" t="s">
        <v>20240</v>
      </c>
      <c r="G5058" s="1368">
        <v>74</v>
      </c>
      <c r="H5058" s="1178" t="s">
        <v>20224</v>
      </c>
      <c r="I5058" s="1178" t="s">
        <v>15949</v>
      </c>
      <c r="J5058" s="1178" t="s">
        <v>22514</v>
      </c>
      <c r="K5058" s="1178" t="s">
        <v>559</v>
      </c>
      <c r="L5058" s="1178"/>
      <c r="M5058" s="1369"/>
      <c r="N5058" s="1178"/>
      <c r="O5058" s="1178">
        <v>3</v>
      </c>
      <c r="P5058" s="1178">
        <v>9</v>
      </c>
    </row>
    <row r="5059" spans="1:16">
      <c r="A5059" s="1178" t="s">
        <v>564</v>
      </c>
      <c r="B5059" s="1371" t="str">
        <f>HYPERLINK(IFERROR("#Main_Tariff!A"&amp;MATCH(Raeburn_Main_Tariff[[#This Row],[Product Code]],Main_Tariff!I:I,0),"#Main_Tariff!A"&amp;MATCH("*"&amp;RIGHT(A5059,8)&amp;"*",Main_Tariff!A:A,0)),Raeburn_Main_Tariff[[#This Row],[PRODUCER]])</f>
        <v>J.J. Prüm</v>
      </c>
      <c r="C5059" s="1178" t="s">
        <v>22606</v>
      </c>
      <c r="D5059" s="1178" t="s">
        <v>1129</v>
      </c>
      <c r="E5059" s="1179">
        <v>2020</v>
      </c>
      <c r="F5059" s="1282" t="s">
        <v>20240</v>
      </c>
      <c r="G5059" s="1368">
        <v>57.5</v>
      </c>
      <c r="H5059" s="1178" t="s">
        <v>20224</v>
      </c>
      <c r="I5059" s="1178" t="s">
        <v>15951</v>
      </c>
      <c r="J5059" s="1178" t="s">
        <v>22514</v>
      </c>
      <c r="K5059" s="1178" t="s">
        <v>559</v>
      </c>
      <c r="L5059" s="1178"/>
      <c r="M5059" s="1369"/>
      <c r="N5059" s="1178"/>
      <c r="O5059" s="1178">
        <v>3</v>
      </c>
      <c r="P5059" s="1178">
        <v>8.5</v>
      </c>
    </row>
    <row r="5060" spans="1:16">
      <c r="A5060" s="1178" t="s">
        <v>564</v>
      </c>
      <c r="B5060" s="1371" t="str">
        <f>HYPERLINK(IFERROR("#Main_Tariff!A"&amp;MATCH(Raeburn_Main_Tariff[[#This Row],[Product Code]],Main_Tariff!I:I,0),"#Main_Tariff!A"&amp;MATCH("*"&amp;RIGHT(A5060,8)&amp;"*",Main_Tariff!A:A,0)),Raeburn_Main_Tariff[[#This Row],[PRODUCER]])</f>
        <v>J.J. Prüm</v>
      </c>
      <c r="C5060" s="1178" t="s">
        <v>22607</v>
      </c>
      <c r="D5060" s="1178" t="s">
        <v>1129</v>
      </c>
      <c r="E5060" s="1179">
        <v>2022</v>
      </c>
      <c r="F5060" s="1282" t="s">
        <v>20240</v>
      </c>
      <c r="G5060" s="1368">
        <v>75.5</v>
      </c>
      <c r="H5060" s="1178" t="s">
        <v>20224</v>
      </c>
      <c r="I5060" s="1178" t="s">
        <v>15953</v>
      </c>
      <c r="J5060" s="1178" t="s">
        <v>22514</v>
      </c>
      <c r="K5060" s="1178" t="s">
        <v>559</v>
      </c>
      <c r="L5060" s="1178"/>
      <c r="M5060" s="1369"/>
      <c r="N5060" s="1178"/>
      <c r="O5060" s="1178">
        <v>3</v>
      </c>
      <c r="P5060" s="1178">
        <v>8</v>
      </c>
    </row>
    <row r="5061" spans="1:16">
      <c r="A5061" s="1178" t="s">
        <v>564</v>
      </c>
      <c r="B5061" s="1371" t="str">
        <f>HYPERLINK(IFERROR("#Main_Tariff!A"&amp;MATCH(Raeburn_Main_Tariff[[#This Row],[Product Code]],Main_Tariff!I:I,0),"#Main_Tariff!A"&amp;MATCH("*"&amp;RIGHT(A5061,8)&amp;"*",Main_Tariff!A:A,0)),Raeburn_Main_Tariff[[#This Row],[PRODUCER]])</f>
        <v>J.J. Prüm</v>
      </c>
      <c r="C5061" s="1178" t="s">
        <v>22608</v>
      </c>
      <c r="D5061" s="1178" t="s">
        <v>1129</v>
      </c>
      <c r="E5061" s="1179">
        <v>2021</v>
      </c>
      <c r="F5061" s="1282" t="s">
        <v>20240</v>
      </c>
      <c r="G5061" s="1368">
        <v>67</v>
      </c>
      <c r="H5061" s="1178" t="s">
        <v>20224</v>
      </c>
      <c r="I5061" s="1178" t="s">
        <v>15955</v>
      </c>
      <c r="J5061" s="1178" t="s">
        <v>22514</v>
      </c>
      <c r="K5061" s="1178" t="s">
        <v>559</v>
      </c>
      <c r="L5061" s="1178"/>
      <c r="M5061" s="1369"/>
      <c r="N5061" s="1178"/>
      <c r="O5061" s="1178">
        <v>3</v>
      </c>
      <c r="P5061" s="1178">
        <v>7.5</v>
      </c>
    </row>
    <row r="5062" spans="1:16">
      <c r="A5062" s="1178" t="s">
        <v>564</v>
      </c>
      <c r="B5062" s="1371" t="str">
        <f>HYPERLINK(IFERROR("#Main_Tariff!A"&amp;MATCH(Raeburn_Main_Tariff[[#This Row],[Product Code]],Main_Tariff!I:I,0),"#Main_Tariff!A"&amp;MATCH("*"&amp;RIGHT(A5062,8)&amp;"*",Main_Tariff!A:A,0)),Raeburn_Main_Tariff[[#This Row],[PRODUCER]])</f>
        <v>J.J. Prüm</v>
      </c>
      <c r="C5062" s="1178" t="s">
        <v>22609</v>
      </c>
      <c r="D5062" s="1178" t="s">
        <v>1129</v>
      </c>
      <c r="E5062" s="1179">
        <v>2019</v>
      </c>
      <c r="F5062" s="1282" t="s">
        <v>20240</v>
      </c>
      <c r="G5062" s="1368">
        <v>68</v>
      </c>
      <c r="H5062" s="1178" t="s">
        <v>20224</v>
      </c>
      <c r="I5062" s="1178" t="s">
        <v>15957</v>
      </c>
      <c r="J5062" s="1178" t="s">
        <v>22514</v>
      </c>
      <c r="K5062" s="1178" t="s">
        <v>559</v>
      </c>
      <c r="L5062" s="1178"/>
      <c r="M5062" s="1369"/>
      <c r="N5062" s="1178"/>
      <c r="O5062" s="1178">
        <v>3</v>
      </c>
      <c r="P5062" s="1178">
        <v>9.5</v>
      </c>
    </row>
    <row r="5063" spans="1:16">
      <c r="A5063" s="1178" t="s">
        <v>564</v>
      </c>
      <c r="B5063" s="1371" t="str">
        <f>HYPERLINK(IFERROR("#Main_Tariff!A"&amp;MATCH(Raeburn_Main_Tariff[[#This Row],[Product Code]],Main_Tariff!I:I,0),"#Main_Tariff!A"&amp;MATCH("*"&amp;RIGHT(A5063,8)&amp;"*",Main_Tariff!A:A,0)),Raeburn_Main_Tariff[[#This Row],[PRODUCER]])</f>
        <v>J.J. Prüm</v>
      </c>
      <c r="C5063" s="1178" t="s">
        <v>22610</v>
      </c>
      <c r="D5063" s="1178" t="s">
        <v>1129</v>
      </c>
      <c r="E5063" s="1179">
        <v>2022</v>
      </c>
      <c r="F5063" s="1282" t="s">
        <v>20220</v>
      </c>
      <c r="G5063" s="1368">
        <v>28.5</v>
      </c>
      <c r="H5063" s="1178" t="s">
        <v>20221</v>
      </c>
      <c r="I5063" s="1178" t="s">
        <v>15960</v>
      </c>
      <c r="J5063" s="1178" t="s">
        <v>22514</v>
      </c>
      <c r="K5063" s="1178" t="s">
        <v>559</v>
      </c>
      <c r="L5063" s="1178"/>
      <c r="M5063" s="1369"/>
      <c r="N5063" s="1178"/>
      <c r="O5063" s="1178">
        <v>6</v>
      </c>
      <c r="P5063" s="1178">
        <v>8.5</v>
      </c>
    </row>
    <row r="5064" spans="1:16">
      <c r="A5064" s="1178" t="s">
        <v>564</v>
      </c>
      <c r="B5064" s="1371" t="str">
        <f>HYPERLINK(IFERROR("#Main_Tariff!A"&amp;MATCH(Raeburn_Main_Tariff[[#This Row],[Product Code]],Main_Tariff!I:I,0),"#Main_Tariff!A"&amp;MATCH("*"&amp;RIGHT(A5064,8)&amp;"*",Main_Tariff!A:A,0)),Raeburn_Main_Tariff[[#This Row],[PRODUCER]])</f>
        <v>J.J. Prüm</v>
      </c>
      <c r="C5064" s="1178" t="s">
        <v>22611</v>
      </c>
      <c r="D5064" s="1178" t="s">
        <v>1129</v>
      </c>
      <c r="E5064" s="1179">
        <v>2023</v>
      </c>
      <c r="F5064" s="1282" t="s">
        <v>20220</v>
      </c>
      <c r="G5064" s="1368">
        <v>33</v>
      </c>
      <c r="H5064" s="1178" t="s">
        <v>20221</v>
      </c>
      <c r="I5064" s="1178" t="s">
        <v>15962</v>
      </c>
      <c r="J5064" s="1178" t="s">
        <v>22514</v>
      </c>
      <c r="K5064" s="1178" t="s">
        <v>559</v>
      </c>
      <c r="L5064" s="1178"/>
      <c r="M5064" s="1369"/>
      <c r="N5064" s="1178"/>
      <c r="O5064" s="1178">
        <v>6</v>
      </c>
      <c r="P5064" s="1178">
        <v>8</v>
      </c>
    </row>
    <row r="5065" spans="1:16">
      <c r="A5065" s="1178" t="s">
        <v>564</v>
      </c>
      <c r="B5065" s="1371" t="str">
        <f>HYPERLINK(IFERROR("#Main_Tariff!A"&amp;MATCH(Raeburn_Main_Tariff[[#This Row],[Product Code]],Main_Tariff!I:I,0),"#Main_Tariff!A"&amp;MATCH("*"&amp;RIGHT(A5065,8)&amp;"*",Main_Tariff!A:A,0)),Raeburn_Main_Tariff[[#This Row],[PRODUCER]])</f>
        <v>J.J. Prüm</v>
      </c>
      <c r="C5065" s="1178" t="s">
        <v>22612</v>
      </c>
      <c r="D5065" s="1178" t="s">
        <v>1129</v>
      </c>
      <c r="E5065" s="1179">
        <v>2022</v>
      </c>
      <c r="F5065" s="1282" t="s">
        <v>20220</v>
      </c>
      <c r="G5065" s="1368">
        <v>33</v>
      </c>
      <c r="H5065" s="1178" t="s">
        <v>20224</v>
      </c>
      <c r="I5065" s="1178" t="s">
        <v>15964</v>
      </c>
      <c r="J5065" s="1178" t="s">
        <v>22514</v>
      </c>
      <c r="K5065" s="1178" t="s">
        <v>559</v>
      </c>
      <c r="L5065" s="1178"/>
      <c r="M5065" s="1369"/>
      <c r="N5065" s="1178"/>
      <c r="O5065" s="1178">
        <v>6</v>
      </c>
      <c r="P5065" s="1178">
        <v>8</v>
      </c>
    </row>
    <row r="5066" spans="1:16">
      <c r="A5066" s="1178" t="s">
        <v>564</v>
      </c>
      <c r="B5066" s="1371" t="str">
        <f>HYPERLINK(IFERROR("#Main_Tariff!A"&amp;MATCH(Raeburn_Main_Tariff[[#This Row],[Product Code]],Main_Tariff!I:I,0),"#Main_Tariff!A"&amp;MATCH("*"&amp;RIGHT(A5066,8)&amp;"*",Main_Tariff!A:A,0)),Raeburn_Main_Tariff[[#This Row],[PRODUCER]])</f>
        <v>J.J. Prüm</v>
      </c>
      <c r="C5066" s="1178" t="s">
        <v>22613</v>
      </c>
      <c r="D5066" s="1178" t="s">
        <v>1129</v>
      </c>
      <c r="E5066" s="1179">
        <v>2021</v>
      </c>
      <c r="F5066" s="1282" t="s">
        <v>20220</v>
      </c>
      <c r="G5066" s="1368">
        <v>29</v>
      </c>
      <c r="H5066" s="1178" t="s">
        <v>20224</v>
      </c>
      <c r="I5066" s="1178" t="s">
        <v>15966</v>
      </c>
      <c r="J5066" s="1178" t="s">
        <v>22514</v>
      </c>
      <c r="K5066" s="1178" t="s">
        <v>559</v>
      </c>
      <c r="L5066" s="1178"/>
      <c r="M5066" s="1369"/>
      <c r="N5066" s="1178"/>
      <c r="O5066" s="1178">
        <v>6</v>
      </c>
      <c r="P5066" s="1178">
        <v>7.5</v>
      </c>
    </row>
    <row r="5067" spans="1:16">
      <c r="A5067" s="1178" t="s">
        <v>564</v>
      </c>
      <c r="B5067" s="1371" t="str">
        <f>HYPERLINK(IFERROR("#Main_Tariff!A"&amp;MATCH(Raeburn_Main_Tariff[[#This Row],[Product Code]],Main_Tariff!I:I,0),"#Main_Tariff!A"&amp;MATCH("*"&amp;RIGHT(A5067,8)&amp;"*",Main_Tariff!A:A,0)),Raeburn_Main_Tariff[[#This Row],[PRODUCER]])</f>
        <v>J.J. Prüm</v>
      </c>
      <c r="C5067" s="1178" t="s">
        <v>22614</v>
      </c>
      <c r="D5067" s="1178" t="s">
        <v>1129</v>
      </c>
      <c r="E5067" s="1179">
        <v>2019</v>
      </c>
      <c r="F5067" s="1282" t="s">
        <v>20220</v>
      </c>
      <c r="G5067" s="1368">
        <v>29.5</v>
      </c>
      <c r="H5067" s="1178" t="s">
        <v>20277</v>
      </c>
      <c r="I5067" s="1178" t="s">
        <v>15968</v>
      </c>
      <c r="J5067" s="1178" t="s">
        <v>22514</v>
      </c>
      <c r="K5067" s="1178" t="s">
        <v>559</v>
      </c>
      <c r="L5067" s="1178"/>
      <c r="M5067" s="1369"/>
      <c r="N5067" s="1178"/>
      <c r="O5067" s="1178">
        <v>6</v>
      </c>
      <c r="P5067" s="1178">
        <v>9</v>
      </c>
    </row>
    <row r="5068" spans="1:16">
      <c r="A5068" s="1178" t="s">
        <v>564</v>
      </c>
      <c r="B5068" s="1371" t="str">
        <f>HYPERLINK(IFERROR("#Main_Tariff!A"&amp;MATCH(Raeburn_Main_Tariff[[#This Row],[Product Code]],Main_Tariff!I:I,0),"#Main_Tariff!A"&amp;MATCH("*"&amp;RIGHT(A5068,8)&amp;"*",Main_Tariff!A:A,0)),Raeburn_Main_Tariff[[#This Row],[PRODUCER]])</f>
        <v>J.J. Prüm</v>
      </c>
      <c r="C5068" s="1178" t="s">
        <v>22615</v>
      </c>
      <c r="D5068" s="1178" t="s">
        <v>1129</v>
      </c>
      <c r="E5068" s="1179">
        <v>2023</v>
      </c>
      <c r="F5068" s="1282" t="s">
        <v>20220</v>
      </c>
      <c r="G5068" s="1368">
        <v>35</v>
      </c>
      <c r="H5068" s="1178" t="s">
        <v>20221</v>
      </c>
      <c r="I5068" s="1178" t="s">
        <v>15970</v>
      </c>
      <c r="J5068" s="1178" t="s">
        <v>22514</v>
      </c>
      <c r="K5068" s="1178" t="s">
        <v>559</v>
      </c>
      <c r="L5068" s="1178"/>
      <c r="M5068" s="1369"/>
      <c r="N5068" s="1178"/>
      <c r="O5068" s="1178">
        <v>6</v>
      </c>
      <c r="P5068" s="1178">
        <v>8</v>
      </c>
    </row>
    <row r="5069" spans="1:16">
      <c r="A5069" s="1178" t="s">
        <v>564</v>
      </c>
      <c r="B5069" s="1371" t="str">
        <f>HYPERLINK(IFERROR("#Main_Tariff!A"&amp;MATCH(Raeburn_Main_Tariff[[#This Row],[Product Code]],Main_Tariff!I:I,0),"#Main_Tariff!A"&amp;MATCH("*"&amp;RIGHT(A5069,8)&amp;"*",Main_Tariff!A:A,0)),Raeburn_Main_Tariff[[#This Row],[PRODUCER]])</f>
        <v>J.J. Prüm</v>
      </c>
      <c r="C5069" s="1178" t="s">
        <v>22616</v>
      </c>
      <c r="D5069" s="1178" t="s">
        <v>1129</v>
      </c>
      <c r="E5069" s="1179">
        <v>2022</v>
      </c>
      <c r="F5069" s="1282" t="s">
        <v>20220</v>
      </c>
      <c r="G5069" s="1368">
        <v>35</v>
      </c>
      <c r="H5069" s="1178" t="s">
        <v>20221</v>
      </c>
      <c r="I5069" s="1178" t="s">
        <v>15972</v>
      </c>
      <c r="J5069" s="1178" t="s">
        <v>22514</v>
      </c>
      <c r="K5069" s="1178" t="s">
        <v>559</v>
      </c>
      <c r="L5069" s="1178"/>
      <c r="M5069" s="1369"/>
      <c r="N5069" s="1178"/>
      <c r="O5069" s="1178">
        <v>6</v>
      </c>
      <c r="P5069" s="1178">
        <v>7.5</v>
      </c>
    </row>
    <row r="5070" spans="1:16">
      <c r="A5070" s="1178" t="s">
        <v>564</v>
      </c>
      <c r="B5070" s="1371" t="str">
        <f>HYPERLINK(IFERROR("#Main_Tariff!A"&amp;MATCH(Raeburn_Main_Tariff[[#This Row],[Product Code]],Main_Tariff!I:I,0),"#Main_Tariff!A"&amp;MATCH("*"&amp;RIGHT(A5070,8)&amp;"*",Main_Tariff!A:A,0)),Raeburn_Main_Tariff[[#This Row],[PRODUCER]])</f>
        <v>J.J. Prüm</v>
      </c>
      <c r="C5070" s="1178" t="s">
        <v>22617</v>
      </c>
      <c r="D5070" s="1178" t="s">
        <v>1129</v>
      </c>
      <c r="E5070" s="1179">
        <v>2021</v>
      </c>
      <c r="F5070" s="1282" t="s">
        <v>20220</v>
      </c>
      <c r="G5070" s="1368">
        <v>32</v>
      </c>
      <c r="H5070" s="1178" t="s">
        <v>20221</v>
      </c>
      <c r="I5070" s="1178" t="s">
        <v>15974</v>
      </c>
      <c r="J5070" s="1178" t="s">
        <v>22514</v>
      </c>
      <c r="K5070" s="1178" t="s">
        <v>559</v>
      </c>
      <c r="L5070" s="1178"/>
      <c r="M5070" s="1369"/>
      <c r="N5070" s="1178"/>
      <c r="O5070" s="1178">
        <v>6</v>
      </c>
      <c r="P5070" s="1178">
        <v>7</v>
      </c>
    </row>
    <row r="5071" spans="1:16">
      <c r="A5071" s="1178" t="s">
        <v>564</v>
      </c>
      <c r="B5071" s="1371" t="str">
        <f>HYPERLINK(IFERROR("#Main_Tariff!A"&amp;MATCH(Raeburn_Main_Tariff[[#This Row],[Product Code]],Main_Tariff!I:I,0),"#Main_Tariff!A"&amp;MATCH("*"&amp;RIGHT(A5071,8)&amp;"*",Main_Tariff!A:A,0)),Raeburn_Main_Tariff[[#This Row],[PRODUCER]])</f>
        <v>J.J. Prüm</v>
      </c>
      <c r="C5071" s="1178" t="s">
        <v>22618</v>
      </c>
      <c r="D5071" s="1178" t="s">
        <v>1129</v>
      </c>
      <c r="E5071" s="1179">
        <v>2020</v>
      </c>
      <c r="F5071" s="1282" t="s">
        <v>20220</v>
      </c>
      <c r="G5071" s="1368">
        <v>32</v>
      </c>
      <c r="H5071" s="1178" t="s">
        <v>20224</v>
      </c>
      <c r="I5071" s="1178" t="s">
        <v>15975</v>
      </c>
      <c r="J5071" s="1178" t="s">
        <v>22514</v>
      </c>
      <c r="K5071" s="1178" t="s">
        <v>559</v>
      </c>
      <c r="L5071" s="1178"/>
      <c r="M5071" s="1369"/>
      <c r="N5071" s="1178"/>
      <c r="O5071" s="1178">
        <v>6</v>
      </c>
      <c r="P5071" s="1178">
        <v>7.5</v>
      </c>
    </row>
    <row r="5072" spans="1:16">
      <c r="A5072" s="1178" t="s">
        <v>564</v>
      </c>
      <c r="B5072" s="1371" t="str">
        <f>HYPERLINK(IFERROR("#Main_Tariff!A"&amp;MATCH(Raeburn_Main_Tariff[[#This Row],[Product Code]],Main_Tariff!I:I,0),"#Main_Tariff!A"&amp;MATCH("*"&amp;RIGHT(A5072,8)&amp;"*",Main_Tariff!A:A,0)),Raeburn_Main_Tariff[[#This Row],[PRODUCER]])</f>
        <v>J.J. Prüm</v>
      </c>
      <c r="C5072" s="1178" t="s">
        <v>22619</v>
      </c>
      <c r="D5072" s="1178" t="s">
        <v>1129</v>
      </c>
      <c r="E5072" s="1179">
        <v>2020</v>
      </c>
      <c r="F5072" s="1282" t="s">
        <v>20220</v>
      </c>
      <c r="G5072" s="1368">
        <v>32</v>
      </c>
      <c r="H5072" s="1178" t="s">
        <v>20224</v>
      </c>
      <c r="I5072" s="1178" t="s">
        <v>15976</v>
      </c>
      <c r="J5072" s="1178" t="s">
        <v>22514</v>
      </c>
      <c r="K5072" s="1178" t="s">
        <v>559</v>
      </c>
      <c r="L5072" s="1178"/>
      <c r="M5072" s="1369"/>
      <c r="N5072" s="1178"/>
      <c r="O5072" s="1178">
        <v>6</v>
      </c>
      <c r="P5072" s="1178">
        <v>7.5</v>
      </c>
    </row>
    <row r="5073" spans="1:16">
      <c r="A5073" s="1178" t="s">
        <v>564</v>
      </c>
      <c r="B5073" s="1371" t="str">
        <f>HYPERLINK(IFERROR("#Main_Tariff!A"&amp;MATCH(Raeburn_Main_Tariff[[#This Row],[Product Code]],Main_Tariff!I:I,0),"#Main_Tariff!A"&amp;MATCH("*"&amp;RIGHT(A5073,8)&amp;"*",Main_Tariff!A:A,0)),Raeburn_Main_Tariff[[#This Row],[PRODUCER]])</f>
        <v>J.J. Prüm</v>
      </c>
      <c r="C5073" s="1178" t="s">
        <v>22620</v>
      </c>
      <c r="D5073" s="1178" t="s">
        <v>1129</v>
      </c>
      <c r="E5073" s="1179">
        <v>2021</v>
      </c>
      <c r="F5073" s="1282" t="s">
        <v>20240</v>
      </c>
      <c r="G5073" s="1368">
        <v>72</v>
      </c>
      <c r="H5073" s="1178" t="s">
        <v>20224</v>
      </c>
      <c r="I5073" s="1178" t="s">
        <v>15977</v>
      </c>
      <c r="J5073" s="1178" t="s">
        <v>22514</v>
      </c>
      <c r="K5073" s="1178" t="s">
        <v>559</v>
      </c>
      <c r="L5073" s="1178"/>
      <c r="M5073" s="1369"/>
      <c r="N5073" s="1178"/>
      <c r="O5073" s="1178">
        <v>3</v>
      </c>
      <c r="P5073" s="1178">
        <v>7</v>
      </c>
    </row>
    <row r="5074" spans="1:16">
      <c r="A5074" s="1178" t="s">
        <v>564</v>
      </c>
      <c r="B5074" s="1371" t="str">
        <f>HYPERLINK(IFERROR("#Main_Tariff!A"&amp;MATCH(Raeburn_Main_Tariff[[#This Row],[Product Code]],Main_Tariff!I:I,0),"#Main_Tariff!A"&amp;MATCH("*"&amp;RIGHT(A5074,8)&amp;"*",Main_Tariff!A:A,0)),Raeburn_Main_Tariff[[#This Row],[PRODUCER]])</f>
        <v>J.J. Prüm</v>
      </c>
      <c r="C5074" s="1178" t="s">
        <v>22621</v>
      </c>
      <c r="D5074" s="1178" t="s">
        <v>1129</v>
      </c>
      <c r="E5074" s="1179">
        <v>2019</v>
      </c>
      <c r="F5074" s="1282" t="s">
        <v>20240</v>
      </c>
      <c r="G5074" s="1368">
        <v>73</v>
      </c>
      <c r="H5074" s="1178" t="s">
        <v>20224</v>
      </c>
      <c r="I5074" s="1178" t="s">
        <v>15979</v>
      </c>
      <c r="J5074" s="1178" t="s">
        <v>22514</v>
      </c>
      <c r="K5074" s="1178" t="s">
        <v>559</v>
      </c>
      <c r="L5074" s="1178"/>
      <c r="M5074" s="1369"/>
      <c r="N5074" s="1178"/>
      <c r="O5074" s="1178">
        <v>3</v>
      </c>
      <c r="P5074" s="1178">
        <v>8.5</v>
      </c>
    </row>
    <row r="5075" spans="1:16">
      <c r="A5075" s="1178" t="s">
        <v>564</v>
      </c>
      <c r="B5075" s="1371" t="str">
        <f>HYPERLINK(IFERROR("#Main_Tariff!A"&amp;MATCH(Raeburn_Main_Tariff[[#This Row],[Product Code]],Main_Tariff!I:I,0),"#Main_Tariff!A"&amp;MATCH("*"&amp;RIGHT(A5075,8)&amp;"*",Main_Tariff!A:A,0)),Raeburn_Main_Tariff[[#This Row],[PRODUCER]])</f>
        <v>J.J. Prüm</v>
      </c>
      <c r="C5075" s="1178" t="s">
        <v>22622</v>
      </c>
      <c r="D5075" s="1178" t="s">
        <v>1410</v>
      </c>
      <c r="E5075" s="1179">
        <v>2020</v>
      </c>
      <c r="F5075" s="1282" t="s">
        <v>20280</v>
      </c>
      <c r="G5075" s="1368">
        <v>17</v>
      </c>
      <c r="H5075" s="1178" t="s">
        <v>20221</v>
      </c>
      <c r="I5075" s="1178" t="s">
        <v>15982</v>
      </c>
      <c r="J5075" s="1178" t="s">
        <v>22514</v>
      </c>
      <c r="K5075" s="1178" t="s">
        <v>559</v>
      </c>
      <c r="L5075" s="1178"/>
      <c r="M5075" s="1369"/>
      <c r="N5075" s="1178"/>
      <c r="O5075" s="1178">
        <v>12</v>
      </c>
      <c r="P5075" s="1178">
        <v>7</v>
      </c>
    </row>
    <row r="5076" spans="1:16">
      <c r="A5076" s="1178" t="s">
        <v>564</v>
      </c>
      <c r="B5076" s="1371" t="str">
        <f>HYPERLINK(IFERROR("#Main_Tariff!A"&amp;MATCH(Raeburn_Main_Tariff[[#This Row],[Product Code]],Main_Tariff!I:I,0),"#Main_Tariff!A"&amp;MATCH("*"&amp;RIGHT(A5076,8)&amp;"*",Main_Tariff!A:A,0)),Raeburn_Main_Tariff[[#This Row],[PRODUCER]])</f>
        <v>J.J. Prüm</v>
      </c>
      <c r="C5076" s="1178" t="s">
        <v>22623</v>
      </c>
      <c r="D5076" s="1178" t="s">
        <v>1410</v>
      </c>
      <c r="E5076" s="1179">
        <v>2019</v>
      </c>
      <c r="F5076" s="1282" t="s">
        <v>20280</v>
      </c>
      <c r="G5076" s="1368">
        <v>17</v>
      </c>
      <c r="H5076" s="1178" t="s">
        <v>20221</v>
      </c>
      <c r="I5076" s="1178" t="s">
        <v>15984</v>
      </c>
      <c r="J5076" s="1178" t="s">
        <v>22514</v>
      </c>
      <c r="K5076" s="1178" t="s">
        <v>559</v>
      </c>
      <c r="L5076" s="1178"/>
      <c r="M5076" s="1369"/>
      <c r="N5076" s="1178"/>
      <c r="O5076" s="1178">
        <v>12</v>
      </c>
      <c r="P5076" s="1178">
        <v>7</v>
      </c>
    </row>
    <row r="5077" spans="1:16">
      <c r="A5077" s="1178" t="s">
        <v>564</v>
      </c>
      <c r="B5077" s="1371" t="str">
        <f>HYPERLINK(IFERROR("#Main_Tariff!A"&amp;MATCH(Raeburn_Main_Tariff[[#This Row],[Product Code]],Main_Tariff!I:I,0),"#Main_Tariff!A"&amp;MATCH("*"&amp;RIGHT(A5077,8)&amp;"*",Main_Tariff!A:A,0)),Raeburn_Main_Tariff[[#This Row],[PRODUCER]])</f>
        <v>J.J. Prüm</v>
      </c>
      <c r="C5077" s="1178" t="s">
        <v>22624</v>
      </c>
      <c r="D5077" s="1178" t="s">
        <v>1410</v>
      </c>
      <c r="E5077" s="1179">
        <v>2023</v>
      </c>
      <c r="F5077" s="1282" t="s">
        <v>20280</v>
      </c>
      <c r="G5077" s="1368">
        <v>23</v>
      </c>
      <c r="H5077" s="1178" t="s">
        <v>20221</v>
      </c>
      <c r="I5077" s="1178" t="s">
        <v>15986</v>
      </c>
      <c r="J5077" s="1178" t="s">
        <v>22514</v>
      </c>
      <c r="K5077" s="1178" t="s">
        <v>559</v>
      </c>
      <c r="L5077" s="1178"/>
      <c r="M5077" s="1369"/>
      <c r="N5077" s="1178"/>
      <c r="O5077" s="1178">
        <v>6</v>
      </c>
      <c r="P5077" s="1178">
        <v>8</v>
      </c>
    </row>
    <row r="5078" spans="1:16">
      <c r="A5078" s="1178" t="s">
        <v>564</v>
      </c>
      <c r="B5078" s="1371" t="str">
        <f>HYPERLINK(IFERROR("#Main_Tariff!A"&amp;MATCH(Raeburn_Main_Tariff[[#This Row],[Product Code]],Main_Tariff!I:I,0),"#Main_Tariff!A"&amp;MATCH("*"&amp;RIGHT(A5078,8)&amp;"*",Main_Tariff!A:A,0)),Raeburn_Main_Tariff[[#This Row],[PRODUCER]])</f>
        <v>J.J. Prüm</v>
      </c>
      <c r="C5078" s="1178" t="s">
        <v>22625</v>
      </c>
      <c r="D5078" s="1178" t="s">
        <v>1410</v>
      </c>
      <c r="E5078" s="1179">
        <v>2022</v>
      </c>
      <c r="F5078" s="1282" t="s">
        <v>20280</v>
      </c>
      <c r="G5078" s="1368">
        <v>23</v>
      </c>
      <c r="H5078" s="1178" t="s">
        <v>20221</v>
      </c>
      <c r="I5078" s="1178" t="s">
        <v>15988</v>
      </c>
      <c r="J5078" s="1178" t="s">
        <v>22514</v>
      </c>
      <c r="K5078" s="1178" t="s">
        <v>559</v>
      </c>
      <c r="L5078" s="1178"/>
      <c r="M5078" s="1369"/>
      <c r="N5078" s="1178"/>
      <c r="O5078" s="1178">
        <v>6</v>
      </c>
      <c r="P5078" s="1178">
        <v>8</v>
      </c>
    </row>
    <row r="5079" spans="1:16">
      <c r="A5079" s="1178" t="s">
        <v>564</v>
      </c>
      <c r="B5079" s="1371" t="str">
        <f>HYPERLINK(IFERROR("#Main_Tariff!A"&amp;MATCH(Raeburn_Main_Tariff[[#This Row],[Product Code]],Main_Tariff!I:I,0),"#Main_Tariff!A"&amp;MATCH("*"&amp;RIGHT(A5079,8)&amp;"*",Main_Tariff!A:A,0)),Raeburn_Main_Tariff[[#This Row],[PRODUCER]])</f>
        <v>J.J. Prüm</v>
      </c>
      <c r="C5079" s="1178" t="s">
        <v>22626</v>
      </c>
      <c r="D5079" s="1178" t="s">
        <v>1410</v>
      </c>
      <c r="E5079" s="1179">
        <v>2021</v>
      </c>
      <c r="F5079" s="1282" t="s">
        <v>20280</v>
      </c>
      <c r="G5079" s="1368">
        <v>21</v>
      </c>
      <c r="H5079" s="1178" t="s">
        <v>20221</v>
      </c>
      <c r="I5079" s="1178" t="s">
        <v>15990</v>
      </c>
      <c r="J5079" s="1178" t="s">
        <v>22514</v>
      </c>
      <c r="K5079" s="1178" t="s">
        <v>559</v>
      </c>
      <c r="L5079" s="1178"/>
      <c r="M5079" s="1369"/>
      <c r="N5079" s="1178"/>
      <c r="O5079" s="1178">
        <v>12</v>
      </c>
      <c r="P5079" s="1178">
        <v>7</v>
      </c>
    </row>
    <row r="5080" spans="1:16">
      <c r="A5080" s="1178" t="s">
        <v>564</v>
      </c>
      <c r="B5080" s="1371" t="str">
        <f>HYPERLINK(IFERROR("#Main_Tariff!A"&amp;MATCH(Raeburn_Main_Tariff[[#This Row],[Product Code]],Main_Tariff!I:I,0),"#Main_Tariff!A"&amp;MATCH("*"&amp;RIGHT(A5080,8)&amp;"*",Main_Tariff!A:A,0)),Raeburn_Main_Tariff[[#This Row],[PRODUCER]])</f>
        <v>J.J. Prüm</v>
      </c>
      <c r="C5080" s="1178" t="s">
        <v>22627</v>
      </c>
      <c r="D5080" s="1178" t="s">
        <v>1410</v>
      </c>
      <c r="E5080" s="1179">
        <v>2019</v>
      </c>
      <c r="F5080" s="1282" t="s">
        <v>20280</v>
      </c>
      <c r="G5080" s="1368">
        <v>21</v>
      </c>
      <c r="H5080" s="1178" t="s">
        <v>20224</v>
      </c>
      <c r="I5080" s="1178" t="s">
        <v>15992</v>
      </c>
      <c r="J5080" s="1178" t="s">
        <v>22514</v>
      </c>
      <c r="K5080" s="1178" t="s">
        <v>559</v>
      </c>
      <c r="L5080" s="1178"/>
      <c r="M5080" s="1369"/>
      <c r="N5080" s="1178"/>
      <c r="O5080" s="1178">
        <v>12</v>
      </c>
      <c r="P5080" s="1178">
        <v>7.5</v>
      </c>
    </row>
    <row r="5081" spans="1:16">
      <c r="A5081" s="1178" t="s">
        <v>564</v>
      </c>
      <c r="B5081" s="1371" t="str">
        <f>HYPERLINK(IFERROR("#Main_Tariff!A"&amp;MATCH(Raeburn_Main_Tariff[[#This Row],[Product Code]],Main_Tariff!I:I,0),"#Main_Tariff!A"&amp;MATCH("*"&amp;RIGHT(A5081,8)&amp;"*",Main_Tariff!A:A,0)),Raeburn_Main_Tariff[[#This Row],[PRODUCER]])</f>
        <v>J.J. Prüm</v>
      </c>
      <c r="C5081" s="1178" t="s">
        <v>22628</v>
      </c>
      <c r="D5081" s="1178" t="s">
        <v>1410</v>
      </c>
      <c r="E5081" s="1179">
        <v>2023</v>
      </c>
      <c r="F5081" s="1282" t="s">
        <v>20220</v>
      </c>
      <c r="G5081" s="1368">
        <v>37</v>
      </c>
      <c r="H5081" s="1178" t="s">
        <v>20221</v>
      </c>
      <c r="I5081" s="1178" t="s">
        <v>15994</v>
      </c>
      <c r="J5081" s="1178" t="s">
        <v>22514</v>
      </c>
      <c r="K5081" s="1178" t="s">
        <v>559</v>
      </c>
      <c r="L5081" s="1178"/>
      <c r="M5081" s="1369"/>
      <c r="N5081" s="1178"/>
      <c r="O5081" s="1178">
        <v>6</v>
      </c>
      <c r="P5081" s="1178">
        <v>8</v>
      </c>
    </row>
    <row r="5082" spans="1:16">
      <c r="A5082" s="1178" t="s">
        <v>564</v>
      </c>
      <c r="B5082" s="1371" t="str">
        <f>HYPERLINK(IFERROR("#Main_Tariff!A"&amp;MATCH(Raeburn_Main_Tariff[[#This Row],[Product Code]],Main_Tariff!I:I,0),"#Main_Tariff!A"&amp;MATCH("*"&amp;RIGHT(A5082,8)&amp;"*",Main_Tariff!A:A,0)),Raeburn_Main_Tariff[[#This Row],[PRODUCER]])</f>
        <v>J.J. Prüm</v>
      </c>
      <c r="C5082" s="1178" t="s">
        <v>22629</v>
      </c>
      <c r="D5082" s="1178" t="s">
        <v>1410</v>
      </c>
      <c r="E5082" s="1179">
        <v>2022</v>
      </c>
      <c r="F5082" s="1282" t="s">
        <v>20220</v>
      </c>
      <c r="G5082" s="1368">
        <v>37</v>
      </c>
      <c r="H5082" s="1178" t="s">
        <v>20221</v>
      </c>
      <c r="I5082" s="1178" t="s">
        <v>15996</v>
      </c>
      <c r="J5082" s="1178" t="s">
        <v>22514</v>
      </c>
      <c r="K5082" s="1178" t="s">
        <v>559</v>
      </c>
      <c r="L5082" s="1178"/>
      <c r="M5082" s="1369"/>
      <c r="N5082" s="1178"/>
      <c r="O5082" s="1178">
        <v>6</v>
      </c>
      <c r="P5082" s="1178">
        <v>8</v>
      </c>
    </row>
    <row r="5083" spans="1:16">
      <c r="A5083" s="1178" t="s">
        <v>564</v>
      </c>
      <c r="B5083" s="1371" t="str">
        <f>HYPERLINK(IFERROR("#Main_Tariff!A"&amp;MATCH(Raeburn_Main_Tariff[[#This Row],[Product Code]],Main_Tariff!I:I,0),"#Main_Tariff!A"&amp;MATCH("*"&amp;RIGHT(A5083,8)&amp;"*",Main_Tariff!A:A,0)),Raeburn_Main_Tariff[[#This Row],[PRODUCER]])</f>
        <v>J.J. Prüm</v>
      </c>
      <c r="C5083" s="1178" t="s">
        <v>22630</v>
      </c>
      <c r="D5083" s="1178" t="s">
        <v>1410</v>
      </c>
      <c r="E5083" s="1179">
        <v>2021</v>
      </c>
      <c r="F5083" s="1282" t="s">
        <v>20220</v>
      </c>
      <c r="G5083" s="1368">
        <v>33</v>
      </c>
      <c r="H5083" s="1178" t="s">
        <v>20221</v>
      </c>
      <c r="I5083" s="1178" t="s">
        <v>15997</v>
      </c>
      <c r="J5083" s="1178" t="s">
        <v>22514</v>
      </c>
      <c r="K5083" s="1178" t="s">
        <v>559</v>
      </c>
      <c r="L5083" s="1178"/>
      <c r="M5083" s="1369"/>
      <c r="N5083" s="1178"/>
      <c r="O5083" s="1178">
        <v>6</v>
      </c>
      <c r="P5083" s="1178">
        <v>7</v>
      </c>
    </row>
    <row r="5084" spans="1:16">
      <c r="A5084" s="1178" t="s">
        <v>564</v>
      </c>
      <c r="B5084" s="1371" t="str">
        <f>HYPERLINK(IFERROR("#Main_Tariff!A"&amp;MATCH(Raeburn_Main_Tariff[[#This Row],[Product Code]],Main_Tariff!I:I,0),"#Main_Tariff!A"&amp;MATCH("*"&amp;RIGHT(A5084,8)&amp;"*",Main_Tariff!A:A,0)),Raeburn_Main_Tariff[[#This Row],[PRODUCER]])</f>
        <v>J.J. Prüm</v>
      </c>
      <c r="C5084" s="1178" t="s">
        <v>22631</v>
      </c>
      <c r="D5084" s="1178" t="s">
        <v>1410</v>
      </c>
      <c r="E5084" s="1179">
        <v>2020</v>
      </c>
      <c r="F5084" s="1282" t="s">
        <v>20220</v>
      </c>
      <c r="G5084" s="1368">
        <v>33</v>
      </c>
      <c r="H5084" s="1178" t="s">
        <v>20221</v>
      </c>
      <c r="I5084" s="1178" t="s">
        <v>15998</v>
      </c>
      <c r="J5084" s="1178" t="s">
        <v>22514</v>
      </c>
      <c r="K5084" s="1178" t="s">
        <v>559</v>
      </c>
      <c r="L5084" s="1178"/>
      <c r="M5084" s="1369"/>
      <c r="N5084" s="1178"/>
      <c r="O5084" s="1178">
        <v>6</v>
      </c>
      <c r="P5084" s="1178">
        <v>7.5</v>
      </c>
    </row>
    <row r="5085" spans="1:16">
      <c r="A5085" s="1178" t="s">
        <v>564</v>
      </c>
      <c r="B5085" s="1371" t="str">
        <f>HYPERLINK(IFERROR("#Main_Tariff!A"&amp;MATCH(Raeburn_Main_Tariff[[#This Row],[Product Code]],Main_Tariff!I:I,0),"#Main_Tariff!A"&amp;MATCH("*"&amp;RIGHT(A5085,8)&amp;"*",Main_Tariff!A:A,0)),Raeburn_Main_Tariff[[#This Row],[PRODUCER]])</f>
        <v>J.J. Prüm</v>
      </c>
      <c r="C5085" s="1178" t="s">
        <v>22632</v>
      </c>
      <c r="D5085" s="1178" t="s">
        <v>1410</v>
      </c>
      <c r="E5085" s="1179">
        <v>2015</v>
      </c>
      <c r="F5085" s="1282" t="s">
        <v>20220</v>
      </c>
      <c r="G5085" s="1368">
        <v>33</v>
      </c>
      <c r="H5085" s="1178" t="s">
        <v>20224</v>
      </c>
      <c r="I5085" s="1178" t="s">
        <v>15999</v>
      </c>
      <c r="J5085" s="1178" t="s">
        <v>22514</v>
      </c>
      <c r="K5085" s="1178" t="s">
        <v>559</v>
      </c>
      <c r="L5085" s="1178"/>
      <c r="M5085" s="1369"/>
      <c r="N5085" s="1178"/>
      <c r="O5085" s="1178">
        <v>6</v>
      </c>
      <c r="P5085" s="1178">
        <v>7.5</v>
      </c>
    </row>
    <row r="5086" spans="1:16">
      <c r="A5086" s="1178" t="s">
        <v>564</v>
      </c>
      <c r="B5086" s="1371" t="str">
        <f>HYPERLINK(IFERROR("#Main_Tariff!A"&amp;MATCH(Raeburn_Main_Tariff[[#This Row],[Product Code]],Main_Tariff!I:I,0),"#Main_Tariff!A"&amp;MATCH("*"&amp;RIGHT(A5086,8)&amp;"*",Main_Tariff!A:A,0)),Raeburn_Main_Tariff[[#This Row],[PRODUCER]])</f>
        <v>J.J. Prüm</v>
      </c>
      <c r="C5086" s="1178" t="s">
        <v>22633</v>
      </c>
      <c r="D5086" s="1178" t="s">
        <v>1410</v>
      </c>
      <c r="E5086" s="1179">
        <v>2023</v>
      </c>
      <c r="F5086" s="1282" t="s">
        <v>20220</v>
      </c>
      <c r="G5086" s="1368">
        <v>41</v>
      </c>
      <c r="H5086" s="1178" t="s">
        <v>20221</v>
      </c>
      <c r="I5086" s="1178" t="s">
        <v>16000</v>
      </c>
      <c r="J5086" s="1178" t="s">
        <v>22514</v>
      </c>
      <c r="K5086" s="1178" t="s">
        <v>559</v>
      </c>
      <c r="L5086" s="1178"/>
      <c r="M5086" s="1369"/>
      <c r="N5086" s="1178"/>
      <c r="O5086" s="1178">
        <v>6</v>
      </c>
      <c r="P5086" s="1178">
        <v>8</v>
      </c>
    </row>
    <row r="5087" spans="1:16">
      <c r="A5087" s="1178" t="s">
        <v>564</v>
      </c>
      <c r="B5087" s="1371" t="str">
        <f>HYPERLINK(IFERROR("#Main_Tariff!A"&amp;MATCH(Raeburn_Main_Tariff[[#This Row],[Product Code]],Main_Tariff!I:I,0),"#Main_Tariff!A"&amp;MATCH("*"&amp;RIGHT(A5087,8)&amp;"*",Main_Tariff!A:A,0)),Raeburn_Main_Tariff[[#This Row],[PRODUCER]])</f>
        <v>J.J. Prüm</v>
      </c>
      <c r="C5087" s="1178" t="s">
        <v>22634</v>
      </c>
      <c r="D5087" s="1178" t="s">
        <v>1410</v>
      </c>
      <c r="E5087" s="1179">
        <v>2022</v>
      </c>
      <c r="F5087" s="1282" t="s">
        <v>20220</v>
      </c>
      <c r="G5087" s="1368">
        <v>41</v>
      </c>
      <c r="H5087" s="1178" t="s">
        <v>20221</v>
      </c>
      <c r="I5087" s="1178" t="s">
        <v>16002</v>
      </c>
      <c r="J5087" s="1178" t="s">
        <v>22514</v>
      </c>
      <c r="K5087" s="1178" t="s">
        <v>559</v>
      </c>
      <c r="L5087" s="1178"/>
      <c r="M5087" s="1369"/>
      <c r="N5087" s="1178"/>
      <c r="O5087" s="1178">
        <v>6</v>
      </c>
      <c r="P5087" s="1178">
        <v>8</v>
      </c>
    </row>
    <row r="5088" spans="1:16">
      <c r="A5088" s="1178" t="s">
        <v>564</v>
      </c>
      <c r="B5088" s="1371" t="str">
        <f>HYPERLINK(IFERROR("#Main_Tariff!A"&amp;MATCH(Raeburn_Main_Tariff[[#This Row],[Product Code]],Main_Tariff!I:I,0),"#Main_Tariff!A"&amp;MATCH("*"&amp;RIGHT(A5088,8)&amp;"*",Main_Tariff!A:A,0)),Raeburn_Main_Tariff[[#This Row],[PRODUCER]])</f>
        <v>J.J. Prüm</v>
      </c>
      <c r="C5088" s="1178" t="s">
        <v>22635</v>
      </c>
      <c r="D5088" s="1178" t="s">
        <v>1410</v>
      </c>
      <c r="E5088" s="1179">
        <v>2021</v>
      </c>
      <c r="F5088" s="1282" t="s">
        <v>20220</v>
      </c>
      <c r="G5088" s="1368">
        <v>37</v>
      </c>
      <c r="H5088" s="1178" t="s">
        <v>20221</v>
      </c>
      <c r="I5088" s="1178" t="s">
        <v>16004</v>
      </c>
      <c r="J5088" s="1178" t="s">
        <v>22514</v>
      </c>
      <c r="K5088" s="1178" t="s">
        <v>559</v>
      </c>
      <c r="L5088" s="1178"/>
      <c r="M5088" s="1369"/>
      <c r="N5088" s="1178"/>
      <c r="O5088" s="1178">
        <v>6</v>
      </c>
      <c r="P5088" s="1178">
        <v>7</v>
      </c>
    </row>
    <row r="5089" spans="1:16">
      <c r="A5089" s="1178" t="s">
        <v>564</v>
      </c>
      <c r="B5089" s="1371" t="str">
        <f>HYPERLINK(IFERROR("#Main_Tariff!A"&amp;MATCH(Raeburn_Main_Tariff[[#This Row],[Product Code]],Main_Tariff!I:I,0),"#Main_Tariff!A"&amp;MATCH("*"&amp;RIGHT(A5089,8)&amp;"*",Main_Tariff!A:A,0)),Raeburn_Main_Tariff[[#This Row],[PRODUCER]])</f>
        <v>J.J. Prüm</v>
      </c>
      <c r="C5089" s="1178" t="s">
        <v>22636</v>
      </c>
      <c r="D5089" s="1178" t="s">
        <v>1410</v>
      </c>
      <c r="E5089" s="1179">
        <v>2015</v>
      </c>
      <c r="F5089" s="1282" t="s">
        <v>20220</v>
      </c>
      <c r="G5089" s="1368">
        <v>37</v>
      </c>
      <c r="H5089" s="1178" t="s">
        <v>20465</v>
      </c>
      <c r="I5089" s="1178" t="s">
        <v>16006</v>
      </c>
      <c r="J5089" s="1178" t="s">
        <v>22514</v>
      </c>
      <c r="K5089" s="1178" t="s">
        <v>559</v>
      </c>
      <c r="L5089" s="1178"/>
      <c r="M5089" s="1369"/>
      <c r="N5089" s="1178"/>
      <c r="O5089" s="1178">
        <v>6</v>
      </c>
      <c r="P5089" s="1178">
        <v>7.5</v>
      </c>
    </row>
    <row r="5090" spans="1:16">
      <c r="A5090" s="1178" t="s">
        <v>564</v>
      </c>
      <c r="B5090" s="1371" t="str">
        <f>HYPERLINK(IFERROR("#Main_Tariff!A"&amp;MATCH(Raeburn_Main_Tariff[[#This Row],[Product Code]],Main_Tariff!I:I,0),"#Main_Tariff!A"&amp;MATCH("*"&amp;RIGHT(A5090,8)&amp;"*",Main_Tariff!A:A,0)),Raeburn_Main_Tariff[[#This Row],[PRODUCER]])</f>
        <v>J.J. Prüm</v>
      </c>
      <c r="C5090" s="1178" t="s">
        <v>22637</v>
      </c>
      <c r="D5090" s="1178" t="s">
        <v>1410</v>
      </c>
      <c r="E5090" s="1179">
        <v>2013</v>
      </c>
      <c r="F5090" s="1282" t="s">
        <v>20220</v>
      </c>
      <c r="G5090" s="1368">
        <v>37</v>
      </c>
      <c r="H5090" s="1178" t="s">
        <v>20224</v>
      </c>
      <c r="I5090" s="1178" t="s">
        <v>16008</v>
      </c>
      <c r="J5090" s="1178" t="s">
        <v>22514</v>
      </c>
      <c r="K5090" s="1178" t="s">
        <v>559</v>
      </c>
      <c r="L5090" s="1178"/>
      <c r="M5090" s="1369"/>
      <c r="N5090" s="1178"/>
      <c r="O5090" s="1178">
        <v>6</v>
      </c>
      <c r="P5090" s="1178">
        <v>7.5</v>
      </c>
    </row>
    <row r="5091" spans="1:16">
      <c r="A5091" s="1178" t="s">
        <v>564</v>
      </c>
      <c r="B5091" s="1371" t="str">
        <f>HYPERLINK(IFERROR("#Main_Tariff!A"&amp;MATCH(Raeburn_Main_Tariff[[#This Row],[Product Code]],Main_Tariff!I:I,0),"#Main_Tariff!A"&amp;MATCH("*"&amp;RIGHT(A5091,8)&amp;"*",Main_Tariff!A:A,0)),Raeburn_Main_Tariff[[#This Row],[PRODUCER]])</f>
        <v>J.J. Prüm</v>
      </c>
      <c r="C5091" s="1178" t="s">
        <v>22638</v>
      </c>
      <c r="D5091" s="1178" t="s">
        <v>1410</v>
      </c>
      <c r="E5091" s="1179">
        <v>2012</v>
      </c>
      <c r="F5091" s="1282" t="s">
        <v>20240</v>
      </c>
      <c r="G5091" s="1368">
        <v>77</v>
      </c>
      <c r="H5091" s="1178" t="s">
        <v>20224</v>
      </c>
      <c r="I5091" s="1178" t="s">
        <v>16010</v>
      </c>
      <c r="J5091" s="1178" t="s">
        <v>22514</v>
      </c>
      <c r="K5091" s="1178" t="s">
        <v>559</v>
      </c>
      <c r="L5091" s="1178"/>
      <c r="M5091" s="1369"/>
      <c r="N5091" s="1178"/>
      <c r="O5091" s="1178">
        <v>1</v>
      </c>
      <c r="P5091" s="1178">
        <v>7.5</v>
      </c>
    </row>
    <row r="5092" spans="1:16">
      <c r="A5092" s="1178" t="s">
        <v>564</v>
      </c>
      <c r="B5092" s="1371" t="str">
        <f>HYPERLINK(IFERROR("#Main_Tariff!A"&amp;MATCH(Raeburn_Main_Tariff[[#This Row],[Product Code]],Main_Tariff!I:I,0),"#Main_Tariff!A"&amp;MATCH("*"&amp;RIGHT(A5092,8)&amp;"*",Main_Tariff!A:A,0)),Raeburn_Main_Tariff[[#This Row],[PRODUCER]])</f>
        <v>J.J. Prüm</v>
      </c>
      <c r="C5092" s="1178" t="s">
        <v>22639</v>
      </c>
      <c r="D5092" s="1178" t="s">
        <v>1410</v>
      </c>
      <c r="E5092" s="1179">
        <v>2023</v>
      </c>
      <c r="F5092" s="1282" t="s">
        <v>20280</v>
      </c>
      <c r="G5092" s="1368">
        <v>35</v>
      </c>
      <c r="H5092" s="1178" t="s">
        <v>20221</v>
      </c>
      <c r="I5092" s="1178" t="s">
        <v>16012</v>
      </c>
      <c r="J5092" s="1178" t="s">
        <v>22514</v>
      </c>
      <c r="K5092" s="1178" t="s">
        <v>559</v>
      </c>
      <c r="L5092" s="1178"/>
      <c r="M5092" s="1369"/>
      <c r="N5092" s="1178"/>
      <c r="O5092" s="1178">
        <v>6</v>
      </c>
      <c r="P5092" s="1178">
        <v>7.5</v>
      </c>
    </row>
    <row r="5093" spans="1:16">
      <c r="A5093" s="1178" t="s">
        <v>564</v>
      </c>
      <c r="B5093" s="1371" t="str">
        <f>HYPERLINK(IFERROR("#Main_Tariff!A"&amp;MATCH(Raeburn_Main_Tariff[[#This Row],[Product Code]],Main_Tariff!I:I,0),"#Main_Tariff!A"&amp;MATCH("*"&amp;RIGHT(A5093,8)&amp;"*",Main_Tariff!A:A,0)),Raeburn_Main_Tariff[[#This Row],[PRODUCER]])</f>
        <v>J.J. Prüm</v>
      </c>
      <c r="C5093" s="1178" t="s">
        <v>22640</v>
      </c>
      <c r="D5093" s="1178" t="s">
        <v>1410</v>
      </c>
      <c r="E5093" s="1179">
        <v>2022</v>
      </c>
      <c r="F5093" s="1282" t="s">
        <v>20280</v>
      </c>
      <c r="G5093" s="1368">
        <v>35</v>
      </c>
      <c r="H5093" s="1178" t="s">
        <v>20221</v>
      </c>
      <c r="I5093" s="1178" t="s">
        <v>16013</v>
      </c>
      <c r="J5093" s="1178" t="s">
        <v>22514</v>
      </c>
      <c r="K5093" s="1178" t="s">
        <v>559</v>
      </c>
      <c r="L5093" s="1178"/>
      <c r="M5093" s="1369"/>
      <c r="N5093" s="1178"/>
      <c r="O5093" s="1178">
        <v>6</v>
      </c>
      <c r="P5093" s="1178">
        <v>7.5</v>
      </c>
    </row>
    <row r="5094" spans="1:16">
      <c r="A5094" s="1178" t="s">
        <v>564</v>
      </c>
      <c r="B5094" s="1371" t="str">
        <f>HYPERLINK(IFERROR("#Main_Tariff!A"&amp;MATCH(Raeburn_Main_Tariff[[#This Row],[Product Code]],Main_Tariff!I:I,0),"#Main_Tariff!A"&amp;MATCH("*"&amp;RIGHT(A5094,8)&amp;"*",Main_Tariff!A:A,0)),Raeburn_Main_Tariff[[#This Row],[PRODUCER]])</f>
        <v>J.J. Prüm</v>
      </c>
      <c r="C5094" s="1178" t="s">
        <v>22641</v>
      </c>
      <c r="D5094" s="1178" t="s">
        <v>1410</v>
      </c>
      <c r="E5094" s="1179">
        <v>2019</v>
      </c>
      <c r="F5094" s="1282" t="s">
        <v>20280</v>
      </c>
      <c r="G5094" s="1368">
        <v>31</v>
      </c>
      <c r="H5094" s="1178" t="s">
        <v>20221</v>
      </c>
      <c r="I5094" s="1178" t="s">
        <v>16014</v>
      </c>
      <c r="J5094" s="1178" t="s">
        <v>22514</v>
      </c>
      <c r="K5094" s="1178" t="s">
        <v>559</v>
      </c>
      <c r="L5094" s="1178"/>
      <c r="M5094" s="1369"/>
      <c r="N5094" s="1178"/>
      <c r="O5094" s="1178">
        <v>12</v>
      </c>
      <c r="P5094" s="1178">
        <v>7.5</v>
      </c>
    </row>
    <row r="5095" spans="1:16">
      <c r="A5095" s="1178" t="s">
        <v>564</v>
      </c>
      <c r="B5095" s="1371" t="str">
        <f>HYPERLINK(IFERROR("#Main_Tariff!A"&amp;MATCH(Raeburn_Main_Tariff[[#This Row],[Product Code]],Main_Tariff!I:I,0),"#Main_Tariff!A"&amp;MATCH("*"&amp;RIGHT(A5095,8)&amp;"*",Main_Tariff!A:A,0)),Raeburn_Main_Tariff[[#This Row],[PRODUCER]])</f>
        <v>J.J. Prüm</v>
      </c>
      <c r="C5095" s="1178" t="s">
        <v>22642</v>
      </c>
      <c r="D5095" s="1178" t="s">
        <v>1410</v>
      </c>
      <c r="E5095" s="1179">
        <v>2015</v>
      </c>
      <c r="F5095" s="1282" t="s">
        <v>20280</v>
      </c>
      <c r="G5095" s="1368">
        <v>29</v>
      </c>
      <c r="H5095" s="1178" t="s">
        <v>20221</v>
      </c>
      <c r="I5095" s="1178" t="s">
        <v>16015</v>
      </c>
      <c r="J5095" s="1178" t="s">
        <v>22514</v>
      </c>
      <c r="K5095" s="1178" t="s">
        <v>559</v>
      </c>
      <c r="L5095" s="1178"/>
      <c r="M5095" s="1369"/>
      <c r="N5095" s="1178"/>
      <c r="O5095" s="1178">
        <v>12</v>
      </c>
      <c r="P5095" s="1178">
        <v>7.5</v>
      </c>
    </row>
    <row r="5096" spans="1:16">
      <c r="A5096" s="1178" t="s">
        <v>564</v>
      </c>
      <c r="B5096" s="1371" t="str">
        <f>HYPERLINK(IFERROR("#Main_Tariff!A"&amp;MATCH(Raeburn_Main_Tariff[[#This Row],[Product Code]],Main_Tariff!I:I,0),"#Main_Tariff!A"&amp;MATCH("*"&amp;RIGHT(A5096,8)&amp;"*",Main_Tariff!A:A,0)),Raeburn_Main_Tariff[[#This Row],[PRODUCER]])</f>
        <v>J.J. Prüm</v>
      </c>
      <c r="C5096" s="1178" t="s">
        <v>22643</v>
      </c>
      <c r="D5096" s="1178" t="s">
        <v>1410</v>
      </c>
      <c r="E5096" s="1179">
        <v>2009</v>
      </c>
      <c r="F5096" s="1282" t="s">
        <v>20280</v>
      </c>
      <c r="G5096" s="1368">
        <v>29</v>
      </c>
      <c r="H5096" s="1178" t="s">
        <v>20221</v>
      </c>
      <c r="I5096" s="1178" t="s">
        <v>16016</v>
      </c>
      <c r="J5096" s="1178" t="s">
        <v>22514</v>
      </c>
      <c r="K5096" s="1178" t="s">
        <v>559</v>
      </c>
      <c r="L5096" s="1178"/>
      <c r="M5096" s="1369"/>
      <c r="N5096" s="1178"/>
      <c r="O5096" s="1178">
        <v>12</v>
      </c>
      <c r="P5096" s="1178">
        <v>7.5</v>
      </c>
    </row>
    <row r="5097" spans="1:16">
      <c r="A5097" s="1178" t="s">
        <v>564</v>
      </c>
      <c r="B5097" s="1371" t="str">
        <f>HYPERLINK(IFERROR("#Main_Tariff!A"&amp;MATCH(Raeburn_Main_Tariff[[#This Row],[Product Code]],Main_Tariff!I:I,0),"#Main_Tariff!A"&amp;MATCH("*"&amp;RIGHT(A5097,8)&amp;"*",Main_Tariff!A:A,0)),Raeburn_Main_Tariff[[#This Row],[PRODUCER]])</f>
        <v>J.J. Prüm</v>
      </c>
      <c r="C5097" s="1178" t="s">
        <v>22644</v>
      </c>
      <c r="D5097" s="1178" t="s">
        <v>1410</v>
      </c>
      <c r="E5097" s="1179">
        <v>2023</v>
      </c>
      <c r="F5097" s="1282" t="s">
        <v>20280</v>
      </c>
      <c r="G5097" s="1368">
        <v>43.5</v>
      </c>
      <c r="H5097" s="1178" t="s">
        <v>20221</v>
      </c>
      <c r="I5097" s="1178" t="s">
        <v>16017</v>
      </c>
      <c r="J5097" s="1178" t="s">
        <v>22514</v>
      </c>
      <c r="K5097" s="1178" t="s">
        <v>559</v>
      </c>
      <c r="L5097" s="1178"/>
      <c r="M5097" s="1369"/>
      <c r="N5097" s="1178"/>
      <c r="O5097" s="1178">
        <v>6</v>
      </c>
      <c r="P5097" s="1178">
        <v>8</v>
      </c>
    </row>
    <row r="5098" spans="1:16">
      <c r="A5098" s="1178" t="s">
        <v>564</v>
      </c>
      <c r="B5098" s="1371" t="str">
        <f>HYPERLINK(IFERROR("#Main_Tariff!A"&amp;MATCH(Raeburn_Main_Tariff[[#This Row],[Product Code]],Main_Tariff!I:I,0),"#Main_Tariff!A"&amp;MATCH("*"&amp;RIGHT(A5098,8)&amp;"*",Main_Tariff!A:A,0)),Raeburn_Main_Tariff[[#This Row],[PRODUCER]])</f>
        <v>J.J. Prüm</v>
      </c>
      <c r="C5098" s="1178" t="s">
        <v>22645</v>
      </c>
      <c r="D5098" s="1178" t="s">
        <v>1410</v>
      </c>
      <c r="E5098" s="1179">
        <v>2006</v>
      </c>
      <c r="F5098" s="1282" t="s">
        <v>20280</v>
      </c>
      <c r="G5098" s="1368">
        <v>31.25</v>
      </c>
      <c r="H5098" s="1178" t="s">
        <v>20224</v>
      </c>
      <c r="I5098" s="1178" t="s">
        <v>16018</v>
      </c>
      <c r="J5098" s="1178" t="s">
        <v>22514</v>
      </c>
      <c r="K5098" s="1178" t="s">
        <v>559</v>
      </c>
      <c r="L5098" s="1178"/>
      <c r="M5098" s="1369"/>
      <c r="N5098" s="1178"/>
      <c r="O5098" s="1178">
        <v>12</v>
      </c>
      <c r="P5098" s="1178">
        <v>12.5</v>
      </c>
    </row>
    <row r="5099" spans="1:16">
      <c r="A5099" s="1178" t="s">
        <v>564</v>
      </c>
      <c r="B5099" s="1371" t="str">
        <f>HYPERLINK(IFERROR("#Main_Tariff!A"&amp;MATCH(Raeburn_Main_Tariff[[#This Row],[Product Code]],Main_Tariff!I:I,0),"#Main_Tariff!A"&amp;MATCH("*"&amp;RIGHT(A5099,8)&amp;"*",Main_Tariff!A:A,0)),Raeburn_Main_Tariff[[#This Row],[PRODUCER]])</f>
        <v>J.J. Prüm</v>
      </c>
      <c r="C5099" s="1178" t="s">
        <v>22646</v>
      </c>
      <c r="D5099" s="1178" t="s">
        <v>1410</v>
      </c>
      <c r="E5099" s="1179">
        <v>2020</v>
      </c>
      <c r="F5099" s="1282" t="s">
        <v>20220</v>
      </c>
      <c r="G5099" s="1368">
        <v>58</v>
      </c>
      <c r="H5099" s="1178" t="s">
        <v>20221</v>
      </c>
      <c r="I5099" s="1178" t="s">
        <v>16020</v>
      </c>
      <c r="J5099" s="1178" t="s">
        <v>22514</v>
      </c>
      <c r="K5099" s="1178" t="s">
        <v>559</v>
      </c>
      <c r="L5099" s="1178"/>
      <c r="M5099" s="1369"/>
      <c r="N5099" s="1178"/>
      <c r="O5099" s="1178">
        <v>6</v>
      </c>
      <c r="P5099" s="1178">
        <v>8</v>
      </c>
    </row>
    <row r="5100" spans="1:16">
      <c r="A5100" s="1178" t="s">
        <v>564</v>
      </c>
      <c r="B5100" s="1371" t="str">
        <f>HYPERLINK(IFERROR("#Main_Tariff!A"&amp;MATCH(Raeburn_Main_Tariff[[#This Row],[Product Code]],Main_Tariff!I:I,0),"#Main_Tariff!A"&amp;MATCH("*"&amp;RIGHT(A5100,8)&amp;"*",Main_Tariff!A:A,0)),Raeburn_Main_Tariff[[#This Row],[PRODUCER]])</f>
        <v>J.J. Prüm</v>
      </c>
      <c r="C5100" s="1178" t="s">
        <v>22647</v>
      </c>
      <c r="D5100" s="1178" t="s">
        <v>1410</v>
      </c>
      <c r="E5100" s="1179">
        <v>2022</v>
      </c>
      <c r="F5100" s="1282" t="s">
        <v>20220</v>
      </c>
      <c r="G5100" s="1368">
        <v>77.75</v>
      </c>
      <c r="H5100" s="1178" t="s">
        <v>20221</v>
      </c>
      <c r="I5100" s="1178" t="s">
        <v>16021</v>
      </c>
      <c r="J5100" s="1178" t="s">
        <v>22514</v>
      </c>
      <c r="K5100" s="1178" t="s">
        <v>559</v>
      </c>
      <c r="L5100" s="1178"/>
      <c r="M5100" s="1369"/>
      <c r="N5100" s="1178"/>
      <c r="O5100" s="1178">
        <v>6</v>
      </c>
      <c r="P5100" s="1178">
        <v>7.5</v>
      </c>
    </row>
    <row r="5101" spans="1:16">
      <c r="A5101" s="1178" t="s">
        <v>564</v>
      </c>
      <c r="B5101" s="1371" t="str">
        <f>HYPERLINK(IFERROR("#Main_Tariff!A"&amp;MATCH(Raeburn_Main_Tariff[[#This Row],[Product Code]],Main_Tariff!I:I,0),"#Main_Tariff!A"&amp;MATCH("*"&amp;RIGHT(A5101,8)&amp;"*",Main_Tariff!A:A,0)),Raeburn_Main_Tariff[[#This Row],[PRODUCER]])</f>
        <v>J.J. Prüm</v>
      </c>
      <c r="C5101" s="1178" t="s">
        <v>22648</v>
      </c>
      <c r="D5101" s="1178" t="s">
        <v>1410</v>
      </c>
      <c r="E5101" s="1179">
        <v>2020</v>
      </c>
      <c r="F5101" s="1282" t="s">
        <v>20220</v>
      </c>
      <c r="G5101" s="1368">
        <v>59</v>
      </c>
      <c r="H5101" s="1178" t="s">
        <v>20221</v>
      </c>
      <c r="I5101" s="1178" t="s">
        <v>16022</v>
      </c>
      <c r="J5101" s="1178" t="s">
        <v>22514</v>
      </c>
      <c r="K5101" s="1178" t="s">
        <v>559</v>
      </c>
      <c r="L5101" s="1178"/>
      <c r="M5101" s="1369"/>
      <c r="N5101" s="1178"/>
      <c r="O5101" s="1178">
        <v>6</v>
      </c>
      <c r="P5101" s="1178">
        <v>7</v>
      </c>
    </row>
    <row r="5102" spans="1:16">
      <c r="A5102" s="1178" t="s">
        <v>564</v>
      </c>
      <c r="B5102" s="1371" t="str">
        <f>HYPERLINK(IFERROR("#Main_Tariff!A"&amp;MATCH(Raeburn_Main_Tariff[[#This Row],[Product Code]],Main_Tariff!I:I,0),"#Main_Tariff!A"&amp;MATCH("*"&amp;RIGHT(A5102,8)&amp;"*",Main_Tariff!A:A,0)),Raeburn_Main_Tariff[[#This Row],[PRODUCER]])</f>
        <v>J.J. Prüm</v>
      </c>
      <c r="C5102" s="1178" t="s">
        <v>22649</v>
      </c>
      <c r="D5102" s="1178" t="s">
        <v>1410</v>
      </c>
      <c r="E5102" s="1179">
        <v>2019</v>
      </c>
      <c r="F5102" s="1282" t="s">
        <v>20220</v>
      </c>
      <c r="G5102" s="1368">
        <v>59</v>
      </c>
      <c r="H5102" s="1178" t="s">
        <v>20224</v>
      </c>
      <c r="I5102" s="1178" t="s">
        <v>16023</v>
      </c>
      <c r="J5102" s="1178" t="s">
        <v>22514</v>
      </c>
      <c r="K5102" s="1178" t="s">
        <v>559</v>
      </c>
      <c r="L5102" s="1178"/>
      <c r="M5102" s="1369"/>
      <c r="N5102" s="1178"/>
      <c r="O5102" s="1178">
        <v>6</v>
      </c>
      <c r="P5102" s="1178">
        <v>7.5</v>
      </c>
    </row>
    <row r="5103" spans="1:16">
      <c r="A5103" s="1178" t="s">
        <v>564</v>
      </c>
      <c r="B5103" s="1371" t="str">
        <f>HYPERLINK(IFERROR("#Main_Tariff!A"&amp;MATCH(Raeburn_Main_Tariff[[#This Row],[Product Code]],Main_Tariff!I:I,0),"#Main_Tariff!A"&amp;MATCH("*"&amp;RIGHT(A5103,8)&amp;"*",Main_Tariff!A:A,0)),Raeburn_Main_Tariff[[#This Row],[PRODUCER]])</f>
        <v>J.J. Prüm</v>
      </c>
      <c r="C5103" s="1178" t="s">
        <v>22650</v>
      </c>
      <c r="D5103" s="1178" t="s">
        <v>1410</v>
      </c>
      <c r="E5103" s="1179">
        <v>2015</v>
      </c>
      <c r="F5103" s="1282" t="s">
        <v>20220</v>
      </c>
      <c r="G5103" s="1368">
        <v>59</v>
      </c>
      <c r="H5103" s="1178" t="s">
        <v>20221</v>
      </c>
      <c r="I5103" s="1178" t="s">
        <v>16024</v>
      </c>
      <c r="J5103" s="1178" t="s">
        <v>22514</v>
      </c>
      <c r="K5103" s="1178" t="s">
        <v>559</v>
      </c>
      <c r="L5103" s="1178"/>
      <c r="M5103" s="1369"/>
      <c r="N5103" s="1178"/>
      <c r="O5103" s="1178">
        <v>6</v>
      </c>
      <c r="P5103" s="1178">
        <v>7.5</v>
      </c>
    </row>
    <row r="5104" spans="1:16">
      <c r="A5104" s="1178" t="s">
        <v>564</v>
      </c>
      <c r="B5104" s="1371" t="str">
        <f>HYPERLINK(IFERROR("#Main_Tariff!A"&amp;MATCH(Raeburn_Main_Tariff[[#This Row],[Product Code]],Main_Tariff!I:I,0),"#Main_Tariff!A"&amp;MATCH("*"&amp;RIGHT(A5104,8)&amp;"*",Main_Tariff!A:A,0)),Raeburn_Main_Tariff[[#This Row],[PRODUCER]])</f>
        <v>J.J. Prüm</v>
      </c>
      <c r="C5104" s="1178" t="s">
        <v>22651</v>
      </c>
      <c r="D5104" s="1178" t="s">
        <v>1410</v>
      </c>
      <c r="E5104" s="1179">
        <v>2009</v>
      </c>
      <c r="F5104" s="1282" t="s">
        <v>20220</v>
      </c>
      <c r="G5104" s="1368">
        <v>59</v>
      </c>
      <c r="H5104" s="1178" t="s">
        <v>20224</v>
      </c>
      <c r="I5104" s="1178" t="s">
        <v>16025</v>
      </c>
      <c r="J5104" s="1178" t="s">
        <v>22514</v>
      </c>
      <c r="K5104" s="1178" t="s">
        <v>559</v>
      </c>
      <c r="L5104" s="1178"/>
      <c r="M5104" s="1369"/>
      <c r="N5104" s="1178"/>
      <c r="O5104" s="1178">
        <v>6</v>
      </c>
      <c r="P5104" s="1178">
        <v>8</v>
      </c>
    </row>
    <row r="5105" spans="1:16">
      <c r="A5105" s="1178" t="s">
        <v>564</v>
      </c>
      <c r="B5105" s="1371" t="str">
        <f>HYPERLINK(IFERROR("#Main_Tariff!A"&amp;MATCH(Raeburn_Main_Tariff[[#This Row],[Product Code]],Main_Tariff!I:I,0),"#Main_Tariff!A"&amp;MATCH("*"&amp;RIGHT(A5105,8)&amp;"*",Main_Tariff!A:A,0)),Raeburn_Main_Tariff[[#This Row],[PRODUCER]])</f>
        <v>J.J. Prüm</v>
      </c>
      <c r="C5105" s="1178" t="s">
        <v>22651</v>
      </c>
      <c r="D5105" s="1178" t="s">
        <v>1410</v>
      </c>
      <c r="E5105" s="1179">
        <v>2006</v>
      </c>
      <c r="F5105" s="1282" t="s">
        <v>20220</v>
      </c>
      <c r="G5105" s="1368">
        <v>59.5</v>
      </c>
      <c r="H5105" s="1178" t="s">
        <v>20277</v>
      </c>
      <c r="I5105" s="1178" t="s">
        <v>16026</v>
      </c>
      <c r="J5105" s="1178" t="s">
        <v>22514</v>
      </c>
      <c r="K5105" s="1178" t="s">
        <v>559</v>
      </c>
      <c r="L5105" s="1178"/>
      <c r="M5105" s="1369"/>
      <c r="N5105" s="1178"/>
      <c r="O5105" s="1178">
        <v>12</v>
      </c>
      <c r="P5105" s="1178">
        <v>12.5</v>
      </c>
    </row>
    <row r="5106" spans="1:16">
      <c r="A5106" s="1178" t="s">
        <v>564</v>
      </c>
      <c r="B5106" s="1371" t="str">
        <f>HYPERLINK(IFERROR("#Main_Tariff!A"&amp;MATCH(Raeburn_Main_Tariff[[#This Row],[Product Code]],Main_Tariff!I:I,0),"#Main_Tariff!A"&amp;MATCH("*"&amp;RIGHT(A5106,8)&amp;"*",Main_Tariff!A:A,0)),Raeburn_Main_Tariff[[#This Row],[PRODUCER]])</f>
        <v>J.J. Prüm</v>
      </c>
      <c r="C5106" s="1178" t="s">
        <v>22652</v>
      </c>
      <c r="D5106" s="1178" t="s">
        <v>1410</v>
      </c>
      <c r="E5106" s="1179">
        <v>2023</v>
      </c>
      <c r="F5106" s="1282" t="s">
        <v>20220</v>
      </c>
      <c r="G5106" s="1368">
        <v>89</v>
      </c>
      <c r="H5106" s="1178" t="s">
        <v>20224</v>
      </c>
      <c r="I5106" s="1178" t="s">
        <v>16027</v>
      </c>
      <c r="J5106" s="1178" t="s">
        <v>22514</v>
      </c>
      <c r="K5106" s="1178" t="s">
        <v>559</v>
      </c>
      <c r="L5106" s="1178"/>
      <c r="M5106" s="1369"/>
      <c r="N5106" s="1178"/>
      <c r="O5106" s="1178">
        <v>6</v>
      </c>
      <c r="P5106" s="1178">
        <v>7</v>
      </c>
    </row>
    <row r="5107" spans="1:16">
      <c r="A5107" s="1178" t="s">
        <v>564</v>
      </c>
      <c r="B5107" s="1371" t="str">
        <f>HYPERLINK(IFERROR("#Main_Tariff!A"&amp;MATCH(Raeburn_Main_Tariff[[#This Row],[Product Code]],Main_Tariff!I:I,0),"#Main_Tariff!A"&amp;MATCH("*"&amp;RIGHT(A5107,8)&amp;"*",Main_Tariff!A:A,0)),Raeburn_Main_Tariff[[#This Row],[PRODUCER]])</f>
        <v>J.J. Prüm</v>
      </c>
      <c r="C5107" s="1178" t="s">
        <v>22653</v>
      </c>
      <c r="D5107" s="1178" t="s">
        <v>1410</v>
      </c>
      <c r="E5107" s="1179">
        <v>2015</v>
      </c>
      <c r="F5107" s="1282" t="s">
        <v>20220</v>
      </c>
      <c r="G5107" s="1368">
        <v>63</v>
      </c>
      <c r="H5107" s="1178" t="s">
        <v>20221</v>
      </c>
      <c r="I5107" s="1178" t="s">
        <v>16028</v>
      </c>
      <c r="J5107" s="1178" t="s">
        <v>22514</v>
      </c>
      <c r="K5107" s="1178" t="s">
        <v>559</v>
      </c>
      <c r="L5107" s="1178"/>
      <c r="M5107" s="1369"/>
      <c r="N5107" s="1178"/>
      <c r="O5107" s="1178">
        <v>6</v>
      </c>
      <c r="P5107" s="1178">
        <v>8</v>
      </c>
    </row>
    <row r="5108" spans="1:16">
      <c r="A5108" s="1178" t="s">
        <v>564</v>
      </c>
      <c r="B5108" s="1371" t="str">
        <f>HYPERLINK(IFERROR("#Main_Tariff!A"&amp;MATCH(Raeburn_Main_Tariff[[#This Row],[Product Code]],Main_Tariff!I:I,0),"#Main_Tariff!A"&amp;MATCH("*"&amp;RIGHT(A5108,8)&amp;"*",Main_Tariff!A:A,0)),Raeburn_Main_Tariff[[#This Row],[PRODUCER]])</f>
        <v>J.J. Prüm</v>
      </c>
      <c r="C5108" s="1178" t="s">
        <v>22654</v>
      </c>
      <c r="D5108" s="1178" t="s">
        <v>1410</v>
      </c>
      <c r="E5108" s="1179">
        <v>2012</v>
      </c>
      <c r="F5108" s="1282" t="s">
        <v>20240</v>
      </c>
      <c r="G5108" s="1368">
        <v>129</v>
      </c>
      <c r="H5108" s="1178" t="s">
        <v>20224</v>
      </c>
      <c r="I5108" s="1178" t="s">
        <v>16029</v>
      </c>
      <c r="J5108" s="1178" t="s">
        <v>22514</v>
      </c>
      <c r="K5108" s="1178" t="s">
        <v>559</v>
      </c>
      <c r="L5108" s="1178"/>
      <c r="M5108" s="1369"/>
      <c r="N5108" s="1178"/>
      <c r="O5108" s="1178">
        <v>1</v>
      </c>
      <c r="P5108" s="1178">
        <v>8</v>
      </c>
    </row>
    <row r="5109" spans="1:16">
      <c r="A5109" s="1178" t="s">
        <v>564</v>
      </c>
      <c r="B5109" s="1371" t="str">
        <f>HYPERLINK(IFERROR("#Main_Tariff!A"&amp;MATCH(Raeburn_Main_Tariff[[#This Row],[Product Code]],Main_Tariff!I:I,0),"#Main_Tariff!A"&amp;MATCH("*"&amp;RIGHT(A5109,8)&amp;"*",Main_Tariff!A:A,0)),Raeburn_Main_Tariff[[#This Row],[PRODUCER]])</f>
        <v>J.J. Prüm</v>
      </c>
      <c r="C5109" s="1178" t="s">
        <v>22655</v>
      </c>
      <c r="D5109" s="1178" t="s">
        <v>1410</v>
      </c>
      <c r="E5109" s="1179">
        <v>2022</v>
      </c>
      <c r="F5109" s="1282" t="s">
        <v>20280</v>
      </c>
      <c r="G5109" s="1368">
        <v>111</v>
      </c>
      <c r="H5109" s="1178" t="s">
        <v>20221</v>
      </c>
      <c r="I5109" s="1178" t="s">
        <v>16031</v>
      </c>
      <c r="J5109" s="1178" t="s">
        <v>22514</v>
      </c>
      <c r="K5109" s="1178" t="s">
        <v>559</v>
      </c>
      <c r="L5109" s="1178"/>
      <c r="M5109" s="1369"/>
      <c r="N5109" s="1178"/>
      <c r="O5109" s="1178">
        <v>6</v>
      </c>
      <c r="P5109" s="1178">
        <v>7.5</v>
      </c>
    </row>
    <row r="5110" spans="1:16">
      <c r="A5110" s="1178" t="s">
        <v>564</v>
      </c>
      <c r="B5110" s="1371" t="str">
        <f>HYPERLINK(IFERROR("#Main_Tariff!A"&amp;MATCH(Raeburn_Main_Tariff[[#This Row],[Product Code]],Main_Tariff!I:I,0),"#Main_Tariff!A"&amp;MATCH("*"&amp;RIGHT(A5110,8)&amp;"*",Main_Tariff!A:A,0)),Raeburn_Main_Tariff[[#This Row],[PRODUCER]])</f>
        <v>J.J. Prüm</v>
      </c>
      <c r="C5110" s="1178" t="s">
        <v>22656</v>
      </c>
      <c r="D5110" s="1178" t="s">
        <v>1410</v>
      </c>
      <c r="E5110" s="1179">
        <v>2022</v>
      </c>
      <c r="F5110" s="1282" t="s">
        <v>20220</v>
      </c>
      <c r="G5110" s="1368">
        <v>217</v>
      </c>
      <c r="H5110" s="1178" t="s">
        <v>20224</v>
      </c>
      <c r="I5110" s="1178" t="s">
        <v>16032</v>
      </c>
      <c r="J5110" s="1178" t="s">
        <v>22514</v>
      </c>
      <c r="K5110" s="1178" t="s">
        <v>559</v>
      </c>
      <c r="L5110" s="1178"/>
      <c r="M5110" s="1369"/>
      <c r="N5110" s="1178"/>
      <c r="O5110" s="1178">
        <v>6</v>
      </c>
      <c r="P5110" s="1178">
        <v>7.5</v>
      </c>
    </row>
    <row r="5111" spans="1:16">
      <c r="A5111" s="1178" t="s">
        <v>22657</v>
      </c>
      <c r="B5111" s="1371" t="str">
        <f>HYPERLINK(IFERROR("#Main_Tariff!A"&amp;MATCH(Raeburn_Main_Tariff[[#This Row],[Product Code]],Main_Tariff!I:I,0),"#Main_Tariff!A"&amp;MATCH("*"&amp;RIGHT(A5111,8)&amp;"*",Main_Tariff!A:A,0)),Raeburn_Main_Tariff[[#This Row],[PRODUCER]])</f>
        <v>Maximin Grünhaus</v>
      </c>
      <c r="C5111" s="1178" t="s">
        <v>22658</v>
      </c>
      <c r="D5111" s="1178" t="s">
        <v>897</v>
      </c>
      <c r="E5111" s="1179">
        <v>2022</v>
      </c>
      <c r="F5111" s="1282" t="s">
        <v>20220</v>
      </c>
      <c r="G5111" s="1368">
        <v>31</v>
      </c>
      <c r="H5111" s="1178" t="s">
        <v>20221</v>
      </c>
      <c r="I5111" s="1178" t="s">
        <v>16048</v>
      </c>
      <c r="J5111" s="1178" t="s">
        <v>22514</v>
      </c>
      <c r="K5111" s="1178" t="s">
        <v>559</v>
      </c>
      <c r="L5111" s="1178"/>
      <c r="M5111" s="1369"/>
      <c r="N5111" s="1178"/>
      <c r="O5111" s="1178">
        <v>6</v>
      </c>
      <c r="P5111" s="1178">
        <v>13</v>
      </c>
    </row>
    <row r="5112" spans="1:16">
      <c r="A5112" s="1178" t="s">
        <v>22657</v>
      </c>
      <c r="B5112" s="1371" t="str">
        <f>HYPERLINK(IFERROR("#Main_Tariff!A"&amp;MATCH(Raeburn_Main_Tariff[[#This Row],[Product Code]],Main_Tariff!I:I,0),"#Main_Tariff!A"&amp;MATCH("*"&amp;RIGHT(A5112,8)&amp;"*",Main_Tariff!A:A,0)),Raeburn_Main_Tariff[[#This Row],[PRODUCER]])</f>
        <v>Maximin Grünhaus</v>
      </c>
      <c r="C5112" s="1178" t="s">
        <v>22659</v>
      </c>
      <c r="D5112" s="1178" t="s">
        <v>897</v>
      </c>
      <c r="E5112" s="1179">
        <v>2020</v>
      </c>
      <c r="F5112" s="1282" t="s">
        <v>20220</v>
      </c>
      <c r="G5112" s="1368">
        <v>32</v>
      </c>
      <c r="H5112" s="1178" t="s">
        <v>20221</v>
      </c>
      <c r="I5112" s="1178" t="s">
        <v>16050</v>
      </c>
      <c r="J5112" s="1178" t="s">
        <v>22514</v>
      </c>
      <c r="K5112" s="1178" t="s">
        <v>559</v>
      </c>
      <c r="L5112" s="1178"/>
      <c r="M5112" s="1369"/>
      <c r="N5112" s="1178"/>
      <c r="O5112" s="1178">
        <v>6</v>
      </c>
      <c r="P5112" s="1178">
        <v>14.5</v>
      </c>
    </row>
    <row r="5113" spans="1:16">
      <c r="A5113" s="1178" t="s">
        <v>22657</v>
      </c>
      <c r="B5113" s="1371" t="str">
        <f>HYPERLINK(IFERROR("#Main_Tariff!A"&amp;MATCH(Raeburn_Main_Tariff[[#This Row],[Product Code]],Main_Tariff!I:I,0),"#Main_Tariff!A"&amp;MATCH("*"&amp;RIGHT(A5113,8)&amp;"*",Main_Tariff!A:A,0)),Raeburn_Main_Tariff[[#This Row],[PRODUCER]])</f>
        <v>Maximin Grünhaus</v>
      </c>
      <c r="C5113" s="1178" t="s">
        <v>22659</v>
      </c>
      <c r="D5113" s="1178" t="s">
        <v>897</v>
      </c>
      <c r="E5113" s="1179">
        <v>2019</v>
      </c>
      <c r="F5113" s="1282" t="s">
        <v>20220</v>
      </c>
      <c r="G5113" s="1368">
        <v>32</v>
      </c>
      <c r="H5113" s="1178" t="s">
        <v>20221</v>
      </c>
      <c r="I5113" s="1178" t="s">
        <v>16052</v>
      </c>
      <c r="J5113" s="1178" t="s">
        <v>22514</v>
      </c>
      <c r="K5113" s="1178" t="s">
        <v>559</v>
      </c>
      <c r="L5113" s="1178"/>
      <c r="M5113" s="1369"/>
      <c r="N5113" s="1178"/>
      <c r="O5113" s="1178">
        <v>6</v>
      </c>
      <c r="P5113" s="1178">
        <v>13.5</v>
      </c>
    </row>
    <row r="5114" spans="1:16">
      <c r="A5114" s="1178" t="s">
        <v>22657</v>
      </c>
      <c r="B5114" s="1371" t="str">
        <f>HYPERLINK(IFERROR("#Main_Tariff!A"&amp;MATCH(Raeburn_Main_Tariff[[#This Row],[Product Code]],Main_Tariff!I:I,0),"#Main_Tariff!A"&amp;MATCH("*"&amp;RIGHT(A5114,8)&amp;"*",Main_Tariff!A:A,0)),Raeburn_Main_Tariff[[#This Row],[PRODUCER]])</f>
        <v>Maximin Grünhaus</v>
      </c>
      <c r="C5114" s="1178" t="s">
        <v>22660</v>
      </c>
      <c r="D5114" s="1178" t="s">
        <v>897</v>
      </c>
      <c r="E5114" s="1179">
        <v>2020</v>
      </c>
      <c r="F5114" s="1282" t="s">
        <v>20220</v>
      </c>
      <c r="G5114" s="1368">
        <v>58</v>
      </c>
      <c r="H5114" s="1178" t="s">
        <v>20224</v>
      </c>
      <c r="I5114" s="1178" t="s">
        <v>16054</v>
      </c>
      <c r="J5114" s="1178" t="s">
        <v>22514</v>
      </c>
      <c r="K5114" s="1178" t="s">
        <v>559</v>
      </c>
      <c r="L5114" s="1178"/>
      <c r="M5114" s="1369"/>
      <c r="N5114" s="1178"/>
      <c r="O5114" s="1178">
        <v>6</v>
      </c>
      <c r="P5114" s="1178">
        <v>15</v>
      </c>
    </row>
    <row r="5115" spans="1:16">
      <c r="A5115" s="1178" t="s">
        <v>22657</v>
      </c>
      <c r="B5115" s="1371" t="str">
        <f>HYPERLINK(IFERROR("#Main_Tariff!A"&amp;MATCH(Raeburn_Main_Tariff[[#This Row],[Product Code]],Main_Tariff!I:I,0),"#Main_Tariff!A"&amp;MATCH("*"&amp;RIGHT(A5115,8)&amp;"*",Main_Tariff!A:A,0)),Raeburn_Main_Tariff[[#This Row],[PRODUCER]])</f>
        <v>Maximin Grünhaus</v>
      </c>
      <c r="C5115" s="1178" t="s">
        <v>22660</v>
      </c>
      <c r="D5115" s="1178" t="s">
        <v>897</v>
      </c>
      <c r="E5115" s="1179">
        <v>2019</v>
      </c>
      <c r="F5115" s="1282" t="s">
        <v>20220</v>
      </c>
      <c r="G5115" s="1368">
        <v>47.5</v>
      </c>
      <c r="H5115" s="1178" t="s">
        <v>20224</v>
      </c>
      <c r="I5115" s="1178" t="s">
        <v>16056</v>
      </c>
      <c r="J5115" s="1178" t="s">
        <v>22514</v>
      </c>
      <c r="K5115" s="1178" t="s">
        <v>559</v>
      </c>
      <c r="L5115" s="1178"/>
      <c r="M5115" s="1369"/>
      <c r="N5115" s="1178"/>
      <c r="O5115" s="1178">
        <v>6</v>
      </c>
      <c r="P5115" s="1178">
        <v>13.5</v>
      </c>
    </row>
    <row r="5116" spans="1:16">
      <c r="A5116" s="1178" t="s">
        <v>22657</v>
      </c>
      <c r="B5116" s="1371" t="str">
        <f>HYPERLINK(IFERROR("#Main_Tariff!A"&amp;MATCH(Raeburn_Main_Tariff[[#This Row],[Product Code]],Main_Tariff!I:I,0),"#Main_Tariff!A"&amp;MATCH("*"&amp;RIGHT(A5116,8)&amp;"*",Main_Tariff!A:A,0)),Raeburn_Main_Tariff[[#This Row],[PRODUCER]])</f>
        <v>Maximin Grünhaus</v>
      </c>
      <c r="C5116" s="1178" t="s">
        <v>22661</v>
      </c>
      <c r="D5116" s="1178" t="s">
        <v>897</v>
      </c>
      <c r="E5116" s="1179">
        <v>2020</v>
      </c>
      <c r="F5116" s="1282" t="s">
        <v>20240</v>
      </c>
      <c r="G5116" s="1368">
        <v>70.75</v>
      </c>
      <c r="H5116" s="1178" t="s">
        <v>20224</v>
      </c>
      <c r="I5116" s="1178" t="s">
        <v>16058</v>
      </c>
      <c r="J5116" s="1178" t="s">
        <v>22514</v>
      </c>
      <c r="K5116" s="1178" t="s">
        <v>559</v>
      </c>
      <c r="L5116" s="1178"/>
      <c r="M5116" s="1369"/>
      <c r="N5116" s="1178"/>
      <c r="O5116" s="1178">
        <v>6</v>
      </c>
      <c r="P5116" s="1178">
        <v>14.5</v>
      </c>
    </row>
    <row r="5117" spans="1:16">
      <c r="A5117" s="1178" t="s">
        <v>22657</v>
      </c>
      <c r="B5117" s="1371" t="str">
        <f>HYPERLINK(IFERROR("#Main_Tariff!A"&amp;MATCH(Raeburn_Main_Tariff[[#This Row],[Product Code]],Main_Tariff!I:I,0),"#Main_Tariff!A"&amp;MATCH("*"&amp;RIGHT(A5117,8)&amp;"*",Main_Tariff!A:A,0)),Raeburn_Main_Tariff[[#This Row],[PRODUCER]])</f>
        <v>Maximin Grünhaus</v>
      </c>
      <c r="C5117" s="1178" t="s">
        <v>22661</v>
      </c>
      <c r="D5117" s="1178" t="s">
        <v>897</v>
      </c>
      <c r="E5117" s="1179">
        <v>2017</v>
      </c>
      <c r="F5117" s="1282" t="s">
        <v>20240</v>
      </c>
      <c r="G5117" s="1368">
        <v>70.75</v>
      </c>
      <c r="H5117" s="1178" t="s">
        <v>20224</v>
      </c>
      <c r="I5117" s="1178" t="s">
        <v>16060</v>
      </c>
      <c r="J5117" s="1178" t="s">
        <v>22514</v>
      </c>
      <c r="K5117" s="1178" t="s">
        <v>559</v>
      </c>
      <c r="L5117" s="1178"/>
      <c r="M5117" s="1369"/>
      <c r="N5117" s="1178"/>
      <c r="O5117" s="1178">
        <v>3</v>
      </c>
      <c r="P5117" s="1178">
        <v>13.5</v>
      </c>
    </row>
    <row r="5118" spans="1:16">
      <c r="A5118" s="1178" t="s">
        <v>22657</v>
      </c>
      <c r="B5118" s="1371" t="str">
        <f>HYPERLINK(IFERROR("#Main_Tariff!A"&amp;MATCH(Raeburn_Main_Tariff[[#This Row],[Product Code]],Main_Tariff!I:I,0),"#Main_Tariff!A"&amp;MATCH("*"&amp;RIGHT(A5118,8)&amp;"*",Main_Tariff!A:A,0)),Raeburn_Main_Tariff[[#This Row],[PRODUCER]])</f>
        <v>Maximin Grünhaus</v>
      </c>
      <c r="C5118" s="1178" t="s">
        <v>22662</v>
      </c>
      <c r="D5118" s="1178" t="s">
        <v>1129</v>
      </c>
      <c r="E5118" s="1179">
        <v>2021</v>
      </c>
      <c r="F5118" s="1282" t="s">
        <v>20220</v>
      </c>
      <c r="G5118" s="1368">
        <v>255.5</v>
      </c>
      <c r="H5118" s="1178" t="s">
        <v>20224</v>
      </c>
      <c r="I5118" s="1178" t="s">
        <v>16066</v>
      </c>
      <c r="J5118" s="1178" t="s">
        <v>22514</v>
      </c>
      <c r="K5118" s="1178" t="s">
        <v>559</v>
      </c>
      <c r="L5118" s="1178"/>
      <c r="M5118" s="1369"/>
      <c r="N5118" s="1178"/>
      <c r="O5118" s="1178">
        <v>6</v>
      </c>
      <c r="P5118" s="1178">
        <v>13</v>
      </c>
    </row>
    <row r="5119" spans="1:16">
      <c r="A5119" s="1178" t="s">
        <v>22657</v>
      </c>
      <c r="B5119" s="1371" t="str">
        <f>HYPERLINK(IFERROR("#Main_Tariff!A"&amp;MATCH(Raeburn_Main_Tariff[[#This Row],[Product Code]],Main_Tariff!I:I,0),"#Main_Tariff!A"&amp;MATCH("*"&amp;RIGHT(A5119,8)&amp;"*",Main_Tariff!A:A,0)),Raeburn_Main_Tariff[[#This Row],[PRODUCER]])</f>
        <v>Maximin Grünhaus</v>
      </c>
      <c r="C5119" s="1178" t="s">
        <v>22663</v>
      </c>
      <c r="D5119" s="1178" t="s">
        <v>1129</v>
      </c>
      <c r="E5119" s="1179">
        <v>2019</v>
      </c>
      <c r="F5119" s="1282" t="s">
        <v>20220</v>
      </c>
      <c r="G5119" s="1368">
        <v>20.25</v>
      </c>
      <c r="H5119" s="1178" t="s">
        <v>20224</v>
      </c>
      <c r="I5119" s="1178" t="s">
        <v>16073</v>
      </c>
      <c r="J5119" s="1178" t="s">
        <v>22514</v>
      </c>
      <c r="K5119" s="1178" t="s">
        <v>559</v>
      </c>
      <c r="L5119" s="1178"/>
      <c r="M5119" s="1369"/>
      <c r="N5119" s="1178"/>
      <c r="O5119" s="1178">
        <v>6</v>
      </c>
      <c r="P5119" s="1178">
        <v>12.5</v>
      </c>
    </row>
    <row r="5120" spans="1:16">
      <c r="A5120" s="1178" t="s">
        <v>22657</v>
      </c>
      <c r="B5120" s="1371" t="str">
        <f>HYPERLINK(IFERROR("#Main_Tariff!A"&amp;MATCH(Raeburn_Main_Tariff[[#This Row],[Product Code]],Main_Tariff!I:I,0),"#Main_Tariff!A"&amp;MATCH("*"&amp;RIGHT(A5120,8)&amp;"*",Main_Tariff!A:A,0)),Raeburn_Main_Tariff[[#This Row],[PRODUCER]])</f>
        <v>Maximin Grünhaus</v>
      </c>
      <c r="C5120" s="1178" t="s">
        <v>22664</v>
      </c>
      <c r="D5120" s="1178" t="s">
        <v>1129</v>
      </c>
      <c r="E5120" s="1179">
        <v>2019</v>
      </c>
      <c r="F5120" s="1282" t="s">
        <v>20220</v>
      </c>
      <c r="G5120" s="1368">
        <v>30.25</v>
      </c>
      <c r="H5120" s="1178" t="s">
        <v>20221</v>
      </c>
      <c r="I5120" s="1178" t="s">
        <v>16075</v>
      </c>
      <c r="J5120" s="1178" t="s">
        <v>22514</v>
      </c>
      <c r="K5120" s="1178" t="s">
        <v>559</v>
      </c>
      <c r="L5120" s="1178"/>
      <c r="M5120" s="1369"/>
      <c r="N5120" s="1178"/>
      <c r="O5120" s="1178">
        <v>6</v>
      </c>
      <c r="P5120" s="1178">
        <v>13.5</v>
      </c>
    </row>
    <row r="5121" spans="1:16">
      <c r="A5121" s="1178" t="s">
        <v>22657</v>
      </c>
      <c r="B5121" s="1371" t="str">
        <f>HYPERLINK(IFERROR("#Main_Tariff!A"&amp;MATCH(Raeburn_Main_Tariff[[#This Row],[Product Code]],Main_Tariff!I:I,0),"#Main_Tariff!A"&amp;MATCH("*"&amp;RIGHT(A5121,8)&amp;"*",Main_Tariff!A:A,0)),Raeburn_Main_Tariff[[#This Row],[PRODUCER]])</f>
        <v>Maximin Grünhaus</v>
      </c>
      <c r="C5121" s="1178" t="s">
        <v>22665</v>
      </c>
      <c r="D5121" s="1178" t="s">
        <v>1129</v>
      </c>
      <c r="E5121" s="1179">
        <v>2023</v>
      </c>
      <c r="F5121" s="1282" t="s">
        <v>20220</v>
      </c>
      <c r="G5121" s="1368">
        <v>20.25</v>
      </c>
      <c r="H5121" s="1178" t="s">
        <v>20221</v>
      </c>
      <c r="I5121" s="1178" t="s">
        <v>16070</v>
      </c>
      <c r="J5121" s="1178" t="s">
        <v>22514</v>
      </c>
      <c r="K5121" s="1178" t="s">
        <v>559</v>
      </c>
      <c r="L5121" s="1178"/>
      <c r="M5121" s="1369"/>
      <c r="N5121" s="1178"/>
      <c r="O5121" s="1178">
        <v>12</v>
      </c>
      <c r="P5121" s="1178">
        <v>12</v>
      </c>
    </row>
    <row r="5122" spans="1:16">
      <c r="A5122" s="1178" t="s">
        <v>22657</v>
      </c>
      <c r="B5122" s="1371" t="str">
        <f>HYPERLINK(IFERROR("#Main_Tariff!A"&amp;MATCH(Raeburn_Main_Tariff[[#This Row],[Product Code]],Main_Tariff!I:I,0),"#Main_Tariff!A"&amp;MATCH("*"&amp;RIGHT(A5122,8)&amp;"*",Main_Tariff!A:A,0)),Raeburn_Main_Tariff[[#This Row],[PRODUCER]])</f>
        <v>Maximin Grünhaus</v>
      </c>
      <c r="C5122" s="1178" t="s">
        <v>22665</v>
      </c>
      <c r="D5122" s="1178" t="s">
        <v>1129</v>
      </c>
      <c r="E5122" s="1179">
        <v>2022</v>
      </c>
      <c r="F5122" s="1282" t="s">
        <v>20220</v>
      </c>
      <c r="G5122" s="1368">
        <v>19.5</v>
      </c>
      <c r="H5122" s="1178" t="s">
        <v>20221</v>
      </c>
      <c r="I5122" s="1178" t="s">
        <v>16072</v>
      </c>
      <c r="J5122" s="1178" t="s">
        <v>22514</v>
      </c>
      <c r="K5122" s="1178" t="s">
        <v>559</v>
      </c>
      <c r="L5122" s="1178"/>
      <c r="M5122" s="1369"/>
      <c r="N5122" s="1178"/>
      <c r="O5122" s="1178">
        <v>12</v>
      </c>
      <c r="P5122" s="1178">
        <v>12</v>
      </c>
    </row>
    <row r="5123" spans="1:16">
      <c r="A5123" s="1178" t="s">
        <v>22657</v>
      </c>
      <c r="B5123" s="1371" t="str">
        <f>HYPERLINK(IFERROR("#Main_Tariff!A"&amp;MATCH(Raeburn_Main_Tariff[[#This Row],[Product Code]],Main_Tariff!I:I,0),"#Main_Tariff!A"&amp;MATCH("*"&amp;RIGHT(A5123,8)&amp;"*",Main_Tariff!A:A,0)),Raeburn_Main_Tariff[[#This Row],[PRODUCER]])</f>
        <v>Maximin Grünhaus</v>
      </c>
      <c r="C5123" s="1178" t="s">
        <v>22666</v>
      </c>
      <c r="D5123" s="1178" t="s">
        <v>1129</v>
      </c>
      <c r="E5123" s="1179">
        <v>2023</v>
      </c>
      <c r="F5123" s="1282" t="s">
        <v>20220</v>
      </c>
      <c r="G5123" s="1368">
        <v>34</v>
      </c>
      <c r="H5123" s="1178" t="s">
        <v>20221</v>
      </c>
      <c r="I5123" s="1178" t="s">
        <v>16077</v>
      </c>
      <c r="J5123" s="1178" t="s">
        <v>22514</v>
      </c>
      <c r="K5123" s="1178" t="s">
        <v>559</v>
      </c>
      <c r="L5123" s="1178"/>
      <c r="M5123" s="1369"/>
      <c r="N5123" s="1178"/>
      <c r="O5123" s="1178">
        <v>6</v>
      </c>
      <c r="P5123" s="1178">
        <v>12</v>
      </c>
    </row>
    <row r="5124" spans="1:16">
      <c r="A5124" s="1178" t="s">
        <v>22657</v>
      </c>
      <c r="B5124" s="1371" t="str">
        <f>HYPERLINK(IFERROR("#Main_Tariff!A"&amp;MATCH(Raeburn_Main_Tariff[[#This Row],[Product Code]],Main_Tariff!I:I,0),"#Main_Tariff!A"&amp;MATCH("*"&amp;RIGHT(A5124,8)&amp;"*",Main_Tariff!A:A,0)),Raeburn_Main_Tariff[[#This Row],[PRODUCER]])</f>
        <v>Maximin Grünhaus</v>
      </c>
      <c r="C5124" s="1178" t="s">
        <v>22666</v>
      </c>
      <c r="D5124" s="1178" t="s">
        <v>1129</v>
      </c>
      <c r="E5124" s="1179">
        <v>2022</v>
      </c>
      <c r="F5124" s="1282" t="s">
        <v>20220</v>
      </c>
      <c r="G5124" s="1368">
        <v>33</v>
      </c>
      <c r="H5124" s="1178" t="s">
        <v>20221</v>
      </c>
      <c r="I5124" s="1178" t="s">
        <v>16079</v>
      </c>
      <c r="J5124" s="1178" t="s">
        <v>22514</v>
      </c>
      <c r="K5124" s="1178" t="s">
        <v>559</v>
      </c>
      <c r="L5124" s="1178"/>
      <c r="M5124" s="1369"/>
      <c r="N5124" s="1178"/>
      <c r="O5124" s="1178">
        <v>6</v>
      </c>
      <c r="P5124" s="1178">
        <v>12</v>
      </c>
    </row>
    <row r="5125" spans="1:16">
      <c r="A5125" s="1178" t="s">
        <v>22657</v>
      </c>
      <c r="B5125" s="1371" t="str">
        <f>HYPERLINK(IFERROR("#Main_Tariff!A"&amp;MATCH(Raeburn_Main_Tariff[[#This Row],[Product Code]],Main_Tariff!I:I,0),"#Main_Tariff!A"&amp;MATCH("*"&amp;RIGHT(A5125,8)&amp;"*",Main_Tariff!A:A,0)),Raeburn_Main_Tariff[[#This Row],[PRODUCER]])</f>
        <v>Maximin Grünhaus</v>
      </c>
      <c r="C5125" s="1178" t="s">
        <v>22666</v>
      </c>
      <c r="D5125" s="1178" t="s">
        <v>1129</v>
      </c>
      <c r="E5125" s="1179">
        <v>2018</v>
      </c>
      <c r="F5125" s="1282" t="s">
        <v>20220</v>
      </c>
      <c r="G5125" s="1368">
        <v>29.75</v>
      </c>
      <c r="H5125" s="1178" t="s">
        <v>20221</v>
      </c>
      <c r="I5125" s="1178" t="s">
        <v>16081</v>
      </c>
      <c r="J5125" s="1178" t="s">
        <v>22514</v>
      </c>
      <c r="K5125" s="1178" t="s">
        <v>559</v>
      </c>
      <c r="L5125" s="1178"/>
      <c r="M5125" s="1369"/>
      <c r="N5125" s="1178"/>
      <c r="O5125" s="1178">
        <v>6</v>
      </c>
      <c r="P5125" s="1178">
        <v>13</v>
      </c>
    </row>
    <row r="5126" spans="1:16">
      <c r="A5126" s="1178" t="s">
        <v>22657</v>
      </c>
      <c r="B5126" s="1371" t="str">
        <f>HYPERLINK(IFERROR("#Main_Tariff!A"&amp;MATCH(Raeburn_Main_Tariff[[#This Row],[Product Code]],Main_Tariff!I:I,0),"#Main_Tariff!A"&amp;MATCH("*"&amp;RIGHT(A5126,8)&amp;"*",Main_Tariff!A:A,0)),Raeburn_Main_Tariff[[#This Row],[PRODUCER]])</f>
        <v>Maximin Grünhaus</v>
      </c>
      <c r="C5126" s="1178" t="s">
        <v>22667</v>
      </c>
      <c r="D5126" s="1178" t="s">
        <v>1129</v>
      </c>
      <c r="E5126" s="1179">
        <v>2023</v>
      </c>
      <c r="F5126" s="1282" t="s">
        <v>20220</v>
      </c>
      <c r="G5126" s="1368">
        <v>30.25</v>
      </c>
      <c r="H5126" s="1178" t="s">
        <v>20221</v>
      </c>
      <c r="I5126" s="1178" t="s">
        <v>16083</v>
      </c>
      <c r="J5126" s="1178" t="s">
        <v>22514</v>
      </c>
      <c r="K5126" s="1178" t="s">
        <v>559</v>
      </c>
      <c r="L5126" s="1178"/>
      <c r="M5126" s="1369"/>
      <c r="N5126" s="1178"/>
      <c r="O5126" s="1178">
        <v>6</v>
      </c>
      <c r="P5126" s="1178">
        <v>12</v>
      </c>
    </row>
    <row r="5127" spans="1:16">
      <c r="A5127" s="1178" t="s">
        <v>22657</v>
      </c>
      <c r="B5127" s="1371" t="str">
        <f>HYPERLINK(IFERROR("#Main_Tariff!A"&amp;MATCH(Raeburn_Main_Tariff[[#This Row],[Product Code]],Main_Tariff!I:I,0),"#Main_Tariff!A"&amp;MATCH("*"&amp;RIGHT(A5127,8)&amp;"*",Main_Tariff!A:A,0)),Raeburn_Main_Tariff[[#This Row],[PRODUCER]])</f>
        <v>Maximin Grünhaus</v>
      </c>
      <c r="C5127" s="1178" t="s">
        <v>22668</v>
      </c>
      <c r="D5127" s="1178" t="s">
        <v>1129</v>
      </c>
      <c r="E5127" s="1179">
        <v>2022</v>
      </c>
      <c r="F5127" s="1282" t="s">
        <v>20240</v>
      </c>
      <c r="G5127" s="1368">
        <v>72</v>
      </c>
      <c r="H5127" s="1178" t="s">
        <v>20224</v>
      </c>
      <c r="I5127" s="1178" t="s">
        <v>16084</v>
      </c>
      <c r="J5127" s="1178" t="s">
        <v>22514</v>
      </c>
      <c r="K5127" s="1178" t="s">
        <v>559</v>
      </c>
      <c r="L5127" s="1178"/>
      <c r="M5127" s="1369"/>
      <c r="N5127" s="1178"/>
      <c r="O5127" s="1178">
        <v>3</v>
      </c>
      <c r="P5127" s="1178">
        <v>12</v>
      </c>
    </row>
    <row r="5128" spans="1:16">
      <c r="A5128" s="1178" t="s">
        <v>22657</v>
      </c>
      <c r="B5128" s="1371" t="str">
        <f>HYPERLINK(IFERROR("#Main_Tariff!A"&amp;MATCH(Raeburn_Main_Tariff[[#This Row],[Product Code]],Main_Tariff!I:I,0),"#Main_Tariff!A"&amp;MATCH("*"&amp;RIGHT(A5128,8)&amp;"*",Main_Tariff!A:A,0)),Raeburn_Main_Tariff[[#This Row],[PRODUCER]])</f>
        <v>Maximin Grünhaus</v>
      </c>
      <c r="C5128" s="1178" t="s">
        <v>22668</v>
      </c>
      <c r="D5128" s="1178" t="s">
        <v>1129</v>
      </c>
      <c r="E5128" s="1179">
        <v>2021</v>
      </c>
      <c r="F5128" s="1282" t="s">
        <v>20240</v>
      </c>
      <c r="G5128" s="1368">
        <v>66</v>
      </c>
      <c r="H5128" s="1178" t="s">
        <v>20224</v>
      </c>
      <c r="I5128" s="1178" t="s">
        <v>16086</v>
      </c>
      <c r="J5128" s="1178" t="s">
        <v>22514</v>
      </c>
      <c r="K5128" s="1178" t="s">
        <v>559</v>
      </c>
      <c r="L5128" s="1178"/>
      <c r="M5128" s="1369"/>
      <c r="N5128" s="1178"/>
      <c r="O5128" s="1178">
        <v>6</v>
      </c>
      <c r="P5128" s="1178">
        <v>12</v>
      </c>
    </row>
    <row r="5129" spans="1:16">
      <c r="A5129" s="1178" t="s">
        <v>22657</v>
      </c>
      <c r="B5129" s="1371" t="str">
        <f>HYPERLINK(IFERROR("#Main_Tariff!A"&amp;MATCH(Raeburn_Main_Tariff[[#This Row],[Product Code]],Main_Tariff!I:I,0),"#Main_Tariff!A"&amp;MATCH("*"&amp;RIGHT(A5129,8)&amp;"*",Main_Tariff!A:A,0)),Raeburn_Main_Tariff[[#This Row],[PRODUCER]])</f>
        <v>Maximin Grünhaus</v>
      </c>
      <c r="C5129" s="1178" t="s">
        <v>22669</v>
      </c>
      <c r="D5129" s="1178" t="s">
        <v>1129</v>
      </c>
      <c r="E5129" s="1179">
        <v>2018</v>
      </c>
      <c r="F5129" s="1282" t="s">
        <v>20280</v>
      </c>
      <c r="G5129" s="1368">
        <v>14.75</v>
      </c>
      <c r="H5129" s="1178" t="s">
        <v>20221</v>
      </c>
      <c r="I5129" s="1178" t="s">
        <v>16092</v>
      </c>
      <c r="J5129" s="1178" t="s">
        <v>22514</v>
      </c>
      <c r="K5129" s="1178" t="s">
        <v>559</v>
      </c>
      <c r="L5129" s="1178"/>
      <c r="M5129" s="1369"/>
      <c r="N5129" s="1178"/>
      <c r="O5129" s="1178">
        <v>12</v>
      </c>
      <c r="P5129" s="1178">
        <v>12.5</v>
      </c>
    </row>
    <row r="5130" spans="1:16">
      <c r="A5130" s="1178" t="s">
        <v>22657</v>
      </c>
      <c r="B5130" s="1371" t="str">
        <f>HYPERLINK(IFERROR("#Main_Tariff!A"&amp;MATCH(Raeburn_Main_Tariff[[#This Row],[Product Code]],Main_Tariff!I:I,0),"#Main_Tariff!A"&amp;MATCH("*"&amp;RIGHT(A5130,8)&amp;"*",Main_Tariff!A:A,0)),Raeburn_Main_Tariff[[#This Row],[PRODUCER]])</f>
        <v>Maximin Grünhaus</v>
      </c>
      <c r="C5130" s="1178" t="s">
        <v>22669</v>
      </c>
      <c r="D5130" s="1178" t="s">
        <v>1129</v>
      </c>
      <c r="E5130" s="1179">
        <v>2017</v>
      </c>
      <c r="F5130" s="1282" t="s">
        <v>20280</v>
      </c>
      <c r="G5130" s="1368">
        <v>14.75</v>
      </c>
      <c r="H5130" s="1178" t="s">
        <v>20221</v>
      </c>
      <c r="I5130" s="1178" t="s">
        <v>16094</v>
      </c>
      <c r="J5130" s="1178" t="s">
        <v>22514</v>
      </c>
      <c r="K5130" s="1178" t="s">
        <v>559</v>
      </c>
      <c r="L5130" s="1178"/>
      <c r="M5130" s="1369"/>
      <c r="N5130" s="1178"/>
      <c r="O5130" s="1178">
        <v>12</v>
      </c>
      <c r="P5130" s="1178">
        <v>11.5</v>
      </c>
    </row>
    <row r="5131" spans="1:16">
      <c r="A5131" s="1178" t="s">
        <v>22657</v>
      </c>
      <c r="B5131" s="1371" t="str">
        <f>HYPERLINK(IFERROR("#Main_Tariff!A"&amp;MATCH(Raeburn_Main_Tariff[[#This Row],[Product Code]],Main_Tariff!I:I,0),"#Main_Tariff!A"&amp;MATCH("*"&amp;RIGHT(A5131,8)&amp;"*",Main_Tariff!A:A,0)),Raeburn_Main_Tariff[[#This Row],[PRODUCER]])</f>
        <v>Maximin Grünhaus</v>
      </c>
      <c r="C5131" s="1178" t="s">
        <v>22669</v>
      </c>
      <c r="D5131" s="1178" t="s">
        <v>1129</v>
      </c>
      <c r="E5131" s="1179">
        <v>2015</v>
      </c>
      <c r="F5131" s="1282" t="s">
        <v>20280</v>
      </c>
      <c r="G5131" s="1368">
        <v>14.75</v>
      </c>
      <c r="H5131" s="1178" t="s">
        <v>20221</v>
      </c>
      <c r="I5131" s="1178" t="s">
        <v>16096</v>
      </c>
      <c r="J5131" s="1178" t="s">
        <v>22514</v>
      </c>
      <c r="K5131" s="1178" t="s">
        <v>559</v>
      </c>
      <c r="L5131" s="1178"/>
      <c r="M5131" s="1369"/>
      <c r="N5131" s="1178"/>
      <c r="O5131" s="1178">
        <v>12</v>
      </c>
      <c r="P5131" s="1178">
        <v>11</v>
      </c>
    </row>
    <row r="5132" spans="1:16">
      <c r="A5132" s="1178" t="s">
        <v>22657</v>
      </c>
      <c r="B5132" s="1371" t="str">
        <f>HYPERLINK(IFERROR("#Main_Tariff!A"&amp;MATCH(Raeburn_Main_Tariff[[#This Row],[Product Code]],Main_Tariff!I:I,0),"#Main_Tariff!A"&amp;MATCH("*"&amp;RIGHT(A5132,8)&amp;"*",Main_Tariff!A:A,0)),Raeburn_Main_Tariff[[#This Row],[PRODUCER]])</f>
        <v>Maximin Grünhaus</v>
      </c>
      <c r="C5132" s="1178" t="s">
        <v>22670</v>
      </c>
      <c r="D5132" s="1178" t="s">
        <v>1129</v>
      </c>
      <c r="E5132" s="1179">
        <v>2022</v>
      </c>
      <c r="F5132" s="1282" t="s">
        <v>20220</v>
      </c>
      <c r="G5132" s="1368">
        <v>26.75</v>
      </c>
      <c r="H5132" s="1178" t="s">
        <v>20221</v>
      </c>
      <c r="I5132" s="1178" t="s">
        <v>16098</v>
      </c>
      <c r="J5132" s="1178" t="s">
        <v>22514</v>
      </c>
      <c r="K5132" s="1178" t="s">
        <v>559</v>
      </c>
      <c r="L5132" s="1178"/>
      <c r="M5132" s="1369"/>
      <c r="N5132" s="1178"/>
      <c r="O5132" s="1178">
        <v>6</v>
      </c>
      <c r="P5132" s="1178">
        <v>12</v>
      </c>
    </row>
    <row r="5133" spans="1:16">
      <c r="A5133" s="1178" t="s">
        <v>22657</v>
      </c>
      <c r="B5133" s="1371" t="str">
        <f>HYPERLINK(IFERROR("#Main_Tariff!A"&amp;MATCH(Raeburn_Main_Tariff[[#This Row],[Product Code]],Main_Tariff!I:I,0),"#Main_Tariff!A"&amp;MATCH("*"&amp;RIGHT(A5133,8)&amp;"*",Main_Tariff!A:A,0)),Raeburn_Main_Tariff[[#This Row],[PRODUCER]])</f>
        <v>Maximin Grünhaus</v>
      </c>
      <c r="C5133" s="1178" t="s">
        <v>22671</v>
      </c>
      <c r="D5133" s="1178" t="s">
        <v>1129</v>
      </c>
      <c r="E5133" s="1179">
        <v>2022</v>
      </c>
      <c r="F5133" s="1282" t="s">
        <v>20220</v>
      </c>
      <c r="G5133" s="1368">
        <v>27.75</v>
      </c>
      <c r="H5133" s="1178" t="s">
        <v>20221</v>
      </c>
      <c r="I5133" s="1178" t="s">
        <v>16100</v>
      </c>
      <c r="J5133" s="1178" t="s">
        <v>22514</v>
      </c>
      <c r="K5133" s="1178" t="s">
        <v>559</v>
      </c>
      <c r="L5133" s="1178"/>
      <c r="M5133" s="1369"/>
      <c r="N5133" s="1178"/>
      <c r="O5133" s="1178">
        <v>6</v>
      </c>
      <c r="P5133" s="1178">
        <v>12</v>
      </c>
    </row>
    <row r="5134" spans="1:16">
      <c r="A5134" s="1178" t="s">
        <v>22657</v>
      </c>
      <c r="B5134" s="1371" t="str">
        <f>HYPERLINK(IFERROR("#Main_Tariff!A"&amp;MATCH(Raeburn_Main_Tariff[[#This Row],[Product Code]],Main_Tariff!I:I,0),"#Main_Tariff!A"&amp;MATCH("*"&amp;RIGHT(A5134,8)&amp;"*",Main_Tariff!A:A,0)),Raeburn_Main_Tariff[[#This Row],[PRODUCER]])</f>
        <v>Maximin Grünhaus</v>
      </c>
      <c r="C5134" s="1178" t="s">
        <v>22671</v>
      </c>
      <c r="D5134" s="1178" t="s">
        <v>1129</v>
      </c>
      <c r="E5134" s="1179">
        <v>2021</v>
      </c>
      <c r="F5134" s="1282" t="s">
        <v>20220</v>
      </c>
      <c r="G5134" s="1368">
        <v>25</v>
      </c>
      <c r="H5134" s="1178" t="s">
        <v>20224</v>
      </c>
      <c r="I5134" s="1178" t="s">
        <v>16102</v>
      </c>
      <c r="J5134" s="1178" t="s">
        <v>22514</v>
      </c>
      <c r="K5134" s="1178" t="s">
        <v>559</v>
      </c>
      <c r="L5134" s="1178"/>
      <c r="M5134" s="1369"/>
      <c r="N5134" s="1178"/>
      <c r="O5134" s="1178">
        <v>6</v>
      </c>
      <c r="P5134" s="1178">
        <v>11</v>
      </c>
    </row>
    <row r="5135" spans="1:16">
      <c r="A5135" s="1178" t="s">
        <v>22657</v>
      </c>
      <c r="B5135" s="1371" t="str">
        <f>HYPERLINK(IFERROR("#Main_Tariff!A"&amp;MATCH(Raeburn_Main_Tariff[[#This Row],[Product Code]],Main_Tariff!I:I,0),"#Main_Tariff!A"&amp;MATCH("*"&amp;RIGHT(A5135,8)&amp;"*",Main_Tariff!A:A,0)),Raeburn_Main_Tariff[[#This Row],[PRODUCER]])</f>
        <v>Maximin Grünhaus</v>
      </c>
      <c r="C5135" s="1178" t="s">
        <v>22671</v>
      </c>
      <c r="D5135" s="1178" t="s">
        <v>1129</v>
      </c>
      <c r="E5135" s="1179">
        <v>2019</v>
      </c>
      <c r="F5135" s="1282" t="s">
        <v>20220</v>
      </c>
      <c r="G5135" s="1368">
        <v>26.5</v>
      </c>
      <c r="H5135" s="1178" t="s">
        <v>20221</v>
      </c>
      <c r="I5135" s="1178" t="s">
        <v>16104</v>
      </c>
      <c r="J5135" s="1178" t="s">
        <v>22514</v>
      </c>
      <c r="K5135" s="1178" t="s">
        <v>559</v>
      </c>
      <c r="L5135" s="1178"/>
      <c r="M5135" s="1369"/>
      <c r="N5135" s="1178"/>
      <c r="O5135" s="1178">
        <v>6</v>
      </c>
      <c r="P5135" s="1178">
        <v>12</v>
      </c>
    </row>
    <row r="5136" spans="1:16">
      <c r="A5136" s="1178" t="s">
        <v>22657</v>
      </c>
      <c r="B5136" s="1371" t="str">
        <f>HYPERLINK(IFERROR("#Main_Tariff!A"&amp;MATCH(Raeburn_Main_Tariff[[#This Row],[Product Code]],Main_Tariff!I:I,0),"#Main_Tariff!A"&amp;MATCH("*"&amp;RIGHT(A5136,8)&amp;"*",Main_Tariff!A:A,0)),Raeburn_Main_Tariff[[#This Row],[PRODUCER]])</f>
        <v>Maximin Grünhaus</v>
      </c>
      <c r="C5136" s="1178" t="s">
        <v>22671</v>
      </c>
      <c r="D5136" s="1178" t="s">
        <v>1129</v>
      </c>
      <c r="E5136" s="1179">
        <v>2017</v>
      </c>
      <c r="F5136" s="1282" t="s">
        <v>20220</v>
      </c>
      <c r="G5136" s="1368">
        <v>26</v>
      </c>
      <c r="H5136" s="1178" t="s">
        <v>20221</v>
      </c>
      <c r="I5136" s="1178" t="s">
        <v>16106</v>
      </c>
      <c r="J5136" s="1178" t="s">
        <v>22514</v>
      </c>
      <c r="K5136" s="1178" t="s">
        <v>559</v>
      </c>
      <c r="L5136" s="1178"/>
      <c r="M5136" s="1369"/>
      <c r="N5136" s="1178"/>
      <c r="O5136" s="1178">
        <v>6</v>
      </c>
      <c r="P5136" s="1178">
        <v>11.5</v>
      </c>
    </row>
    <row r="5137" spans="1:16">
      <c r="A5137" s="1178" t="s">
        <v>22657</v>
      </c>
      <c r="B5137" s="1371" t="str">
        <f>HYPERLINK(IFERROR("#Main_Tariff!A"&amp;MATCH(Raeburn_Main_Tariff[[#This Row],[Product Code]],Main_Tariff!I:I,0),"#Main_Tariff!A"&amp;MATCH("*"&amp;RIGHT(A5137,8)&amp;"*",Main_Tariff!A:A,0)),Raeburn_Main_Tariff[[#This Row],[PRODUCER]])</f>
        <v>Maximin Grünhaus</v>
      </c>
      <c r="C5137" s="1178" t="s">
        <v>22671</v>
      </c>
      <c r="D5137" s="1178" t="s">
        <v>1129</v>
      </c>
      <c r="E5137" s="1179">
        <v>2015</v>
      </c>
      <c r="F5137" s="1282" t="s">
        <v>20220</v>
      </c>
      <c r="G5137" s="1368">
        <v>27</v>
      </c>
      <c r="H5137" s="1178" t="s">
        <v>20221</v>
      </c>
      <c r="I5137" s="1178" t="s">
        <v>16108</v>
      </c>
      <c r="J5137" s="1178" t="s">
        <v>22514</v>
      </c>
      <c r="K5137" s="1178" t="s">
        <v>559</v>
      </c>
      <c r="L5137" s="1178"/>
      <c r="M5137" s="1369"/>
      <c r="N5137" s="1178"/>
      <c r="O5137" s="1178">
        <v>6</v>
      </c>
      <c r="P5137" s="1178">
        <v>11</v>
      </c>
    </row>
    <row r="5138" spans="1:16">
      <c r="A5138" s="1178" t="s">
        <v>22657</v>
      </c>
      <c r="B5138" s="1371" t="str">
        <f>HYPERLINK(IFERROR("#Main_Tariff!A"&amp;MATCH(Raeburn_Main_Tariff[[#This Row],[Product Code]],Main_Tariff!I:I,0),"#Main_Tariff!A"&amp;MATCH("*"&amp;RIGHT(A5138,8)&amp;"*",Main_Tariff!A:A,0)),Raeburn_Main_Tariff[[#This Row],[PRODUCER]])</f>
        <v>Maximin Grünhaus</v>
      </c>
      <c r="C5138" s="1178" t="s">
        <v>22672</v>
      </c>
      <c r="D5138" s="1178" t="s">
        <v>1129</v>
      </c>
      <c r="E5138" s="1179">
        <v>2013</v>
      </c>
      <c r="F5138" s="1282" t="s">
        <v>20220</v>
      </c>
      <c r="G5138" s="1368">
        <v>26</v>
      </c>
      <c r="H5138" s="1178" t="s">
        <v>20221</v>
      </c>
      <c r="I5138" s="1178" t="s">
        <v>16110</v>
      </c>
      <c r="J5138" s="1178" t="s">
        <v>22514</v>
      </c>
      <c r="K5138" s="1178" t="s">
        <v>559</v>
      </c>
      <c r="L5138" s="1178"/>
      <c r="M5138" s="1369"/>
      <c r="N5138" s="1178"/>
      <c r="O5138" s="1178">
        <v>6</v>
      </c>
      <c r="P5138" s="1178">
        <v>11</v>
      </c>
    </row>
    <row r="5139" spans="1:16">
      <c r="A5139" s="1178" t="s">
        <v>22657</v>
      </c>
      <c r="B5139" s="1371" t="str">
        <f>HYPERLINK(IFERROR("#Main_Tariff!A"&amp;MATCH(Raeburn_Main_Tariff[[#This Row],[Product Code]],Main_Tariff!I:I,0),"#Main_Tariff!A"&amp;MATCH("*"&amp;RIGHT(A5139,8)&amp;"*",Main_Tariff!A:A,0)),Raeburn_Main_Tariff[[#This Row],[PRODUCER]])</f>
        <v>Maximin Grünhaus</v>
      </c>
      <c r="C5139" s="1178" t="s">
        <v>22673</v>
      </c>
      <c r="D5139" s="1178" t="s">
        <v>1129</v>
      </c>
      <c r="E5139" s="1179">
        <v>2013</v>
      </c>
      <c r="F5139" s="1282" t="s">
        <v>20240</v>
      </c>
      <c r="G5139" s="1368">
        <v>59.75</v>
      </c>
      <c r="H5139" s="1178" t="s">
        <v>20224</v>
      </c>
      <c r="I5139" s="1178" t="s">
        <v>16112</v>
      </c>
      <c r="J5139" s="1178" t="s">
        <v>22514</v>
      </c>
      <c r="K5139" s="1178" t="s">
        <v>559</v>
      </c>
      <c r="L5139" s="1178"/>
      <c r="M5139" s="1369"/>
      <c r="N5139" s="1178"/>
      <c r="O5139" s="1178">
        <v>6</v>
      </c>
      <c r="P5139" s="1178">
        <v>11</v>
      </c>
    </row>
    <row r="5140" spans="1:16">
      <c r="A5140" s="1178" t="s">
        <v>22657</v>
      </c>
      <c r="B5140" s="1371" t="str">
        <f>HYPERLINK(IFERROR("#Main_Tariff!A"&amp;MATCH(Raeburn_Main_Tariff[[#This Row],[Product Code]],Main_Tariff!I:I,0),"#Main_Tariff!A"&amp;MATCH("*"&amp;RIGHT(A5140,8)&amp;"*",Main_Tariff!A:A,0)),Raeburn_Main_Tariff[[#This Row],[PRODUCER]])</f>
        <v>Maximin Grünhaus</v>
      </c>
      <c r="C5140" s="1178" t="s">
        <v>22674</v>
      </c>
      <c r="D5140" s="1178" t="s">
        <v>1129</v>
      </c>
      <c r="E5140" s="1179">
        <v>2021</v>
      </c>
      <c r="F5140" s="1282" t="s">
        <v>20220</v>
      </c>
      <c r="G5140" s="1368">
        <v>20.25</v>
      </c>
      <c r="H5140" s="1178" t="s">
        <v>20221</v>
      </c>
      <c r="I5140" s="1178" t="s">
        <v>16115</v>
      </c>
      <c r="J5140" s="1178" t="s">
        <v>22514</v>
      </c>
      <c r="K5140" s="1178" t="s">
        <v>559</v>
      </c>
      <c r="L5140" s="1178"/>
      <c r="M5140" s="1369"/>
      <c r="N5140" s="1178"/>
      <c r="O5140" s="1178">
        <v>6</v>
      </c>
      <c r="P5140" s="1178">
        <v>7.5</v>
      </c>
    </row>
    <row r="5141" spans="1:16">
      <c r="A5141" s="1178" t="s">
        <v>22657</v>
      </c>
      <c r="B5141" s="1371" t="str">
        <f>HYPERLINK(IFERROR("#Main_Tariff!A"&amp;MATCH(Raeburn_Main_Tariff[[#This Row],[Product Code]],Main_Tariff!I:I,0),"#Main_Tariff!A"&amp;MATCH("*"&amp;RIGHT(A5141,8)&amp;"*",Main_Tariff!A:A,0)),Raeburn_Main_Tariff[[#This Row],[PRODUCER]])</f>
        <v>Maximin Grünhaus</v>
      </c>
      <c r="C5141" s="1178" t="s">
        <v>22674</v>
      </c>
      <c r="D5141" s="1178" t="s">
        <v>1129</v>
      </c>
      <c r="E5141" s="1179">
        <v>2017</v>
      </c>
      <c r="F5141" s="1282" t="s">
        <v>20220</v>
      </c>
      <c r="G5141" s="1368">
        <v>17</v>
      </c>
      <c r="H5141" s="1178" t="s">
        <v>20221</v>
      </c>
      <c r="I5141" s="1178" t="s">
        <v>16117</v>
      </c>
      <c r="J5141" s="1178" t="s">
        <v>22514</v>
      </c>
      <c r="K5141" s="1178" t="s">
        <v>559</v>
      </c>
      <c r="L5141" s="1178"/>
      <c r="M5141" s="1369"/>
      <c r="N5141" s="1178"/>
      <c r="O5141" s="1178">
        <v>6</v>
      </c>
      <c r="P5141" s="1178">
        <v>7.5</v>
      </c>
    </row>
    <row r="5142" spans="1:16">
      <c r="A5142" s="1178" t="s">
        <v>22657</v>
      </c>
      <c r="B5142" s="1371" t="str">
        <f>HYPERLINK(IFERROR("#Main_Tariff!A"&amp;MATCH(Raeburn_Main_Tariff[[#This Row],[Product Code]],Main_Tariff!I:I,0),"#Main_Tariff!A"&amp;MATCH("*"&amp;RIGHT(A5142,8)&amp;"*",Main_Tariff!A:A,0)),Raeburn_Main_Tariff[[#This Row],[PRODUCER]])</f>
        <v>Maximin Grünhaus</v>
      </c>
      <c r="C5142" s="1178" t="s">
        <v>22675</v>
      </c>
      <c r="D5142" s="1178" t="s">
        <v>1129</v>
      </c>
      <c r="E5142" s="1179">
        <v>2022</v>
      </c>
      <c r="F5142" s="1282" t="s">
        <v>20220</v>
      </c>
      <c r="G5142" s="1368">
        <v>18.5</v>
      </c>
      <c r="H5142" s="1178" t="s">
        <v>20221</v>
      </c>
      <c r="I5142" s="1178" t="s">
        <v>16119</v>
      </c>
      <c r="J5142" s="1178" t="s">
        <v>22514</v>
      </c>
      <c r="K5142" s="1178" t="s">
        <v>559</v>
      </c>
      <c r="L5142" s="1178"/>
      <c r="M5142" s="1369"/>
      <c r="N5142" s="1178"/>
      <c r="O5142" s="1178">
        <v>6</v>
      </c>
      <c r="P5142" s="1178">
        <v>7.5</v>
      </c>
    </row>
    <row r="5143" spans="1:16">
      <c r="A5143" s="1178" t="s">
        <v>22657</v>
      </c>
      <c r="B5143" s="1371" t="str">
        <f>HYPERLINK(IFERROR("#Main_Tariff!A"&amp;MATCH(Raeburn_Main_Tariff[[#This Row],[Product Code]],Main_Tariff!I:I,0),"#Main_Tariff!A"&amp;MATCH("*"&amp;RIGHT(A5143,8)&amp;"*",Main_Tariff!A:A,0)),Raeburn_Main_Tariff[[#This Row],[PRODUCER]])</f>
        <v>Maximin Grünhaus</v>
      </c>
      <c r="C5143" s="1178" t="s">
        <v>22676</v>
      </c>
      <c r="D5143" s="1178" t="s">
        <v>1129</v>
      </c>
      <c r="E5143" s="1179">
        <v>2022</v>
      </c>
      <c r="F5143" s="1282" t="s">
        <v>20220</v>
      </c>
      <c r="G5143" s="1368">
        <v>21</v>
      </c>
      <c r="H5143" s="1178" t="s">
        <v>20221</v>
      </c>
      <c r="I5143" s="1178" t="s">
        <v>16121</v>
      </c>
      <c r="J5143" s="1178" t="s">
        <v>22514</v>
      </c>
      <c r="K5143" s="1178" t="s">
        <v>559</v>
      </c>
      <c r="L5143" s="1178"/>
      <c r="M5143" s="1369"/>
      <c r="N5143" s="1178"/>
      <c r="O5143" s="1178">
        <v>6</v>
      </c>
      <c r="P5143" s="1178">
        <v>8</v>
      </c>
    </row>
    <row r="5144" spans="1:16">
      <c r="A5144" s="1178" t="s">
        <v>22657</v>
      </c>
      <c r="B5144" s="1371" t="str">
        <f>HYPERLINK(IFERROR("#Main_Tariff!A"&amp;MATCH(Raeburn_Main_Tariff[[#This Row],[Product Code]],Main_Tariff!I:I,0),"#Main_Tariff!A"&amp;MATCH("*"&amp;RIGHT(A5144,8)&amp;"*",Main_Tariff!A:A,0)),Raeburn_Main_Tariff[[#This Row],[PRODUCER]])</f>
        <v>Maximin Grünhaus</v>
      </c>
      <c r="C5144" s="1178" t="s">
        <v>22676</v>
      </c>
      <c r="D5144" s="1178" t="s">
        <v>1129</v>
      </c>
      <c r="E5144" s="1179">
        <v>2020</v>
      </c>
      <c r="F5144" s="1282" t="s">
        <v>20220</v>
      </c>
      <c r="G5144" s="1368">
        <v>18</v>
      </c>
      <c r="H5144" s="1178" t="s">
        <v>20221</v>
      </c>
      <c r="I5144" s="1178" t="s">
        <v>16123</v>
      </c>
      <c r="J5144" s="1178" t="s">
        <v>22514</v>
      </c>
      <c r="K5144" s="1178" t="s">
        <v>559</v>
      </c>
      <c r="L5144" s="1178"/>
      <c r="M5144" s="1369"/>
      <c r="N5144" s="1178"/>
      <c r="O5144" s="1178">
        <v>6</v>
      </c>
      <c r="P5144" s="1178">
        <v>7.5</v>
      </c>
    </row>
    <row r="5145" spans="1:16">
      <c r="A5145" s="1178" t="s">
        <v>22657</v>
      </c>
      <c r="B5145" s="1371" t="str">
        <f>HYPERLINK(IFERROR("#Main_Tariff!A"&amp;MATCH(Raeburn_Main_Tariff[[#This Row],[Product Code]],Main_Tariff!I:I,0),"#Main_Tariff!A"&amp;MATCH("*"&amp;RIGHT(A5145,8)&amp;"*",Main_Tariff!A:A,0)),Raeburn_Main_Tariff[[#This Row],[PRODUCER]])</f>
        <v>Maximin Grünhaus</v>
      </c>
      <c r="C5145" s="1178" t="s">
        <v>22676</v>
      </c>
      <c r="D5145" s="1178" t="s">
        <v>1129</v>
      </c>
      <c r="E5145" s="1179">
        <v>2019</v>
      </c>
      <c r="F5145" s="1282" t="s">
        <v>20220</v>
      </c>
      <c r="G5145" s="1368">
        <v>19.25</v>
      </c>
      <c r="H5145" s="1178" t="s">
        <v>20221</v>
      </c>
      <c r="I5145" s="1178" t="s">
        <v>16124</v>
      </c>
      <c r="J5145" s="1178" t="s">
        <v>22514</v>
      </c>
      <c r="K5145" s="1178" t="s">
        <v>559</v>
      </c>
      <c r="L5145" s="1178"/>
      <c r="M5145" s="1369"/>
      <c r="N5145" s="1178"/>
      <c r="O5145" s="1178">
        <v>6</v>
      </c>
      <c r="P5145" s="1178">
        <v>7.5</v>
      </c>
    </row>
    <row r="5146" spans="1:16">
      <c r="A5146" s="1178" t="s">
        <v>22657</v>
      </c>
      <c r="B5146" s="1371" t="str">
        <f>HYPERLINK(IFERROR("#Main_Tariff!A"&amp;MATCH(Raeburn_Main_Tariff[[#This Row],[Product Code]],Main_Tariff!I:I,0),"#Main_Tariff!A"&amp;MATCH("*"&amp;RIGHT(A5146,8)&amp;"*",Main_Tariff!A:A,0)),Raeburn_Main_Tariff[[#This Row],[PRODUCER]])</f>
        <v>Maximin Grünhaus</v>
      </c>
      <c r="C5146" s="1178" t="s">
        <v>22677</v>
      </c>
      <c r="D5146" s="1178" t="s">
        <v>1129</v>
      </c>
      <c r="E5146" s="1179">
        <v>2022</v>
      </c>
      <c r="F5146" s="1282" t="s">
        <v>20220</v>
      </c>
      <c r="G5146" s="1368">
        <v>81</v>
      </c>
      <c r="H5146" s="1178" t="s">
        <v>20224</v>
      </c>
      <c r="I5146" s="1178" t="s">
        <v>16125</v>
      </c>
      <c r="J5146" s="1178" t="s">
        <v>22514</v>
      </c>
      <c r="K5146" s="1178" t="s">
        <v>559</v>
      </c>
      <c r="L5146" s="1178"/>
      <c r="M5146" s="1369"/>
      <c r="N5146" s="1178"/>
      <c r="O5146" s="1178">
        <v>6</v>
      </c>
      <c r="P5146" s="1178">
        <v>7.5</v>
      </c>
    </row>
    <row r="5147" spans="1:16">
      <c r="A5147" s="1178" t="s">
        <v>22657</v>
      </c>
      <c r="B5147" s="1371" t="str">
        <f>HYPERLINK(IFERROR("#Main_Tariff!A"&amp;MATCH(Raeburn_Main_Tariff[[#This Row],[Product Code]],Main_Tariff!I:I,0),"#Main_Tariff!A"&amp;MATCH("*"&amp;RIGHT(A5147,8)&amp;"*",Main_Tariff!A:A,0)),Raeburn_Main_Tariff[[#This Row],[PRODUCER]])</f>
        <v>Maximin Grünhaus</v>
      </c>
      <c r="C5147" s="1178" t="s">
        <v>22678</v>
      </c>
      <c r="D5147" s="1178" t="s">
        <v>1129</v>
      </c>
      <c r="E5147" s="1179">
        <v>2020</v>
      </c>
      <c r="F5147" s="1282" t="s">
        <v>20220</v>
      </c>
      <c r="G5147" s="1368">
        <v>60</v>
      </c>
      <c r="H5147" s="1178" t="s">
        <v>20221</v>
      </c>
      <c r="I5147" s="1178" t="s">
        <v>16126</v>
      </c>
      <c r="J5147" s="1178" t="s">
        <v>22514</v>
      </c>
      <c r="K5147" s="1178" t="s">
        <v>559</v>
      </c>
      <c r="L5147" s="1178"/>
      <c r="M5147" s="1369"/>
      <c r="N5147" s="1178"/>
      <c r="O5147" s="1178">
        <v>6</v>
      </c>
      <c r="P5147" s="1178">
        <v>7.5</v>
      </c>
    </row>
    <row r="5148" spans="1:16">
      <c r="A5148" s="1178" t="s">
        <v>22657</v>
      </c>
      <c r="B5148" s="1371" t="str">
        <f>HYPERLINK(IFERROR("#Main_Tariff!A"&amp;MATCH(Raeburn_Main_Tariff[[#This Row],[Product Code]],Main_Tariff!I:I,0),"#Main_Tariff!A"&amp;MATCH("*"&amp;RIGHT(A5148,8)&amp;"*",Main_Tariff!A:A,0)),Raeburn_Main_Tariff[[#This Row],[PRODUCER]])</f>
        <v>Maximin Grünhaus</v>
      </c>
      <c r="C5148" s="1178" t="s">
        <v>22679</v>
      </c>
      <c r="D5148" s="1178" t="s">
        <v>1129</v>
      </c>
      <c r="E5148" s="1179">
        <v>2022</v>
      </c>
      <c r="F5148" s="1282" t="s">
        <v>20240</v>
      </c>
      <c r="G5148" s="1368">
        <v>43.25</v>
      </c>
      <c r="H5148" s="1178" t="s">
        <v>20224</v>
      </c>
      <c r="I5148" s="1178" t="s">
        <v>16128</v>
      </c>
      <c r="J5148" s="1178" t="s">
        <v>22514</v>
      </c>
      <c r="K5148" s="1178" t="s">
        <v>559</v>
      </c>
      <c r="L5148" s="1178"/>
      <c r="M5148" s="1369"/>
      <c r="N5148" s="1178"/>
      <c r="O5148" s="1178">
        <v>3</v>
      </c>
      <c r="P5148" s="1178">
        <v>7.5</v>
      </c>
    </row>
    <row r="5149" spans="1:16">
      <c r="A5149" s="1178" t="s">
        <v>22657</v>
      </c>
      <c r="B5149" s="1371" t="str">
        <f>HYPERLINK(IFERROR("#Main_Tariff!A"&amp;MATCH(Raeburn_Main_Tariff[[#This Row],[Product Code]],Main_Tariff!I:I,0),"#Main_Tariff!A"&amp;MATCH("*"&amp;RIGHT(A5149,8)&amp;"*",Main_Tariff!A:A,0)),Raeburn_Main_Tariff[[#This Row],[PRODUCER]])</f>
        <v>Maximin Grünhaus</v>
      </c>
      <c r="C5149" s="1178" t="s">
        <v>22680</v>
      </c>
      <c r="D5149" s="1178" t="s">
        <v>1129</v>
      </c>
      <c r="E5149" s="1179">
        <v>2019</v>
      </c>
      <c r="F5149" s="1282" t="s">
        <v>20240</v>
      </c>
      <c r="G5149" s="1368">
        <v>45.75</v>
      </c>
      <c r="H5149" s="1178" t="s">
        <v>20224</v>
      </c>
      <c r="I5149" s="1178" t="s">
        <v>16130</v>
      </c>
      <c r="J5149" s="1178" t="s">
        <v>22514</v>
      </c>
      <c r="K5149" s="1178" t="s">
        <v>559</v>
      </c>
      <c r="L5149" s="1178"/>
      <c r="M5149" s="1369"/>
      <c r="N5149" s="1178"/>
      <c r="O5149" s="1178">
        <v>3</v>
      </c>
      <c r="P5149" s="1178">
        <v>7.5</v>
      </c>
    </row>
    <row r="5150" spans="1:16">
      <c r="A5150" s="1178" t="s">
        <v>22657</v>
      </c>
      <c r="B5150" s="1371" t="str">
        <f>HYPERLINK(IFERROR("#Main_Tariff!A"&amp;MATCH(Raeburn_Main_Tariff[[#This Row],[Product Code]],Main_Tariff!I:I,0),"#Main_Tariff!A"&amp;MATCH("*"&amp;RIGHT(A5150,8)&amp;"*",Main_Tariff!A:A,0)),Raeburn_Main_Tariff[[#This Row],[PRODUCER]])</f>
        <v>Maximin Grünhaus</v>
      </c>
      <c r="C5150" s="1178" t="s">
        <v>22681</v>
      </c>
      <c r="D5150" s="1178" t="s">
        <v>1129</v>
      </c>
      <c r="E5150" s="1179">
        <v>2012</v>
      </c>
      <c r="F5150" s="1282" t="s">
        <v>20240</v>
      </c>
      <c r="G5150" s="1368">
        <v>52</v>
      </c>
      <c r="H5150" s="1178" t="s">
        <v>20224</v>
      </c>
      <c r="I5150" s="1178" t="s">
        <v>16132</v>
      </c>
      <c r="J5150" s="1178" t="s">
        <v>22514</v>
      </c>
      <c r="K5150" s="1178" t="s">
        <v>559</v>
      </c>
      <c r="L5150" s="1178"/>
      <c r="M5150" s="1369"/>
      <c r="N5150" s="1178"/>
      <c r="O5150" s="1178">
        <v>1</v>
      </c>
      <c r="P5150" s="1178">
        <v>13</v>
      </c>
    </row>
    <row r="5151" spans="1:16">
      <c r="A5151" s="1178" t="s">
        <v>22657</v>
      </c>
      <c r="B5151" s="1371" t="str">
        <f>HYPERLINK(IFERROR("#Main_Tariff!A"&amp;MATCH(Raeburn_Main_Tariff[[#This Row],[Product Code]],Main_Tariff!I:I,0),"#Main_Tariff!A"&amp;MATCH("*"&amp;RIGHT(A5151,8)&amp;"*",Main_Tariff!A:A,0)),Raeburn_Main_Tariff[[#This Row],[PRODUCER]])</f>
        <v>Maximin Grünhaus</v>
      </c>
      <c r="C5151" s="1178" t="s">
        <v>22682</v>
      </c>
      <c r="D5151" s="1178" t="s">
        <v>1129</v>
      </c>
      <c r="E5151" s="1179">
        <v>2020</v>
      </c>
      <c r="F5151" s="1282" t="s">
        <v>20280</v>
      </c>
      <c r="G5151" s="1368">
        <v>12.75</v>
      </c>
      <c r="H5151" s="1178" t="s">
        <v>20221</v>
      </c>
      <c r="I5151" s="1178" t="s">
        <v>16136</v>
      </c>
      <c r="J5151" s="1178" t="s">
        <v>22514</v>
      </c>
      <c r="K5151" s="1178" t="s">
        <v>559</v>
      </c>
      <c r="L5151" s="1178"/>
      <c r="M5151" s="1369"/>
      <c r="N5151" s="1178"/>
      <c r="O5151" s="1178">
        <v>12</v>
      </c>
      <c r="P5151" s="1178">
        <v>7.5</v>
      </c>
    </row>
    <row r="5152" spans="1:16">
      <c r="A5152" s="1178" t="s">
        <v>22657</v>
      </c>
      <c r="B5152" s="1371" t="str">
        <f>HYPERLINK(IFERROR("#Main_Tariff!A"&amp;MATCH(Raeburn_Main_Tariff[[#This Row],[Product Code]],Main_Tariff!I:I,0),"#Main_Tariff!A"&amp;MATCH("*"&amp;RIGHT(A5152,8)&amp;"*",Main_Tariff!A:A,0)),Raeburn_Main_Tariff[[#This Row],[PRODUCER]])</f>
        <v>Maximin Grünhaus</v>
      </c>
      <c r="C5152" s="1178" t="s">
        <v>22682</v>
      </c>
      <c r="D5152" s="1178" t="s">
        <v>1129</v>
      </c>
      <c r="E5152" s="1179">
        <v>2019</v>
      </c>
      <c r="F5152" s="1282" t="s">
        <v>20280</v>
      </c>
      <c r="G5152" s="1368">
        <v>13.25</v>
      </c>
      <c r="H5152" s="1178" t="s">
        <v>20221</v>
      </c>
      <c r="I5152" s="1178" t="s">
        <v>16138</v>
      </c>
      <c r="J5152" s="1178" t="s">
        <v>22514</v>
      </c>
      <c r="K5152" s="1178" t="s">
        <v>559</v>
      </c>
      <c r="L5152" s="1178"/>
      <c r="M5152" s="1369"/>
      <c r="N5152" s="1178"/>
      <c r="O5152" s="1178">
        <v>12</v>
      </c>
      <c r="P5152" s="1178">
        <v>8</v>
      </c>
    </row>
    <row r="5153" spans="1:16">
      <c r="A5153" s="1178" t="s">
        <v>22657</v>
      </c>
      <c r="B5153" s="1371" t="str">
        <f>HYPERLINK(IFERROR("#Main_Tariff!A"&amp;MATCH(Raeburn_Main_Tariff[[#This Row],[Product Code]],Main_Tariff!I:I,0),"#Main_Tariff!A"&amp;MATCH("*"&amp;RIGHT(A5153,8)&amp;"*",Main_Tariff!A:A,0)),Raeburn_Main_Tariff[[#This Row],[PRODUCER]])</f>
        <v>Maximin Grünhaus</v>
      </c>
      <c r="C5153" s="1178" t="s">
        <v>22682</v>
      </c>
      <c r="D5153" s="1178" t="s">
        <v>1129</v>
      </c>
      <c r="E5153" s="1179">
        <v>2018</v>
      </c>
      <c r="F5153" s="1282" t="s">
        <v>20280</v>
      </c>
      <c r="G5153" s="1368">
        <v>12.5</v>
      </c>
      <c r="H5153" s="1178" t="s">
        <v>20221</v>
      </c>
      <c r="I5153" s="1178" t="s">
        <v>16139</v>
      </c>
      <c r="J5153" s="1178" t="s">
        <v>22514</v>
      </c>
      <c r="K5153" s="1178" t="s">
        <v>559</v>
      </c>
      <c r="L5153" s="1178"/>
      <c r="M5153" s="1369"/>
      <c r="N5153" s="1178"/>
      <c r="O5153" s="1178">
        <v>12</v>
      </c>
      <c r="P5153" s="1178">
        <v>8</v>
      </c>
    </row>
    <row r="5154" spans="1:16">
      <c r="A5154" s="1178" t="s">
        <v>22657</v>
      </c>
      <c r="B5154" s="1371" t="str">
        <f>HYPERLINK(IFERROR("#Main_Tariff!A"&amp;MATCH(Raeburn_Main_Tariff[[#This Row],[Product Code]],Main_Tariff!I:I,0),"#Main_Tariff!A"&amp;MATCH("*"&amp;RIGHT(A5154,8)&amp;"*",Main_Tariff!A:A,0)),Raeburn_Main_Tariff[[#This Row],[PRODUCER]])</f>
        <v>Maximin Grünhaus</v>
      </c>
      <c r="C5154" s="1178" t="s">
        <v>22682</v>
      </c>
      <c r="D5154" s="1178" t="s">
        <v>1129</v>
      </c>
      <c r="E5154" s="1179">
        <v>2017</v>
      </c>
      <c r="F5154" s="1282" t="s">
        <v>20280</v>
      </c>
      <c r="G5154" s="1368">
        <v>12.75</v>
      </c>
      <c r="H5154" s="1178" t="s">
        <v>20221</v>
      </c>
      <c r="I5154" s="1178" t="s">
        <v>16141</v>
      </c>
      <c r="J5154" s="1178" t="s">
        <v>22514</v>
      </c>
      <c r="K5154" s="1178" t="s">
        <v>559</v>
      </c>
      <c r="L5154" s="1178"/>
      <c r="M5154" s="1369"/>
      <c r="N5154" s="1178"/>
      <c r="O5154" s="1178">
        <v>12</v>
      </c>
      <c r="P5154" s="1178">
        <v>11.5</v>
      </c>
    </row>
    <row r="5155" spans="1:16">
      <c r="A5155" s="1178" t="s">
        <v>22657</v>
      </c>
      <c r="B5155" s="1371" t="str">
        <f>HYPERLINK(IFERROR("#Main_Tariff!A"&amp;MATCH(Raeburn_Main_Tariff[[#This Row],[Product Code]],Main_Tariff!I:I,0),"#Main_Tariff!A"&amp;MATCH("*"&amp;RIGHT(A5155,8)&amp;"*",Main_Tariff!A:A,0)),Raeburn_Main_Tariff[[#This Row],[PRODUCER]])</f>
        <v>Maximin Grünhaus</v>
      </c>
      <c r="C5155" s="1178" t="s">
        <v>22683</v>
      </c>
      <c r="D5155" s="1178" t="s">
        <v>1129</v>
      </c>
      <c r="E5155" s="1179">
        <v>2012</v>
      </c>
      <c r="F5155" s="1282" t="s">
        <v>20280</v>
      </c>
      <c r="G5155" s="1368">
        <v>12.5</v>
      </c>
      <c r="H5155" s="1178" t="s">
        <v>20221</v>
      </c>
      <c r="I5155" s="1178" t="s">
        <v>16142</v>
      </c>
      <c r="J5155" s="1178" t="s">
        <v>22514</v>
      </c>
      <c r="K5155" s="1178" t="s">
        <v>559</v>
      </c>
      <c r="L5155" s="1178"/>
      <c r="M5155" s="1369"/>
      <c r="N5155" s="1178"/>
      <c r="O5155" s="1178">
        <v>12</v>
      </c>
      <c r="P5155" s="1178">
        <v>7.5</v>
      </c>
    </row>
    <row r="5156" spans="1:16">
      <c r="A5156" s="1178" t="s">
        <v>22657</v>
      </c>
      <c r="B5156" s="1371" t="str">
        <f>HYPERLINK(IFERROR("#Main_Tariff!A"&amp;MATCH(Raeburn_Main_Tariff[[#This Row],[Product Code]],Main_Tariff!I:I,0),"#Main_Tariff!A"&amp;MATCH("*"&amp;RIGHT(A5156,8)&amp;"*",Main_Tariff!A:A,0)),Raeburn_Main_Tariff[[#This Row],[PRODUCER]])</f>
        <v>Maximin Grünhaus</v>
      </c>
      <c r="C5156" s="1178" t="s">
        <v>22684</v>
      </c>
      <c r="D5156" s="1178" t="s">
        <v>1129</v>
      </c>
      <c r="E5156" s="1179">
        <v>2020</v>
      </c>
      <c r="F5156" s="1282" t="s">
        <v>20220</v>
      </c>
      <c r="G5156" s="1368">
        <v>19.25</v>
      </c>
      <c r="H5156" s="1178" t="s">
        <v>20221</v>
      </c>
      <c r="I5156" s="1178" t="s">
        <v>16144</v>
      </c>
      <c r="J5156" s="1178" t="s">
        <v>22514</v>
      </c>
      <c r="K5156" s="1178" t="s">
        <v>559</v>
      </c>
      <c r="L5156" s="1178"/>
      <c r="M5156" s="1369"/>
      <c r="N5156" s="1178"/>
      <c r="O5156" s="1178">
        <v>6</v>
      </c>
      <c r="P5156" s="1178">
        <v>7.5</v>
      </c>
    </row>
    <row r="5157" spans="1:16">
      <c r="A5157" s="1178" t="s">
        <v>22657</v>
      </c>
      <c r="B5157" s="1371" t="str">
        <f>HYPERLINK(IFERROR("#Main_Tariff!A"&amp;MATCH(Raeburn_Main_Tariff[[#This Row],[Product Code]],Main_Tariff!I:I,0),"#Main_Tariff!A"&amp;MATCH("*"&amp;RIGHT(A5157,8)&amp;"*",Main_Tariff!A:A,0)),Raeburn_Main_Tariff[[#This Row],[PRODUCER]])</f>
        <v>Maximin Grünhaus</v>
      </c>
      <c r="C5157" s="1178" t="s">
        <v>22685</v>
      </c>
      <c r="D5157" s="1178" t="s">
        <v>1129</v>
      </c>
      <c r="E5157" s="1179">
        <v>2020</v>
      </c>
      <c r="F5157" s="1282" t="s">
        <v>20220</v>
      </c>
      <c r="G5157" s="1368">
        <v>19.25</v>
      </c>
      <c r="H5157" s="1178" t="s">
        <v>20221</v>
      </c>
      <c r="I5157" s="1178" t="s">
        <v>16146</v>
      </c>
      <c r="J5157" s="1178" t="s">
        <v>22514</v>
      </c>
      <c r="K5157" s="1178" t="s">
        <v>559</v>
      </c>
      <c r="L5157" s="1178"/>
      <c r="M5157" s="1369"/>
      <c r="N5157" s="1178"/>
      <c r="O5157" s="1178">
        <v>6</v>
      </c>
      <c r="P5157" s="1178">
        <v>7.5</v>
      </c>
    </row>
    <row r="5158" spans="1:16">
      <c r="A5158" s="1178" t="s">
        <v>22657</v>
      </c>
      <c r="B5158" s="1371" t="str">
        <f>HYPERLINK(IFERROR("#Main_Tariff!A"&amp;MATCH(Raeburn_Main_Tariff[[#This Row],[Product Code]],Main_Tariff!I:I,0),"#Main_Tariff!A"&amp;MATCH("*"&amp;RIGHT(A5158,8)&amp;"*",Main_Tariff!A:A,0)),Raeburn_Main_Tariff[[#This Row],[PRODUCER]])</f>
        <v>Maximin Grünhaus</v>
      </c>
      <c r="C5158" s="1178" t="s">
        <v>22686</v>
      </c>
      <c r="D5158" s="1178" t="s">
        <v>1129</v>
      </c>
      <c r="E5158" s="1179">
        <v>2022</v>
      </c>
      <c r="F5158" s="1282" t="s">
        <v>20220</v>
      </c>
      <c r="G5158" s="1368">
        <v>26.25</v>
      </c>
      <c r="H5158" s="1178" t="s">
        <v>20221</v>
      </c>
      <c r="I5158" s="1178" t="s">
        <v>16148</v>
      </c>
      <c r="J5158" s="1178" t="s">
        <v>22514</v>
      </c>
      <c r="K5158" s="1178" t="s">
        <v>559</v>
      </c>
      <c r="L5158" s="1178"/>
      <c r="M5158" s="1369"/>
      <c r="N5158" s="1178"/>
      <c r="O5158" s="1178">
        <v>6</v>
      </c>
      <c r="P5158" s="1178">
        <v>7.5</v>
      </c>
    </row>
    <row r="5159" spans="1:16">
      <c r="A5159" s="1178" t="s">
        <v>22657</v>
      </c>
      <c r="B5159" s="1371" t="str">
        <f>HYPERLINK(IFERROR("#Main_Tariff!A"&amp;MATCH(Raeburn_Main_Tariff[[#This Row],[Product Code]],Main_Tariff!I:I,0),"#Main_Tariff!A"&amp;MATCH("*"&amp;RIGHT(A5159,8)&amp;"*",Main_Tariff!A:A,0)),Raeburn_Main_Tariff[[#This Row],[PRODUCER]])</f>
        <v>Maximin Grünhaus</v>
      </c>
      <c r="C5159" s="1178" t="s">
        <v>22686</v>
      </c>
      <c r="D5159" s="1178" t="s">
        <v>1129</v>
      </c>
      <c r="E5159" s="1179">
        <v>2019</v>
      </c>
      <c r="F5159" s="1282" t="s">
        <v>20220</v>
      </c>
      <c r="G5159" s="1368">
        <v>21.5</v>
      </c>
      <c r="H5159" s="1178" t="s">
        <v>20221</v>
      </c>
      <c r="I5159" s="1178" t="s">
        <v>16149</v>
      </c>
      <c r="J5159" s="1178" t="s">
        <v>22514</v>
      </c>
      <c r="K5159" s="1178" t="s">
        <v>559</v>
      </c>
      <c r="L5159" s="1178"/>
      <c r="M5159" s="1369"/>
      <c r="N5159" s="1178"/>
      <c r="O5159" s="1178">
        <v>6</v>
      </c>
      <c r="P5159" s="1178">
        <v>7.5</v>
      </c>
    </row>
    <row r="5160" spans="1:16">
      <c r="A5160" s="1178" t="s">
        <v>22657</v>
      </c>
      <c r="B5160" s="1371" t="str">
        <f>HYPERLINK(IFERROR("#Main_Tariff!A"&amp;MATCH(Raeburn_Main_Tariff[[#This Row],[Product Code]],Main_Tariff!I:I,0),"#Main_Tariff!A"&amp;MATCH("*"&amp;RIGHT(A5160,8)&amp;"*",Main_Tariff!A:A,0)),Raeburn_Main_Tariff[[#This Row],[PRODUCER]])</f>
        <v>Maximin Grünhaus</v>
      </c>
      <c r="C5160" s="1178" t="s">
        <v>22687</v>
      </c>
      <c r="D5160" s="1178" t="s">
        <v>1129</v>
      </c>
      <c r="E5160" s="1179">
        <v>2018</v>
      </c>
      <c r="F5160" s="1282" t="s">
        <v>20220</v>
      </c>
      <c r="G5160" s="1368">
        <v>21.5</v>
      </c>
      <c r="H5160" s="1178" t="s">
        <v>20221</v>
      </c>
      <c r="I5160" s="1178" t="s">
        <v>16150</v>
      </c>
      <c r="J5160" s="1178" t="s">
        <v>22514</v>
      </c>
      <c r="K5160" s="1178" t="s">
        <v>559</v>
      </c>
      <c r="L5160" s="1178"/>
      <c r="M5160" s="1369"/>
      <c r="N5160" s="1178"/>
      <c r="O5160" s="1178">
        <v>6</v>
      </c>
      <c r="P5160" s="1178">
        <v>8</v>
      </c>
    </row>
    <row r="5161" spans="1:16">
      <c r="A5161" s="1178" t="s">
        <v>22657</v>
      </c>
      <c r="B5161" s="1371" t="str">
        <f>HYPERLINK(IFERROR("#Main_Tariff!A"&amp;MATCH(Raeburn_Main_Tariff[[#This Row],[Product Code]],Main_Tariff!I:I,0),"#Main_Tariff!A"&amp;MATCH("*"&amp;RIGHT(A5161,8)&amp;"*",Main_Tariff!A:A,0)),Raeburn_Main_Tariff[[#This Row],[PRODUCER]])</f>
        <v>Maximin Grünhaus</v>
      </c>
      <c r="C5161" s="1178" t="s">
        <v>22688</v>
      </c>
      <c r="D5161" s="1178" t="s">
        <v>1129</v>
      </c>
      <c r="E5161" s="1179">
        <v>2022</v>
      </c>
      <c r="F5161" s="1282" t="s">
        <v>20240</v>
      </c>
      <c r="G5161" s="1368">
        <v>59</v>
      </c>
      <c r="H5161" s="1178" t="s">
        <v>20224</v>
      </c>
      <c r="I5161" s="1178" t="s">
        <v>16151</v>
      </c>
      <c r="J5161" s="1178" t="s">
        <v>22514</v>
      </c>
      <c r="K5161" s="1178" t="s">
        <v>559</v>
      </c>
      <c r="L5161" s="1178"/>
      <c r="M5161" s="1369"/>
      <c r="N5161" s="1178"/>
      <c r="O5161" s="1178">
        <v>3</v>
      </c>
      <c r="P5161" s="1178">
        <v>7.5</v>
      </c>
    </row>
    <row r="5162" spans="1:16">
      <c r="A5162" s="1178" t="s">
        <v>22657</v>
      </c>
      <c r="B5162" s="1371" t="str">
        <f>HYPERLINK(IFERROR("#Main_Tariff!A"&amp;MATCH(Raeburn_Main_Tariff[[#This Row],[Product Code]],Main_Tariff!I:I,0),"#Main_Tariff!A"&amp;MATCH("*"&amp;RIGHT(A5162,8)&amp;"*",Main_Tariff!A:A,0)),Raeburn_Main_Tariff[[#This Row],[PRODUCER]])</f>
        <v>Maximin Grünhaus</v>
      </c>
      <c r="C5162" s="1178" t="s">
        <v>22688</v>
      </c>
      <c r="D5162" s="1178" t="s">
        <v>1129</v>
      </c>
      <c r="E5162" s="1179">
        <v>2020</v>
      </c>
      <c r="F5162" s="1282" t="s">
        <v>20240</v>
      </c>
      <c r="G5162" s="1368">
        <v>48</v>
      </c>
      <c r="H5162" s="1178" t="s">
        <v>20224</v>
      </c>
      <c r="I5162" s="1178" t="s">
        <v>16152</v>
      </c>
      <c r="J5162" s="1178" t="s">
        <v>22514</v>
      </c>
      <c r="K5162" s="1178" t="s">
        <v>559</v>
      </c>
      <c r="L5162" s="1178"/>
      <c r="M5162" s="1369"/>
      <c r="N5162" s="1178"/>
      <c r="O5162" s="1178">
        <v>3</v>
      </c>
      <c r="P5162" s="1178">
        <v>7.5</v>
      </c>
    </row>
    <row r="5163" spans="1:16">
      <c r="A5163" s="1178" t="s">
        <v>22657</v>
      </c>
      <c r="B5163" s="1371" t="str">
        <f>HYPERLINK(IFERROR("#Main_Tariff!A"&amp;MATCH(Raeburn_Main_Tariff[[#This Row],[Product Code]],Main_Tariff!I:I,0),"#Main_Tariff!A"&amp;MATCH("*"&amp;RIGHT(A5163,8)&amp;"*",Main_Tariff!A:A,0)),Raeburn_Main_Tariff[[#This Row],[PRODUCER]])</f>
        <v>Maximin Grünhaus</v>
      </c>
      <c r="C5163" s="1178" t="s">
        <v>22688</v>
      </c>
      <c r="D5163" s="1178" t="s">
        <v>1129</v>
      </c>
      <c r="E5163" s="1179">
        <v>2017</v>
      </c>
      <c r="F5163" s="1282" t="s">
        <v>20240</v>
      </c>
      <c r="G5163" s="1368">
        <v>55</v>
      </c>
      <c r="H5163" s="1178" t="s">
        <v>20224</v>
      </c>
      <c r="I5163" s="1178" t="s">
        <v>16153</v>
      </c>
      <c r="J5163" s="1178" t="s">
        <v>22514</v>
      </c>
      <c r="K5163" s="1178" t="s">
        <v>559</v>
      </c>
      <c r="L5163" s="1178"/>
      <c r="M5163" s="1369"/>
      <c r="N5163" s="1178"/>
      <c r="O5163" s="1178">
        <v>1</v>
      </c>
      <c r="P5163" s="1178">
        <v>7.5</v>
      </c>
    </row>
    <row r="5164" spans="1:16">
      <c r="A5164" s="1178" t="s">
        <v>22657</v>
      </c>
      <c r="B5164" s="1371" t="str">
        <f>HYPERLINK(IFERROR("#Main_Tariff!A"&amp;MATCH(Raeburn_Main_Tariff[[#This Row],[Product Code]],Main_Tariff!I:I,0),"#Main_Tariff!A"&amp;MATCH("*"&amp;RIGHT(A5164,8)&amp;"*",Main_Tariff!A:A,0)),Raeburn_Main_Tariff[[#This Row],[PRODUCER]])</f>
        <v>Maximin Grünhaus</v>
      </c>
      <c r="C5164" s="1178" t="s">
        <v>22688</v>
      </c>
      <c r="D5164" s="1178" t="s">
        <v>1129</v>
      </c>
      <c r="E5164" s="1179">
        <v>2015</v>
      </c>
      <c r="F5164" s="1282" t="s">
        <v>20240</v>
      </c>
      <c r="G5164" s="1368">
        <v>51.25</v>
      </c>
      <c r="H5164" s="1178" t="s">
        <v>20224</v>
      </c>
      <c r="I5164" s="1178" t="s">
        <v>16154</v>
      </c>
      <c r="J5164" s="1178" t="s">
        <v>22514</v>
      </c>
      <c r="K5164" s="1178" t="s">
        <v>559</v>
      </c>
      <c r="L5164" s="1178"/>
      <c r="M5164" s="1369"/>
      <c r="N5164" s="1178"/>
      <c r="O5164" s="1178">
        <v>1</v>
      </c>
      <c r="P5164" s="1178">
        <v>7.5</v>
      </c>
    </row>
    <row r="5165" spans="1:16">
      <c r="A5165" s="1178" t="s">
        <v>22657</v>
      </c>
      <c r="B5165" s="1371" t="str">
        <f>HYPERLINK(IFERROR("#Main_Tariff!A"&amp;MATCH(Raeburn_Main_Tariff[[#This Row],[Product Code]],Main_Tariff!I:I,0),"#Main_Tariff!A"&amp;MATCH("*"&amp;RIGHT(A5165,8)&amp;"*",Main_Tariff!A:A,0)),Raeburn_Main_Tariff[[#This Row],[PRODUCER]])</f>
        <v>Maximin Grünhaus</v>
      </c>
      <c r="C5165" s="1178" t="s">
        <v>22689</v>
      </c>
      <c r="D5165" s="1178" t="s">
        <v>1410</v>
      </c>
      <c r="E5165" s="1179">
        <v>2019</v>
      </c>
      <c r="F5165" s="1282" t="s">
        <v>20280</v>
      </c>
      <c r="G5165" s="1368">
        <v>19.25</v>
      </c>
      <c r="H5165" s="1178" t="s">
        <v>20221</v>
      </c>
      <c r="I5165" s="1178" t="s">
        <v>16155</v>
      </c>
      <c r="J5165" s="1178" t="s">
        <v>22514</v>
      </c>
      <c r="K5165" s="1178" t="s">
        <v>559</v>
      </c>
      <c r="L5165" s="1178"/>
      <c r="M5165" s="1369"/>
      <c r="N5165" s="1178"/>
      <c r="O5165" s="1178">
        <v>12</v>
      </c>
      <c r="P5165" s="1178">
        <v>7.5</v>
      </c>
    </row>
    <row r="5166" spans="1:16">
      <c r="A5166" s="1178" t="s">
        <v>22657</v>
      </c>
      <c r="B5166" s="1371" t="str">
        <f>HYPERLINK(IFERROR("#Main_Tariff!A"&amp;MATCH(Raeburn_Main_Tariff[[#This Row],[Product Code]],Main_Tariff!I:I,0),"#Main_Tariff!A"&amp;MATCH("*"&amp;RIGHT(A5166,8)&amp;"*",Main_Tariff!A:A,0)),Raeburn_Main_Tariff[[#This Row],[PRODUCER]])</f>
        <v>Maximin Grünhaus</v>
      </c>
      <c r="C5166" s="1178" t="s">
        <v>22689</v>
      </c>
      <c r="D5166" s="1178" t="s">
        <v>1410</v>
      </c>
      <c r="E5166" s="1179">
        <v>2015</v>
      </c>
      <c r="F5166" s="1282" t="s">
        <v>20280</v>
      </c>
      <c r="G5166" s="1368">
        <v>18</v>
      </c>
      <c r="H5166" s="1178" t="s">
        <v>20221</v>
      </c>
      <c r="I5166" s="1178" t="s">
        <v>16156</v>
      </c>
      <c r="J5166" s="1178" t="s">
        <v>22514</v>
      </c>
      <c r="K5166" s="1178" t="s">
        <v>559</v>
      </c>
      <c r="L5166" s="1178"/>
      <c r="M5166" s="1369"/>
      <c r="N5166" s="1178"/>
      <c r="O5166" s="1178">
        <v>12</v>
      </c>
      <c r="P5166" s="1178">
        <v>7</v>
      </c>
    </row>
    <row r="5167" spans="1:16">
      <c r="A5167" s="1178" t="s">
        <v>22657</v>
      </c>
      <c r="B5167" s="1371" t="str">
        <f>HYPERLINK(IFERROR("#Main_Tariff!A"&amp;MATCH(Raeburn_Main_Tariff[[#This Row],[Product Code]],Main_Tariff!I:I,0),"#Main_Tariff!A"&amp;MATCH("*"&amp;RIGHT(A5167,8)&amp;"*",Main_Tariff!A:A,0)),Raeburn_Main_Tariff[[#This Row],[PRODUCER]])</f>
        <v>Maximin Grünhaus</v>
      </c>
      <c r="C5167" s="1178" t="s">
        <v>22690</v>
      </c>
      <c r="D5167" s="1178" t="s">
        <v>1410</v>
      </c>
      <c r="E5167" s="1179">
        <v>2009</v>
      </c>
      <c r="F5167" s="1282" t="s">
        <v>20280</v>
      </c>
      <c r="G5167" s="1368">
        <v>18.25</v>
      </c>
      <c r="H5167" s="1178" t="s">
        <v>20221</v>
      </c>
      <c r="I5167" s="1178" t="s">
        <v>16157</v>
      </c>
      <c r="J5167" s="1178" t="s">
        <v>22514</v>
      </c>
      <c r="K5167" s="1178" t="s">
        <v>559</v>
      </c>
      <c r="L5167" s="1178"/>
      <c r="M5167" s="1369"/>
      <c r="N5167" s="1178"/>
      <c r="O5167" s="1178">
        <v>12</v>
      </c>
      <c r="P5167" s="1178">
        <v>12.5</v>
      </c>
    </row>
    <row r="5168" spans="1:16">
      <c r="A5168" s="1178" t="s">
        <v>22657</v>
      </c>
      <c r="B5168" s="1371" t="str">
        <f>HYPERLINK(IFERROR("#Main_Tariff!A"&amp;MATCH(Raeburn_Main_Tariff[[#This Row],[Product Code]],Main_Tariff!I:I,0),"#Main_Tariff!A"&amp;MATCH("*"&amp;RIGHT(A5168,8)&amp;"*",Main_Tariff!A:A,0)),Raeburn_Main_Tariff[[#This Row],[PRODUCER]])</f>
        <v>Maximin Grünhaus</v>
      </c>
      <c r="C5168" s="1178" t="s">
        <v>22691</v>
      </c>
      <c r="D5168" s="1178" t="s">
        <v>1410</v>
      </c>
      <c r="E5168" s="1179">
        <v>2012</v>
      </c>
      <c r="F5168" s="1282" t="s">
        <v>20280</v>
      </c>
      <c r="G5168" s="1368">
        <v>18</v>
      </c>
      <c r="H5168" s="1178" t="s">
        <v>20221</v>
      </c>
      <c r="I5168" s="1178" t="s">
        <v>16158</v>
      </c>
      <c r="J5168" s="1178" t="s">
        <v>22514</v>
      </c>
      <c r="K5168" s="1178" t="s">
        <v>559</v>
      </c>
      <c r="L5168" s="1178"/>
      <c r="M5168" s="1369"/>
      <c r="N5168" s="1178"/>
      <c r="O5168" s="1178">
        <v>12</v>
      </c>
      <c r="P5168" s="1178">
        <v>7</v>
      </c>
    </row>
    <row r="5169" spans="1:16">
      <c r="A5169" s="1178" t="s">
        <v>22657</v>
      </c>
      <c r="B5169" s="1371" t="str">
        <f>HYPERLINK(IFERROR("#Main_Tariff!A"&amp;MATCH(Raeburn_Main_Tariff[[#This Row],[Product Code]],Main_Tariff!I:I,0),"#Main_Tariff!A"&amp;MATCH("*"&amp;RIGHT(A5169,8)&amp;"*",Main_Tariff!A:A,0)),Raeburn_Main_Tariff[[#This Row],[PRODUCER]])</f>
        <v>Maximin Grünhaus</v>
      </c>
      <c r="C5169" s="1178" t="s">
        <v>22692</v>
      </c>
      <c r="D5169" s="1178" t="s">
        <v>1410</v>
      </c>
      <c r="E5169" s="1179">
        <v>2019</v>
      </c>
      <c r="F5169" s="1282" t="s">
        <v>20220</v>
      </c>
      <c r="G5169" s="1368">
        <v>34</v>
      </c>
      <c r="H5169" s="1178" t="s">
        <v>20221</v>
      </c>
      <c r="I5169" s="1178" t="s">
        <v>16159</v>
      </c>
      <c r="J5169" s="1178" t="s">
        <v>22514</v>
      </c>
      <c r="K5169" s="1178" t="s">
        <v>559</v>
      </c>
      <c r="L5169" s="1178"/>
      <c r="M5169" s="1369"/>
      <c r="N5169" s="1178"/>
      <c r="O5169" s="1178">
        <v>6</v>
      </c>
      <c r="P5169" s="1178">
        <v>7.5</v>
      </c>
    </row>
    <row r="5170" spans="1:16">
      <c r="A5170" s="1178" t="s">
        <v>22657</v>
      </c>
      <c r="B5170" s="1371" t="str">
        <f>HYPERLINK(IFERROR("#Main_Tariff!A"&amp;MATCH(Raeburn_Main_Tariff[[#This Row],[Product Code]],Main_Tariff!I:I,0),"#Main_Tariff!A"&amp;MATCH("*"&amp;RIGHT(A5170,8)&amp;"*",Main_Tariff!A:A,0)),Raeburn_Main_Tariff[[#This Row],[PRODUCER]])</f>
        <v>Maximin Grünhaus</v>
      </c>
      <c r="C5170" s="1178" t="s">
        <v>22692</v>
      </c>
      <c r="D5170" s="1178" t="s">
        <v>1410</v>
      </c>
      <c r="E5170" s="1179">
        <v>2009</v>
      </c>
      <c r="F5170" s="1282" t="s">
        <v>20220</v>
      </c>
      <c r="G5170" s="1368">
        <v>34.5</v>
      </c>
      <c r="H5170" s="1178" t="s">
        <v>20221</v>
      </c>
      <c r="I5170" s="1178" t="s">
        <v>16160</v>
      </c>
      <c r="J5170" s="1178" t="s">
        <v>22514</v>
      </c>
      <c r="K5170" s="1178" t="s">
        <v>559</v>
      </c>
      <c r="L5170" s="1178"/>
      <c r="M5170" s="1369"/>
      <c r="N5170" s="1178"/>
      <c r="O5170" s="1178">
        <v>6</v>
      </c>
      <c r="P5170" s="1178">
        <v>12.5</v>
      </c>
    </row>
    <row r="5171" spans="1:16">
      <c r="A5171" s="1178" t="s">
        <v>22657</v>
      </c>
      <c r="B5171" s="1371" t="str">
        <f>HYPERLINK(IFERROR("#Main_Tariff!A"&amp;MATCH(Raeburn_Main_Tariff[[#This Row],[Product Code]],Main_Tariff!I:I,0),"#Main_Tariff!A"&amp;MATCH("*"&amp;RIGHT(A5171,8)&amp;"*",Main_Tariff!A:A,0)),Raeburn_Main_Tariff[[#This Row],[PRODUCER]])</f>
        <v>Maximin Grünhaus</v>
      </c>
      <c r="C5171" s="1178" t="s">
        <v>22693</v>
      </c>
      <c r="D5171" s="1178" t="s">
        <v>1410</v>
      </c>
      <c r="E5171" s="1179">
        <v>2019</v>
      </c>
      <c r="F5171" s="1282" t="s">
        <v>20220</v>
      </c>
      <c r="G5171" s="1368">
        <v>36</v>
      </c>
      <c r="H5171" s="1178" t="s">
        <v>20221</v>
      </c>
      <c r="I5171" s="1178" t="s">
        <v>16161</v>
      </c>
      <c r="J5171" s="1178" t="s">
        <v>22514</v>
      </c>
      <c r="K5171" s="1178" t="s">
        <v>559</v>
      </c>
      <c r="L5171" s="1178"/>
      <c r="M5171" s="1369"/>
      <c r="N5171" s="1178"/>
      <c r="O5171" s="1178">
        <v>6</v>
      </c>
      <c r="P5171" s="1178">
        <v>7</v>
      </c>
    </row>
    <row r="5172" spans="1:16">
      <c r="A5172" s="1178" t="s">
        <v>22657</v>
      </c>
      <c r="B5172" s="1371" t="str">
        <f>HYPERLINK(IFERROR("#Main_Tariff!A"&amp;MATCH(Raeburn_Main_Tariff[[#This Row],[Product Code]],Main_Tariff!I:I,0),"#Main_Tariff!A"&amp;MATCH("*"&amp;RIGHT(A5172,8)&amp;"*",Main_Tariff!A:A,0)),Raeburn_Main_Tariff[[#This Row],[PRODUCER]])</f>
        <v>Maximin Grünhaus</v>
      </c>
      <c r="C5172" s="1178" t="s">
        <v>22694</v>
      </c>
      <c r="D5172" s="1178" t="s">
        <v>1410</v>
      </c>
      <c r="E5172" s="1179">
        <v>2015</v>
      </c>
      <c r="F5172" s="1282" t="s">
        <v>20240</v>
      </c>
      <c r="G5172" s="1368">
        <v>69.5</v>
      </c>
      <c r="H5172" s="1178" t="s">
        <v>20224</v>
      </c>
      <c r="I5172" s="1178" t="s">
        <v>16162</v>
      </c>
      <c r="J5172" s="1178" t="s">
        <v>22514</v>
      </c>
      <c r="K5172" s="1178" t="s">
        <v>559</v>
      </c>
      <c r="L5172" s="1178"/>
      <c r="M5172" s="1369"/>
      <c r="N5172" s="1178"/>
      <c r="O5172" s="1178">
        <v>1</v>
      </c>
      <c r="P5172" s="1178">
        <v>7</v>
      </c>
    </row>
    <row r="5173" spans="1:16">
      <c r="A5173" s="1178" t="s">
        <v>22657</v>
      </c>
      <c r="B5173" s="1371" t="str">
        <f>HYPERLINK(IFERROR("#Main_Tariff!A"&amp;MATCH(Raeburn_Main_Tariff[[#This Row],[Product Code]],Main_Tariff!I:I,0),"#Main_Tariff!A"&amp;MATCH("*"&amp;RIGHT(A5173,8)&amp;"*",Main_Tariff!A:A,0)),Raeburn_Main_Tariff[[#This Row],[PRODUCER]])</f>
        <v>Maximin Grünhaus</v>
      </c>
      <c r="C5173" s="1178" t="s">
        <v>22695</v>
      </c>
      <c r="D5173" s="1178" t="s">
        <v>1410</v>
      </c>
      <c r="E5173" s="1179">
        <v>2018</v>
      </c>
      <c r="F5173" s="1282" t="s">
        <v>20280</v>
      </c>
      <c r="G5173" s="1368">
        <v>33</v>
      </c>
      <c r="H5173" s="1178" t="s">
        <v>20221</v>
      </c>
      <c r="I5173" s="1178" t="s">
        <v>16164</v>
      </c>
      <c r="J5173" s="1178" t="s">
        <v>22514</v>
      </c>
      <c r="K5173" s="1178" t="s">
        <v>559</v>
      </c>
      <c r="L5173" s="1178"/>
      <c r="M5173" s="1369"/>
      <c r="N5173" s="1178"/>
      <c r="O5173" s="1178">
        <v>12</v>
      </c>
      <c r="P5173" s="1178">
        <v>8</v>
      </c>
    </row>
    <row r="5174" spans="1:16">
      <c r="A5174" s="1178" t="s">
        <v>22657</v>
      </c>
      <c r="B5174" s="1371" t="str">
        <f>HYPERLINK(IFERROR("#Main_Tariff!A"&amp;MATCH(Raeburn_Main_Tariff[[#This Row],[Product Code]],Main_Tariff!I:I,0),"#Main_Tariff!A"&amp;MATCH("*"&amp;RIGHT(A5174,8)&amp;"*",Main_Tariff!A:A,0)),Raeburn_Main_Tariff[[#This Row],[PRODUCER]])</f>
        <v>Maximin Grünhaus</v>
      </c>
      <c r="C5174" s="1178" t="s">
        <v>22696</v>
      </c>
      <c r="D5174" s="1178" t="s">
        <v>1410</v>
      </c>
      <c r="E5174" s="1179">
        <v>2015</v>
      </c>
      <c r="F5174" s="1282" t="s">
        <v>20280</v>
      </c>
      <c r="G5174" s="1368">
        <v>25</v>
      </c>
      <c r="H5174" s="1178" t="s">
        <v>20221</v>
      </c>
      <c r="I5174" s="1178" t="s">
        <v>16165</v>
      </c>
      <c r="J5174" s="1178" t="s">
        <v>22514</v>
      </c>
      <c r="K5174" s="1178" t="s">
        <v>559</v>
      </c>
      <c r="L5174" s="1178"/>
      <c r="M5174" s="1369"/>
      <c r="N5174" s="1178"/>
      <c r="O5174" s="1178">
        <v>6</v>
      </c>
      <c r="P5174" s="1178">
        <v>7</v>
      </c>
    </row>
    <row r="5175" spans="1:16">
      <c r="A5175" s="1178" t="s">
        <v>22657</v>
      </c>
      <c r="B5175" s="1371" t="str">
        <f>HYPERLINK(IFERROR("#Main_Tariff!A"&amp;MATCH(Raeburn_Main_Tariff[[#This Row],[Product Code]],Main_Tariff!I:I,0),"#Main_Tariff!A"&amp;MATCH("*"&amp;RIGHT(A5175,8)&amp;"*",Main_Tariff!A:A,0)),Raeburn_Main_Tariff[[#This Row],[PRODUCER]])</f>
        <v>Maximin Grünhaus</v>
      </c>
      <c r="C5175" s="1178" t="s">
        <v>22697</v>
      </c>
      <c r="D5175" s="1178" t="s">
        <v>1410</v>
      </c>
      <c r="E5175" s="1179">
        <v>2012</v>
      </c>
      <c r="F5175" s="1282" t="s">
        <v>20280</v>
      </c>
      <c r="G5175" s="1368">
        <v>22</v>
      </c>
      <c r="H5175" s="1178" t="s">
        <v>20221</v>
      </c>
      <c r="I5175" s="1178" t="s">
        <v>16166</v>
      </c>
      <c r="J5175" s="1178" t="s">
        <v>22514</v>
      </c>
      <c r="K5175" s="1178" t="s">
        <v>559</v>
      </c>
      <c r="L5175" s="1178"/>
      <c r="M5175" s="1369"/>
      <c r="N5175" s="1178"/>
      <c r="O5175" s="1178">
        <v>12</v>
      </c>
      <c r="P5175" s="1178">
        <v>7.5</v>
      </c>
    </row>
    <row r="5176" spans="1:16">
      <c r="A5176" s="1178" t="s">
        <v>22657</v>
      </c>
      <c r="B5176" s="1371" t="str">
        <f>HYPERLINK(IFERROR("#Main_Tariff!A"&amp;MATCH(Raeburn_Main_Tariff[[#This Row],[Product Code]],Main_Tariff!I:I,0),"#Main_Tariff!A"&amp;MATCH("*"&amp;RIGHT(A5176,8)&amp;"*",Main_Tariff!A:A,0)),Raeburn_Main_Tariff[[#This Row],[PRODUCER]])</f>
        <v>Maximin Grünhaus</v>
      </c>
      <c r="C5176" s="1178" t="s">
        <v>22698</v>
      </c>
      <c r="D5176" s="1178" t="s">
        <v>1410</v>
      </c>
      <c r="E5176" s="1179">
        <v>2006</v>
      </c>
      <c r="F5176" s="1282" t="s">
        <v>20280</v>
      </c>
      <c r="G5176" s="1368">
        <v>22.25</v>
      </c>
      <c r="H5176" s="1178" t="s">
        <v>20221</v>
      </c>
      <c r="I5176" s="1178" t="s">
        <v>16167</v>
      </c>
      <c r="J5176" s="1178" t="s">
        <v>22514</v>
      </c>
      <c r="K5176" s="1178" t="s">
        <v>559</v>
      </c>
      <c r="L5176" s="1178"/>
      <c r="M5176" s="1369"/>
      <c r="N5176" s="1178"/>
      <c r="O5176" s="1178">
        <v>12</v>
      </c>
      <c r="P5176" s="1178">
        <v>12.5</v>
      </c>
    </row>
    <row r="5177" spans="1:16">
      <c r="A5177" s="1178" t="s">
        <v>22657</v>
      </c>
      <c r="B5177" s="1371" t="str">
        <f>HYPERLINK(IFERROR("#Main_Tariff!A"&amp;MATCH(Raeburn_Main_Tariff[[#This Row],[Product Code]],Main_Tariff!I:I,0),"#Main_Tariff!A"&amp;MATCH("*"&amp;RIGHT(A5177,8)&amp;"*",Main_Tariff!A:A,0)),Raeburn_Main_Tariff[[#This Row],[PRODUCER]])</f>
        <v>Maximin Grünhaus</v>
      </c>
      <c r="C5177" s="1178" t="s">
        <v>22699</v>
      </c>
      <c r="D5177" s="1178" t="s">
        <v>1410</v>
      </c>
      <c r="E5177" s="1179">
        <v>2018</v>
      </c>
      <c r="F5177" s="1282" t="s">
        <v>20280</v>
      </c>
      <c r="G5177" s="1368">
        <v>33</v>
      </c>
      <c r="H5177" s="1178" t="s">
        <v>20221</v>
      </c>
      <c r="I5177" s="1178" t="s">
        <v>16168</v>
      </c>
      <c r="J5177" s="1178" t="s">
        <v>22514</v>
      </c>
      <c r="K5177" s="1178" t="s">
        <v>559</v>
      </c>
      <c r="L5177" s="1178"/>
      <c r="M5177" s="1369"/>
      <c r="N5177" s="1178"/>
      <c r="O5177" s="1178">
        <v>12</v>
      </c>
      <c r="P5177" s="1178">
        <v>7.5</v>
      </c>
    </row>
    <row r="5178" spans="1:16">
      <c r="A5178" s="1178" t="s">
        <v>22657</v>
      </c>
      <c r="B5178" s="1371" t="str">
        <f>HYPERLINK(IFERROR("#Main_Tariff!A"&amp;MATCH(Raeburn_Main_Tariff[[#This Row],[Product Code]],Main_Tariff!I:I,0),"#Main_Tariff!A"&amp;MATCH("*"&amp;RIGHT(A5178,8)&amp;"*",Main_Tariff!A:A,0)),Raeburn_Main_Tariff[[#This Row],[PRODUCER]])</f>
        <v>Maximin Grünhaus</v>
      </c>
      <c r="C5178" s="1178" t="s">
        <v>22700</v>
      </c>
      <c r="D5178" s="1178" t="s">
        <v>1410</v>
      </c>
      <c r="E5178" s="1179">
        <v>2015</v>
      </c>
      <c r="F5178" s="1282" t="s">
        <v>20280</v>
      </c>
      <c r="G5178" s="1368">
        <v>27</v>
      </c>
      <c r="H5178" s="1178" t="s">
        <v>20221</v>
      </c>
      <c r="I5178" s="1178" t="s">
        <v>16169</v>
      </c>
      <c r="J5178" s="1178" t="s">
        <v>22514</v>
      </c>
      <c r="K5178" s="1178" t="s">
        <v>559</v>
      </c>
      <c r="L5178" s="1178"/>
      <c r="M5178" s="1369"/>
      <c r="N5178" s="1178"/>
      <c r="O5178" s="1178">
        <v>6</v>
      </c>
      <c r="P5178" s="1178">
        <v>7</v>
      </c>
    </row>
    <row r="5179" spans="1:16">
      <c r="A5179" s="1178" t="s">
        <v>22657</v>
      </c>
      <c r="B5179" s="1371" t="str">
        <f>HYPERLINK(IFERROR("#Main_Tariff!A"&amp;MATCH(Raeburn_Main_Tariff[[#This Row],[Product Code]],Main_Tariff!I:I,0),"#Main_Tariff!A"&amp;MATCH("*"&amp;RIGHT(A5179,8)&amp;"*",Main_Tariff!A:A,0)),Raeburn_Main_Tariff[[#This Row],[PRODUCER]])</f>
        <v>Maximin Grünhaus</v>
      </c>
      <c r="C5179" s="1178" t="s">
        <v>22701</v>
      </c>
      <c r="D5179" s="1178" t="s">
        <v>1410</v>
      </c>
      <c r="E5179" s="1179">
        <v>2011</v>
      </c>
      <c r="F5179" s="1282" t="s">
        <v>20280</v>
      </c>
      <c r="G5179" s="1368">
        <v>27</v>
      </c>
      <c r="H5179" s="1178" t="s">
        <v>20224</v>
      </c>
      <c r="I5179" s="1178" t="s">
        <v>16170</v>
      </c>
      <c r="J5179" s="1178" t="s">
        <v>22514</v>
      </c>
      <c r="K5179" s="1178" t="s">
        <v>559</v>
      </c>
      <c r="L5179" s="1178"/>
      <c r="M5179" s="1369"/>
      <c r="N5179" s="1178"/>
      <c r="O5179" s="1178">
        <v>6</v>
      </c>
      <c r="P5179" s="1178">
        <v>7.5</v>
      </c>
    </row>
    <row r="5180" spans="1:16">
      <c r="A5180" s="1178" t="s">
        <v>22657</v>
      </c>
      <c r="B5180" s="1371" t="str">
        <f>HYPERLINK(IFERROR("#Main_Tariff!A"&amp;MATCH(Raeburn_Main_Tariff[[#This Row],[Product Code]],Main_Tariff!I:I,0),"#Main_Tariff!A"&amp;MATCH("*"&amp;RIGHT(A5180,8)&amp;"*",Main_Tariff!A:A,0)),Raeburn_Main_Tariff[[#This Row],[PRODUCER]])</f>
        <v>Maximin Grünhaus</v>
      </c>
      <c r="C5180" s="1178" t="s">
        <v>22702</v>
      </c>
      <c r="D5180" s="1178" t="s">
        <v>1410</v>
      </c>
      <c r="E5180" s="1179">
        <v>2010</v>
      </c>
      <c r="F5180" s="1282" t="s">
        <v>20280</v>
      </c>
      <c r="G5180" s="1368">
        <v>23.25</v>
      </c>
      <c r="H5180" s="1178" t="s">
        <v>20221</v>
      </c>
      <c r="I5180" s="1178" t="s">
        <v>16171</v>
      </c>
      <c r="J5180" s="1178" t="s">
        <v>22514</v>
      </c>
      <c r="K5180" s="1178" t="s">
        <v>559</v>
      </c>
      <c r="L5180" s="1178"/>
      <c r="M5180" s="1369"/>
      <c r="N5180" s="1178"/>
      <c r="O5180" s="1178">
        <v>12</v>
      </c>
      <c r="P5180" s="1178">
        <v>12.5</v>
      </c>
    </row>
    <row r="5181" spans="1:16">
      <c r="A5181" s="1178" t="s">
        <v>22657</v>
      </c>
      <c r="B5181" s="1371" t="str">
        <f>HYPERLINK(IFERROR("#Main_Tariff!A"&amp;MATCH(Raeburn_Main_Tariff[[#This Row],[Product Code]],Main_Tariff!I:I,0),"#Main_Tariff!A"&amp;MATCH("*"&amp;RIGHT(A5181,8)&amp;"*",Main_Tariff!A:A,0)),Raeburn_Main_Tariff[[#This Row],[PRODUCER]])</f>
        <v>Maximin Grünhaus</v>
      </c>
      <c r="C5181" s="1178" t="s">
        <v>22703</v>
      </c>
      <c r="D5181" s="1178" t="s">
        <v>1410</v>
      </c>
      <c r="E5181" s="1179">
        <v>2010</v>
      </c>
      <c r="F5181" s="1282" t="s">
        <v>20280</v>
      </c>
      <c r="G5181" s="1368">
        <v>27.25</v>
      </c>
      <c r="H5181" s="1178" t="s">
        <v>20224</v>
      </c>
      <c r="I5181" s="1178" t="s">
        <v>16172</v>
      </c>
      <c r="J5181" s="1178" t="s">
        <v>22514</v>
      </c>
      <c r="K5181" s="1178" t="s">
        <v>559</v>
      </c>
      <c r="L5181" s="1178"/>
      <c r="M5181" s="1369"/>
      <c r="N5181" s="1178"/>
      <c r="O5181" s="1178">
        <v>12</v>
      </c>
      <c r="P5181" s="1178">
        <v>12.5</v>
      </c>
    </row>
    <row r="5182" spans="1:16">
      <c r="A5182" s="1178" t="s">
        <v>22657</v>
      </c>
      <c r="B5182" s="1371" t="str">
        <f>HYPERLINK(IFERROR("#Main_Tariff!A"&amp;MATCH(Raeburn_Main_Tariff[[#This Row],[Product Code]],Main_Tariff!I:I,0),"#Main_Tariff!A"&amp;MATCH("*"&amp;RIGHT(A5182,8)&amp;"*",Main_Tariff!A:A,0)),Raeburn_Main_Tariff[[#This Row],[PRODUCER]])</f>
        <v>Maximin Grünhaus</v>
      </c>
      <c r="C5182" s="1178" t="s">
        <v>22704</v>
      </c>
      <c r="D5182" s="1178" t="s">
        <v>1410</v>
      </c>
      <c r="E5182" s="1179">
        <v>2009</v>
      </c>
      <c r="F5182" s="1282" t="s">
        <v>20280</v>
      </c>
      <c r="G5182" s="1368">
        <v>23.25</v>
      </c>
      <c r="H5182" s="1178" t="s">
        <v>20221</v>
      </c>
      <c r="I5182" s="1178" t="s">
        <v>16173</v>
      </c>
      <c r="J5182" s="1178" t="s">
        <v>22514</v>
      </c>
      <c r="K5182" s="1178" t="s">
        <v>559</v>
      </c>
      <c r="L5182" s="1178"/>
      <c r="M5182" s="1369"/>
      <c r="N5182" s="1178"/>
      <c r="O5182" s="1178">
        <v>12</v>
      </c>
      <c r="P5182" s="1178">
        <v>12.5</v>
      </c>
    </row>
    <row r="5183" spans="1:16">
      <c r="A5183" s="1178" t="s">
        <v>22657</v>
      </c>
      <c r="B5183" s="1371" t="str">
        <f>HYPERLINK(IFERROR("#Main_Tariff!A"&amp;MATCH(Raeburn_Main_Tariff[[#This Row],[Product Code]],Main_Tariff!I:I,0),"#Main_Tariff!A"&amp;MATCH("*"&amp;RIGHT(A5183,8)&amp;"*",Main_Tariff!A:A,0)),Raeburn_Main_Tariff[[#This Row],[PRODUCER]])</f>
        <v>Maximin Grünhaus</v>
      </c>
      <c r="C5183" s="1178" t="s">
        <v>22705</v>
      </c>
      <c r="D5183" s="1178" t="s">
        <v>1410</v>
      </c>
      <c r="E5183" s="1179">
        <v>2009</v>
      </c>
      <c r="F5183" s="1282" t="s">
        <v>20280</v>
      </c>
      <c r="G5183" s="1368">
        <v>27.25</v>
      </c>
      <c r="H5183" s="1178" t="s">
        <v>20221</v>
      </c>
      <c r="I5183" s="1178" t="s">
        <v>16174</v>
      </c>
      <c r="J5183" s="1178" t="s">
        <v>22514</v>
      </c>
      <c r="K5183" s="1178" t="s">
        <v>559</v>
      </c>
      <c r="L5183" s="1178"/>
      <c r="M5183" s="1369"/>
      <c r="N5183" s="1178"/>
      <c r="O5183" s="1178">
        <v>12</v>
      </c>
      <c r="P5183" s="1178">
        <v>12.5</v>
      </c>
    </row>
    <row r="5184" spans="1:16">
      <c r="A5184" s="1178" t="s">
        <v>22657</v>
      </c>
      <c r="B5184" s="1371" t="str">
        <f>HYPERLINK(IFERROR("#Main_Tariff!A"&amp;MATCH(Raeburn_Main_Tariff[[#This Row],[Product Code]],Main_Tariff!I:I,0),"#Main_Tariff!A"&amp;MATCH("*"&amp;RIGHT(A5184,8)&amp;"*",Main_Tariff!A:A,0)),Raeburn_Main_Tariff[[#This Row],[PRODUCER]])</f>
        <v>Maximin Grünhaus</v>
      </c>
      <c r="C5184" s="1178" t="s">
        <v>22706</v>
      </c>
      <c r="D5184" s="1178" t="s">
        <v>1410</v>
      </c>
      <c r="E5184" s="1179">
        <v>2006</v>
      </c>
      <c r="F5184" s="1282" t="s">
        <v>20280</v>
      </c>
      <c r="G5184" s="1368">
        <v>27.25</v>
      </c>
      <c r="H5184" s="1178" t="s">
        <v>20224</v>
      </c>
      <c r="I5184" s="1178" t="s">
        <v>16175</v>
      </c>
      <c r="J5184" s="1178" t="s">
        <v>22514</v>
      </c>
      <c r="K5184" s="1178" t="s">
        <v>559</v>
      </c>
      <c r="L5184" s="1178"/>
      <c r="M5184" s="1369"/>
      <c r="N5184" s="1178"/>
      <c r="O5184" s="1178">
        <v>12</v>
      </c>
      <c r="P5184" s="1178">
        <v>12.5</v>
      </c>
    </row>
    <row r="5185" spans="1:16">
      <c r="A5185" s="1178" t="s">
        <v>22657</v>
      </c>
      <c r="B5185" s="1371" t="str">
        <f>HYPERLINK(IFERROR("#Main_Tariff!A"&amp;MATCH(Raeburn_Main_Tariff[[#This Row],[Product Code]],Main_Tariff!I:I,0),"#Main_Tariff!A"&amp;MATCH("*"&amp;RIGHT(A5185,8)&amp;"*",Main_Tariff!A:A,0)),Raeburn_Main_Tariff[[#This Row],[PRODUCER]])</f>
        <v>Maximin Grünhaus</v>
      </c>
      <c r="C5185" s="1178" t="s">
        <v>22707</v>
      </c>
      <c r="D5185" s="1178" t="s">
        <v>1410</v>
      </c>
      <c r="E5185" s="1179">
        <v>2018</v>
      </c>
      <c r="F5185" s="1282" t="s">
        <v>20220</v>
      </c>
      <c r="G5185" s="1368">
        <v>60</v>
      </c>
      <c r="H5185" s="1178" t="s">
        <v>20221</v>
      </c>
      <c r="I5185" s="1178" t="s">
        <v>16177</v>
      </c>
      <c r="J5185" s="1178" t="s">
        <v>22514</v>
      </c>
      <c r="K5185" s="1178" t="s">
        <v>559</v>
      </c>
      <c r="L5185" s="1178"/>
      <c r="M5185" s="1369"/>
      <c r="N5185" s="1178"/>
      <c r="O5185" s="1178">
        <v>6</v>
      </c>
      <c r="P5185" s="1178">
        <v>8</v>
      </c>
    </row>
    <row r="5186" spans="1:16">
      <c r="A5186" s="1178" t="s">
        <v>22657</v>
      </c>
      <c r="B5186" s="1371" t="str">
        <f>HYPERLINK(IFERROR("#Main_Tariff!A"&amp;MATCH(Raeburn_Main_Tariff[[#This Row],[Product Code]],Main_Tariff!I:I,0),"#Main_Tariff!A"&amp;MATCH("*"&amp;RIGHT(A5186,8)&amp;"*",Main_Tariff!A:A,0)),Raeburn_Main_Tariff[[#This Row],[PRODUCER]])</f>
        <v>Maximin Grünhaus</v>
      </c>
      <c r="C5186" s="1178" t="s">
        <v>22708</v>
      </c>
      <c r="D5186" s="1178" t="s">
        <v>1410</v>
      </c>
      <c r="E5186" s="1179">
        <v>2015</v>
      </c>
      <c r="F5186" s="1282" t="s">
        <v>20220</v>
      </c>
      <c r="G5186" s="1368">
        <v>48</v>
      </c>
      <c r="H5186" s="1178" t="s">
        <v>20221</v>
      </c>
      <c r="I5186" s="1178" t="s">
        <v>16178</v>
      </c>
      <c r="J5186" s="1178" t="s">
        <v>22514</v>
      </c>
      <c r="K5186" s="1178" t="s">
        <v>559</v>
      </c>
      <c r="L5186" s="1178"/>
      <c r="M5186" s="1369"/>
      <c r="N5186" s="1178"/>
      <c r="O5186" s="1178">
        <v>6</v>
      </c>
      <c r="P5186" s="1178">
        <v>7</v>
      </c>
    </row>
    <row r="5187" spans="1:16">
      <c r="A5187" s="1178" t="s">
        <v>22657</v>
      </c>
      <c r="B5187" s="1371" t="str">
        <f>HYPERLINK(IFERROR("#Main_Tariff!A"&amp;MATCH(Raeburn_Main_Tariff[[#This Row],[Product Code]],Main_Tariff!I:I,0),"#Main_Tariff!A"&amp;MATCH("*"&amp;RIGHT(A5187,8)&amp;"*",Main_Tariff!A:A,0)),Raeburn_Main_Tariff[[#This Row],[PRODUCER]])</f>
        <v>Maximin Grünhaus</v>
      </c>
      <c r="C5187" s="1178" t="s">
        <v>22709</v>
      </c>
      <c r="D5187" s="1178" t="s">
        <v>1410</v>
      </c>
      <c r="E5187" s="1179">
        <v>2012</v>
      </c>
      <c r="F5187" s="1282" t="s">
        <v>20220</v>
      </c>
      <c r="G5187" s="1368">
        <v>41</v>
      </c>
      <c r="H5187" s="1178" t="s">
        <v>20221</v>
      </c>
      <c r="I5187" s="1178" t="s">
        <v>16179</v>
      </c>
      <c r="J5187" s="1178" t="s">
        <v>22514</v>
      </c>
      <c r="K5187" s="1178" t="s">
        <v>559</v>
      </c>
      <c r="L5187" s="1178"/>
      <c r="M5187" s="1369"/>
      <c r="N5187" s="1178"/>
      <c r="O5187" s="1178">
        <v>6</v>
      </c>
      <c r="P5187" s="1178">
        <v>7.5</v>
      </c>
    </row>
    <row r="5188" spans="1:16">
      <c r="A5188" s="1178" t="s">
        <v>22657</v>
      </c>
      <c r="B5188" s="1371" t="str">
        <f>HYPERLINK(IFERROR("#Main_Tariff!A"&amp;MATCH(Raeburn_Main_Tariff[[#This Row],[Product Code]],Main_Tariff!I:I,0),"#Main_Tariff!A"&amp;MATCH("*"&amp;RIGHT(A5188,8)&amp;"*",Main_Tariff!A:A,0)),Raeburn_Main_Tariff[[#This Row],[PRODUCER]])</f>
        <v>Maximin Grünhaus</v>
      </c>
      <c r="C5188" s="1178" t="s">
        <v>22710</v>
      </c>
      <c r="D5188" s="1178" t="s">
        <v>1410</v>
      </c>
      <c r="E5188" s="1179">
        <v>2006</v>
      </c>
      <c r="F5188" s="1282" t="s">
        <v>20220</v>
      </c>
      <c r="G5188" s="1368">
        <v>41.5</v>
      </c>
      <c r="H5188" s="1178" t="s">
        <v>20221</v>
      </c>
      <c r="I5188" s="1178" t="s">
        <v>16180</v>
      </c>
      <c r="J5188" s="1178" t="s">
        <v>22514</v>
      </c>
      <c r="K5188" s="1178" t="s">
        <v>559</v>
      </c>
      <c r="L5188" s="1178"/>
      <c r="M5188" s="1369"/>
      <c r="N5188" s="1178"/>
      <c r="O5188" s="1178">
        <v>12</v>
      </c>
      <c r="P5188" s="1178">
        <v>12.5</v>
      </c>
    </row>
    <row r="5189" spans="1:16">
      <c r="A5189" s="1178" t="s">
        <v>22657</v>
      </c>
      <c r="B5189" s="1371" t="str">
        <f>HYPERLINK(IFERROR("#Main_Tariff!A"&amp;MATCH(Raeburn_Main_Tariff[[#This Row],[Product Code]],Main_Tariff!I:I,0),"#Main_Tariff!A"&amp;MATCH("*"&amp;RIGHT(A5189,8)&amp;"*",Main_Tariff!A:A,0)),Raeburn_Main_Tariff[[#This Row],[PRODUCER]])</f>
        <v>Maximin Grünhaus</v>
      </c>
      <c r="C5189" s="1178" t="s">
        <v>22711</v>
      </c>
      <c r="D5189" s="1178" t="s">
        <v>1410</v>
      </c>
      <c r="E5189" s="1179">
        <v>2005</v>
      </c>
      <c r="F5189" s="1282" t="s">
        <v>20220</v>
      </c>
      <c r="G5189" s="1368">
        <v>41.5</v>
      </c>
      <c r="H5189" s="1178" t="s">
        <v>20277</v>
      </c>
      <c r="I5189" s="1178" t="s">
        <v>16181</v>
      </c>
      <c r="J5189" s="1178" t="s">
        <v>22514</v>
      </c>
      <c r="K5189" s="1178" t="s">
        <v>559</v>
      </c>
      <c r="L5189" s="1178"/>
      <c r="M5189" s="1369"/>
      <c r="N5189" s="1178"/>
      <c r="O5189" s="1178">
        <v>12</v>
      </c>
      <c r="P5189" s="1178">
        <v>8.5</v>
      </c>
    </row>
    <row r="5190" spans="1:16">
      <c r="A5190" s="1178" t="s">
        <v>22657</v>
      </c>
      <c r="B5190" s="1371" t="str">
        <f>HYPERLINK(IFERROR("#Main_Tariff!A"&amp;MATCH(Raeburn_Main_Tariff[[#This Row],[Product Code]],Main_Tariff!I:I,0),"#Main_Tariff!A"&amp;MATCH("*"&amp;RIGHT(A5190,8)&amp;"*",Main_Tariff!A:A,0)),Raeburn_Main_Tariff[[#This Row],[PRODUCER]])</f>
        <v>Maximin Grünhaus</v>
      </c>
      <c r="C5190" s="1178" t="s">
        <v>22712</v>
      </c>
      <c r="D5190" s="1178" t="s">
        <v>1410</v>
      </c>
      <c r="E5190" s="1179">
        <v>2018</v>
      </c>
      <c r="F5190" s="1282" t="s">
        <v>20220</v>
      </c>
      <c r="G5190" s="1368">
        <v>61.5</v>
      </c>
      <c r="H5190" s="1178" t="s">
        <v>20221</v>
      </c>
      <c r="I5190" s="1178" t="s">
        <v>16182</v>
      </c>
      <c r="J5190" s="1178" t="s">
        <v>22514</v>
      </c>
      <c r="K5190" s="1178" t="s">
        <v>559</v>
      </c>
      <c r="L5190" s="1178"/>
      <c r="M5190" s="1369"/>
      <c r="N5190" s="1178"/>
      <c r="O5190" s="1178">
        <v>6</v>
      </c>
      <c r="P5190" s="1178">
        <v>7.5</v>
      </c>
    </row>
    <row r="5191" spans="1:16">
      <c r="A5191" s="1178" t="s">
        <v>22657</v>
      </c>
      <c r="B5191" s="1371" t="str">
        <f>HYPERLINK(IFERROR("#Main_Tariff!A"&amp;MATCH(Raeburn_Main_Tariff[[#This Row],[Product Code]],Main_Tariff!I:I,0),"#Main_Tariff!A"&amp;MATCH("*"&amp;RIGHT(A5191,8)&amp;"*",Main_Tariff!A:A,0)),Raeburn_Main_Tariff[[#This Row],[PRODUCER]])</f>
        <v>Maximin Grünhaus</v>
      </c>
      <c r="C5191" s="1178" t="s">
        <v>22713</v>
      </c>
      <c r="D5191" s="1178" t="s">
        <v>1410</v>
      </c>
      <c r="E5191" s="1179">
        <v>2015</v>
      </c>
      <c r="F5191" s="1282" t="s">
        <v>20220</v>
      </c>
      <c r="G5191" s="1368">
        <v>53</v>
      </c>
      <c r="H5191" s="1178" t="s">
        <v>20221</v>
      </c>
      <c r="I5191" s="1178" t="s">
        <v>16183</v>
      </c>
      <c r="J5191" s="1178" t="s">
        <v>22514</v>
      </c>
      <c r="K5191" s="1178" t="s">
        <v>559</v>
      </c>
      <c r="L5191" s="1178"/>
      <c r="M5191" s="1369"/>
      <c r="N5191" s="1178"/>
      <c r="O5191" s="1178">
        <v>6</v>
      </c>
      <c r="P5191" s="1178">
        <v>7</v>
      </c>
    </row>
    <row r="5192" spans="1:16">
      <c r="A5192" s="1178" t="s">
        <v>22657</v>
      </c>
      <c r="B5192" s="1371" t="str">
        <f>HYPERLINK(IFERROR("#Main_Tariff!A"&amp;MATCH(Raeburn_Main_Tariff[[#This Row],[Product Code]],Main_Tariff!I:I,0),"#Main_Tariff!A"&amp;MATCH("*"&amp;RIGHT(A5192,8)&amp;"*",Main_Tariff!A:A,0)),Raeburn_Main_Tariff[[#This Row],[PRODUCER]])</f>
        <v>Maximin Grünhaus</v>
      </c>
      <c r="C5192" s="1178" t="s">
        <v>22714</v>
      </c>
      <c r="D5192" s="1178" t="s">
        <v>1410</v>
      </c>
      <c r="E5192" s="1179">
        <v>2011</v>
      </c>
      <c r="F5192" s="1282" t="s">
        <v>20220</v>
      </c>
      <c r="G5192" s="1368">
        <v>53</v>
      </c>
      <c r="H5192" s="1178" t="s">
        <v>20221</v>
      </c>
      <c r="I5192" s="1178" t="s">
        <v>16184</v>
      </c>
      <c r="J5192" s="1178" t="s">
        <v>22514</v>
      </c>
      <c r="K5192" s="1178" t="s">
        <v>559</v>
      </c>
      <c r="L5192" s="1178"/>
      <c r="M5192" s="1369"/>
      <c r="N5192" s="1178"/>
      <c r="O5192" s="1178">
        <v>6</v>
      </c>
      <c r="P5192" s="1178">
        <v>7.5</v>
      </c>
    </row>
    <row r="5193" spans="1:16">
      <c r="A5193" s="1178" t="s">
        <v>22657</v>
      </c>
      <c r="B5193" s="1371" t="str">
        <f>HYPERLINK(IFERROR("#Main_Tariff!A"&amp;MATCH(Raeburn_Main_Tariff[[#This Row],[Product Code]],Main_Tariff!I:I,0),"#Main_Tariff!A"&amp;MATCH("*"&amp;RIGHT(A5193,8)&amp;"*",Main_Tariff!A:A,0)),Raeburn_Main_Tariff[[#This Row],[PRODUCER]])</f>
        <v>Maximin Grünhaus</v>
      </c>
      <c r="C5193" s="1178" t="s">
        <v>22715</v>
      </c>
      <c r="D5193" s="1178" t="s">
        <v>1410</v>
      </c>
      <c r="E5193" s="1179">
        <v>2018</v>
      </c>
      <c r="F5193" s="1282" t="s">
        <v>20280</v>
      </c>
      <c r="G5193" s="1368">
        <v>144</v>
      </c>
      <c r="H5193" s="1178" t="s">
        <v>20224</v>
      </c>
      <c r="I5193" s="1178" t="s">
        <v>16186</v>
      </c>
      <c r="J5193" s="1178" t="s">
        <v>22514</v>
      </c>
      <c r="K5193" s="1178" t="s">
        <v>559</v>
      </c>
      <c r="L5193" s="1178"/>
      <c r="M5193" s="1369"/>
      <c r="N5193" s="1178"/>
      <c r="O5193" s="1178">
        <v>3</v>
      </c>
      <c r="P5193" s="1178">
        <v>6.5</v>
      </c>
    </row>
    <row r="5194" spans="1:16">
      <c r="A5194" s="1178" t="s">
        <v>22657</v>
      </c>
      <c r="B5194" s="1371" t="str">
        <f>HYPERLINK(IFERROR("#Main_Tariff!A"&amp;MATCH(Raeburn_Main_Tariff[[#This Row],[Product Code]],Main_Tariff!I:I,0),"#Main_Tariff!A"&amp;MATCH("*"&amp;RIGHT(A5194,8)&amp;"*",Main_Tariff!A:A,0)),Raeburn_Main_Tariff[[#This Row],[PRODUCER]])</f>
        <v>Maximin Grünhaus</v>
      </c>
      <c r="C5194" s="1178" t="s">
        <v>22716</v>
      </c>
      <c r="D5194" s="1178" t="s">
        <v>1410</v>
      </c>
      <c r="E5194" s="1179">
        <v>2015</v>
      </c>
      <c r="F5194" s="1282" t="s">
        <v>20280</v>
      </c>
      <c r="G5194" s="1368">
        <v>144</v>
      </c>
      <c r="H5194" s="1178" t="s">
        <v>20224</v>
      </c>
      <c r="I5194" s="1178" t="s">
        <v>16187</v>
      </c>
      <c r="J5194" s="1178" t="s">
        <v>22514</v>
      </c>
      <c r="K5194" s="1178" t="s">
        <v>559</v>
      </c>
      <c r="L5194" s="1178"/>
      <c r="M5194" s="1369"/>
      <c r="N5194" s="1178"/>
      <c r="O5194" s="1178">
        <v>3</v>
      </c>
      <c r="P5194" s="1178">
        <v>7.5</v>
      </c>
    </row>
    <row r="5195" spans="1:16">
      <c r="A5195" s="1178" t="s">
        <v>22657</v>
      </c>
      <c r="B5195" s="1371" t="str">
        <f>HYPERLINK(IFERROR("#Main_Tariff!A"&amp;MATCH(Raeburn_Main_Tariff[[#This Row],[Product Code]],Main_Tariff!I:I,0),"#Main_Tariff!A"&amp;MATCH("*"&amp;RIGHT(A5195,8)&amp;"*",Main_Tariff!A:A,0)),Raeburn_Main_Tariff[[#This Row],[PRODUCER]])</f>
        <v>Maximin Grünhaus</v>
      </c>
      <c r="C5195" s="1178" t="s">
        <v>22717</v>
      </c>
      <c r="D5195" s="1178" t="s">
        <v>1410</v>
      </c>
      <c r="E5195" s="1179">
        <v>2012</v>
      </c>
      <c r="F5195" s="1282" t="s">
        <v>20280</v>
      </c>
      <c r="G5195" s="1368">
        <v>119</v>
      </c>
      <c r="H5195" s="1178" t="s">
        <v>20224</v>
      </c>
      <c r="I5195" s="1178" t="s">
        <v>16189</v>
      </c>
      <c r="J5195" s="1178" t="s">
        <v>22514</v>
      </c>
      <c r="K5195" s="1178" t="s">
        <v>559</v>
      </c>
      <c r="L5195" s="1178"/>
      <c r="M5195" s="1369"/>
      <c r="N5195" s="1178"/>
      <c r="O5195" s="1178">
        <v>6</v>
      </c>
      <c r="P5195" s="1178">
        <v>7</v>
      </c>
    </row>
    <row r="5196" spans="1:16">
      <c r="A5196" s="1178" t="s">
        <v>22657</v>
      </c>
      <c r="B5196" s="1371" t="str">
        <f>HYPERLINK(IFERROR("#Main_Tariff!A"&amp;MATCH(Raeburn_Main_Tariff[[#This Row],[Product Code]],Main_Tariff!I:I,0),"#Main_Tariff!A"&amp;MATCH("*"&amp;RIGHT(A5196,8)&amp;"*",Main_Tariff!A:A,0)),Raeburn_Main_Tariff[[#This Row],[PRODUCER]])</f>
        <v>Maximin Grünhaus</v>
      </c>
      <c r="C5196" s="1178" t="s">
        <v>22718</v>
      </c>
      <c r="D5196" s="1178" t="s">
        <v>1410</v>
      </c>
      <c r="E5196" s="1179">
        <v>2009</v>
      </c>
      <c r="F5196" s="1282" t="s">
        <v>20280</v>
      </c>
      <c r="G5196" s="1368">
        <v>125.25</v>
      </c>
      <c r="H5196" s="1178" t="s">
        <v>20224</v>
      </c>
      <c r="I5196" s="1178" t="s">
        <v>16190</v>
      </c>
      <c r="J5196" s="1178" t="s">
        <v>22514</v>
      </c>
      <c r="K5196" s="1178" t="s">
        <v>559</v>
      </c>
      <c r="L5196" s="1178"/>
      <c r="M5196" s="1369"/>
      <c r="N5196" s="1178"/>
      <c r="O5196" s="1178">
        <v>3</v>
      </c>
      <c r="P5196" s="1178">
        <v>12.5</v>
      </c>
    </row>
    <row r="5197" spans="1:16">
      <c r="A5197" s="1178" t="s">
        <v>22657</v>
      </c>
      <c r="B5197" s="1371" t="str">
        <f>HYPERLINK(IFERROR("#Main_Tariff!A"&amp;MATCH(Raeburn_Main_Tariff[[#This Row],[Product Code]],Main_Tariff!I:I,0),"#Main_Tariff!A"&amp;MATCH("*"&amp;RIGHT(A5197,8)&amp;"*",Main_Tariff!A:A,0)),Raeburn_Main_Tariff[[#This Row],[PRODUCER]])</f>
        <v>Maximin Grünhaus</v>
      </c>
      <c r="C5197" s="1178" t="s">
        <v>22719</v>
      </c>
      <c r="D5197" s="1178" t="s">
        <v>1410</v>
      </c>
      <c r="E5197" s="1179">
        <v>2010</v>
      </c>
      <c r="F5197" s="1282" t="s">
        <v>20280</v>
      </c>
      <c r="G5197" s="1368">
        <v>135.25</v>
      </c>
      <c r="H5197" s="1178" t="s">
        <v>20224</v>
      </c>
      <c r="I5197" s="1178" t="s">
        <v>16191</v>
      </c>
      <c r="J5197" s="1178" t="s">
        <v>22514</v>
      </c>
      <c r="K5197" s="1178" t="s">
        <v>559</v>
      </c>
      <c r="L5197" s="1178"/>
      <c r="M5197" s="1369"/>
      <c r="N5197" s="1178"/>
      <c r="O5197" s="1178">
        <v>12</v>
      </c>
      <c r="P5197" s="1178">
        <v>12.5</v>
      </c>
    </row>
    <row r="5198" spans="1:16">
      <c r="A5198" s="1178" t="s">
        <v>22657</v>
      </c>
      <c r="B5198" s="1371" t="str">
        <f>HYPERLINK(IFERROR("#Main_Tariff!A"&amp;MATCH(Raeburn_Main_Tariff[[#This Row],[Product Code]],Main_Tariff!I:I,0),"#Main_Tariff!A"&amp;MATCH("*"&amp;RIGHT(A5198,8)&amp;"*",Main_Tariff!A:A,0)),Raeburn_Main_Tariff[[#This Row],[PRODUCER]])</f>
        <v>Maximin Grünhaus</v>
      </c>
      <c r="C5198" s="1178" t="s">
        <v>22720</v>
      </c>
      <c r="D5198" s="1178" t="s">
        <v>1410</v>
      </c>
      <c r="E5198" s="1179">
        <v>2009</v>
      </c>
      <c r="F5198" s="1282" t="s">
        <v>20220</v>
      </c>
      <c r="G5198" s="1368">
        <v>240.5</v>
      </c>
      <c r="H5198" s="1178" t="s">
        <v>20224</v>
      </c>
      <c r="I5198" s="1178" t="s">
        <v>16192</v>
      </c>
      <c r="J5198" s="1178" t="s">
        <v>22514</v>
      </c>
      <c r="K5198" s="1178" t="s">
        <v>559</v>
      </c>
      <c r="L5198" s="1178"/>
      <c r="M5198" s="1369"/>
      <c r="N5198" s="1178"/>
      <c r="O5198" s="1178">
        <v>3</v>
      </c>
      <c r="P5198" s="1178">
        <v>12.5</v>
      </c>
    </row>
    <row r="5199" spans="1:16">
      <c r="A5199" s="1178" t="s">
        <v>566</v>
      </c>
      <c r="B5199" s="1371" t="str">
        <f>HYPERLINK(IFERROR("#Main_Tariff!A"&amp;MATCH(Raeburn_Main_Tariff[[#This Row],[Product Code]],Main_Tariff!I:I,0),"#Main_Tariff!A"&amp;MATCH("*"&amp;RIGHT(A5199,8)&amp;"*",Main_Tariff!A:A,0)),Raeburn_Main_Tariff[[#This Row],[PRODUCER]])</f>
        <v>Willi Schaefer</v>
      </c>
      <c r="C5199" s="1178" t="s">
        <v>22721</v>
      </c>
      <c r="D5199" s="1178" t="s">
        <v>1129</v>
      </c>
      <c r="E5199" s="1179">
        <v>2022</v>
      </c>
      <c r="F5199" s="1282" t="s">
        <v>20220</v>
      </c>
      <c r="G5199" s="1368">
        <v>19.5</v>
      </c>
      <c r="H5199" s="1178" t="s">
        <v>20221</v>
      </c>
      <c r="I5199" s="1178" t="s">
        <v>16195</v>
      </c>
      <c r="J5199" s="1178" t="s">
        <v>22514</v>
      </c>
      <c r="K5199" s="1178" t="s">
        <v>559</v>
      </c>
      <c r="L5199" s="1178"/>
      <c r="M5199" s="1369"/>
      <c r="N5199" s="1178"/>
      <c r="O5199" s="1178">
        <v>6</v>
      </c>
      <c r="P5199" s="1178">
        <v>10.5</v>
      </c>
    </row>
    <row r="5200" spans="1:16">
      <c r="A5200" s="1178" t="s">
        <v>566</v>
      </c>
      <c r="B5200" s="1371" t="str">
        <f>HYPERLINK(IFERROR("#Main_Tariff!A"&amp;MATCH(Raeburn_Main_Tariff[[#This Row],[Product Code]],Main_Tariff!I:I,0),"#Main_Tariff!A"&amp;MATCH("*"&amp;RIGHT(A5200,8)&amp;"*",Main_Tariff!A:A,0)),Raeburn_Main_Tariff[[#This Row],[PRODUCER]])</f>
        <v>Willi Schaefer</v>
      </c>
      <c r="C5200" s="1178" t="s">
        <v>22722</v>
      </c>
      <c r="D5200" s="1178" t="s">
        <v>1129</v>
      </c>
      <c r="E5200" s="1179">
        <v>2019</v>
      </c>
      <c r="F5200" s="1282" t="s">
        <v>20220</v>
      </c>
      <c r="G5200" s="1368">
        <v>29.5</v>
      </c>
      <c r="H5200" s="1178" t="s">
        <v>20221</v>
      </c>
      <c r="I5200" s="1178" t="s">
        <v>16197</v>
      </c>
      <c r="J5200" s="1178" t="s">
        <v>22514</v>
      </c>
      <c r="K5200" s="1178" t="s">
        <v>559</v>
      </c>
      <c r="L5200" s="1178"/>
      <c r="M5200" s="1369"/>
      <c r="N5200" s="1178"/>
      <c r="O5200" s="1178">
        <v>6</v>
      </c>
      <c r="P5200" s="1178">
        <v>12</v>
      </c>
    </row>
    <row r="5201" spans="1:16">
      <c r="A5201" s="1178" t="s">
        <v>566</v>
      </c>
      <c r="B5201" s="1371" t="str">
        <f>HYPERLINK(IFERROR("#Main_Tariff!A"&amp;MATCH(Raeburn_Main_Tariff[[#This Row],[Product Code]],Main_Tariff!I:I,0),"#Main_Tariff!A"&amp;MATCH("*"&amp;RIGHT(A5201,8)&amp;"*",Main_Tariff!A:A,0)),Raeburn_Main_Tariff[[#This Row],[PRODUCER]])</f>
        <v>Willi Schaefer</v>
      </c>
      <c r="C5201" s="1178" t="s">
        <v>22723</v>
      </c>
      <c r="D5201" s="1178" t="s">
        <v>1129</v>
      </c>
      <c r="E5201" s="1179">
        <v>2023</v>
      </c>
      <c r="F5201" s="1282" t="s">
        <v>20220</v>
      </c>
      <c r="G5201" s="1368">
        <v>23</v>
      </c>
      <c r="H5201" s="1178" t="s">
        <v>20221</v>
      </c>
      <c r="I5201" s="1178" t="s">
        <v>16200</v>
      </c>
      <c r="J5201" s="1178" t="s">
        <v>22514</v>
      </c>
      <c r="K5201" s="1178" t="s">
        <v>559</v>
      </c>
      <c r="L5201" s="1178"/>
      <c r="M5201" s="1369"/>
      <c r="N5201" s="1178"/>
      <c r="O5201" s="1178">
        <v>6</v>
      </c>
      <c r="P5201" s="1178">
        <v>7.5</v>
      </c>
    </row>
    <row r="5202" spans="1:16">
      <c r="A5202" s="1178" t="s">
        <v>566</v>
      </c>
      <c r="B5202" s="1371" t="str">
        <f>HYPERLINK(IFERROR("#Main_Tariff!A"&amp;MATCH(Raeburn_Main_Tariff[[#This Row],[Product Code]],Main_Tariff!I:I,0),"#Main_Tariff!A"&amp;MATCH("*"&amp;RIGHT(A5202,8)&amp;"*",Main_Tariff!A:A,0)),Raeburn_Main_Tariff[[#This Row],[PRODUCER]])</f>
        <v>Willi Schaefer</v>
      </c>
      <c r="C5202" s="1178" t="s">
        <v>22723</v>
      </c>
      <c r="D5202" s="1178" t="s">
        <v>1129</v>
      </c>
      <c r="E5202" s="1179">
        <v>2022</v>
      </c>
      <c r="F5202" s="1282" t="s">
        <v>20220</v>
      </c>
      <c r="G5202" s="1368">
        <v>24.5</v>
      </c>
      <c r="H5202" s="1178" t="s">
        <v>20224</v>
      </c>
      <c r="I5202" s="1178" t="s">
        <v>16202</v>
      </c>
      <c r="J5202" s="1178" t="s">
        <v>22514</v>
      </c>
      <c r="K5202" s="1178" t="s">
        <v>559</v>
      </c>
      <c r="L5202" s="1178"/>
      <c r="M5202" s="1369"/>
      <c r="N5202" s="1178"/>
      <c r="O5202" s="1178">
        <v>6</v>
      </c>
      <c r="P5202" s="1178">
        <v>7.5</v>
      </c>
    </row>
    <row r="5203" spans="1:16">
      <c r="A5203" s="1178" t="s">
        <v>566</v>
      </c>
      <c r="B5203" s="1371" t="str">
        <f>HYPERLINK(IFERROR("#Main_Tariff!A"&amp;MATCH(Raeburn_Main_Tariff[[#This Row],[Product Code]],Main_Tariff!I:I,0),"#Main_Tariff!A"&amp;MATCH("*"&amp;RIGHT(A5203,8)&amp;"*",Main_Tariff!A:A,0)),Raeburn_Main_Tariff[[#This Row],[PRODUCER]])</f>
        <v>Willi Schaefer</v>
      </c>
      <c r="C5203" s="1178" t="s">
        <v>22724</v>
      </c>
      <c r="D5203" s="1178" t="s">
        <v>1129</v>
      </c>
      <c r="E5203" s="1179">
        <v>2023</v>
      </c>
      <c r="F5203" s="1282" t="s">
        <v>20220</v>
      </c>
      <c r="G5203" s="1368">
        <v>23</v>
      </c>
      <c r="H5203" s="1178" t="s">
        <v>20221</v>
      </c>
      <c r="I5203" s="1178" t="s">
        <v>16204</v>
      </c>
      <c r="J5203" s="1178" t="s">
        <v>22514</v>
      </c>
      <c r="K5203" s="1178" t="s">
        <v>559</v>
      </c>
      <c r="L5203" s="1178"/>
      <c r="M5203" s="1369"/>
      <c r="N5203" s="1178"/>
      <c r="O5203" s="1178">
        <v>6</v>
      </c>
      <c r="P5203" s="1178">
        <v>7.5</v>
      </c>
    </row>
    <row r="5204" spans="1:16">
      <c r="A5204" s="1178" t="s">
        <v>566</v>
      </c>
      <c r="B5204" s="1371" t="str">
        <f>HYPERLINK(IFERROR("#Main_Tariff!A"&amp;MATCH(Raeburn_Main_Tariff[[#This Row],[Product Code]],Main_Tariff!I:I,0),"#Main_Tariff!A"&amp;MATCH("*"&amp;RIGHT(A5204,8)&amp;"*",Main_Tariff!A:A,0)),Raeburn_Main_Tariff[[#This Row],[PRODUCER]])</f>
        <v>Willi Schaefer</v>
      </c>
      <c r="C5204" s="1178" t="s">
        <v>22724</v>
      </c>
      <c r="D5204" s="1178" t="s">
        <v>1129</v>
      </c>
      <c r="E5204" s="1179">
        <v>2022</v>
      </c>
      <c r="F5204" s="1282" t="s">
        <v>20220</v>
      </c>
      <c r="G5204" s="1368">
        <v>26</v>
      </c>
      <c r="H5204" s="1178" t="s">
        <v>20221</v>
      </c>
      <c r="I5204" s="1178" t="s">
        <v>16205</v>
      </c>
      <c r="J5204" s="1178" t="s">
        <v>22514</v>
      </c>
      <c r="K5204" s="1178" t="s">
        <v>559</v>
      </c>
      <c r="L5204" s="1178"/>
      <c r="M5204" s="1369"/>
      <c r="N5204" s="1178"/>
      <c r="O5204" s="1178">
        <v>6</v>
      </c>
      <c r="P5204" s="1178">
        <v>7.5</v>
      </c>
    </row>
    <row r="5205" spans="1:16">
      <c r="A5205" s="1178" t="s">
        <v>566</v>
      </c>
      <c r="B5205" s="1371" t="str">
        <f>HYPERLINK(IFERROR("#Main_Tariff!A"&amp;MATCH(Raeburn_Main_Tariff[[#This Row],[Product Code]],Main_Tariff!I:I,0),"#Main_Tariff!A"&amp;MATCH("*"&amp;RIGHT(A5205,8)&amp;"*",Main_Tariff!A:A,0)),Raeburn_Main_Tariff[[#This Row],[PRODUCER]])</f>
        <v>Willi Schaefer</v>
      </c>
      <c r="C5205" s="1178" t="s">
        <v>22725</v>
      </c>
      <c r="D5205" s="1178" t="s">
        <v>1129</v>
      </c>
      <c r="E5205" s="1179">
        <v>2023</v>
      </c>
      <c r="F5205" s="1282" t="s">
        <v>20220</v>
      </c>
      <c r="G5205" s="1368">
        <v>23.25</v>
      </c>
      <c r="H5205" s="1178" t="s">
        <v>20221</v>
      </c>
      <c r="I5205" s="1178" t="s">
        <v>16206</v>
      </c>
      <c r="J5205" s="1178" t="s">
        <v>22514</v>
      </c>
      <c r="K5205" s="1178" t="s">
        <v>559</v>
      </c>
      <c r="L5205" s="1178"/>
      <c r="M5205" s="1369"/>
      <c r="N5205" s="1178"/>
      <c r="O5205" s="1178">
        <v>6</v>
      </c>
      <c r="P5205" s="1178">
        <v>8</v>
      </c>
    </row>
    <row r="5206" spans="1:16">
      <c r="A5206" s="1178" t="s">
        <v>566</v>
      </c>
      <c r="B5206" s="1371" t="str">
        <f>HYPERLINK(IFERROR("#Main_Tariff!A"&amp;MATCH(Raeburn_Main_Tariff[[#This Row],[Product Code]],Main_Tariff!I:I,0),"#Main_Tariff!A"&amp;MATCH("*"&amp;RIGHT(A5206,8)&amp;"*",Main_Tariff!A:A,0)),Raeburn_Main_Tariff[[#This Row],[PRODUCER]])</f>
        <v>Willi Schaefer</v>
      </c>
      <c r="C5206" s="1178" t="s">
        <v>22726</v>
      </c>
      <c r="D5206" s="1178" t="s">
        <v>1129</v>
      </c>
      <c r="E5206" s="1179">
        <v>2023</v>
      </c>
      <c r="F5206" s="1282" t="s">
        <v>20240</v>
      </c>
      <c r="G5206" s="1368">
        <v>54</v>
      </c>
      <c r="H5206" s="1178" t="s">
        <v>20224</v>
      </c>
      <c r="I5206" s="1178" t="s">
        <v>16207</v>
      </c>
      <c r="J5206" s="1178" t="s">
        <v>22514</v>
      </c>
      <c r="K5206" s="1178" t="s">
        <v>559</v>
      </c>
      <c r="L5206" s="1178"/>
      <c r="M5206" s="1369"/>
      <c r="N5206" s="1178"/>
      <c r="O5206" s="1178">
        <v>3</v>
      </c>
      <c r="P5206" s="1178">
        <v>7.5</v>
      </c>
    </row>
    <row r="5207" spans="1:16">
      <c r="A5207" s="1178" t="s">
        <v>566</v>
      </c>
      <c r="B5207" s="1371" t="str">
        <f>HYPERLINK(IFERROR("#Main_Tariff!A"&amp;MATCH(Raeburn_Main_Tariff[[#This Row],[Product Code]],Main_Tariff!I:I,0),"#Main_Tariff!A"&amp;MATCH("*"&amp;RIGHT(A5207,8)&amp;"*",Main_Tariff!A:A,0)),Raeburn_Main_Tariff[[#This Row],[PRODUCER]])</f>
        <v>Willi Schaefer</v>
      </c>
      <c r="C5207" s="1178" t="s">
        <v>22726</v>
      </c>
      <c r="D5207" s="1178" t="s">
        <v>1129</v>
      </c>
      <c r="E5207" s="1179">
        <v>2022</v>
      </c>
      <c r="F5207" s="1282" t="s">
        <v>20240</v>
      </c>
      <c r="G5207" s="1368">
        <v>55</v>
      </c>
      <c r="H5207" s="1178" t="s">
        <v>20224</v>
      </c>
      <c r="I5207" s="1178" t="s">
        <v>16208</v>
      </c>
      <c r="J5207" s="1178" t="s">
        <v>22514</v>
      </c>
      <c r="K5207" s="1178" t="s">
        <v>559</v>
      </c>
      <c r="L5207" s="1178"/>
      <c r="M5207" s="1369"/>
      <c r="N5207" s="1178"/>
      <c r="O5207" s="1178">
        <v>3</v>
      </c>
      <c r="P5207" s="1178">
        <v>7.5</v>
      </c>
    </row>
    <row r="5208" spans="1:16">
      <c r="A5208" s="1178" t="s">
        <v>566</v>
      </c>
      <c r="B5208" s="1371" t="str">
        <f>HYPERLINK(IFERROR("#Main_Tariff!A"&amp;MATCH(Raeburn_Main_Tariff[[#This Row],[Product Code]],Main_Tariff!I:I,0),"#Main_Tariff!A"&amp;MATCH("*"&amp;RIGHT(A5208,8)&amp;"*",Main_Tariff!A:A,0)),Raeburn_Main_Tariff[[#This Row],[PRODUCER]])</f>
        <v>Willi Schaefer</v>
      </c>
      <c r="C5208" s="1178" t="s">
        <v>22727</v>
      </c>
      <c r="D5208" s="1178" t="s">
        <v>1129</v>
      </c>
      <c r="E5208" s="1179">
        <v>2023</v>
      </c>
      <c r="F5208" s="1282" t="s">
        <v>20220</v>
      </c>
      <c r="G5208" s="1368">
        <v>27</v>
      </c>
      <c r="H5208" s="1178" t="s">
        <v>20221</v>
      </c>
      <c r="I5208" s="1178" t="s">
        <v>16210</v>
      </c>
      <c r="J5208" s="1178" t="s">
        <v>22514</v>
      </c>
      <c r="K5208" s="1178" t="s">
        <v>559</v>
      </c>
      <c r="L5208" s="1178"/>
      <c r="M5208" s="1369"/>
      <c r="N5208" s="1178"/>
      <c r="O5208" s="1178">
        <v>6</v>
      </c>
      <c r="P5208" s="1178">
        <v>7.5</v>
      </c>
    </row>
    <row r="5209" spans="1:16">
      <c r="A5209" s="1178" t="s">
        <v>566</v>
      </c>
      <c r="B5209" s="1371" t="str">
        <f>HYPERLINK(IFERROR("#Main_Tariff!A"&amp;MATCH(Raeburn_Main_Tariff[[#This Row],[Product Code]],Main_Tariff!I:I,0),"#Main_Tariff!A"&amp;MATCH("*"&amp;RIGHT(A5209,8)&amp;"*",Main_Tariff!A:A,0)),Raeburn_Main_Tariff[[#This Row],[PRODUCER]])</f>
        <v>Willi Schaefer</v>
      </c>
      <c r="C5209" s="1178" t="s">
        <v>22727</v>
      </c>
      <c r="D5209" s="1178" t="s">
        <v>1129</v>
      </c>
      <c r="E5209" s="1179">
        <v>2022</v>
      </c>
      <c r="F5209" s="1282" t="s">
        <v>20220</v>
      </c>
      <c r="G5209" s="1368">
        <v>28</v>
      </c>
      <c r="H5209" s="1178" t="s">
        <v>20221</v>
      </c>
      <c r="I5209" s="1178" t="s">
        <v>16211</v>
      </c>
      <c r="J5209" s="1178" t="s">
        <v>22514</v>
      </c>
      <c r="K5209" s="1178" t="s">
        <v>559</v>
      </c>
      <c r="L5209" s="1178"/>
      <c r="M5209" s="1369"/>
      <c r="N5209" s="1178"/>
      <c r="O5209" s="1178">
        <v>6</v>
      </c>
      <c r="P5209" s="1178">
        <v>7.5</v>
      </c>
    </row>
    <row r="5210" spans="1:16">
      <c r="A5210" s="1178" t="s">
        <v>566</v>
      </c>
      <c r="B5210" s="1371" t="str">
        <f>HYPERLINK(IFERROR("#Main_Tariff!A"&amp;MATCH(Raeburn_Main_Tariff[[#This Row],[Product Code]],Main_Tariff!I:I,0),"#Main_Tariff!A"&amp;MATCH("*"&amp;RIGHT(A5210,8)&amp;"*",Main_Tariff!A:A,0)),Raeburn_Main_Tariff[[#This Row],[PRODUCER]])</f>
        <v>Willi Schaefer</v>
      </c>
      <c r="C5210" s="1178" t="s">
        <v>22727</v>
      </c>
      <c r="D5210" s="1178" t="s">
        <v>1129</v>
      </c>
      <c r="E5210" s="1179">
        <v>2020</v>
      </c>
      <c r="F5210" s="1282" t="s">
        <v>20220</v>
      </c>
      <c r="G5210" s="1368">
        <v>26</v>
      </c>
      <c r="H5210" s="1178" t="s">
        <v>20221</v>
      </c>
      <c r="I5210" s="1178" t="s">
        <v>16213</v>
      </c>
      <c r="J5210" s="1178" t="s">
        <v>22514</v>
      </c>
      <c r="K5210" s="1178" t="s">
        <v>559</v>
      </c>
      <c r="L5210" s="1178"/>
      <c r="M5210" s="1369"/>
      <c r="N5210" s="1178"/>
      <c r="O5210" s="1178">
        <v>6</v>
      </c>
      <c r="P5210" s="1178">
        <v>7.5</v>
      </c>
    </row>
    <row r="5211" spans="1:16">
      <c r="A5211" s="1178" t="s">
        <v>566</v>
      </c>
      <c r="B5211" s="1371" t="str">
        <f>HYPERLINK(IFERROR("#Main_Tariff!A"&amp;MATCH(Raeburn_Main_Tariff[[#This Row],[Product Code]],Main_Tariff!I:I,0),"#Main_Tariff!A"&amp;MATCH("*"&amp;RIGHT(A5211,8)&amp;"*",Main_Tariff!A:A,0)),Raeburn_Main_Tariff[[#This Row],[PRODUCER]])</f>
        <v>Willi Schaefer</v>
      </c>
      <c r="C5211" s="1178" t="s">
        <v>22728</v>
      </c>
      <c r="D5211" s="1178" t="s">
        <v>1129</v>
      </c>
      <c r="E5211" s="1179">
        <v>2017</v>
      </c>
      <c r="F5211" s="1282" t="s">
        <v>20220</v>
      </c>
      <c r="G5211" s="1368">
        <v>31</v>
      </c>
      <c r="H5211" s="1178" t="s">
        <v>20221</v>
      </c>
      <c r="I5211" s="1178" t="s">
        <v>16214</v>
      </c>
      <c r="J5211" s="1178" t="s">
        <v>22514</v>
      </c>
      <c r="K5211" s="1178" t="s">
        <v>559</v>
      </c>
      <c r="L5211" s="1178"/>
      <c r="M5211" s="1369"/>
      <c r="N5211" s="1178"/>
      <c r="O5211" s="1178">
        <v>6</v>
      </c>
      <c r="P5211" s="1178">
        <v>7</v>
      </c>
    </row>
    <row r="5212" spans="1:16">
      <c r="A5212" s="1178" t="s">
        <v>566</v>
      </c>
      <c r="B5212" s="1371" t="str">
        <f>HYPERLINK(IFERROR("#Main_Tariff!A"&amp;MATCH(Raeburn_Main_Tariff[[#This Row],[Product Code]],Main_Tariff!I:I,0),"#Main_Tariff!A"&amp;MATCH("*"&amp;RIGHT(A5212,8)&amp;"*",Main_Tariff!A:A,0)),Raeburn_Main_Tariff[[#This Row],[PRODUCER]])</f>
        <v>Willi Schaefer</v>
      </c>
      <c r="C5212" s="1178" t="s">
        <v>22728</v>
      </c>
      <c r="D5212" s="1178" t="s">
        <v>1129</v>
      </c>
      <c r="E5212" s="1179">
        <v>2016</v>
      </c>
      <c r="F5212" s="1282" t="s">
        <v>20220</v>
      </c>
      <c r="G5212" s="1368">
        <v>29.5</v>
      </c>
      <c r="H5212" s="1178" t="s">
        <v>20221</v>
      </c>
      <c r="I5212" s="1178" t="s">
        <v>16216</v>
      </c>
      <c r="J5212" s="1178" t="s">
        <v>22514</v>
      </c>
      <c r="K5212" s="1178" t="s">
        <v>559</v>
      </c>
      <c r="L5212" s="1178"/>
      <c r="M5212" s="1369"/>
      <c r="N5212" s="1178"/>
      <c r="O5212" s="1178">
        <v>6</v>
      </c>
      <c r="P5212" s="1178">
        <v>7.5</v>
      </c>
    </row>
    <row r="5213" spans="1:16">
      <c r="A5213" s="1178" t="s">
        <v>566</v>
      </c>
      <c r="B5213" s="1371" t="str">
        <f>HYPERLINK(IFERROR("#Main_Tariff!A"&amp;MATCH(Raeburn_Main_Tariff[[#This Row],[Product Code]],Main_Tariff!I:I,0),"#Main_Tariff!A"&amp;MATCH("*"&amp;RIGHT(A5213,8)&amp;"*",Main_Tariff!A:A,0)),Raeburn_Main_Tariff[[#This Row],[PRODUCER]])</f>
        <v>Willi Schaefer</v>
      </c>
      <c r="C5213" s="1178" t="s">
        <v>22728</v>
      </c>
      <c r="D5213" s="1178" t="s">
        <v>1129</v>
      </c>
      <c r="E5213" s="1179">
        <v>2015</v>
      </c>
      <c r="F5213" s="1282" t="s">
        <v>20220</v>
      </c>
      <c r="G5213" s="1368">
        <v>29.5</v>
      </c>
      <c r="H5213" s="1178" t="s">
        <v>20224</v>
      </c>
      <c r="I5213" s="1178" t="s">
        <v>16218</v>
      </c>
      <c r="J5213" s="1178" t="s">
        <v>22514</v>
      </c>
      <c r="K5213" s="1178" t="s">
        <v>559</v>
      </c>
      <c r="L5213" s="1178"/>
      <c r="M5213" s="1369"/>
      <c r="N5213" s="1178"/>
      <c r="O5213" s="1178">
        <v>6</v>
      </c>
      <c r="P5213" s="1178">
        <v>7.5</v>
      </c>
    </row>
    <row r="5214" spans="1:16">
      <c r="A5214" s="1178" t="s">
        <v>566</v>
      </c>
      <c r="B5214" s="1371" t="str">
        <f>HYPERLINK(IFERROR("#Main_Tariff!A"&amp;MATCH(Raeburn_Main_Tariff[[#This Row],[Product Code]],Main_Tariff!I:I,0),"#Main_Tariff!A"&amp;MATCH("*"&amp;RIGHT(A5214,8)&amp;"*",Main_Tariff!A:A,0)),Raeburn_Main_Tariff[[#This Row],[PRODUCER]])</f>
        <v>Willi Schaefer</v>
      </c>
      <c r="C5214" s="1178" t="s">
        <v>22727</v>
      </c>
      <c r="D5214" s="1178" t="s">
        <v>1129</v>
      </c>
      <c r="E5214" s="1179">
        <v>2014</v>
      </c>
      <c r="F5214" s="1282" t="s">
        <v>20220</v>
      </c>
      <c r="G5214" s="1368">
        <v>28</v>
      </c>
      <c r="H5214" s="1178" t="s">
        <v>20224</v>
      </c>
      <c r="I5214" s="1178" t="s">
        <v>16220</v>
      </c>
      <c r="J5214" s="1178" t="s">
        <v>22514</v>
      </c>
      <c r="K5214" s="1178" t="s">
        <v>559</v>
      </c>
      <c r="L5214" s="1178"/>
      <c r="M5214" s="1369"/>
      <c r="N5214" s="1178"/>
      <c r="O5214" s="1178">
        <v>6</v>
      </c>
      <c r="P5214" s="1178">
        <v>7.5</v>
      </c>
    </row>
    <row r="5215" spans="1:16">
      <c r="A5215" s="1178" t="s">
        <v>566</v>
      </c>
      <c r="B5215" s="1371" t="str">
        <f>HYPERLINK(IFERROR("#Main_Tariff!A"&amp;MATCH(Raeburn_Main_Tariff[[#This Row],[Product Code]],Main_Tariff!I:I,0),"#Main_Tariff!A"&amp;MATCH("*"&amp;RIGHT(A5215,8)&amp;"*",Main_Tariff!A:A,0)),Raeburn_Main_Tariff[[#This Row],[PRODUCER]])</f>
        <v>Willi Schaefer</v>
      </c>
      <c r="C5215" s="1178" t="s">
        <v>22727</v>
      </c>
      <c r="D5215" s="1178" t="s">
        <v>1129</v>
      </c>
      <c r="E5215" s="1179">
        <v>2013</v>
      </c>
      <c r="F5215" s="1282" t="s">
        <v>20220</v>
      </c>
      <c r="G5215" s="1368">
        <v>26.5</v>
      </c>
      <c r="H5215" s="1178" t="s">
        <v>20224</v>
      </c>
      <c r="I5215" s="1178" t="s">
        <v>16222</v>
      </c>
      <c r="J5215" s="1178" t="s">
        <v>22514</v>
      </c>
      <c r="K5215" s="1178" t="s">
        <v>559</v>
      </c>
      <c r="L5215" s="1178"/>
      <c r="M5215" s="1369"/>
      <c r="N5215" s="1178"/>
      <c r="O5215" s="1178">
        <v>6</v>
      </c>
      <c r="P5215" s="1178">
        <v>7.5</v>
      </c>
    </row>
    <row r="5216" spans="1:16">
      <c r="A5216" s="1178" t="s">
        <v>566</v>
      </c>
      <c r="B5216" s="1371" t="str">
        <f>HYPERLINK(IFERROR("#Main_Tariff!A"&amp;MATCH(Raeburn_Main_Tariff[[#This Row],[Product Code]],Main_Tariff!I:I,0),"#Main_Tariff!A"&amp;MATCH("*"&amp;RIGHT(A5216,8)&amp;"*",Main_Tariff!A:A,0)),Raeburn_Main_Tariff[[#This Row],[PRODUCER]])</f>
        <v>Willi Schaefer</v>
      </c>
      <c r="C5216" s="1178" t="s">
        <v>22729</v>
      </c>
      <c r="D5216" s="1178" t="s">
        <v>1129</v>
      </c>
      <c r="E5216" s="1179">
        <v>2023</v>
      </c>
      <c r="F5216" s="1282" t="s">
        <v>20220</v>
      </c>
      <c r="G5216" s="1368">
        <v>36</v>
      </c>
      <c r="H5216" s="1178" t="s">
        <v>20224</v>
      </c>
      <c r="I5216" s="1178" t="s">
        <v>16223</v>
      </c>
      <c r="J5216" s="1178" t="s">
        <v>22514</v>
      </c>
      <c r="K5216" s="1178" t="s">
        <v>559</v>
      </c>
      <c r="L5216" s="1178"/>
      <c r="M5216" s="1369"/>
      <c r="N5216" s="1178"/>
      <c r="O5216" s="1178">
        <v>6</v>
      </c>
      <c r="P5216" s="1178">
        <v>7.5</v>
      </c>
    </row>
    <row r="5217" spans="1:16">
      <c r="A5217" s="1178" t="s">
        <v>566</v>
      </c>
      <c r="B5217" s="1371" t="str">
        <f>HYPERLINK(IFERROR("#Main_Tariff!A"&amp;MATCH(Raeburn_Main_Tariff[[#This Row],[Product Code]],Main_Tariff!I:I,0),"#Main_Tariff!A"&amp;MATCH("*"&amp;RIGHT(A5217,8)&amp;"*",Main_Tariff!A:A,0)),Raeburn_Main_Tariff[[#This Row],[PRODUCER]])</f>
        <v>Willi Schaefer</v>
      </c>
      <c r="C5217" s="1178" t="s">
        <v>22729</v>
      </c>
      <c r="D5217" s="1178" t="s">
        <v>1129</v>
      </c>
      <c r="E5217" s="1179">
        <v>2022</v>
      </c>
      <c r="F5217" s="1282" t="s">
        <v>20220</v>
      </c>
      <c r="G5217" s="1368">
        <v>34.5</v>
      </c>
      <c r="H5217" s="1178" t="s">
        <v>20221</v>
      </c>
      <c r="I5217" s="1178" t="s">
        <v>16224</v>
      </c>
      <c r="J5217" s="1178" t="s">
        <v>22514</v>
      </c>
      <c r="K5217" s="1178" t="s">
        <v>559</v>
      </c>
      <c r="L5217" s="1178"/>
      <c r="M5217" s="1369"/>
      <c r="N5217" s="1178"/>
      <c r="O5217" s="1178">
        <v>6</v>
      </c>
      <c r="P5217" s="1178">
        <v>7.5</v>
      </c>
    </row>
    <row r="5218" spans="1:16">
      <c r="A5218" s="1178" t="s">
        <v>566</v>
      </c>
      <c r="B5218" s="1371" t="str">
        <f>HYPERLINK(IFERROR("#Main_Tariff!A"&amp;MATCH(Raeburn_Main_Tariff[[#This Row],[Product Code]],Main_Tariff!I:I,0),"#Main_Tariff!A"&amp;MATCH("*"&amp;RIGHT(A5218,8)&amp;"*",Main_Tariff!A:A,0)),Raeburn_Main_Tariff[[#This Row],[PRODUCER]])</f>
        <v>Willi Schaefer</v>
      </c>
      <c r="C5218" s="1178" t="s">
        <v>22729</v>
      </c>
      <c r="D5218" s="1178" t="s">
        <v>1129</v>
      </c>
      <c r="E5218" s="1179">
        <v>2018</v>
      </c>
      <c r="F5218" s="1282" t="s">
        <v>20220</v>
      </c>
      <c r="G5218" s="1368">
        <v>30</v>
      </c>
      <c r="H5218" s="1178" t="s">
        <v>20221</v>
      </c>
      <c r="I5218" s="1178" t="s">
        <v>16225</v>
      </c>
      <c r="J5218" s="1178" t="s">
        <v>22514</v>
      </c>
      <c r="K5218" s="1178" t="s">
        <v>559</v>
      </c>
      <c r="L5218" s="1178"/>
      <c r="M5218" s="1369"/>
      <c r="N5218" s="1178"/>
      <c r="O5218" s="1178">
        <v>6</v>
      </c>
      <c r="P5218" s="1178">
        <v>7.5</v>
      </c>
    </row>
    <row r="5219" spans="1:16">
      <c r="A5219" s="1178" t="s">
        <v>566</v>
      </c>
      <c r="B5219" s="1371" t="str">
        <f>HYPERLINK(IFERROR("#Main_Tariff!A"&amp;MATCH(Raeburn_Main_Tariff[[#This Row],[Product Code]],Main_Tariff!I:I,0),"#Main_Tariff!A"&amp;MATCH("*"&amp;RIGHT(A5219,8)&amp;"*",Main_Tariff!A:A,0)),Raeburn_Main_Tariff[[#This Row],[PRODUCER]])</f>
        <v>Willi Schaefer</v>
      </c>
      <c r="C5219" s="1178" t="s">
        <v>22729</v>
      </c>
      <c r="D5219" s="1178" t="s">
        <v>1129</v>
      </c>
      <c r="E5219" s="1179">
        <v>2017</v>
      </c>
      <c r="F5219" s="1282" t="s">
        <v>20220</v>
      </c>
      <c r="G5219" s="1368">
        <v>36.5</v>
      </c>
      <c r="H5219" s="1178" t="s">
        <v>20224</v>
      </c>
      <c r="I5219" s="1178" t="s">
        <v>16226</v>
      </c>
      <c r="J5219" s="1178" t="s">
        <v>22514</v>
      </c>
      <c r="K5219" s="1178" t="s">
        <v>559</v>
      </c>
      <c r="L5219" s="1178"/>
      <c r="M5219" s="1369"/>
      <c r="N5219" s="1178"/>
      <c r="O5219" s="1178">
        <v>6</v>
      </c>
      <c r="P5219" s="1178">
        <v>7</v>
      </c>
    </row>
    <row r="5220" spans="1:16">
      <c r="A5220" s="1178" t="s">
        <v>566</v>
      </c>
      <c r="B5220" s="1371" t="str">
        <f>HYPERLINK(IFERROR("#Main_Tariff!A"&amp;MATCH(Raeburn_Main_Tariff[[#This Row],[Product Code]],Main_Tariff!I:I,0),"#Main_Tariff!A"&amp;MATCH("*"&amp;RIGHT(A5220,8)&amp;"*",Main_Tariff!A:A,0)),Raeburn_Main_Tariff[[#This Row],[PRODUCER]])</f>
        <v>Willi Schaefer</v>
      </c>
      <c r="C5220" s="1178" t="s">
        <v>22730</v>
      </c>
      <c r="D5220" s="1178" t="s">
        <v>1129</v>
      </c>
      <c r="E5220" s="1179">
        <v>2023</v>
      </c>
      <c r="F5220" s="1282" t="s">
        <v>20220</v>
      </c>
      <c r="G5220" s="1368">
        <v>27</v>
      </c>
      <c r="H5220" s="1178" t="s">
        <v>20221</v>
      </c>
      <c r="I5220" s="1178" t="s">
        <v>16227</v>
      </c>
      <c r="J5220" s="1178" t="s">
        <v>22514</v>
      </c>
      <c r="K5220" s="1178" t="s">
        <v>559</v>
      </c>
      <c r="L5220" s="1178"/>
      <c r="M5220" s="1369"/>
      <c r="N5220" s="1178"/>
      <c r="O5220" s="1178">
        <v>6</v>
      </c>
      <c r="P5220" s="1178">
        <v>7.5</v>
      </c>
    </row>
    <row r="5221" spans="1:16">
      <c r="A5221" s="1178" t="s">
        <v>566</v>
      </c>
      <c r="B5221" s="1371" t="str">
        <f>HYPERLINK(IFERROR("#Main_Tariff!A"&amp;MATCH(Raeburn_Main_Tariff[[#This Row],[Product Code]],Main_Tariff!I:I,0),"#Main_Tariff!A"&amp;MATCH("*"&amp;RIGHT(A5221,8)&amp;"*",Main_Tariff!A:A,0)),Raeburn_Main_Tariff[[#This Row],[PRODUCER]])</f>
        <v>Willi Schaefer</v>
      </c>
      <c r="C5221" s="1178" t="s">
        <v>22730</v>
      </c>
      <c r="D5221" s="1178" t="s">
        <v>1129</v>
      </c>
      <c r="E5221" s="1179">
        <v>2020</v>
      </c>
      <c r="F5221" s="1282" t="s">
        <v>20220</v>
      </c>
      <c r="G5221" s="1368">
        <v>27.5</v>
      </c>
      <c r="H5221" s="1178" t="s">
        <v>20221</v>
      </c>
      <c r="I5221" s="1178" t="s">
        <v>16228</v>
      </c>
      <c r="J5221" s="1178" t="s">
        <v>22514</v>
      </c>
      <c r="K5221" s="1178" t="s">
        <v>559</v>
      </c>
      <c r="L5221" s="1178"/>
      <c r="M5221" s="1369"/>
      <c r="N5221" s="1178"/>
      <c r="O5221" s="1178">
        <v>6</v>
      </c>
      <c r="P5221" s="1178">
        <v>7.5</v>
      </c>
    </row>
    <row r="5222" spans="1:16">
      <c r="A5222" s="1178" t="s">
        <v>566</v>
      </c>
      <c r="B5222" s="1371" t="str">
        <f>HYPERLINK(IFERROR("#Main_Tariff!A"&amp;MATCH(Raeburn_Main_Tariff[[#This Row],[Product Code]],Main_Tariff!I:I,0),"#Main_Tariff!A"&amp;MATCH("*"&amp;RIGHT(A5222,8)&amp;"*",Main_Tariff!A:A,0)),Raeburn_Main_Tariff[[#This Row],[PRODUCER]])</f>
        <v>Willi Schaefer</v>
      </c>
      <c r="C5222" s="1178" t="s">
        <v>22730</v>
      </c>
      <c r="D5222" s="1178" t="s">
        <v>1129</v>
      </c>
      <c r="E5222" s="1179">
        <v>2018</v>
      </c>
      <c r="F5222" s="1282" t="s">
        <v>20220</v>
      </c>
      <c r="G5222" s="1368">
        <v>27.5</v>
      </c>
      <c r="H5222" s="1178" t="s">
        <v>20221</v>
      </c>
      <c r="I5222" s="1178" t="s">
        <v>16229</v>
      </c>
      <c r="J5222" s="1178" t="s">
        <v>22514</v>
      </c>
      <c r="K5222" s="1178" t="s">
        <v>559</v>
      </c>
      <c r="L5222" s="1178"/>
      <c r="M5222" s="1369"/>
      <c r="N5222" s="1178"/>
      <c r="O5222" s="1178">
        <v>6</v>
      </c>
      <c r="P5222" s="1178">
        <v>7.5</v>
      </c>
    </row>
    <row r="5223" spans="1:16">
      <c r="A5223" s="1178" t="s">
        <v>566</v>
      </c>
      <c r="B5223" s="1371" t="str">
        <f>HYPERLINK(IFERROR("#Main_Tariff!A"&amp;MATCH(Raeburn_Main_Tariff[[#This Row],[Product Code]],Main_Tariff!I:I,0),"#Main_Tariff!A"&amp;MATCH("*"&amp;RIGHT(A5223,8)&amp;"*",Main_Tariff!A:A,0)),Raeburn_Main_Tariff[[#This Row],[PRODUCER]])</f>
        <v>Willi Schaefer</v>
      </c>
      <c r="C5223" s="1178" t="s">
        <v>22730</v>
      </c>
      <c r="D5223" s="1178" t="s">
        <v>1129</v>
      </c>
      <c r="E5223" s="1179">
        <v>2016</v>
      </c>
      <c r="F5223" s="1282" t="s">
        <v>20220</v>
      </c>
      <c r="G5223" s="1368">
        <v>29.5</v>
      </c>
      <c r="H5223" s="1178" t="s">
        <v>20221</v>
      </c>
      <c r="I5223" s="1178" t="s">
        <v>16230</v>
      </c>
      <c r="J5223" s="1178" t="s">
        <v>22514</v>
      </c>
      <c r="K5223" s="1178" t="s">
        <v>559</v>
      </c>
      <c r="L5223" s="1178"/>
      <c r="M5223" s="1369"/>
      <c r="N5223" s="1178"/>
      <c r="O5223" s="1178">
        <v>6</v>
      </c>
      <c r="P5223" s="1178">
        <v>7.5</v>
      </c>
    </row>
    <row r="5224" spans="1:16">
      <c r="A5224" s="1178" t="s">
        <v>566</v>
      </c>
      <c r="B5224" s="1371" t="str">
        <f>HYPERLINK(IFERROR("#Main_Tariff!A"&amp;MATCH(Raeburn_Main_Tariff[[#This Row],[Product Code]],Main_Tariff!I:I,0),"#Main_Tariff!A"&amp;MATCH("*"&amp;RIGHT(A5224,8)&amp;"*",Main_Tariff!A:A,0)),Raeburn_Main_Tariff[[#This Row],[PRODUCER]])</f>
        <v>Willi Schaefer</v>
      </c>
      <c r="C5224" s="1178" t="s">
        <v>22731</v>
      </c>
      <c r="D5224" s="1178" t="s">
        <v>1129</v>
      </c>
      <c r="E5224" s="1179">
        <v>2018</v>
      </c>
      <c r="F5224" s="1282" t="s">
        <v>20220</v>
      </c>
      <c r="G5224" s="1368">
        <v>29</v>
      </c>
      <c r="H5224" s="1178" t="s">
        <v>20224</v>
      </c>
      <c r="I5224" s="1178" t="s">
        <v>16231</v>
      </c>
      <c r="J5224" s="1178" t="s">
        <v>22514</v>
      </c>
      <c r="K5224" s="1178" t="s">
        <v>559</v>
      </c>
      <c r="L5224" s="1178"/>
      <c r="M5224" s="1369"/>
      <c r="N5224" s="1178"/>
      <c r="O5224" s="1178">
        <v>6</v>
      </c>
      <c r="P5224" s="1178">
        <v>7</v>
      </c>
    </row>
    <row r="5225" spans="1:16">
      <c r="A5225" s="1178" t="s">
        <v>566</v>
      </c>
      <c r="B5225" s="1371" t="str">
        <f>HYPERLINK(IFERROR("#Main_Tariff!A"&amp;MATCH(Raeburn_Main_Tariff[[#This Row],[Product Code]],Main_Tariff!I:I,0),"#Main_Tariff!A"&amp;MATCH("*"&amp;RIGHT(A5225,8)&amp;"*",Main_Tariff!A:A,0)),Raeburn_Main_Tariff[[#This Row],[PRODUCER]])</f>
        <v>Willi Schaefer</v>
      </c>
      <c r="C5225" s="1178" t="s">
        <v>22732</v>
      </c>
      <c r="D5225" s="1178" t="s">
        <v>1129</v>
      </c>
      <c r="E5225" s="1179">
        <v>2016</v>
      </c>
      <c r="F5225" s="1282" t="s">
        <v>20220</v>
      </c>
      <c r="G5225" s="1368">
        <v>31.5</v>
      </c>
      <c r="H5225" s="1178" t="s">
        <v>20221</v>
      </c>
      <c r="I5225" s="1178" t="s">
        <v>16232</v>
      </c>
      <c r="J5225" s="1178" t="s">
        <v>22514</v>
      </c>
      <c r="K5225" s="1178" t="s">
        <v>559</v>
      </c>
      <c r="L5225" s="1178"/>
      <c r="M5225" s="1369"/>
      <c r="N5225" s="1178"/>
      <c r="O5225" s="1178">
        <v>6</v>
      </c>
      <c r="P5225" s="1178">
        <v>7.5</v>
      </c>
    </row>
    <row r="5226" spans="1:16">
      <c r="A5226" s="1178" t="s">
        <v>566</v>
      </c>
      <c r="B5226" s="1371" t="str">
        <f>HYPERLINK(IFERROR("#Main_Tariff!A"&amp;MATCH(Raeburn_Main_Tariff[[#This Row],[Product Code]],Main_Tariff!I:I,0),"#Main_Tariff!A"&amp;MATCH("*"&amp;RIGHT(A5226,8)&amp;"*",Main_Tariff!A:A,0)),Raeburn_Main_Tariff[[#This Row],[PRODUCER]])</f>
        <v>Willi Schaefer</v>
      </c>
      <c r="C5226" s="1178" t="s">
        <v>22733</v>
      </c>
      <c r="D5226" s="1178" t="s">
        <v>1129</v>
      </c>
      <c r="E5226" s="1179">
        <v>2020</v>
      </c>
      <c r="F5226" s="1282" t="s">
        <v>20240</v>
      </c>
      <c r="G5226" s="1368">
        <v>64</v>
      </c>
      <c r="H5226" s="1178" t="s">
        <v>20224</v>
      </c>
      <c r="I5226" s="1178" t="s">
        <v>16233</v>
      </c>
      <c r="J5226" s="1178" t="s">
        <v>22514</v>
      </c>
      <c r="K5226" s="1178" t="s">
        <v>559</v>
      </c>
      <c r="L5226" s="1178"/>
      <c r="M5226" s="1369"/>
      <c r="N5226" s="1178"/>
      <c r="O5226" s="1178">
        <v>3</v>
      </c>
      <c r="P5226" s="1178">
        <v>7.5</v>
      </c>
    </row>
    <row r="5227" spans="1:16">
      <c r="A5227" s="1178" t="s">
        <v>566</v>
      </c>
      <c r="B5227" s="1371" t="str">
        <f>HYPERLINK(IFERROR("#Main_Tariff!A"&amp;MATCH(Raeburn_Main_Tariff[[#This Row],[Product Code]],Main_Tariff!I:I,0),"#Main_Tariff!A"&amp;MATCH("*"&amp;RIGHT(A5227,8)&amp;"*",Main_Tariff!A:A,0)),Raeburn_Main_Tariff[[#This Row],[PRODUCER]])</f>
        <v>Willi Schaefer</v>
      </c>
      <c r="C5227" s="1178" t="s">
        <v>22734</v>
      </c>
      <c r="D5227" s="1178" t="s">
        <v>1410</v>
      </c>
      <c r="E5227" s="1179">
        <v>2016</v>
      </c>
      <c r="F5227" s="1282" t="s">
        <v>20280</v>
      </c>
      <c r="G5227" s="1368">
        <v>21</v>
      </c>
      <c r="H5227" s="1178" t="s">
        <v>20221</v>
      </c>
      <c r="I5227" s="1178" t="s">
        <v>16234</v>
      </c>
      <c r="J5227" s="1178" t="s">
        <v>22514</v>
      </c>
      <c r="K5227" s="1178" t="s">
        <v>559</v>
      </c>
      <c r="L5227" s="1178"/>
      <c r="M5227" s="1369"/>
      <c r="N5227" s="1178"/>
      <c r="O5227" s="1178">
        <v>12</v>
      </c>
      <c r="P5227" s="1178">
        <v>7</v>
      </c>
    </row>
    <row r="5228" spans="1:16">
      <c r="A5228" s="1178" t="s">
        <v>566</v>
      </c>
      <c r="B5228" s="1371" t="str">
        <f>HYPERLINK(IFERROR("#Main_Tariff!A"&amp;MATCH(Raeburn_Main_Tariff[[#This Row],[Product Code]],Main_Tariff!I:I,0),"#Main_Tariff!A"&amp;MATCH("*"&amp;RIGHT(A5228,8)&amp;"*",Main_Tariff!A:A,0)),Raeburn_Main_Tariff[[#This Row],[PRODUCER]])</f>
        <v>Willi Schaefer</v>
      </c>
      <c r="C5228" s="1178" t="s">
        <v>22734</v>
      </c>
      <c r="D5228" s="1178" t="s">
        <v>1410</v>
      </c>
      <c r="E5228" s="1179">
        <v>2015</v>
      </c>
      <c r="F5228" s="1282" t="s">
        <v>20280</v>
      </c>
      <c r="G5228" s="1368">
        <v>21</v>
      </c>
      <c r="H5228" s="1178" t="s">
        <v>20221</v>
      </c>
      <c r="I5228" s="1178" t="s">
        <v>16235</v>
      </c>
      <c r="J5228" s="1178" t="s">
        <v>22514</v>
      </c>
      <c r="K5228" s="1178" t="s">
        <v>559</v>
      </c>
      <c r="L5228" s="1178"/>
      <c r="M5228" s="1369"/>
      <c r="N5228" s="1178"/>
      <c r="O5228" s="1178">
        <v>12</v>
      </c>
      <c r="P5228" s="1178">
        <v>7.5</v>
      </c>
    </row>
    <row r="5229" spans="1:16">
      <c r="A5229" s="1178" t="s">
        <v>566</v>
      </c>
      <c r="B5229" s="1371" t="str">
        <f>HYPERLINK(IFERROR("#Main_Tariff!A"&amp;MATCH(Raeburn_Main_Tariff[[#This Row],[Product Code]],Main_Tariff!I:I,0),"#Main_Tariff!A"&amp;MATCH("*"&amp;RIGHT(A5229,8)&amp;"*",Main_Tariff!A:A,0)),Raeburn_Main_Tariff[[#This Row],[PRODUCER]])</f>
        <v>Willi Schaefer</v>
      </c>
      <c r="C5229" s="1178" t="s">
        <v>22735</v>
      </c>
      <c r="D5229" s="1178" t="s">
        <v>1410</v>
      </c>
      <c r="E5229" s="1179">
        <v>2013</v>
      </c>
      <c r="F5229" s="1282" t="s">
        <v>20280</v>
      </c>
      <c r="G5229" s="1368">
        <v>19.75</v>
      </c>
      <c r="H5229" s="1178" t="s">
        <v>20221</v>
      </c>
      <c r="I5229" s="1178" t="s">
        <v>16236</v>
      </c>
      <c r="J5229" s="1178" t="s">
        <v>22514</v>
      </c>
      <c r="K5229" s="1178" t="s">
        <v>559</v>
      </c>
      <c r="L5229" s="1178"/>
      <c r="M5229" s="1369"/>
      <c r="N5229" s="1178"/>
      <c r="O5229" s="1178">
        <v>12</v>
      </c>
      <c r="P5229" s="1178">
        <v>13</v>
      </c>
    </row>
    <row r="5230" spans="1:16">
      <c r="A5230" s="1178" t="s">
        <v>566</v>
      </c>
      <c r="B5230" s="1371" t="str">
        <f>HYPERLINK(IFERROR("#Main_Tariff!A"&amp;MATCH(Raeburn_Main_Tariff[[#This Row],[Product Code]],Main_Tariff!I:I,0),"#Main_Tariff!A"&amp;MATCH("*"&amp;RIGHT(A5230,8)&amp;"*",Main_Tariff!A:A,0)),Raeburn_Main_Tariff[[#This Row],[PRODUCER]])</f>
        <v>Willi Schaefer</v>
      </c>
      <c r="C5230" s="1178" t="s">
        <v>22735</v>
      </c>
      <c r="D5230" s="1178" t="s">
        <v>1410</v>
      </c>
      <c r="E5230" s="1179">
        <v>2012</v>
      </c>
      <c r="F5230" s="1282" t="s">
        <v>20280</v>
      </c>
      <c r="G5230" s="1368">
        <v>19.5</v>
      </c>
      <c r="H5230" s="1178" t="s">
        <v>20221</v>
      </c>
      <c r="I5230" s="1178" t="s">
        <v>16237</v>
      </c>
      <c r="J5230" s="1178" t="s">
        <v>22514</v>
      </c>
      <c r="K5230" s="1178" t="s">
        <v>559</v>
      </c>
      <c r="L5230" s="1178"/>
      <c r="M5230" s="1369"/>
      <c r="N5230" s="1178"/>
      <c r="O5230" s="1178">
        <v>12</v>
      </c>
      <c r="P5230" s="1178">
        <v>7</v>
      </c>
    </row>
    <row r="5231" spans="1:16">
      <c r="A5231" s="1178" t="s">
        <v>566</v>
      </c>
      <c r="B5231" s="1371" t="str">
        <f>HYPERLINK(IFERROR("#Main_Tariff!A"&amp;MATCH(Raeburn_Main_Tariff[[#This Row],[Product Code]],Main_Tariff!I:I,0),"#Main_Tariff!A"&amp;MATCH("*"&amp;RIGHT(A5231,8)&amp;"*",Main_Tariff!A:A,0)),Raeburn_Main_Tariff[[#This Row],[PRODUCER]])</f>
        <v>Willi Schaefer</v>
      </c>
      <c r="C5231" s="1178" t="s">
        <v>22736</v>
      </c>
      <c r="D5231" s="1178" t="s">
        <v>1410</v>
      </c>
      <c r="E5231" s="1179">
        <v>2012</v>
      </c>
      <c r="F5231" s="1282" t="s">
        <v>20280</v>
      </c>
      <c r="G5231" s="1368">
        <v>26</v>
      </c>
      <c r="H5231" s="1178" t="s">
        <v>20221</v>
      </c>
      <c r="I5231" s="1178" t="s">
        <v>16238</v>
      </c>
      <c r="J5231" s="1178" t="s">
        <v>22514</v>
      </c>
      <c r="K5231" s="1178" t="s">
        <v>559</v>
      </c>
      <c r="L5231" s="1178"/>
      <c r="M5231" s="1369"/>
      <c r="N5231" s="1178"/>
      <c r="O5231" s="1178">
        <v>12</v>
      </c>
      <c r="P5231" s="1178">
        <v>7</v>
      </c>
    </row>
    <row r="5232" spans="1:16">
      <c r="A5232" s="1178" t="s">
        <v>566</v>
      </c>
      <c r="B5232" s="1371" t="str">
        <f>HYPERLINK(IFERROR("#Main_Tariff!A"&amp;MATCH(Raeburn_Main_Tariff[[#This Row],[Product Code]],Main_Tariff!I:I,0),"#Main_Tariff!A"&amp;MATCH("*"&amp;RIGHT(A5232,8)&amp;"*",Main_Tariff!A:A,0)),Raeburn_Main_Tariff[[#This Row],[PRODUCER]])</f>
        <v>Willi Schaefer</v>
      </c>
      <c r="C5232" s="1178" t="s">
        <v>22736</v>
      </c>
      <c r="D5232" s="1178" t="s">
        <v>1410</v>
      </c>
      <c r="E5232" s="1179">
        <v>2005</v>
      </c>
      <c r="F5232" s="1282" t="s">
        <v>20280</v>
      </c>
      <c r="G5232" s="1368">
        <v>26.25</v>
      </c>
      <c r="H5232" s="1178" t="s">
        <v>20221</v>
      </c>
      <c r="I5232" s="1178" t="s">
        <v>16239</v>
      </c>
      <c r="J5232" s="1178" t="s">
        <v>22514</v>
      </c>
      <c r="K5232" s="1178" t="s">
        <v>559</v>
      </c>
      <c r="L5232" s="1178"/>
      <c r="M5232" s="1369"/>
      <c r="N5232" s="1178"/>
      <c r="O5232" s="1178">
        <v>12</v>
      </c>
      <c r="P5232" s="1178">
        <v>12.5</v>
      </c>
    </row>
    <row r="5233" spans="1:16">
      <c r="A5233" s="1178" t="s">
        <v>566</v>
      </c>
      <c r="B5233" s="1371" t="str">
        <f>HYPERLINK(IFERROR("#Main_Tariff!A"&amp;MATCH(Raeburn_Main_Tariff[[#This Row],[Product Code]],Main_Tariff!I:I,0),"#Main_Tariff!A"&amp;MATCH("*"&amp;RIGHT(A5233,8)&amp;"*",Main_Tariff!A:A,0)),Raeburn_Main_Tariff[[#This Row],[PRODUCER]])</f>
        <v>Willi Schaefer</v>
      </c>
      <c r="C5233" s="1178" t="s">
        <v>22737</v>
      </c>
      <c r="D5233" s="1178" t="s">
        <v>1410</v>
      </c>
      <c r="E5233" s="1179">
        <v>2007</v>
      </c>
      <c r="F5233" s="1282" t="s">
        <v>20280</v>
      </c>
      <c r="G5233" s="1368">
        <v>31.25</v>
      </c>
      <c r="H5233" s="1178" t="s">
        <v>20221</v>
      </c>
      <c r="I5233" s="1178" t="s">
        <v>16240</v>
      </c>
      <c r="J5233" s="1178" t="s">
        <v>22514</v>
      </c>
      <c r="K5233" s="1178" t="s">
        <v>559</v>
      </c>
      <c r="L5233" s="1178"/>
      <c r="M5233" s="1369"/>
      <c r="N5233" s="1178"/>
      <c r="O5233" s="1178">
        <v>12</v>
      </c>
      <c r="P5233" s="1178">
        <v>12.5</v>
      </c>
    </row>
    <row r="5234" spans="1:16">
      <c r="A5234" s="1178" t="s">
        <v>566</v>
      </c>
      <c r="B5234" s="1371" t="str">
        <f>HYPERLINK(IFERROR("#Main_Tariff!A"&amp;MATCH(Raeburn_Main_Tariff[[#This Row],[Product Code]],Main_Tariff!I:I,0),"#Main_Tariff!A"&amp;MATCH("*"&amp;RIGHT(A5234,8)&amp;"*",Main_Tariff!A:A,0)),Raeburn_Main_Tariff[[#This Row],[PRODUCER]])</f>
        <v>Willi Schaefer</v>
      </c>
      <c r="C5234" s="1178" t="s">
        <v>22738</v>
      </c>
      <c r="D5234" s="1178" t="s">
        <v>1410</v>
      </c>
      <c r="E5234" s="1179">
        <v>2020</v>
      </c>
      <c r="F5234" s="1282" t="s">
        <v>20280</v>
      </c>
      <c r="G5234" s="1368">
        <v>21</v>
      </c>
      <c r="H5234" s="1178" t="s">
        <v>20221</v>
      </c>
      <c r="I5234" s="1178" t="s">
        <v>16241</v>
      </c>
      <c r="J5234" s="1178" t="s">
        <v>22514</v>
      </c>
      <c r="K5234" s="1178" t="s">
        <v>559</v>
      </c>
      <c r="L5234" s="1178"/>
      <c r="M5234" s="1369"/>
      <c r="N5234" s="1178"/>
      <c r="O5234" s="1178">
        <v>12</v>
      </c>
      <c r="P5234" s="1178">
        <v>7.5</v>
      </c>
    </row>
    <row r="5235" spans="1:16">
      <c r="A5235" s="1178" t="s">
        <v>566</v>
      </c>
      <c r="B5235" s="1371" t="str">
        <f>HYPERLINK(IFERROR("#Main_Tariff!A"&amp;MATCH(Raeburn_Main_Tariff[[#This Row],[Product Code]],Main_Tariff!I:I,0),"#Main_Tariff!A"&amp;MATCH("*"&amp;RIGHT(A5235,8)&amp;"*",Main_Tariff!A:A,0)),Raeburn_Main_Tariff[[#This Row],[PRODUCER]])</f>
        <v>Willi Schaefer</v>
      </c>
      <c r="C5235" s="1178" t="s">
        <v>22738</v>
      </c>
      <c r="D5235" s="1178" t="s">
        <v>1410</v>
      </c>
      <c r="E5235" s="1179">
        <v>2018</v>
      </c>
      <c r="F5235" s="1282" t="s">
        <v>20280</v>
      </c>
      <c r="G5235" s="1368">
        <v>21</v>
      </c>
      <c r="H5235" s="1178" t="s">
        <v>20221</v>
      </c>
      <c r="I5235" s="1178" t="s">
        <v>16242</v>
      </c>
      <c r="J5235" s="1178" t="s">
        <v>22514</v>
      </c>
      <c r="K5235" s="1178" t="s">
        <v>559</v>
      </c>
      <c r="L5235" s="1178"/>
      <c r="M5235" s="1369"/>
      <c r="N5235" s="1178"/>
      <c r="O5235" s="1178">
        <v>12</v>
      </c>
      <c r="P5235" s="1178">
        <v>7.5</v>
      </c>
    </row>
    <row r="5236" spans="1:16">
      <c r="A5236" s="1178" t="s">
        <v>566</v>
      </c>
      <c r="B5236" s="1371" t="str">
        <f>HYPERLINK(IFERROR("#Main_Tariff!A"&amp;MATCH(Raeburn_Main_Tariff[[#This Row],[Product Code]],Main_Tariff!I:I,0),"#Main_Tariff!A"&amp;MATCH("*"&amp;RIGHT(A5236,8)&amp;"*",Main_Tariff!A:A,0)),Raeburn_Main_Tariff[[#This Row],[PRODUCER]])</f>
        <v>Willi Schaefer</v>
      </c>
      <c r="C5236" s="1178" t="s">
        <v>22739</v>
      </c>
      <c r="D5236" s="1178" t="s">
        <v>1410</v>
      </c>
      <c r="E5236" s="1179">
        <v>2016</v>
      </c>
      <c r="F5236" s="1282" t="s">
        <v>20280</v>
      </c>
      <c r="G5236" s="1368">
        <v>25</v>
      </c>
      <c r="H5236" s="1178" t="s">
        <v>20224</v>
      </c>
      <c r="I5236" s="1178" t="s">
        <v>16243</v>
      </c>
      <c r="J5236" s="1178" t="s">
        <v>22514</v>
      </c>
      <c r="K5236" s="1178" t="s">
        <v>559</v>
      </c>
      <c r="L5236" s="1178"/>
      <c r="M5236" s="1369"/>
      <c r="N5236" s="1178"/>
      <c r="O5236" s="1178">
        <v>12</v>
      </c>
      <c r="P5236" s="1178">
        <v>7.5</v>
      </c>
    </row>
    <row r="5237" spans="1:16">
      <c r="A5237" s="1178" t="s">
        <v>566</v>
      </c>
      <c r="B5237" s="1371" t="str">
        <f>HYPERLINK(IFERROR("#Main_Tariff!A"&amp;MATCH(Raeburn_Main_Tariff[[#This Row],[Product Code]],Main_Tariff!I:I,0),"#Main_Tariff!A"&amp;MATCH("*"&amp;RIGHT(A5237,8)&amp;"*",Main_Tariff!A:A,0)),Raeburn_Main_Tariff[[#This Row],[PRODUCER]])</f>
        <v>Willi Schaefer</v>
      </c>
      <c r="C5237" s="1178" t="s">
        <v>22740</v>
      </c>
      <c r="D5237" s="1178" t="s">
        <v>1410</v>
      </c>
      <c r="E5237" s="1179">
        <v>2013</v>
      </c>
      <c r="F5237" s="1282" t="s">
        <v>20280</v>
      </c>
      <c r="G5237" s="1368">
        <v>21.75</v>
      </c>
      <c r="H5237" s="1178" t="s">
        <v>20221</v>
      </c>
      <c r="I5237" s="1178" t="s">
        <v>16244</v>
      </c>
      <c r="J5237" s="1178" t="s">
        <v>22514</v>
      </c>
      <c r="K5237" s="1178" t="s">
        <v>559</v>
      </c>
      <c r="L5237" s="1178"/>
      <c r="M5237" s="1369"/>
      <c r="N5237" s="1178"/>
      <c r="O5237" s="1178">
        <v>12</v>
      </c>
      <c r="P5237" s="1178">
        <v>13</v>
      </c>
    </row>
    <row r="5238" spans="1:16">
      <c r="A5238" s="1178" t="s">
        <v>566</v>
      </c>
      <c r="B5238" s="1371" t="str">
        <f>HYPERLINK(IFERROR("#Main_Tariff!A"&amp;MATCH(Raeburn_Main_Tariff[[#This Row],[Product Code]],Main_Tariff!I:I,0),"#Main_Tariff!A"&amp;MATCH("*"&amp;RIGHT(A5238,8)&amp;"*",Main_Tariff!A:A,0)),Raeburn_Main_Tariff[[#This Row],[PRODUCER]])</f>
        <v>Willi Schaefer</v>
      </c>
      <c r="C5238" s="1178" t="s">
        <v>22738</v>
      </c>
      <c r="D5238" s="1178" t="s">
        <v>1410</v>
      </c>
      <c r="E5238" s="1179">
        <v>2012</v>
      </c>
      <c r="F5238" s="1282" t="s">
        <v>20280</v>
      </c>
      <c r="G5238" s="1368">
        <v>25</v>
      </c>
      <c r="H5238" s="1178" t="s">
        <v>20221</v>
      </c>
      <c r="I5238" s="1178" t="s">
        <v>16245</v>
      </c>
      <c r="J5238" s="1178" t="s">
        <v>22514</v>
      </c>
      <c r="K5238" s="1178" t="s">
        <v>559</v>
      </c>
      <c r="L5238" s="1178"/>
      <c r="M5238" s="1369"/>
      <c r="N5238" s="1178"/>
      <c r="O5238" s="1178">
        <v>12</v>
      </c>
      <c r="P5238" s="1178">
        <v>7</v>
      </c>
    </row>
    <row r="5239" spans="1:16">
      <c r="A5239" s="1178" t="s">
        <v>566</v>
      </c>
      <c r="B5239" s="1371" t="str">
        <f>HYPERLINK(IFERROR("#Main_Tariff!A"&amp;MATCH(Raeburn_Main_Tariff[[#This Row],[Product Code]],Main_Tariff!I:I,0),"#Main_Tariff!A"&amp;MATCH("*"&amp;RIGHT(A5239,8)&amp;"*",Main_Tariff!A:A,0)),Raeburn_Main_Tariff[[#This Row],[PRODUCER]])</f>
        <v>Willi Schaefer</v>
      </c>
      <c r="C5239" s="1178" t="s">
        <v>22741</v>
      </c>
      <c r="D5239" s="1178" t="s">
        <v>1410</v>
      </c>
      <c r="E5239" s="1179">
        <v>2023</v>
      </c>
      <c r="F5239" s="1282" t="s">
        <v>20280</v>
      </c>
      <c r="G5239" s="1368" t="s">
        <v>5258</v>
      </c>
      <c r="H5239" s="1178" t="s">
        <v>20224</v>
      </c>
      <c r="I5239" s="1178" t="s">
        <v>16246</v>
      </c>
      <c r="J5239" s="1178" t="s">
        <v>22514</v>
      </c>
      <c r="K5239" s="1178" t="s">
        <v>559</v>
      </c>
      <c r="L5239" s="1178"/>
      <c r="M5239" s="1369"/>
      <c r="N5239" s="1178"/>
      <c r="O5239" s="1178">
        <v>6</v>
      </c>
      <c r="P5239" s="1178">
        <v>7.5</v>
      </c>
    </row>
    <row r="5240" spans="1:16">
      <c r="A5240" s="1178" t="s">
        <v>566</v>
      </c>
      <c r="B5240" s="1371" t="str">
        <f>HYPERLINK(IFERROR("#Main_Tariff!A"&amp;MATCH(Raeburn_Main_Tariff[[#This Row],[Product Code]],Main_Tariff!I:I,0),"#Main_Tariff!A"&amp;MATCH("*"&amp;RIGHT(A5240,8)&amp;"*",Main_Tariff!A:A,0)),Raeburn_Main_Tariff[[#This Row],[PRODUCER]])</f>
        <v>Willi Schaefer</v>
      </c>
      <c r="C5240" s="1178" t="s">
        <v>22742</v>
      </c>
      <c r="D5240" s="1178" t="s">
        <v>1410</v>
      </c>
      <c r="E5240" s="1179">
        <v>2016</v>
      </c>
      <c r="F5240" s="1282" t="s">
        <v>20280</v>
      </c>
      <c r="G5240" s="1368">
        <v>33</v>
      </c>
      <c r="H5240" s="1178" t="s">
        <v>20224</v>
      </c>
      <c r="I5240" s="1178" t="s">
        <v>16247</v>
      </c>
      <c r="J5240" s="1178" t="s">
        <v>22514</v>
      </c>
      <c r="K5240" s="1178" t="s">
        <v>559</v>
      </c>
      <c r="L5240" s="1178"/>
      <c r="M5240" s="1369"/>
      <c r="N5240" s="1178"/>
      <c r="O5240" s="1178">
        <v>12</v>
      </c>
      <c r="P5240" s="1178">
        <v>7.5</v>
      </c>
    </row>
    <row r="5241" spans="1:16">
      <c r="A5241" s="1178" t="s">
        <v>566</v>
      </c>
      <c r="B5241" s="1371" t="str">
        <f>HYPERLINK(IFERROR("#Main_Tariff!A"&amp;MATCH(Raeburn_Main_Tariff[[#This Row],[Product Code]],Main_Tariff!I:I,0),"#Main_Tariff!A"&amp;MATCH("*"&amp;RIGHT(A5241,8)&amp;"*",Main_Tariff!A:A,0)),Raeburn_Main_Tariff[[#This Row],[PRODUCER]])</f>
        <v>Willi Schaefer</v>
      </c>
      <c r="C5241" s="1178" t="s">
        <v>22741</v>
      </c>
      <c r="D5241" s="1178" t="s">
        <v>1410</v>
      </c>
      <c r="E5241" s="1179">
        <v>2013</v>
      </c>
      <c r="F5241" s="1282" t="s">
        <v>20280</v>
      </c>
      <c r="G5241" s="1368">
        <v>27</v>
      </c>
      <c r="H5241" s="1178" t="s">
        <v>20221</v>
      </c>
      <c r="I5241" s="1178" t="s">
        <v>16248</v>
      </c>
      <c r="J5241" s="1178" t="s">
        <v>22514</v>
      </c>
      <c r="K5241" s="1178" t="s">
        <v>559</v>
      </c>
      <c r="L5241" s="1178"/>
      <c r="M5241" s="1369"/>
      <c r="N5241" s="1178"/>
      <c r="O5241" s="1178">
        <v>12</v>
      </c>
      <c r="P5241" s="1178">
        <v>7</v>
      </c>
    </row>
    <row r="5242" spans="1:16">
      <c r="A5242" s="1178" t="s">
        <v>566</v>
      </c>
      <c r="B5242" s="1371" t="str">
        <f>HYPERLINK(IFERROR("#Main_Tariff!A"&amp;MATCH(Raeburn_Main_Tariff[[#This Row],[Product Code]],Main_Tariff!I:I,0),"#Main_Tariff!A"&amp;MATCH("*"&amp;RIGHT(A5242,8)&amp;"*",Main_Tariff!A:A,0)),Raeburn_Main_Tariff[[#This Row],[PRODUCER]])</f>
        <v>Willi Schaefer</v>
      </c>
      <c r="C5242" s="1178" t="s">
        <v>22743</v>
      </c>
      <c r="D5242" s="1178" t="s">
        <v>1410</v>
      </c>
      <c r="E5242" s="1179">
        <v>2012</v>
      </c>
      <c r="F5242" s="1282" t="s">
        <v>20280</v>
      </c>
      <c r="G5242" s="1368">
        <v>28.5</v>
      </c>
      <c r="H5242" s="1178" t="s">
        <v>20221</v>
      </c>
      <c r="I5242" s="1178" t="s">
        <v>16249</v>
      </c>
      <c r="J5242" s="1178" t="s">
        <v>22514</v>
      </c>
      <c r="K5242" s="1178" t="s">
        <v>559</v>
      </c>
      <c r="L5242" s="1178"/>
      <c r="M5242" s="1369"/>
      <c r="N5242" s="1178"/>
      <c r="O5242" s="1178">
        <v>12</v>
      </c>
      <c r="P5242" s="1178">
        <v>7.5</v>
      </c>
    </row>
    <row r="5243" spans="1:16">
      <c r="A5243" s="1178" t="s">
        <v>566</v>
      </c>
      <c r="B5243" s="1371" t="str">
        <f>HYPERLINK(IFERROR("#Main_Tariff!A"&amp;MATCH(Raeburn_Main_Tariff[[#This Row],[Product Code]],Main_Tariff!I:I,0),"#Main_Tariff!A"&amp;MATCH("*"&amp;RIGHT(A5243,8)&amp;"*",Main_Tariff!A:A,0)),Raeburn_Main_Tariff[[#This Row],[PRODUCER]])</f>
        <v>Willi Schaefer</v>
      </c>
      <c r="C5243" s="1178" t="s">
        <v>22744</v>
      </c>
      <c r="D5243" s="1178" t="s">
        <v>1410</v>
      </c>
      <c r="E5243" s="1179">
        <v>2011</v>
      </c>
      <c r="F5243" s="1282" t="s">
        <v>20280</v>
      </c>
      <c r="G5243" s="1368">
        <v>28.75</v>
      </c>
      <c r="H5243" s="1178" t="s">
        <v>20221</v>
      </c>
      <c r="I5243" s="1178" t="s">
        <v>16250</v>
      </c>
      <c r="J5243" s="1178" t="s">
        <v>22514</v>
      </c>
      <c r="K5243" s="1178" t="s">
        <v>559</v>
      </c>
      <c r="L5243" s="1178"/>
      <c r="M5243" s="1369"/>
      <c r="N5243" s="1178"/>
      <c r="O5243" s="1178">
        <v>12</v>
      </c>
      <c r="P5243" s="1178">
        <v>12.5</v>
      </c>
    </row>
    <row r="5244" spans="1:16">
      <c r="A5244" s="1178" t="s">
        <v>566</v>
      </c>
      <c r="B5244" s="1371" t="str">
        <f>HYPERLINK(IFERROR("#Main_Tariff!A"&amp;MATCH(Raeburn_Main_Tariff[[#This Row],[Product Code]],Main_Tariff!I:I,0),"#Main_Tariff!A"&amp;MATCH("*"&amp;RIGHT(A5244,8)&amp;"*",Main_Tariff!A:A,0)),Raeburn_Main_Tariff[[#This Row],[PRODUCER]])</f>
        <v>Willi Schaefer</v>
      </c>
      <c r="C5244" s="1178" t="s">
        <v>22745</v>
      </c>
      <c r="D5244" s="1178" t="s">
        <v>1410</v>
      </c>
      <c r="E5244" s="1179">
        <v>2016</v>
      </c>
      <c r="F5244" s="1282" t="s">
        <v>20220</v>
      </c>
      <c r="G5244" s="1368">
        <v>39.5</v>
      </c>
      <c r="H5244" s="1178" t="s">
        <v>20224</v>
      </c>
      <c r="I5244" s="1178" t="s">
        <v>16252</v>
      </c>
      <c r="J5244" s="1178" t="s">
        <v>22514</v>
      </c>
      <c r="K5244" s="1178" t="s">
        <v>559</v>
      </c>
      <c r="L5244" s="1178"/>
      <c r="M5244" s="1369"/>
      <c r="N5244" s="1178"/>
      <c r="O5244" s="1178">
        <v>6</v>
      </c>
      <c r="P5244" s="1178">
        <v>7</v>
      </c>
    </row>
    <row r="5245" spans="1:16">
      <c r="A5245" s="1178" t="s">
        <v>566</v>
      </c>
      <c r="B5245" s="1371" t="str">
        <f>HYPERLINK(IFERROR("#Main_Tariff!A"&amp;MATCH(Raeburn_Main_Tariff[[#This Row],[Product Code]],Main_Tariff!I:I,0),"#Main_Tariff!A"&amp;MATCH("*"&amp;RIGHT(A5245,8)&amp;"*",Main_Tariff!A:A,0)),Raeburn_Main_Tariff[[#This Row],[PRODUCER]])</f>
        <v>Willi Schaefer</v>
      </c>
      <c r="C5245" s="1178" t="s">
        <v>22746</v>
      </c>
      <c r="D5245" s="1178" t="s">
        <v>1410</v>
      </c>
      <c r="E5245" s="1179">
        <v>2010</v>
      </c>
      <c r="F5245" s="1282" t="s">
        <v>20220</v>
      </c>
      <c r="G5245" s="1368">
        <v>45.5</v>
      </c>
      <c r="H5245" s="1178" t="s">
        <v>20224</v>
      </c>
      <c r="I5245" s="1178" t="s">
        <v>16253</v>
      </c>
      <c r="J5245" s="1178" t="s">
        <v>22514</v>
      </c>
      <c r="K5245" s="1178" t="s">
        <v>559</v>
      </c>
      <c r="L5245" s="1178"/>
      <c r="M5245" s="1369"/>
      <c r="N5245" s="1178"/>
      <c r="O5245" s="1178">
        <v>6</v>
      </c>
      <c r="P5245" s="1178">
        <v>12.5</v>
      </c>
    </row>
    <row r="5246" spans="1:16">
      <c r="A5246" s="1178" t="s">
        <v>566</v>
      </c>
      <c r="B5246" s="1371" t="str">
        <f>HYPERLINK(IFERROR("#Main_Tariff!A"&amp;MATCH(Raeburn_Main_Tariff[[#This Row],[Product Code]],Main_Tariff!I:I,0),"#Main_Tariff!A"&amp;MATCH("*"&amp;RIGHT(A5246,8)&amp;"*",Main_Tariff!A:A,0)),Raeburn_Main_Tariff[[#This Row],[PRODUCER]])</f>
        <v>Willi Schaefer</v>
      </c>
      <c r="C5246" s="1178" t="s">
        <v>22747</v>
      </c>
      <c r="D5246" s="1178" t="s">
        <v>1410</v>
      </c>
      <c r="E5246" s="1179">
        <v>2010</v>
      </c>
      <c r="F5246" s="1282" t="s">
        <v>20220</v>
      </c>
      <c r="G5246" s="1368">
        <v>56.5</v>
      </c>
      <c r="H5246" s="1178" t="s">
        <v>20465</v>
      </c>
      <c r="I5246" s="1178" t="s">
        <v>16254</v>
      </c>
      <c r="J5246" s="1178" t="s">
        <v>22514</v>
      </c>
      <c r="K5246" s="1178" t="s">
        <v>559</v>
      </c>
      <c r="L5246" s="1178"/>
      <c r="M5246" s="1369"/>
      <c r="N5246" s="1178"/>
      <c r="O5246" s="1178">
        <v>6</v>
      </c>
      <c r="P5246" s="1178">
        <v>12.5</v>
      </c>
    </row>
    <row r="5247" spans="1:16">
      <c r="A5247" s="1178" t="s">
        <v>566</v>
      </c>
      <c r="B5247" s="1371" t="str">
        <f>HYPERLINK(IFERROR("#Main_Tariff!A"&amp;MATCH(Raeburn_Main_Tariff[[#This Row],[Product Code]],Main_Tariff!I:I,0),"#Main_Tariff!A"&amp;MATCH("*"&amp;RIGHT(A5247,8)&amp;"*",Main_Tariff!A:A,0)),Raeburn_Main_Tariff[[#This Row],[PRODUCER]])</f>
        <v>Willi Schaefer</v>
      </c>
      <c r="C5247" s="1178" t="s">
        <v>22748</v>
      </c>
      <c r="D5247" s="1178" t="s">
        <v>1410</v>
      </c>
      <c r="E5247" s="1179">
        <v>2020</v>
      </c>
      <c r="F5247" s="1282" t="s">
        <v>20220</v>
      </c>
      <c r="G5247" s="1368">
        <v>39.5</v>
      </c>
      <c r="H5247" s="1178" t="s">
        <v>20224</v>
      </c>
      <c r="I5247" s="1178" t="s">
        <v>16255</v>
      </c>
      <c r="J5247" s="1178" t="s">
        <v>22514</v>
      </c>
      <c r="K5247" s="1178" t="s">
        <v>559</v>
      </c>
      <c r="L5247" s="1178"/>
      <c r="M5247" s="1369"/>
      <c r="N5247" s="1178"/>
      <c r="O5247" s="1178">
        <v>6</v>
      </c>
      <c r="P5247" s="1178">
        <v>7.5</v>
      </c>
    </row>
    <row r="5248" spans="1:16">
      <c r="A5248" s="1178" t="s">
        <v>566</v>
      </c>
      <c r="B5248" s="1371" t="str">
        <f>HYPERLINK(IFERROR("#Main_Tariff!A"&amp;MATCH(Raeburn_Main_Tariff[[#This Row],[Product Code]],Main_Tariff!I:I,0),"#Main_Tariff!A"&amp;MATCH("*"&amp;RIGHT(A5248,8)&amp;"*",Main_Tariff!A:A,0)),Raeburn_Main_Tariff[[#This Row],[PRODUCER]])</f>
        <v>Willi Schaefer</v>
      </c>
      <c r="C5248" s="1178" t="s">
        <v>22749</v>
      </c>
      <c r="D5248" s="1178" t="s">
        <v>1410</v>
      </c>
      <c r="E5248" s="1179">
        <v>2016</v>
      </c>
      <c r="F5248" s="1282" t="s">
        <v>20220</v>
      </c>
      <c r="G5248" s="1368">
        <v>48.5</v>
      </c>
      <c r="H5248" s="1178" t="s">
        <v>20224</v>
      </c>
      <c r="I5248" s="1178" t="s">
        <v>16256</v>
      </c>
      <c r="J5248" s="1178" t="s">
        <v>22514</v>
      </c>
      <c r="K5248" s="1178" t="s">
        <v>559</v>
      </c>
      <c r="L5248" s="1178"/>
      <c r="M5248" s="1369"/>
      <c r="N5248" s="1178"/>
      <c r="O5248" s="1178">
        <v>6</v>
      </c>
      <c r="P5248" s="1178">
        <v>7.5</v>
      </c>
    </row>
    <row r="5249" spans="1:16">
      <c r="A5249" s="1178" t="s">
        <v>566</v>
      </c>
      <c r="B5249" s="1371" t="str">
        <f>HYPERLINK(IFERROR("#Main_Tariff!A"&amp;MATCH(Raeburn_Main_Tariff[[#This Row],[Product Code]],Main_Tariff!I:I,0),"#Main_Tariff!A"&amp;MATCH("*"&amp;RIGHT(A5249,8)&amp;"*",Main_Tariff!A:A,0)),Raeburn_Main_Tariff[[#This Row],[PRODUCER]])</f>
        <v>Willi Schaefer</v>
      </c>
      <c r="C5249" s="1178" t="s">
        <v>22750</v>
      </c>
      <c r="D5249" s="1178" t="s">
        <v>1410</v>
      </c>
      <c r="E5249" s="1179">
        <v>2013</v>
      </c>
      <c r="F5249" s="1282" t="s">
        <v>20220</v>
      </c>
      <c r="G5249" s="1368">
        <v>42</v>
      </c>
      <c r="H5249" s="1178" t="s">
        <v>20221</v>
      </c>
      <c r="I5249" s="1178" t="s">
        <v>16257</v>
      </c>
      <c r="J5249" s="1178" t="s">
        <v>22514</v>
      </c>
      <c r="K5249" s="1178" t="s">
        <v>559</v>
      </c>
      <c r="L5249" s="1178"/>
      <c r="M5249" s="1369"/>
      <c r="N5249" s="1178"/>
      <c r="O5249" s="1178">
        <v>6</v>
      </c>
      <c r="P5249" s="1178">
        <v>7</v>
      </c>
    </row>
    <row r="5250" spans="1:16">
      <c r="A5250" s="1178" t="s">
        <v>566</v>
      </c>
      <c r="B5250" s="1371" t="str">
        <f>HYPERLINK(IFERROR("#Main_Tariff!A"&amp;MATCH(Raeburn_Main_Tariff[[#This Row],[Product Code]],Main_Tariff!I:I,0),"#Main_Tariff!A"&amp;MATCH("*"&amp;RIGHT(A5250,8)&amp;"*",Main_Tariff!A:A,0)),Raeburn_Main_Tariff[[#This Row],[PRODUCER]])</f>
        <v>Willi Schaefer</v>
      </c>
      <c r="C5250" s="1178" t="s">
        <v>22748</v>
      </c>
      <c r="D5250" s="1178" t="s">
        <v>1410</v>
      </c>
      <c r="E5250" s="1179">
        <v>2012</v>
      </c>
      <c r="F5250" s="1282" t="s">
        <v>20220</v>
      </c>
      <c r="G5250" s="1368">
        <v>48.5</v>
      </c>
      <c r="H5250" s="1178" t="s">
        <v>20224</v>
      </c>
      <c r="I5250" s="1178" t="s">
        <v>16258</v>
      </c>
      <c r="J5250" s="1178" t="s">
        <v>22514</v>
      </c>
      <c r="K5250" s="1178" t="s">
        <v>559</v>
      </c>
      <c r="L5250" s="1178"/>
      <c r="M5250" s="1369"/>
      <c r="N5250" s="1178"/>
      <c r="O5250" s="1178">
        <v>6</v>
      </c>
      <c r="P5250" s="1178">
        <v>7</v>
      </c>
    </row>
    <row r="5251" spans="1:16">
      <c r="A5251" s="1178" t="s">
        <v>566</v>
      </c>
      <c r="B5251" s="1371" t="str">
        <f>HYPERLINK(IFERROR("#Main_Tariff!A"&amp;MATCH(Raeburn_Main_Tariff[[#This Row],[Product Code]],Main_Tariff!I:I,0),"#Main_Tariff!A"&amp;MATCH("*"&amp;RIGHT(A5251,8)&amp;"*",Main_Tariff!A:A,0)),Raeburn_Main_Tariff[[#This Row],[PRODUCER]])</f>
        <v>Willi Schaefer</v>
      </c>
      <c r="C5251" s="1178" t="s">
        <v>22751</v>
      </c>
      <c r="D5251" s="1178" t="s">
        <v>1410</v>
      </c>
      <c r="E5251" s="1179">
        <v>2016</v>
      </c>
      <c r="F5251" s="1282" t="s">
        <v>20220</v>
      </c>
      <c r="G5251" s="1368">
        <v>62</v>
      </c>
      <c r="H5251" s="1178" t="s">
        <v>20221</v>
      </c>
      <c r="I5251" s="1178" t="s">
        <v>16259</v>
      </c>
      <c r="J5251" s="1178" t="s">
        <v>22514</v>
      </c>
      <c r="K5251" s="1178" t="s">
        <v>559</v>
      </c>
      <c r="L5251" s="1178"/>
      <c r="M5251" s="1369"/>
      <c r="N5251" s="1178"/>
      <c r="O5251" s="1178">
        <v>6</v>
      </c>
      <c r="P5251" s="1178">
        <v>7.5</v>
      </c>
    </row>
    <row r="5252" spans="1:16">
      <c r="A5252" s="1178" t="s">
        <v>566</v>
      </c>
      <c r="B5252" s="1371" t="str">
        <f>HYPERLINK(IFERROR("#Main_Tariff!A"&amp;MATCH(Raeburn_Main_Tariff[[#This Row],[Product Code]],Main_Tariff!I:I,0),"#Main_Tariff!A"&amp;MATCH("*"&amp;RIGHT(A5252,8)&amp;"*",Main_Tariff!A:A,0)),Raeburn_Main_Tariff[[#This Row],[PRODUCER]])</f>
        <v>Willi Schaefer</v>
      </c>
      <c r="C5252" s="1178" t="s">
        <v>22752</v>
      </c>
      <c r="D5252" s="1178" t="s">
        <v>1410</v>
      </c>
      <c r="E5252" s="1179">
        <v>2013</v>
      </c>
      <c r="F5252" s="1282" t="s">
        <v>20220</v>
      </c>
      <c r="G5252" s="1368">
        <v>52.5</v>
      </c>
      <c r="H5252" s="1178" t="s">
        <v>20221</v>
      </c>
      <c r="I5252" s="1178" t="s">
        <v>16260</v>
      </c>
      <c r="J5252" s="1178" t="s">
        <v>22514</v>
      </c>
      <c r="K5252" s="1178" t="s">
        <v>559</v>
      </c>
      <c r="L5252" s="1178"/>
      <c r="M5252" s="1369"/>
      <c r="N5252" s="1178"/>
      <c r="O5252" s="1178">
        <v>6</v>
      </c>
      <c r="P5252" s="1178">
        <v>7</v>
      </c>
    </row>
    <row r="5253" spans="1:16">
      <c r="A5253" s="1178" t="s">
        <v>566</v>
      </c>
      <c r="B5253" s="1371" t="str">
        <f>HYPERLINK(IFERROR("#Main_Tariff!A"&amp;MATCH(Raeburn_Main_Tariff[[#This Row],[Product Code]],Main_Tariff!I:I,0),"#Main_Tariff!A"&amp;MATCH("*"&amp;RIGHT(A5253,8)&amp;"*",Main_Tariff!A:A,0)),Raeburn_Main_Tariff[[#This Row],[PRODUCER]])</f>
        <v>Willi Schaefer</v>
      </c>
      <c r="C5253" s="1178" t="s">
        <v>22753</v>
      </c>
      <c r="D5253" s="1178" t="s">
        <v>1410</v>
      </c>
      <c r="E5253" s="1179">
        <v>2012</v>
      </c>
      <c r="F5253" s="1282" t="s">
        <v>20220</v>
      </c>
      <c r="G5253" s="1368">
        <v>56</v>
      </c>
      <c r="H5253" s="1178" t="s">
        <v>20221</v>
      </c>
      <c r="I5253" s="1178" t="s">
        <v>16261</v>
      </c>
      <c r="J5253" s="1178" t="s">
        <v>22514</v>
      </c>
      <c r="K5253" s="1178" t="s">
        <v>559</v>
      </c>
      <c r="L5253" s="1178"/>
      <c r="M5253" s="1369"/>
      <c r="N5253" s="1178"/>
      <c r="O5253" s="1178">
        <v>6</v>
      </c>
      <c r="P5253" s="1178">
        <v>7.5</v>
      </c>
    </row>
    <row r="5254" spans="1:16">
      <c r="A5254" s="1178" t="s">
        <v>566</v>
      </c>
      <c r="B5254" s="1371" t="str">
        <f>HYPERLINK(IFERROR("#Main_Tariff!A"&amp;MATCH(Raeburn_Main_Tariff[[#This Row],[Product Code]],Main_Tariff!I:I,0),"#Main_Tariff!A"&amp;MATCH("*"&amp;RIGHT(A5254,8)&amp;"*",Main_Tariff!A:A,0)),Raeburn_Main_Tariff[[#This Row],[PRODUCER]])</f>
        <v>Willi Schaefer</v>
      </c>
      <c r="C5254" s="1178" t="s">
        <v>22754</v>
      </c>
      <c r="D5254" s="1178" t="s">
        <v>1410</v>
      </c>
      <c r="E5254" s="1179">
        <v>2011</v>
      </c>
      <c r="F5254" s="1282" t="s">
        <v>20220</v>
      </c>
      <c r="G5254" s="1368">
        <v>56.5</v>
      </c>
      <c r="H5254" s="1178" t="s">
        <v>20224</v>
      </c>
      <c r="I5254" s="1178" t="s">
        <v>16262</v>
      </c>
      <c r="J5254" s="1178" t="s">
        <v>22514</v>
      </c>
      <c r="K5254" s="1178" t="s">
        <v>559</v>
      </c>
      <c r="L5254" s="1178"/>
      <c r="M5254" s="1369"/>
      <c r="N5254" s="1178"/>
      <c r="O5254" s="1178">
        <v>6</v>
      </c>
      <c r="P5254" s="1178">
        <v>12.5</v>
      </c>
    </row>
    <row r="5255" spans="1:16">
      <c r="A5255" s="1178" t="s">
        <v>566</v>
      </c>
      <c r="B5255" s="1371" t="str">
        <f>HYPERLINK(IFERROR("#Main_Tariff!A"&amp;MATCH(Raeburn_Main_Tariff[[#This Row],[Product Code]],Main_Tariff!I:I,0),"#Main_Tariff!A"&amp;MATCH("*"&amp;RIGHT(A5255,8)&amp;"*",Main_Tariff!A:A,0)),Raeburn_Main_Tariff[[#This Row],[PRODUCER]])</f>
        <v>Willi Schaefer</v>
      </c>
      <c r="C5255" s="1178" t="s">
        <v>22755</v>
      </c>
      <c r="D5255" s="1178" t="s">
        <v>1410</v>
      </c>
      <c r="E5255" s="1179">
        <v>2017</v>
      </c>
      <c r="F5255" s="1282" t="s">
        <v>20220</v>
      </c>
      <c r="G5255" s="1368">
        <v>36</v>
      </c>
      <c r="H5255" s="1178" t="s">
        <v>20221</v>
      </c>
      <c r="I5255" s="1178" t="s">
        <v>16263</v>
      </c>
      <c r="J5255" s="1178" t="s">
        <v>22514</v>
      </c>
      <c r="K5255" s="1178" t="s">
        <v>559</v>
      </c>
      <c r="L5255" s="1178"/>
      <c r="M5255" s="1369"/>
      <c r="N5255" s="1178"/>
      <c r="O5255" s="1178">
        <v>6</v>
      </c>
      <c r="P5255" s="1178">
        <v>7.5</v>
      </c>
    </row>
    <row r="5256" spans="1:16">
      <c r="A5256" s="1178" t="s">
        <v>566</v>
      </c>
      <c r="B5256" s="1371" t="str">
        <f>HYPERLINK(IFERROR("#Main_Tariff!A"&amp;MATCH(Raeburn_Main_Tariff[[#This Row],[Product Code]],Main_Tariff!I:I,0),"#Main_Tariff!A"&amp;MATCH("*"&amp;RIGHT(A5256,8)&amp;"*",Main_Tariff!A:A,0)),Raeburn_Main_Tariff[[#This Row],[PRODUCER]])</f>
        <v>Willi Schaefer</v>
      </c>
      <c r="C5256" s="1178" t="s">
        <v>22756</v>
      </c>
      <c r="D5256" s="1178" t="s">
        <v>1410</v>
      </c>
      <c r="E5256" s="1179">
        <v>2011</v>
      </c>
      <c r="F5256" s="1282" t="s">
        <v>20280</v>
      </c>
      <c r="G5256" s="1368">
        <v>141.25</v>
      </c>
      <c r="H5256" s="1178" t="s">
        <v>20224</v>
      </c>
      <c r="I5256" s="1178" t="s">
        <v>16265</v>
      </c>
      <c r="J5256" s="1178" t="s">
        <v>22514</v>
      </c>
      <c r="K5256" s="1178" t="s">
        <v>559</v>
      </c>
      <c r="L5256" s="1178"/>
      <c r="M5256" s="1369"/>
      <c r="N5256" s="1178"/>
      <c r="O5256" s="1178">
        <v>12</v>
      </c>
      <c r="P5256" s="1178">
        <v>12.5</v>
      </c>
    </row>
    <row r="5257" spans="1:16">
      <c r="A5257" s="1178" t="s">
        <v>567</v>
      </c>
      <c r="B5257" s="1371" t="str">
        <f>HYPERLINK(IFERROR("#Main_Tariff!A"&amp;MATCH(Raeburn_Main_Tariff[[#This Row],[Product Code]],Main_Tariff!I:I,0),"#Main_Tariff!A"&amp;MATCH("*"&amp;RIGHT(A5257,8)&amp;"*",Main_Tariff!A:A,0)),Raeburn_Main_Tariff[[#This Row],[PRODUCER]])</f>
        <v>Selbach-Oster</v>
      </c>
      <c r="C5257" s="1178" t="s">
        <v>22757</v>
      </c>
      <c r="D5257" s="1178" t="s">
        <v>1129</v>
      </c>
      <c r="E5257" s="1179">
        <v>2019</v>
      </c>
      <c r="F5257" s="1282" t="s">
        <v>20220</v>
      </c>
      <c r="G5257" s="1368">
        <v>32</v>
      </c>
      <c r="H5257" s="1178" t="s">
        <v>20221</v>
      </c>
      <c r="I5257" s="1178" t="s">
        <v>16272</v>
      </c>
      <c r="J5257" s="1178" t="s">
        <v>22514</v>
      </c>
      <c r="K5257" s="1178" t="s">
        <v>559</v>
      </c>
      <c r="L5257" s="1178"/>
      <c r="M5257" s="1369"/>
      <c r="N5257" s="1178"/>
      <c r="O5257" s="1178">
        <v>6</v>
      </c>
      <c r="P5257" s="1178">
        <v>13</v>
      </c>
    </row>
    <row r="5258" spans="1:16">
      <c r="A5258" s="1178" t="s">
        <v>567</v>
      </c>
      <c r="B5258" s="1371" t="str">
        <f>HYPERLINK(IFERROR("#Main_Tariff!A"&amp;MATCH(Raeburn_Main_Tariff[[#This Row],[Product Code]],Main_Tariff!I:I,0),"#Main_Tariff!A"&amp;MATCH("*"&amp;RIGHT(A5258,8)&amp;"*",Main_Tariff!A:A,0)),Raeburn_Main_Tariff[[#This Row],[PRODUCER]])</f>
        <v>Selbach-Oster</v>
      </c>
      <c r="C5258" s="1178" t="s">
        <v>22758</v>
      </c>
      <c r="D5258" s="1178" t="s">
        <v>1129</v>
      </c>
      <c r="E5258" s="1179">
        <v>2019</v>
      </c>
      <c r="F5258" s="1282" t="s">
        <v>20220</v>
      </c>
      <c r="G5258" s="1368">
        <v>23.5</v>
      </c>
      <c r="H5258" s="1178" t="s">
        <v>20221</v>
      </c>
      <c r="I5258" s="1178" t="s">
        <v>16276</v>
      </c>
      <c r="J5258" s="1178" t="s">
        <v>22514</v>
      </c>
      <c r="K5258" s="1178" t="s">
        <v>559</v>
      </c>
      <c r="L5258" s="1178"/>
      <c r="M5258" s="1369"/>
      <c r="N5258" s="1178"/>
      <c r="O5258" s="1178">
        <v>6</v>
      </c>
      <c r="P5258" s="1178">
        <v>9.5</v>
      </c>
    </row>
    <row r="5259" spans="1:16">
      <c r="A5259" s="1178" t="s">
        <v>567</v>
      </c>
      <c r="B5259" s="1371" t="str">
        <f>HYPERLINK(IFERROR("#Main_Tariff!A"&amp;MATCH(Raeburn_Main_Tariff[[#This Row],[Product Code]],Main_Tariff!I:I,0),"#Main_Tariff!A"&amp;MATCH("*"&amp;RIGHT(A5259,8)&amp;"*",Main_Tariff!A:A,0)),Raeburn_Main_Tariff[[#This Row],[PRODUCER]])</f>
        <v>Selbach-Oster</v>
      </c>
      <c r="C5259" s="1178" t="s">
        <v>22759</v>
      </c>
      <c r="D5259" s="1178" t="s">
        <v>1129</v>
      </c>
      <c r="E5259" s="1179">
        <v>2019</v>
      </c>
      <c r="F5259" s="1282" t="s">
        <v>20220</v>
      </c>
      <c r="G5259" s="1368">
        <v>32.5</v>
      </c>
      <c r="H5259" s="1178" t="s">
        <v>20221</v>
      </c>
      <c r="I5259" s="1178" t="s">
        <v>16278</v>
      </c>
      <c r="J5259" s="1178" t="s">
        <v>22514</v>
      </c>
      <c r="K5259" s="1178" t="s">
        <v>559</v>
      </c>
      <c r="L5259" s="1178"/>
      <c r="M5259" s="1369"/>
      <c r="N5259" s="1178"/>
      <c r="O5259" s="1178">
        <v>6</v>
      </c>
      <c r="P5259" s="1178">
        <v>12.5</v>
      </c>
    </row>
    <row r="5260" spans="1:16">
      <c r="A5260" s="1178" t="s">
        <v>567</v>
      </c>
      <c r="B5260" s="1371" t="str">
        <f>HYPERLINK(IFERROR("#Main_Tariff!A"&amp;MATCH(Raeburn_Main_Tariff[[#This Row],[Product Code]],Main_Tariff!I:I,0),"#Main_Tariff!A"&amp;MATCH("*"&amp;RIGHT(A5260,8)&amp;"*",Main_Tariff!A:A,0)),Raeburn_Main_Tariff[[#This Row],[PRODUCER]])</f>
        <v>Selbach-Oster</v>
      </c>
      <c r="C5260" s="1178" t="s">
        <v>22760</v>
      </c>
      <c r="D5260" s="1178" t="s">
        <v>1410</v>
      </c>
      <c r="E5260" s="1179">
        <v>2019</v>
      </c>
      <c r="F5260" s="1282" t="s">
        <v>20220</v>
      </c>
      <c r="G5260" s="1368">
        <v>42.5</v>
      </c>
      <c r="H5260" s="1178" t="s">
        <v>20221</v>
      </c>
      <c r="I5260" s="1178" t="s">
        <v>16281</v>
      </c>
      <c r="J5260" s="1178" t="s">
        <v>22514</v>
      </c>
      <c r="K5260" s="1178" t="s">
        <v>559</v>
      </c>
      <c r="L5260" s="1178"/>
      <c r="M5260" s="1369"/>
      <c r="N5260" s="1178"/>
      <c r="O5260" s="1178">
        <v>6</v>
      </c>
      <c r="P5260" s="1178">
        <v>8</v>
      </c>
    </row>
    <row r="5261" spans="1:16">
      <c r="A5261" s="1178" t="s">
        <v>567</v>
      </c>
      <c r="B5261" s="1371" t="str">
        <f>HYPERLINK(IFERROR("#Main_Tariff!A"&amp;MATCH(Raeburn_Main_Tariff[[#This Row],[Product Code]],Main_Tariff!I:I,0),"#Main_Tariff!A"&amp;MATCH("*"&amp;RIGHT(A5261,8)&amp;"*",Main_Tariff!A:A,0)),Raeburn_Main_Tariff[[#This Row],[PRODUCER]])</f>
        <v>Selbach-Oster</v>
      </c>
      <c r="C5261" s="1178" t="s">
        <v>22761</v>
      </c>
      <c r="D5261" s="1178" t="s">
        <v>1410</v>
      </c>
      <c r="E5261" s="1179">
        <v>2019</v>
      </c>
      <c r="F5261" s="1282" t="s">
        <v>20220</v>
      </c>
      <c r="G5261" s="1368">
        <v>43</v>
      </c>
      <c r="H5261" s="1178" t="s">
        <v>20221</v>
      </c>
      <c r="I5261" s="1178" t="s">
        <v>16283</v>
      </c>
      <c r="J5261" s="1178" t="s">
        <v>22514</v>
      </c>
      <c r="K5261" s="1178" t="s">
        <v>559</v>
      </c>
      <c r="L5261" s="1178"/>
      <c r="M5261" s="1369"/>
      <c r="N5261" s="1178"/>
      <c r="O5261" s="1178">
        <v>6</v>
      </c>
      <c r="P5261" s="1178">
        <v>7.5</v>
      </c>
    </row>
    <row r="5262" spans="1:16">
      <c r="A5262" s="1178" t="s">
        <v>567</v>
      </c>
      <c r="B5262" s="1371" t="str">
        <f>HYPERLINK(IFERROR("#Main_Tariff!A"&amp;MATCH(Raeburn_Main_Tariff[[#This Row],[Product Code]],Main_Tariff!I:I,0),"#Main_Tariff!A"&amp;MATCH("*"&amp;RIGHT(A5262,8)&amp;"*",Main_Tariff!A:A,0)),Raeburn_Main_Tariff[[#This Row],[PRODUCER]])</f>
        <v>Selbach-Oster</v>
      </c>
      <c r="C5262" s="1178" t="s">
        <v>22762</v>
      </c>
      <c r="D5262" s="1178" t="s">
        <v>1410</v>
      </c>
      <c r="E5262" s="1179">
        <v>1995</v>
      </c>
      <c r="F5262" s="1282" t="s">
        <v>20220</v>
      </c>
      <c r="G5262" s="1368">
        <v>52</v>
      </c>
      <c r="H5262" s="1178" t="s">
        <v>20224</v>
      </c>
      <c r="I5262" s="1178" t="s">
        <v>16285</v>
      </c>
      <c r="J5262" s="1178" t="s">
        <v>22514</v>
      </c>
      <c r="K5262" s="1178" t="s">
        <v>559</v>
      </c>
      <c r="L5262" s="1178"/>
      <c r="M5262" s="1369"/>
      <c r="N5262" s="1178"/>
      <c r="O5262" s="1178">
        <v>6</v>
      </c>
      <c r="P5262" s="1178">
        <v>8</v>
      </c>
    </row>
    <row r="5263" spans="1:16">
      <c r="A5263" s="1178" t="s">
        <v>567</v>
      </c>
      <c r="B5263" s="1371" t="str">
        <f>HYPERLINK(IFERROR("#Main_Tariff!A"&amp;MATCH(Raeburn_Main_Tariff[[#This Row],[Product Code]],Main_Tariff!I:I,0),"#Main_Tariff!A"&amp;MATCH("*"&amp;RIGHT(A5263,8)&amp;"*",Main_Tariff!A:A,0)),Raeburn_Main_Tariff[[#This Row],[PRODUCER]])</f>
        <v>Selbach-Oster</v>
      </c>
      <c r="C5263" s="1178" t="s">
        <v>22763</v>
      </c>
      <c r="D5263" s="1178" t="s">
        <v>1410</v>
      </c>
      <c r="E5263" s="1179">
        <v>2019</v>
      </c>
      <c r="F5263" s="1282" t="s">
        <v>20280</v>
      </c>
      <c r="G5263" s="1368">
        <v>51</v>
      </c>
      <c r="H5263" s="1178" t="s">
        <v>20221</v>
      </c>
      <c r="I5263" s="1178" t="s">
        <v>16288</v>
      </c>
      <c r="J5263" s="1178" t="s">
        <v>22514</v>
      </c>
      <c r="K5263" s="1178" t="s">
        <v>559</v>
      </c>
      <c r="L5263" s="1178"/>
      <c r="M5263" s="1369"/>
      <c r="N5263" s="1178"/>
      <c r="O5263" s="1178">
        <v>12</v>
      </c>
      <c r="P5263" s="1178">
        <v>7</v>
      </c>
    </row>
    <row r="5264" spans="1:16">
      <c r="A5264" s="1178" t="s">
        <v>567</v>
      </c>
      <c r="B5264" s="1371" t="str">
        <f>HYPERLINK(IFERROR("#Main_Tariff!A"&amp;MATCH(Raeburn_Main_Tariff[[#This Row],[Product Code]],Main_Tariff!I:I,0),"#Main_Tariff!A"&amp;MATCH("*"&amp;RIGHT(A5264,8)&amp;"*",Main_Tariff!A:A,0)),Raeburn_Main_Tariff[[#This Row],[PRODUCER]])</f>
        <v>Selbach-Oster</v>
      </c>
      <c r="C5264" s="1178" t="s">
        <v>22764</v>
      </c>
      <c r="D5264" s="1178" t="s">
        <v>1410</v>
      </c>
      <c r="E5264" s="1179">
        <v>2019</v>
      </c>
      <c r="F5264" s="1282" t="s">
        <v>20280</v>
      </c>
      <c r="G5264" s="1368">
        <v>85</v>
      </c>
      <c r="H5264" s="1178" t="s">
        <v>20221</v>
      </c>
      <c r="I5264" s="1178" t="s">
        <v>16289</v>
      </c>
      <c r="J5264" s="1178" t="s">
        <v>22514</v>
      </c>
      <c r="K5264" s="1178" t="s">
        <v>559</v>
      </c>
      <c r="L5264" s="1178"/>
      <c r="M5264" s="1369"/>
      <c r="N5264" s="1178"/>
      <c r="O5264" s="1178">
        <v>12</v>
      </c>
      <c r="P5264" s="1178">
        <v>6.5</v>
      </c>
    </row>
    <row r="5265" spans="1:16">
      <c r="A5265" s="1178" t="s">
        <v>567</v>
      </c>
      <c r="B5265" s="1371" t="str">
        <f>HYPERLINK(IFERROR("#Main_Tariff!A"&amp;MATCH(Raeburn_Main_Tariff[[#This Row],[Product Code]],Main_Tariff!I:I,0),"#Main_Tariff!A"&amp;MATCH("*"&amp;RIGHT(A5265,8)&amp;"*",Main_Tariff!A:A,0)),Raeburn_Main_Tariff[[#This Row],[PRODUCER]])</f>
        <v>Selbach-Oster</v>
      </c>
      <c r="C5265" s="1178" t="s">
        <v>22765</v>
      </c>
      <c r="D5265" s="1178" t="s">
        <v>1410</v>
      </c>
      <c r="E5265" s="1179">
        <v>2018</v>
      </c>
      <c r="F5265" s="1282" t="s">
        <v>20280</v>
      </c>
      <c r="G5265" s="1368">
        <v>175</v>
      </c>
      <c r="H5265" s="1178" t="s">
        <v>20224</v>
      </c>
      <c r="I5265" s="1178" t="s">
        <v>16290</v>
      </c>
      <c r="J5265" s="1178" t="s">
        <v>22514</v>
      </c>
      <c r="K5265" s="1178" t="s">
        <v>559</v>
      </c>
      <c r="L5265" s="1178"/>
      <c r="M5265" s="1369"/>
      <c r="N5265" s="1178"/>
      <c r="O5265" s="1178">
        <v>12</v>
      </c>
      <c r="P5265" s="1178">
        <v>6.5</v>
      </c>
    </row>
    <row r="5266" spans="1:16">
      <c r="A5266" s="1178" t="s">
        <v>22766</v>
      </c>
      <c r="B5266" s="1371" t="str">
        <f>HYPERLINK(IFERROR("#Main_Tariff!A"&amp;MATCH(Raeburn_Main_Tariff[[#This Row],[Product Code]],Main_Tariff!I:I,0),"#Main_Tariff!A"&amp;MATCH("*"&amp;RIGHT(A5266,8)&amp;"*",Main_Tariff!A:A,0)),Raeburn_Main_Tariff[[#This Row],[PRODUCER]])</f>
        <v>Luckert Family Weingut Zehnthof</v>
      </c>
      <c r="C5266" s="1178" t="s">
        <v>22767</v>
      </c>
      <c r="D5266" s="1178" t="s">
        <v>1129</v>
      </c>
      <c r="E5266" s="1179">
        <v>2022</v>
      </c>
      <c r="F5266" s="1282" t="s">
        <v>20220</v>
      </c>
      <c r="G5266" s="1368">
        <v>16.75</v>
      </c>
      <c r="H5266" s="1178" t="s">
        <v>20221</v>
      </c>
      <c r="I5266" s="1178" t="s">
        <v>16317</v>
      </c>
      <c r="J5266" s="1178" t="s">
        <v>22514</v>
      </c>
      <c r="K5266" s="1178" t="s">
        <v>568</v>
      </c>
      <c r="L5266" s="1178"/>
      <c r="M5266" s="1369"/>
      <c r="N5266" s="1178"/>
      <c r="O5266" s="1178">
        <v>6</v>
      </c>
      <c r="P5266" s="1178">
        <v>12</v>
      </c>
    </row>
    <row r="5267" spans="1:16">
      <c r="A5267" s="1178" t="s">
        <v>22766</v>
      </c>
      <c r="B5267" s="1371" t="str">
        <f>HYPERLINK(IFERROR("#Main_Tariff!A"&amp;MATCH(Raeburn_Main_Tariff[[#This Row],[Product Code]],Main_Tariff!I:I,0),"#Main_Tariff!A"&amp;MATCH("*"&amp;RIGHT(A5267,8)&amp;"*",Main_Tariff!A:A,0)),Raeburn_Main_Tariff[[#This Row],[PRODUCER]])</f>
        <v>Luckert Family Weingut Zehnthof</v>
      </c>
      <c r="C5267" s="1178" t="s">
        <v>22767</v>
      </c>
      <c r="D5267" s="1178" t="s">
        <v>1129</v>
      </c>
      <c r="E5267" s="1179">
        <v>2019</v>
      </c>
      <c r="F5267" s="1282" t="s">
        <v>20220</v>
      </c>
      <c r="G5267" s="1368">
        <v>15.75</v>
      </c>
      <c r="H5267" s="1178" t="s">
        <v>20221</v>
      </c>
      <c r="I5267" s="1178" t="s">
        <v>16319</v>
      </c>
      <c r="J5267" s="1178" t="s">
        <v>22514</v>
      </c>
      <c r="K5267" s="1178" t="s">
        <v>568</v>
      </c>
      <c r="L5267" s="1178"/>
      <c r="M5267" s="1369"/>
      <c r="N5267" s="1178"/>
      <c r="O5267" s="1178">
        <v>6</v>
      </c>
      <c r="P5267" s="1178">
        <v>13</v>
      </c>
    </row>
    <row r="5268" spans="1:16">
      <c r="A5268" s="1178" t="s">
        <v>22766</v>
      </c>
      <c r="B5268" s="1371" t="str">
        <f>HYPERLINK(IFERROR("#Main_Tariff!A"&amp;MATCH(Raeburn_Main_Tariff[[#This Row],[Product Code]],Main_Tariff!I:I,0),"#Main_Tariff!A"&amp;MATCH("*"&amp;RIGHT(A5268,8)&amp;"*",Main_Tariff!A:A,0)),Raeburn_Main_Tariff[[#This Row],[PRODUCER]])</f>
        <v>Luckert Family Weingut Zehnthof</v>
      </c>
      <c r="C5268" s="1178" t="s">
        <v>22768</v>
      </c>
      <c r="D5268" s="1178" t="s">
        <v>1129</v>
      </c>
      <c r="E5268" s="1179">
        <v>2022</v>
      </c>
      <c r="F5268" s="1282" t="s">
        <v>20220</v>
      </c>
      <c r="G5268" s="1368">
        <v>24.5</v>
      </c>
      <c r="H5268" s="1178" t="s">
        <v>20221</v>
      </c>
      <c r="I5268" s="1178" t="s">
        <v>16321</v>
      </c>
      <c r="J5268" s="1178" t="s">
        <v>22514</v>
      </c>
      <c r="K5268" s="1178" t="s">
        <v>568</v>
      </c>
      <c r="L5268" s="1178"/>
      <c r="M5268" s="1369"/>
      <c r="N5268" s="1178"/>
      <c r="O5268" s="1178">
        <v>6</v>
      </c>
      <c r="P5268" s="1178">
        <v>13</v>
      </c>
    </row>
    <row r="5269" spans="1:16">
      <c r="A5269" s="1178" t="s">
        <v>22766</v>
      </c>
      <c r="B5269" s="1371" t="str">
        <f>HYPERLINK(IFERROR("#Main_Tariff!A"&amp;MATCH(Raeburn_Main_Tariff[[#This Row],[Product Code]],Main_Tariff!I:I,0),"#Main_Tariff!A"&amp;MATCH("*"&amp;RIGHT(A5269,8)&amp;"*",Main_Tariff!A:A,0)),Raeburn_Main_Tariff[[#This Row],[PRODUCER]])</f>
        <v>Luckert Family Weingut Zehnthof</v>
      </c>
      <c r="C5269" s="1178" t="s">
        <v>22769</v>
      </c>
      <c r="D5269" s="1178" t="s">
        <v>1129</v>
      </c>
      <c r="E5269" s="1179">
        <v>2021</v>
      </c>
      <c r="F5269" s="1282" t="s">
        <v>20220</v>
      </c>
      <c r="G5269" s="1368">
        <v>43</v>
      </c>
      <c r="H5269" s="1178" t="s">
        <v>20221</v>
      </c>
      <c r="I5269" s="1178" t="s">
        <v>16323</v>
      </c>
      <c r="J5269" s="1178" t="s">
        <v>22514</v>
      </c>
      <c r="K5269" s="1178" t="s">
        <v>568</v>
      </c>
      <c r="L5269" s="1178"/>
      <c r="M5269" s="1369"/>
      <c r="N5269" s="1178"/>
      <c r="O5269" s="1178">
        <v>6</v>
      </c>
      <c r="P5269" s="1178">
        <v>13</v>
      </c>
    </row>
    <row r="5270" spans="1:16">
      <c r="A5270" s="1178" t="s">
        <v>22766</v>
      </c>
      <c r="B5270" s="1371" t="str">
        <f>HYPERLINK(IFERROR("#Main_Tariff!A"&amp;MATCH(Raeburn_Main_Tariff[[#This Row],[Product Code]],Main_Tariff!I:I,0),"#Main_Tariff!A"&amp;MATCH("*"&amp;RIGHT(A5270,8)&amp;"*",Main_Tariff!A:A,0)),Raeburn_Main_Tariff[[#This Row],[PRODUCER]])</f>
        <v>Luckert Family Weingut Zehnthof</v>
      </c>
      <c r="C5270" s="1178" t="s">
        <v>22769</v>
      </c>
      <c r="D5270" s="1178" t="s">
        <v>1129</v>
      </c>
      <c r="E5270" s="1179">
        <v>2017</v>
      </c>
      <c r="F5270" s="1282" t="s">
        <v>20220</v>
      </c>
      <c r="G5270" s="1368">
        <v>39.5</v>
      </c>
      <c r="H5270" s="1178" t="s">
        <v>20277</v>
      </c>
      <c r="I5270" s="1178" t="s">
        <v>16324</v>
      </c>
      <c r="J5270" s="1178" t="s">
        <v>22514</v>
      </c>
      <c r="K5270" s="1178" t="s">
        <v>568</v>
      </c>
      <c r="L5270" s="1178"/>
      <c r="M5270" s="1369"/>
      <c r="N5270" s="1178"/>
      <c r="O5270" s="1178">
        <v>6</v>
      </c>
      <c r="P5270" s="1178">
        <v>13</v>
      </c>
    </row>
    <row r="5271" spans="1:16">
      <c r="A5271" s="1178" t="s">
        <v>22766</v>
      </c>
      <c r="B5271" s="1371" t="str">
        <f>HYPERLINK(IFERROR("#Main_Tariff!A"&amp;MATCH(Raeburn_Main_Tariff[[#This Row],[Product Code]],Main_Tariff!I:I,0),"#Main_Tariff!A"&amp;MATCH("*"&amp;RIGHT(A5271,8)&amp;"*",Main_Tariff!A:A,0)),Raeburn_Main_Tariff[[#This Row],[PRODUCER]])</f>
        <v>Luckert Family Weingut Zehnthof</v>
      </c>
      <c r="C5271" s="1178" t="s">
        <v>22770</v>
      </c>
      <c r="D5271" s="1178" t="s">
        <v>1129</v>
      </c>
      <c r="E5271" s="1179">
        <v>2018</v>
      </c>
      <c r="F5271" s="1282" t="s">
        <v>20220</v>
      </c>
      <c r="G5271" s="1368" t="s">
        <v>5258</v>
      </c>
      <c r="H5271" s="1178" t="s">
        <v>20224</v>
      </c>
      <c r="I5271" s="1178" t="s">
        <v>16326</v>
      </c>
      <c r="J5271" s="1178" t="s">
        <v>22514</v>
      </c>
      <c r="K5271" s="1178" t="s">
        <v>568</v>
      </c>
      <c r="L5271" s="1178"/>
      <c r="M5271" s="1369"/>
      <c r="N5271" s="1178"/>
      <c r="O5271" s="1178">
        <v>6</v>
      </c>
      <c r="P5271" s="1178">
        <v>13.5</v>
      </c>
    </row>
    <row r="5272" spans="1:16">
      <c r="A5272" s="1178" t="s">
        <v>22766</v>
      </c>
      <c r="B5272" s="1371" t="str">
        <f>HYPERLINK(IFERROR("#Main_Tariff!A"&amp;MATCH(Raeburn_Main_Tariff[[#This Row],[Product Code]],Main_Tariff!I:I,0),"#Main_Tariff!A"&amp;MATCH("*"&amp;RIGHT(A5272,8)&amp;"*",Main_Tariff!A:A,0)),Raeburn_Main_Tariff[[#This Row],[PRODUCER]])</f>
        <v>Luckert Family Weingut Zehnthof</v>
      </c>
      <c r="C5272" s="1178" t="s">
        <v>22771</v>
      </c>
      <c r="D5272" s="1178" t="s">
        <v>897</v>
      </c>
      <c r="E5272" s="1179">
        <v>2020</v>
      </c>
      <c r="F5272" s="1282" t="s">
        <v>20220</v>
      </c>
      <c r="G5272" s="1368">
        <v>21</v>
      </c>
      <c r="H5272" s="1178" t="s">
        <v>20221</v>
      </c>
      <c r="I5272" s="1178" t="s">
        <v>16330</v>
      </c>
      <c r="J5272" s="1178" t="s">
        <v>22514</v>
      </c>
      <c r="K5272" s="1178" t="s">
        <v>568</v>
      </c>
      <c r="L5272" s="1178"/>
      <c r="M5272" s="1369"/>
      <c r="N5272" s="1178"/>
      <c r="O5272" s="1178">
        <v>6</v>
      </c>
      <c r="P5272" s="1178">
        <v>13</v>
      </c>
    </row>
    <row r="5273" spans="1:16">
      <c r="A5273" s="1178" t="s">
        <v>22766</v>
      </c>
      <c r="B5273" s="1371" t="str">
        <f>HYPERLINK(IFERROR("#Main_Tariff!A"&amp;MATCH(Raeburn_Main_Tariff[[#This Row],[Product Code]],Main_Tariff!I:I,0),"#Main_Tariff!A"&amp;MATCH("*"&amp;RIGHT(A5273,8)&amp;"*",Main_Tariff!A:A,0)),Raeburn_Main_Tariff[[#This Row],[PRODUCER]])</f>
        <v>Luckert Family Weingut Zehnthof</v>
      </c>
      <c r="C5273" s="1178" t="s">
        <v>22771</v>
      </c>
      <c r="D5273" s="1178" t="s">
        <v>897</v>
      </c>
      <c r="E5273" s="1179">
        <v>2018</v>
      </c>
      <c r="F5273" s="1282" t="s">
        <v>20220</v>
      </c>
      <c r="G5273" s="1368">
        <v>20.25</v>
      </c>
      <c r="H5273" s="1178" t="s">
        <v>20221</v>
      </c>
      <c r="I5273" s="1178" t="s">
        <v>16332</v>
      </c>
      <c r="J5273" s="1178" t="s">
        <v>22514</v>
      </c>
      <c r="K5273" s="1178" t="s">
        <v>568</v>
      </c>
      <c r="L5273" s="1178"/>
      <c r="M5273" s="1369"/>
      <c r="N5273" s="1178"/>
      <c r="O5273" s="1178">
        <v>6</v>
      </c>
      <c r="P5273" s="1178">
        <v>13.5</v>
      </c>
    </row>
    <row r="5274" spans="1:16">
      <c r="A5274" s="1178" t="s">
        <v>22766</v>
      </c>
      <c r="B5274" s="1371" t="str">
        <f>HYPERLINK(IFERROR("#Main_Tariff!A"&amp;MATCH(Raeburn_Main_Tariff[[#This Row],[Product Code]],Main_Tariff!I:I,0),"#Main_Tariff!A"&amp;MATCH("*"&amp;RIGHT(A5274,8)&amp;"*",Main_Tariff!A:A,0)),Raeburn_Main_Tariff[[#This Row],[PRODUCER]])</f>
        <v>Luckert Family Weingut Zehnthof</v>
      </c>
      <c r="C5274" s="1178" t="s">
        <v>22771</v>
      </c>
      <c r="D5274" s="1178" t="s">
        <v>897</v>
      </c>
      <c r="E5274" s="1179">
        <v>2016</v>
      </c>
      <c r="F5274" s="1282" t="s">
        <v>20220</v>
      </c>
      <c r="G5274" s="1368">
        <v>20</v>
      </c>
      <c r="H5274" s="1178" t="s">
        <v>20221</v>
      </c>
      <c r="I5274" s="1178" t="s">
        <v>16334</v>
      </c>
      <c r="J5274" s="1178" t="s">
        <v>22514</v>
      </c>
      <c r="K5274" s="1178" t="s">
        <v>568</v>
      </c>
      <c r="L5274" s="1178"/>
      <c r="M5274" s="1369"/>
      <c r="N5274" s="1178"/>
      <c r="O5274" s="1178">
        <v>6</v>
      </c>
      <c r="P5274" s="1178">
        <v>13.5</v>
      </c>
    </row>
    <row r="5275" spans="1:16">
      <c r="A5275" s="1178" t="s">
        <v>22766</v>
      </c>
      <c r="B5275" s="1371" t="str">
        <f>HYPERLINK(IFERROR("#Main_Tariff!A"&amp;MATCH(Raeburn_Main_Tariff[[#This Row],[Product Code]],Main_Tariff!I:I,0),"#Main_Tariff!A"&amp;MATCH("*"&amp;RIGHT(A5275,8)&amp;"*",Main_Tariff!A:A,0)),Raeburn_Main_Tariff[[#This Row],[PRODUCER]])</f>
        <v>Luckert Family Weingut Zehnthof</v>
      </c>
      <c r="C5275" s="1178" t="s">
        <v>22772</v>
      </c>
      <c r="D5275" s="1178" t="s">
        <v>897</v>
      </c>
      <c r="E5275" s="1179">
        <v>2019</v>
      </c>
      <c r="F5275" s="1282" t="s">
        <v>20220</v>
      </c>
      <c r="G5275" s="1368">
        <v>43</v>
      </c>
      <c r="H5275" s="1178" t="s">
        <v>20221</v>
      </c>
      <c r="I5275" s="1178" t="s">
        <v>16336</v>
      </c>
      <c r="J5275" s="1178" t="s">
        <v>22514</v>
      </c>
      <c r="K5275" s="1178" t="s">
        <v>568</v>
      </c>
      <c r="L5275" s="1178"/>
      <c r="M5275" s="1369"/>
      <c r="N5275" s="1178"/>
      <c r="O5275" s="1178">
        <v>6</v>
      </c>
      <c r="P5275" s="1178">
        <v>13</v>
      </c>
    </row>
    <row r="5276" spans="1:16">
      <c r="A5276" s="1178" t="s">
        <v>22766</v>
      </c>
      <c r="B5276" s="1371" t="str">
        <f>HYPERLINK(IFERROR("#Main_Tariff!A"&amp;MATCH(Raeburn_Main_Tariff[[#This Row],[Product Code]],Main_Tariff!I:I,0),"#Main_Tariff!A"&amp;MATCH("*"&amp;RIGHT(A5276,8)&amp;"*",Main_Tariff!A:A,0)),Raeburn_Main_Tariff[[#This Row],[PRODUCER]])</f>
        <v>Luckert Family Weingut Zehnthof</v>
      </c>
      <c r="C5276" s="1178" t="s">
        <v>22772</v>
      </c>
      <c r="D5276" s="1178" t="s">
        <v>897</v>
      </c>
      <c r="E5276" s="1179">
        <v>2018</v>
      </c>
      <c r="F5276" s="1282" t="s">
        <v>20220</v>
      </c>
      <c r="G5276" s="1368">
        <v>46</v>
      </c>
      <c r="H5276" s="1178" t="s">
        <v>20221</v>
      </c>
      <c r="I5276" s="1178" t="s">
        <v>16338</v>
      </c>
      <c r="J5276" s="1178" t="s">
        <v>22514</v>
      </c>
      <c r="K5276" s="1178" t="s">
        <v>568</v>
      </c>
      <c r="L5276" s="1178"/>
      <c r="M5276" s="1369"/>
      <c r="N5276" s="1178"/>
      <c r="O5276" s="1178">
        <v>6</v>
      </c>
      <c r="P5276" s="1178">
        <v>13.5</v>
      </c>
    </row>
    <row r="5277" spans="1:16">
      <c r="A5277" s="1178" t="s">
        <v>22766</v>
      </c>
      <c r="B5277" s="1371" t="str">
        <f>HYPERLINK(IFERROR("#Main_Tariff!A"&amp;MATCH(Raeburn_Main_Tariff[[#This Row],[Product Code]],Main_Tariff!I:I,0),"#Main_Tariff!A"&amp;MATCH("*"&amp;RIGHT(A5277,8)&amp;"*",Main_Tariff!A:A,0)),Raeburn_Main_Tariff[[#This Row],[PRODUCER]])</f>
        <v>Luckert Family Weingut Zehnthof</v>
      </c>
      <c r="C5277" s="1178" t="s">
        <v>22772</v>
      </c>
      <c r="D5277" s="1178" t="s">
        <v>897</v>
      </c>
      <c r="E5277" s="1179">
        <v>2016</v>
      </c>
      <c r="F5277" s="1282" t="s">
        <v>20220</v>
      </c>
      <c r="G5277" s="1368">
        <v>39.5</v>
      </c>
      <c r="H5277" s="1178" t="s">
        <v>20221</v>
      </c>
      <c r="I5277" s="1178" t="s">
        <v>16340</v>
      </c>
      <c r="J5277" s="1178" t="s">
        <v>22514</v>
      </c>
      <c r="K5277" s="1178" t="s">
        <v>568</v>
      </c>
      <c r="L5277" s="1178"/>
      <c r="M5277" s="1369"/>
      <c r="N5277" s="1178"/>
      <c r="O5277" s="1178">
        <v>6</v>
      </c>
      <c r="P5277" s="1178">
        <v>13.5</v>
      </c>
    </row>
    <row r="5278" spans="1:16">
      <c r="A5278" s="1178" t="s">
        <v>22766</v>
      </c>
      <c r="B5278" s="1371" t="str">
        <f>HYPERLINK(IFERROR("#Main_Tariff!A"&amp;MATCH(Raeburn_Main_Tariff[[#This Row],[Product Code]],Main_Tariff!I:I,0),"#Main_Tariff!A"&amp;MATCH("*"&amp;RIGHT(A5278,8)&amp;"*",Main_Tariff!A:A,0)),Raeburn_Main_Tariff[[#This Row],[PRODUCER]])</f>
        <v>Luckert Family Weingut Zehnthof</v>
      </c>
      <c r="C5278" s="1178" t="s">
        <v>22773</v>
      </c>
      <c r="D5278" s="1178" t="s">
        <v>897</v>
      </c>
      <c r="E5278" s="1179">
        <v>2019</v>
      </c>
      <c r="F5278" s="1282" t="s">
        <v>20220</v>
      </c>
      <c r="G5278" s="1368">
        <v>21</v>
      </c>
      <c r="H5278" s="1178" t="s">
        <v>20221</v>
      </c>
      <c r="I5278" s="1178" t="s">
        <v>16343</v>
      </c>
      <c r="J5278" s="1178" t="s">
        <v>22514</v>
      </c>
      <c r="K5278" s="1178" t="s">
        <v>568</v>
      </c>
      <c r="L5278" s="1178"/>
      <c r="M5278" s="1369"/>
      <c r="N5278" s="1178"/>
      <c r="O5278" s="1178">
        <v>6</v>
      </c>
      <c r="P5278" s="1178">
        <v>13</v>
      </c>
    </row>
    <row r="5279" spans="1:16">
      <c r="A5279" s="1178" t="s">
        <v>22766</v>
      </c>
      <c r="B5279" s="1371" t="str">
        <f>HYPERLINK(IFERROR("#Main_Tariff!A"&amp;MATCH(Raeburn_Main_Tariff[[#This Row],[Product Code]],Main_Tariff!I:I,0),"#Main_Tariff!A"&amp;MATCH("*"&amp;RIGHT(A5279,8)&amp;"*",Main_Tariff!A:A,0)),Raeburn_Main_Tariff[[#This Row],[PRODUCER]])</f>
        <v>Luckert Family Weingut Zehnthof</v>
      </c>
      <c r="C5279" s="1178" t="s">
        <v>22773</v>
      </c>
      <c r="D5279" s="1178" t="s">
        <v>897</v>
      </c>
      <c r="E5279" s="1179">
        <v>2018</v>
      </c>
      <c r="F5279" s="1282" t="s">
        <v>20220</v>
      </c>
      <c r="G5279" s="1368">
        <v>20.25</v>
      </c>
      <c r="H5279" s="1178" t="s">
        <v>20221</v>
      </c>
      <c r="I5279" s="1178" t="s">
        <v>16345</v>
      </c>
      <c r="J5279" s="1178" t="s">
        <v>22514</v>
      </c>
      <c r="K5279" s="1178" t="s">
        <v>568</v>
      </c>
      <c r="L5279" s="1178"/>
      <c r="M5279" s="1369"/>
      <c r="N5279" s="1178"/>
      <c r="O5279" s="1178">
        <v>6</v>
      </c>
      <c r="P5279" s="1178">
        <v>13.5</v>
      </c>
    </row>
    <row r="5280" spans="1:16">
      <c r="A5280" s="1178" t="s">
        <v>22766</v>
      </c>
      <c r="B5280" s="1371" t="str">
        <f>HYPERLINK(IFERROR("#Main_Tariff!A"&amp;MATCH(Raeburn_Main_Tariff[[#This Row],[Product Code]],Main_Tariff!I:I,0),"#Main_Tariff!A"&amp;MATCH("*"&amp;RIGHT(A5280,8)&amp;"*",Main_Tariff!A:A,0)),Raeburn_Main_Tariff[[#This Row],[PRODUCER]])</f>
        <v>Luckert Family Weingut Zehnthof</v>
      </c>
      <c r="C5280" s="1178" t="s">
        <v>22774</v>
      </c>
      <c r="D5280" s="1178" t="s">
        <v>897</v>
      </c>
      <c r="E5280" s="1179">
        <v>2019</v>
      </c>
      <c r="F5280" s="1282" t="s">
        <v>20220</v>
      </c>
      <c r="G5280" s="1368">
        <v>43</v>
      </c>
      <c r="H5280" s="1178" t="s">
        <v>20221</v>
      </c>
      <c r="I5280" s="1178" t="s">
        <v>16347</v>
      </c>
      <c r="J5280" s="1178" t="s">
        <v>22514</v>
      </c>
      <c r="K5280" s="1178" t="s">
        <v>568</v>
      </c>
      <c r="L5280" s="1178"/>
      <c r="M5280" s="1369"/>
      <c r="N5280" s="1178"/>
      <c r="O5280" s="1178">
        <v>6</v>
      </c>
      <c r="P5280" s="1178">
        <v>13</v>
      </c>
    </row>
    <row r="5281" spans="1:16">
      <c r="A5281" s="1178" t="s">
        <v>22766</v>
      </c>
      <c r="B5281" s="1371" t="str">
        <f>HYPERLINK(IFERROR("#Main_Tariff!A"&amp;MATCH(Raeburn_Main_Tariff[[#This Row],[Product Code]],Main_Tariff!I:I,0),"#Main_Tariff!A"&amp;MATCH("*"&amp;RIGHT(A5281,8)&amp;"*",Main_Tariff!A:A,0)),Raeburn_Main_Tariff[[#This Row],[PRODUCER]])</f>
        <v>Luckert Family Weingut Zehnthof</v>
      </c>
      <c r="C5281" s="1178" t="s">
        <v>22774</v>
      </c>
      <c r="D5281" s="1178" t="s">
        <v>897</v>
      </c>
      <c r="E5281" s="1179">
        <v>2016</v>
      </c>
      <c r="F5281" s="1282" t="s">
        <v>20220</v>
      </c>
      <c r="G5281" s="1368">
        <v>39.5</v>
      </c>
      <c r="H5281" s="1178" t="s">
        <v>20224</v>
      </c>
      <c r="I5281" s="1178" t="s">
        <v>16349</v>
      </c>
      <c r="J5281" s="1178" t="s">
        <v>22514</v>
      </c>
      <c r="K5281" s="1178" t="s">
        <v>568</v>
      </c>
      <c r="L5281" s="1178"/>
      <c r="M5281" s="1369"/>
      <c r="N5281" s="1178"/>
      <c r="O5281" s="1178">
        <v>6</v>
      </c>
      <c r="P5281" s="1178">
        <v>13</v>
      </c>
    </row>
    <row r="5282" spans="1:16">
      <c r="A5282" s="1178" t="s">
        <v>22775</v>
      </c>
      <c r="B5282" s="1371" t="str">
        <f>HYPERLINK(IFERROR("#Main_Tariff!A"&amp;MATCH(Raeburn_Main_Tariff[[#This Row],[Product Code]],Main_Tariff!I:I,0),"#Main_Tariff!A"&amp;MATCH("*"&amp;RIGHT(A5282,8)&amp;"*",Main_Tariff!A:A,0)),Raeburn_Main_Tariff[[#This Row],[PRODUCER]])</f>
        <v>Dönnhoff</v>
      </c>
      <c r="C5282" s="1178" t="s">
        <v>22776</v>
      </c>
      <c r="D5282" s="1178" t="s">
        <v>1410</v>
      </c>
      <c r="E5282" s="1179">
        <v>2009</v>
      </c>
      <c r="F5282" s="1282" t="s">
        <v>20280</v>
      </c>
      <c r="G5282" s="1368">
        <v>133.25</v>
      </c>
      <c r="H5282" s="1178" t="s">
        <v>20221</v>
      </c>
      <c r="I5282" s="1178" t="s">
        <v>16371</v>
      </c>
      <c r="J5282" s="1178" t="s">
        <v>22514</v>
      </c>
      <c r="K5282" s="1178" t="s">
        <v>570</v>
      </c>
      <c r="L5282" s="1178"/>
      <c r="M5282" s="1369"/>
      <c r="N5282" s="1178"/>
      <c r="O5282" s="1178">
        <v>12</v>
      </c>
      <c r="P5282" s="1178">
        <v>12.5</v>
      </c>
    </row>
    <row r="5283" spans="1:16">
      <c r="A5283" s="1178" t="s">
        <v>573</v>
      </c>
      <c r="B5283" s="1371" t="str">
        <f>HYPERLINK(IFERROR("#Main_Tariff!A"&amp;MATCH(Raeburn_Main_Tariff[[#This Row],[Product Code]],Main_Tariff!I:I,0),"#Main_Tariff!A"&amp;MATCH("*"&amp;RIGHT(A5283,8)&amp;"*",Main_Tariff!A:A,0)),Raeburn_Main_Tariff[[#This Row],[PRODUCER]])</f>
        <v>Leitz</v>
      </c>
      <c r="C5283" s="1178" t="s">
        <v>22777</v>
      </c>
      <c r="D5283" s="1178" t="s">
        <v>1129</v>
      </c>
      <c r="E5283" s="1179">
        <v>2003</v>
      </c>
      <c r="F5283" s="1282" t="s">
        <v>20220</v>
      </c>
      <c r="G5283" s="1368">
        <v>19.5</v>
      </c>
      <c r="H5283" s="1178" t="s">
        <v>20277</v>
      </c>
      <c r="I5283" s="1178" t="s">
        <v>16395</v>
      </c>
      <c r="J5283" s="1178" t="s">
        <v>22514</v>
      </c>
      <c r="K5283" s="1178" t="s">
        <v>572</v>
      </c>
      <c r="L5283" s="1178"/>
      <c r="M5283" s="1369"/>
      <c r="N5283" s="1178"/>
      <c r="O5283" s="1178">
        <v>6</v>
      </c>
      <c r="P5283" s="1178"/>
    </row>
    <row r="5284" spans="1:16">
      <c r="A5284" s="1178" t="s">
        <v>573</v>
      </c>
      <c r="B5284" s="1371" t="str">
        <f>HYPERLINK(IFERROR("#Main_Tariff!A"&amp;MATCH(Raeburn_Main_Tariff[[#This Row],[Product Code]],Main_Tariff!I:I,0),"#Main_Tariff!A"&amp;MATCH("*"&amp;RIGHT(A5284,8)&amp;"*",Main_Tariff!A:A,0)),Raeburn_Main_Tariff[[#This Row],[PRODUCER]])</f>
        <v>Leitz</v>
      </c>
      <c r="C5284" s="1178" t="s">
        <v>22778</v>
      </c>
      <c r="D5284" s="1178" t="s">
        <v>1129</v>
      </c>
      <c r="E5284" s="1179">
        <v>2003</v>
      </c>
      <c r="F5284" s="1282" t="s">
        <v>20220</v>
      </c>
      <c r="G5284" s="1368">
        <v>25</v>
      </c>
      <c r="H5284" s="1178" t="s">
        <v>20465</v>
      </c>
      <c r="I5284" s="1178" t="s">
        <v>16397</v>
      </c>
      <c r="J5284" s="1178" t="s">
        <v>22514</v>
      </c>
      <c r="K5284" s="1178" t="s">
        <v>572</v>
      </c>
      <c r="L5284" s="1178"/>
      <c r="M5284" s="1369"/>
      <c r="N5284" s="1178"/>
      <c r="O5284" s="1178">
        <v>6</v>
      </c>
      <c r="P5284" s="1178">
        <v>8</v>
      </c>
    </row>
    <row r="5285" spans="1:16">
      <c r="A5285" s="1178" t="s">
        <v>573</v>
      </c>
      <c r="B5285" s="1371" t="str">
        <f>HYPERLINK(IFERROR("#Main_Tariff!A"&amp;MATCH(Raeburn_Main_Tariff[[#This Row],[Product Code]],Main_Tariff!I:I,0),"#Main_Tariff!A"&amp;MATCH("*"&amp;RIGHT(A5285,8)&amp;"*",Main_Tariff!A:A,0)),Raeburn_Main_Tariff[[#This Row],[PRODUCER]])</f>
        <v>Leitz</v>
      </c>
      <c r="C5285" s="1178" t="s">
        <v>22778</v>
      </c>
      <c r="D5285" s="1178" t="s">
        <v>1129</v>
      </c>
      <c r="E5285" s="1179">
        <v>2002</v>
      </c>
      <c r="F5285" s="1282" t="s">
        <v>20220</v>
      </c>
      <c r="G5285" s="1368">
        <v>15.5</v>
      </c>
      <c r="H5285" s="1178" t="s">
        <v>20224</v>
      </c>
      <c r="I5285" s="1178" t="s">
        <v>16399</v>
      </c>
      <c r="J5285" s="1178" t="s">
        <v>22514</v>
      </c>
      <c r="K5285" s="1178" t="s">
        <v>572</v>
      </c>
      <c r="L5285" s="1178"/>
      <c r="M5285" s="1369"/>
      <c r="N5285" s="1178"/>
      <c r="O5285" s="1178">
        <v>6</v>
      </c>
      <c r="P5285" s="1178">
        <v>8.5</v>
      </c>
    </row>
    <row r="5286" spans="1:16">
      <c r="A5286" s="1178" t="s">
        <v>577</v>
      </c>
      <c r="B5286" s="1371" t="str">
        <f>HYPERLINK(IFERROR("#Main_Tariff!A"&amp;MATCH(Raeburn_Main_Tariff[[#This Row],[Product Code]],Main_Tariff!I:I,0),"#Main_Tariff!A"&amp;MATCH("*"&amp;RIGHT(A5286,8)&amp;"*",Main_Tariff!A:A,0)),Raeburn_Main_Tariff[[#This Row],[PRODUCER]])</f>
        <v>Chateau Musar</v>
      </c>
      <c r="C5286" s="1178" t="s">
        <v>22779</v>
      </c>
      <c r="D5286" s="1178" t="s">
        <v>1129</v>
      </c>
      <c r="E5286" s="1179">
        <v>2021</v>
      </c>
      <c r="F5286" s="1282" t="s">
        <v>20220</v>
      </c>
      <c r="G5286" s="1368">
        <v>13</v>
      </c>
      <c r="H5286" s="1178" t="s">
        <v>20465</v>
      </c>
      <c r="I5286" s="1178" t="s">
        <v>16409</v>
      </c>
      <c r="J5286" s="1178" t="s">
        <v>16406</v>
      </c>
      <c r="K5286" s="1178" t="s">
        <v>575</v>
      </c>
      <c r="L5286" s="1178"/>
      <c r="M5286" s="1369"/>
      <c r="N5286" s="1178"/>
      <c r="O5286" s="1178">
        <v>6</v>
      </c>
      <c r="P5286" s="1178">
        <v>0</v>
      </c>
    </row>
    <row r="5287" spans="1:16">
      <c r="A5287" s="1178" t="s">
        <v>577</v>
      </c>
      <c r="B5287" s="1371" t="str">
        <f>HYPERLINK(IFERROR("#Main_Tariff!A"&amp;MATCH(Raeburn_Main_Tariff[[#This Row],[Product Code]],Main_Tariff!I:I,0),"#Main_Tariff!A"&amp;MATCH("*"&amp;RIGHT(A5287,8)&amp;"*",Main_Tariff!A:A,0)),Raeburn_Main_Tariff[[#This Row],[PRODUCER]])</f>
        <v>Chateau Musar</v>
      </c>
      <c r="C5287" s="1178" t="s">
        <v>22780</v>
      </c>
      <c r="D5287" s="1178" t="s">
        <v>2573</v>
      </c>
      <c r="E5287" s="1179">
        <v>2022</v>
      </c>
      <c r="F5287" s="1282" t="s">
        <v>20220</v>
      </c>
      <c r="G5287" s="1368">
        <v>14.5</v>
      </c>
      <c r="H5287" s="1178" t="s">
        <v>20465</v>
      </c>
      <c r="I5287" s="1178" t="s">
        <v>16411</v>
      </c>
      <c r="J5287" s="1178" t="s">
        <v>16406</v>
      </c>
      <c r="K5287" s="1178" t="s">
        <v>575</v>
      </c>
      <c r="L5287" s="1178"/>
      <c r="M5287" s="1369"/>
      <c r="N5287" s="1178"/>
      <c r="O5287" s="1178">
        <v>6</v>
      </c>
      <c r="P5287" s="1178">
        <v>13</v>
      </c>
    </row>
    <row r="5288" spans="1:16">
      <c r="A5288" s="1178" t="s">
        <v>577</v>
      </c>
      <c r="B5288" s="1371" t="str">
        <f>HYPERLINK(IFERROR("#Main_Tariff!A"&amp;MATCH(Raeburn_Main_Tariff[[#This Row],[Product Code]],Main_Tariff!I:I,0),"#Main_Tariff!A"&amp;MATCH("*"&amp;RIGHT(A5288,8)&amp;"*",Main_Tariff!A:A,0)),Raeburn_Main_Tariff[[#This Row],[PRODUCER]])</f>
        <v>Chateau Musar</v>
      </c>
      <c r="C5288" s="1178" t="s">
        <v>22781</v>
      </c>
      <c r="D5288" s="1178" t="s">
        <v>897</v>
      </c>
      <c r="E5288" s="1179">
        <v>2021</v>
      </c>
      <c r="F5288" s="1282" t="s">
        <v>20220</v>
      </c>
      <c r="G5288" s="1368">
        <v>14.5</v>
      </c>
      <c r="H5288" s="1178" t="s">
        <v>20221</v>
      </c>
      <c r="I5288" s="1178" t="s">
        <v>16413</v>
      </c>
      <c r="J5288" s="1178" t="s">
        <v>16406</v>
      </c>
      <c r="K5288" s="1178" t="s">
        <v>575</v>
      </c>
      <c r="L5288" s="1178"/>
      <c r="M5288" s="1369"/>
      <c r="N5288" s="1178"/>
      <c r="O5288" s="1178">
        <v>6</v>
      </c>
      <c r="P5288" s="1178">
        <v>13</v>
      </c>
    </row>
    <row r="5289" spans="1:16">
      <c r="A5289" s="1178" t="s">
        <v>577</v>
      </c>
      <c r="B5289" s="1371" t="str">
        <f>HYPERLINK(IFERROR("#Main_Tariff!A"&amp;MATCH(Raeburn_Main_Tariff[[#This Row],[Product Code]],Main_Tariff!I:I,0),"#Main_Tariff!A"&amp;MATCH("*"&amp;RIGHT(A5289,8)&amp;"*",Main_Tariff!A:A,0)),Raeburn_Main_Tariff[[#This Row],[PRODUCER]])</f>
        <v>Chateau Musar</v>
      </c>
      <c r="C5289" s="1178" t="s">
        <v>22782</v>
      </c>
      <c r="D5289" s="1178" t="s">
        <v>1129</v>
      </c>
      <c r="E5289" s="1179">
        <v>2018</v>
      </c>
      <c r="F5289" s="1282" t="s">
        <v>20220</v>
      </c>
      <c r="G5289" s="1368">
        <v>34.5</v>
      </c>
      <c r="H5289" s="1178" t="s">
        <v>20221</v>
      </c>
      <c r="I5289" s="1178" t="s">
        <v>16422</v>
      </c>
      <c r="J5289" s="1178" t="s">
        <v>16406</v>
      </c>
      <c r="K5289" s="1178" t="s">
        <v>575</v>
      </c>
      <c r="L5289" s="1178"/>
      <c r="M5289" s="1369"/>
      <c r="N5289" s="1178"/>
      <c r="O5289" s="1178">
        <v>6</v>
      </c>
      <c r="P5289" s="1178">
        <v>12</v>
      </c>
    </row>
    <row r="5290" spans="1:16">
      <c r="A5290" s="1178" t="s">
        <v>577</v>
      </c>
      <c r="B5290" s="1371" t="str">
        <f>HYPERLINK(IFERROR("#Main_Tariff!A"&amp;MATCH(Raeburn_Main_Tariff[[#This Row],[Product Code]],Main_Tariff!I:I,0),"#Main_Tariff!A"&amp;MATCH("*"&amp;RIGHT(A5290,8)&amp;"*",Main_Tariff!A:A,0)),Raeburn_Main_Tariff[[#This Row],[PRODUCER]])</f>
        <v>Chateau Musar</v>
      </c>
      <c r="C5290" s="1178" t="s">
        <v>22783</v>
      </c>
      <c r="D5290" s="1178" t="s">
        <v>897</v>
      </c>
      <c r="E5290" s="1179">
        <v>2019</v>
      </c>
      <c r="F5290" s="1282" t="s">
        <v>20220</v>
      </c>
      <c r="G5290" s="1368">
        <v>23.25</v>
      </c>
      <c r="H5290" s="1178" t="s">
        <v>20465</v>
      </c>
      <c r="I5290" s="1178" t="s">
        <v>16427</v>
      </c>
      <c r="J5290" s="1178" t="s">
        <v>16406</v>
      </c>
      <c r="K5290" s="1178" t="s">
        <v>575</v>
      </c>
      <c r="L5290" s="1178"/>
      <c r="M5290" s="1369"/>
      <c r="N5290" s="1178"/>
      <c r="O5290" s="1178">
        <v>6</v>
      </c>
      <c r="P5290" s="1178">
        <v>0</v>
      </c>
    </row>
    <row r="5291" spans="1:16">
      <c r="A5291" s="1178" t="s">
        <v>577</v>
      </c>
      <c r="B5291" s="1371" t="str">
        <f>HYPERLINK(IFERROR("#Main_Tariff!A"&amp;MATCH(Raeburn_Main_Tariff[[#This Row],[Product Code]],Main_Tariff!I:I,0),"#Main_Tariff!A"&amp;MATCH("*"&amp;RIGHT(A5291,8)&amp;"*",Main_Tariff!A:A,0)),Raeburn_Main_Tariff[[#This Row],[PRODUCER]])</f>
        <v>Chateau Musar</v>
      </c>
      <c r="C5291" s="1178" t="s">
        <v>22783</v>
      </c>
      <c r="D5291" s="1178" t="s">
        <v>897</v>
      </c>
      <c r="E5291" s="1179">
        <v>2017</v>
      </c>
      <c r="F5291" s="1282" t="s">
        <v>20220</v>
      </c>
      <c r="G5291" s="1368">
        <v>23.25</v>
      </c>
      <c r="H5291" s="1178" t="s">
        <v>20221</v>
      </c>
      <c r="I5291" s="1178" t="s">
        <v>16429</v>
      </c>
      <c r="J5291" s="1178" t="s">
        <v>16406</v>
      </c>
      <c r="K5291" s="1178" t="s">
        <v>575</v>
      </c>
      <c r="L5291" s="1178"/>
      <c r="M5291" s="1369"/>
      <c r="N5291" s="1178"/>
      <c r="O5291" s="1178">
        <v>6</v>
      </c>
      <c r="P5291" s="1178">
        <v>14</v>
      </c>
    </row>
    <row r="5292" spans="1:16">
      <c r="A5292" s="1178" t="s">
        <v>577</v>
      </c>
      <c r="B5292" s="1371" t="str">
        <f>HYPERLINK(IFERROR("#Main_Tariff!A"&amp;MATCH(Raeburn_Main_Tariff[[#This Row],[Product Code]],Main_Tariff!I:I,0),"#Main_Tariff!A"&amp;MATCH("*"&amp;RIGHT(A5292,8)&amp;"*",Main_Tariff!A:A,0)),Raeburn_Main_Tariff[[#This Row],[PRODUCER]])</f>
        <v>Chateau Musar</v>
      </c>
      <c r="C5292" s="1178" t="s">
        <v>22784</v>
      </c>
      <c r="D5292" s="1178" t="s">
        <v>897</v>
      </c>
      <c r="E5292" s="1179">
        <v>2015</v>
      </c>
      <c r="F5292" s="1282" t="s">
        <v>20240</v>
      </c>
      <c r="G5292" s="1368">
        <v>51</v>
      </c>
      <c r="H5292" s="1178" t="s">
        <v>20277</v>
      </c>
      <c r="I5292" s="1178" t="s">
        <v>16430</v>
      </c>
      <c r="J5292" s="1178" t="s">
        <v>16406</v>
      </c>
      <c r="K5292" s="1178" t="s">
        <v>575</v>
      </c>
      <c r="L5292" s="1178"/>
      <c r="M5292" s="1369"/>
      <c r="N5292" s="1178"/>
      <c r="O5292" s="1178">
        <v>3</v>
      </c>
      <c r="P5292" s="1178">
        <v>0</v>
      </c>
    </row>
    <row r="5293" spans="1:16">
      <c r="A5293" s="1178" t="s">
        <v>577</v>
      </c>
      <c r="B5293" s="1371" t="str">
        <f>HYPERLINK(IFERROR("#Main_Tariff!A"&amp;MATCH(Raeburn_Main_Tariff[[#This Row],[Product Code]],Main_Tariff!I:I,0),"#Main_Tariff!A"&amp;MATCH("*"&amp;RIGHT(A5293,8)&amp;"*",Main_Tariff!A:A,0)),Raeburn_Main_Tariff[[#This Row],[PRODUCER]])</f>
        <v>Chateau Musar</v>
      </c>
      <c r="C5293" s="1178" t="s">
        <v>22785</v>
      </c>
      <c r="D5293" s="1178" t="s">
        <v>897</v>
      </c>
      <c r="E5293" s="1179">
        <v>2018</v>
      </c>
      <c r="F5293" s="1282" t="s">
        <v>20280</v>
      </c>
      <c r="G5293" s="1368">
        <v>20.5</v>
      </c>
      <c r="H5293" s="1178" t="s">
        <v>20221</v>
      </c>
      <c r="I5293" s="1178" t="s">
        <v>16434</v>
      </c>
      <c r="J5293" s="1178" t="s">
        <v>16406</v>
      </c>
      <c r="K5293" s="1178" t="s">
        <v>575</v>
      </c>
      <c r="L5293" s="1178"/>
      <c r="M5293" s="1369"/>
      <c r="N5293" s="1178"/>
      <c r="O5293" s="1178">
        <v>12</v>
      </c>
      <c r="P5293" s="1178">
        <v>14</v>
      </c>
    </row>
    <row r="5294" spans="1:16">
      <c r="A5294" s="1178" t="s">
        <v>577</v>
      </c>
      <c r="B5294" s="1371" t="str">
        <f>HYPERLINK(IFERROR("#Main_Tariff!A"&amp;MATCH(Raeburn_Main_Tariff[[#This Row],[Product Code]],Main_Tariff!I:I,0),"#Main_Tariff!A"&amp;MATCH("*"&amp;RIGHT(A5294,8)&amp;"*",Main_Tariff!A:A,0)),Raeburn_Main_Tariff[[#This Row],[PRODUCER]])</f>
        <v>Chateau Musar</v>
      </c>
      <c r="C5294" s="1178" t="s">
        <v>22785</v>
      </c>
      <c r="D5294" s="1178" t="s">
        <v>897</v>
      </c>
      <c r="E5294" s="1179">
        <v>2017</v>
      </c>
      <c r="F5294" s="1282" t="s">
        <v>20280</v>
      </c>
      <c r="G5294" s="1368">
        <v>20.5</v>
      </c>
      <c r="H5294" s="1178" t="s">
        <v>20221</v>
      </c>
      <c r="I5294" s="1178" t="s">
        <v>16436</v>
      </c>
      <c r="J5294" s="1178" t="s">
        <v>16406</v>
      </c>
      <c r="K5294" s="1178" t="s">
        <v>575</v>
      </c>
      <c r="L5294" s="1178"/>
      <c r="M5294" s="1369"/>
      <c r="N5294" s="1178"/>
      <c r="O5294" s="1178">
        <v>12</v>
      </c>
      <c r="P5294" s="1178">
        <v>14</v>
      </c>
    </row>
    <row r="5295" spans="1:16">
      <c r="A5295" s="1178" t="s">
        <v>577</v>
      </c>
      <c r="B5295" s="1371" t="str">
        <f>HYPERLINK(IFERROR("#Main_Tariff!A"&amp;MATCH(Raeburn_Main_Tariff[[#This Row],[Product Code]],Main_Tariff!I:I,0),"#Main_Tariff!A"&amp;MATCH("*"&amp;RIGHT(A5295,8)&amp;"*",Main_Tariff!A:A,0)),Raeburn_Main_Tariff[[#This Row],[PRODUCER]])</f>
        <v>Chateau Musar</v>
      </c>
      <c r="C5295" s="1178" t="s">
        <v>22785</v>
      </c>
      <c r="D5295" s="1178" t="s">
        <v>897</v>
      </c>
      <c r="E5295" s="1179">
        <v>2016</v>
      </c>
      <c r="F5295" s="1282" t="s">
        <v>20280</v>
      </c>
      <c r="G5295" s="1368">
        <v>20.5</v>
      </c>
      <c r="H5295" s="1178" t="s">
        <v>20221</v>
      </c>
      <c r="I5295" s="1178" t="s">
        <v>16438</v>
      </c>
      <c r="J5295" s="1178" t="s">
        <v>16406</v>
      </c>
      <c r="K5295" s="1178" t="s">
        <v>575</v>
      </c>
      <c r="L5295" s="1178"/>
      <c r="M5295" s="1369"/>
      <c r="N5295" s="1178"/>
      <c r="O5295" s="1178">
        <v>12</v>
      </c>
      <c r="P5295" s="1178">
        <v>14</v>
      </c>
    </row>
    <row r="5296" spans="1:16">
      <c r="A5296" s="1178" t="s">
        <v>577</v>
      </c>
      <c r="B5296" s="1371" t="str">
        <f>HYPERLINK(IFERROR("#Main_Tariff!A"&amp;MATCH(Raeburn_Main_Tariff[[#This Row],[Product Code]],Main_Tariff!I:I,0),"#Main_Tariff!A"&amp;MATCH("*"&amp;RIGHT(A5296,8)&amp;"*",Main_Tariff!A:A,0)),Raeburn_Main_Tariff[[#This Row],[PRODUCER]])</f>
        <v>Chateau Musar</v>
      </c>
      <c r="C5296" s="1178" t="s">
        <v>22785</v>
      </c>
      <c r="D5296" s="1178" t="s">
        <v>897</v>
      </c>
      <c r="E5296" s="1179">
        <v>1998</v>
      </c>
      <c r="F5296" s="1282" t="s">
        <v>20280</v>
      </c>
      <c r="G5296" s="1368">
        <v>20.5</v>
      </c>
      <c r="H5296" s="1178" t="s">
        <v>20277</v>
      </c>
      <c r="I5296" s="1178" t="s">
        <v>16440</v>
      </c>
      <c r="J5296" s="1178" t="s">
        <v>16406</v>
      </c>
      <c r="K5296" s="1178" t="s">
        <v>575</v>
      </c>
      <c r="L5296" s="1178"/>
      <c r="M5296" s="1369"/>
      <c r="N5296" s="1178"/>
      <c r="O5296" s="1178">
        <v>12</v>
      </c>
      <c r="P5296" s="1178">
        <v>13.5</v>
      </c>
    </row>
    <row r="5297" spans="1:16">
      <c r="A5297" s="1178" t="s">
        <v>577</v>
      </c>
      <c r="B5297" s="1371" t="str">
        <f>HYPERLINK(IFERROR("#Main_Tariff!A"&amp;MATCH(Raeburn_Main_Tariff[[#This Row],[Product Code]],Main_Tariff!I:I,0),"#Main_Tariff!A"&amp;MATCH("*"&amp;RIGHT(A5297,8)&amp;"*",Main_Tariff!A:A,0)),Raeburn_Main_Tariff[[#This Row],[PRODUCER]])</f>
        <v>Chateau Musar</v>
      </c>
      <c r="C5297" s="1178" t="s">
        <v>22786</v>
      </c>
      <c r="D5297" s="1178" t="s">
        <v>897</v>
      </c>
      <c r="E5297" s="1179">
        <v>2018</v>
      </c>
      <c r="F5297" s="1282" t="s">
        <v>20220</v>
      </c>
      <c r="G5297" s="1368">
        <v>34.75</v>
      </c>
      <c r="H5297" s="1178" t="s">
        <v>20221</v>
      </c>
      <c r="I5297" s="1178" t="s">
        <v>16443</v>
      </c>
      <c r="J5297" s="1178" t="s">
        <v>16406</v>
      </c>
      <c r="K5297" s="1178" t="s">
        <v>575</v>
      </c>
      <c r="L5297" s="1178"/>
      <c r="M5297" s="1369"/>
      <c r="N5297" s="1178"/>
      <c r="O5297" s="1178">
        <v>6</v>
      </c>
      <c r="P5297" s="1178">
        <v>14</v>
      </c>
    </row>
    <row r="5298" spans="1:16">
      <c r="A5298" s="1178" t="s">
        <v>577</v>
      </c>
      <c r="B5298" s="1371" t="str">
        <f>HYPERLINK(IFERROR("#Main_Tariff!A"&amp;MATCH(Raeburn_Main_Tariff[[#This Row],[Product Code]],Main_Tariff!I:I,0),"#Main_Tariff!A"&amp;MATCH("*"&amp;RIGHT(A5298,8)&amp;"*",Main_Tariff!A:A,0)),Raeburn_Main_Tariff[[#This Row],[PRODUCER]])</f>
        <v>Chateau Musar</v>
      </c>
      <c r="C5298" s="1178" t="s">
        <v>22787</v>
      </c>
      <c r="D5298" s="1178" t="s">
        <v>897</v>
      </c>
      <c r="E5298" s="1179">
        <v>2018</v>
      </c>
      <c r="F5298" s="1282" t="s">
        <v>20240</v>
      </c>
      <c r="G5298" s="1368">
        <v>86</v>
      </c>
      <c r="H5298" s="1178" t="s">
        <v>20277</v>
      </c>
      <c r="I5298" s="1178" t="s">
        <v>16446</v>
      </c>
      <c r="J5298" s="1178" t="s">
        <v>16406</v>
      </c>
      <c r="K5298" s="1178" t="s">
        <v>575</v>
      </c>
      <c r="L5298" s="1178"/>
      <c r="M5298" s="1369"/>
      <c r="N5298" s="1178"/>
      <c r="O5298" s="1178">
        <v>3</v>
      </c>
      <c r="P5298" s="1178">
        <v>14</v>
      </c>
    </row>
    <row r="5299" spans="1:16">
      <c r="A5299" s="1178" t="s">
        <v>577</v>
      </c>
      <c r="B5299" s="1371" t="str">
        <f>HYPERLINK(IFERROR("#Main_Tariff!A"&amp;MATCH(Raeburn_Main_Tariff[[#This Row],[Product Code]],Main_Tariff!I:I,0),"#Main_Tariff!A"&amp;MATCH("*"&amp;RIGHT(A5299,8)&amp;"*",Main_Tariff!A:A,0)),Raeburn_Main_Tariff[[#This Row],[PRODUCER]])</f>
        <v>Chateau Musar</v>
      </c>
      <c r="C5299" s="1178" t="s">
        <v>22788</v>
      </c>
      <c r="D5299" s="1178" t="s">
        <v>897</v>
      </c>
      <c r="E5299" s="1179">
        <v>2017</v>
      </c>
      <c r="F5299" s="1282" t="s">
        <v>20288</v>
      </c>
      <c r="G5299" s="1368">
        <v>231</v>
      </c>
      <c r="H5299" s="1178" t="s">
        <v>20224</v>
      </c>
      <c r="I5299" s="1178" t="s">
        <v>16448</v>
      </c>
      <c r="J5299" s="1178" t="s">
        <v>16406</v>
      </c>
      <c r="K5299" s="1178" t="s">
        <v>575</v>
      </c>
      <c r="L5299" s="1178"/>
      <c r="M5299" s="1369"/>
      <c r="N5299" s="1178"/>
      <c r="O5299" s="1178">
        <v>1</v>
      </c>
      <c r="P5299" s="1178">
        <v>14</v>
      </c>
    </row>
    <row r="5300" spans="1:16">
      <c r="A5300" s="1178" t="s">
        <v>580</v>
      </c>
      <c r="B5300" s="1371" t="str">
        <f>HYPERLINK(IFERROR("#Main_Tariff!A"&amp;MATCH(Raeburn_Main_Tariff[[#This Row],[Product Code]],Main_Tariff!I:I,0),"#Main_Tariff!A"&amp;MATCH("*"&amp;RIGHT(A5300,8)&amp;"*",Main_Tariff!A:A,0)),Raeburn_Main_Tariff[[#This Row],[PRODUCER]])</f>
        <v>Finca Tacuil</v>
      </c>
      <c r="C5300" s="1178" t="s">
        <v>18769</v>
      </c>
      <c r="D5300" s="1178" t="s">
        <v>897</v>
      </c>
      <c r="E5300" s="1179">
        <v>2019</v>
      </c>
      <c r="F5300" s="1282" t="s">
        <v>20220</v>
      </c>
      <c r="G5300" s="1368">
        <v>12.25</v>
      </c>
      <c r="H5300" s="1178" t="s">
        <v>20277</v>
      </c>
      <c r="I5300" s="1178" t="s">
        <v>16460</v>
      </c>
      <c r="J5300" s="1178" t="s">
        <v>16458</v>
      </c>
      <c r="K5300" s="1178" t="s">
        <v>579</v>
      </c>
      <c r="L5300" s="1178"/>
      <c r="M5300" s="1369"/>
      <c r="N5300" s="1178"/>
      <c r="O5300" s="1178">
        <v>6</v>
      </c>
      <c r="P5300" s="1178">
        <v>14</v>
      </c>
    </row>
    <row r="5301" spans="1:16">
      <c r="A5301" s="1178" t="s">
        <v>583</v>
      </c>
      <c r="B5301" s="1371" t="str">
        <f>HYPERLINK(IFERROR("#Main_Tariff!A"&amp;MATCH(Raeburn_Main_Tariff[[#This Row],[Product Code]],Main_Tariff!I:I,0),"#Main_Tariff!A"&amp;MATCH("*"&amp;RIGHT(A5301,8)&amp;"*",Main_Tariff!A:A,0)),Raeburn_Main_Tariff[[#This Row],[PRODUCER]])</f>
        <v>Los Vascos</v>
      </c>
      <c r="C5301" s="1178" t="s">
        <v>22789</v>
      </c>
      <c r="D5301" s="1178" t="s">
        <v>897</v>
      </c>
      <c r="E5301" s="1179">
        <v>2019</v>
      </c>
      <c r="F5301" s="1282" t="s">
        <v>20220</v>
      </c>
      <c r="G5301" s="1368">
        <v>16</v>
      </c>
      <c r="H5301" s="1178" t="s">
        <v>20221</v>
      </c>
      <c r="I5301" s="1178" t="s">
        <v>16468</v>
      </c>
      <c r="J5301" s="1178" t="s">
        <v>16466</v>
      </c>
      <c r="K5301" s="1178" t="s">
        <v>582</v>
      </c>
      <c r="L5301" s="1178"/>
      <c r="M5301" s="1369"/>
      <c r="N5301" s="1178"/>
      <c r="O5301" s="1178">
        <v>12</v>
      </c>
      <c r="P5301" s="1178">
        <v>14.5</v>
      </c>
    </row>
    <row r="5302" spans="1:16">
      <c r="A5302" s="1178" t="s">
        <v>587</v>
      </c>
      <c r="B5302" s="1371" t="str">
        <f>HYPERLINK(IFERROR("#Main_Tariff!A"&amp;MATCH(Raeburn_Main_Tariff[[#This Row],[Product Code]],Main_Tariff!I:I,0),"#Main_Tariff!A"&amp;MATCH("*"&amp;RIGHT(A5302,8)&amp;"*",Main_Tariff!A:A,0)),Raeburn_Main_Tariff[[#This Row],[PRODUCER]])</f>
        <v>DuMOL</v>
      </c>
      <c r="C5302" s="1178" t="s">
        <v>22790</v>
      </c>
      <c r="D5302" s="1178" t="s">
        <v>1129</v>
      </c>
      <c r="E5302" s="1179">
        <v>2022</v>
      </c>
      <c r="F5302" s="1282" t="s">
        <v>20220</v>
      </c>
      <c r="G5302" s="1368">
        <v>45</v>
      </c>
      <c r="H5302" s="1178" t="s">
        <v>20221</v>
      </c>
      <c r="I5302" s="1178" t="s">
        <v>16598</v>
      </c>
      <c r="J5302" s="1178" t="s">
        <v>22791</v>
      </c>
      <c r="K5302" s="1178" t="s">
        <v>585</v>
      </c>
      <c r="L5302" s="1178" t="s">
        <v>586</v>
      </c>
      <c r="M5302" s="1369"/>
      <c r="N5302" s="1178"/>
      <c r="O5302" s="1178">
        <v>6</v>
      </c>
      <c r="P5302" s="1178">
        <v>14</v>
      </c>
    </row>
    <row r="5303" spans="1:16">
      <c r="A5303" s="1178" t="s">
        <v>587</v>
      </c>
      <c r="B5303" s="1371" t="str">
        <f>HYPERLINK(IFERROR("#Main_Tariff!A"&amp;MATCH(Raeburn_Main_Tariff[[#This Row],[Product Code]],Main_Tariff!I:I,0),"#Main_Tariff!A"&amp;MATCH("*"&amp;RIGHT(A5303,8)&amp;"*",Main_Tariff!A:A,0)),Raeburn_Main_Tariff[[#This Row],[PRODUCER]])</f>
        <v>DuMOL</v>
      </c>
      <c r="C5303" s="1178" t="s">
        <v>22790</v>
      </c>
      <c r="D5303" s="1178" t="s">
        <v>1129</v>
      </c>
      <c r="E5303" s="1179">
        <v>2021</v>
      </c>
      <c r="F5303" s="1282" t="s">
        <v>20220</v>
      </c>
      <c r="G5303" s="1368">
        <v>43</v>
      </c>
      <c r="H5303" s="1178" t="s">
        <v>20221</v>
      </c>
      <c r="I5303" s="1178" t="s">
        <v>16600</v>
      </c>
      <c r="J5303" s="1178" t="s">
        <v>22791</v>
      </c>
      <c r="K5303" s="1178" t="s">
        <v>585</v>
      </c>
      <c r="L5303" s="1178" t="s">
        <v>586</v>
      </c>
      <c r="M5303" s="1369"/>
      <c r="N5303" s="1178"/>
      <c r="O5303" s="1178">
        <v>6</v>
      </c>
      <c r="P5303" s="1178">
        <v>14</v>
      </c>
    </row>
    <row r="5304" spans="1:16">
      <c r="A5304" s="1178" t="s">
        <v>587</v>
      </c>
      <c r="B5304" s="1371" t="str">
        <f>HYPERLINK(IFERROR("#Main_Tariff!A"&amp;MATCH(Raeburn_Main_Tariff[[#This Row],[Product Code]],Main_Tariff!I:I,0),"#Main_Tariff!A"&amp;MATCH("*"&amp;RIGHT(A5304,8)&amp;"*",Main_Tariff!A:A,0)),Raeburn_Main_Tariff[[#This Row],[PRODUCER]])</f>
        <v>DuMOL</v>
      </c>
      <c r="C5304" s="1178" t="s">
        <v>22790</v>
      </c>
      <c r="D5304" s="1178" t="s">
        <v>1129</v>
      </c>
      <c r="E5304" s="1179">
        <v>2020</v>
      </c>
      <c r="F5304" s="1282" t="s">
        <v>20220</v>
      </c>
      <c r="G5304" s="1368">
        <v>43</v>
      </c>
      <c r="H5304" s="1178" t="s">
        <v>20221</v>
      </c>
      <c r="I5304" s="1178" t="s">
        <v>16602</v>
      </c>
      <c r="J5304" s="1178" t="s">
        <v>22791</v>
      </c>
      <c r="K5304" s="1178" t="s">
        <v>585</v>
      </c>
      <c r="L5304" s="1178" t="s">
        <v>586</v>
      </c>
      <c r="M5304" s="1369"/>
      <c r="N5304" s="1178"/>
      <c r="O5304" s="1178">
        <v>6</v>
      </c>
      <c r="P5304" s="1178">
        <v>14.1</v>
      </c>
    </row>
    <row r="5305" spans="1:16">
      <c r="A5305" s="1178" t="s">
        <v>587</v>
      </c>
      <c r="B5305" s="1371" t="str">
        <f>HYPERLINK(IFERROR("#Main_Tariff!A"&amp;MATCH(Raeburn_Main_Tariff[[#This Row],[Product Code]],Main_Tariff!I:I,0),"#Main_Tariff!A"&amp;MATCH("*"&amp;RIGHT(A5305,8)&amp;"*",Main_Tariff!A:A,0)),Raeburn_Main_Tariff[[#This Row],[PRODUCER]])</f>
        <v>DuMOL</v>
      </c>
      <c r="C5305" s="1178" t="s">
        <v>22790</v>
      </c>
      <c r="D5305" s="1178" t="s">
        <v>1129</v>
      </c>
      <c r="E5305" s="1179">
        <v>2019</v>
      </c>
      <c r="F5305" s="1282" t="s">
        <v>20220</v>
      </c>
      <c r="G5305" s="1368">
        <v>42</v>
      </c>
      <c r="H5305" s="1178" t="s">
        <v>20277</v>
      </c>
      <c r="I5305" s="1178" t="s">
        <v>16604</v>
      </c>
      <c r="J5305" s="1178" t="s">
        <v>22791</v>
      </c>
      <c r="K5305" s="1178" t="s">
        <v>585</v>
      </c>
      <c r="L5305" s="1178" t="s">
        <v>586</v>
      </c>
      <c r="M5305" s="1369"/>
      <c r="N5305" s="1178"/>
      <c r="O5305" s="1178">
        <v>6</v>
      </c>
      <c r="P5305" s="1178">
        <v>14.1</v>
      </c>
    </row>
    <row r="5306" spans="1:16">
      <c r="A5306" s="1178" t="s">
        <v>587</v>
      </c>
      <c r="B5306" s="1371" t="str">
        <f>HYPERLINK(IFERROR("#Main_Tariff!A"&amp;MATCH(Raeburn_Main_Tariff[[#This Row],[Product Code]],Main_Tariff!I:I,0),"#Main_Tariff!A"&amp;MATCH("*"&amp;RIGHT(A5306,8)&amp;"*",Main_Tariff!A:A,0)),Raeburn_Main_Tariff[[#This Row],[PRODUCER]])</f>
        <v>DuMOL</v>
      </c>
      <c r="C5306" s="1178" t="s">
        <v>22792</v>
      </c>
      <c r="D5306" s="1178" t="s">
        <v>1129</v>
      </c>
      <c r="E5306" s="1179">
        <v>2022</v>
      </c>
      <c r="F5306" s="1282" t="s">
        <v>20220</v>
      </c>
      <c r="G5306" s="1368">
        <v>54</v>
      </c>
      <c r="H5306" s="1178" t="s">
        <v>20221</v>
      </c>
      <c r="I5306" s="1178" t="s">
        <v>16608</v>
      </c>
      <c r="J5306" s="1178" t="s">
        <v>22791</v>
      </c>
      <c r="K5306" s="1178" t="s">
        <v>585</v>
      </c>
      <c r="L5306" s="1178" t="s">
        <v>22793</v>
      </c>
      <c r="M5306" s="1369"/>
      <c r="N5306" s="1178"/>
      <c r="O5306" s="1178">
        <v>6</v>
      </c>
      <c r="P5306" s="1178">
        <v>13.7</v>
      </c>
    </row>
    <row r="5307" spans="1:16">
      <c r="A5307" s="1178" t="s">
        <v>587</v>
      </c>
      <c r="B5307" s="1371" t="str">
        <f>HYPERLINK(IFERROR("#Main_Tariff!A"&amp;MATCH(Raeburn_Main_Tariff[[#This Row],[Product Code]],Main_Tariff!I:I,0),"#Main_Tariff!A"&amp;MATCH("*"&amp;RIGHT(A5307,8)&amp;"*",Main_Tariff!A:A,0)),Raeburn_Main_Tariff[[#This Row],[PRODUCER]])</f>
        <v>DuMOL</v>
      </c>
      <c r="C5307" s="1178" t="s">
        <v>22792</v>
      </c>
      <c r="D5307" s="1178" t="s">
        <v>1129</v>
      </c>
      <c r="E5307" s="1179">
        <v>2021</v>
      </c>
      <c r="F5307" s="1282" t="s">
        <v>20220</v>
      </c>
      <c r="G5307" s="1368">
        <v>54</v>
      </c>
      <c r="H5307" s="1178" t="s">
        <v>20224</v>
      </c>
      <c r="I5307" s="1178" t="s">
        <v>16610</v>
      </c>
      <c r="J5307" s="1178" t="s">
        <v>22791</v>
      </c>
      <c r="K5307" s="1178" t="s">
        <v>585</v>
      </c>
      <c r="L5307" s="1178" t="s">
        <v>22793</v>
      </c>
      <c r="M5307" s="1369"/>
      <c r="N5307" s="1178"/>
      <c r="O5307" s="1178">
        <v>6</v>
      </c>
      <c r="P5307" s="1178">
        <v>14</v>
      </c>
    </row>
    <row r="5308" spans="1:16">
      <c r="A5308" s="1178" t="s">
        <v>587</v>
      </c>
      <c r="B5308" s="1371" t="str">
        <f>HYPERLINK(IFERROR("#Main_Tariff!A"&amp;MATCH(Raeburn_Main_Tariff[[#This Row],[Product Code]],Main_Tariff!I:I,0),"#Main_Tariff!A"&amp;MATCH("*"&amp;RIGHT(A5308,8)&amp;"*",Main_Tariff!A:A,0)),Raeburn_Main_Tariff[[#This Row],[PRODUCER]])</f>
        <v>DuMOL</v>
      </c>
      <c r="C5308" s="1178" t="s">
        <v>22792</v>
      </c>
      <c r="D5308" s="1178" t="s">
        <v>1129</v>
      </c>
      <c r="E5308" s="1179">
        <v>2020</v>
      </c>
      <c r="F5308" s="1282" t="s">
        <v>20220</v>
      </c>
      <c r="G5308" s="1368">
        <v>54</v>
      </c>
      <c r="H5308" s="1178" t="s">
        <v>20221</v>
      </c>
      <c r="I5308" s="1178" t="s">
        <v>16612</v>
      </c>
      <c r="J5308" s="1178" t="s">
        <v>22791</v>
      </c>
      <c r="K5308" s="1178" t="s">
        <v>585</v>
      </c>
      <c r="L5308" s="1178" t="s">
        <v>22793</v>
      </c>
      <c r="M5308" s="1369"/>
      <c r="N5308" s="1178"/>
      <c r="O5308" s="1178">
        <v>6</v>
      </c>
      <c r="P5308" s="1178">
        <v>14.1</v>
      </c>
    </row>
    <row r="5309" spans="1:16">
      <c r="A5309" s="1178" t="s">
        <v>587</v>
      </c>
      <c r="B5309" s="1371" t="str">
        <f>HYPERLINK(IFERROR("#Main_Tariff!A"&amp;MATCH(Raeburn_Main_Tariff[[#This Row],[Product Code]],Main_Tariff!I:I,0),"#Main_Tariff!A"&amp;MATCH("*"&amp;RIGHT(A5309,8)&amp;"*",Main_Tariff!A:A,0)),Raeburn_Main_Tariff[[#This Row],[PRODUCER]])</f>
        <v>DuMOL</v>
      </c>
      <c r="C5309" s="1178" t="s">
        <v>22794</v>
      </c>
      <c r="D5309" s="1178" t="s">
        <v>1129</v>
      </c>
      <c r="E5309" s="1179">
        <v>2022</v>
      </c>
      <c r="F5309" s="1282" t="s">
        <v>20220</v>
      </c>
      <c r="G5309" s="1368">
        <v>54</v>
      </c>
      <c r="H5309" s="1178" t="s">
        <v>20224</v>
      </c>
      <c r="I5309" s="1178" t="s">
        <v>16614</v>
      </c>
      <c r="J5309" s="1178" t="s">
        <v>22791</v>
      </c>
      <c r="K5309" s="1178" t="s">
        <v>585</v>
      </c>
      <c r="L5309" s="1178" t="s">
        <v>22795</v>
      </c>
      <c r="M5309" s="1369"/>
      <c r="N5309" s="1178"/>
      <c r="O5309" s="1178">
        <v>6</v>
      </c>
      <c r="P5309" s="1178">
        <v>13.7</v>
      </c>
    </row>
    <row r="5310" spans="1:16">
      <c r="A5310" s="1178" t="s">
        <v>587</v>
      </c>
      <c r="B5310" s="1371" t="str">
        <f>HYPERLINK(IFERROR("#Main_Tariff!A"&amp;MATCH(Raeburn_Main_Tariff[[#This Row],[Product Code]],Main_Tariff!I:I,0),"#Main_Tariff!A"&amp;MATCH("*"&amp;RIGHT(A5310,8)&amp;"*",Main_Tariff!A:A,0)),Raeburn_Main_Tariff[[#This Row],[PRODUCER]])</f>
        <v>DuMOL</v>
      </c>
      <c r="C5310" s="1178" t="s">
        <v>22794</v>
      </c>
      <c r="D5310" s="1178" t="s">
        <v>1129</v>
      </c>
      <c r="E5310" s="1179">
        <v>2020</v>
      </c>
      <c r="F5310" s="1282" t="s">
        <v>20220</v>
      </c>
      <c r="G5310" s="1368">
        <v>54</v>
      </c>
      <c r="H5310" s="1178" t="s">
        <v>20221</v>
      </c>
      <c r="I5310" s="1178" t="s">
        <v>16616</v>
      </c>
      <c r="J5310" s="1178" t="s">
        <v>22791</v>
      </c>
      <c r="K5310" s="1178" t="s">
        <v>585</v>
      </c>
      <c r="L5310" s="1178" t="s">
        <v>22795</v>
      </c>
      <c r="M5310" s="1369"/>
      <c r="N5310" s="1178"/>
      <c r="O5310" s="1178">
        <v>6</v>
      </c>
      <c r="P5310" s="1178">
        <v>14.1</v>
      </c>
    </row>
    <row r="5311" spans="1:16">
      <c r="A5311" s="1178" t="s">
        <v>587</v>
      </c>
      <c r="B5311" s="1371" t="str">
        <f>HYPERLINK(IFERROR("#Main_Tariff!A"&amp;MATCH(Raeburn_Main_Tariff[[#This Row],[Product Code]],Main_Tariff!I:I,0),"#Main_Tariff!A"&amp;MATCH("*"&amp;RIGHT(A5311,8)&amp;"*",Main_Tariff!A:A,0)),Raeburn_Main_Tariff[[#This Row],[PRODUCER]])</f>
        <v>DuMOL</v>
      </c>
      <c r="C5311" s="1178" t="s">
        <v>22794</v>
      </c>
      <c r="D5311" s="1178" t="s">
        <v>1129</v>
      </c>
      <c r="E5311" s="1179">
        <v>2019</v>
      </c>
      <c r="F5311" s="1282" t="s">
        <v>20220</v>
      </c>
      <c r="G5311" s="1368">
        <v>52</v>
      </c>
      <c r="H5311" s="1178" t="s">
        <v>20221</v>
      </c>
      <c r="I5311" s="1178" t="s">
        <v>16618</v>
      </c>
      <c r="J5311" s="1178" t="s">
        <v>22791</v>
      </c>
      <c r="K5311" s="1178" t="s">
        <v>585</v>
      </c>
      <c r="L5311" s="1178" t="s">
        <v>22795</v>
      </c>
      <c r="M5311" s="1369"/>
      <c r="N5311" s="1178"/>
      <c r="O5311" s="1178">
        <v>6</v>
      </c>
      <c r="P5311" s="1178">
        <v>14.1</v>
      </c>
    </row>
    <row r="5312" spans="1:16">
      <c r="A5312" s="1178" t="s">
        <v>587</v>
      </c>
      <c r="B5312" s="1371" t="str">
        <f>HYPERLINK(IFERROR("#Main_Tariff!A"&amp;MATCH(Raeburn_Main_Tariff[[#This Row],[Product Code]],Main_Tariff!I:I,0),"#Main_Tariff!A"&amp;MATCH("*"&amp;RIGHT(A5312,8)&amp;"*",Main_Tariff!A:A,0)),Raeburn_Main_Tariff[[#This Row],[PRODUCER]])</f>
        <v>DuMOL</v>
      </c>
      <c r="C5312" s="1178" t="s">
        <v>22794</v>
      </c>
      <c r="D5312" s="1178" t="s">
        <v>1129</v>
      </c>
      <c r="E5312" s="1179">
        <v>2018</v>
      </c>
      <c r="F5312" s="1282" t="s">
        <v>20220</v>
      </c>
      <c r="G5312" s="1368">
        <v>52</v>
      </c>
      <c r="H5312" s="1178" t="s">
        <v>20221</v>
      </c>
      <c r="I5312" s="1178" t="s">
        <v>16620</v>
      </c>
      <c r="J5312" s="1178" t="s">
        <v>22791</v>
      </c>
      <c r="K5312" s="1178" t="s">
        <v>585</v>
      </c>
      <c r="L5312" s="1178" t="s">
        <v>22795</v>
      </c>
      <c r="M5312" s="1369"/>
      <c r="N5312" s="1178"/>
      <c r="O5312" s="1178">
        <v>6</v>
      </c>
      <c r="P5312" s="1178">
        <v>14.1</v>
      </c>
    </row>
    <row r="5313" spans="1:16">
      <c r="A5313" s="1178" t="s">
        <v>587</v>
      </c>
      <c r="B5313" s="1371" t="str">
        <f>HYPERLINK(IFERROR("#Main_Tariff!A"&amp;MATCH(Raeburn_Main_Tariff[[#This Row],[Product Code]],Main_Tariff!I:I,0),"#Main_Tariff!A"&amp;MATCH("*"&amp;RIGHT(A5313,8)&amp;"*",Main_Tariff!A:A,0)),Raeburn_Main_Tariff[[#This Row],[PRODUCER]])</f>
        <v>DuMOL</v>
      </c>
      <c r="C5313" s="1178" t="s">
        <v>22794</v>
      </c>
      <c r="D5313" s="1178" t="s">
        <v>1129</v>
      </c>
      <c r="E5313" s="1179">
        <v>2017</v>
      </c>
      <c r="F5313" s="1282" t="s">
        <v>20220</v>
      </c>
      <c r="G5313" s="1368">
        <v>52</v>
      </c>
      <c r="H5313" s="1178" t="s">
        <v>20224</v>
      </c>
      <c r="I5313" s="1178" t="s">
        <v>16622</v>
      </c>
      <c r="J5313" s="1178" t="s">
        <v>22791</v>
      </c>
      <c r="K5313" s="1178" t="s">
        <v>585</v>
      </c>
      <c r="L5313" s="1178" t="s">
        <v>22795</v>
      </c>
      <c r="M5313" s="1369"/>
      <c r="N5313" s="1178"/>
      <c r="O5313" s="1178">
        <v>6</v>
      </c>
      <c r="P5313" s="1178">
        <v>14</v>
      </c>
    </row>
    <row r="5314" spans="1:16">
      <c r="A5314" s="1178" t="s">
        <v>587</v>
      </c>
      <c r="B5314" s="1371" t="str">
        <f>HYPERLINK(IFERROR("#Main_Tariff!A"&amp;MATCH(Raeburn_Main_Tariff[[#This Row],[Product Code]],Main_Tariff!I:I,0),"#Main_Tariff!A"&amp;MATCH("*"&amp;RIGHT(A5314,8)&amp;"*",Main_Tariff!A:A,0)),Raeburn_Main_Tariff[[#This Row],[PRODUCER]])</f>
        <v>DuMOL</v>
      </c>
      <c r="C5314" s="1178" t="s">
        <v>22796</v>
      </c>
      <c r="D5314" s="1178" t="s">
        <v>1129</v>
      </c>
      <c r="E5314" s="1179">
        <v>2022</v>
      </c>
      <c r="F5314" s="1282" t="s">
        <v>20220</v>
      </c>
      <c r="G5314" s="1368">
        <v>58</v>
      </c>
      <c r="H5314" s="1178" t="s">
        <v>20221</v>
      </c>
      <c r="I5314" s="1178" t="s">
        <v>16628</v>
      </c>
      <c r="J5314" s="1178" t="s">
        <v>22791</v>
      </c>
      <c r="K5314" s="1178" t="s">
        <v>585</v>
      </c>
      <c r="L5314" s="1178" t="s">
        <v>22793</v>
      </c>
      <c r="M5314" s="1369"/>
      <c r="N5314" s="1178"/>
      <c r="O5314" s="1178">
        <v>6</v>
      </c>
      <c r="P5314" s="1178">
        <v>14.1</v>
      </c>
    </row>
    <row r="5315" spans="1:16">
      <c r="A5315" s="1178" t="s">
        <v>587</v>
      </c>
      <c r="B5315" s="1371" t="str">
        <f>HYPERLINK(IFERROR("#Main_Tariff!A"&amp;MATCH(Raeburn_Main_Tariff[[#This Row],[Product Code]],Main_Tariff!I:I,0),"#Main_Tariff!A"&amp;MATCH("*"&amp;RIGHT(A5315,8)&amp;"*",Main_Tariff!A:A,0)),Raeburn_Main_Tariff[[#This Row],[PRODUCER]])</f>
        <v>DuMOL</v>
      </c>
      <c r="C5315" s="1178" t="s">
        <v>22796</v>
      </c>
      <c r="D5315" s="1178" t="s">
        <v>1129</v>
      </c>
      <c r="E5315" s="1179">
        <v>2021</v>
      </c>
      <c r="F5315" s="1282" t="s">
        <v>20220</v>
      </c>
      <c r="G5315" s="1368">
        <v>56</v>
      </c>
      <c r="H5315" s="1178" t="s">
        <v>20221</v>
      </c>
      <c r="I5315" s="1178" t="s">
        <v>16630</v>
      </c>
      <c r="J5315" s="1178" t="s">
        <v>22791</v>
      </c>
      <c r="K5315" s="1178" t="s">
        <v>585</v>
      </c>
      <c r="L5315" s="1178" t="s">
        <v>22793</v>
      </c>
      <c r="M5315" s="1369"/>
      <c r="N5315" s="1178"/>
      <c r="O5315" s="1178">
        <v>6</v>
      </c>
      <c r="P5315" s="1178">
        <v>14</v>
      </c>
    </row>
    <row r="5316" spans="1:16">
      <c r="A5316" s="1178" t="s">
        <v>587</v>
      </c>
      <c r="B5316" s="1371" t="str">
        <f>HYPERLINK(IFERROR("#Main_Tariff!A"&amp;MATCH(Raeburn_Main_Tariff[[#This Row],[Product Code]],Main_Tariff!I:I,0),"#Main_Tariff!A"&amp;MATCH("*"&amp;RIGHT(A5316,8)&amp;"*",Main_Tariff!A:A,0)),Raeburn_Main_Tariff[[#This Row],[PRODUCER]])</f>
        <v>DuMOL</v>
      </c>
      <c r="C5316" s="1178" t="s">
        <v>22796</v>
      </c>
      <c r="D5316" s="1178" t="s">
        <v>1129</v>
      </c>
      <c r="E5316" s="1179">
        <v>2020</v>
      </c>
      <c r="F5316" s="1282" t="s">
        <v>20220</v>
      </c>
      <c r="G5316" s="1368">
        <v>56</v>
      </c>
      <c r="H5316" s="1178" t="s">
        <v>20221</v>
      </c>
      <c r="I5316" s="1178" t="s">
        <v>16632</v>
      </c>
      <c r="J5316" s="1178" t="s">
        <v>22791</v>
      </c>
      <c r="K5316" s="1178" t="s">
        <v>585</v>
      </c>
      <c r="L5316" s="1178" t="s">
        <v>22793</v>
      </c>
      <c r="M5316" s="1369"/>
      <c r="N5316" s="1178"/>
      <c r="O5316" s="1178">
        <v>6</v>
      </c>
      <c r="P5316" s="1178">
        <v>14.1</v>
      </c>
    </row>
    <row r="5317" spans="1:16">
      <c r="A5317" s="1178" t="s">
        <v>587</v>
      </c>
      <c r="B5317" s="1371" t="str">
        <f>HYPERLINK(IFERROR("#Main_Tariff!A"&amp;MATCH(Raeburn_Main_Tariff[[#This Row],[Product Code]],Main_Tariff!I:I,0),"#Main_Tariff!A"&amp;MATCH("*"&amp;RIGHT(A5317,8)&amp;"*",Main_Tariff!A:A,0)),Raeburn_Main_Tariff[[#This Row],[PRODUCER]])</f>
        <v>DuMOL</v>
      </c>
      <c r="C5317" s="1178" t="s">
        <v>22796</v>
      </c>
      <c r="D5317" s="1178" t="s">
        <v>1129</v>
      </c>
      <c r="E5317" s="1179">
        <v>2019</v>
      </c>
      <c r="F5317" s="1282" t="s">
        <v>20220</v>
      </c>
      <c r="G5317" s="1368">
        <v>54</v>
      </c>
      <c r="H5317" s="1178" t="s">
        <v>20224</v>
      </c>
      <c r="I5317" s="1178" t="s">
        <v>16634</v>
      </c>
      <c r="J5317" s="1178" t="s">
        <v>22791</v>
      </c>
      <c r="K5317" s="1178" t="s">
        <v>585</v>
      </c>
      <c r="L5317" s="1178" t="s">
        <v>22793</v>
      </c>
      <c r="M5317" s="1369"/>
      <c r="N5317" s="1178"/>
      <c r="O5317" s="1178">
        <v>6</v>
      </c>
      <c r="P5317" s="1178">
        <v>14.1</v>
      </c>
    </row>
    <row r="5318" spans="1:16">
      <c r="A5318" s="1178" t="s">
        <v>587</v>
      </c>
      <c r="B5318" s="1371" t="str">
        <f>HYPERLINK(IFERROR("#Main_Tariff!A"&amp;MATCH(Raeburn_Main_Tariff[[#This Row],[Product Code]],Main_Tariff!I:I,0),"#Main_Tariff!A"&amp;MATCH("*"&amp;RIGHT(A5318,8)&amp;"*",Main_Tariff!A:A,0)),Raeburn_Main_Tariff[[#This Row],[PRODUCER]])</f>
        <v>DuMOL</v>
      </c>
      <c r="C5318" s="1178" t="s">
        <v>22796</v>
      </c>
      <c r="D5318" s="1178" t="s">
        <v>1129</v>
      </c>
      <c r="E5318" s="1179">
        <v>2018</v>
      </c>
      <c r="F5318" s="1282" t="s">
        <v>20220</v>
      </c>
      <c r="G5318" s="1368">
        <v>54</v>
      </c>
      <c r="H5318" s="1178" t="s">
        <v>20277</v>
      </c>
      <c r="I5318" s="1178" t="s">
        <v>16636</v>
      </c>
      <c r="J5318" s="1178" t="s">
        <v>22791</v>
      </c>
      <c r="K5318" s="1178" t="s">
        <v>585</v>
      </c>
      <c r="L5318" s="1178" t="s">
        <v>22793</v>
      </c>
      <c r="M5318" s="1369"/>
      <c r="N5318" s="1178"/>
      <c r="O5318" s="1178">
        <v>6</v>
      </c>
      <c r="P5318" s="1178">
        <v>14.3</v>
      </c>
    </row>
    <row r="5319" spans="1:16">
      <c r="A5319" s="1178" t="s">
        <v>587</v>
      </c>
      <c r="B5319" s="1371" t="str">
        <f>HYPERLINK(IFERROR("#Main_Tariff!A"&amp;MATCH(Raeburn_Main_Tariff[[#This Row],[Product Code]],Main_Tariff!I:I,0),"#Main_Tariff!A"&amp;MATCH("*"&amp;RIGHT(A5319,8)&amp;"*",Main_Tariff!A:A,0)),Raeburn_Main_Tariff[[#This Row],[PRODUCER]])</f>
        <v>DuMOL</v>
      </c>
      <c r="C5319" s="1178" t="s">
        <v>22797</v>
      </c>
      <c r="D5319" s="1178" t="s">
        <v>897</v>
      </c>
      <c r="E5319" s="1179">
        <v>2022</v>
      </c>
      <c r="F5319" s="1282" t="s">
        <v>20220</v>
      </c>
      <c r="G5319" s="1368">
        <v>53</v>
      </c>
      <c r="H5319" s="1178" t="s">
        <v>20221</v>
      </c>
      <c r="I5319" s="1178" t="s">
        <v>16640</v>
      </c>
      <c r="J5319" s="1178" t="s">
        <v>22791</v>
      </c>
      <c r="K5319" s="1178" t="s">
        <v>585</v>
      </c>
      <c r="L5319" s="1178" t="s">
        <v>586</v>
      </c>
      <c r="M5319" s="1369"/>
      <c r="N5319" s="1178"/>
      <c r="O5319" s="1178">
        <v>6</v>
      </c>
      <c r="P5319" s="1178">
        <v>13.7</v>
      </c>
    </row>
    <row r="5320" spans="1:16">
      <c r="A5320" s="1178" t="s">
        <v>587</v>
      </c>
      <c r="B5320" s="1371" t="str">
        <f>HYPERLINK(IFERROR("#Main_Tariff!A"&amp;MATCH(Raeburn_Main_Tariff[[#This Row],[Product Code]],Main_Tariff!I:I,0),"#Main_Tariff!A"&amp;MATCH("*"&amp;RIGHT(A5320,8)&amp;"*",Main_Tariff!A:A,0)),Raeburn_Main_Tariff[[#This Row],[PRODUCER]])</f>
        <v>DuMOL</v>
      </c>
      <c r="C5320" s="1178" t="s">
        <v>22797</v>
      </c>
      <c r="D5320" s="1178" t="s">
        <v>897</v>
      </c>
      <c r="E5320" s="1179">
        <v>2021</v>
      </c>
      <c r="F5320" s="1282" t="s">
        <v>20220</v>
      </c>
      <c r="G5320" s="1368">
        <v>52</v>
      </c>
      <c r="H5320" s="1178" t="s">
        <v>20221</v>
      </c>
      <c r="I5320" s="1178" t="s">
        <v>16642</v>
      </c>
      <c r="J5320" s="1178" t="s">
        <v>22791</v>
      </c>
      <c r="K5320" s="1178" t="s">
        <v>585</v>
      </c>
      <c r="L5320" s="1178" t="s">
        <v>586</v>
      </c>
      <c r="M5320" s="1369"/>
      <c r="N5320" s="1178"/>
      <c r="O5320" s="1178">
        <v>6</v>
      </c>
      <c r="P5320" s="1178">
        <v>13.5</v>
      </c>
    </row>
    <row r="5321" spans="1:16">
      <c r="A5321" s="1178" t="s">
        <v>587</v>
      </c>
      <c r="B5321" s="1371" t="str">
        <f>HYPERLINK(IFERROR("#Main_Tariff!A"&amp;MATCH(Raeburn_Main_Tariff[[#This Row],[Product Code]],Main_Tariff!I:I,0),"#Main_Tariff!A"&amp;MATCH("*"&amp;RIGHT(A5321,8)&amp;"*",Main_Tariff!A:A,0)),Raeburn_Main_Tariff[[#This Row],[PRODUCER]])</f>
        <v>DuMOL</v>
      </c>
      <c r="C5321" s="1178" t="s">
        <v>22797</v>
      </c>
      <c r="D5321" s="1178" t="s">
        <v>897</v>
      </c>
      <c r="E5321" s="1179">
        <v>2020</v>
      </c>
      <c r="F5321" s="1282" t="s">
        <v>20220</v>
      </c>
      <c r="G5321" s="1368">
        <v>52</v>
      </c>
      <c r="H5321" s="1178" t="s">
        <v>20221</v>
      </c>
      <c r="I5321" s="1178" t="s">
        <v>16644</v>
      </c>
      <c r="J5321" s="1178" t="s">
        <v>22791</v>
      </c>
      <c r="K5321" s="1178" t="s">
        <v>585</v>
      </c>
      <c r="L5321" s="1178" t="s">
        <v>586</v>
      </c>
      <c r="M5321" s="1369"/>
      <c r="N5321" s="1178"/>
      <c r="O5321" s="1178">
        <v>6</v>
      </c>
      <c r="P5321" s="1178">
        <v>13.8</v>
      </c>
    </row>
    <row r="5322" spans="1:16">
      <c r="A5322" s="1178" t="s">
        <v>587</v>
      </c>
      <c r="B5322" s="1371" t="str">
        <f>HYPERLINK(IFERROR("#Main_Tariff!A"&amp;MATCH(Raeburn_Main_Tariff[[#This Row],[Product Code]],Main_Tariff!I:I,0),"#Main_Tariff!A"&amp;MATCH("*"&amp;RIGHT(A5322,8)&amp;"*",Main_Tariff!A:A,0)),Raeburn_Main_Tariff[[#This Row],[PRODUCER]])</f>
        <v>DuMOL</v>
      </c>
      <c r="C5322" s="1178" t="s">
        <v>22797</v>
      </c>
      <c r="D5322" s="1178" t="s">
        <v>897</v>
      </c>
      <c r="E5322" s="1179">
        <v>2019</v>
      </c>
      <c r="F5322" s="1282" t="s">
        <v>20220</v>
      </c>
      <c r="G5322" s="1368">
        <v>52</v>
      </c>
      <c r="H5322" s="1178" t="s">
        <v>20221</v>
      </c>
      <c r="I5322" s="1178" t="s">
        <v>16646</v>
      </c>
      <c r="J5322" s="1178" t="s">
        <v>22791</v>
      </c>
      <c r="K5322" s="1178" t="s">
        <v>585</v>
      </c>
      <c r="L5322" s="1178" t="s">
        <v>586</v>
      </c>
      <c r="M5322" s="1369"/>
      <c r="N5322" s="1178"/>
      <c r="O5322" s="1178">
        <v>6</v>
      </c>
      <c r="P5322" s="1178">
        <v>14.1</v>
      </c>
    </row>
    <row r="5323" spans="1:16">
      <c r="A5323" s="1178" t="s">
        <v>587</v>
      </c>
      <c r="B5323" s="1371" t="str">
        <f>HYPERLINK(IFERROR("#Main_Tariff!A"&amp;MATCH(Raeburn_Main_Tariff[[#This Row],[Product Code]],Main_Tariff!I:I,0),"#Main_Tariff!A"&amp;MATCH("*"&amp;RIGHT(A5323,8)&amp;"*",Main_Tariff!A:A,0)),Raeburn_Main_Tariff[[#This Row],[PRODUCER]])</f>
        <v>DuMOL</v>
      </c>
      <c r="C5323" s="1178" t="s">
        <v>22797</v>
      </c>
      <c r="D5323" s="1178" t="s">
        <v>897</v>
      </c>
      <c r="E5323" s="1179">
        <v>2018</v>
      </c>
      <c r="F5323" s="1282" t="s">
        <v>20220</v>
      </c>
      <c r="G5323" s="1368">
        <v>49.5</v>
      </c>
      <c r="H5323" s="1178" t="s">
        <v>20224</v>
      </c>
      <c r="I5323" s="1178" t="s">
        <v>23294</v>
      </c>
      <c r="J5323" s="1178" t="s">
        <v>22791</v>
      </c>
      <c r="K5323" s="1178" t="s">
        <v>585</v>
      </c>
      <c r="L5323" s="1178" t="s">
        <v>586</v>
      </c>
      <c r="M5323" s="1369"/>
      <c r="N5323" s="1178"/>
      <c r="O5323" s="1178">
        <v>6</v>
      </c>
      <c r="P5323" s="1178">
        <v>14.1</v>
      </c>
    </row>
    <row r="5324" spans="1:16">
      <c r="A5324" s="1178" t="s">
        <v>587</v>
      </c>
      <c r="B5324" s="1371" t="str">
        <f>HYPERLINK(IFERROR("#Main_Tariff!A"&amp;MATCH(Raeburn_Main_Tariff[[#This Row],[Product Code]],Main_Tariff!I:I,0),"#Main_Tariff!A"&amp;MATCH("*"&amp;RIGHT(A5324,8)&amp;"*",Main_Tariff!A:A,0)),Raeburn_Main_Tariff[[#This Row],[PRODUCER]])</f>
        <v>DuMOL</v>
      </c>
      <c r="C5324" s="1178" t="s">
        <v>22798</v>
      </c>
      <c r="D5324" s="1178" t="s">
        <v>897</v>
      </c>
      <c r="E5324" s="1179">
        <v>2010</v>
      </c>
      <c r="F5324" s="1282" t="s">
        <v>20220</v>
      </c>
      <c r="G5324" s="1368">
        <v>57.5</v>
      </c>
      <c r="H5324" s="1178" t="s">
        <v>20224</v>
      </c>
      <c r="I5324" s="1178" t="s">
        <v>16651</v>
      </c>
      <c r="J5324" s="1178" t="s">
        <v>22791</v>
      </c>
      <c r="K5324" s="1178" t="s">
        <v>585</v>
      </c>
      <c r="L5324" s="1178" t="s">
        <v>22793</v>
      </c>
      <c r="M5324" s="1369"/>
      <c r="N5324" s="1178"/>
      <c r="O5324" s="1178">
        <v>6</v>
      </c>
      <c r="P5324" s="1178">
        <v>14</v>
      </c>
    </row>
    <row r="5325" spans="1:16">
      <c r="A5325" s="1178" t="s">
        <v>587</v>
      </c>
      <c r="B5325" s="1371" t="str">
        <f>HYPERLINK(IFERROR("#Main_Tariff!A"&amp;MATCH(Raeburn_Main_Tariff[[#This Row],[Product Code]],Main_Tariff!I:I,0),"#Main_Tariff!A"&amp;MATCH("*"&amp;RIGHT(A5325,8)&amp;"*",Main_Tariff!A:A,0)),Raeburn_Main_Tariff[[#This Row],[PRODUCER]])</f>
        <v>DuMOL</v>
      </c>
      <c r="C5325" s="1178" t="s">
        <v>22798</v>
      </c>
      <c r="D5325" s="1178" t="s">
        <v>897</v>
      </c>
      <c r="E5325" s="1179">
        <v>2009</v>
      </c>
      <c r="F5325" s="1282" t="s">
        <v>20220</v>
      </c>
      <c r="G5325" s="1368">
        <v>57.5</v>
      </c>
      <c r="H5325" s="1178" t="s">
        <v>20224</v>
      </c>
      <c r="I5325" s="1178" t="s">
        <v>16653</v>
      </c>
      <c r="J5325" s="1178" t="s">
        <v>22791</v>
      </c>
      <c r="K5325" s="1178" t="s">
        <v>585</v>
      </c>
      <c r="L5325" s="1178" t="s">
        <v>22793</v>
      </c>
      <c r="M5325" s="1369"/>
      <c r="N5325" s="1178"/>
      <c r="O5325" s="1178">
        <v>6</v>
      </c>
      <c r="P5325" s="1178">
        <v>13.5</v>
      </c>
    </row>
    <row r="5326" spans="1:16">
      <c r="A5326" s="1178" t="s">
        <v>587</v>
      </c>
      <c r="B5326" s="1371" t="str">
        <f>HYPERLINK(IFERROR("#Main_Tariff!A"&amp;MATCH(Raeburn_Main_Tariff[[#This Row],[Product Code]],Main_Tariff!I:I,0),"#Main_Tariff!A"&amp;MATCH("*"&amp;RIGHT(A5326,8)&amp;"*",Main_Tariff!A:A,0)),Raeburn_Main_Tariff[[#This Row],[PRODUCER]])</f>
        <v>DuMOL</v>
      </c>
      <c r="C5326" s="1178" t="s">
        <v>22799</v>
      </c>
      <c r="D5326" s="1178" t="s">
        <v>897</v>
      </c>
      <c r="E5326" s="1179">
        <v>2019</v>
      </c>
      <c r="F5326" s="1282" t="s">
        <v>20220</v>
      </c>
      <c r="G5326" s="1368">
        <v>67</v>
      </c>
      <c r="H5326" s="1178" t="s">
        <v>20221</v>
      </c>
      <c r="I5326" s="1178" t="s">
        <v>16655</v>
      </c>
      <c r="J5326" s="1178" t="s">
        <v>22791</v>
      </c>
      <c r="K5326" s="1178" t="s">
        <v>585</v>
      </c>
      <c r="L5326" s="1178" t="s">
        <v>22793</v>
      </c>
      <c r="M5326" s="1369"/>
      <c r="N5326" s="1178"/>
      <c r="O5326" s="1178">
        <v>6</v>
      </c>
      <c r="P5326" s="1178">
        <v>14.1</v>
      </c>
    </row>
    <row r="5327" spans="1:16">
      <c r="A5327" s="1178" t="s">
        <v>587</v>
      </c>
      <c r="B5327" s="1371" t="str">
        <f>HYPERLINK(IFERROR("#Main_Tariff!A"&amp;MATCH(Raeburn_Main_Tariff[[#This Row],[Product Code]],Main_Tariff!I:I,0),"#Main_Tariff!A"&amp;MATCH("*"&amp;RIGHT(A5327,8)&amp;"*",Main_Tariff!A:A,0)),Raeburn_Main_Tariff[[#This Row],[PRODUCER]])</f>
        <v>DuMOL</v>
      </c>
      <c r="C5327" s="1178" t="s">
        <v>22799</v>
      </c>
      <c r="D5327" s="1178" t="s">
        <v>897</v>
      </c>
      <c r="E5327" s="1179">
        <v>2018</v>
      </c>
      <c r="F5327" s="1282" t="s">
        <v>20220</v>
      </c>
      <c r="G5327" s="1368">
        <v>65</v>
      </c>
      <c r="H5327" s="1178" t="s">
        <v>20221</v>
      </c>
      <c r="I5327" s="1178" t="s">
        <v>16657</v>
      </c>
      <c r="J5327" s="1178" t="s">
        <v>22791</v>
      </c>
      <c r="K5327" s="1178" t="s">
        <v>585</v>
      </c>
      <c r="L5327" s="1178" t="s">
        <v>22793</v>
      </c>
      <c r="M5327" s="1369"/>
      <c r="N5327" s="1178"/>
      <c r="O5327" s="1178">
        <v>6</v>
      </c>
      <c r="P5327" s="1178">
        <v>14</v>
      </c>
    </row>
    <row r="5328" spans="1:16">
      <c r="A5328" s="1178" t="s">
        <v>587</v>
      </c>
      <c r="B5328" s="1371" t="str">
        <f>HYPERLINK(IFERROR("#Main_Tariff!A"&amp;MATCH(Raeburn_Main_Tariff[[#This Row],[Product Code]],Main_Tariff!I:I,0),"#Main_Tariff!A"&amp;MATCH("*"&amp;RIGHT(A5328,8)&amp;"*",Main_Tariff!A:A,0)),Raeburn_Main_Tariff[[#This Row],[PRODUCER]])</f>
        <v>DuMOL</v>
      </c>
      <c r="C5328" s="1178" t="s">
        <v>22799</v>
      </c>
      <c r="D5328" s="1178" t="s">
        <v>897</v>
      </c>
      <c r="E5328" s="1179">
        <v>2017</v>
      </c>
      <c r="F5328" s="1282" t="s">
        <v>20220</v>
      </c>
      <c r="G5328" s="1368">
        <v>65</v>
      </c>
      <c r="H5328" s="1178" t="s">
        <v>20221</v>
      </c>
      <c r="I5328" s="1178" t="s">
        <v>16659</v>
      </c>
      <c r="J5328" s="1178" t="s">
        <v>22791</v>
      </c>
      <c r="K5328" s="1178" t="s">
        <v>585</v>
      </c>
      <c r="L5328" s="1178" t="s">
        <v>22793</v>
      </c>
      <c r="M5328" s="1369"/>
      <c r="N5328" s="1178"/>
      <c r="O5328" s="1178">
        <v>6</v>
      </c>
      <c r="P5328" s="1178">
        <v>14.1</v>
      </c>
    </row>
    <row r="5329" spans="1:16">
      <c r="A5329" s="1178" t="s">
        <v>587</v>
      </c>
      <c r="B5329" s="1371" t="str">
        <f>HYPERLINK(IFERROR("#Main_Tariff!A"&amp;MATCH(Raeburn_Main_Tariff[[#This Row],[Product Code]],Main_Tariff!I:I,0),"#Main_Tariff!A"&amp;MATCH("*"&amp;RIGHT(A5329,8)&amp;"*",Main_Tariff!A:A,0)),Raeburn_Main_Tariff[[#This Row],[PRODUCER]])</f>
        <v>DuMOL</v>
      </c>
      <c r="C5329" s="1178" t="s">
        <v>22800</v>
      </c>
      <c r="D5329" s="1178" t="s">
        <v>897</v>
      </c>
      <c r="E5329" s="1179">
        <v>2019</v>
      </c>
      <c r="F5329" s="1282" t="s">
        <v>20220</v>
      </c>
      <c r="G5329" s="1368">
        <v>67</v>
      </c>
      <c r="H5329" s="1178" t="s">
        <v>20221</v>
      </c>
      <c r="I5329" s="1178" t="s">
        <v>16661</v>
      </c>
      <c r="J5329" s="1178" t="s">
        <v>22791</v>
      </c>
      <c r="K5329" s="1178" t="s">
        <v>585</v>
      </c>
      <c r="L5329" s="1178" t="s">
        <v>22793</v>
      </c>
      <c r="M5329" s="1369"/>
      <c r="N5329" s="1178"/>
      <c r="O5329" s="1178">
        <v>6</v>
      </c>
      <c r="P5329" s="1178">
        <v>14.1</v>
      </c>
    </row>
    <row r="5330" spans="1:16">
      <c r="A5330" s="1178" t="s">
        <v>587</v>
      </c>
      <c r="B5330" s="1371" t="str">
        <f>HYPERLINK(IFERROR("#Main_Tariff!A"&amp;MATCH(Raeburn_Main_Tariff[[#This Row],[Product Code]],Main_Tariff!I:I,0),"#Main_Tariff!A"&amp;MATCH("*"&amp;RIGHT(A5330,8)&amp;"*",Main_Tariff!A:A,0)),Raeburn_Main_Tariff[[#This Row],[PRODUCER]])</f>
        <v>DuMOL</v>
      </c>
      <c r="C5330" s="1178" t="s">
        <v>22800</v>
      </c>
      <c r="D5330" s="1178" t="s">
        <v>897</v>
      </c>
      <c r="E5330" s="1179">
        <v>2016</v>
      </c>
      <c r="F5330" s="1282" t="s">
        <v>20220</v>
      </c>
      <c r="G5330" s="1368">
        <v>65</v>
      </c>
      <c r="H5330" s="1178" t="s">
        <v>20221</v>
      </c>
      <c r="I5330" s="1178" t="s">
        <v>16663</v>
      </c>
      <c r="J5330" s="1178" t="s">
        <v>22791</v>
      </c>
      <c r="K5330" s="1178" t="s">
        <v>585</v>
      </c>
      <c r="L5330" s="1178" t="s">
        <v>22793</v>
      </c>
      <c r="M5330" s="1369"/>
      <c r="N5330" s="1178"/>
      <c r="O5330" s="1178">
        <v>6</v>
      </c>
      <c r="P5330" s="1178">
        <v>14</v>
      </c>
    </row>
    <row r="5331" spans="1:16">
      <c r="A5331" s="1178" t="s">
        <v>587</v>
      </c>
      <c r="B5331" s="1371" t="str">
        <f>HYPERLINK(IFERROR("#Main_Tariff!A"&amp;MATCH(Raeburn_Main_Tariff[[#This Row],[Product Code]],Main_Tariff!I:I,0),"#Main_Tariff!A"&amp;MATCH("*"&amp;RIGHT(A5331,8)&amp;"*",Main_Tariff!A:A,0)),Raeburn_Main_Tariff[[#This Row],[PRODUCER]])</f>
        <v>DuMOL</v>
      </c>
      <c r="C5331" s="1178" t="s">
        <v>22801</v>
      </c>
      <c r="D5331" s="1178" t="s">
        <v>897</v>
      </c>
      <c r="E5331" s="1179">
        <v>2015</v>
      </c>
      <c r="F5331" s="1282" t="s">
        <v>20220</v>
      </c>
      <c r="G5331" s="1368">
        <v>61</v>
      </c>
      <c r="H5331" s="1178" t="s">
        <v>20224</v>
      </c>
      <c r="I5331" s="1178" t="s">
        <v>16665</v>
      </c>
      <c r="J5331" s="1178" t="s">
        <v>22791</v>
      </c>
      <c r="K5331" s="1178" t="s">
        <v>585</v>
      </c>
      <c r="L5331" s="1178" t="s">
        <v>22793</v>
      </c>
      <c r="M5331" s="1369"/>
      <c r="N5331" s="1178"/>
      <c r="O5331" s="1178">
        <v>6</v>
      </c>
      <c r="P5331" s="1178">
        <v>13.7</v>
      </c>
    </row>
    <row r="5332" spans="1:16">
      <c r="A5332" s="1178" t="s">
        <v>587</v>
      </c>
      <c r="B5332" s="1371" t="str">
        <f>HYPERLINK(IFERROR("#Main_Tariff!A"&amp;MATCH(Raeburn_Main_Tariff[[#This Row],[Product Code]],Main_Tariff!I:I,0),"#Main_Tariff!A"&amp;MATCH("*"&amp;RIGHT(A5332,8)&amp;"*",Main_Tariff!A:A,0)),Raeburn_Main_Tariff[[#This Row],[PRODUCER]])</f>
        <v>DuMOL</v>
      </c>
      <c r="C5332" s="1178" t="s">
        <v>22802</v>
      </c>
      <c r="D5332" s="1178" t="s">
        <v>897</v>
      </c>
      <c r="E5332" s="1179">
        <v>2020</v>
      </c>
      <c r="F5332" s="1282" t="s">
        <v>20220</v>
      </c>
      <c r="G5332" s="1368">
        <v>68</v>
      </c>
      <c r="H5332" s="1178" t="s">
        <v>20221</v>
      </c>
      <c r="I5332" s="1178" t="s">
        <v>16667</v>
      </c>
      <c r="J5332" s="1178" t="s">
        <v>22791</v>
      </c>
      <c r="K5332" s="1178" t="s">
        <v>585</v>
      </c>
      <c r="L5332" s="1178" t="s">
        <v>586</v>
      </c>
      <c r="M5332" s="1369"/>
      <c r="N5332" s="1178"/>
      <c r="O5332" s="1178">
        <v>6</v>
      </c>
      <c r="P5332" s="1178">
        <v>13.5</v>
      </c>
    </row>
    <row r="5333" spans="1:16">
      <c r="A5333" s="1178" t="s">
        <v>587</v>
      </c>
      <c r="B5333" s="1371" t="str">
        <f>HYPERLINK(IFERROR("#Main_Tariff!A"&amp;MATCH(Raeburn_Main_Tariff[[#This Row],[Product Code]],Main_Tariff!I:I,0),"#Main_Tariff!A"&amp;MATCH("*"&amp;RIGHT(A5333,8)&amp;"*",Main_Tariff!A:A,0)),Raeburn_Main_Tariff[[#This Row],[PRODUCER]])</f>
        <v>DuMOL</v>
      </c>
      <c r="C5333" s="1178" t="s">
        <v>22802</v>
      </c>
      <c r="D5333" s="1178" t="s">
        <v>897</v>
      </c>
      <c r="E5333" s="1179">
        <v>2018</v>
      </c>
      <c r="F5333" s="1282" t="s">
        <v>20220</v>
      </c>
      <c r="G5333" s="1368">
        <v>65</v>
      </c>
      <c r="H5333" s="1178" t="s">
        <v>20224</v>
      </c>
      <c r="I5333" s="1178" t="s">
        <v>16669</v>
      </c>
      <c r="J5333" s="1178" t="s">
        <v>22791</v>
      </c>
      <c r="K5333" s="1178" t="s">
        <v>585</v>
      </c>
      <c r="L5333" s="1178" t="s">
        <v>586</v>
      </c>
      <c r="M5333" s="1369"/>
      <c r="N5333" s="1178"/>
      <c r="O5333" s="1178">
        <v>6</v>
      </c>
      <c r="P5333" s="1178">
        <v>14</v>
      </c>
    </row>
    <row r="5334" spans="1:16">
      <c r="A5334" s="1178" t="s">
        <v>587</v>
      </c>
      <c r="B5334" s="1371" t="str">
        <f>HYPERLINK(IFERROR("#Main_Tariff!A"&amp;MATCH(Raeburn_Main_Tariff[[#This Row],[Product Code]],Main_Tariff!I:I,0),"#Main_Tariff!A"&amp;MATCH("*"&amp;RIGHT(A5334,8)&amp;"*",Main_Tariff!A:A,0)),Raeburn_Main_Tariff[[#This Row],[PRODUCER]])</f>
        <v>DuMOL</v>
      </c>
      <c r="C5334" s="1178" t="s">
        <v>22803</v>
      </c>
      <c r="D5334" s="1178" t="s">
        <v>897</v>
      </c>
      <c r="E5334" s="1179">
        <v>2010</v>
      </c>
      <c r="F5334" s="1282" t="s">
        <v>20220</v>
      </c>
      <c r="G5334" s="1368">
        <v>57.5</v>
      </c>
      <c r="H5334" s="1178" t="s">
        <v>20224</v>
      </c>
      <c r="I5334" s="1178" t="s">
        <v>16671</v>
      </c>
      <c r="J5334" s="1178" t="s">
        <v>22791</v>
      </c>
      <c r="K5334" s="1178" t="s">
        <v>585</v>
      </c>
      <c r="L5334" s="1178" t="s">
        <v>586</v>
      </c>
      <c r="M5334" s="1369"/>
      <c r="N5334" s="1178"/>
      <c r="O5334" s="1178">
        <v>6</v>
      </c>
      <c r="P5334" s="1178">
        <v>14</v>
      </c>
    </row>
    <row r="5335" spans="1:16">
      <c r="A5335" s="1178" t="s">
        <v>587</v>
      </c>
      <c r="B5335" s="1371" t="str">
        <f>HYPERLINK(IFERROR("#Main_Tariff!A"&amp;MATCH(Raeburn_Main_Tariff[[#This Row],[Product Code]],Main_Tariff!I:I,0),"#Main_Tariff!A"&amp;MATCH("*"&amp;RIGHT(A5335,8)&amp;"*",Main_Tariff!A:A,0)),Raeburn_Main_Tariff[[#This Row],[PRODUCER]])</f>
        <v>DuMOL</v>
      </c>
      <c r="C5335" s="1178" t="s">
        <v>22804</v>
      </c>
      <c r="D5335" s="1178" t="s">
        <v>897</v>
      </c>
      <c r="E5335" s="1179">
        <v>2022</v>
      </c>
      <c r="F5335" s="1282" t="s">
        <v>20220</v>
      </c>
      <c r="G5335" s="1368" t="s">
        <v>5258</v>
      </c>
      <c r="H5335" s="1178" t="s">
        <v>20224</v>
      </c>
      <c r="I5335" s="1178" t="s">
        <v>16673</v>
      </c>
      <c r="J5335" s="1178" t="s">
        <v>22791</v>
      </c>
      <c r="K5335" s="1178" t="s">
        <v>585</v>
      </c>
      <c r="L5335" s="1178" t="s">
        <v>586</v>
      </c>
      <c r="M5335" s="1369"/>
      <c r="N5335" s="1178"/>
      <c r="O5335" s="1178">
        <v>6</v>
      </c>
      <c r="P5335" s="1178">
        <v>14.1</v>
      </c>
    </row>
    <row r="5336" spans="1:16">
      <c r="A5336" s="1178" t="s">
        <v>587</v>
      </c>
      <c r="B5336" s="1371" t="str">
        <f>HYPERLINK(IFERROR("#Main_Tariff!A"&amp;MATCH(Raeburn_Main_Tariff[[#This Row],[Product Code]],Main_Tariff!I:I,0),"#Main_Tariff!A"&amp;MATCH("*"&amp;RIGHT(A5336,8)&amp;"*",Main_Tariff!A:A,0)),Raeburn_Main_Tariff[[#This Row],[PRODUCER]])</f>
        <v>DuMOL</v>
      </c>
      <c r="C5336" s="1178" t="s">
        <v>22804</v>
      </c>
      <c r="D5336" s="1178" t="s">
        <v>897</v>
      </c>
      <c r="E5336" s="1179">
        <v>2020</v>
      </c>
      <c r="F5336" s="1282" t="s">
        <v>20220</v>
      </c>
      <c r="G5336" s="1368">
        <v>73</v>
      </c>
      <c r="H5336" s="1178" t="s">
        <v>20221</v>
      </c>
      <c r="I5336" s="1178" t="s">
        <v>16675</v>
      </c>
      <c r="J5336" s="1178" t="s">
        <v>22791</v>
      </c>
      <c r="K5336" s="1178" t="s">
        <v>585</v>
      </c>
      <c r="L5336" s="1178" t="s">
        <v>586</v>
      </c>
      <c r="M5336" s="1369"/>
      <c r="N5336" s="1178"/>
      <c r="O5336" s="1178">
        <v>6</v>
      </c>
      <c r="P5336" s="1178">
        <v>13.9</v>
      </c>
    </row>
    <row r="5337" spans="1:16">
      <c r="A5337" s="1178" t="s">
        <v>587</v>
      </c>
      <c r="B5337" s="1371" t="str">
        <f>HYPERLINK(IFERROR("#Main_Tariff!A"&amp;MATCH(Raeburn_Main_Tariff[[#This Row],[Product Code]],Main_Tariff!I:I,0),"#Main_Tariff!A"&amp;MATCH("*"&amp;RIGHT(A5337,8)&amp;"*",Main_Tariff!A:A,0)),Raeburn_Main_Tariff[[#This Row],[PRODUCER]])</f>
        <v>DuMOL</v>
      </c>
      <c r="C5337" s="1178" t="s">
        <v>22804</v>
      </c>
      <c r="D5337" s="1178" t="s">
        <v>897</v>
      </c>
      <c r="E5337" s="1179">
        <v>2019</v>
      </c>
      <c r="F5337" s="1282" t="s">
        <v>20220</v>
      </c>
      <c r="G5337" s="1368">
        <v>73</v>
      </c>
      <c r="H5337" s="1178" t="s">
        <v>20221</v>
      </c>
      <c r="I5337" s="1178" t="s">
        <v>16677</v>
      </c>
      <c r="J5337" s="1178" t="s">
        <v>22791</v>
      </c>
      <c r="K5337" s="1178" t="s">
        <v>585</v>
      </c>
      <c r="L5337" s="1178" t="s">
        <v>586</v>
      </c>
      <c r="M5337" s="1369"/>
      <c r="N5337" s="1178"/>
      <c r="O5337" s="1178">
        <v>6</v>
      </c>
      <c r="P5337" s="1178">
        <v>14.1</v>
      </c>
    </row>
    <row r="5338" spans="1:16">
      <c r="A5338" s="1178" t="s">
        <v>587</v>
      </c>
      <c r="B5338" s="1371" t="str">
        <f>HYPERLINK(IFERROR("#Main_Tariff!A"&amp;MATCH(Raeburn_Main_Tariff[[#This Row],[Product Code]],Main_Tariff!I:I,0),"#Main_Tariff!A"&amp;MATCH("*"&amp;RIGHT(A5338,8)&amp;"*",Main_Tariff!A:A,0)),Raeburn_Main_Tariff[[#This Row],[PRODUCER]])</f>
        <v>DuMOL</v>
      </c>
      <c r="C5338" s="1178" t="s">
        <v>22804</v>
      </c>
      <c r="D5338" s="1178" t="s">
        <v>897</v>
      </c>
      <c r="E5338" s="1179">
        <v>2017</v>
      </c>
      <c r="F5338" s="1282" t="s">
        <v>20220</v>
      </c>
      <c r="G5338" s="1368">
        <v>73</v>
      </c>
      <c r="H5338" s="1178" t="s">
        <v>20224</v>
      </c>
      <c r="I5338" s="1178" t="s">
        <v>16679</v>
      </c>
      <c r="J5338" s="1178" t="s">
        <v>22791</v>
      </c>
      <c r="K5338" s="1178" t="s">
        <v>585</v>
      </c>
      <c r="L5338" s="1178" t="s">
        <v>586</v>
      </c>
      <c r="M5338" s="1369"/>
      <c r="N5338" s="1178"/>
      <c r="O5338" s="1178">
        <v>6</v>
      </c>
      <c r="P5338" s="1178">
        <v>14</v>
      </c>
    </row>
    <row r="5339" spans="1:16">
      <c r="A5339" s="1178" t="s">
        <v>587</v>
      </c>
      <c r="B5339" s="1371" t="str">
        <f>HYPERLINK(IFERROR("#Main_Tariff!A"&amp;MATCH(Raeburn_Main_Tariff[[#This Row],[Product Code]],Main_Tariff!I:I,0),"#Main_Tariff!A"&amp;MATCH("*"&amp;RIGHT(A5339,8)&amp;"*",Main_Tariff!A:A,0)),Raeburn_Main_Tariff[[#This Row],[PRODUCER]])</f>
        <v>DuMOL</v>
      </c>
      <c r="C5339" s="1178" t="s">
        <v>22804</v>
      </c>
      <c r="D5339" s="1178" t="s">
        <v>897</v>
      </c>
      <c r="E5339" s="1179">
        <v>2013</v>
      </c>
      <c r="F5339" s="1282" t="s">
        <v>20220</v>
      </c>
      <c r="G5339" s="1368">
        <v>71</v>
      </c>
      <c r="H5339" s="1178" t="s">
        <v>20224</v>
      </c>
      <c r="I5339" s="1178" t="s">
        <v>16681</v>
      </c>
      <c r="J5339" s="1178" t="s">
        <v>22791</v>
      </c>
      <c r="K5339" s="1178" t="s">
        <v>585</v>
      </c>
      <c r="L5339" s="1178" t="s">
        <v>586</v>
      </c>
      <c r="M5339" s="1369"/>
      <c r="N5339" s="1178"/>
      <c r="O5339" s="1178">
        <v>6</v>
      </c>
      <c r="P5339" s="1178">
        <v>14.1</v>
      </c>
    </row>
    <row r="5340" spans="1:16">
      <c r="A5340" s="1178" t="s">
        <v>587</v>
      </c>
      <c r="B5340" s="1371" t="str">
        <f>HYPERLINK(IFERROR("#Main_Tariff!A"&amp;MATCH(Raeburn_Main_Tariff[[#This Row],[Product Code]],Main_Tariff!I:I,0),"#Main_Tariff!A"&amp;MATCH("*"&amp;RIGHT(A5340,8)&amp;"*",Main_Tariff!A:A,0)),Raeburn_Main_Tariff[[#This Row],[PRODUCER]])</f>
        <v>DuMOL</v>
      </c>
      <c r="C5340" s="1178" t="s">
        <v>22805</v>
      </c>
      <c r="D5340" s="1178" t="s">
        <v>897</v>
      </c>
      <c r="E5340" s="1179">
        <v>2022</v>
      </c>
      <c r="F5340" s="1282" t="s">
        <v>20220</v>
      </c>
      <c r="G5340" s="1368">
        <v>68</v>
      </c>
      <c r="H5340" s="1178" t="s">
        <v>20221</v>
      </c>
      <c r="I5340" s="1178" t="s">
        <v>16685</v>
      </c>
      <c r="J5340" s="1178" t="s">
        <v>22791</v>
      </c>
      <c r="K5340" s="1178" t="s">
        <v>585</v>
      </c>
      <c r="L5340" s="1178" t="s">
        <v>586</v>
      </c>
      <c r="M5340" s="1369"/>
      <c r="N5340" s="1178"/>
      <c r="O5340" s="1178">
        <v>6</v>
      </c>
      <c r="P5340" s="1178">
        <v>13.5</v>
      </c>
    </row>
    <row r="5341" spans="1:16">
      <c r="A5341" s="1178" t="s">
        <v>587</v>
      </c>
      <c r="B5341" s="1371" t="str">
        <f>HYPERLINK(IFERROR("#Main_Tariff!A"&amp;MATCH(Raeburn_Main_Tariff[[#This Row],[Product Code]],Main_Tariff!I:I,0),"#Main_Tariff!A"&amp;MATCH("*"&amp;RIGHT(A5341,8)&amp;"*",Main_Tariff!A:A,0)),Raeburn_Main_Tariff[[#This Row],[PRODUCER]])</f>
        <v>DuMOL</v>
      </c>
      <c r="C5341" s="1178" t="s">
        <v>22806</v>
      </c>
      <c r="D5341" s="1178" t="s">
        <v>897</v>
      </c>
      <c r="E5341" s="1179">
        <v>2022</v>
      </c>
      <c r="F5341" s="1282" t="s">
        <v>20220</v>
      </c>
      <c r="G5341" s="1368">
        <v>75</v>
      </c>
      <c r="H5341" s="1178" t="s">
        <v>20221</v>
      </c>
      <c r="I5341" s="1178" t="s">
        <v>16687</v>
      </c>
      <c r="J5341" s="1178" t="s">
        <v>22791</v>
      </c>
      <c r="K5341" s="1178" t="s">
        <v>585</v>
      </c>
      <c r="L5341" s="1178" t="s">
        <v>586</v>
      </c>
      <c r="M5341" s="1369"/>
      <c r="N5341" s="1178"/>
      <c r="O5341" s="1178">
        <v>6</v>
      </c>
      <c r="P5341" s="1178">
        <v>13.7</v>
      </c>
    </row>
    <row r="5342" spans="1:16">
      <c r="A5342" s="1178" t="s">
        <v>587</v>
      </c>
      <c r="B5342" s="1371" t="str">
        <f>HYPERLINK(IFERROR("#Main_Tariff!A"&amp;MATCH(Raeburn_Main_Tariff[[#This Row],[Product Code]],Main_Tariff!I:I,0),"#Main_Tariff!A"&amp;MATCH("*"&amp;RIGHT(A5342,8)&amp;"*",Main_Tariff!A:A,0)),Raeburn_Main_Tariff[[#This Row],[PRODUCER]])</f>
        <v>DuMOL</v>
      </c>
      <c r="C5342" s="1178" t="s">
        <v>22806</v>
      </c>
      <c r="D5342" s="1178" t="s">
        <v>897</v>
      </c>
      <c r="E5342" s="1179">
        <v>2021</v>
      </c>
      <c r="F5342" s="1282" t="s">
        <v>20220</v>
      </c>
      <c r="G5342" s="1368">
        <v>68</v>
      </c>
      <c r="H5342" s="1178" t="s">
        <v>20224</v>
      </c>
      <c r="I5342" s="1178" t="s">
        <v>16689</v>
      </c>
      <c r="J5342" s="1178" t="s">
        <v>22791</v>
      </c>
      <c r="K5342" s="1178" t="s">
        <v>585</v>
      </c>
      <c r="L5342" s="1178" t="s">
        <v>586</v>
      </c>
      <c r="M5342" s="1369"/>
      <c r="N5342" s="1178"/>
      <c r="O5342" s="1178">
        <v>6</v>
      </c>
      <c r="P5342" s="1178">
        <v>13.5</v>
      </c>
    </row>
    <row r="5343" spans="1:16">
      <c r="A5343" s="1178" t="s">
        <v>587</v>
      </c>
      <c r="B5343" s="1371" t="str">
        <f>HYPERLINK(IFERROR("#Main_Tariff!A"&amp;MATCH(Raeburn_Main_Tariff[[#This Row],[Product Code]],Main_Tariff!I:I,0),"#Main_Tariff!A"&amp;MATCH("*"&amp;RIGHT(A5343,8)&amp;"*",Main_Tariff!A:A,0)),Raeburn_Main_Tariff[[#This Row],[PRODUCER]])</f>
        <v>DuMOL</v>
      </c>
      <c r="C5343" s="1178" t="s">
        <v>22807</v>
      </c>
      <c r="D5343" s="1178" t="s">
        <v>897</v>
      </c>
      <c r="E5343" s="1179">
        <v>2022</v>
      </c>
      <c r="F5343" s="1282" t="s">
        <v>20220</v>
      </c>
      <c r="G5343" s="1368">
        <v>75</v>
      </c>
      <c r="H5343" s="1178" t="s">
        <v>20221</v>
      </c>
      <c r="I5343" s="1178" t="s">
        <v>16691</v>
      </c>
      <c r="J5343" s="1178" t="s">
        <v>22791</v>
      </c>
      <c r="K5343" s="1178" t="s">
        <v>585</v>
      </c>
      <c r="L5343" s="1178" t="s">
        <v>586</v>
      </c>
      <c r="M5343" s="1369"/>
      <c r="N5343" s="1178"/>
      <c r="O5343" s="1178">
        <v>6</v>
      </c>
      <c r="P5343" s="1178">
        <v>14.1</v>
      </c>
    </row>
    <row r="5344" spans="1:16">
      <c r="A5344" s="1178" t="s">
        <v>587</v>
      </c>
      <c r="B5344" s="1371" t="str">
        <f>HYPERLINK(IFERROR("#Main_Tariff!A"&amp;MATCH(Raeburn_Main_Tariff[[#This Row],[Product Code]],Main_Tariff!I:I,0),"#Main_Tariff!A"&amp;MATCH("*"&amp;RIGHT(A5344,8)&amp;"*",Main_Tariff!A:A,0)),Raeburn_Main_Tariff[[#This Row],[PRODUCER]])</f>
        <v>DuMOL</v>
      </c>
      <c r="C5344" s="1178" t="s">
        <v>22807</v>
      </c>
      <c r="D5344" s="1178" t="s">
        <v>897</v>
      </c>
      <c r="E5344" s="1179">
        <v>2021</v>
      </c>
      <c r="F5344" s="1282" t="s">
        <v>20220</v>
      </c>
      <c r="G5344" s="1368">
        <v>74</v>
      </c>
      <c r="H5344" s="1178" t="s">
        <v>20221</v>
      </c>
      <c r="I5344" s="1178" t="s">
        <v>16693</v>
      </c>
      <c r="J5344" s="1178" t="s">
        <v>22791</v>
      </c>
      <c r="K5344" s="1178" t="s">
        <v>585</v>
      </c>
      <c r="L5344" s="1178" t="s">
        <v>586</v>
      </c>
      <c r="M5344" s="1369"/>
      <c r="N5344" s="1178"/>
      <c r="O5344" s="1178">
        <v>6</v>
      </c>
      <c r="P5344" s="1178">
        <v>14</v>
      </c>
    </row>
    <row r="5345" spans="1:16">
      <c r="A5345" s="1178" t="s">
        <v>587</v>
      </c>
      <c r="B5345" s="1371" t="str">
        <f>HYPERLINK(IFERROR("#Main_Tariff!A"&amp;MATCH(Raeburn_Main_Tariff[[#This Row],[Product Code]],Main_Tariff!I:I,0),"#Main_Tariff!A"&amp;MATCH("*"&amp;RIGHT(A5345,8)&amp;"*",Main_Tariff!A:A,0)),Raeburn_Main_Tariff[[#This Row],[PRODUCER]])</f>
        <v>DuMOL</v>
      </c>
      <c r="C5345" s="1178" t="s">
        <v>22807</v>
      </c>
      <c r="D5345" s="1178" t="s">
        <v>897</v>
      </c>
      <c r="E5345" s="1179">
        <v>2020</v>
      </c>
      <c r="F5345" s="1282" t="s">
        <v>20220</v>
      </c>
      <c r="G5345" s="1368">
        <v>73</v>
      </c>
      <c r="H5345" s="1178" t="s">
        <v>20221</v>
      </c>
      <c r="I5345" s="1178" t="s">
        <v>16695</v>
      </c>
      <c r="J5345" s="1178" t="s">
        <v>22791</v>
      </c>
      <c r="K5345" s="1178" t="s">
        <v>585</v>
      </c>
      <c r="L5345" s="1178" t="s">
        <v>586</v>
      </c>
      <c r="M5345" s="1369"/>
      <c r="N5345" s="1178"/>
      <c r="O5345" s="1178">
        <v>6</v>
      </c>
      <c r="P5345" s="1178">
        <v>14.1</v>
      </c>
    </row>
    <row r="5346" spans="1:16">
      <c r="A5346" s="1178" t="s">
        <v>587</v>
      </c>
      <c r="B5346" s="1371" t="str">
        <f>HYPERLINK(IFERROR("#Main_Tariff!A"&amp;MATCH(Raeburn_Main_Tariff[[#This Row],[Product Code]],Main_Tariff!I:I,0),"#Main_Tariff!A"&amp;MATCH("*"&amp;RIGHT(A5346,8)&amp;"*",Main_Tariff!A:A,0)),Raeburn_Main_Tariff[[#This Row],[PRODUCER]])</f>
        <v>DuMOL</v>
      </c>
      <c r="C5346" s="1178" t="s">
        <v>22807</v>
      </c>
      <c r="D5346" s="1178" t="s">
        <v>897</v>
      </c>
      <c r="E5346" s="1179">
        <v>2019</v>
      </c>
      <c r="F5346" s="1282" t="s">
        <v>20220</v>
      </c>
      <c r="G5346" s="1368">
        <v>71</v>
      </c>
      <c r="H5346" s="1178" t="s">
        <v>20221</v>
      </c>
      <c r="I5346" s="1178" t="s">
        <v>16697</v>
      </c>
      <c r="J5346" s="1178" t="s">
        <v>22791</v>
      </c>
      <c r="K5346" s="1178" t="s">
        <v>585</v>
      </c>
      <c r="L5346" s="1178" t="s">
        <v>586</v>
      </c>
      <c r="M5346" s="1369"/>
      <c r="N5346" s="1178"/>
      <c r="O5346" s="1178">
        <v>6</v>
      </c>
      <c r="P5346" s="1178">
        <v>14.1</v>
      </c>
    </row>
    <row r="5347" spans="1:16">
      <c r="A5347" s="1178" t="s">
        <v>587</v>
      </c>
      <c r="B5347" s="1371" t="str">
        <f>HYPERLINK(IFERROR("#Main_Tariff!A"&amp;MATCH(Raeburn_Main_Tariff[[#This Row],[Product Code]],Main_Tariff!I:I,0),"#Main_Tariff!A"&amp;MATCH("*"&amp;RIGHT(A5347,8)&amp;"*",Main_Tariff!A:A,0)),Raeburn_Main_Tariff[[#This Row],[PRODUCER]])</f>
        <v>DuMOL</v>
      </c>
      <c r="C5347" s="1178" t="s">
        <v>22807</v>
      </c>
      <c r="D5347" s="1178" t="s">
        <v>897</v>
      </c>
      <c r="E5347" s="1179">
        <v>2018</v>
      </c>
      <c r="F5347" s="1282" t="s">
        <v>20220</v>
      </c>
      <c r="G5347" s="1368">
        <v>71</v>
      </c>
      <c r="H5347" s="1178" t="s">
        <v>20224</v>
      </c>
      <c r="I5347" s="1178" t="s">
        <v>16699</v>
      </c>
      <c r="J5347" s="1178" t="s">
        <v>22791</v>
      </c>
      <c r="K5347" s="1178" t="s">
        <v>585</v>
      </c>
      <c r="L5347" s="1178" t="s">
        <v>586</v>
      </c>
      <c r="M5347" s="1369"/>
      <c r="N5347" s="1178"/>
      <c r="O5347" s="1178">
        <v>6</v>
      </c>
      <c r="P5347" s="1178">
        <v>14.1</v>
      </c>
    </row>
    <row r="5348" spans="1:16">
      <c r="A5348" s="1178" t="s">
        <v>587</v>
      </c>
      <c r="B5348" s="1371" t="str">
        <f>HYPERLINK(IFERROR("#Main_Tariff!A"&amp;MATCH(Raeburn_Main_Tariff[[#This Row],[Product Code]],Main_Tariff!I:I,0),"#Main_Tariff!A"&amp;MATCH("*"&amp;RIGHT(A5348,8)&amp;"*",Main_Tariff!A:A,0)),Raeburn_Main_Tariff[[#This Row],[PRODUCER]])</f>
        <v>DuMOL</v>
      </c>
      <c r="C5348" s="1178" t="s">
        <v>22807</v>
      </c>
      <c r="D5348" s="1178" t="s">
        <v>897</v>
      </c>
      <c r="E5348" s="1179">
        <v>2017</v>
      </c>
      <c r="F5348" s="1282" t="s">
        <v>20220</v>
      </c>
      <c r="G5348" s="1368">
        <v>71</v>
      </c>
      <c r="H5348" s="1178" t="s">
        <v>20221</v>
      </c>
      <c r="I5348" s="1178" t="s">
        <v>16701</v>
      </c>
      <c r="J5348" s="1178" t="s">
        <v>22791</v>
      </c>
      <c r="K5348" s="1178" t="s">
        <v>585</v>
      </c>
      <c r="L5348" s="1178" t="s">
        <v>586</v>
      </c>
      <c r="M5348" s="1369"/>
      <c r="N5348" s="1178"/>
      <c r="O5348" s="1178">
        <v>6</v>
      </c>
      <c r="P5348" s="1178">
        <v>14.1</v>
      </c>
    </row>
    <row r="5349" spans="1:16">
      <c r="A5349" s="1178" t="s">
        <v>587</v>
      </c>
      <c r="B5349" s="1371" t="str">
        <f>HYPERLINK(IFERROR("#Main_Tariff!A"&amp;MATCH(Raeburn_Main_Tariff[[#This Row],[Product Code]],Main_Tariff!I:I,0),"#Main_Tariff!A"&amp;MATCH("*"&amp;RIGHT(A5349,8)&amp;"*",Main_Tariff!A:A,0)),Raeburn_Main_Tariff[[#This Row],[PRODUCER]])</f>
        <v>DuMOL</v>
      </c>
      <c r="C5349" s="1178" t="s">
        <v>22807</v>
      </c>
      <c r="D5349" s="1178" t="s">
        <v>897</v>
      </c>
      <c r="E5349" s="1179">
        <v>2016</v>
      </c>
      <c r="F5349" s="1282" t="s">
        <v>20220</v>
      </c>
      <c r="G5349" s="1368">
        <v>71</v>
      </c>
      <c r="H5349" s="1178" t="s">
        <v>20224</v>
      </c>
      <c r="I5349" s="1178" t="s">
        <v>16703</v>
      </c>
      <c r="J5349" s="1178" t="s">
        <v>22791</v>
      </c>
      <c r="K5349" s="1178" t="s">
        <v>585</v>
      </c>
      <c r="L5349" s="1178" t="s">
        <v>586</v>
      </c>
      <c r="M5349" s="1369"/>
      <c r="N5349" s="1178"/>
      <c r="O5349" s="1178">
        <v>6</v>
      </c>
      <c r="P5349" s="1178">
        <v>14.5</v>
      </c>
    </row>
    <row r="5350" spans="1:16">
      <c r="A5350" s="1178" t="s">
        <v>587</v>
      </c>
      <c r="B5350" s="1371" t="str">
        <f>HYPERLINK(IFERROR("#Main_Tariff!A"&amp;MATCH(Raeburn_Main_Tariff[[#This Row],[Product Code]],Main_Tariff!I:I,0),"#Main_Tariff!A"&amp;MATCH("*"&amp;RIGHT(A5350,8)&amp;"*",Main_Tariff!A:A,0)),Raeburn_Main_Tariff[[#This Row],[PRODUCER]])</f>
        <v>DuMOL</v>
      </c>
      <c r="C5350" s="1178" t="s">
        <v>22808</v>
      </c>
      <c r="D5350" s="1178" t="s">
        <v>897</v>
      </c>
      <c r="E5350" s="1179">
        <v>2016</v>
      </c>
      <c r="F5350" s="1282" t="s">
        <v>20240</v>
      </c>
      <c r="G5350" s="1368">
        <v>144</v>
      </c>
      <c r="H5350" s="1178" t="s">
        <v>20224</v>
      </c>
      <c r="I5350" s="1178" t="s">
        <v>16705</v>
      </c>
      <c r="J5350" s="1178" t="s">
        <v>22791</v>
      </c>
      <c r="K5350" s="1178" t="s">
        <v>585</v>
      </c>
      <c r="L5350" s="1178" t="s">
        <v>586</v>
      </c>
      <c r="M5350" s="1369"/>
      <c r="N5350" s="1178"/>
      <c r="O5350" s="1178">
        <v>6</v>
      </c>
      <c r="P5350" s="1178">
        <v>14</v>
      </c>
    </row>
    <row r="5351" spans="1:16">
      <c r="A5351" s="1178" t="s">
        <v>587</v>
      </c>
      <c r="B5351" s="1371" t="str">
        <f>HYPERLINK(IFERROR("#Main_Tariff!A"&amp;MATCH(Raeburn_Main_Tariff[[#This Row],[Product Code]],Main_Tariff!I:I,0),"#Main_Tariff!A"&amp;MATCH("*"&amp;RIGHT(A5351,8)&amp;"*",Main_Tariff!A:A,0)),Raeburn_Main_Tariff[[#This Row],[PRODUCER]])</f>
        <v>DuMOL</v>
      </c>
      <c r="C5351" s="1178" t="s">
        <v>22809</v>
      </c>
      <c r="D5351" s="1178" t="s">
        <v>897</v>
      </c>
      <c r="E5351" s="1179">
        <v>2014</v>
      </c>
      <c r="F5351" s="1282" t="s">
        <v>20220</v>
      </c>
      <c r="G5351" s="1368">
        <v>57.5</v>
      </c>
      <c r="H5351" s="1178" t="s">
        <v>20277</v>
      </c>
      <c r="I5351" s="1178" t="s">
        <v>16709</v>
      </c>
      <c r="J5351" s="1178" t="s">
        <v>22791</v>
      </c>
      <c r="K5351" s="1178" t="s">
        <v>585</v>
      </c>
      <c r="L5351" s="1178" t="s">
        <v>586</v>
      </c>
      <c r="M5351" s="1369"/>
      <c r="N5351" s="1178"/>
      <c r="O5351" s="1178">
        <v>6</v>
      </c>
      <c r="P5351" s="1178">
        <v>14.1</v>
      </c>
    </row>
    <row r="5352" spans="1:16">
      <c r="A5352" s="1178" t="s">
        <v>587</v>
      </c>
      <c r="B5352" s="1371" t="str">
        <f>HYPERLINK(IFERROR("#Main_Tariff!A"&amp;MATCH(Raeburn_Main_Tariff[[#This Row],[Product Code]],Main_Tariff!I:I,0),"#Main_Tariff!A"&amp;MATCH("*"&amp;RIGHT(A5352,8)&amp;"*",Main_Tariff!A:A,0)),Raeburn_Main_Tariff[[#This Row],[PRODUCER]])</f>
        <v>DuMOL</v>
      </c>
      <c r="C5352" s="1178" t="s">
        <v>22811</v>
      </c>
      <c r="D5352" s="1178" t="s">
        <v>897</v>
      </c>
      <c r="E5352" s="1179">
        <v>2021</v>
      </c>
      <c r="F5352" s="1282" t="s">
        <v>20220</v>
      </c>
      <c r="G5352" s="1368">
        <v>67.5</v>
      </c>
      <c r="H5352" s="1178" t="s">
        <v>20221</v>
      </c>
      <c r="I5352" s="1178" t="s">
        <v>16711</v>
      </c>
      <c r="J5352" s="1178" t="s">
        <v>22791</v>
      </c>
      <c r="K5352" s="1178" t="s">
        <v>585</v>
      </c>
      <c r="L5352" s="1178" t="s">
        <v>22812</v>
      </c>
      <c r="M5352" s="1369"/>
      <c r="N5352" s="1178"/>
      <c r="O5352" s="1178">
        <v>6</v>
      </c>
      <c r="P5352" s="1178">
        <v>14.5</v>
      </c>
    </row>
    <row r="5353" spans="1:16">
      <c r="A5353" s="1178" t="s">
        <v>587</v>
      </c>
      <c r="B5353" s="1371" t="str">
        <f>HYPERLINK(IFERROR("#Main_Tariff!A"&amp;MATCH(Raeburn_Main_Tariff[[#This Row],[Product Code]],Main_Tariff!I:I,0),"#Main_Tariff!A"&amp;MATCH("*"&amp;RIGHT(A5353,8)&amp;"*",Main_Tariff!A:A,0)),Raeburn_Main_Tariff[[#This Row],[PRODUCER]])</f>
        <v>DuMOL</v>
      </c>
      <c r="C5353" s="1178" t="s">
        <v>22811</v>
      </c>
      <c r="D5353" s="1178" t="s">
        <v>897</v>
      </c>
      <c r="E5353" s="1179">
        <v>2019</v>
      </c>
      <c r="F5353" s="1282" t="s">
        <v>20220</v>
      </c>
      <c r="G5353" s="1368">
        <v>67.5</v>
      </c>
      <c r="H5353" s="1178" t="s">
        <v>20221</v>
      </c>
      <c r="I5353" s="1178" t="s">
        <v>16712</v>
      </c>
      <c r="J5353" s="1178" t="s">
        <v>22791</v>
      </c>
      <c r="K5353" s="1178" t="s">
        <v>585</v>
      </c>
      <c r="L5353" s="1178" t="s">
        <v>22812</v>
      </c>
      <c r="M5353" s="1369"/>
      <c r="N5353" s="1178"/>
      <c r="O5353" s="1178">
        <v>6</v>
      </c>
      <c r="P5353" s="1178">
        <v>14.5</v>
      </c>
    </row>
    <row r="5354" spans="1:16">
      <c r="A5354" s="1178" t="s">
        <v>587</v>
      </c>
      <c r="B5354" s="1371" t="str">
        <f>HYPERLINK(IFERROR("#Main_Tariff!A"&amp;MATCH(Raeburn_Main_Tariff[[#This Row],[Product Code]],Main_Tariff!I:I,0),"#Main_Tariff!A"&amp;MATCH("*"&amp;RIGHT(A5354,8)&amp;"*",Main_Tariff!A:A,0)),Raeburn_Main_Tariff[[#This Row],[PRODUCER]])</f>
        <v>DuMOL</v>
      </c>
      <c r="C5354" s="1178" t="s">
        <v>22811</v>
      </c>
      <c r="D5354" s="1178" t="s">
        <v>897</v>
      </c>
      <c r="E5354" s="1179">
        <v>2018</v>
      </c>
      <c r="F5354" s="1282" t="s">
        <v>20220</v>
      </c>
      <c r="G5354" s="1368">
        <v>67.5</v>
      </c>
      <c r="H5354" s="1178" t="s">
        <v>20221</v>
      </c>
      <c r="I5354" s="1178" t="s">
        <v>16713</v>
      </c>
      <c r="J5354" s="1178" t="s">
        <v>22791</v>
      </c>
      <c r="K5354" s="1178" t="s">
        <v>585</v>
      </c>
      <c r="L5354" s="1178" t="s">
        <v>22812</v>
      </c>
      <c r="M5354" s="1369"/>
      <c r="N5354" s="1178"/>
      <c r="O5354" s="1178">
        <v>6</v>
      </c>
      <c r="P5354" s="1178">
        <v>14.3</v>
      </c>
    </row>
    <row r="5355" spans="1:16">
      <c r="A5355" s="1178" t="s">
        <v>587</v>
      </c>
      <c r="B5355" s="1371" t="str">
        <f>HYPERLINK(IFERROR("#Main_Tariff!A"&amp;MATCH(Raeburn_Main_Tariff[[#This Row],[Product Code]],Main_Tariff!I:I,0),"#Main_Tariff!A"&amp;MATCH("*"&amp;RIGHT(A5355,8)&amp;"*",Main_Tariff!A:A,0)),Raeburn_Main_Tariff[[#This Row],[PRODUCER]])</f>
        <v>DuMOL</v>
      </c>
      <c r="C5355" s="1178" t="s">
        <v>22811</v>
      </c>
      <c r="D5355" s="1178" t="s">
        <v>897</v>
      </c>
      <c r="E5355" s="1179">
        <v>2016</v>
      </c>
      <c r="F5355" s="1282" t="s">
        <v>20220</v>
      </c>
      <c r="G5355" s="1368">
        <v>66.5</v>
      </c>
      <c r="H5355" s="1178" t="s">
        <v>20224</v>
      </c>
      <c r="I5355" s="1178" t="s">
        <v>16714</v>
      </c>
      <c r="J5355" s="1178" t="s">
        <v>22791</v>
      </c>
      <c r="K5355" s="1178" t="s">
        <v>585</v>
      </c>
      <c r="L5355" s="1178" t="s">
        <v>22812</v>
      </c>
      <c r="M5355" s="1369"/>
      <c r="N5355" s="1178"/>
      <c r="O5355" s="1178">
        <v>6</v>
      </c>
      <c r="P5355" s="1178">
        <v>14.5</v>
      </c>
    </row>
    <row r="5356" spans="1:16">
      <c r="A5356" s="1178" t="s">
        <v>587</v>
      </c>
      <c r="B5356" s="1371" t="str">
        <f>HYPERLINK(IFERROR("#Main_Tariff!A"&amp;MATCH(Raeburn_Main_Tariff[[#This Row],[Product Code]],Main_Tariff!I:I,0),"#Main_Tariff!A"&amp;MATCH("*"&amp;RIGHT(A5356,8)&amp;"*",Main_Tariff!A:A,0)),Raeburn_Main_Tariff[[#This Row],[PRODUCER]])</f>
        <v>DuMOL</v>
      </c>
      <c r="C5356" s="1178" t="s">
        <v>22813</v>
      </c>
      <c r="D5356" s="1178" t="s">
        <v>897</v>
      </c>
      <c r="E5356" s="1179">
        <v>2019</v>
      </c>
      <c r="F5356" s="1282" t="s">
        <v>20220</v>
      </c>
      <c r="G5356" s="1368">
        <v>98</v>
      </c>
      <c r="H5356" s="1178" t="s">
        <v>20221</v>
      </c>
      <c r="I5356" s="1178" t="s">
        <v>16715</v>
      </c>
      <c r="J5356" s="1178" t="s">
        <v>22791</v>
      </c>
      <c r="K5356" s="1178" t="s">
        <v>585</v>
      </c>
      <c r="L5356" s="1178" t="s">
        <v>22810</v>
      </c>
      <c r="M5356" s="1369"/>
      <c r="N5356" s="1178"/>
      <c r="O5356" s="1178">
        <v>6</v>
      </c>
      <c r="P5356" s="1178">
        <v>14.5</v>
      </c>
    </row>
    <row r="5357" spans="1:16">
      <c r="A5357" s="1178" t="s">
        <v>587</v>
      </c>
      <c r="B5357" s="1371" t="str">
        <f>HYPERLINK(IFERROR("#Main_Tariff!A"&amp;MATCH(Raeburn_Main_Tariff[[#This Row],[Product Code]],Main_Tariff!I:I,0),"#Main_Tariff!A"&amp;MATCH("*"&amp;RIGHT(A5357,8)&amp;"*",Main_Tariff!A:A,0)),Raeburn_Main_Tariff[[#This Row],[PRODUCER]])</f>
        <v>DuMOL</v>
      </c>
      <c r="C5357" s="1178" t="s">
        <v>22813</v>
      </c>
      <c r="D5357" s="1178" t="s">
        <v>897</v>
      </c>
      <c r="E5357" s="1179">
        <v>2018</v>
      </c>
      <c r="F5357" s="1282" t="s">
        <v>20220</v>
      </c>
      <c r="G5357" s="1368">
        <v>89</v>
      </c>
      <c r="H5357" s="1178" t="s">
        <v>20221</v>
      </c>
      <c r="I5357" s="1178" t="s">
        <v>16716</v>
      </c>
      <c r="J5357" s="1178" t="s">
        <v>22791</v>
      </c>
      <c r="K5357" s="1178" t="s">
        <v>585</v>
      </c>
      <c r="L5357" s="1178" t="s">
        <v>22810</v>
      </c>
      <c r="M5357" s="1369"/>
      <c r="N5357" s="1178"/>
      <c r="O5357" s="1178">
        <v>6</v>
      </c>
      <c r="P5357" s="1178">
        <v>14.3</v>
      </c>
    </row>
    <row r="5358" spans="1:16">
      <c r="A5358" s="1178" t="s">
        <v>587</v>
      </c>
      <c r="B5358" s="1371" t="str">
        <f>HYPERLINK(IFERROR("#Main_Tariff!A"&amp;MATCH(Raeburn_Main_Tariff[[#This Row],[Product Code]],Main_Tariff!I:I,0),"#Main_Tariff!A"&amp;MATCH("*"&amp;RIGHT(A5358,8)&amp;"*",Main_Tariff!A:A,0)),Raeburn_Main_Tariff[[#This Row],[PRODUCER]])</f>
        <v>DuMOL</v>
      </c>
      <c r="C5358" s="1178" t="s">
        <v>22814</v>
      </c>
      <c r="D5358" s="1178" t="s">
        <v>897</v>
      </c>
      <c r="E5358" s="1179">
        <v>2022</v>
      </c>
      <c r="F5358" s="1282" t="s">
        <v>20220</v>
      </c>
      <c r="G5358" s="1368">
        <v>98</v>
      </c>
      <c r="H5358" s="1178" t="s">
        <v>20221</v>
      </c>
      <c r="I5358" s="1178" t="s">
        <v>16717</v>
      </c>
      <c r="J5358" s="1178" t="s">
        <v>22791</v>
      </c>
      <c r="K5358" s="1178" t="s">
        <v>585</v>
      </c>
      <c r="L5358" s="1178" t="s">
        <v>22810</v>
      </c>
      <c r="M5358" s="1369"/>
      <c r="N5358" s="1178"/>
      <c r="O5358" s="1178">
        <v>6</v>
      </c>
      <c r="P5358" s="1178">
        <v>14.3</v>
      </c>
    </row>
    <row r="5359" spans="1:16">
      <c r="A5359" s="1178" t="s">
        <v>587</v>
      </c>
      <c r="B5359" s="1371" t="str">
        <f>HYPERLINK(IFERROR("#Main_Tariff!A"&amp;MATCH(Raeburn_Main_Tariff[[#This Row],[Product Code]],Main_Tariff!I:I,0),"#Main_Tariff!A"&amp;MATCH("*"&amp;RIGHT(A5359,8)&amp;"*",Main_Tariff!A:A,0)),Raeburn_Main_Tariff[[#This Row],[PRODUCER]])</f>
        <v>DuMOL</v>
      </c>
      <c r="C5359" s="1178" t="s">
        <v>22814</v>
      </c>
      <c r="D5359" s="1178" t="s">
        <v>897</v>
      </c>
      <c r="E5359" s="1179">
        <v>2021</v>
      </c>
      <c r="F5359" s="1282" t="s">
        <v>20220</v>
      </c>
      <c r="G5359" s="1368">
        <v>98</v>
      </c>
      <c r="H5359" s="1178" t="s">
        <v>20221</v>
      </c>
      <c r="I5359" s="1178" t="s">
        <v>16718</v>
      </c>
      <c r="J5359" s="1178" t="s">
        <v>22791</v>
      </c>
      <c r="K5359" s="1178" t="s">
        <v>585</v>
      </c>
      <c r="L5359" s="1178" t="s">
        <v>22810</v>
      </c>
      <c r="M5359" s="1369"/>
      <c r="N5359" s="1178"/>
      <c r="O5359" s="1178">
        <v>6</v>
      </c>
      <c r="P5359" s="1178">
        <v>14.5</v>
      </c>
    </row>
    <row r="5360" spans="1:16">
      <c r="A5360" s="1178" t="s">
        <v>587</v>
      </c>
      <c r="B5360" s="1371" t="str">
        <f>HYPERLINK(IFERROR("#Main_Tariff!A"&amp;MATCH(Raeburn_Main_Tariff[[#This Row],[Product Code]],Main_Tariff!I:I,0),"#Main_Tariff!A"&amp;MATCH("*"&amp;RIGHT(A5360,8)&amp;"*",Main_Tariff!A:A,0)),Raeburn_Main_Tariff[[#This Row],[PRODUCER]])</f>
        <v>DuMOL</v>
      </c>
      <c r="C5360" s="1178" t="s">
        <v>22814</v>
      </c>
      <c r="D5360" s="1178" t="s">
        <v>897</v>
      </c>
      <c r="E5360" s="1179">
        <v>2019</v>
      </c>
      <c r="F5360" s="1282" t="s">
        <v>20220</v>
      </c>
      <c r="G5360" s="1368">
        <v>98</v>
      </c>
      <c r="H5360" s="1178" t="s">
        <v>20221</v>
      </c>
      <c r="I5360" s="1178" t="s">
        <v>16719</v>
      </c>
      <c r="J5360" s="1178" t="s">
        <v>22791</v>
      </c>
      <c r="K5360" s="1178" t="s">
        <v>585</v>
      </c>
      <c r="L5360" s="1178" t="s">
        <v>22810</v>
      </c>
      <c r="M5360" s="1369"/>
      <c r="N5360" s="1178"/>
      <c r="O5360" s="1178">
        <v>6</v>
      </c>
      <c r="P5360" s="1178">
        <v>14.5</v>
      </c>
    </row>
    <row r="5361" spans="1:16">
      <c r="A5361" s="1178" t="s">
        <v>587</v>
      </c>
      <c r="B5361" s="1371" t="str">
        <f>HYPERLINK(IFERROR("#Main_Tariff!A"&amp;MATCH(Raeburn_Main_Tariff[[#This Row],[Product Code]],Main_Tariff!I:I,0),"#Main_Tariff!A"&amp;MATCH("*"&amp;RIGHT(A5361,8)&amp;"*",Main_Tariff!A:A,0)),Raeburn_Main_Tariff[[#This Row],[PRODUCER]])</f>
        <v>DuMOL</v>
      </c>
      <c r="C5361" s="1178" t="s">
        <v>22814</v>
      </c>
      <c r="D5361" s="1178" t="s">
        <v>897</v>
      </c>
      <c r="E5361" s="1179">
        <v>2018</v>
      </c>
      <c r="F5361" s="1282" t="s">
        <v>20220</v>
      </c>
      <c r="G5361" s="1368">
        <v>89</v>
      </c>
      <c r="H5361" s="1178" t="s">
        <v>20221</v>
      </c>
      <c r="I5361" s="1178" t="s">
        <v>16720</v>
      </c>
      <c r="J5361" s="1178" t="s">
        <v>22791</v>
      </c>
      <c r="K5361" s="1178" t="s">
        <v>585</v>
      </c>
      <c r="L5361" s="1178" t="s">
        <v>22810</v>
      </c>
      <c r="M5361" s="1369"/>
      <c r="N5361" s="1178"/>
      <c r="O5361" s="1178">
        <v>6</v>
      </c>
      <c r="P5361" s="1178">
        <v>14.3</v>
      </c>
    </row>
    <row r="5362" spans="1:16">
      <c r="A5362" s="1178" t="s">
        <v>587</v>
      </c>
      <c r="B5362" s="1371" t="str">
        <f>HYPERLINK(IFERROR("#Main_Tariff!A"&amp;MATCH(Raeburn_Main_Tariff[[#This Row],[Product Code]],Main_Tariff!I:I,0),"#Main_Tariff!A"&amp;MATCH("*"&amp;RIGHT(A5362,8)&amp;"*",Main_Tariff!A:A,0)),Raeburn_Main_Tariff[[#This Row],[PRODUCER]])</f>
        <v>DuMOL</v>
      </c>
      <c r="C5362" s="1178" t="s">
        <v>22814</v>
      </c>
      <c r="D5362" s="1178" t="s">
        <v>897</v>
      </c>
      <c r="E5362" s="1179">
        <v>2017</v>
      </c>
      <c r="F5362" s="1282" t="s">
        <v>20220</v>
      </c>
      <c r="G5362" s="1368">
        <v>89</v>
      </c>
      <c r="H5362" s="1178" t="s">
        <v>20221</v>
      </c>
      <c r="I5362" s="1178" t="s">
        <v>16721</v>
      </c>
      <c r="J5362" s="1178" t="s">
        <v>22791</v>
      </c>
      <c r="K5362" s="1178" t="s">
        <v>585</v>
      </c>
      <c r="L5362" s="1178" t="s">
        <v>22810</v>
      </c>
      <c r="M5362" s="1369"/>
      <c r="N5362" s="1178"/>
      <c r="O5362" s="1178">
        <v>6</v>
      </c>
      <c r="P5362" s="1178">
        <v>14.5</v>
      </c>
    </row>
    <row r="5363" spans="1:16">
      <c r="A5363" s="1178" t="s">
        <v>587</v>
      </c>
      <c r="B5363" s="1371" t="str">
        <f>HYPERLINK(IFERROR("#Main_Tariff!A"&amp;MATCH(Raeburn_Main_Tariff[[#This Row],[Product Code]],Main_Tariff!I:I,0),"#Main_Tariff!A"&amp;MATCH("*"&amp;RIGHT(A5363,8)&amp;"*",Main_Tariff!A:A,0)),Raeburn_Main_Tariff[[#This Row],[PRODUCER]])</f>
        <v>DuMOL</v>
      </c>
      <c r="C5363" s="1178" t="s">
        <v>22814</v>
      </c>
      <c r="D5363" s="1178" t="s">
        <v>897</v>
      </c>
      <c r="E5363" s="1179">
        <v>2016</v>
      </c>
      <c r="F5363" s="1282" t="s">
        <v>20220</v>
      </c>
      <c r="G5363" s="1368">
        <v>89</v>
      </c>
      <c r="H5363" s="1178" t="s">
        <v>20224</v>
      </c>
      <c r="I5363" s="1178" t="s">
        <v>16722</v>
      </c>
      <c r="J5363" s="1178" t="s">
        <v>22791</v>
      </c>
      <c r="K5363" s="1178" t="s">
        <v>585</v>
      </c>
      <c r="L5363" s="1178" t="s">
        <v>22810</v>
      </c>
      <c r="M5363" s="1369"/>
      <c r="N5363" s="1178"/>
      <c r="O5363" s="1178">
        <v>6</v>
      </c>
      <c r="P5363" s="1178">
        <v>14.5</v>
      </c>
    </row>
    <row r="5364" spans="1:16">
      <c r="A5364" s="1178" t="s">
        <v>587</v>
      </c>
      <c r="B5364" s="1371" t="str">
        <f>HYPERLINK(IFERROR("#Main_Tariff!A"&amp;MATCH(Raeburn_Main_Tariff[[#This Row],[Product Code]],Main_Tariff!I:I,0),"#Main_Tariff!A"&amp;MATCH("*"&amp;RIGHT(A5364,8)&amp;"*",Main_Tariff!A:A,0)),Raeburn_Main_Tariff[[#This Row],[PRODUCER]])</f>
        <v>DuMOL</v>
      </c>
      <c r="C5364" s="1178" t="s">
        <v>22815</v>
      </c>
      <c r="D5364" s="1178" t="s">
        <v>897</v>
      </c>
      <c r="E5364" s="1179">
        <v>2016</v>
      </c>
      <c r="F5364" s="1282" t="s">
        <v>20240</v>
      </c>
      <c r="G5364" s="1368">
        <v>182</v>
      </c>
      <c r="H5364" s="1178" t="s">
        <v>20224</v>
      </c>
      <c r="I5364" s="1178" t="s">
        <v>16723</v>
      </c>
      <c r="J5364" s="1178" t="s">
        <v>22791</v>
      </c>
      <c r="K5364" s="1178" t="s">
        <v>585</v>
      </c>
      <c r="L5364" s="1178" t="s">
        <v>22810</v>
      </c>
      <c r="M5364" s="1369"/>
      <c r="N5364" s="1178"/>
      <c r="O5364" s="1178">
        <v>6</v>
      </c>
      <c r="P5364" s="1178">
        <v>14.5</v>
      </c>
    </row>
    <row r="5365" spans="1:16">
      <c r="A5365" s="1178" t="s">
        <v>588</v>
      </c>
      <c r="B5365" s="1371" t="str">
        <f>HYPERLINK(IFERROR("#Main_Tariff!A"&amp;MATCH(Raeburn_Main_Tariff[[#This Row],[Product Code]],Main_Tariff!I:I,0),"#Main_Tariff!A"&amp;MATCH("*"&amp;RIGHT(A5365,8)&amp;"*",Main_Tariff!A:A,0)),Raeburn_Main_Tariff[[#This Row],[PRODUCER]])</f>
        <v>Swan Estate</v>
      </c>
      <c r="C5365" s="1178" t="s">
        <v>22816</v>
      </c>
      <c r="D5365" s="1178" t="s">
        <v>1129</v>
      </c>
      <c r="E5365" s="1179">
        <v>2017</v>
      </c>
      <c r="F5365" s="1282" t="s">
        <v>20220</v>
      </c>
      <c r="G5365" s="1368">
        <v>19.5</v>
      </c>
      <c r="H5365" s="1178" t="s">
        <v>20221</v>
      </c>
      <c r="I5365" s="1178" t="s">
        <v>16752</v>
      </c>
      <c r="J5365" s="1178" t="s">
        <v>22791</v>
      </c>
      <c r="K5365" s="1178" t="s">
        <v>585</v>
      </c>
      <c r="L5365" s="1178" t="s">
        <v>586</v>
      </c>
      <c r="M5365" s="1369"/>
      <c r="N5365" s="1178"/>
      <c r="O5365" s="1178">
        <v>12</v>
      </c>
      <c r="P5365" s="1178">
        <v>13</v>
      </c>
    </row>
    <row r="5366" spans="1:16">
      <c r="A5366" s="1178" t="s">
        <v>588</v>
      </c>
      <c r="B5366" s="1371" t="str">
        <f>HYPERLINK(IFERROR("#Main_Tariff!A"&amp;MATCH(Raeburn_Main_Tariff[[#This Row],[Product Code]],Main_Tariff!I:I,0),"#Main_Tariff!A"&amp;MATCH("*"&amp;RIGHT(A5366,8)&amp;"*",Main_Tariff!A:A,0)),Raeburn_Main_Tariff[[#This Row],[PRODUCER]])</f>
        <v>Swan Estate</v>
      </c>
      <c r="C5366" s="1178" t="s">
        <v>22817</v>
      </c>
      <c r="D5366" s="1178" t="s">
        <v>1129</v>
      </c>
      <c r="E5366" s="1179">
        <v>2020</v>
      </c>
      <c r="F5366" s="1282" t="s">
        <v>20220</v>
      </c>
      <c r="G5366" s="1368">
        <v>21.5</v>
      </c>
      <c r="H5366" s="1178" t="s">
        <v>20221</v>
      </c>
      <c r="I5366" s="1178" t="s">
        <v>16754</v>
      </c>
      <c r="J5366" s="1178" t="s">
        <v>22791</v>
      </c>
      <c r="K5366" s="1178" t="s">
        <v>585</v>
      </c>
      <c r="L5366" s="1178" t="s">
        <v>586</v>
      </c>
      <c r="M5366" s="1369"/>
      <c r="N5366" s="1178"/>
      <c r="O5366" s="1178">
        <v>12</v>
      </c>
      <c r="P5366" s="1178">
        <v>13.5</v>
      </c>
    </row>
    <row r="5367" spans="1:16">
      <c r="A5367" s="1178" t="s">
        <v>588</v>
      </c>
      <c r="B5367" s="1371" t="str">
        <f>HYPERLINK(IFERROR("#Main_Tariff!A"&amp;MATCH(Raeburn_Main_Tariff[[#This Row],[Product Code]],Main_Tariff!I:I,0),"#Main_Tariff!A"&amp;MATCH("*"&amp;RIGHT(A5367,8)&amp;"*",Main_Tariff!A:A,0)),Raeburn_Main_Tariff[[#This Row],[PRODUCER]])</f>
        <v>Swan Estate</v>
      </c>
      <c r="C5367" s="1178" t="s">
        <v>22818</v>
      </c>
      <c r="D5367" s="1178" t="s">
        <v>1129</v>
      </c>
      <c r="E5367" s="1179">
        <v>2017</v>
      </c>
      <c r="F5367" s="1282" t="s">
        <v>20240</v>
      </c>
      <c r="G5367" s="1368">
        <v>43</v>
      </c>
      <c r="H5367" s="1178" t="s">
        <v>20224</v>
      </c>
      <c r="I5367" s="1178" t="s">
        <v>16756</v>
      </c>
      <c r="J5367" s="1178" t="s">
        <v>22791</v>
      </c>
      <c r="K5367" s="1178" t="s">
        <v>585</v>
      </c>
      <c r="L5367" s="1178" t="s">
        <v>586</v>
      </c>
      <c r="M5367" s="1369"/>
      <c r="N5367" s="1178"/>
      <c r="O5367" s="1178">
        <v>6</v>
      </c>
      <c r="P5367" s="1178">
        <v>13</v>
      </c>
    </row>
    <row r="5368" spans="1:16">
      <c r="A5368" s="1178" t="s">
        <v>588</v>
      </c>
      <c r="B5368" s="1371" t="str">
        <f>HYPERLINK(IFERROR("#Main_Tariff!A"&amp;MATCH(Raeburn_Main_Tariff[[#This Row],[Product Code]],Main_Tariff!I:I,0),"#Main_Tariff!A"&amp;MATCH("*"&amp;RIGHT(A5368,8)&amp;"*",Main_Tariff!A:A,0)),Raeburn_Main_Tariff[[#This Row],[PRODUCER]])</f>
        <v>Swan Estate</v>
      </c>
      <c r="C5368" s="1178" t="s">
        <v>22819</v>
      </c>
      <c r="D5368" s="1178" t="s">
        <v>1370</v>
      </c>
      <c r="E5368" s="1179"/>
      <c r="F5368" s="1282" t="s">
        <v>20220</v>
      </c>
      <c r="G5368" s="1368"/>
      <c r="H5368" s="1178" t="s">
        <v>20277</v>
      </c>
      <c r="I5368" s="1178" t="s">
        <v>16759</v>
      </c>
      <c r="J5368" s="1178" t="s">
        <v>22791</v>
      </c>
      <c r="K5368" s="1178" t="s">
        <v>585</v>
      </c>
      <c r="L5368" s="1178" t="s">
        <v>586</v>
      </c>
      <c r="M5368" s="1369"/>
      <c r="N5368" s="1178"/>
      <c r="O5368" s="1178">
        <v>12</v>
      </c>
      <c r="P5368" s="1178">
        <v>12.5</v>
      </c>
    </row>
    <row r="5369" spans="1:16">
      <c r="A5369" s="1178" t="s">
        <v>588</v>
      </c>
      <c r="B5369" s="1371" t="str">
        <f>HYPERLINK(IFERROR("#Main_Tariff!A"&amp;MATCH(Raeburn_Main_Tariff[[#This Row],[Product Code]],Main_Tariff!I:I,0),"#Main_Tariff!A"&amp;MATCH("*"&amp;RIGHT(A5369,8)&amp;"*",Main_Tariff!A:A,0)),Raeburn_Main_Tariff[[#This Row],[PRODUCER]])</f>
        <v>Swan Estate</v>
      </c>
      <c r="C5369" s="1178" t="s">
        <v>22820</v>
      </c>
      <c r="D5369" s="1178" t="s">
        <v>897</v>
      </c>
      <c r="E5369" s="1179">
        <v>2018</v>
      </c>
      <c r="F5369" s="1282" t="s">
        <v>20220</v>
      </c>
      <c r="G5369" s="1368">
        <v>33</v>
      </c>
      <c r="H5369" s="1178" t="s">
        <v>20221</v>
      </c>
      <c r="I5369" s="1178" t="s">
        <v>16760</v>
      </c>
      <c r="J5369" s="1178" t="s">
        <v>22791</v>
      </c>
      <c r="K5369" s="1178" t="s">
        <v>585</v>
      </c>
      <c r="L5369" s="1178" t="s">
        <v>586</v>
      </c>
      <c r="M5369" s="1369"/>
      <c r="N5369" s="1178"/>
      <c r="O5369" s="1178">
        <v>12</v>
      </c>
      <c r="P5369" s="1178">
        <v>14</v>
      </c>
    </row>
    <row r="5370" spans="1:16">
      <c r="A5370" s="1178" t="s">
        <v>588</v>
      </c>
      <c r="B5370" s="1371" t="str">
        <f>HYPERLINK(IFERROR("#Main_Tariff!A"&amp;MATCH(Raeburn_Main_Tariff[[#This Row],[Product Code]],Main_Tariff!I:I,0),"#Main_Tariff!A"&amp;MATCH("*"&amp;RIGHT(A5370,8)&amp;"*",Main_Tariff!A:A,0)),Raeburn_Main_Tariff[[#This Row],[PRODUCER]])</f>
        <v>Swan Estate</v>
      </c>
      <c r="C5370" s="1178" t="s">
        <v>22821</v>
      </c>
      <c r="D5370" s="1178" t="s">
        <v>897</v>
      </c>
      <c r="E5370" s="1179">
        <v>2014</v>
      </c>
      <c r="F5370" s="1282" t="s">
        <v>20220</v>
      </c>
      <c r="G5370" s="1368">
        <v>32</v>
      </c>
      <c r="H5370" s="1178" t="s">
        <v>20221</v>
      </c>
      <c r="I5370" s="1178" t="s">
        <v>16761</v>
      </c>
      <c r="J5370" s="1178" t="s">
        <v>22791</v>
      </c>
      <c r="K5370" s="1178" t="s">
        <v>585</v>
      </c>
      <c r="L5370" s="1178" t="s">
        <v>586</v>
      </c>
      <c r="M5370" s="1369"/>
      <c r="N5370" s="1178"/>
      <c r="O5370" s="1178">
        <v>12</v>
      </c>
      <c r="P5370" s="1178">
        <v>13.6</v>
      </c>
    </row>
    <row r="5371" spans="1:16">
      <c r="A5371" s="1178" t="s">
        <v>588</v>
      </c>
      <c r="B5371" s="1371" t="str">
        <f>HYPERLINK(IFERROR("#Main_Tariff!A"&amp;MATCH(Raeburn_Main_Tariff[[#This Row],[Product Code]],Main_Tariff!I:I,0),"#Main_Tariff!A"&amp;MATCH("*"&amp;RIGHT(A5371,8)&amp;"*",Main_Tariff!A:A,0)),Raeburn_Main_Tariff[[#This Row],[PRODUCER]])</f>
        <v>Swan Estate</v>
      </c>
      <c r="C5371" s="1178" t="s">
        <v>22822</v>
      </c>
      <c r="D5371" s="1178" t="s">
        <v>897</v>
      </c>
      <c r="E5371" s="1179">
        <v>2013</v>
      </c>
      <c r="F5371" s="1282" t="s">
        <v>20220</v>
      </c>
      <c r="G5371" s="1368">
        <v>25</v>
      </c>
      <c r="H5371" s="1178" t="s">
        <v>20221</v>
      </c>
      <c r="I5371" s="1178" t="s">
        <v>16763</v>
      </c>
      <c r="J5371" s="1178" t="s">
        <v>22791</v>
      </c>
      <c r="K5371" s="1178" t="s">
        <v>585</v>
      </c>
      <c r="L5371" s="1178" t="s">
        <v>586</v>
      </c>
      <c r="M5371" s="1369"/>
      <c r="N5371" s="1178"/>
      <c r="O5371" s="1178">
        <v>12</v>
      </c>
      <c r="P5371" s="1178">
        <v>14.5</v>
      </c>
    </row>
    <row r="5372" spans="1:16">
      <c r="A5372" s="1178" t="s">
        <v>588</v>
      </c>
      <c r="B5372" s="1371" t="str">
        <f>HYPERLINK(IFERROR("#Main_Tariff!A"&amp;MATCH(Raeburn_Main_Tariff[[#This Row],[Product Code]],Main_Tariff!I:I,0),"#Main_Tariff!A"&amp;MATCH("*"&amp;RIGHT(A5372,8)&amp;"*",Main_Tariff!A:A,0)),Raeburn_Main_Tariff[[#This Row],[PRODUCER]])</f>
        <v>Swan Estate</v>
      </c>
      <c r="C5372" s="1178" t="s">
        <v>22823</v>
      </c>
      <c r="D5372" s="1178" t="s">
        <v>897</v>
      </c>
      <c r="E5372" s="1179">
        <v>2018</v>
      </c>
      <c r="F5372" s="1282" t="s">
        <v>20220</v>
      </c>
      <c r="G5372" s="1368">
        <v>31</v>
      </c>
      <c r="H5372" s="1178" t="s">
        <v>20221</v>
      </c>
      <c r="I5372" s="1178" t="s">
        <v>16765</v>
      </c>
      <c r="J5372" s="1178" t="s">
        <v>22791</v>
      </c>
      <c r="K5372" s="1178" t="s">
        <v>585</v>
      </c>
      <c r="L5372" s="1178" t="s">
        <v>586</v>
      </c>
      <c r="M5372" s="1369"/>
      <c r="N5372" s="1178"/>
      <c r="O5372" s="1178">
        <v>12</v>
      </c>
      <c r="P5372" s="1178">
        <v>15</v>
      </c>
    </row>
    <row r="5373" spans="1:16">
      <c r="A5373" s="1178" t="s">
        <v>588</v>
      </c>
      <c r="B5373" s="1371" t="str">
        <f>HYPERLINK(IFERROR("#Main_Tariff!A"&amp;MATCH(Raeburn_Main_Tariff[[#This Row],[Product Code]],Main_Tariff!I:I,0),"#Main_Tariff!A"&amp;MATCH("*"&amp;RIGHT(A5373,8)&amp;"*",Main_Tariff!A:A,0)),Raeburn_Main_Tariff[[#This Row],[PRODUCER]])</f>
        <v>Swan Estate</v>
      </c>
      <c r="C5373" s="1178" t="s">
        <v>22824</v>
      </c>
      <c r="D5373" s="1178" t="s">
        <v>897</v>
      </c>
      <c r="E5373" s="1179">
        <v>2017</v>
      </c>
      <c r="F5373" s="1282" t="s">
        <v>20220</v>
      </c>
      <c r="G5373" s="1368">
        <v>28.5</v>
      </c>
      <c r="H5373" s="1178" t="s">
        <v>20221</v>
      </c>
      <c r="I5373" s="1178" t="s">
        <v>16767</v>
      </c>
      <c r="J5373" s="1178" t="s">
        <v>22791</v>
      </c>
      <c r="K5373" s="1178" t="s">
        <v>585</v>
      </c>
      <c r="L5373" s="1178" t="s">
        <v>586</v>
      </c>
      <c r="M5373" s="1369"/>
      <c r="N5373" s="1178"/>
      <c r="O5373" s="1178">
        <v>12</v>
      </c>
      <c r="P5373" s="1178">
        <v>15</v>
      </c>
    </row>
    <row r="5374" spans="1:16">
      <c r="A5374" s="1178" t="s">
        <v>588</v>
      </c>
      <c r="B5374" s="1371" t="str">
        <f>HYPERLINK(IFERROR("#Main_Tariff!A"&amp;MATCH(Raeburn_Main_Tariff[[#This Row],[Product Code]],Main_Tariff!I:I,0),"#Main_Tariff!A"&amp;MATCH("*"&amp;RIGHT(A5374,8)&amp;"*",Main_Tariff!A:A,0)),Raeburn_Main_Tariff[[#This Row],[PRODUCER]])</f>
        <v>Swan Estate</v>
      </c>
      <c r="C5374" s="1178" t="s">
        <v>22825</v>
      </c>
      <c r="D5374" s="1178" t="s">
        <v>897</v>
      </c>
      <c r="E5374" s="1179">
        <v>2016</v>
      </c>
      <c r="F5374" s="1282" t="s">
        <v>20220</v>
      </c>
      <c r="G5374" s="1368">
        <v>48</v>
      </c>
      <c r="H5374" s="1178" t="s">
        <v>20221</v>
      </c>
      <c r="I5374" s="1178" t="s">
        <v>16769</v>
      </c>
      <c r="J5374" s="1178" t="s">
        <v>22791</v>
      </c>
      <c r="K5374" s="1178" t="s">
        <v>585</v>
      </c>
      <c r="L5374" s="1178" t="s">
        <v>586</v>
      </c>
      <c r="M5374" s="1369"/>
      <c r="N5374" s="1178"/>
      <c r="O5374" s="1178">
        <v>12</v>
      </c>
      <c r="P5374" s="1178">
        <v>12</v>
      </c>
    </row>
    <row r="5375" spans="1:16">
      <c r="A5375" s="1178" t="s">
        <v>588</v>
      </c>
      <c r="B5375" s="1371" t="str">
        <f>HYPERLINK(IFERROR("#Main_Tariff!A"&amp;MATCH(Raeburn_Main_Tariff[[#This Row],[Product Code]],Main_Tariff!I:I,0),"#Main_Tariff!A"&amp;MATCH("*"&amp;RIGHT(A5375,8)&amp;"*",Main_Tariff!A:A,0)),Raeburn_Main_Tariff[[#This Row],[PRODUCER]])</f>
        <v>Swan Estate</v>
      </c>
      <c r="C5375" s="1178" t="s">
        <v>22825</v>
      </c>
      <c r="D5375" s="1178" t="s">
        <v>897</v>
      </c>
      <c r="E5375" s="1179">
        <v>2015</v>
      </c>
      <c r="F5375" s="1282" t="s">
        <v>20220</v>
      </c>
      <c r="G5375" s="1368">
        <v>48</v>
      </c>
      <c r="H5375" s="1178" t="s">
        <v>20221</v>
      </c>
      <c r="I5375" s="1178" t="s">
        <v>16771</v>
      </c>
      <c r="J5375" s="1178" t="s">
        <v>22791</v>
      </c>
      <c r="K5375" s="1178" t="s">
        <v>585</v>
      </c>
      <c r="L5375" s="1178" t="s">
        <v>586</v>
      </c>
      <c r="M5375" s="1369"/>
      <c r="N5375" s="1178"/>
      <c r="O5375" s="1178">
        <v>12</v>
      </c>
      <c r="P5375" s="1178">
        <v>14</v>
      </c>
    </row>
    <row r="5376" spans="1:16">
      <c r="A5376" s="1178" t="s">
        <v>588</v>
      </c>
      <c r="B5376" s="1371" t="str">
        <f>HYPERLINK(IFERROR("#Main_Tariff!A"&amp;MATCH(Raeburn_Main_Tariff[[#This Row],[Product Code]],Main_Tariff!I:I,0),"#Main_Tariff!A"&amp;MATCH("*"&amp;RIGHT(A5376,8)&amp;"*",Main_Tariff!A:A,0)),Raeburn_Main_Tariff[[#This Row],[PRODUCER]])</f>
        <v>Swan Estate</v>
      </c>
      <c r="C5376" s="1178" t="s">
        <v>22826</v>
      </c>
      <c r="D5376" s="1178" t="s">
        <v>897</v>
      </c>
      <c r="E5376" s="1179">
        <v>2016</v>
      </c>
      <c r="F5376" s="1282" t="s">
        <v>20220</v>
      </c>
      <c r="G5376" s="1368">
        <v>28.5</v>
      </c>
      <c r="H5376" s="1178" t="s">
        <v>20221</v>
      </c>
      <c r="I5376" s="1178" t="s">
        <v>16773</v>
      </c>
      <c r="J5376" s="1178" t="s">
        <v>22791</v>
      </c>
      <c r="K5376" s="1178" t="s">
        <v>585</v>
      </c>
      <c r="L5376" s="1178" t="s">
        <v>586</v>
      </c>
      <c r="M5376" s="1369"/>
      <c r="N5376" s="1178"/>
      <c r="O5376" s="1178">
        <v>12</v>
      </c>
      <c r="P5376" s="1178">
        <v>17</v>
      </c>
    </row>
    <row r="5377" spans="1:16">
      <c r="A5377" s="1178" t="s">
        <v>590</v>
      </c>
      <c r="B5377" s="1371" t="str">
        <f>HYPERLINK(IFERROR("#Main_Tariff!A"&amp;MATCH(Raeburn_Main_Tariff[[#This Row],[Product Code]],Main_Tariff!I:I,0),"#Main_Tariff!A"&amp;MATCH("*"&amp;RIGHT(A5377,8)&amp;"*",Main_Tariff!A:A,0)),Raeburn_Main_Tariff[[#This Row],[PRODUCER]])</f>
        <v>Eisele Vineyard</v>
      </c>
      <c r="C5377" s="1178" t="s">
        <v>22827</v>
      </c>
      <c r="D5377" s="1178" t="s">
        <v>897</v>
      </c>
      <c r="E5377" s="1179">
        <v>2009</v>
      </c>
      <c r="F5377" s="1282" t="s">
        <v>20220</v>
      </c>
      <c r="G5377" s="1368">
        <v>119.5</v>
      </c>
      <c r="H5377" s="1178" t="s">
        <v>20224</v>
      </c>
      <c r="I5377" s="1178" t="s">
        <v>16782</v>
      </c>
      <c r="J5377" s="1178" t="s">
        <v>22791</v>
      </c>
      <c r="K5377" s="1178" t="s">
        <v>585</v>
      </c>
      <c r="L5377" s="1178" t="s">
        <v>22810</v>
      </c>
      <c r="M5377" s="1369"/>
      <c r="N5377" s="1178"/>
      <c r="O5377" s="1178">
        <v>6</v>
      </c>
      <c r="P5377" s="1178">
        <v>14.8</v>
      </c>
    </row>
    <row r="5378" spans="1:16">
      <c r="A5378" s="1178" t="s">
        <v>590</v>
      </c>
      <c r="B5378" s="1371" t="str">
        <f>HYPERLINK(IFERROR("#Main_Tariff!A"&amp;MATCH(Raeburn_Main_Tariff[[#This Row],[Product Code]],Main_Tariff!I:I,0),"#Main_Tariff!A"&amp;MATCH("*"&amp;RIGHT(A5378,8)&amp;"*",Main_Tariff!A:A,0)),Raeburn_Main_Tariff[[#This Row],[PRODUCER]])</f>
        <v>Eisele Vineyard</v>
      </c>
      <c r="C5378" s="1178" t="s">
        <v>22828</v>
      </c>
      <c r="D5378" s="1178" t="s">
        <v>897</v>
      </c>
      <c r="E5378" s="1179">
        <v>2016</v>
      </c>
      <c r="F5378" s="1282" t="s">
        <v>20220</v>
      </c>
      <c r="G5378" s="1368">
        <v>396.5</v>
      </c>
      <c r="H5378" s="1178" t="s">
        <v>20224</v>
      </c>
      <c r="I5378" s="1178" t="s">
        <v>16785</v>
      </c>
      <c r="J5378" s="1178" t="s">
        <v>22791</v>
      </c>
      <c r="K5378" s="1178" t="s">
        <v>585</v>
      </c>
      <c r="L5378" s="1178" t="s">
        <v>22810</v>
      </c>
      <c r="M5378" s="1369"/>
      <c r="N5378" s="1178"/>
      <c r="O5378" s="1178">
        <v>3</v>
      </c>
      <c r="P5378" s="1178">
        <v>13</v>
      </c>
    </row>
    <row r="5379" spans="1:16">
      <c r="A5379" s="1178" t="s">
        <v>590</v>
      </c>
      <c r="B5379" s="1371" t="str">
        <f>HYPERLINK(IFERROR("#Main_Tariff!A"&amp;MATCH(Raeburn_Main_Tariff[[#This Row],[Product Code]],Main_Tariff!I:I,0),"#Main_Tariff!A"&amp;MATCH("*"&amp;RIGHT(A5379,8)&amp;"*",Main_Tariff!A:A,0)),Raeburn_Main_Tariff[[#This Row],[PRODUCER]])</f>
        <v>Eisele Vineyard</v>
      </c>
      <c r="C5379" s="1178" t="s">
        <v>22829</v>
      </c>
      <c r="D5379" s="1178" t="s">
        <v>897</v>
      </c>
      <c r="E5379" s="1179">
        <v>2016</v>
      </c>
      <c r="F5379" s="1282" t="s">
        <v>20240</v>
      </c>
      <c r="G5379" s="1368">
        <v>827</v>
      </c>
      <c r="H5379" s="1178" t="s">
        <v>20224</v>
      </c>
      <c r="I5379" s="1178" t="s">
        <v>16786</v>
      </c>
      <c r="J5379" s="1178" t="s">
        <v>22791</v>
      </c>
      <c r="K5379" s="1178" t="s">
        <v>585</v>
      </c>
      <c r="L5379" s="1178" t="s">
        <v>22810</v>
      </c>
      <c r="M5379" s="1369"/>
      <c r="N5379" s="1178"/>
      <c r="O5379" s="1178">
        <v>1</v>
      </c>
      <c r="P5379" s="1178">
        <v>13</v>
      </c>
    </row>
    <row r="5380" spans="1:16">
      <c r="A5380" s="1178" t="s">
        <v>591</v>
      </c>
      <c r="B5380" s="1371" t="str">
        <f>HYPERLINK(IFERROR("#Main_Tariff!A"&amp;MATCH(Raeburn_Main_Tariff[[#This Row],[Product Code]],Main_Tariff!I:I,0),"#Main_Tariff!A"&amp;MATCH("*"&amp;RIGHT(A5380,8)&amp;"*",Main_Tariff!A:A,0)),Raeburn_Main_Tariff[[#This Row],[PRODUCER]])</f>
        <v>Dominus</v>
      </c>
      <c r="C5380" s="1178" t="s">
        <v>22830</v>
      </c>
      <c r="D5380" s="1178" t="s">
        <v>897</v>
      </c>
      <c r="E5380" s="1179">
        <v>2018</v>
      </c>
      <c r="F5380" s="1282" t="s">
        <v>20220</v>
      </c>
      <c r="G5380" s="1368">
        <v>35</v>
      </c>
      <c r="H5380" s="1178" t="s">
        <v>20221</v>
      </c>
      <c r="I5380" s="1178" t="s">
        <v>16806</v>
      </c>
      <c r="J5380" s="1178" t="s">
        <v>22791</v>
      </c>
      <c r="K5380" s="1178" t="s">
        <v>585</v>
      </c>
      <c r="L5380" s="1178" t="s">
        <v>22810</v>
      </c>
      <c r="M5380" s="1369"/>
      <c r="N5380" s="1178"/>
      <c r="O5380" s="1178">
        <v>6</v>
      </c>
      <c r="P5380" s="1178">
        <v>14.5</v>
      </c>
    </row>
    <row r="5381" spans="1:16">
      <c r="A5381" s="1178" t="s">
        <v>591</v>
      </c>
      <c r="B5381" s="1371" t="str">
        <f>HYPERLINK(IFERROR("#Main_Tariff!A"&amp;MATCH(Raeburn_Main_Tariff[[#This Row],[Product Code]],Main_Tariff!I:I,0),"#Main_Tariff!A"&amp;MATCH("*"&amp;RIGHT(A5381,8)&amp;"*",Main_Tariff!A:A,0)),Raeburn_Main_Tariff[[#This Row],[PRODUCER]])</f>
        <v>Dominus</v>
      </c>
      <c r="C5381" s="1178" t="s">
        <v>22830</v>
      </c>
      <c r="D5381" s="1178" t="s">
        <v>897</v>
      </c>
      <c r="E5381" s="1179">
        <v>2016</v>
      </c>
      <c r="F5381" s="1282" t="s">
        <v>20220</v>
      </c>
      <c r="G5381" s="1368">
        <v>35</v>
      </c>
      <c r="H5381" s="1178" t="s">
        <v>20277</v>
      </c>
      <c r="I5381" s="1178" t="s">
        <v>16808</v>
      </c>
      <c r="J5381" s="1178" t="s">
        <v>22791</v>
      </c>
      <c r="K5381" s="1178" t="s">
        <v>585</v>
      </c>
      <c r="L5381" s="1178" t="s">
        <v>22810</v>
      </c>
      <c r="M5381" s="1369"/>
      <c r="N5381" s="1178"/>
      <c r="O5381" s="1178">
        <v>6</v>
      </c>
      <c r="P5381" s="1178">
        <v>14.5</v>
      </c>
    </row>
    <row r="5382" spans="1:16">
      <c r="A5382" s="1178" t="s">
        <v>591</v>
      </c>
      <c r="B5382" s="1371" t="str">
        <f>HYPERLINK(IFERROR("#Main_Tariff!A"&amp;MATCH(Raeburn_Main_Tariff[[#This Row],[Product Code]],Main_Tariff!I:I,0),"#Main_Tariff!A"&amp;MATCH("*"&amp;RIGHT(A5382,8)&amp;"*",Main_Tariff!A:A,0)),Raeburn_Main_Tariff[[#This Row],[PRODUCER]])</f>
        <v>Dominus</v>
      </c>
      <c r="C5382" s="1178" t="s">
        <v>22831</v>
      </c>
      <c r="D5382" s="1178" t="s">
        <v>897</v>
      </c>
      <c r="E5382" s="1179">
        <v>2018</v>
      </c>
      <c r="F5382" s="1282" t="s">
        <v>20220</v>
      </c>
      <c r="G5382" s="1368" t="s">
        <v>5258</v>
      </c>
      <c r="H5382" s="1178" t="s">
        <v>20221</v>
      </c>
      <c r="I5382" s="1178" t="s">
        <v>16810</v>
      </c>
      <c r="J5382" s="1178" t="s">
        <v>22791</v>
      </c>
      <c r="K5382" s="1178" t="s">
        <v>585</v>
      </c>
      <c r="L5382" s="1178" t="s">
        <v>22810</v>
      </c>
      <c r="M5382" s="1369"/>
      <c r="N5382" s="1178"/>
      <c r="O5382" s="1178">
        <v>6</v>
      </c>
      <c r="P5382" s="1178">
        <v>13</v>
      </c>
    </row>
    <row r="5383" spans="1:16">
      <c r="A5383" s="1178" t="s">
        <v>591</v>
      </c>
      <c r="B5383" s="1371" t="str">
        <f>HYPERLINK(IFERROR("#Main_Tariff!A"&amp;MATCH(Raeburn_Main_Tariff[[#This Row],[Product Code]],Main_Tariff!I:I,0),"#Main_Tariff!A"&amp;MATCH("*"&amp;RIGHT(A5383,8)&amp;"*",Main_Tariff!A:A,0)),Raeburn_Main_Tariff[[#This Row],[PRODUCER]])</f>
        <v>Dominus</v>
      </c>
      <c r="C5383" s="1178" t="s">
        <v>591</v>
      </c>
      <c r="D5383" s="1178" t="s">
        <v>897</v>
      </c>
      <c r="E5383" s="1179">
        <v>2018</v>
      </c>
      <c r="F5383" s="1282" t="s">
        <v>20220</v>
      </c>
      <c r="G5383" s="1368" t="s">
        <v>5258</v>
      </c>
      <c r="H5383" s="1178" t="s">
        <v>20224</v>
      </c>
      <c r="I5383" s="1178" t="s">
        <v>16812</v>
      </c>
      <c r="J5383" s="1178" t="s">
        <v>22791</v>
      </c>
      <c r="K5383" s="1178" t="s">
        <v>585</v>
      </c>
      <c r="L5383" s="1178" t="s">
        <v>22810</v>
      </c>
      <c r="M5383" s="1369"/>
      <c r="N5383" s="1178"/>
      <c r="O5383" s="1178">
        <v>6</v>
      </c>
      <c r="P5383" s="1178">
        <v>14.5</v>
      </c>
    </row>
    <row r="5384" spans="1:16">
      <c r="A5384" s="1178" t="s">
        <v>591</v>
      </c>
      <c r="B5384" s="1371" t="str">
        <f>HYPERLINK(IFERROR("#Main_Tariff!A"&amp;MATCH(Raeburn_Main_Tariff[[#This Row],[Product Code]],Main_Tariff!I:I,0),"#Main_Tariff!A"&amp;MATCH("*"&amp;RIGHT(A5384,8)&amp;"*",Main_Tariff!A:A,0)),Raeburn_Main_Tariff[[#This Row],[PRODUCER]])</f>
        <v>Dominus</v>
      </c>
      <c r="C5384" s="1178" t="s">
        <v>591</v>
      </c>
      <c r="D5384" s="1178" t="s">
        <v>897</v>
      </c>
      <c r="E5384" s="1179">
        <v>2017</v>
      </c>
      <c r="F5384" s="1282" t="s">
        <v>20220</v>
      </c>
      <c r="G5384" s="1368" t="s">
        <v>5258</v>
      </c>
      <c r="H5384" s="1178" t="s">
        <v>20224</v>
      </c>
      <c r="I5384" s="1178" t="s">
        <v>16814</v>
      </c>
      <c r="J5384" s="1178" t="s">
        <v>22791</v>
      </c>
      <c r="K5384" s="1178" t="s">
        <v>585</v>
      </c>
      <c r="L5384" s="1178" t="s">
        <v>22810</v>
      </c>
      <c r="M5384" s="1369"/>
      <c r="N5384" s="1178"/>
      <c r="O5384" s="1178">
        <v>6</v>
      </c>
      <c r="P5384" s="1178">
        <v>15</v>
      </c>
    </row>
    <row r="5385" spans="1:16">
      <c r="A5385" s="1178" t="s">
        <v>592</v>
      </c>
      <c r="B5385" s="1371" t="str">
        <f>HYPERLINK(IFERROR("#Main_Tariff!A"&amp;MATCH(Raeburn_Main_Tariff[[#This Row],[Product Code]],Main_Tariff!I:I,0),"#Main_Tariff!A"&amp;MATCH("*"&amp;RIGHT(A5385,8)&amp;"*",Main_Tariff!A:A,0)),Raeburn_Main_Tariff[[#This Row],[PRODUCER]])</f>
        <v>Shafer</v>
      </c>
      <c r="C5385" s="1178" t="s">
        <v>22832</v>
      </c>
      <c r="D5385" s="1178" t="s">
        <v>1129</v>
      </c>
      <c r="E5385" s="1179">
        <v>2019</v>
      </c>
      <c r="F5385" s="1282" t="s">
        <v>20220</v>
      </c>
      <c r="G5385" s="1368">
        <v>42</v>
      </c>
      <c r="H5385" s="1178" t="s">
        <v>20221</v>
      </c>
      <c r="I5385" s="1178" t="s">
        <v>16833</v>
      </c>
      <c r="J5385" s="1178" t="s">
        <v>22791</v>
      </c>
      <c r="K5385" s="1178" t="s">
        <v>585</v>
      </c>
      <c r="L5385" s="1178" t="s">
        <v>22833</v>
      </c>
      <c r="M5385" s="1369"/>
      <c r="N5385" s="1178"/>
      <c r="O5385" s="1178">
        <v>12</v>
      </c>
      <c r="P5385" s="1178">
        <v>15</v>
      </c>
    </row>
    <row r="5386" spans="1:16">
      <c r="A5386" s="1178" t="s">
        <v>592</v>
      </c>
      <c r="B5386" s="1371" t="str">
        <f>HYPERLINK(IFERROR("#Main_Tariff!A"&amp;MATCH(Raeburn_Main_Tariff[[#This Row],[Product Code]],Main_Tariff!I:I,0),"#Main_Tariff!A"&amp;MATCH("*"&amp;RIGHT(A5386,8)&amp;"*",Main_Tariff!A:A,0)),Raeburn_Main_Tariff[[#This Row],[PRODUCER]])</f>
        <v>Shafer</v>
      </c>
      <c r="C5386" s="1178" t="s">
        <v>22834</v>
      </c>
      <c r="D5386" s="1178" t="s">
        <v>897</v>
      </c>
      <c r="E5386" s="1179">
        <v>2021</v>
      </c>
      <c r="F5386" s="1282" t="s">
        <v>20220</v>
      </c>
      <c r="G5386" s="1368">
        <v>59.5</v>
      </c>
      <c r="H5386" s="1178" t="s">
        <v>20224</v>
      </c>
      <c r="I5386" s="1178" t="s">
        <v>16836</v>
      </c>
      <c r="J5386" s="1178" t="s">
        <v>22791</v>
      </c>
      <c r="K5386" s="1178" t="s">
        <v>585</v>
      </c>
      <c r="L5386" s="1178" t="s">
        <v>22810</v>
      </c>
      <c r="M5386" s="1369"/>
      <c r="N5386" s="1178"/>
      <c r="O5386" s="1178">
        <v>12</v>
      </c>
      <c r="P5386" s="1178">
        <v>15.3</v>
      </c>
    </row>
    <row r="5387" spans="1:16">
      <c r="A5387" s="1178" t="s">
        <v>592</v>
      </c>
      <c r="B5387" s="1371" t="str">
        <f>HYPERLINK(IFERROR("#Main_Tariff!A"&amp;MATCH(Raeburn_Main_Tariff[[#This Row],[Product Code]],Main_Tariff!I:I,0),"#Main_Tariff!A"&amp;MATCH("*"&amp;RIGHT(A5387,8)&amp;"*",Main_Tariff!A:A,0)),Raeburn_Main_Tariff[[#This Row],[PRODUCER]])</f>
        <v>Shafer</v>
      </c>
      <c r="C5387" s="1178" t="s">
        <v>22835</v>
      </c>
      <c r="D5387" s="1178" t="s">
        <v>897</v>
      </c>
      <c r="E5387" s="1179">
        <v>2016</v>
      </c>
      <c r="F5387" s="1282" t="s">
        <v>20220</v>
      </c>
      <c r="G5387" s="1368">
        <v>69</v>
      </c>
      <c r="H5387" s="1178" t="s">
        <v>20221</v>
      </c>
      <c r="I5387" s="1178" t="s">
        <v>16837</v>
      </c>
      <c r="J5387" s="1178" t="s">
        <v>22791</v>
      </c>
      <c r="K5387" s="1178" t="s">
        <v>585</v>
      </c>
      <c r="L5387" s="1178" t="s">
        <v>22810</v>
      </c>
      <c r="M5387" s="1369"/>
      <c r="N5387" s="1178"/>
      <c r="O5387" s="1178">
        <v>12</v>
      </c>
      <c r="P5387" s="1178">
        <v>15.5</v>
      </c>
    </row>
    <row r="5388" spans="1:16">
      <c r="A5388" s="1178" t="s">
        <v>592</v>
      </c>
      <c r="B5388" s="1371" t="str">
        <f>HYPERLINK(IFERROR("#Main_Tariff!A"&amp;MATCH(Raeburn_Main_Tariff[[#This Row],[Product Code]],Main_Tariff!I:I,0),"#Main_Tariff!A"&amp;MATCH("*"&amp;RIGHT(A5388,8)&amp;"*",Main_Tariff!A:A,0)),Raeburn_Main_Tariff[[#This Row],[PRODUCER]])</f>
        <v>Shafer</v>
      </c>
      <c r="C5388" s="1178" t="s">
        <v>22835</v>
      </c>
      <c r="D5388" s="1178" t="s">
        <v>897</v>
      </c>
      <c r="E5388" s="1179">
        <v>2015</v>
      </c>
      <c r="F5388" s="1282" t="s">
        <v>20220</v>
      </c>
      <c r="G5388" s="1368">
        <v>76.5</v>
      </c>
      <c r="H5388" s="1178" t="s">
        <v>20221</v>
      </c>
      <c r="I5388" s="1178" t="s">
        <v>16839</v>
      </c>
      <c r="J5388" s="1178" t="s">
        <v>22791</v>
      </c>
      <c r="K5388" s="1178" t="s">
        <v>585</v>
      </c>
      <c r="L5388" s="1178" t="s">
        <v>22810</v>
      </c>
      <c r="M5388" s="1369"/>
      <c r="N5388" s="1178"/>
      <c r="O5388" s="1178">
        <v>12</v>
      </c>
      <c r="P5388" s="1178">
        <v>15.5</v>
      </c>
    </row>
    <row r="5389" spans="1:16">
      <c r="A5389" s="1178" t="s">
        <v>592</v>
      </c>
      <c r="B5389" s="1371" t="str">
        <f>HYPERLINK(IFERROR("#Main_Tariff!A"&amp;MATCH(Raeburn_Main_Tariff[[#This Row],[Product Code]],Main_Tariff!I:I,0),"#Main_Tariff!A"&amp;MATCH("*"&amp;RIGHT(A5389,8)&amp;"*",Main_Tariff!A:A,0)),Raeburn_Main_Tariff[[#This Row],[PRODUCER]])</f>
        <v>Shafer</v>
      </c>
      <c r="C5389" s="1178" t="s">
        <v>22836</v>
      </c>
      <c r="D5389" s="1178" t="s">
        <v>897</v>
      </c>
      <c r="E5389" s="1179">
        <v>2017</v>
      </c>
      <c r="F5389" s="1282" t="s">
        <v>20220</v>
      </c>
      <c r="G5389" s="1368">
        <v>234</v>
      </c>
      <c r="H5389" s="1178" t="s">
        <v>20224</v>
      </c>
      <c r="I5389" s="1178" t="s">
        <v>16841</v>
      </c>
      <c r="J5389" s="1178" t="s">
        <v>22791</v>
      </c>
      <c r="K5389" s="1178" t="s">
        <v>585</v>
      </c>
      <c r="L5389" s="1178" t="s">
        <v>22810</v>
      </c>
      <c r="M5389" s="1369"/>
      <c r="N5389" s="1178"/>
      <c r="O5389" s="1178">
        <v>6</v>
      </c>
      <c r="P5389" s="1178">
        <v>15.5</v>
      </c>
    </row>
    <row r="5390" spans="1:16">
      <c r="A5390" s="1178" t="s">
        <v>592</v>
      </c>
      <c r="B5390" s="1371" t="str">
        <f>HYPERLINK(IFERROR("#Main_Tariff!A"&amp;MATCH(Raeburn_Main_Tariff[[#This Row],[Product Code]],Main_Tariff!I:I,0),"#Main_Tariff!A"&amp;MATCH("*"&amp;RIGHT(A5390,8)&amp;"*",Main_Tariff!A:A,0)),Raeburn_Main_Tariff[[#This Row],[PRODUCER]])</f>
        <v>Shafer</v>
      </c>
      <c r="C5390" s="1178" t="s">
        <v>22836</v>
      </c>
      <c r="D5390" s="1178" t="s">
        <v>897</v>
      </c>
      <c r="E5390" s="1179">
        <v>2015</v>
      </c>
      <c r="F5390" s="1282" t="s">
        <v>20220</v>
      </c>
      <c r="G5390" s="1368">
        <v>222.5</v>
      </c>
      <c r="H5390" s="1178" t="s">
        <v>20224</v>
      </c>
      <c r="I5390" s="1178" t="s">
        <v>16843</v>
      </c>
      <c r="J5390" s="1178" t="s">
        <v>22791</v>
      </c>
      <c r="K5390" s="1178" t="s">
        <v>585</v>
      </c>
      <c r="L5390" s="1178" t="s">
        <v>22810</v>
      </c>
      <c r="M5390" s="1369"/>
      <c r="N5390" s="1178"/>
      <c r="O5390" s="1178">
        <v>6</v>
      </c>
      <c r="P5390" s="1178">
        <v>15.5</v>
      </c>
    </row>
    <row r="5391" spans="1:16">
      <c r="A5391" s="1178" t="s">
        <v>592</v>
      </c>
      <c r="B5391" s="1371" t="str">
        <f>HYPERLINK(IFERROR("#Main_Tariff!A"&amp;MATCH(Raeburn_Main_Tariff[[#This Row],[Product Code]],Main_Tariff!I:I,0),"#Main_Tariff!A"&amp;MATCH("*"&amp;RIGHT(A5391,8)&amp;"*",Main_Tariff!A:A,0)),Raeburn_Main_Tariff[[#This Row],[PRODUCER]])</f>
        <v>Shafer</v>
      </c>
      <c r="C5391" s="1178" t="s">
        <v>22837</v>
      </c>
      <c r="D5391" s="1178" t="s">
        <v>897</v>
      </c>
      <c r="E5391" s="1179">
        <v>2015</v>
      </c>
      <c r="F5391" s="1282" t="s">
        <v>20240</v>
      </c>
      <c r="G5391" s="1368">
        <v>449</v>
      </c>
      <c r="H5391" s="1178" t="s">
        <v>20224</v>
      </c>
      <c r="I5391" s="1178" t="s">
        <v>16845</v>
      </c>
      <c r="J5391" s="1178" t="s">
        <v>22791</v>
      </c>
      <c r="K5391" s="1178" t="s">
        <v>585</v>
      </c>
      <c r="L5391" s="1178" t="s">
        <v>22810</v>
      </c>
      <c r="M5391" s="1369"/>
      <c r="N5391" s="1178"/>
      <c r="O5391" s="1178">
        <v>6</v>
      </c>
      <c r="P5391" s="1178">
        <v>15.5</v>
      </c>
    </row>
    <row r="5392" spans="1:16">
      <c r="A5392" s="1178" t="s">
        <v>595</v>
      </c>
      <c r="B5392" s="1371" t="str">
        <f>HYPERLINK(IFERROR("#Main_Tariff!A"&amp;MATCH(Raeburn_Main_Tariff[[#This Row],[Product Code]],Main_Tariff!I:I,0),"#Main_Tariff!A"&amp;MATCH("*"&amp;RIGHT(A5392,8)&amp;"*",Main_Tariff!A:A,0)),Raeburn_Main_Tariff[[#This Row],[PRODUCER]])</f>
        <v>Cameron</v>
      </c>
      <c r="C5392" s="1178" t="s">
        <v>22838</v>
      </c>
      <c r="D5392" s="1178" t="s">
        <v>1129</v>
      </c>
      <c r="E5392" s="1179">
        <v>2023</v>
      </c>
      <c r="F5392" s="1282" t="s">
        <v>20220</v>
      </c>
      <c r="G5392" s="1368">
        <v>29.95</v>
      </c>
      <c r="H5392" s="1178" t="s">
        <v>20221</v>
      </c>
      <c r="I5392" s="1178" t="s">
        <v>16859</v>
      </c>
      <c r="J5392" s="1178" t="s">
        <v>22791</v>
      </c>
      <c r="K5392" s="1178" t="s">
        <v>593</v>
      </c>
      <c r="L5392" s="1178" t="s">
        <v>594</v>
      </c>
      <c r="M5392" s="1369"/>
      <c r="N5392" s="1178"/>
      <c r="O5392" s="1178">
        <v>12</v>
      </c>
      <c r="P5392" s="1178">
        <v>13.4</v>
      </c>
    </row>
    <row r="5393" spans="1:16">
      <c r="A5393" s="1178" t="s">
        <v>595</v>
      </c>
      <c r="B5393" s="1371" t="str">
        <f>HYPERLINK(IFERROR("#Main_Tariff!A"&amp;MATCH(Raeburn_Main_Tariff[[#This Row],[Product Code]],Main_Tariff!I:I,0),"#Main_Tariff!A"&amp;MATCH("*"&amp;RIGHT(A5393,8)&amp;"*",Main_Tariff!A:A,0)),Raeburn_Main_Tariff[[#This Row],[PRODUCER]])</f>
        <v>Cameron</v>
      </c>
      <c r="C5393" s="1178" t="s">
        <v>22839</v>
      </c>
      <c r="D5393" s="1178" t="s">
        <v>1129</v>
      </c>
      <c r="E5393" s="1179">
        <v>2022</v>
      </c>
      <c r="F5393" s="1282" t="s">
        <v>20220</v>
      </c>
      <c r="G5393" s="1368">
        <v>55</v>
      </c>
      <c r="H5393" s="1178" t="s">
        <v>20224</v>
      </c>
      <c r="I5393" s="1178" t="s">
        <v>16861</v>
      </c>
      <c r="J5393" s="1178" t="s">
        <v>22791</v>
      </c>
      <c r="K5393" s="1178" t="s">
        <v>593</v>
      </c>
      <c r="L5393" s="1178" t="s">
        <v>594</v>
      </c>
      <c r="M5393" s="1369"/>
      <c r="N5393" s="1178"/>
      <c r="O5393" s="1178">
        <v>6</v>
      </c>
      <c r="P5393" s="1178">
        <v>12.9</v>
      </c>
    </row>
    <row r="5394" spans="1:16">
      <c r="A5394" s="1178" t="s">
        <v>595</v>
      </c>
      <c r="B5394" s="1371" t="str">
        <f>HYPERLINK(IFERROR("#Main_Tariff!A"&amp;MATCH(Raeburn_Main_Tariff[[#This Row],[Product Code]],Main_Tariff!I:I,0),"#Main_Tariff!A"&amp;MATCH("*"&amp;RIGHT(A5394,8)&amp;"*",Main_Tariff!A:A,0)),Raeburn_Main_Tariff[[#This Row],[PRODUCER]])</f>
        <v>Cameron</v>
      </c>
      <c r="C5394" s="1178" t="s">
        <v>22840</v>
      </c>
      <c r="D5394" s="1178" t="s">
        <v>1129</v>
      </c>
      <c r="E5394" s="1179">
        <v>2022</v>
      </c>
      <c r="F5394" s="1282" t="s">
        <v>20220</v>
      </c>
      <c r="G5394" s="1368">
        <v>55</v>
      </c>
      <c r="H5394" s="1178" t="s">
        <v>20221</v>
      </c>
      <c r="I5394" s="1178" t="s">
        <v>16863</v>
      </c>
      <c r="J5394" s="1178" t="s">
        <v>22791</v>
      </c>
      <c r="K5394" s="1178" t="s">
        <v>593</v>
      </c>
      <c r="L5394" s="1178" t="s">
        <v>594</v>
      </c>
      <c r="M5394" s="1369"/>
      <c r="N5394" s="1178"/>
      <c r="O5394" s="1178">
        <v>6</v>
      </c>
      <c r="P5394" s="1178">
        <v>13</v>
      </c>
    </row>
    <row r="5395" spans="1:16">
      <c r="A5395" s="1178" t="s">
        <v>595</v>
      </c>
      <c r="B5395" s="1371" t="str">
        <f>HYPERLINK(IFERROR("#Main_Tariff!A"&amp;MATCH(Raeburn_Main_Tariff[[#This Row],[Product Code]],Main_Tariff!I:I,0),"#Main_Tariff!A"&amp;MATCH("*"&amp;RIGHT(A5395,8)&amp;"*",Main_Tariff!A:A,0)),Raeburn_Main_Tariff[[#This Row],[PRODUCER]])</f>
        <v>Cameron</v>
      </c>
      <c r="C5395" s="1178" t="s">
        <v>22841</v>
      </c>
      <c r="D5395" s="1178" t="s">
        <v>897</v>
      </c>
      <c r="E5395" s="1179">
        <v>2022</v>
      </c>
      <c r="F5395" s="1282" t="s">
        <v>20220</v>
      </c>
      <c r="G5395" s="1368">
        <v>29.95</v>
      </c>
      <c r="H5395" s="1178" t="s">
        <v>20221</v>
      </c>
      <c r="I5395" s="1178" t="s">
        <v>16866</v>
      </c>
      <c r="J5395" s="1178" t="s">
        <v>22791</v>
      </c>
      <c r="K5395" s="1178" t="s">
        <v>593</v>
      </c>
      <c r="L5395" s="1178" t="s">
        <v>594</v>
      </c>
      <c r="M5395" s="1369"/>
      <c r="N5395" s="1178"/>
      <c r="O5395" s="1178">
        <v>12</v>
      </c>
      <c r="P5395" s="1178">
        <v>12.9</v>
      </c>
    </row>
    <row r="5396" spans="1:16">
      <c r="A5396" s="1178" t="s">
        <v>595</v>
      </c>
      <c r="B5396" s="1371" t="str">
        <f>HYPERLINK(IFERROR("#Main_Tariff!A"&amp;MATCH(Raeburn_Main_Tariff[[#This Row],[Product Code]],Main_Tariff!I:I,0),"#Main_Tariff!A"&amp;MATCH("*"&amp;RIGHT(A5396,8)&amp;"*",Main_Tariff!A:A,0)),Raeburn_Main_Tariff[[#This Row],[PRODUCER]])</f>
        <v>Cameron</v>
      </c>
      <c r="C5396" s="1178" t="s">
        <v>22842</v>
      </c>
      <c r="D5396" s="1178" t="s">
        <v>897</v>
      </c>
      <c r="E5396" s="1179">
        <v>2022</v>
      </c>
      <c r="F5396" s="1282" t="s">
        <v>20220</v>
      </c>
      <c r="G5396" s="1368">
        <v>34.5</v>
      </c>
      <c r="H5396" s="1178" t="s">
        <v>20221</v>
      </c>
      <c r="I5396" s="1178" t="s">
        <v>16868</v>
      </c>
      <c r="J5396" s="1178" t="s">
        <v>22791</v>
      </c>
      <c r="K5396" s="1178" t="s">
        <v>593</v>
      </c>
      <c r="L5396" s="1178" t="s">
        <v>594</v>
      </c>
      <c r="M5396" s="1369"/>
      <c r="N5396" s="1178"/>
      <c r="O5396" s="1178">
        <v>12</v>
      </c>
      <c r="P5396" s="1178">
        <v>13.7</v>
      </c>
    </row>
    <row r="5397" spans="1:16">
      <c r="A5397" s="1178" t="s">
        <v>595</v>
      </c>
      <c r="B5397" s="1371" t="str">
        <f>HYPERLINK(IFERROR("#Main_Tariff!A"&amp;MATCH(Raeburn_Main_Tariff[[#This Row],[Product Code]],Main_Tariff!I:I,0),"#Main_Tariff!A"&amp;MATCH("*"&amp;RIGHT(A5397,8)&amp;"*",Main_Tariff!A:A,0)),Raeburn_Main_Tariff[[#This Row],[PRODUCER]])</f>
        <v>Cameron</v>
      </c>
      <c r="C5397" s="1178" t="s">
        <v>22843</v>
      </c>
      <c r="D5397" s="1178" t="s">
        <v>897</v>
      </c>
      <c r="E5397" s="1179">
        <v>2022</v>
      </c>
      <c r="F5397" s="1282" t="s">
        <v>20220</v>
      </c>
      <c r="G5397" s="1368">
        <v>55</v>
      </c>
      <c r="H5397" s="1178" t="s">
        <v>20221</v>
      </c>
      <c r="I5397" s="1178" t="s">
        <v>16870</v>
      </c>
      <c r="J5397" s="1178" t="s">
        <v>22791</v>
      </c>
      <c r="K5397" s="1178" t="s">
        <v>593</v>
      </c>
      <c r="L5397" s="1178" t="s">
        <v>594</v>
      </c>
      <c r="M5397" s="1369"/>
      <c r="N5397" s="1178"/>
      <c r="O5397" s="1178">
        <v>12</v>
      </c>
      <c r="P5397" s="1178">
        <v>13.3</v>
      </c>
    </row>
    <row r="5398" spans="1:16">
      <c r="A5398" s="1178" t="s">
        <v>595</v>
      </c>
      <c r="B5398" s="1371" t="str">
        <f>HYPERLINK(IFERROR("#Main_Tariff!A"&amp;MATCH(Raeburn_Main_Tariff[[#This Row],[Product Code]],Main_Tariff!I:I,0),"#Main_Tariff!A"&amp;MATCH("*"&amp;RIGHT(A5398,8)&amp;"*",Main_Tariff!A:A,0)),Raeburn_Main_Tariff[[#This Row],[PRODUCER]])</f>
        <v>Cameron</v>
      </c>
      <c r="C5398" s="1178" t="s">
        <v>22844</v>
      </c>
      <c r="D5398" s="1178" t="s">
        <v>897</v>
      </c>
      <c r="E5398" s="1179">
        <v>2022</v>
      </c>
      <c r="F5398" s="1282" t="s">
        <v>20220</v>
      </c>
      <c r="G5398" s="1368">
        <v>55</v>
      </c>
      <c r="H5398" s="1178" t="s">
        <v>20221</v>
      </c>
      <c r="I5398" s="1178" t="s">
        <v>16871</v>
      </c>
      <c r="J5398" s="1178" t="s">
        <v>22791</v>
      </c>
      <c r="K5398" s="1178" t="s">
        <v>593</v>
      </c>
      <c r="L5398" s="1178" t="s">
        <v>594</v>
      </c>
      <c r="M5398" s="1369"/>
      <c r="N5398" s="1178"/>
      <c r="O5398" s="1178">
        <v>12</v>
      </c>
      <c r="P5398" s="1178">
        <v>13.2</v>
      </c>
    </row>
    <row r="5399" spans="1:16">
      <c r="A5399" s="1178" t="s">
        <v>595</v>
      </c>
      <c r="B5399" s="1371" t="str">
        <f>HYPERLINK(IFERROR("#Main_Tariff!A"&amp;MATCH(Raeburn_Main_Tariff[[#This Row],[Product Code]],Main_Tariff!I:I,0),"#Main_Tariff!A"&amp;MATCH("*"&amp;RIGHT(A5399,8)&amp;"*",Main_Tariff!A:A,0)),Raeburn_Main_Tariff[[#This Row],[PRODUCER]])</f>
        <v>Cameron</v>
      </c>
      <c r="C5399" s="1178" t="s">
        <v>22845</v>
      </c>
      <c r="D5399" s="1178" t="s">
        <v>897</v>
      </c>
      <c r="E5399" s="1179">
        <v>2021</v>
      </c>
      <c r="F5399" s="1282" t="s">
        <v>20220</v>
      </c>
      <c r="G5399" s="1368">
        <v>72</v>
      </c>
      <c r="H5399" s="1178" t="s">
        <v>20221</v>
      </c>
      <c r="I5399" s="1178" t="s">
        <v>16873</v>
      </c>
      <c r="J5399" s="1178" t="s">
        <v>22791</v>
      </c>
      <c r="K5399" s="1178" t="s">
        <v>593</v>
      </c>
      <c r="L5399" s="1178" t="s">
        <v>594</v>
      </c>
      <c r="M5399" s="1369"/>
      <c r="N5399" s="1178"/>
      <c r="O5399" s="1178">
        <v>6</v>
      </c>
      <c r="P5399" s="1178">
        <v>12.8</v>
      </c>
    </row>
    <row r="5400" spans="1:16">
      <c r="A5400" s="1178" t="s">
        <v>597</v>
      </c>
      <c r="B5400" s="1371" t="str">
        <f>HYPERLINK(IFERROR("#Main_Tariff!A"&amp;MATCH(Raeburn_Main_Tariff[[#This Row],[Product Code]],Main_Tariff!I:I,0),"#Main_Tariff!A"&amp;MATCH("*"&amp;RIGHT(A5400,8)&amp;"*",Main_Tariff!A:A,0)),Raeburn_Main_Tariff[[#This Row],[PRODUCER]])</f>
        <v>Ramiiisol</v>
      </c>
      <c r="C5400" s="1178" t="s">
        <v>22846</v>
      </c>
      <c r="D5400" s="1178" t="s">
        <v>1129</v>
      </c>
      <c r="E5400" s="1179">
        <v>2019</v>
      </c>
      <c r="F5400" s="1282" t="s">
        <v>20220</v>
      </c>
      <c r="G5400" s="1368">
        <v>28</v>
      </c>
      <c r="H5400" s="1178" t="s">
        <v>20221</v>
      </c>
      <c r="I5400" s="1178" t="s">
        <v>16927</v>
      </c>
      <c r="J5400" s="1178" t="s">
        <v>22791</v>
      </c>
      <c r="K5400" s="1178" t="s">
        <v>596</v>
      </c>
      <c r="L5400" s="1178" t="s">
        <v>22847</v>
      </c>
      <c r="M5400" s="1369"/>
      <c r="N5400" s="1178"/>
      <c r="O5400" s="1178">
        <v>6</v>
      </c>
      <c r="P5400" s="1178">
        <v>12</v>
      </c>
    </row>
    <row r="5401" spans="1:16">
      <c r="A5401" s="1178" t="s">
        <v>597</v>
      </c>
      <c r="B5401" s="1371" t="str">
        <f>HYPERLINK(IFERROR("#Main_Tariff!A"&amp;MATCH(Raeburn_Main_Tariff[[#This Row],[Product Code]],Main_Tariff!I:I,0),"#Main_Tariff!A"&amp;MATCH("*"&amp;RIGHT(A5401,8)&amp;"*",Main_Tariff!A:A,0)),Raeburn_Main_Tariff[[#This Row],[PRODUCER]])</f>
        <v>Ramiiisol</v>
      </c>
      <c r="C5401" s="1178" t="s">
        <v>22846</v>
      </c>
      <c r="D5401" s="1178" t="s">
        <v>1129</v>
      </c>
      <c r="E5401" s="1179">
        <v>2017</v>
      </c>
      <c r="F5401" s="1282" t="s">
        <v>20220</v>
      </c>
      <c r="G5401" s="1368">
        <v>28</v>
      </c>
      <c r="H5401" s="1178" t="s">
        <v>20221</v>
      </c>
      <c r="I5401" s="1178" t="s">
        <v>16929</v>
      </c>
      <c r="J5401" s="1178" t="s">
        <v>22791</v>
      </c>
      <c r="K5401" s="1178" t="s">
        <v>596</v>
      </c>
      <c r="L5401" s="1178" t="s">
        <v>22847</v>
      </c>
      <c r="M5401" s="1369"/>
      <c r="N5401" s="1178"/>
      <c r="O5401" s="1178">
        <v>6</v>
      </c>
      <c r="P5401" s="1178">
        <v>12</v>
      </c>
    </row>
    <row r="5402" spans="1:16">
      <c r="A5402" s="1178" t="s">
        <v>597</v>
      </c>
      <c r="B5402" s="1371" t="str">
        <f>HYPERLINK(IFERROR("#Main_Tariff!A"&amp;MATCH(Raeburn_Main_Tariff[[#This Row],[Product Code]],Main_Tariff!I:I,0),"#Main_Tariff!A"&amp;MATCH("*"&amp;RIGHT(A5402,8)&amp;"*",Main_Tariff!A:A,0)),Raeburn_Main_Tariff[[#This Row],[PRODUCER]])</f>
        <v>Ramiiisol</v>
      </c>
      <c r="C5402" s="1178" t="s">
        <v>22848</v>
      </c>
      <c r="D5402" s="1178" t="s">
        <v>2573</v>
      </c>
      <c r="E5402" s="1179">
        <v>2019</v>
      </c>
      <c r="F5402" s="1282" t="s">
        <v>20220</v>
      </c>
      <c r="G5402" s="1368">
        <v>41.5</v>
      </c>
      <c r="H5402" s="1178" t="s">
        <v>20221</v>
      </c>
      <c r="I5402" s="1178" t="s">
        <v>16933</v>
      </c>
      <c r="J5402" s="1178" t="s">
        <v>22791</v>
      </c>
      <c r="K5402" s="1178" t="s">
        <v>596</v>
      </c>
      <c r="L5402" s="1178" t="s">
        <v>22847</v>
      </c>
      <c r="M5402" s="1369"/>
      <c r="N5402" s="1178"/>
      <c r="O5402" s="1178">
        <v>6</v>
      </c>
      <c r="P5402" s="1178">
        <v>12</v>
      </c>
    </row>
    <row r="5403" spans="1:16">
      <c r="A5403" s="1178" t="s">
        <v>597</v>
      </c>
      <c r="B5403" s="1371" t="str">
        <f>HYPERLINK(IFERROR("#Main_Tariff!A"&amp;MATCH(Raeburn_Main_Tariff[[#This Row],[Product Code]],Main_Tariff!I:I,0),"#Main_Tariff!A"&amp;MATCH("*"&amp;RIGHT(A5403,8)&amp;"*",Main_Tariff!A:A,0)),Raeburn_Main_Tariff[[#This Row],[PRODUCER]])</f>
        <v>Ramiiisol</v>
      </c>
      <c r="C5403" s="1178" t="s">
        <v>22849</v>
      </c>
      <c r="D5403" s="1178" t="s">
        <v>897</v>
      </c>
      <c r="E5403" s="1179">
        <v>2017</v>
      </c>
      <c r="F5403" s="1282" t="s">
        <v>20220</v>
      </c>
      <c r="G5403" s="1368">
        <v>71.5</v>
      </c>
      <c r="H5403" s="1178" t="s">
        <v>20221</v>
      </c>
      <c r="I5403" s="1178" t="s">
        <v>16936</v>
      </c>
      <c r="J5403" s="1178" t="s">
        <v>22791</v>
      </c>
      <c r="K5403" s="1178" t="s">
        <v>596</v>
      </c>
      <c r="L5403" s="1178" t="s">
        <v>22847</v>
      </c>
      <c r="M5403" s="1369"/>
      <c r="N5403" s="1178"/>
      <c r="O5403" s="1178">
        <v>6</v>
      </c>
      <c r="P5403" s="1178">
        <v>12.5</v>
      </c>
    </row>
    <row r="5404" spans="1:16">
      <c r="A5404" s="1178" t="s">
        <v>597</v>
      </c>
      <c r="B5404" s="1371" t="str">
        <f>HYPERLINK(IFERROR("#Main_Tariff!A"&amp;MATCH(Raeburn_Main_Tariff[[#This Row],[Product Code]],Main_Tariff!I:I,0),"#Main_Tariff!A"&amp;MATCH("*"&amp;RIGHT(A5404,8)&amp;"*",Main_Tariff!A:A,0)),Raeburn_Main_Tariff[[#This Row],[PRODUCER]])</f>
        <v>Ramiiisol</v>
      </c>
      <c r="C5404" s="1178" t="s">
        <v>22849</v>
      </c>
      <c r="D5404" s="1178" t="s">
        <v>897</v>
      </c>
      <c r="E5404" s="1179">
        <v>2016</v>
      </c>
      <c r="F5404" s="1282" t="s">
        <v>20220</v>
      </c>
      <c r="G5404" s="1368">
        <v>71.5</v>
      </c>
      <c r="H5404" s="1178" t="s">
        <v>20221</v>
      </c>
      <c r="I5404" s="1178" t="s">
        <v>16938</v>
      </c>
      <c r="J5404" s="1178" t="s">
        <v>22791</v>
      </c>
      <c r="K5404" s="1178" t="s">
        <v>596</v>
      </c>
      <c r="L5404" s="1178" t="s">
        <v>22847</v>
      </c>
      <c r="M5404" s="1369"/>
      <c r="N5404" s="1178"/>
      <c r="O5404" s="1178">
        <v>6</v>
      </c>
      <c r="P5404" s="1178">
        <v>12</v>
      </c>
    </row>
    <row r="5405" spans="1:16">
      <c r="A5405" s="1178" t="s">
        <v>597</v>
      </c>
      <c r="B5405" s="1371" t="str">
        <f>HYPERLINK(IFERROR("#Main_Tariff!A"&amp;MATCH(Raeburn_Main_Tariff[[#This Row],[Product Code]],Main_Tariff!I:I,0),"#Main_Tariff!A"&amp;MATCH("*"&amp;RIGHT(A5405,8)&amp;"*",Main_Tariff!A:A,0)),Raeburn_Main_Tariff[[#This Row],[PRODUCER]])</f>
        <v>Ramiiisol</v>
      </c>
      <c r="C5405" s="1178" t="s">
        <v>22850</v>
      </c>
      <c r="D5405" s="1178" t="s">
        <v>897</v>
      </c>
      <c r="E5405" s="1179">
        <v>2017</v>
      </c>
      <c r="F5405" s="1282" t="s">
        <v>20220</v>
      </c>
      <c r="G5405" s="1368">
        <v>90</v>
      </c>
      <c r="H5405" s="1178" t="s">
        <v>20221</v>
      </c>
      <c r="I5405" s="1178" t="s">
        <v>16940</v>
      </c>
      <c r="J5405" s="1178" t="s">
        <v>22791</v>
      </c>
      <c r="K5405" s="1178" t="s">
        <v>596</v>
      </c>
      <c r="L5405" s="1178" t="s">
        <v>22847</v>
      </c>
      <c r="M5405" s="1369"/>
      <c r="N5405" s="1178"/>
      <c r="O5405" s="1178">
        <v>6</v>
      </c>
      <c r="P5405" s="1178">
        <v>12.5</v>
      </c>
    </row>
    <row r="5406" spans="1:16">
      <c r="A5406" s="1178" t="s">
        <v>597</v>
      </c>
      <c r="B5406" s="1371" t="str">
        <f>HYPERLINK(IFERROR("#Main_Tariff!A"&amp;MATCH(Raeburn_Main_Tariff[[#This Row],[Product Code]],Main_Tariff!I:I,0),"#Main_Tariff!A"&amp;MATCH("*"&amp;RIGHT(A5406,8)&amp;"*",Main_Tariff!A:A,0)),Raeburn_Main_Tariff[[#This Row],[PRODUCER]])</f>
        <v>Ramiiisol</v>
      </c>
      <c r="C5406" s="1178" t="s">
        <v>22850</v>
      </c>
      <c r="D5406" s="1178" t="s">
        <v>897</v>
      </c>
      <c r="E5406" s="1179">
        <v>2014</v>
      </c>
      <c r="F5406" s="1282" t="s">
        <v>20220</v>
      </c>
      <c r="G5406" s="1368">
        <v>90</v>
      </c>
      <c r="H5406" s="1178" t="s">
        <v>20221</v>
      </c>
      <c r="I5406" s="1178" t="s">
        <v>16941</v>
      </c>
      <c r="J5406" s="1178" t="s">
        <v>22791</v>
      </c>
      <c r="K5406" s="1178" t="s">
        <v>596</v>
      </c>
      <c r="L5406" s="1178" t="s">
        <v>22847</v>
      </c>
      <c r="M5406" s="1369"/>
      <c r="N5406" s="1178"/>
      <c r="O5406" s="1178">
        <v>6</v>
      </c>
      <c r="P5406" s="1178">
        <v>14</v>
      </c>
    </row>
    <row r="5407" spans="1:16">
      <c r="A5407" s="1178" t="s">
        <v>601</v>
      </c>
      <c r="B5407" s="1371" t="str">
        <f>HYPERLINK(IFERROR("#Main_Tariff!A"&amp;MATCH(Raeburn_Main_Tariff[[#This Row],[Product Code]],Main_Tariff!I:I,0),"#Main_Tariff!A"&amp;MATCH("*"&amp;RIGHT(A5407,8)&amp;"*",Main_Tariff!A:A,0)),Raeburn_Main_Tariff[[#This Row],[PRODUCER]])</f>
        <v>Dry River</v>
      </c>
      <c r="C5407" s="1178" t="s">
        <v>22851</v>
      </c>
      <c r="D5407" s="1178" t="s">
        <v>1129</v>
      </c>
      <c r="E5407" s="1179">
        <v>2021</v>
      </c>
      <c r="F5407" s="1282" t="s">
        <v>20220</v>
      </c>
      <c r="G5407" s="1368" t="s">
        <v>22852</v>
      </c>
      <c r="H5407" s="1178" t="s">
        <v>20221</v>
      </c>
      <c r="I5407" s="1178" t="s">
        <v>16964</v>
      </c>
      <c r="J5407" s="1178" t="s">
        <v>22853</v>
      </c>
      <c r="K5407" s="1178" t="s">
        <v>599</v>
      </c>
      <c r="L5407" s="1178" t="s">
        <v>600</v>
      </c>
      <c r="M5407" s="1369"/>
      <c r="N5407" s="1178"/>
      <c r="O5407" s="1178">
        <v>12</v>
      </c>
      <c r="P5407" s="1178">
        <v>12</v>
      </c>
    </row>
    <row r="5408" spans="1:16">
      <c r="A5408" s="1178" t="s">
        <v>601</v>
      </c>
      <c r="B5408" s="1371" t="str">
        <f>HYPERLINK(IFERROR("#Main_Tariff!A"&amp;MATCH(Raeburn_Main_Tariff[[#This Row],[Product Code]],Main_Tariff!I:I,0),"#Main_Tariff!A"&amp;MATCH("*"&amp;RIGHT(A5408,8)&amp;"*",Main_Tariff!A:A,0)),Raeburn_Main_Tariff[[#This Row],[PRODUCER]])</f>
        <v>Dry River</v>
      </c>
      <c r="C5408" s="1178" t="s">
        <v>22851</v>
      </c>
      <c r="D5408" s="1178" t="s">
        <v>1129</v>
      </c>
      <c r="E5408" s="1179">
        <v>2019</v>
      </c>
      <c r="F5408" s="1282" t="s">
        <v>20220</v>
      </c>
      <c r="G5408" s="1368" t="s">
        <v>22852</v>
      </c>
      <c r="H5408" s="1178" t="s">
        <v>20221</v>
      </c>
      <c r="I5408" s="1178" t="s">
        <v>16966</v>
      </c>
      <c r="J5408" s="1178" t="s">
        <v>22853</v>
      </c>
      <c r="K5408" s="1178" t="s">
        <v>599</v>
      </c>
      <c r="L5408" s="1178" t="s">
        <v>600</v>
      </c>
      <c r="M5408" s="1369"/>
      <c r="N5408" s="1178"/>
      <c r="O5408" s="1178">
        <v>12</v>
      </c>
      <c r="P5408" s="1178">
        <v>11.5</v>
      </c>
    </row>
    <row r="5409" spans="1:16">
      <c r="A5409" s="1178" t="s">
        <v>601</v>
      </c>
      <c r="B5409" s="1371" t="str">
        <f>HYPERLINK(IFERROR("#Main_Tariff!A"&amp;MATCH(Raeburn_Main_Tariff[[#This Row],[Product Code]],Main_Tariff!I:I,0),"#Main_Tariff!A"&amp;MATCH("*"&amp;RIGHT(A5409,8)&amp;"*",Main_Tariff!A:A,0)),Raeburn_Main_Tariff[[#This Row],[PRODUCER]])</f>
        <v>Dry River</v>
      </c>
      <c r="C5409" s="1178" t="s">
        <v>22851</v>
      </c>
      <c r="D5409" s="1178" t="s">
        <v>1129</v>
      </c>
      <c r="E5409" s="1179">
        <v>2018</v>
      </c>
      <c r="F5409" s="1282" t="s">
        <v>20220</v>
      </c>
      <c r="G5409" s="1368">
        <v>28</v>
      </c>
      <c r="H5409" s="1178" t="s">
        <v>20221</v>
      </c>
      <c r="I5409" s="1178" t="s">
        <v>16968</v>
      </c>
      <c r="J5409" s="1178" t="s">
        <v>22853</v>
      </c>
      <c r="K5409" s="1178" t="s">
        <v>599</v>
      </c>
      <c r="L5409" s="1178" t="s">
        <v>600</v>
      </c>
      <c r="M5409" s="1369"/>
      <c r="N5409" s="1178"/>
      <c r="O5409" s="1178">
        <v>6</v>
      </c>
      <c r="P5409" s="1178">
        <v>12</v>
      </c>
    </row>
    <row r="5410" spans="1:16">
      <c r="A5410" s="1178" t="s">
        <v>601</v>
      </c>
      <c r="B5410" s="1371" t="str">
        <f>HYPERLINK(IFERROR("#Main_Tariff!A"&amp;MATCH(Raeburn_Main_Tariff[[#This Row],[Product Code]],Main_Tariff!I:I,0),"#Main_Tariff!A"&amp;MATCH("*"&amp;RIGHT(A5410,8)&amp;"*",Main_Tariff!A:A,0)),Raeburn_Main_Tariff[[#This Row],[PRODUCER]])</f>
        <v>Dry River</v>
      </c>
      <c r="C5410" s="1178" t="s">
        <v>22851</v>
      </c>
      <c r="D5410" s="1178" t="s">
        <v>1129</v>
      </c>
      <c r="E5410" s="1179">
        <v>2017</v>
      </c>
      <c r="F5410" s="1282" t="s">
        <v>20220</v>
      </c>
      <c r="G5410" s="1368">
        <v>27</v>
      </c>
      <c r="H5410" s="1178" t="s">
        <v>20221</v>
      </c>
      <c r="I5410" s="1178" t="s">
        <v>16970</v>
      </c>
      <c r="J5410" s="1178" t="s">
        <v>22853</v>
      </c>
      <c r="K5410" s="1178" t="s">
        <v>599</v>
      </c>
      <c r="L5410" s="1178" t="s">
        <v>600</v>
      </c>
      <c r="M5410" s="1369"/>
      <c r="N5410" s="1178"/>
      <c r="O5410" s="1178">
        <v>12</v>
      </c>
      <c r="P5410" s="1178">
        <v>11</v>
      </c>
    </row>
    <row r="5411" spans="1:16">
      <c r="A5411" s="1178" t="s">
        <v>601</v>
      </c>
      <c r="B5411" s="1371" t="str">
        <f>HYPERLINK(IFERROR("#Main_Tariff!A"&amp;MATCH(Raeburn_Main_Tariff[[#This Row],[Product Code]],Main_Tariff!I:I,0),"#Main_Tariff!A"&amp;MATCH("*"&amp;RIGHT(A5411,8)&amp;"*",Main_Tariff!A:A,0)),Raeburn_Main_Tariff[[#This Row],[PRODUCER]])</f>
        <v>Dry River</v>
      </c>
      <c r="C5411" s="1178" t="s">
        <v>22851</v>
      </c>
      <c r="D5411" s="1178" t="s">
        <v>1129</v>
      </c>
      <c r="E5411" s="1179">
        <v>2016</v>
      </c>
      <c r="F5411" s="1282" t="s">
        <v>20220</v>
      </c>
      <c r="G5411" s="1368">
        <v>27</v>
      </c>
      <c r="H5411" s="1178" t="s">
        <v>20277</v>
      </c>
      <c r="I5411" s="1178" t="s">
        <v>16972</v>
      </c>
      <c r="J5411" s="1178" t="s">
        <v>22853</v>
      </c>
      <c r="K5411" s="1178" t="s">
        <v>599</v>
      </c>
      <c r="L5411" s="1178" t="s">
        <v>600</v>
      </c>
      <c r="M5411" s="1369"/>
      <c r="N5411" s="1178"/>
      <c r="O5411" s="1178">
        <v>12</v>
      </c>
      <c r="P5411" s="1178">
        <v>11.5</v>
      </c>
    </row>
    <row r="5412" spans="1:16">
      <c r="A5412" s="1178" t="s">
        <v>601</v>
      </c>
      <c r="B5412" s="1371" t="str">
        <f>HYPERLINK(IFERROR("#Main_Tariff!A"&amp;MATCH(Raeburn_Main_Tariff[[#This Row],[Product Code]],Main_Tariff!I:I,0),"#Main_Tariff!A"&amp;MATCH("*"&amp;RIGHT(A5412,8)&amp;"*",Main_Tariff!A:A,0)),Raeburn_Main_Tariff[[#This Row],[PRODUCER]])</f>
        <v>Dry River</v>
      </c>
      <c r="C5412" s="1178" t="s">
        <v>22062</v>
      </c>
      <c r="D5412" s="1178" t="s">
        <v>1129</v>
      </c>
      <c r="E5412" s="1179">
        <v>2021</v>
      </c>
      <c r="F5412" s="1282" t="s">
        <v>20220</v>
      </c>
      <c r="G5412" s="1368">
        <v>39.5</v>
      </c>
      <c r="H5412" s="1178" t="s">
        <v>20277</v>
      </c>
      <c r="I5412" s="1178" t="s">
        <v>16974</v>
      </c>
      <c r="J5412" s="1178" t="s">
        <v>22853</v>
      </c>
      <c r="K5412" s="1178" t="s">
        <v>599</v>
      </c>
      <c r="L5412" s="1178" t="s">
        <v>600</v>
      </c>
      <c r="M5412" s="1369"/>
      <c r="N5412" s="1178"/>
      <c r="O5412" s="1178">
        <v>12</v>
      </c>
      <c r="P5412" s="1178">
        <v>14</v>
      </c>
    </row>
    <row r="5413" spans="1:16">
      <c r="A5413" s="1178" t="s">
        <v>601</v>
      </c>
      <c r="B5413" s="1371" t="str">
        <f>HYPERLINK(IFERROR("#Main_Tariff!A"&amp;MATCH(Raeburn_Main_Tariff[[#This Row],[Product Code]],Main_Tariff!I:I,0),"#Main_Tariff!A"&amp;MATCH("*"&amp;RIGHT(A5413,8)&amp;"*",Main_Tariff!A:A,0)),Raeburn_Main_Tariff[[#This Row],[PRODUCER]])</f>
        <v>Dry River</v>
      </c>
      <c r="C5413" s="1178" t="s">
        <v>22854</v>
      </c>
      <c r="D5413" s="1178" t="s">
        <v>1129</v>
      </c>
      <c r="E5413" s="1179">
        <v>2020</v>
      </c>
      <c r="F5413" s="1282" t="s">
        <v>20220</v>
      </c>
      <c r="G5413" s="1368" t="s">
        <v>22852</v>
      </c>
      <c r="H5413" s="1178" t="s">
        <v>20221</v>
      </c>
      <c r="I5413" s="1178" t="s">
        <v>16976</v>
      </c>
      <c r="J5413" s="1178" t="s">
        <v>22853</v>
      </c>
      <c r="K5413" s="1178" t="s">
        <v>599</v>
      </c>
      <c r="L5413" s="1178" t="s">
        <v>600</v>
      </c>
      <c r="M5413" s="1369"/>
      <c r="N5413" s="1178"/>
      <c r="O5413" s="1178">
        <v>6</v>
      </c>
      <c r="P5413" s="1178">
        <v>14</v>
      </c>
    </row>
    <row r="5414" spans="1:16">
      <c r="A5414" s="1178" t="s">
        <v>601</v>
      </c>
      <c r="B5414" s="1371" t="str">
        <f>HYPERLINK(IFERROR("#Main_Tariff!A"&amp;MATCH(Raeburn_Main_Tariff[[#This Row],[Product Code]],Main_Tariff!I:I,0),"#Main_Tariff!A"&amp;MATCH("*"&amp;RIGHT(A5414,8)&amp;"*",Main_Tariff!A:A,0)),Raeburn_Main_Tariff[[#This Row],[PRODUCER]])</f>
        <v>Dry River</v>
      </c>
      <c r="C5414" s="1178" t="s">
        <v>22854</v>
      </c>
      <c r="D5414" s="1178" t="s">
        <v>1129</v>
      </c>
      <c r="E5414" s="1179">
        <v>2019</v>
      </c>
      <c r="F5414" s="1282" t="s">
        <v>20220</v>
      </c>
      <c r="G5414" s="1368" t="s">
        <v>22852</v>
      </c>
      <c r="H5414" s="1178" t="s">
        <v>20221</v>
      </c>
      <c r="I5414" s="1178" t="s">
        <v>16977</v>
      </c>
      <c r="J5414" s="1178" t="s">
        <v>22853</v>
      </c>
      <c r="K5414" s="1178" t="s">
        <v>599</v>
      </c>
      <c r="L5414" s="1178" t="s">
        <v>600</v>
      </c>
      <c r="M5414" s="1369"/>
      <c r="N5414" s="1178"/>
      <c r="O5414" s="1178">
        <v>12</v>
      </c>
      <c r="P5414" s="1178">
        <v>14</v>
      </c>
    </row>
    <row r="5415" spans="1:16">
      <c r="A5415" s="1178" t="s">
        <v>601</v>
      </c>
      <c r="B5415" s="1371" t="str">
        <f>HYPERLINK(IFERROR("#Main_Tariff!A"&amp;MATCH(Raeburn_Main_Tariff[[#This Row],[Product Code]],Main_Tariff!I:I,0),"#Main_Tariff!A"&amp;MATCH("*"&amp;RIGHT(A5415,8)&amp;"*",Main_Tariff!A:A,0)),Raeburn_Main_Tariff[[#This Row],[PRODUCER]])</f>
        <v>Dry River</v>
      </c>
      <c r="C5415" s="1178" t="s">
        <v>22854</v>
      </c>
      <c r="D5415" s="1178" t="s">
        <v>1129</v>
      </c>
      <c r="E5415" s="1179">
        <v>2018</v>
      </c>
      <c r="F5415" s="1282" t="s">
        <v>20220</v>
      </c>
      <c r="G5415" s="1368">
        <v>34</v>
      </c>
      <c r="H5415" s="1178" t="s">
        <v>20221</v>
      </c>
      <c r="I5415" s="1178" t="s">
        <v>16979</v>
      </c>
      <c r="J5415" s="1178" t="s">
        <v>22853</v>
      </c>
      <c r="K5415" s="1178" t="s">
        <v>599</v>
      </c>
      <c r="L5415" s="1178" t="s">
        <v>600</v>
      </c>
      <c r="M5415" s="1369"/>
      <c r="N5415" s="1178"/>
      <c r="O5415" s="1178">
        <v>12</v>
      </c>
      <c r="P5415" s="1178">
        <v>13.5</v>
      </c>
    </row>
    <row r="5416" spans="1:16">
      <c r="A5416" s="1178" t="s">
        <v>601</v>
      </c>
      <c r="B5416" s="1371" t="str">
        <f>HYPERLINK(IFERROR("#Main_Tariff!A"&amp;MATCH(Raeburn_Main_Tariff[[#This Row],[Product Code]],Main_Tariff!I:I,0),"#Main_Tariff!A"&amp;MATCH("*"&amp;RIGHT(A5416,8)&amp;"*",Main_Tariff!A:A,0)),Raeburn_Main_Tariff[[#This Row],[PRODUCER]])</f>
        <v>Dry River</v>
      </c>
      <c r="C5416" s="1178" t="s">
        <v>22854</v>
      </c>
      <c r="D5416" s="1178" t="s">
        <v>1129</v>
      </c>
      <c r="E5416" s="1179">
        <v>2017</v>
      </c>
      <c r="F5416" s="1282" t="s">
        <v>20220</v>
      </c>
      <c r="G5416" s="1368">
        <v>32.5</v>
      </c>
      <c r="H5416" s="1178" t="s">
        <v>20221</v>
      </c>
      <c r="I5416" s="1178" t="s">
        <v>16981</v>
      </c>
      <c r="J5416" s="1178" t="s">
        <v>22853</v>
      </c>
      <c r="K5416" s="1178" t="s">
        <v>599</v>
      </c>
      <c r="L5416" s="1178" t="s">
        <v>600</v>
      </c>
      <c r="M5416" s="1369"/>
      <c r="N5416" s="1178"/>
      <c r="O5416" s="1178">
        <v>12</v>
      </c>
      <c r="P5416" s="1178">
        <v>12.5</v>
      </c>
    </row>
    <row r="5417" spans="1:16">
      <c r="A5417" s="1178" t="s">
        <v>601</v>
      </c>
      <c r="B5417" s="1371" t="str">
        <f>HYPERLINK(IFERROR("#Main_Tariff!A"&amp;MATCH(Raeburn_Main_Tariff[[#This Row],[Product Code]],Main_Tariff!I:I,0),"#Main_Tariff!A"&amp;MATCH("*"&amp;RIGHT(A5417,8)&amp;"*",Main_Tariff!A:A,0)),Raeburn_Main_Tariff[[#This Row],[PRODUCER]])</f>
        <v>Dry River</v>
      </c>
      <c r="C5417" s="1178" t="s">
        <v>22854</v>
      </c>
      <c r="D5417" s="1178" t="s">
        <v>1129</v>
      </c>
      <c r="E5417" s="1179">
        <v>2016</v>
      </c>
      <c r="F5417" s="1282" t="s">
        <v>20220</v>
      </c>
      <c r="G5417" s="1368">
        <v>32.5</v>
      </c>
      <c r="H5417" s="1178" t="s">
        <v>20277</v>
      </c>
      <c r="I5417" s="1178" t="s">
        <v>16983</v>
      </c>
      <c r="J5417" s="1178" t="s">
        <v>22853</v>
      </c>
      <c r="K5417" s="1178" t="s">
        <v>599</v>
      </c>
      <c r="L5417" s="1178" t="s">
        <v>600</v>
      </c>
      <c r="M5417" s="1369"/>
      <c r="N5417" s="1178"/>
      <c r="O5417" s="1178">
        <v>12</v>
      </c>
      <c r="P5417" s="1178">
        <v>13.5</v>
      </c>
    </row>
    <row r="5418" spans="1:16">
      <c r="A5418" s="1178" t="s">
        <v>601</v>
      </c>
      <c r="B5418" s="1371" t="str">
        <f>HYPERLINK(IFERROR("#Main_Tariff!A"&amp;MATCH(Raeburn_Main_Tariff[[#This Row],[Product Code]],Main_Tariff!I:I,0),"#Main_Tariff!A"&amp;MATCH("*"&amp;RIGHT(A5418,8)&amp;"*",Main_Tariff!A:A,0)),Raeburn_Main_Tariff[[#This Row],[PRODUCER]])</f>
        <v>Dry River</v>
      </c>
      <c r="C5418" s="1178" t="s">
        <v>22855</v>
      </c>
      <c r="D5418" s="1178" t="s">
        <v>1129</v>
      </c>
      <c r="E5418" s="1179">
        <v>2021</v>
      </c>
      <c r="F5418" s="1282" t="s">
        <v>20220</v>
      </c>
      <c r="G5418" s="1368" t="s">
        <v>22852</v>
      </c>
      <c r="H5418" s="1178" t="s">
        <v>20221</v>
      </c>
      <c r="I5418" s="1178" t="s">
        <v>16985</v>
      </c>
      <c r="J5418" s="1178" t="s">
        <v>22853</v>
      </c>
      <c r="K5418" s="1178" t="s">
        <v>599</v>
      </c>
      <c r="L5418" s="1178" t="s">
        <v>600</v>
      </c>
      <c r="M5418" s="1369"/>
      <c r="N5418" s="1178"/>
      <c r="O5418" s="1178">
        <v>12</v>
      </c>
      <c r="P5418" s="1178">
        <v>14.5</v>
      </c>
    </row>
    <row r="5419" spans="1:16">
      <c r="A5419" s="1178" t="s">
        <v>601</v>
      </c>
      <c r="B5419" s="1371" t="str">
        <f>HYPERLINK(IFERROR("#Main_Tariff!A"&amp;MATCH(Raeburn_Main_Tariff[[#This Row],[Product Code]],Main_Tariff!I:I,0),"#Main_Tariff!A"&amp;MATCH("*"&amp;RIGHT(A5419,8)&amp;"*",Main_Tariff!A:A,0)),Raeburn_Main_Tariff[[#This Row],[PRODUCER]])</f>
        <v>Dry River</v>
      </c>
      <c r="C5419" s="1178" t="s">
        <v>22855</v>
      </c>
      <c r="D5419" s="1178" t="s">
        <v>1129</v>
      </c>
      <c r="E5419" s="1179">
        <v>2020</v>
      </c>
      <c r="F5419" s="1282" t="s">
        <v>20220</v>
      </c>
      <c r="G5419" s="1368">
        <v>30</v>
      </c>
      <c r="H5419" s="1178" t="s">
        <v>20221</v>
      </c>
      <c r="I5419" s="1178" t="s">
        <v>16987</v>
      </c>
      <c r="J5419" s="1178" t="s">
        <v>22853</v>
      </c>
      <c r="K5419" s="1178" t="s">
        <v>599</v>
      </c>
      <c r="L5419" s="1178" t="s">
        <v>600</v>
      </c>
      <c r="M5419" s="1369"/>
      <c r="N5419" s="1178"/>
      <c r="O5419" s="1178">
        <v>12</v>
      </c>
      <c r="P5419" s="1178">
        <v>14.5</v>
      </c>
    </row>
    <row r="5420" spans="1:16">
      <c r="A5420" s="1178" t="s">
        <v>601</v>
      </c>
      <c r="B5420" s="1371" t="str">
        <f>HYPERLINK(IFERROR("#Main_Tariff!A"&amp;MATCH(Raeburn_Main_Tariff[[#This Row],[Product Code]],Main_Tariff!I:I,0),"#Main_Tariff!A"&amp;MATCH("*"&amp;RIGHT(A5420,8)&amp;"*",Main_Tariff!A:A,0)),Raeburn_Main_Tariff[[#This Row],[PRODUCER]])</f>
        <v>Dry River</v>
      </c>
      <c r="C5420" s="1178" t="s">
        <v>22855</v>
      </c>
      <c r="D5420" s="1178" t="s">
        <v>1129</v>
      </c>
      <c r="E5420" s="1179">
        <v>2019</v>
      </c>
      <c r="F5420" s="1282" t="s">
        <v>20220</v>
      </c>
      <c r="G5420" s="1368">
        <v>29.5</v>
      </c>
      <c r="H5420" s="1178" t="s">
        <v>20221</v>
      </c>
      <c r="I5420" s="1178" t="s">
        <v>16989</v>
      </c>
      <c r="J5420" s="1178" t="s">
        <v>22853</v>
      </c>
      <c r="K5420" s="1178" t="s">
        <v>599</v>
      </c>
      <c r="L5420" s="1178" t="s">
        <v>600</v>
      </c>
      <c r="M5420" s="1369"/>
      <c r="N5420" s="1178"/>
      <c r="O5420" s="1178">
        <v>12</v>
      </c>
      <c r="P5420" s="1178">
        <v>14.5</v>
      </c>
    </row>
    <row r="5421" spans="1:16">
      <c r="A5421" s="1178" t="s">
        <v>601</v>
      </c>
      <c r="B5421" s="1371" t="str">
        <f>HYPERLINK(IFERROR("#Main_Tariff!A"&amp;MATCH(Raeburn_Main_Tariff[[#This Row],[Product Code]],Main_Tariff!I:I,0),"#Main_Tariff!A"&amp;MATCH("*"&amp;RIGHT(A5421,8)&amp;"*",Main_Tariff!A:A,0)),Raeburn_Main_Tariff[[#This Row],[PRODUCER]])</f>
        <v>Dry River</v>
      </c>
      <c r="C5421" s="1178" t="s">
        <v>22855</v>
      </c>
      <c r="D5421" s="1178" t="s">
        <v>1129</v>
      </c>
      <c r="E5421" s="1179">
        <v>2018</v>
      </c>
      <c r="F5421" s="1282" t="s">
        <v>20220</v>
      </c>
      <c r="G5421" s="1368">
        <v>29</v>
      </c>
      <c r="H5421" s="1178" t="s">
        <v>20277</v>
      </c>
      <c r="I5421" s="1178" t="s">
        <v>16991</v>
      </c>
      <c r="J5421" s="1178" t="s">
        <v>22853</v>
      </c>
      <c r="K5421" s="1178" t="s">
        <v>599</v>
      </c>
      <c r="L5421" s="1178" t="s">
        <v>600</v>
      </c>
      <c r="M5421" s="1369"/>
      <c r="N5421" s="1178"/>
      <c r="O5421" s="1178">
        <v>12</v>
      </c>
      <c r="P5421" s="1178">
        <v>14.5</v>
      </c>
    </row>
    <row r="5422" spans="1:16">
      <c r="A5422" s="1178" t="s">
        <v>601</v>
      </c>
      <c r="B5422" s="1371" t="str">
        <f>HYPERLINK(IFERROR("#Main_Tariff!A"&amp;MATCH(Raeburn_Main_Tariff[[#This Row],[Product Code]],Main_Tariff!I:I,0),"#Main_Tariff!A"&amp;MATCH("*"&amp;RIGHT(A5422,8)&amp;"*",Main_Tariff!A:A,0)),Raeburn_Main_Tariff[[#This Row],[PRODUCER]])</f>
        <v>Dry River</v>
      </c>
      <c r="C5422" s="1178" t="s">
        <v>22856</v>
      </c>
      <c r="D5422" s="1178" t="s">
        <v>897</v>
      </c>
      <c r="E5422" s="1179">
        <v>2013</v>
      </c>
      <c r="F5422" s="1282" t="s">
        <v>20220</v>
      </c>
      <c r="G5422" s="1368">
        <v>34.25</v>
      </c>
      <c r="H5422" s="1178" t="s">
        <v>20221</v>
      </c>
      <c r="I5422" s="1178" t="s">
        <v>16993</v>
      </c>
      <c r="J5422" s="1178" t="s">
        <v>22853</v>
      </c>
      <c r="K5422" s="1178" t="s">
        <v>599</v>
      </c>
      <c r="L5422" s="1178" t="s">
        <v>600</v>
      </c>
      <c r="M5422" s="1369"/>
      <c r="N5422" s="1178"/>
      <c r="O5422" s="1178">
        <v>12</v>
      </c>
      <c r="P5422" s="1178">
        <v>13</v>
      </c>
    </row>
    <row r="5423" spans="1:16">
      <c r="A5423" s="1178" t="s">
        <v>601</v>
      </c>
      <c r="B5423" s="1371" t="str">
        <f>HYPERLINK(IFERROR("#Main_Tariff!A"&amp;MATCH(Raeburn_Main_Tariff[[#This Row],[Product Code]],Main_Tariff!I:I,0),"#Main_Tariff!A"&amp;MATCH("*"&amp;RIGHT(A5423,8)&amp;"*",Main_Tariff!A:A,0)),Raeburn_Main_Tariff[[#This Row],[PRODUCER]])</f>
        <v>Dry River</v>
      </c>
      <c r="C5423" s="1178" t="s">
        <v>22857</v>
      </c>
      <c r="D5423" s="1178" t="s">
        <v>897</v>
      </c>
      <c r="E5423" s="1179">
        <v>2019</v>
      </c>
      <c r="F5423" s="1282" t="s">
        <v>20220</v>
      </c>
      <c r="G5423" s="1368" t="s">
        <v>22852</v>
      </c>
      <c r="H5423" s="1178" t="s">
        <v>20221</v>
      </c>
      <c r="I5423" s="1178" t="s">
        <v>16995</v>
      </c>
      <c r="J5423" s="1178" t="s">
        <v>22853</v>
      </c>
      <c r="K5423" s="1178" t="s">
        <v>599</v>
      </c>
      <c r="L5423" s="1178" t="s">
        <v>600</v>
      </c>
      <c r="M5423" s="1369"/>
      <c r="N5423" s="1178"/>
      <c r="O5423" s="1178">
        <v>6</v>
      </c>
      <c r="P5423" s="1178">
        <v>13</v>
      </c>
    </row>
    <row r="5424" spans="1:16">
      <c r="A5424" s="1178" t="s">
        <v>601</v>
      </c>
      <c r="B5424" s="1371" t="str">
        <f>HYPERLINK(IFERROR("#Main_Tariff!A"&amp;MATCH(Raeburn_Main_Tariff[[#This Row],[Product Code]],Main_Tariff!I:I,0),"#Main_Tariff!A"&amp;MATCH("*"&amp;RIGHT(A5424,8)&amp;"*",Main_Tariff!A:A,0)),Raeburn_Main_Tariff[[#This Row],[PRODUCER]])</f>
        <v>Dry River</v>
      </c>
      <c r="C5424" s="1178" t="s">
        <v>22857</v>
      </c>
      <c r="D5424" s="1178" t="s">
        <v>897</v>
      </c>
      <c r="E5424" s="1179">
        <v>2018</v>
      </c>
      <c r="F5424" s="1282" t="s">
        <v>20220</v>
      </c>
      <c r="G5424" s="1368">
        <v>40</v>
      </c>
      <c r="H5424" s="1178" t="s">
        <v>20221</v>
      </c>
      <c r="I5424" s="1178" t="s">
        <v>16997</v>
      </c>
      <c r="J5424" s="1178" t="s">
        <v>22853</v>
      </c>
      <c r="K5424" s="1178" t="s">
        <v>599</v>
      </c>
      <c r="L5424" s="1178" t="s">
        <v>600</v>
      </c>
      <c r="M5424" s="1369"/>
      <c r="N5424" s="1178"/>
      <c r="O5424" s="1178">
        <v>12</v>
      </c>
      <c r="P5424" s="1178">
        <v>12.5</v>
      </c>
    </row>
    <row r="5425" spans="1:16">
      <c r="A5425" s="1178" t="s">
        <v>601</v>
      </c>
      <c r="B5425" s="1371" t="str">
        <f>HYPERLINK(IFERROR("#Main_Tariff!A"&amp;MATCH(Raeburn_Main_Tariff[[#This Row],[Product Code]],Main_Tariff!I:I,0),"#Main_Tariff!A"&amp;MATCH("*"&amp;RIGHT(A5425,8)&amp;"*",Main_Tariff!A:A,0)),Raeburn_Main_Tariff[[#This Row],[PRODUCER]])</f>
        <v>Dry River</v>
      </c>
      <c r="C5425" s="1178" t="s">
        <v>22857</v>
      </c>
      <c r="D5425" s="1178" t="s">
        <v>897</v>
      </c>
      <c r="E5425" s="1179">
        <v>2017</v>
      </c>
      <c r="F5425" s="1282" t="s">
        <v>20220</v>
      </c>
      <c r="G5425" s="1368">
        <v>39</v>
      </c>
      <c r="H5425" s="1178" t="s">
        <v>20221</v>
      </c>
      <c r="I5425" s="1178" t="s">
        <v>16999</v>
      </c>
      <c r="J5425" s="1178" t="s">
        <v>22853</v>
      </c>
      <c r="K5425" s="1178" t="s">
        <v>599</v>
      </c>
      <c r="L5425" s="1178" t="s">
        <v>600</v>
      </c>
      <c r="M5425" s="1369"/>
      <c r="N5425" s="1178"/>
      <c r="O5425" s="1178">
        <v>12</v>
      </c>
      <c r="P5425" s="1178">
        <v>12.5</v>
      </c>
    </row>
    <row r="5426" spans="1:16">
      <c r="A5426" s="1178" t="s">
        <v>601</v>
      </c>
      <c r="B5426" s="1371" t="str">
        <f>HYPERLINK(IFERROR("#Main_Tariff!A"&amp;MATCH(Raeburn_Main_Tariff[[#This Row],[Product Code]],Main_Tariff!I:I,0),"#Main_Tariff!A"&amp;MATCH("*"&amp;RIGHT(A5426,8)&amp;"*",Main_Tariff!A:A,0)),Raeburn_Main_Tariff[[#This Row],[PRODUCER]])</f>
        <v>Dry River</v>
      </c>
      <c r="C5426" s="1178" t="s">
        <v>21389</v>
      </c>
      <c r="D5426" s="1178" t="s">
        <v>897</v>
      </c>
      <c r="E5426" s="1179">
        <v>2020</v>
      </c>
      <c r="F5426" s="1282" t="s">
        <v>20220</v>
      </c>
      <c r="G5426" s="1368" t="s">
        <v>22852</v>
      </c>
      <c r="H5426" s="1178" t="s">
        <v>20221</v>
      </c>
      <c r="I5426" s="1178" t="s">
        <v>17002</v>
      </c>
      <c r="J5426" s="1178" t="s">
        <v>22853</v>
      </c>
      <c r="K5426" s="1178" t="s">
        <v>599</v>
      </c>
      <c r="L5426" s="1178" t="s">
        <v>600</v>
      </c>
      <c r="M5426" s="1369"/>
      <c r="N5426" s="1178"/>
      <c r="O5426" s="1178">
        <v>12</v>
      </c>
      <c r="P5426" s="1178">
        <v>13</v>
      </c>
    </row>
    <row r="5427" spans="1:16">
      <c r="A5427" s="1178" t="s">
        <v>601</v>
      </c>
      <c r="B5427" s="1371" t="str">
        <f>HYPERLINK(IFERROR("#Main_Tariff!A"&amp;MATCH(Raeburn_Main_Tariff[[#This Row],[Product Code]],Main_Tariff!I:I,0),"#Main_Tariff!A"&amp;MATCH("*"&amp;RIGHT(A5427,8)&amp;"*",Main_Tariff!A:A,0)),Raeburn_Main_Tariff[[#This Row],[PRODUCER]])</f>
        <v>Dry River</v>
      </c>
      <c r="C5427" s="1178" t="s">
        <v>21389</v>
      </c>
      <c r="D5427" s="1178" t="s">
        <v>897</v>
      </c>
      <c r="E5427" s="1179">
        <v>2019</v>
      </c>
      <c r="F5427" s="1282" t="s">
        <v>20220</v>
      </c>
      <c r="G5427" s="1368" t="s">
        <v>22852</v>
      </c>
      <c r="H5427" s="1178" t="s">
        <v>20221</v>
      </c>
      <c r="I5427" s="1178" t="s">
        <v>17004</v>
      </c>
      <c r="J5427" s="1178" t="s">
        <v>22853</v>
      </c>
      <c r="K5427" s="1178" t="s">
        <v>599</v>
      </c>
      <c r="L5427" s="1178" t="s">
        <v>600</v>
      </c>
      <c r="M5427" s="1369"/>
      <c r="N5427" s="1178"/>
      <c r="O5427" s="1178">
        <v>12</v>
      </c>
      <c r="P5427" s="1178">
        <v>13</v>
      </c>
    </row>
    <row r="5428" spans="1:16">
      <c r="A5428" s="1178" t="s">
        <v>601</v>
      </c>
      <c r="B5428" s="1371" t="str">
        <f>HYPERLINK(IFERROR("#Main_Tariff!A"&amp;MATCH(Raeburn_Main_Tariff[[#This Row],[Product Code]],Main_Tariff!I:I,0),"#Main_Tariff!A"&amp;MATCH("*"&amp;RIGHT(A5428,8)&amp;"*",Main_Tariff!A:A,0)),Raeburn_Main_Tariff[[#This Row],[PRODUCER]])</f>
        <v>Dry River</v>
      </c>
      <c r="C5428" s="1178" t="s">
        <v>21389</v>
      </c>
      <c r="D5428" s="1178" t="s">
        <v>897</v>
      </c>
      <c r="E5428" s="1179">
        <v>2018</v>
      </c>
      <c r="F5428" s="1282" t="s">
        <v>20220</v>
      </c>
      <c r="G5428" s="1368">
        <v>46.5</v>
      </c>
      <c r="H5428" s="1178" t="s">
        <v>20221</v>
      </c>
      <c r="I5428" s="1178" t="s">
        <v>17006</v>
      </c>
      <c r="J5428" s="1178" t="s">
        <v>22853</v>
      </c>
      <c r="K5428" s="1178" t="s">
        <v>599</v>
      </c>
      <c r="L5428" s="1178" t="s">
        <v>600</v>
      </c>
      <c r="M5428" s="1369"/>
      <c r="N5428" s="1178"/>
      <c r="O5428" s="1178">
        <v>12</v>
      </c>
      <c r="P5428" s="1178">
        <v>13</v>
      </c>
    </row>
    <row r="5429" spans="1:16">
      <c r="A5429" s="1178" t="s">
        <v>601</v>
      </c>
      <c r="B5429" s="1371" t="str">
        <f>HYPERLINK(IFERROR("#Main_Tariff!A"&amp;MATCH(Raeburn_Main_Tariff[[#This Row],[Product Code]],Main_Tariff!I:I,0),"#Main_Tariff!A"&amp;MATCH("*"&amp;RIGHT(A5429,8)&amp;"*",Main_Tariff!A:A,0)),Raeburn_Main_Tariff[[#This Row],[PRODUCER]])</f>
        <v>Dry River</v>
      </c>
      <c r="C5429" s="1178" t="s">
        <v>21389</v>
      </c>
      <c r="D5429" s="1178" t="s">
        <v>897</v>
      </c>
      <c r="E5429" s="1179">
        <v>2017</v>
      </c>
      <c r="F5429" s="1282" t="s">
        <v>20220</v>
      </c>
      <c r="G5429" s="1368">
        <v>46.5</v>
      </c>
      <c r="H5429" s="1178" t="s">
        <v>20221</v>
      </c>
      <c r="I5429" s="1178" t="s">
        <v>17008</v>
      </c>
      <c r="J5429" s="1178" t="s">
        <v>22853</v>
      </c>
      <c r="K5429" s="1178" t="s">
        <v>599</v>
      </c>
      <c r="L5429" s="1178" t="s">
        <v>600</v>
      </c>
      <c r="M5429" s="1369"/>
      <c r="N5429" s="1178"/>
      <c r="O5429" s="1178">
        <v>12</v>
      </c>
      <c r="P5429" s="1178">
        <v>13</v>
      </c>
    </row>
    <row r="5430" spans="1:16">
      <c r="A5430" s="1178" t="s">
        <v>601</v>
      </c>
      <c r="B5430" s="1371" t="str">
        <f>HYPERLINK(IFERROR("#Main_Tariff!A"&amp;MATCH(Raeburn_Main_Tariff[[#This Row],[Product Code]],Main_Tariff!I:I,0),"#Main_Tariff!A"&amp;MATCH("*"&amp;RIGHT(A5430,8)&amp;"*",Main_Tariff!A:A,0)),Raeburn_Main_Tariff[[#This Row],[PRODUCER]])</f>
        <v>Dry River</v>
      </c>
      <c r="C5430" s="1178" t="s">
        <v>22858</v>
      </c>
      <c r="D5430" s="1178" t="s">
        <v>897</v>
      </c>
      <c r="E5430" s="1179">
        <v>2015</v>
      </c>
      <c r="F5430" s="1282" t="s">
        <v>20240</v>
      </c>
      <c r="G5430" s="1368">
        <v>79</v>
      </c>
      <c r="H5430" s="1178" t="s">
        <v>20224</v>
      </c>
      <c r="I5430" s="1178" t="s">
        <v>17011</v>
      </c>
      <c r="J5430" s="1178" t="s">
        <v>22853</v>
      </c>
      <c r="K5430" s="1178" t="s">
        <v>599</v>
      </c>
      <c r="L5430" s="1178" t="s">
        <v>600</v>
      </c>
      <c r="M5430" s="1369"/>
      <c r="N5430" s="1178"/>
      <c r="O5430" s="1178">
        <v>12</v>
      </c>
      <c r="P5430" s="1178">
        <v>12.5</v>
      </c>
    </row>
    <row r="5431" spans="1:16">
      <c r="A5431" s="1178" t="s">
        <v>601</v>
      </c>
      <c r="B5431" s="1371" t="str">
        <f>HYPERLINK(IFERROR("#Main_Tariff!A"&amp;MATCH(Raeburn_Main_Tariff[[#This Row],[Product Code]],Main_Tariff!I:I,0),"#Main_Tariff!A"&amp;MATCH("*"&amp;RIGHT(A5431,8)&amp;"*",Main_Tariff!A:A,0)),Raeburn_Main_Tariff[[#This Row],[PRODUCER]])</f>
        <v>Dry River</v>
      </c>
      <c r="C5431" s="1178" t="s">
        <v>21984</v>
      </c>
      <c r="D5431" s="1178" t="s">
        <v>897</v>
      </c>
      <c r="E5431" s="1179">
        <v>2016</v>
      </c>
      <c r="F5431" s="1282" t="s">
        <v>20240</v>
      </c>
      <c r="G5431" s="1368">
        <v>101</v>
      </c>
      <c r="H5431" s="1178" t="s">
        <v>20224</v>
      </c>
      <c r="I5431" s="1178" t="s">
        <v>17013</v>
      </c>
      <c r="J5431" s="1178" t="s">
        <v>22853</v>
      </c>
      <c r="K5431" s="1178" t="s">
        <v>599</v>
      </c>
      <c r="L5431" s="1178" t="s">
        <v>600</v>
      </c>
      <c r="M5431" s="1369"/>
      <c r="N5431" s="1178"/>
      <c r="O5431" s="1178">
        <v>1</v>
      </c>
      <c r="P5431" s="1178">
        <v>12.5</v>
      </c>
    </row>
    <row r="5432" spans="1:16">
      <c r="A5432" s="1178" t="s">
        <v>601</v>
      </c>
      <c r="B5432" s="1371" t="str">
        <f>HYPERLINK(IFERROR("#Main_Tariff!A"&amp;MATCH(Raeburn_Main_Tariff[[#This Row],[Product Code]],Main_Tariff!I:I,0),"#Main_Tariff!A"&amp;MATCH("*"&amp;RIGHT(A5432,8)&amp;"*",Main_Tariff!A:A,0)),Raeburn_Main_Tariff[[#This Row],[PRODUCER]])</f>
        <v>Dry River</v>
      </c>
      <c r="C5432" s="1178" t="s">
        <v>21984</v>
      </c>
      <c r="D5432" s="1178" t="s">
        <v>897</v>
      </c>
      <c r="E5432" s="1179">
        <v>2012</v>
      </c>
      <c r="F5432" s="1282" t="s">
        <v>20240</v>
      </c>
      <c r="G5432" s="1368">
        <v>112</v>
      </c>
      <c r="H5432" s="1178" t="s">
        <v>20221</v>
      </c>
      <c r="I5432" s="1178" t="s">
        <v>17015</v>
      </c>
      <c r="J5432" s="1178" t="s">
        <v>22853</v>
      </c>
      <c r="K5432" s="1178" t="s">
        <v>599</v>
      </c>
      <c r="L5432" s="1178" t="s">
        <v>600</v>
      </c>
      <c r="M5432" s="1369"/>
      <c r="N5432" s="1178"/>
      <c r="O5432" s="1178">
        <v>1</v>
      </c>
      <c r="P5432" s="1178">
        <v>12.5</v>
      </c>
    </row>
    <row r="5433" spans="1:16">
      <c r="A5433" s="1178" t="s">
        <v>22859</v>
      </c>
      <c r="B5433" s="1371" t="str">
        <f>HYPERLINK(IFERROR("#Main_Tariff!A"&amp;MATCH(Raeburn_Main_Tariff[[#This Row],[Product Code]],Main_Tariff!I:I,0),"#Main_Tariff!A"&amp;MATCH("*"&amp;RIGHT(A5433,8)&amp;"*",Main_Tariff!A:A,0)),Raeburn_Main_Tariff[[#This Row],[PRODUCER]])</f>
        <v>Kidnappers Cliffs by Dry River</v>
      </c>
      <c r="C5433" s="1178" t="s">
        <v>22860</v>
      </c>
      <c r="D5433" s="1178" t="s">
        <v>1129</v>
      </c>
      <c r="E5433" s="1179">
        <v>2010</v>
      </c>
      <c r="F5433" s="1282" t="s">
        <v>20220</v>
      </c>
      <c r="G5433" s="1368">
        <v>25</v>
      </c>
      <c r="H5433" s="1178" t="s">
        <v>20221</v>
      </c>
      <c r="I5433" s="1178" t="s">
        <v>17024</v>
      </c>
      <c r="J5433" s="1178" t="s">
        <v>22853</v>
      </c>
      <c r="K5433" s="1178" t="s">
        <v>599</v>
      </c>
      <c r="L5433" s="1178" t="s">
        <v>600</v>
      </c>
      <c r="M5433" s="1369"/>
      <c r="N5433" s="1178"/>
      <c r="O5433" s="1178">
        <v>6</v>
      </c>
      <c r="P5433" s="1178">
        <v>15</v>
      </c>
    </row>
    <row r="5434" spans="1:16">
      <c r="A5434" s="1178" t="s">
        <v>22859</v>
      </c>
      <c r="B5434" s="1371" t="str">
        <f>HYPERLINK(IFERROR("#Main_Tariff!A"&amp;MATCH(Raeburn_Main_Tariff[[#This Row],[Product Code]],Main_Tariff!I:I,0),"#Main_Tariff!A"&amp;MATCH("*"&amp;RIGHT(A5434,8)&amp;"*",Main_Tariff!A:A,0)),Raeburn_Main_Tariff[[#This Row],[PRODUCER]])</f>
        <v>Kidnappers Cliffs by Dry River</v>
      </c>
      <c r="C5434" s="1178" t="s">
        <v>22861</v>
      </c>
      <c r="D5434" s="1178" t="s">
        <v>897</v>
      </c>
      <c r="E5434" s="1179">
        <v>2010</v>
      </c>
      <c r="F5434" s="1282" t="s">
        <v>20220</v>
      </c>
      <c r="G5434" s="1368">
        <v>28</v>
      </c>
      <c r="H5434" s="1178" t="s">
        <v>20221</v>
      </c>
      <c r="I5434" s="1178" t="s">
        <v>17027</v>
      </c>
      <c r="J5434" s="1178" t="s">
        <v>22853</v>
      </c>
      <c r="K5434" s="1178" t="s">
        <v>599</v>
      </c>
      <c r="L5434" s="1178" t="s">
        <v>600</v>
      </c>
      <c r="M5434" s="1369"/>
      <c r="N5434" s="1178"/>
      <c r="O5434" s="1178">
        <v>6</v>
      </c>
      <c r="P5434" s="1178">
        <v>13.5</v>
      </c>
    </row>
    <row r="5435" spans="1:16">
      <c r="A5435" s="1178" t="s">
        <v>22859</v>
      </c>
      <c r="B5435" s="1371" t="str">
        <f>HYPERLINK(IFERROR("#Main_Tariff!A"&amp;MATCH(Raeburn_Main_Tariff[[#This Row],[Product Code]],Main_Tariff!I:I,0),"#Main_Tariff!A"&amp;MATCH("*"&amp;RIGHT(A5435,8)&amp;"*",Main_Tariff!A:A,0)),Raeburn_Main_Tariff[[#This Row],[PRODUCER]])</f>
        <v>Kidnappers Cliffs by Dry River</v>
      </c>
      <c r="C5435" s="1178" t="s">
        <v>22862</v>
      </c>
      <c r="D5435" s="1178" t="s">
        <v>897</v>
      </c>
      <c r="E5435" s="1179">
        <v>2010</v>
      </c>
      <c r="F5435" s="1282" t="s">
        <v>20220</v>
      </c>
      <c r="G5435" s="1368">
        <v>28</v>
      </c>
      <c r="H5435" s="1178" t="s">
        <v>20224</v>
      </c>
      <c r="I5435" s="1178" t="s">
        <v>17029</v>
      </c>
      <c r="J5435" s="1178" t="s">
        <v>22853</v>
      </c>
      <c r="K5435" s="1178" t="s">
        <v>599</v>
      </c>
      <c r="L5435" s="1178" t="s">
        <v>600</v>
      </c>
      <c r="M5435" s="1369"/>
      <c r="N5435" s="1178"/>
      <c r="O5435" s="1178">
        <v>6</v>
      </c>
      <c r="P5435" s="1178">
        <v>12.5</v>
      </c>
    </row>
    <row r="5436" spans="1:16">
      <c r="A5436" s="1178" t="s">
        <v>22859</v>
      </c>
      <c r="B5436" s="1371" t="str">
        <f>HYPERLINK(IFERROR("#Main_Tariff!A"&amp;MATCH(Raeburn_Main_Tariff[[#This Row],[Product Code]],Main_Tariff!I:I,0),"#Main_Tariff!A"&amp;MATCH("*"&amp;RIGHT(A5436,8)&amp;"*",Main_Tariff!A:A,0)),Raeburn_Main_Tariff[[#This Row],[PRODUCER]])</f>
        <v>Kidnappers Cliffs by Dry River</v>
      </c>
      <c r="C5436" s="1178" t="s">
        <v>22862</v>
      </c>
      <c r="D5436" s="1178" t="s">
        <v>897</v>
      </c>
      <c r="E5436" s="1179">
        <v>2009</v>
      </c>
      <c r="F5436" s="1282" t="s">
        <v>20220</v>
      </c>
      <c r="G5436" s="1368">
        <v>31</v>
      </c>
      <c r="H5436" s="1178" t="s">
        <v>20224</v>
      </c>
      <c r="I5436" s="1178" t="s">
        <v>17031</v>
      </c>
      <c r="J5436" s="1178" t="s">
        <v>22853</v>
      </c>
      <c r="K5436" s="1178" t="s">
        <v>599</v>
      </c>
      <c r="L5436" s="1178" t="s">
        <v>600</v>
      </c>
      <c r="M5436" s="1369"/>
      <c r="N5436" s="1178"/>
      <c r="O5436" s="1178">
        <v>6</v>
      </c>
      <c r="P5436" s="1178">
        <v>12.5</v>
      </c>
    </row>
    <row r="5437" spans="1:16">
      <c r="A5437" s="1178" t="s">
        <v>22859</v>
      </c>
      <c r="B5437" s="1371" t="str">
        <f>HYPERLINK(IFERROR("#Main_Tariff!A"&amp;MATCH(Raeburn_Main_Tariff[[#This Row],[Product Code]],Main_Tariff!I:I,0),"#Main_Tariff!A"&amp;MATCH("*"&amp;RIGHT(A5437,8)&amp;"*",Main_Tariff!A:A,0)),Raeburn_Main_Tariff[[#This Row],[PRODUCER]])</f>
        <v>Kidnappers Cliffs by Dry River</v>
      </c>
      <c r="C5437" s="1178" t="s">
        <v>22862</v>
      </c>
      <c r="D5437" s="1178" t="s">
        <v>897</v>
      </c>
      <c r="E5437" s="1179">
        <v>2007</v>
      </c>
      <c r="F5437" s="1282" t="s">
        <v>20220</v>
      </c>
      <c r="G5437" s="1368">
        <v>27.5</v>
      </c>
      <c r="H5437" s="1178" t="s">
        <v>20224</v>
      </c>
      <c r="I5437" s="1178" t="s">
        <v>17032</v>
      </c>
      <c r="J5437" s="1178" t="s">
        <v>22853</v>
      </c>
      <c r="K5437" s="1178" t="s">
        <v>599</v>
      </c>
      <c r="L5437" s="1178" t="s">
        <v>600</v>
      </c>
      <c r="M5437" s="1369"/>
      <c r="N5437" s="1178"/>
      <c r="O5437" s="1178">
        <v>6</v>
      </c>
      <c r="P5437" s="1178">
        <v>13.5</v>
      </c>
    </row>
    <row r="5438" spans="1:16">
      <c r="A5438" s="1178" t="s">
        <v>605</v>
      </c>
      <c r="B5438" s="1371" t="str">
        <f>HYPERLINK(IFERROR("#Main_Tariff!A"&amp;MATCH(Raeburn_Main_Tariff[[#This Row],[Product Code]],Main_Tariff!I:I,0),"#Main_Tariff!A"&amp;MATCH("*"&amp;RIGHT(A5438,8)&amp;"*",Main_Tariff!A:A,0)),Raeburn_Main_Tariff[[#This Row],[PRODUCER]])</f>
        <v>Wingspan</v>
      </c>
      <c r="C5438" s="1178" t="s">
        <v>21980</v>
      </c>
      <c r="D5438" s="1178" t="s">
        <v>1129</v>
      </c>
      <c r="E5438" s="1179">
        <v>2014</v>
      </c>
      <c r="F5438" s="1282" t="s">
        <v>20220</v>
      </c>
      <c r="G5438" s="1368">
        <v>10</v>
      </c>
      <c r="H5438" s="1178" t="s">
        <v>20221</v>
      </c>
      <c r="I5438" s="1178" t="s">
        <v>17040</v>
      </c>
      <c r="J5438" s="1178" t="s">
        <v>22853</v>
      </c>
      <c r="K5438" s="1178" t="s">
        <v>603</v>
      </c>
      <c r="L5438" s="1178" t="s">
        <v>604</v>
      </c>
      <c r="M5438" s="1369"/>
      <c r="N5438" s="1178"/>
      <c r="O5438" s="1178">
        <v>12</v>
      </c>
      <c r="P5438" s="1178">
        <v>13</v>
      </c>
    </row>
    <row r="5439" spans="1:16">
      <c r="A5439" s="1178" t="s">
        <v>608</v>
      </c>
      <c r="B5439" s="1371" t="str">
        <f>HYPERLINK(IFERROR("#Main_Tariff!A"&amp;MATCH(Raeburn_Main_Tariff[[#This Row],[Product Code]],Main_Tariff!I:I,0),"#Main_Tariff!A"&amp;MATCH("*"&amp;RIGHT(A5439,8)&amp;"*",Main_Tariff!A:A,0)),Raeburn_Main_Tariff[[#This Row],[PRODUCER]])</f>
        <v>Felton Road</v>
      </c>
      <c r="C5439" s="1178" t="s">
        <v>22863</v>
      </c>
      <c r="D5439" s="1178" t="s">
        <v>2573</v>
      </c>
      <c r="E5439" s="1179">
        <v>2022</v>
      </c>
      <c r="F5439" s="1282" t="s">
        <v>20220</v>
      </c>
      <c r="G5439" s="1368">
        <v>27</v>
      </c>
      <c r="H5439" s="1178" t="s">
        <v>20221</v>
      </c>
      <c r="I5439" s="1178" t="s">
        <v>17113</v>
      </c>
      <c r="J5439" s="1178" t="s">
        <v>22853</v>
      </c>
      <c r="K5439" s="1178" t="s">
        <v>603</v>
      </c>
      <c r="L5439" s="1178" t="s">
        <v>606</v>
      </c>
      <c r="M5439" s="1369"/>
      <c r="N5439" s="1178"/>
      <c r="O5439" s="1178">
        <v>6</v>
      </c>
      <c r="P5439" s="1178">
        <v>14</v>
      </c>
    </row>
    <row r="5440" spans="1:16">
      <c r="A5440" s="1178" t="s">
        <v>608</v>
      </c>
      <c r="B5440" s="1371" t="str">
        <f>HYPERLINK(IFERROR("#Main_Tariff!A"&amp;MATCH(Raeburn_Main_Tariff[[#This Row],[Product Code]],Main_Tariff!I:I,0),"#Main_Tariff!A"&amp;MATCH("*"&amp;RIGHT(A5440,8)&amp;"*",Main_Tariff!A:A,0)),Raeburn_Main_Tariff[[#This Row],[PRODUCER]])</f>
        <v>Felton Road</v>
      </c>
      <c r="C5440" s="1178" t="s">
        <v>22864</v>
      </c>
      <c r="D5440" s="1178" t="s">
        <v>1129</v>
      </c>
      <c r="E5440" s="1179">
        <v>2024</v>
      </c>
      <c r="F5440" s="1282" t="s">
        <v>20220</v>
      </c>
      <c r="G5440" s="1368">
        <v>25</v>
      </c>
      <c r="H5440" s="1178" t="s">
        <v>20221</v>
      </c>
      <c r="I5440" s="1178" t="s">
        <v>17116</v>
      </c>
      <c r="J5440" s="1178" t="s">
        <v>22853</v>
      </c>
      <c r="K5440" s="1178" t="s">
        <v>603</v>
      </c>
      <c r="L5440" s="1178" t="s">
        <v>606</v>
      </c>
      <c r="M5440" s="1369"/>
      <c r="N5440" s="1178"/>
      <c r="O5440" s="1178">
        <v>6</v>
      </c>
      <c r="P5440" s="1178">
        <v>10</v>
      </c>
    </row>
    <row r="5441" spans="1:16">
      <c r="A5441" s="1178" t="s">
        <v>608</v>
      </c>
      <c r="B5441" s="1371" t="str">
        <f>HYPERLINK(IFERROR("#Main_Tariff!A"&amp;MATCH(Raeburn_Main_Tariff[[#This Row],[Product Code]],Main_Tariff!I:I,0),"#Main_Tariff!A"&amp;MATCH("*"&amp;RIGHT(A5441,8)&amp;"*",Main_Tariff!A:A,0)),Raeburn_Main_Tariff[[#This Row],[PRODUCER]])</f>
        <v>Felton Road</v>
      </c>
      <c r="C5441" s="1178" t="s">
        <v>22864</v>
      </c>
      <c r="D5441" s="1178" t="s">
        <v>1129</v>
      </c>
      <c r="E5441" s="1179">
        <v>2023</v>
      </c>
      <c r="F5441" s="1282" t="s">
        <v>20220</v>
      </c>
      <c r="G5441" s="1368">
        <v>25</v>
      </c>
      <c r="H5441" s="1178" t="s">
        <v>20221</v>
      </c>
      <c r="I5441" s="1178" t="s">
        <v>17117</v>
      </c>
      <c r="J5441" s="1178" t="s">
        <v>22853</v>
      </c>
      <c r="K5441" s="1178" t="s">
        <v>603</v>
      </c>
      <c r="L5441" s="1178" t="s">
        <v>606</v>
      </c>
      <c r="M5441" s="1369"/>
      <c r="N5441" s="1178"/>
      <c r="O5441" s="1178">
        <v>6</v>
      </c>
      <c r="P5441" s="1178">
        <v>12.5</v>
      </c>
    </row>
    <row r="5442" spans="1:16">
      <c r="A5442" s="1178" t="s">
        <v>608</v>
      </c>
      <c r="B5442" s="1371" t="str">
        <f>HYPERLINK(IFERROR("#Main_Tariff!A"&amp;MATCH(Raeburn_Main_Tariff[[#This Row],[Product Code]],Main_Tariff!I:I,0),"#Main_Tariff!A"&amp;MATCH("*"&amp;RIGHT(A5442,8)&amp;"*",Main_Tariff!A:A,0)),Raeburn_Main_Tariff[[#This Row],[PRODUCER]])</f>
        <v>Felton Road</v>
      </c>
      <c r="C5442" s="1178" t="s">
        <v>22864</v>
      </c>
      <c r="D5442" s="1178" t="s">
        <v>1129</v>
      </c>
      <c r="E5442" s="1179">
        <v>2022</v>
      </c>
      <c r="F5442" s="1282" t="s">
        <v>20220</v>
      </c>
      <c r="G5442" s="1368">
        <v>23.25</v>
      </c>
      <c r="H5442" s="1178" t="s">
        <v>20277</v>
      </c>
      <c r="I5442" s="1178" t="s">
        <v>17119</v>
      </c>
      <c r="J5442" s="1178" t="s">
        <v>22853</v>
      </c>
      <c r="K5442" s="1178" t="s">
        <v>603</v>
      </c>
      <c r="L5442" s="1178" t="s">
        <v>606</v>
      </c>
      <c r="M5442" s="1369"/>
      <c r="N5442" s="1178"/>
      <c r="O5442" s="1178">
        <v>6</v>
      </c>
      <c r="P5442" s="1178">
        <v>13.5</v>
      </c>
    </row>
    <row r="5443" spans="1:16">
      <c r="A5443" s="1178" t="s">
        <v>608</v>
      </c>
      <c r="B5443" s="1371" t="str">
        <f>HYPERLINK(IFERROR("#Main_Tariff!A"&amp;MATCH(Raeburn_Main_Tariff[[#This Row],[Product Code]],Main_Tariff!I:I,0),"#Main_Tariff!A"&amp;MATCH("*"&amp;RIGHT(A5443,8)&amp;"*",Main_Tariff!A:A,0)),Raeburn_Main_Tariff[[#This Row],[PRODUCER]])</f>
        <v>Felton Road</v>
      </c>
      <c r="C5443" s="1178" t="s">
        <v>22865</v>
      </c>
      <c r="D5443" s="1178" t="s">
        <v>1129</v>
      </c>
      <c r="E5443" s="1179">
        <v>2024</v>
      </c>
      <c r="F5443" s="1282" t="s">
        <v>20220</v>
      </c>
      <c r="G5443" s="1368">
        <v>24.25</v>
      </c>
      <c r="H5443" s="1178" t="s">
        <v>20224</v>
      </c>
      <c r="I5443" s="1178" t="s">
        <v>17123</v>
      </c>
      <c r="J5443" s="1178" t="s">
        <v>22853</v>
      </c>
      <c r="K5443" s="1178" t="s">
        <v>603</v>
      </c>
      <c r="L5443" s="1178" t="s">
        <v>606</v>
      </c>
      <c r="M5443" s="1369"/>
      <c r="N5443" s="1178"/>
      <c r="O5443" s="1178">
        <v>6</v>
      </c>
      <c r="P5443" s="1178">
        <v>10</v>
      </c>
    </row>
    <row r="5444" spans="1:16">
      <c r="A5444" s="1178" t="s">
        <v>608</v>
      </c>
      <c r="B5444" s="1371" t="str">
        <f>HYPERLINK(IFERROR("#Main_Tariff!A"&amp;MATCH(Raeburn_Main_Tariff[[#This Row],[Product Code]],Main_Tariff!I:I,0),"#Main_Tariff!A"&amp;MATCH("*"&amp;RIGHT(A5444,8)&amp;"*",Main_Tariff!A:A,0)),Raeburn_Main_Tariff[[#This Row],[PRODUCER]])</f>
        <v>Felton Road</v>
      </c>
      <c r="C5444" s="1178" t="s">
        <v>22865</v>
      </c>
      <c r="D5444" s="1178" t="s">
        <v>1129</v>
      </c>
      <c r="E5444" s="1179">
        <v>2023</v>
      </c>
      <c r="F5444" s="1282" t="s">
        <v>20220</v>
      </c>
      <c r="G5444" s="1368">
        <v>24</v>
      </c>
      <c r="H5444" s="1178" t="s">
        <v>20224</v>
      </c>
      <c r="I5444" s="1178" t="s">
        <v>17125</v>
      </c>
      <c r="J5444" s="1178" t="s">
        <v>22853</v>
      </c>
      <c r="K5444" s="1178" t="s">
        <v>603</v>
      </c>
      <c r="L5444" s="1178" t="s">
        <v>606</v>
      </c>
      <c r="M5444" s="1369"/>
      <c r="N5444" s="1178"/>
      <c r="O5444" s="1178">
        <v>6</v>
      </c>
      <c r="P5444" s="1178">
        <v>9.5</v>
      </c>
    </row>
    <row r="5445" spans="1:16">
      <c r="A5445" s="1178" t="s">
        <v>608</v>
      </c>
      <c r="B5445" s="1371" t="str">
        <f>HYPERLINK(IFERROR("#Main_Tariff!A"&amp;MATCH(Raeburn_Main_Tariff[[#This Row],[Product Code]],Main_Tariff!I:I,0),"#Main_Tariff!A"&amp;MATCH("*"&amp;RIGHT(A5445,8)&amp;"*",Main_Tariff!A:A,0)),Raeburn_Main_Tariff[[#This Row],[PRODUCER]])</f>
        <v>Felton Road</v>
      </c>
      <c r="C5445" s="1178" t="s">
        <v>22865</v>
      </c>
      <c r="D5445" s="1178" t="s">
        <v>1129</v>
      </c>
      <c r="E5445" s="1179">
        <v>2022</v>
      </c>
      <c r="F5445" s="1282" t="s">
        <v>20220</v>
      </c>
      <c r="G5445" s="1368">
        <v>22.5</v>
      </c>
      <c r="H5445" s="1178" t="s">
        <v>20224</v>
      </c>
      <c r="I5445" s="1178" t="s">
        <v>17127</v>
      </c>
      <c r="J5445" s="1178" t="s">
        <v>22853</v>
      </c>
      <c r="K5445" s="1178" t="s">
        <v>603</v>
      </c>
      <c r="L5445" s="1178" t="s">
        <v>606</v>
      </c>
      <c r="M5445" s="1369"/>
      <c r="N5445" s="1178"/>
      <c r="O5445" s="1178">
        <v>6</v>
      </c>
      <c r="P5445" s="1178">
        <v>13.5</v>
      </c>
    </row>
    <row r="5446" spans="1:16">
      <c r="A5446" s="1178" t="s">
        <v>608</v>
      </c>
      <c r="B5446" s="1371" t="str">
        <f>HYPERLINK(IFERROR("#Main_Tariff!A"&amp;MATCH(Raeburn_Main_Tariff[[#This Row],[Product Code]],Main_Tariff!I:I,0),"#Main_Tariff!A"&amp;MATCH("*"&amp;RIGHT(A5446,8)&amp;"*",Main_Tariff!A:A,0)),Raeburn_Main_Tariff[[#This Row],[PRODUCER]])</f>
        <v>Felton Road</v>
      </c>
      <c r="C5446" s="1178" t="s">
        <v>22865</v>
      </c>
      <c r="D5446" s="1178" t="s">
        <v>1129</v>
      </c>
      <c r="E5446" s="1179">
        <v>2013</v>
      </c>
      <c r="F5446" s="1282" t="s">
        <v>20220</v>
      </c>
      <c r="G5446" s="1368">
        <v>22.5</v>
      </c>
      <c r="H5446" s="1178" t="s">
        <v>20224</v>
      </c>
      <c r="I5446" s="1178" t="s">
        <v>17129</v>
      </c>
      <c r="J5446" s="1178" t="s">
        <v>22853</v>
      </c>
      <c r="K5446" s="1178" t="s">
        <v>603</v>
      </c>
      <c r="L5446" s="1178" t="s">
        <v>606</v>
      </c>
      <c r="M5446" s="1369"/>
      <c r="N5446" s="1178"/>
      <c r="O5446" s="1178">
        <v>12</v>
      </c>
      <c r="P5446" s="1178">
        <v>9.5</v>
      </c>
    </row>
    <row r="5447" spans="1:16">
      <c r="A5447" s="1178" t="s">
        <v>608</v>
      </c>
      <c r="B5447" s="1371" t="str">
        <f>HYPERLINK(IFERROR("#Main_Tariff!A"&amp;MATCH(Raeburn_Main_Tariff[[#This Row],[Product Code]],Main_Tariff!I:I,0),"#Main_Tariff!A"&amp;MATCH("*"&amp;RIGHT(A5447,8)&amp;"*",Main_Tariff!A:A,0)),Raeburn_Main_Tariff[[#This Row],[PRODUCER]])</f>
        <v>Felton Road</v>
      </c>
      <c r="C5447" s="1178" t="s">
        <v>22866</v>
      </c>
      <c r="D5447" s="1178" t="s">
        <v>1129</v>
      </c>
      <c r="E5447" s="1179">
        <v>2024</v>
      </c>
      <c r="F5447" s="1282" t="s">
        <v>20220</v>
      </c>
      <c r="G5447" s="1368">
        <v>32.5</v>
      </c>
      <c r="H5447" s="1178" t="s">
        <v>20221</v>
      </c>
      <c r="I5447" s="1178" t="s">
        <v>23375</v>
      </c>
      <c r="J5447" s="1178" t="s">
        <v>22853</v>
      </c>
      <c r="K5447" s="1178" t="s">
        <v>603</v>
      </c>
      <c r="L5447" s="1178" t="s">
        <v>606</v>
      </c>
      <c r="M5447" s="1369"/>
      <c r="N5447" s="1178"/>
      <c r="O5447" s="1178">
        <v>6</v>
      </c>
      <c r="P5447" s="1178">
        <v>13.5</v>
      </c>
    </row>
    <row r="5448" spans="1:16">
      <c r="A5448" s="1178" t="s">
        <v>608</v>
      </c>
      <c r="B5448" s="1371" t="str">
        <f>HYPERLINK(IFERROR("#Main_Tariff!A"&amp;MATCH(Raeburn_Main_Tariff[[#This Row],[Product Code]],Main_Tariff!I:I,0),"#Main_Tariff!A"&amp;MATCH("*"&amp;RIGHT(A5448,8)&amp;"*",Main_Tariff!A:A,0)),Raeburn_Main_Tariff[[#This Row],[PRODUCER]])</f>
        <v>Felton Road</v>
      </c>
      <c r="C5448" s="1178" t="s">
        <v>22866</v>
      </c>
      <c r="D5448" s="1178" t="s">
        <v>1129</v>
      </c>
      <c r="E5448" s="1179">
        <v>2023</v>
      </c>
      <c r="F5448" s="1282" t="s">
        <v>20220</v>
      </c>
      <c r="G5448" s="1368">
        <v>32</v>
      </c>
      <c r="H5448" s="1178" t="s">
        <v>20221</v>
      </c>
      <c r="I5448" s="1178" t="s">
        <v>17133</v>
      </c>
      <c r="J5448" s="1178" t="s">
        <v>22853</v>
      </c>
      <c r="K5448" s="1178" t="s">
        <v>603</v>
      </c>
      <c r="L5448" s="1178" t="s">
        <v>606</v>
      </c>
      <c r="M5448" s="1369"/>
      <c r="N5448" s="1178"/>
      <c r="O5448" s="1178">
        <v>6</v>
      </c>
      <c r="P5448" s="1178">
        <v>14</v>
      </c>
    </row>
    <row r="5449" spans="1:16">
      <c r="A5449" s="1178" t="s">
        <v>608</v>
      </c>
      <c r="B5449" s="1371" t="str">
        <f>HYPERLINK(IFERROR("#Main_Tariff!A"&amp;MATCH(Raeburn_Main_Tariff[[#This Row],[Product Code]],Main_Tariff!I:I,0),"#Main_Tariff!A"&amp;MATCH("*"&amp;RIGHT(A5449,8)&amp;"*",Main_Tariff!A:A,0)),Raeburn_Main_Tariff[[#This Row],[PRODUCER]])</f>
        <v>Felton Road</v>
      </c>
      <c r="C5449" s="1178" t="s">
        <v>22866</v>
      </c>
      <c r="D5449" s="1178" t="s">
        <v>1129</v>
      </c>
      <c r="E5449" s="1179">
        <v>2019</v>
      </c>
      <c r="F5449" s="1282" t="s">
        <v>20220</v>
      </c>
      <c r="G5449" s="1368">
        <v>29.5</v>
      </c>
      <c r="H5449" s="1178" t="s">
        <v>20224</v>
      </c>
      <c r="I5449" s="1178" t="s">
        <v>17136</v>
      </c>
      <c r="J5449" s="1178" t="s">
        <v>22853</v>
      </c>
      <c r="K5449" s="1178" t="s">
        <v>603</v>
      </c>
      <c r="L5449" s="1178" t="s">
        <v>606</v>
      </c>
      <c r="M5449" s="1369"/>
      <c r="N5449" s="1178"/>
      <c r="O5449" s="1178">
        <v>6</v>
      </c>
      <c r="P5449" s="1178">
        <v>13.5</v>
      </c>
    </row>
    <row r="5450" spans="1:16">
      <c r="A5450" s="1178" t="s">
        <v>608</v>
      </c>
      <c r="B5450" s="1371" t="str">
        <f>HYPERLINK(IFERROR("#Main_Tariff!A"&amp;MATCH(Raeburn_Main_Tariff[[#This Row],[Product Code]],Main_Tariff!I:I,0),"#Main_Tariff!A"&amp;MATCH("*"&amp;RIGHT(A5450,8)&amp;"*",Main_Tariff!A:A,0)),Raeburn_Main_Tariff[[#This Row],[PRODUCER]])</f>
        <v>Felton Road</v>
      </c>
      <c r="C5450" s="1178" t="s">
        <v>22867</v>
      </c>
      <c r="D5450" s="1178" t="s">
        <v>1129</v>
      </c>
      <c r="E5450" s="1179">
        <v>2023</v>
      </c>
      <c r="F5450" s="1282" t="s">
        <v>20220</v>
      </c>
      <c r="G5450" s="1368">
        <v>38</v>
      </c>
      <c r="H5450" s="1178" t="s">
        <v>20221</v>
      </c>
      <c r="I5450" s="1178" t="s">
        <v>17140</v>
      </c>
      <c r="J5450" s="1178" t="s">
        <v>22853</v>
      </c>
      <c r="K5450" s="1178" t="s">
        <v>603</v>
      </c>
      <c r="L5450" s="1178" t="s">
        <v>606</v>
      </c>
      <c r="M5450" s="1369"/>
      <c r="N5450" s="1178"/>
      <c r="O5450" s="1178">
        <v>3</v>
      </c>
      <c r="P5450" s="1178">
        <v>14</v>
      </c>
    </row>
    <row r="5451" spans="1:16">
      <c r="A5451" s="1178" t="s">
        <v>608</v>
      </c>
      <c r="B5451" s="1371" t="str">
        <f>HYPERLINK(IFERROR("#Main_Tariff!A"&amp;MATCH(Raeburn_Main_Tariff[[#This Row],[Product Code]],Main_Tariff!I:I,0),"#Main_Tariff!A"&amp;MATCH("*"&amp;RIGHT(A5451,8)&amp;"*",Main_Tariff!A:A,0)),Raeburn_Main_Tariff[[#This Row],[PRODUCER]])</f>
        <v>Felton Road</v>
      </c>
      <c r="C5451" s="1178" t="s">
        <v>22867</v>
      </c>
      <c r="D5451" s="1178" t="s">
        <v>1129</v>
      </c>
      <c r="E5451" s="1179">
        <v>2022</v>
      </c>
      <c r="F5451" s="1282" t="s">
        <v>20220</v>
      </c>
      <c r="G5451" s="1368">
        <v>37.5</v>
      </c>
      <c r="H5451" s="1178" t="s">
        <v>20221</v>
      </c>
      <c r="I5451" s="1178" t="s">
        <v>17142</v>
      </c>
      <c r="J5451" s="1178" t="s">
        <v>22853</v>
      </c>
      <c r="K5451" s="1178" t="s">
        <v>603</v>
      </c>
      <c r="L5451" s="1178" t="s">
        <v>606</v>
      </c>
      <c r="M5451" s="1369"/>
      <c r="N5451" s="1178"/>
      <c r="O5451" s="1178">
        <v>6</v>
      </c>
      <c r="P5451" s="1178">
        <v>14</v>
      </c>
    </row>
    <row r="5452" spans="1:16">
      <c r="A5452" s="1178" t="s">
        <v>608</v>
      </c>
      <c r="B5452" s="1371" t="str">
        <f>HYPERLINK(IFERROR("#Main_Tariff!A"&amp;MATCH(Raeburn_Main_Tariff[[#This Row],[Product Code]],Main_Tariff!I:I,0),"#Main_Tariff!A"&amp;MATCH("*"&amp;RIGHT(A5452,8)&amp;"*",Main_Tariff!A:A,0)),Raeburn_Main_Tariff[[#This Row],[PRODUCER]])</f>
        <v>Felton Road</v>
      </c>
      <c r="C5452" s="1178" t="s">
        <v>22868</v>
      </c>
      <c r="D5452" s="1178" t="s">
        <v>1129</v>
      </c>
      <c r="E5452" s="1179">
        <v>2023</v>
      </c>
      <c r="F5452" s="1282" t="s">
        <v>20220</v>
      </c>
      <c r="G5452" s="1368">
        <v>38</v>
      </c>
      <c r="H5452" s="1178" t="s">
        <v>20224</v>
      </c>
      <c r="I5452" s="1178" t="s">
        <v>17144</v>
      </c>
      <c r="J5452" s="1178" t="s">
        <v>22853</v>
      </c>
      <c r="K5452" s="1178" t="s">
        <v>603</v>
      </c>
      <c r="L5452" s="1178" t="s">
        <v>606</v>
      </c>
      <c r="M5452" s="1369"/>
      <c r="N5452" s="1178"/>
      <c r="O5452" s="1178">
        <v>3</v>
      </c>
      <c r="P5452" s="1178">
        <v>14</v>
      </c>
    </row>
    <row r="5453" spans="1:16">
      <c r="A5453" s="1178" t="s">
        <v>608</v>
      </c>
      <c r="B5453" s="1371" t="str">
        <f>HYPERLINK(IFERROR("#Main_Tariff!A"&amp;MATCH(Raeburn_Main_Tariff[[#This Row],[Product Code]],Main_Tariff!I:I,0),"#Main_Tariff!A"&amp;MATCH("*"&amp;RIGHT(A5453,8)&amp;"*",Main_Tariff!A:A,0)),Raeburn_Main_Tariff[[#This Row],[PRODUCER]])</f>
        <v>Felton Road</v>
      </c>
      <c r="C5453" s="1178" t="s">
        <v>22868</v>
      </c>
      <c r="D5453" s="1178" t="s">
        <v>1129</v>
      </c>
      <c r="E5453" s="1179">
        <v>2022</v>
      </c>
      <c r="F5453" s="1282" t="s">
        <v>20220</v>
      </c>
      <c r="G5453" s="1368">
        <v>37.5</v>
      </c>
      <c r="H5453" s="1178" t="s">
        <v>20221</v>
      </c>
      <c r="I5453" s="1178" t="s">
        <v>17146</v>
      </c>
      <c r="J5453" s="1178" t="s">
        <v>22853</v>
      </c>
      <c r="K5453" s="1178" t="s">
        <v>603</v>
      </c>
      <c r="L5453" s="1178" t="s">
        <v>606</v>
      </c>
      <c r="M5453" s="1369"/>
      <c r="N5453" s="1178"/>
      <c r="O5453" s="1178">
        <v>6</v>
      </c>
      <c r="P5453" s="1178">
        <v>14</v>
      </c>
    </row>
    <row r="5454" spans="1:16">
      <c r="A5454" s="1178" t="s">
        <v>608</v>
      </c>
      <c r="B5454" s="1371" t="str">
        <f>HYPERLINK(IFERROR("#Main_Tariff!A"&amp;MATCH(Raeburn_Main_Tariff[[#This Row],[Product Code]],Main_Tariff!I:I,0),"#Main_Tariff!A"&amp;MATCH("*"&amp;RIGHT(A5454,8)&amp;"*",Main_Tariff!A:A,0)),Raeburn_Main_Tariff[[#This Row],[PRODUCER]])</f>
        <v>Felton Road</v>
      </c>
      <c r="C5454" s="1178" t="s">
        <v>22869</v>
      </c>
      <c r="D5454" s="1178" t="s">
        <v>1129</v>
      </c>
      <c r="E5454" s="1179">
        <v>2023</v>
      </c>
      <c r="F5454" s="1282" t="s">
        <v>20240</v>
      </c>
      <c r="G5454" s="1368">
        <v>83</v>
      </c>
      <c r="H5454" s="1178" t="s">
        <v>20224</v>
      </c>
      <c r="I5454" s="1178" t="s">
        <v>17148</v>
      </c>
      <c r="J5454" s="1178" t="s">
        <v>22853</v>
      </c>
      <c r="K5454" s="1178" t="s">
        <v>603</v>
      </c>
      <c r="L5454" s="1178" t="s">
        <v>606</v>
      </c>
      <c r="M5454" s="1369"/>
      <c r="N5454" s="1178"/>
      <c r="O5454" s="1178">
        <v>3</v>
      </c>
      <c r="P5454" s="1178">
        <v>14</v>
      </c>
    </row>
    <row r="5455" spans="1:16">
      <c r="A5455" s="1178" t="s">
        <v>608</v>
      </c>
      <c r="B5455" s="1371" t="str">
        <f>HYPERLINK(IFERROR("#Main_Tariff!A"&amp;MATCH(Raeburn_Main_Tariff[[#This Row],[Product Code]],Main_Tariff!I:I,0),"#Main_Tariff!A"&amp;MATCH("*"&amp;RIGHT(A5455,8)&amp;"*",Main_Tariff!A:A,0)),Raeburn_Main_Tariff[[#This Row],[PRODUCER]])</f>
        <v>Felton Road</v>
      </c>
      <c r="C5455" s="1178" t="s">
        <v>22870</v>
      </c>
      <c r="D5455" s="1178" t="s">
        <v>897</v>
      </c>
      <c r="E5455" s="1179">
        <v>2024</v>
      </c>
      <c r="F5455" s="1282" t="s">
        <v>20220</v>
      </c>
      <c r="G5455" s="1368">
        <v>40.5</v>
      </c>
      <c r="H5455" s="1178" t="s">
        <v>20221</v>
      </c>
      <c r="I5455" s="1178" t="s">
        <v>23376</v>
      </c>
      <c r="J5455" s="1178" t="s">
        <v>22853</v>
      </c>
      <c r="K5455" s="1178" t="s">
        <v>603</v>
      </c>
      <c r="L5455" s="1178" t="s">
        <v>606</v>
      </c>
      <c r="M5455" s="1369"/>
      <c r="N5455" s="1178"/>
      <c r="O5455" s="1178">
        <v>6</v>
      </c>
      <c r="P5455" s="1178">
        <v>13.8</v>
      </c>
    </row>
    <row r="5456" spans="1:16">
      <c r="A5456" s="1178" t="s">
        <v>608</v>
      </c>
      <c r="B5456" s="1371" t="str">
        <f>HYPERLINK(IFERROR("#Main_Tariff!A"&amp;MATCH(Raeburn_Main_Tariff[[#This Row],[Product Code]],Main_Tariff!I:I,0),"#Main_Tariff!A"&amp;MATCH("*"&amp;RIGHT(A5456,8)&amp;"*",Main_Tariff!A:A,0)),Raeburn_Main_Tariff[[#This Row],[PRODUCER]])</f>
        <v>Felton Road</v>
      </c>
      <c r="C5456" s="1178" t="s">
        <v>22870</v>
      </c>
      <c r="D5456" s="1178" t="s">
        <v>897</v>
      </c>
      <c r="E5456" s="1179">
        <v>2023</v>
      </c>
      <c r="F5456" s="1282" t="s">
        <v>20220</v>
      </c>
      <c r="G5456" s="1368">
        <v>39.5</v>
      </c>
      <c r="H5456" s="1178" t="s">
        <v>20221</v>
      </c>
      <c r="I5456" s="1178" t="s">
        <v>17151</v>
      </c>
      <c r="J5456" s="1178" t="s">
        <v>22853</v>
      </c>
      <c r="K5456" s="1178" t="s">
        <v>603</v>
      </c>
      <c r="L5456" s="1178" t="s">
        <v>606</v>
      </c>
      <c r="M5456" s="1369"/>
      <c r="N5456" s="1178"/>
      <c r="O5456" s="1178">
        <v>6</v>
      </c>
      <c r="P5456" s="1178">
        <v>13.5</v>
      </c>
    </row>
    <row r="5457" spans="1:16">
      <c r="A5457" s="1178" t="s">
        <v>608</v>
      </c>
      <c r="B5457" s="1371" t="str">
        <f>HYPERLINK(IFERROR("#Main_Tariff!A"&amp;MATCH(Raeburn_Main_Tariff[[#This Row],[Product Code]],Main_Tariff!I:I,0),"#Main_Tariff!A"&amp;MATCH("*"&amp;RIGHT(A5457,8)&amp;"*",Main_Tariff!A:A,0)),Raeburn_Main_Tariff[[#This Row],[PRODUCER]])</f>
        <v>Felton Road</v>
      </c>
      <c r="C5457" s="1178" t="s">
        <v>22870</v>
      </c>
      <c r="D5457" s="1178" t="s">
        <v>897</v>
      </c>
      <c r="E5457" s="1179">
        <v>2022</v>
      </c>
      <c r="F5457" s="1282" t="s">
        <v>20220</v>
      </c>
      <c r="G5457" s="1368">
        <v>39.5</v>
      </c>
      <c r="H5457" s="1178" t="s">
        <v>20221</v>
      </c>
      <c r="I5457" s="1178" t="s">
        <v>17153</v>
      </c>
      <c r="J5457" s="1178" t="s">
        <v>22853</v>
      </c>
      <c r="K5457" s="1178" t="s">
        <v>603</v>
      </c>
      <c r="L5457" s="1178" t="s">
        <v>606</v>
      </c>
      <c r="M5457" s="1369"/>
      <c r="N5457" s="1178"/>
      <c r="O5457" s="1178">
        <v>6</v>
      </c>
      <c r="P5457" s="1178">
        <v>14</v>
      </c>
    </row>
    <row r="5458" spans="1:16">
      <c r="A5458" s="1178" t="s">
        <v>608</v>
      </c>
      <c r="B5458" s="1371" t="str">
        <f>HYPERLINK(IFERROR("#Main_Tariff!A"&amp;MATCH(Raeburn_Main_Tariff[[#This Row],[Product Code]],Main_Tariff!I:I,0),"#Main_Tariff!A"&amp;MATCH("*"&amp;RIGHT(A5458,8)&amp;"*",Main_Tariff!A:A,0)),Raeburn_Main_Tariff[[#This Row],[PRODUCER]])</f>
        <v>Felton Road</v>
      </c>
      <c r="C5458" s="1178" t="s">
        <v>22870</v>
      </c>
      <c r="D5458" s="1178" t="s">
        <v>897</v>
      </c>
      <c r="E5458" s="1179">
        <v>2021</v>
      </c>
      <c r="F5458" s="1282" t="s">
        <v>20220</v>
      </c>
      <c r="G5458" s="1368">
        <v>38</v>
      </c>
      <c r="H5458" s="1178" t="s">
        <v>20224</v>
      </c>
      <c r="I5458" s="1178" t="s">
        <v>17155</v>
      </c>
      <c r="J5458" s="1178" t="s">
        <v>22853</v>
      </c>
      <c r="K5458" s="1178" t="s">
        <v>603</v>
      </c>
      <c r="L5458" s="1178" t="s">
        <v>606</v>
      </c>
      <c r="M5458" s="1369"/>
      <c r="N5458" s="1178"/>
      <c r="O5458" s="1178">
        <v>6</v>
      </c>
      <c r="P5458" s="1178">
        <v>14</v>
      </c>
    </row>
    <row r="5459" spans="1:16">
      <c r="A5459" s="1178" t="s">
        <v>608</v>
      </c>
      <c r="B5459" s="1371" t="str">
        <f>HYPERLINK(IFERROR("#Main_Tariff!A"&amp;MATCH(Raeburn_Main_Tariff[[#This Row],[Product Code]],Main_Tariff!I:I,0),"#Main_Tariff!A"&amp;MATCH("*"&amp;RIGHT(A5459,8)&amp;"*",Main_Tariff!A:A,0)),Raeburn_Main_Tariff[[#This Row],[PRODUCER]])</f>
        <v>Felton Road</v>
      </c>
      <c r="C5459" s="1178" t="s">
        <v>22871</v>
      </c>
      <c r="D5459" s="1178" t="s">
        <v>897</v>
      </c>
      <c r="E5459" s="1179">
        <v>2024</v>
      </c>
      <c r="F5459" s="1282" t="s">
        <v>20220</v>
      </c>
      <c r="G5459" s="1368">
        <v>48</v>
      </c>
      <c r="H5459" s="1178" t="s">
        <v>20221</v>
      </c>
      <c r="I5459" s="1178" t="s">
        <v>23377</v>
      </c>
      <c r="J5459" s="1178" t="s">
        <v>22853</v>
      </c>
      <c r="K5459" s="1178" t="s">
        <v>603</v>
      </c>
      <c r="L5459" s="1178" t="s">
        <v>606</v>
      </c>
      <c r="M5459" s="1369"/>
      <c r="N5459" s="1178"/>
      <c r="O5459" s="1178">
        <v>6</v>
      </c>
      <c r="P5459" s="1178">
        <v>14</v>
      </c>
    </row>
    <row r="5460" spans="1:16">
      <c r="A5460" s="1178" t="s">
        <v>608</v>
      </c>
      <c r="B5460" s="1371" t="str">
        <f>HYPERLINK(IFERROR("#Main_Tariff!A"&amp;MATCH(Raeburn_Main_Tariff[[#This Row],[Product Code]],Main_Tariff!I:I,0),"#Main_Tariff!A"&amp;MATCH("*"&amp;RIGHT(A5460,8)&amp;"*",Main_Tariff!A:A,0)),Raeburn_Main_Tariff[[#This Row],[PRODUCER]])</f>
        <v>Felton Road</v>
      </c>
      <c r="C5460" s="1178" t="s">
        <v>22871</v>
      </c>
      <c r="D5460" s="1178" t="s">
        <v>897</v>
      </c>
      <c r="E5460" s="1179">
        <v>2023</v>
      </c>
      <c r="F5460" s="1282" t="s">
        <v>20220</v>
      </c>
      <c r="G5460" s="1368">
        <v>47</v>
      </c>
      <c r="H5460" s="1178" t="s">
        <v>20221</v>
      </c>
      <c r="I5460" s="1178" t="s">
        <v>17159</v>
      </c>
      <c r="J5460" s="1178" t="s">
        <v>22853</v>
      </c>
      <c r="K5460" s="1178" t="s">
        <v>603</v>
      </c>
      <c r="L5460" s="1178" t="s">
        <v>606</v>
      </c>
      <c r="M5460" s="1369"/>
      <c r="N5460" s="1178"/>
      <c r="O5460" s="1178">
        <v>6</v>
      </c>
      <c r="P5460" s="1178">
        <v>14</v>
      </c>
    </row>
    <row r="5461" spans="1:16">
      <c r="A5461" s="1178" t="s">
        <v>608</v>
      </c>
      <c r="B5461" s="1371" t="str">
        <f>HYPERLINK(IFERROR("#Main_Tariff!A"&amp;MATCH(Raeburn_Main_Tariff[[#This Row],[Product Code]],Main_Tariff!I:I,0),"#Main_Tariff!A"&amp;MATCH("*"&amp;RIGHT(A5461,8)&amp;"*",Main_Tariff!A:A,0)),Raeburn_Main_Tariff[[#This Row],[PRODUCER]])</f>
        <v>Felton Road</v>
      </c>
      <c r="C5461" s="1178" t="s">
        <v>22871</v>
      </c>
      <c r="D5461" s="1178" t="s">
        <v>897</v>
      </c>
      <c r="E5461" s="1179">
        <v>2022</v>
      </c>
      <c r="F5461" s="1282" t="s">
        <v>20220</v>
      </c>
      <c r="G5461" s="1368">
        <v>47</v>
      </c>
      <c r="H5461" s="1178" t="s">
        <v>20221</v>
      </c>
      <c r="I5461" s="1178" t="s">
        <v>17161</v>
      </c>
      <c r="J5461" s="1178" t="s">
        <v>22853</v>
      </c>
      <c r="K5461" s="1178" t="s">
        <v>603</v>
      </c>
      <c r="L5461" s="1178" t="s">
        <v>606</v>
      </c>
      <c r="M5461" s="1369"/>
      <c r="N5461" s="1178"/>
      <c r="O5461" s="1178">
        <v>6</v>
      </c>
      <c r="P5461" s="1178">
        <v>14</v>
      </c>
    </row>
    <row r="5462" spans="1:16">
      <c r="A5462" s="1178" t="s">
        <v>608</v>
      </c>
      <c r="B5462" s="1371" t="str">
        <f>HYPERLINK(IFERROR("#Main_Tariff!A"&amp;MATCH(Raeburn_Main_Tariff[[#This Row],[Product Code]],Main_Tariff!I:I,0),"#Main_Tariff!A"&amp;MATCH("*"&amp;RIGHT(A5462,8)&amp;"*",Main_Tariff!A:A,0)),Raeburn_Main_Tariff[[#This Row],[PRODUCER]])</f>
        <v>Felton Road</v>
      </c>
      <c r="C5462" s="1178" t="s">
        <v>22871</v>
      </c>
      <c r="D5462" s="1178" t="s">
        <v>897</v>
      </c>
      <c r="E5462" s="1179">
        <v>2021</v>
      </c>
      <c r="F5462" s="1282" t="s">
        <v>20220</v>
      </c>
      <c r="G5462" s="1368">
        <v>46</v>
      </c>
      <c r="H5462" s="1178" t="s">
        <v>20221</v>
      </c>
      <c r="I5462" s="1178" t="s">
        <v>17163</v>
      </c>
      <c r="J5462" s="1178" t="s">
        <v>22853</v>
      </c>
      <c r="K5462" s="1178" t="s">
        <v>603</v>
      </c>
      <c r="L5462" s="1178" t="s">
        <v>606</v>
      </c>
      <c r="M5462" s="1369"/>
      <c r="N5462" s="1178"/>
      <c r="O5462" s="1178">
        <v>6</v>
      </c>
      <c r="P5462" s="1178">
        <v>14</v>
      </c>
    </row>
    <row r="5463" spans="1:16">
      <c r="A5463" s="1178" t="s">
        <v>608</v>
      </c>
      <c r="B5463" s="1371" t="str">
        <f>HYPERLINK(IFERROR("#Main_Tariff!A"&amp;MATCH(Raeburn_Main_Tariff[[#This Row],[Product Code]],Main_Tariff!I:I,0),"#Main_Tariff!A"&amp;MATCH("*"&amp;RIGHT(A5463,8)&amp;"*",Main_Tariff!A:A,0)),Raeburn_Main_Tariff[[#This Row],[PRODUCER]])</f>
        <v>Felton Road</v>
      </c>
      <c r="C5463" s="1178" t="s">
        <v>22872</v>
      </c>
      <c r="D5463" s="1178" t="s">
        <v>897</v>
      </c>
      <c r="E5463" s="1179">
        <v>2023</v>
      </c>
      <c r="F5463" s="1282" t="s">
        <v>20220</v>
      </c>
      <c r="G5463" s="1368">
        <v>47</v>
      </c>
      <c r="H5463" s="1178" t="s">
        <v>20221</v>
      </c>
      <c r="I5463" s="1178" t="s">
        <v>17165</v>
      </c>
      <c r="J5463" s="1178" t="s">
        <v>22853</v>
      </c>
      <c r="K5463" s="1178" t="s">
        <v>603</v>
      </c>
      <c r="L5463" s="1178" t="s">
        <v>606</v>
      </c>
      <c r="M5463" s="1369"/>
      <c r="N5463" s="1178"/>
      <c r="O5463" s="1178">
        <v>6</v>
      </c>
      <c r="P5463" s="1178">
        <v>13.5</v>
      </c>
    </row>
    <row r="5464" spans="1:16">
      <c r="A5464" s="1178" t="s">
        <v>608</v>
      </c>
      <c r="B5464" s="1371" t="str">
        <f>HYPERLINK(IFERROR("#Main_Tariff!A"&amp;MATCH(Raeburn_Main_Tariff[[#This Row],[Product Code]],Main_Tariff!I:I,0),"#Main_Tariff!A"&amp;MATCH("*"&amp;RIGHT(A5464,8)&amp;"*",Main_Tariff!A:A,0)),Raeburn_Main_Tariff[[#This Row],[PRODUCER]])</f>
        <v>Felton Road</v>
      </c>
      <c r="C5464" s="1178" t="s">
        <v>22872</v>
      </c>
      <c r="D5464" s="1178" t="s">
        <v>897</v>
      </c>
      <c r="E5464" s="1179">
        <v>2022</v>
      </c>
      <c r="F5464" s="1282" t="s">
        <v>20220</v>
      </c>
      <c r="G5464" s="1368">
        <v>47</v>
      </c>
      <c r="H5464" s="1178" t="s">
        <v>20221</v>
      </c>
      <c r="I5464" s="1178" t="s">
        <v>17167</v>
      </c>
      <c r="J5464" s="1178" t="s">
        <v>22853</v>
      </c>
      <c r="K5464" s="1178" t="s">
        <v>603</v>
      </c>
      <c r="L5464" s="1178" t="s">
        <v>606</v>
      </c>
      <c r="M5464" s="1369"/>
      <c r="N5464" s="1178"/>
      <c r="O5464" s="1178">
        <v>6</v>
      </c>
      <c r="P5464" s="1178">
        <v>14</v>
      </c>
    </row>
    <row r="5465" spans="1:16">
      <c r="A5465" s="1178" t="s">
        <v>608</v>
      </c>
      <c r="B5465" s="1371" t="str">
        <f>HYPERLINK(IFERROR("#Main_Tariff!A"&amp;MATCH(Raeburn_Main_Tariff[[#This Row],[Product Code]],Main_Tariff!I:I,0),"#Main_Tariff!A"&amp;MATCH("*"&amp;RIGHT(A5465,8)&amp;"*",Main_Tariff!A:A,0)),Raeburn_Main_Tariff[[#This Row],[PRODUCER]])</f>
        <v>Felton Road</v>
      </c>
      <c r="C5465" s="1178" t="s">
        <v>22872</v>
      </c>
      <c r="D5465" s="1178" t="s">
        <v>897</v>
      </c>
      <c r="E5465" s="1179">
        <v>2021</v>
      </c>
      <c r="F5465" s="1282" t="s">
        <v>20220</v>
      </c>
      <c r="G5465" s="1368">
        <v>46</v>
      </c>
      <c r="H5465" s="1178" t="s">
        <v>20221</v>
      </c>
      <c r="I5465" s="1178" t="s">
        <v>17169</v>
      </c>
      <c r="J5465" s="1178" t="s">
        <v>22853</v>
      </c>
      <c r="K5465" s="1178" t="s">
        <v>603</v>
      </c>
      <c r="L5465" s="1178" t="s">
        <v>606</v>
      </c>
      <c r="M5465" s="1369"/>
      <c r="N5465" s="1178"/>
      <c r="O5465" s="1178">
        <v>6</v>
      </c>
      <c r="P5465" s="1178">
        <v>14</v>
      </c>
    </row>
    <row r="5466" spans="1:16">
      <c r="A5466" s="1178" t="s">
        <v>608</v>
      </c>
      <c r="B5466" s="1371" t="str">
        <f>HYPERLINK(IFERROR("#Main_Tariff!A"&amp;MATCH(Raeburn_Main_Tariff[[#This Row],[Product Code]],Main_Tariff!I:I,0),"#Main_Tariff!A"&amp;MATCH("*"&amp;RIGHT(A5466,8)&amp;"*",Main_Tariff!A:A,0)),Raeburn_Main_Tariff[[#This Row],[PRODUCER]])</f>
        <v>Felton Road</v>
      </c>
      <c r="C5466" s="1178" t="s">
        <v>22872</v>
      </c>
      <c r="D5466" s="1178" t="s">
        <v>897</v>
      </c>
      <c r="E5466" s="1179">
        <v>2020</v>
      </c>
      <c r="F5466" s="1282" t="s">
        <v>20220</v>
      </c>
      <c r="G5466" s="1368">
        <v>46</v>
      </c>
      <c r="H5466" s="1178" t="s">
        <v>20224</v>
      </c>
      <c r="I5466" s="1178" t="s">
        <v>17171</v>
      </c>
      <c r="J5466" s="1178" t="s">
        <v>22853</v>
      </c>
      <c r="K5466" s="1178" t="s">
        <v>603</v>
      </c>
      <c r="L5466" s="1178" t="s">
        <v>606</v>
      </c>
      <c r="M5466" s="1369"/>
      <c r="N5466" s="1178"/>
      <c r="O5466" s="1178">
        <v>6</v>
      </c>
      <c r="P5466" s="1178">
        <v>14</v>
      </c>
    </row>
    <row r="5467" spans="1:16">
      <c r="A5467" s="1178" t="s">
        <v>608</v>
      </c>
      <c r="B5467" s="1371" t="str">
        <f>HYPERLINK(IFERROR("#Main_Tariff!A"&amp;MATCH(Raeburn_Main_Tariff[[#This Row],[Product Code]],Main_Tariff!I:I,0),"#Main_Tariff!A"&amp;MATCH("*"&amp;RIGHT(A5467,8)&amp;"*",Main_Tariff!A:A,0)),Raeburn_Main_Tariff[[#This Row],[PRODUCER]])</f>
        <v>Felton Road</v>
      </c>
      <c r="C5467" s="1178" t="s">
        <v>22873</v>
      </c>
      <c r="D5467" s="1178" t="s">
        <v>897</v>
      </c>
      <c r="E5467" s="1179">
        <v>2023</v>
      </c>
      <c r="F5467" s="1282" t="s">
        <v>20220</v>
      </c>
      <c r="G5467" s="1368">
        <v>54</v>
      </c>
      <c r="H5467" s="1178" t="s">
        <v>20221</v>
      </c>
      <c r="I5467" s="1178" t="s">
        <v>23378</v>
      </c>
      <c r="J5467" s="1178" t="s">
        <v>22853</v>
      </c>
      <c r="K5467" s="1178" t="s">
        <v>603</v>
      </c>
      <c r="L5467" s="1178" t="s">
        <v>606</v>
      </c>
      <c r="M5467" s="1369"/>
      <c r="N5467" s="1178"/>
      <c r="O5467" s="1178">
        <v>6</v>
      </c>
      <c r="P5467" s="1178">
        <v>13.9</v>
      </c>
    </row>
    <row r="5468" spans="1:16">
      <c r="A5468" s="1178" t="s">
        <v>608</v>
      </c>
      <c r="B5468" s="1371" t="str">
        <f>HYPERLINK(IFERROR("#Main_Tariff!A"&amp;MATCH(Raeburn_Main_Tariff[[#This Row],[Product Code]],Main_Tariff!I:I,0),"#Main_Tariff!A"&amp;MATCH("*"&amp;RIGHT(A5468,8)&amp;"*",Main_Tariff!A:A,0)),Raeburn_Main_Tariff[[#This Row],[PRODUCER]])</f>
        <v>Felton Road</v>
      </c>
      <c r="C5468" s="1178" t="s">
        <v>22873</v>
      </c>
      <c r="D5468" s="1178" t="s">
        <v>897</v>
      </c>
      <c r="E5468" s="1179">
        <v>2023</v>
      </c>
      <c r="F5468" s="1282" t="s">
        <v>20220</v>
      </c>
      <c r="G5468" s="1368">
        <v>53</v>
      </c>
      <c r="H5468" s="1178" t="s">
        <v>20221</v>
      </c>
      <c r="I5468" s="1178" t="s">
        <v>17173</v>
      </c>
      <c r="J5468" s="1178" t="s">
        <v>22853</v>
      </c>
      <c r="K5468" s="1178" t="s">
        <v>603</v>
      </c>
      <c r="L5468" s="1178" t="s">
        <v>606</v>
      </c>
      <c r="M5468" s="1369"/>
      <c r="N5468" s="1178"/>
      <c r="O5468" s="1178">
        <v>6</v>
      </c>
      <c r="P5468" s="1178">
        <v>13.5</v>
      </c>
    </row>
    <row r="5469" spans="1:16">
      <c r="A5469" s="1178" t="s">
        <v>608</v>
      </c>
      <c r="B5469" s="1371" t="str">
        <f>HYPERLINK(IFERROR("#Main_Tariff!A"&amp;MATCH(Raeburn_Main_Tariff[[#This Row],[Product Code]],Main_Tariff!I:I,0),"#Main_Tariff!A"&amp;MATCH("*"&amp;RIGHT(A5469,8)&amp;"*",Main_Tariff!A:A,0)),Raeburn_Main_Tariff[[#This Row],[PRODUCER]])</f>
        <v>Felton Road</v>
      </c>
      <c r="C5469" s="1178" t="s">
        <v>22873</v>
      </c>
      <c r="D5469" s="1178" t="s">
        <v>897</v>
      </c>
      <c r="E5469" s="1179">
        <v>2022</v>
      </c>
      <c r="F5469" s="1282" t="s">
        <v>20220</v>
      </c>
      <c r="G5469" s="1368">
        <v>52</v>
      </c>
      <c r="H5469" s="1178" t="s">
        <v>20221</v>
      </c>
      <c r="I5469" s="1178" t="s">
        <v>17175</v>
      </c>
      <c r="J5469" s="1178" t="s">
        <v>22853</v>
      </c>
      <c r="K5469" s="1178" t="s">
        <v>603</v>
      </c>
      <c r="L5469" s="1178" t="s">
        <v>606</v>
      </c>
      <c r="M5469" s="1369"/>
      <c r="N5469" s="1178"/>
      <c r="O5469" s="1178">
        <v>6</v>
      </c>
      <c r="P5469" s="1178">
        <v>14.5</v>
      </c>
    </row>
    <row r="5470" spans="1:16">
      <c r="A5470" s="1178" t="s">
        <v>608</v>
      </c>
      <c r="B5470" s="1371" t="str">
        <f>HYPERLINK(IFERROR("#Main_Tariff!A"&amp;MATCH(Raeburn_Main_Tariff[[#This Row],[Product Code]],Main_Tariff!I:I,0),"#Main_Tariff!A"&amp;MATCH("*"&amp;RIGHT(A5470,8)&amp;"*",Main_Tariff!A:A,0)),Raeburn_Main_Tariff[[#This Row],[PRODUCER]])</f>
        <v>Felton Road</v>
      </c>
      <c r="C5470" s="1178" t="s">
        <v>22873</v>
      </c>
      <c r="D5470" s="1178" t="s">
        <v>897</v>
      </c>
      <c r="E5470" s="1179">
        <v>2021</v>
      </c>
      <c r="F5470" s="1282" t="s">
        <v>20220</v>
      </c>
      <c r="G5470" s="1368">
        <v>50</v>
      </c>
      <c r="H5470" s="1178" t="s">
        <v>20221</v>
      </c>
      <c r="I5470" s="1178" t="s">
        <v>17177</v>
      </c>
      <c r="J5470" s="1178" t="s">
        <v>22853</v>
      </c>
      <c r="K5470" s="1178" t="s">
        <v>603</v>
      </c>
      <c r="L5470" s="1178" t="s">
        <v>606</v>
      </c>
      <c r="M5470" s="1369"/>
      <c r="N5470" s="1178"/>
      <c r="O5470" s="1178">
        <v>6</v>
      </c>
      <c r="P5470" s="1178">
        <v>14.5</v>
      </c>
    </row>
    <row r="5471" spans="1:16">
      <c r="A5471" s="1178" t="s">
        <v>608</v>
      </c>
      <c r="B5471" s="1371" t="str">
        <f>HYPERLINK(IFERROR("#Main_Tariff!A"&amp;MATCH(Raeburn_Main_Tariff[[#This Row],[Product Code]],Main_Tariff!I:I,0),"#Main_Tariff!A"&amp;MATCH("*"&amp;RIGHT(A5471,8)&amp;"*",Main_Tariff!A:A,0)),Raeburn_Main_Tariff[[#This Row],[PRODUCER]])</f>
        <v>Felton Road</v>
      </c>
      <c r="C5471" s="1178" t="s">
        <v>22874</v>
      </c>
      <c r="D5471" s="1178" t="s">
        <v>897</v>
      </c>
      <c r="E5471" s="1179">
        <v>2024</v>
      </c>
      <c r="F5471" s="1282" t="s">
        <v>20220</v>
      </c>
      <c r="G5471" s="1368" t="s">
        <v>5258</v>
      </c>
      <c r="H5471" s="1178" t="s">
        <v>20224</v>
      </c>
      <c r="I5471" s="1178" t="s">
        <v>23379</v>
      </c>
      <c r="J5471" s="1178" t="s">
        <v>22853</v>
      </c>
      <c r="K5471" s="1178" t="s">
        <v>603</v>
      </c>
      <c r="L5471" s="1178" t="s">
        <v>606</v>
      </c>
      <c r="M5471" s="1369"/>
      <c r="N5471" s="1178"/>
      <c r="O5471" s="1178">
        <v>3</v>
      </c>
      <c r="P5471" s="1178">
        <v>13.9</v>
      </c>
    </row>
    <row r="5472" spans="1:16">
      <c r="A5472" s="1178" t="s">
        <v>608</v>
      </c>
      <c r="B5472" s="1371" t="str">
        <f>HYPERLINK(IFERROR("#Main_Tariff!A"&amp;MATCH(Raeburn_Main_Tariff[[#This Row],[Product Code]],Main_Tariff!I:I,0),"#Main_Tariff!A"&amp;MATCH("*"&amp;RIGHT(A5472,8)&amp;"*",Main_Tariff!A:A,0)),Raeburn_Main_Tariff[[#This Row],[PRODUCER]])</f>
        <v>Felton Road</v>
      </c>
      <c r="C5472" s="1178" t="s">
        <v>22874</v>
      </c>
      <c r="D5472" s="1178" t="s">
        <v>897</v>
      </c>
      <c r="E5472" s="1179">
        <v>2022</v>
      </c>
      <c r="F5472" s="1282" t="s">
        <v>20220</v>
      </c>
      <c r="G5472" s="1368" t="s">
        <v>5258</v>
      </c>
      <c r="H5472" s="1178" t="s">
        <v>20221</v>
      </c>
      <c r="I5472" s="1178" t="s">
        <v>17179</v>
      </c>
      <c r="J5472" s="1178" t="s">
        <v>22853</v>
      </c>
      <c r="K5472" s="1178" t="s">
        <v>603</v>
      </c>
      <c r="L5472" s="1178" t="s">
        <v>606</v>
      </c>
      <c r="M5472" s="1369"/>
      <c r="N5472" s="1178"/>
      <c r="O5472" s="1178">
        <v>6</v>
      </c>
      <c r="P5472" s="1178">
        <v>14</v>
      </c>
    </row>
    <row r="5473" spans="1:16">
      <c r="A5473" s="1178" t="s">
        <v>608</v>
      </c>
      <c r="B5473" s="1371" t="str">
        <f>HYPERLINK(IFERROR("#Main_Tariff!A"&amp;MATCH(Raeburn_Main_Tariff[[#This Row],[Product Code]],Main_Tariff!I:I,0),"#Main_Tariff!A"&amp;MATCH("*"&amp;RIGHT(A5473,8)&amp;"*",Main_Tariff!A:A,0)),Raeburn_Main_Tariff[[#This Row],[PRODUCER]])</f>
        <v>Felton Road</v>
      </c>
      <c r="C5473" s="1178" t="s">
        <v>22875</v>
      </c>
      <c r="D5473" s="1178" t="s">
        <v>897</v>
      </c>
      <c r="E5473" s="1179">
        <v>2022</v>
      </c>
      <c r="F5473" s="1282" t="s">
        <v>20220</v>
      </c>
      <c r="G5473" s="1368" t="s">
        <v>5258</v>
      </c>
      <c r="H5473" s="1178" t="s">
        <v>20221</v>
      </c>
      <c r="I5473" s="1178" t="s">
        <v>17181</v>
      </c>
      <c r="J5473" s="1178" t="s">
        <v>22853</v>
      </c>
      <c r="K5473" s="1178" t="s">
        <v>603</v>
      </c>
      <c r="L5473" s="1178" t="s">
        <v>606</v>
      </c>
      <c r="M5473" s="1369"/>
      <c r="N5473" s="1178"/>
      <c r="O5473" s="1178">
        <v>6</v>
      </c>
      <c r="P5473" s="1178">
        <v>14</v>
      </c>
    </row>
    <row r="5474" spans="1:16">
      <c r="A5474" s="1178" t="s">
        <v>608</v>
      </c>
      <c r="B5474" s="1371" t="str">
        <f>HYPERLINK(IFERROR("#Main_Tariff!A"&amp;MATCH(Raeburn_Main_Tariff[[#This Row],[Product Code]],Main_Tariff!I:I,0),"#Main_Tariff!A"&amp;MATCH("*"&amp;RIGHT(A5474,8)&amp;"*",Main_Tariff!A:A,0)),Raeburn_Main_Tariff[[#This Row],[PRODUCER]])</f>
        <v>Felton Road</v>
      </c>
      <c r="C5474" s="1178" t="s">
        <v>22876</v>
      </c>
      <c r="D5474" s="1178" t="s">
        <v>897</v>
      </c>
      <c r="E5474" s="1179">
        <v>2023</v>
      </c>
      <c r="F5474" s="1282" t="s">
        <v>20240</v>
      </c>
      <c r="G5474" s="1368" t="s">
        <v>5258</v>
      </c>
      <c r="H5474" s="1178" t="s">
        <v>20224</v>
      </c>
      <c r="I5474" s="1178" t="s">
        <v>23344</v>
      </c>
      <c r="J5474" s="1178" t="s">
        <v>22853</v>
      </c>
      <c r="K5474" s="1178" t="s">
        <v>603</v>
      </c>
      <c r="L5474" s="1178" t="s">
        <v>606</v>
      </c>
      <c r="M5474" s="1369"/>
      <c r="N5474" s="1178"/>
      <c r="O5474" s="1178">
        <v>3</v>
      </c>
      <c r="P5474" s="1178">
        <v>14</v>
      </c>
    </row>
    <row r="5475" spans="1:16">
      <c r="A5475" s="1178" t="s">
        <v>607</v>
      </c>
      <c r="B5475" s="1371" t="str">
        <f>HYPERLINK(IFERROR("#Main_Tariff!A"&amp;MATCH(Raeburn_Main_Tariff[[#This Row],[Product Code]],Main_Tariff!I:I,0),"#Main_Tariff!A"&amp;MATCH("*"&amp;RIGHT(A5475,8)&amp;"*",Main_Tariff!A:A,0)),Raeburn_Main_Tariff[[#This Row],[PRODUCER]])</f>
        <v>Kahiwi</v>
      </c>
      <c r="C5475" s="1178" t="s">
        <v>22877</v>
      </c>
      <c r="D5475" s="1178" t="s">
        <v>897</v>
      </c>
      <c r="E5475" s="1179">
        <v>2021</v>
      </c>
      <c r="F5475" s="1282" t="s">
        <v>20220</v>
      </c>
      <c r="G5475" s="1368">
        <v>43.5</v>
      </c>
      <c r="H5475" s="1178" t="s">
        <v>20221</v>
      </c>
      <c r="I5475" s="1178" t="s">
        <v>17062</v>
      </c>
      <c r="J5475" s="1178" t="s">
        <v>22853</v>
      </c>
      <c r="K5475" s="1178" t="s">
        <v>603</v>
      </c>
      <c r="L5475" s="1178" t="s">
        <v>606</v>
      </c>
      <c r="M5475" s="1369"/>
      <c r="N5475" s="1178"/>
      <c r="O5475" s="1178">
        <v>6</v>
      </c>
      <c r="P5475" s="1178">
        <v>13.5</v>
      </c>
    </row>
    <row r="5476" spans="1:16">
      <c r="A5476" s="1178" t="s">
        <v>607</v>
      </c>
      <c r="B5476" s="1371" t="str">
        <f>HYPERLINK(IFERROR("#Main_Tariff!A"&amp;MATCH(Raeburn_Main_Tariff[[#This Row],[Product Code]],Main_Tariff!I:I,0),"#Main_Tariff!A"&amp;MATCH("*"&amp;RIGHT(A5476,8)&amp;"*",Main_Tariff!A:A,0)),Raeburn_Main_Tariff[[#This Row],[PRODUCER]])</f>
        <v>Kahiwi</v>
      </c>
      <c r="C5476" s="1178" t="s">
        <v>22878</v>
      </c>
      <c r="D5476" s="1178" t="s">
        <v>897</v>
      </c>
      <c r="E5476" s="1179">
        <v>2021</v>
      </c>
      <c r="F5476" s="1282" t="s">
        <v>20220</v>
      </c>
      <c r="G5476" s="1368">
        <v>43.5</v>
      </c>
      <c r="H5476" s="1178" t="s">
        <v>20221</v>
      </c>
      <c r="I5476" s="1178" t="s">
        <v>17060</v>
      </c>
      <c r="J5476" s="1178" t="s">
        <v>22853</v>
      </c>
      <c r="K5476" s="1178" t="s">
        <v>603</v>
      </c>
      <c r="L5476" s="1178" t="s">
        <v>606</v>
      </c>
      <c r="M5476" s="1369"/>
      <c r="N5476" s="1178"/>
      <c r="O5476" s="1178">
        <v>6</v>
      </c>
      <c r="P5476" s="1178">
        <v>14</v>
      </c>
    </row>
    <row r="5477" spans="1:16">
      <c r="A5477" s="1178" t="s">
        <v>607</v>
      </c>
      <c r="B5477" s="1371" t="str">
        <f>HYPERLINK(IFERROR("#Main_Tariff!A"&amp;MATCH(Raeburn_Main_Tariff[[#This Row],[Product Code]],Main_Tariff!I:I,0),"#Main_Tariff!A"&amp;MATCH("*"&amp;RIGHT(A5477,8)&amp;"*",Main_Tariff!A:A,0)),Raeburn_Main_Tariff[[#This Row],[PRODUCER]])</f>
        <v>Kahiwi</v>
      </c>
      <c r="C5477" s="1178" t="s">
        <v>22879</v>
      </c>
      <c r="D5477" s="1178" t="s">
        <v>897</v>
      </c>
      <c r="E5477" s="1179">
        <v>2021</v>
      </c>
      <c r="F5477" s="1282" t="s">
        <v>20240</v>
      </c>
      <c r="G5477" s="1368">
        <v>92</v>
      </c>
      <c r="H5477" s="1178" t="s">
        <v>20224</v>
      </c>
      <c r="I5477" s="1178" t="s">
        <v>17066</v>
      </c>
      <c r="J5477" s="1178" t="s">
        <v>22853</v>
      </c>
      <c r="K5477" s="1178" t="s">
        <v>603</v>
      </c>
      <c r="L5477" s="1178" t="s">
        <v>606</v>
      </c>
      <c r="M5477" s="1369"/>
      <c r="N5477" s="1178"/>
      <c r="O5477" s="1178">
        <v>6</v>
      </c>
      <c r="P5477" s="1178">
        <v>13.5</v>
      </c>
    </row>
    <row r="5478" spans="1:16">
      <c r="A5478" s="1178" t="s">
        <v>607</v>
      </c>
      <c r="B5478" s="1371" t="str">
        <f>HYPERLINK(IFERROR("#Main_Tariff!A"&amp;MATCH(Raeburn_Main_Tariff[[#This Row],[Product Code]],Main_Tariff!I:I,0),"#Main_Tariff!A"&amp;MATCH("*"&amp;RIGHT(A5478,8)&amp;"*",Main_Tariff!A:A,0)),Raeburn_Main_Tariff[[#This Row],[PRODUCER]])</f>
        <v>Kahiwi</v>
      </c>
      <c r="C5478" s="1178" t="s">
        <v>22880</v>
      </c>
      <c r="D5478" s="1178" t="s">
        <v>897</v>
      </c>
      <c r="E5478" s="1179">
        <v>2021</v>
      </c>
      <c r="F5478" s="1282" t="s">
        <v>20240</v>
      </c>
      <c r="G5478" s="1368">
        <v>92</v>
      </c>
      <c r="H5478" s="1178" t="s">
        <v>20224</v>
      </c>
      <c r="I5478" s="1178" t="s">
        <v>17064</v>
      </c>
      <c r="J5478" s="1178" t="s">
        <v>22853</v>
      </c>
      <c r="K5478" s="1178" t="s">
        <v>603</v>
      </c>
      <c r="L5478" s="1178" t="s">
        <v>606</v>
      </c>
      <c r="M5478" s="1369"/>
      <c r="N5478" s="1178"/>
      <c r="O5478" s="1178">
        <v>6</v>
      </c>
      <c r="P5478" s="1178">
        <v>14</v>
      </c>
    </row>
    <row r="5479" spans="1:16">
      <c r="A5479" s="1178" t="s">
        <v>22881</v>
      </c>
      <c r="B5479" s="1371" t="str">
        <f>HYPERLINK(IFERROR("#Main_Tariff!A"&amp;MATCH(Raeburn_Main_Tariff[[#This Row],[Product Code]],Main_Tariff!I:I,0),"#Main_Tariff!A"&amp;MATCH("*"&amp;RIGHT(A5479,8)&amp;"*",Main_Tariff!A:A,0)),Raeburn_Main_Tariff[[#This Row],[PRODUCER]])</f>
        <v>Gapsted</v>
      </c>
      <c r="C5479" s="1178" t="s">
        <v>22882</v>
      </c>
      <c r="D5479" s="1178" t="s">
        <v>1129</v>
      </c>
      <c r="E5479" s="1179">
        <v>2014</v>
      </c>
      <c r="F5479" s="1282" t="s">
        <v>20220</v>
      </c>
      <c r="G5479" s="1368">
        <v>14.75</v>
      </c>
      <c r="H5479" s="1178" t="s">
        <v>20221</v>
      </c>
      <c r="I5479" s="1178" t="s">
        <v>17209</v>
      </c>
      <c r="J5479" s="1178" t="s">
        <v>22883</v>
      </c>
      <c r="K5479" s="1178" t="s">
        <v>610</v>
      </c>
      <c r="L5479" s="1178" t="s">
        <v>611</v>
      </c>
      <c r="M5479" s="1369"/>
      <c r="N5479" s="1178"/>
      <c r="O5479" s="1178">
        <v>12</v>
      </c>
      <c r="P5479" s="1178">
        <v>12.1</v>
      </c>
    </row>
    <row r="5480" spans="1:16">
      <c r="A5480" s="1178" t="s">
        <v>22881</v>
      </c>
      <c r="B5480" s="1371" t="str">
        <f>HYPERLINK(IFERROR("#Main_Tariff!A"&amp;MATCH(Raeburn_Main_Tariff[[#This Row],[Product Code]],Main_Tariff!I:I,0),"#Main_Tariff!A"&amp;MATCH("*"&amp;RIGHT(A5480,8)&amp;"*",Main_Tariff!A:A,0)),Raeburn_Main_Tariff[[#This Row],[PRODUCER]])</f>
        <v>Gapsted</v>
      </c>
      <c r="C5480" s="1178" t="s">
        <v>22884</v>
      </c>
      <c r="D5480" s="1178" t="s">
        <v>897</v>
      </c>
      <c r="E5480" s="1179">
        <v>2011</v>
      </c>
      <c r="F5480" s="1282" t="s">
        <v>20220</v>
      </c>
      <c r="G5480" s="1368">
        <v>13.5</v>
      </c>
      <c r="H5480" s="1178" t="s">
        <v>20221</v>
      </c>
      <c r="I5480" s="1178" t="s">
        <v>17213</v>
      </c>
      <c r="J5480" s="1178" t="s">
        <v>22883</v>
      </c>
      <c r="K5480" s="1178" t="s">
        <v>610</v>
      </c>
      <c r="L5480" s="1178" t="s">
        <v>611</v>
      </c>
      <c r="M5480" s="1369"/>
      <c r="N5480" s="1178"/>
      <c r="O5480" s="1178">
        <v>12</v>
      </c>
      <c r="P5480" s="1178">
        <v>13</v>
      </c>
    </row>
    <row r="5481" spans="1:16">
      <c r="A5481" s="1178" t="s">
        <v>22881</v>
      </c>
      <c r="B5481" s="1371" t="str">
        <f>HYPERLINK(IFERROR("#Main_Tariff!A"&amp;MATCH(Raeburn_Main_Tariff[[#This Row],[Product Code]],Main_Tariff!I:I,0),"#Main_Tariff!A"&amp;MATCH("*"&amp;RIGHT(A5481,8)&amp;"*",Main_Tariff!A:A,0)),Raeburn_Main_Tariff[[#This Row],[PRODUCER]])</f>
        <v>Gapsted</v>
      </c>
      <c r="C5481" s="1178" t="s">
        <v>22884</v>
      </c>
      <c r="D5481" s="1178" t="s">
        <v>897</v>
      </c>
      <c r="E5481" s="1179">
        <v>2010</v>
      </c>
      <c r="F5481" s="1282" t="s">
        <v>20220</v>
      </c>
      <c r="G5481" s="1368">
        <v>12</v>
      </c>
      <c r="H5481" s="1178" t="s">
        <v>20465</v>
      </c>
      <c r="I5481" s="1178" t="s">
        <v>17215</v>
      </c>
      <c r="J5481" s="1178" t="s">
        <v>22883</v>
      </c>
      <c r="K5481" s="1178" t="s">
        <v>610</v>
      </c>
      <c r="L5481" s="1178" t="s">
        <v>611</v>
      </c>
      <c r="M5481" s="1369"/>
      <c r="N5481" s="1178"/>
      <c r="O5481" s="1178">
        <v>6</v>
      </c>
      <c r="P5481" s="1178">
        <v>12.5</v>
      </c>
    </row>
    <row r="5482" spans="1:16">
      <c r="A5482" s="1178" t="s">
        <v>22885</v>
      </c>
      <c r="B5482" s="1371" t="str">
        <f>HYPERLINK(IFERROR("#Main_Tariff!A"&amp;MATCH(Raeburn_Main_Tariff[[#This Row],[Product Code]],Main_Tariff!I:I,0),"#Main_Tariff!A"&amp;MATCH("*"&amp;RIGHT(A5482,8)&amp;"*",Main_Tariff!A:A,0)),Raeburn_Main_Tariff[[#This Row],[PRODUCER]])</f>
        <v>Kin by Alkina</v>
      </c>
      <c r="C5482" s="1178" t="s">
        <v>22886</v>
      </c>
      <c r="D5482" s="1178" t="s">
        <v>1129</v>
      </c>
      <c r="E5482" s="1179">
        <v>2023</v>
      </c>
      <c r="F5482" s="1282" t="s">
        <v>20220</v>
      </c>
      <c r="G5482" s="1368">
        <v>15.5</v>
      </c>
      <c r="H5482" s="1178" t="s">
        <v>20221</v>
      </c>
      <c r="I5482" s="1178" t="s">
        <v>17274</v>
      </c>
      <c r="J5482" s="1178" t="s">
        <v>22883</v>
      </c>
      <c r="K5482" s="1178" t="s">
        <v>613</v>
      </c>
      <c r="L5482" s="1178" t="s">
        <v>614</v>
      </c>
      <c r="M5482" s="1369"/>
      <c r="N5482" s="1178"/>
      <c r="O5482" s="1178">
        <v>6</v>
      </c>
      <c r="P5482" s="1178">
        <v>12.5</v>
      </c>
    </row>
    <row r="5483" spans="1:16">
      <c r="A5483" s="1178" t="s">
        <v>22885</v>
      </c>
      <c r="B5483" s="1371" t="str">
        <f>HYPERLINK(IFERROR("#Main_Tariff!A"&amp;MATCH(Raeburn_Main_Tariff[[#This Row],[Product Code]],Main_Tariff!I:I,0),"#Main_Tariff!A"&amp;MATCH("*"&amp;RIGHT(A5483,8)&amp;"*",Main_Tariff!A:A,0)),Raeburn_Main_Tariff[[#This Row],[PRODUCER]])</f>
        <v>Kin by Alkina</v>
      </c>
      <c r="C5483" s="1178" t="s">
        <v>22886</v>
      </c>
      <c r="D5483" s="1178" t="s">
        <v>1129</v>
      </c>
      <c r="E5483" s="1179">
        <v>2022</v>
      </c>
      <c r="F5483" s="1282" t="s">
        <v>20220</v>
      </c>
      <c r="G5483" s="1368">
        <v>15.5</v>
      </c>
      <c r="H5483" s="1178" t="s">
        <v>20277</v>
      </c>
      <c r="I5483" s="1178" t="s">
        <v>17276</v>
      </c>
      <c r="J5483" s="1178" t="s">
        <v>22883</v>
      </c>
      <c r="K5483" s="1178" t="s">
        <v>613</v>
      </c>
      <c r="L5483" s="1178" t="s">
        <v>614</v>
      </c>
      <c r="M5483" s="1369"/>
      <c r="N5483" s="1178"/>
      <c r="O5483" s="1178">
        <v>6</v>
      </c>
      <c r="P5483" s="1178">
        <v>13</v>
      </c>
    </row>
    <row r="5484" spans="1:16">
      <c r="A5484" s="1178" t="s">
        <v>22885</v>
      </c>
      <c r="B5484" s="1371" t="str">
        <f>HYPERLINK(IFERROR("#Main_Tariff!A"&amp;MATCH(Raeburn_Main_Tariff[[#This Row],[Product Code]],Main_Tariff!I:I,0),"#Main_Tariff!A"&amp;MATCH("*"&amp;RIGHT(A5484,8)&amp;"*",Main_Tariff!A:A,0)),Raeburn_Main_Tariff[[#This Row],[PRODUCER]])</f>
        <v>Kin by Alkina</v>
      </c>
      <c r="C5484" s="1178" t="s">
        <v>22887</v>
      </c>
      <c r="D5484" s="1178" t="s">
        <v>1129</v>
      </c>
      <c r="E5484" s="1179">
        <v>2022</v>
      </c>
      <c r="F5484" s="1282" t="s">
        <v>20240</v>
      </c>
      <c r="G5484" s="1368">
        <v>33</v>
      </c>
      <c r="H5484" s="1178" t="s">
        <v>20224</v>
      </c>
      <c r="I5484" s="1178" t="s">
        <v>17278</v>
      </c>
      <c r="J5484" s="1178" t="s">
        <v>22883</v>
      </c>
      <c r="K5484" s="1178" t="s">
        <v>613</v>
      </c>
      <c r="L5484" s="1178" t="s">
        <v>614</v>
      </c>
      <c r="M5484" s="1369"/>
      <c r="N5484" s="1178"/>
      <c r="O5484" s="1178">
        <v>3</v>
      </c>
      <c r="P5484" s="1178">
        <v>13</v>
      </c>
    </row>
    <row r="5485" spans="1:16">
      <c r="A5485" s="1178" t="s">
        <v>22885</v>
      </c>
      <c r="B5485" s="1371" t="str">
        <f>HYPERLINK(IFERROR("#Main_Tariff!A"&amp;MATCH(Raeburn_Main_Tariff[[#This Row],[Product Code]],Main_Tariff!I:I,0),"#Main_Tariff!A"&amp;MATCH("*"&amp;RIGHT(A5485,8)&amp;"*",Main_Tariff!A:A,0)),Raeburn_Main_Tariff[[#This Row],[PRODUCER]])</f>
        <v>Kin by Alkina</v>
      </c>
      <c r="C5485" s="1178" t="s">
        <v>22888</v>
      </c>
      <c r="D5485" s="1178" t="s">
        <v>2573</v>
      </c>
      <c r="E5485" s="1179">
        <v>2021</v>
      </c>
      <c r="F5485" s="1282" t="s">
        <v>20220</v>
      </c>
      <c r="G5485" s="1368">
        <v>13</v>
      </c>
      <c r="H5485" s="1178" t="s">
        <v>20221</v>
      </c>
      <c r="I5485" s="1178" t="s">
        <v>17282</v>
      </c>
      <c r="J5485" s="1178" t="s">
        <v>22883</v>
      </c>
      <c r="K5485" s="1178" t="s">
        <v>613</v>
      </c>
      <c r="L5485" s="1178" t="s">
        <v>614</v>
      </c>
      <c r="M5485" s="1369"/>
      <c r="N5485" s="1178"/>
      <c r="O5485" s="1178">
        <v>6</v>
      </c>
      <c r="P5485" s="1178">
        <v>12.2</v>
      </c>
    </row>
    <row r="5486" spans="1:16">
      <c r="A5486" s="1178" t="s">
        <v>22885</v>
      </c>
      <c r="B5486" s="1371" t="str">
        <f>HYPERLINK(IFERROR("#Main_Tariff!A"&amp;MATCH(Raeburn_Main_Tariff[[#This Row],[Product Code]],Main_Tariff!I:I,0),"#Main_Tariff!A"&amp;MATCH("*"&amp;RIGHT(A5486,8)&amp;"*",Main_Tariff!A:A,0)),Raeburn_Main_Tariff[[#This Row],[PRODUCER]])</f>
        <v>Kin by Alkina</v>
      </c>
      <c r="C5486" s="1178" t="s">
        <v>22889</v>
      </c>
      <c r="D5486" s="1178" t="s">
        <v>897</v>
      </c>
      <c r="E5486" s="1179">
        <v>2023</v>
      </c>
      <c r="F5486" s="1282" t="s">
        <v>20220</v>
      </c>
      <c r="G5486" s="1368">
        <v>13</v>
      </c>
      <c r="H5486" s="1178" t="s">
        <v>20221</v>
      </c>
      <c r="I5486" s="1178" t="s">
        <v>17286</v>
      </c>
      <c r="J5486" s="1178" t="s">
        <v>22883</v>
      </c>
      <c r="K5486" s="1178" t="s">
        <v>613</v>
      </c>
      <c r="L5486" s="1178" t="s">
        <v>614</v>
      </c>
      <c r="M5486" s="1369"/>
      <c r="N5486" s="1178"/>
      <c r="O5486" s="1178">
        <v>6</v>
      </c>
      <c r="P5486" s="1178">
        <v>13.5</v>
      </c>
    </row>
    <row r="5487" spans="1:16">
      <c r="A5487" s="1178" t="s">
        <v>22885</v>
      </c>
      <c r="B5487" s="1371" t="str">
        <f>HYPERLINK(IFERROR("#Main_Tariff!A"&amp;MATCH(Raeburn_Main_Tariff[[#This Row],[Product Code]],Main_Tariff!I:I,0),"#Main_Tariff!A"&amp;MATCH("*"&amp;RIGHT(A5487,8)&amp;"*",Main_Tariff!A:A,0)),Raeburn_Main_Tariff[[#This Row],[PRODUCER]])</f>
        <v>Kin by Alkina</v>
      </c>
      <c r="C5487" s="1178" t="s">
        <v>22889</v>
      </c>
      <c r="D5487" s="1178" t="s">
        <v>897</v>
      </c>
      <c r="E5487" s="1179">
        <v>2022</v>
      </c>
      <c r="F5487" s="1282" t="s">
        <v>20220</v>
      </c>
      <c r="G5487" s="1368">
        <v>13</v>
      </c>
      <c r="H5487" s="1178" t="s">
        <v>20221</v>
      </c>
      <c r="I5487" s="1178" t="s">
        <v>17287</v>
      </c>
      <c r="J5487" s="1178" t="s">
        <v>22883</v>
      </c>
      <c r="K5487" s="1178" t="s">
        <v>613</v>
      </c>
      <c r="L5487" s="1178" t="s">
        <v>614</v>
      </c>
      <c r="M5487" s="1369"/>
      <c r="N5487" s="1178"/>
      <c r="O5487" s="1178">
        <v>6</v>
      </c>
      <c r="P5487" s="1178">
        <v>13.8</v>
      </c>
    </row>
    <row r="5488" spans="1:16">
      <c r="A5488" s="1178" t="s">
        <v>22885</v>
      </c>
      <c r="B5488" s="1371" t="str">
        <f>HYPERLINK(IFERROR("#Main_Tariff!A"&amp;MATCH(Raeburn_Main_Tariff[[#This Row],[Product Code]],Main_Tariff!I:I,0),"#Main_Tariff!A"&amp;MATCH("*"&amp;RIGHT(A5488,8)&amp;"*",Main_Tariff!A:A,0)),Raeburn_Main_Tariff[[#This Row],[PRODUCER]])</f>
        <v>Kin by Alkina</v>
      </c>
      <c r="C5488" s="1178" t="s">
        <v>22889</v>
      </c>
      <c r="D5488" s="1178" t="s">
        <v>897</v>
      </c>
      <c r="E5488" s="1179">
        <v>2021</v>
      </c>
      <c r="F5488" s="1282" t="s">
        <v>20220</v>
      </c>
      <c r="G5488" s="1368">
        <v>13</v>
      </c>
      <c r="H5488" s="1178" t="s">
        <v>20221</v>
      </c>
      <c r="I5488" s="1178" t="s">
        <v>17289</v>
      </c>
      <c r="J5488" s="1178" t="s">
        <v>22883</v>
      </c>
      <c r="K5488" s="1178" t="s">
        <v>613</v>
      </c>
      <c r="L5488" s="1178" t="s">
        <v>614</v>
      </c>
      <c r="M5488" s="1369"/>
      <c r="N5488" s="1178"/>
      <c r="O5488" s="1178">
        <v>6</v>
      </c>
      <c r="P5488" s="1178">
        <v>14.6</v>
      </c>
    </row>
    <row r="5489" spans="1:16">
      <c r="A5489" s="1178" t="s">
        <v>22885</v>
      </c>
      <c r="B5489" s="1371" t="str">
        <f>HYPERLINK(IFERROR("#Main_Tariff!A"&amp;MATCH(Raeburn_Main_Tariff[[#This Row],[Product Code]],Main_Tariff!I:I,0),"#Main_Tariff!A"&amp;MATCH("*"&amp;RIGHT(A5489,8)&amp;"*",Main_Tariff!A:A,0)),Raeburn_Main_Tariff[[#This Row],[PRODUCER]])</f>
        <v>Kin by Alkina</v>
      </c>
      <c r="C5489" s="1178" t="s">
        <v>22890</v>
      </c>
      <c r="D5489" s="1178" t="s">
        <v>897</v>
      </c>
      <c r="E5489" s="1179">
        <v>2023</v>
      </c>
      <c r="F5489" s="1282" t="s">
        <v>20220</v>
      </c>
      <c r="G5489" s="1368">
        <v>13</v>
      </c>
      <c r="H5489" s="1178" t="s">
        <v>20221</v>
      </c>
      <c r="I5489" s="1178" t="s">
        <v>17291</v>
      </c>
      <c r="J5489" s="1178" t="s">
        <v>22883</v>
      </c>
      <c r="K5489" s="1178" t="s">
        <v>613</v>
      </c>
      <c r="L5489" s="1178" t="s">
        <v>614</v>
      </c>
      <c r="M5489" s="1369"/>
      <c r="N5489" s="1178"/>
      <c r="O5489" s="1178">
        <v>6</v>
      </c>
      <c r="P5489" s="1178">
        <v>13.5</v>
      </c>
    </row>
    <row r="5490" spans="1:16">
      <c r="A5490" s="1178" t="s">
        <v>22885</v>
      </c>
      <c r="B5490" s="1371" t="str">
        <f>HYPERLINK(IFERROR("#Main_Tariff!A"&amp;MATCH(Raeburn_Main_Tariff[[#This Row],[Product Code]],Main_Tariff!I:I,0),"#Main_Tariff!A"&amp;MATCH("*"&amp;RIGHT(A5490,8)&amp;"*",Main_Tariff!A:A,0)),Raeburn_Main_Tariff[[#This Row],[PRODUCER]])</f>
        <v>Kin by Alkina</v>
      </c>
      <c r="C5490" s="1178" t="s">
        <v>22890</v>
      </c>
      <c r="D5490" s="1178" t="s">
        <v>897</v>
      </c>
      <c r="E5490" s="1179">
        <v>2022</v>
      </c>
      <c r="F5490" s="1282" t="s">
        <v>20220</v>
      </c>
      <c r="G5490" s="1368">
        <v>13</v>
      </c>
      <c r="H5490" s="1178" t="s">
        <v>20221</v>
      </c>
      <c r="I5490" s="1178" t="s">
        <v>17293</v>
      </c>
      <c r="J5490" s="1178" t="s">
        <v>22883</v>
      </c>
      <c r="K5490" s="1178" t="s">
        <v>613</v>
      </c>
      <c r="L5490" s="1178" t="s">
        <v>614</v>
      </c>
      <c r="M5490" s="1369"/>
      <c r="N5490" s="1178"/>
      <c r="O5490" s="1178">
        <v>6</v>
      </c>
      <c r="P5490" s="1178">
        <v>14.2</v>
      </c>
    </row>
    <row r="5491" spans="1:16">
      <c r="A5491" s="1178" t="s">
        <v>22885</v>
      </c>
      <c r="B5491" s="1371" t="str">
        <f>HYPERLINK(IFERROR("#Main_Tariff!A"&amp;MATCH(Raeburn_Main_Tariff[[#This Row],[Product Code]],Main_Tariff!I:I,0),"#Main_Tariff!A"&amp;MATCH("*"&amp;RIGHT(A5491,8)&amp;"*",Main_Tariff!A:A,0)),Raeburn_Main_Tariff[[#This Row],[PRODUCER]])</f>
        <v>Kin by Alkina</v>
      </c>
      <c r="C5491" s="1178" t="s">
        <v>22890</v>
      </c>
      <c r="D5491" s="1178" t="s">
        <v>897</v>
      </c>
      <c r="E5491" s="1179">
        <v>2021</v>
      </c>
      <c r="F5491" s="1282" t="s">
        <v>20220</v>
      </c>
      <c r="G5491" s="1368">
        <v>13</v>
      </c>
      <c r="H5491" s="1178" t="s">
        <v>20221</v>
      </c>
      <c r="I5491" s="1178" t="s">
        <v>17295</v>
      </c>
      <c r="J5491" s="1178" t="s">
        <v>22883</v>
      </c>
      <c r="K5491" s="1178" t="s">
        <v>613</v>
      </c>
      <c r="L5491" s="1178" t="s">
        <v>614</v>
      </c>
      <c r="M5491" s="1369"/>
      <c r="N5491" s="1178"/>
      <c r="O5491" s="1178">
        <v>6</v>
      </c>
      <c r="P5491" s="1178">
        <v>13.9</v>
      </c>
    </row>
    <row r="5492" spans="1:16">
      <c r="A5492" s="1178" t="s">
        <v>22885</v>
      </c>
      <c r="B5492" s="1371" t="str">
        <f>HYPERLINK(IFERROR("#Main_Tariff!A"&amp;MATCH(Raeburn_Main_Tariff[[#This Row],[Product Code]],Main_Tariff!I:I,0),"#Main_Tariff!A"&amp;MATCH("*"&amp;RIGHT(A5492,8)&amp;"*",Main_Tariff!A:A,0)),Raeburn_Main_Tariff[[#This Row],[PRODUCER]])</f>
        <v>Kin by Alkina</v>
      </c>
      <c r="C5492" s="1178" t="s">
        <v>22891</v>
      </c>
      <c r="D5492" s="1178" t="s">
        <v>897</v>
      </c>
      <c r="E5492" s="1179">
        <v>2022</v>
      </c>
      <c r="F5492" s="1282" t="s">
        <v>20240</v>
      </c>
      <c r="G5492" s="1368">
        <v>27</v>
      </c>
      <c r="H5492" s="1178" t="s">
        <v>20224</v>
      </c>
      <c r="I5492" s="1178" t="s">
        <v>17299</v>
      </c>
      <c r="J5492" s="1178" t="s">
        <v>22883</v>
      </c>
      <c r="K5492" s="1178" t="s">
        <v>613</v>
      </c>
      <c r="L5492" s="1178" t="s">
        <v>614</v>
      </c>
      <c r="M5492" s="1369"/>
      <c r="N5492" s="1178"/>
      <c r="O5492" s="1178">
        <v>3</v>
      </c>
      <c r="P5492" s="1178">
        <v>13.8</v>
      </c>
    </row>
    <row r="5493" spans="1:16">
      <c r="A5493" s="1178" t="s">
        <v>22885</v>
      </c>
      <c r="B5493" s="1371" t="str">
        <f>HYPERLINK(IFERROR("#Main_Tariff!A"&amp;MATCH(Raeburn_Main_Tariff[[#This Row],[Product Code]],Main_Tariff!I:I,0),"#Main_Tariff!A"&amp;MATCH("*"&amp;RIGHT(A5493,8)&amp;"*",Main_Tariff!A:A,0)),Raeburn_Main_Tariff[[#This Row],[PRODUCER]])</f>
        <v>Kin by Alkina</v>
      </c>
      <c r="C5493" s="1178" t="s">
        <v>22892</v>
      </c>
      <c r="D5493" s="1178" t="s">
        <v>897</v>
      </c>
      <c r="E5493" s="1179">
        <v>2022</v>
      </c>
      <c r="F5493" s="1282" t="s">
        <v>20240</v>
      </c>
      <c r="G5493" s="1368">
        <v>27</v>
      </c>
      <c r="H5493" s="1178" t="s">
        <v>20221</v>
      </c>
      <c r="I5493" s="1178" t="s">
        <v>17301</v>
      </c>
      <c r="J5493" s="1178" t="s">
        <v>22883</v>
      </c>
      <c r="K5493" s="1178" t="s">
        <v>613</v>
      </c>
      <c r="L5493" s="1178" t="s">
        <v>614</v>
      </c>
      <c r="M5493" s="1369"/>
      <c r="N5493" s="1178"/>
      <c r="O5493" s="1178">
        <v>3</v>
      </c>
      <c r="P5493" s="1178">
        <v>14.2</v>
      </c>
    </row>
    <row r="5494" spans="1:16">
      <c r="A5494" s="1178" t="s">
        <v>22885</v>
      </c>
      <c r="B5494" s="1371" t="str">
        <f>HYPERLINK(IFERROR("#Main_Tariff!A"&amp;MATCH(Raeburn_Main_Tariff[[#This Row],[Product Code]],Main_Tariff!I:I,0),"#Main_Tariff!A"&amp;MATCH("*"&amp;RIGHT(A5494,8)&amp;"*",Main_Tariff!A:A,0)),Raeburn_Main_Tariff[[#This Row],[PRODUCER]])</f>
        <v>Kin by Alkina</v>
      </c>
      <c r="C5494" s="1178" t="s">
        <v>22892</v>
      </c>
      <c r="D5494" s="1178" t="s">
        <v>897</v>
      </c>
      <c r="E5494" s="1179">
        <v>2021</v>
      </c>
      <c r="F5494" s="1282" t="s">
        <v>20240</v>
      </c>
      <c r="G5494" s="1368">
        <v>27</v>
      </c>
      <c r="H5494" s="1178" t="s">
        <v>20221</v>
      </c>
      <c r="I5494" s="1178" t="s">
        <v>17303</v>
      </c>
      <c r="J5494" s="1178" t="s">
        <v>22883</v>
      </c>
      <c r="K5494" s="1178" t="s">
        <v>613</v>
      </c>
      <c r="L5494" s="1178" t="s">
        <v>614</v>
      </c>
      <c r="M5494" s="1369"/>
      <c r="N5494" s="1178"/>
      <c r="O5494" s="1178">
        <v>3</v>
      </c>
      <c r="P5494" s="1178">
        <v>13.9</v>
      </c>
    </row>
    <row r="5495" spans="1:16">
      <c r="A5495" s="1178" t="s">
        <v>22885</v>
      </c>
      <c r="B5495" s="1371" t="str">
        <f>HYPERLINK(IFERROR("#Main_Tariff!A"&amp;MATCH(Raeburn_Main_Tariff[[#This Row],[Product Code]],Main_Tariff!I:I,0),"#Main_Tariff!A"&amp;MATCH("*"&amp;RIGHT(A5495,8)&amp;"*",Main_Tariff!A:A,0)),Raeburn_Main_Tariff[[#This Row],[PRODUCER]])</f>
        <v>Kin by Alkina</v>
      </c>
      <c r="C5495" s="1178" t="s">
        <v>22893</v>
      </c>
      <c r="D5495" s="1178" t="s">
        <v>1370</v>
      </c>
      <c r="E5495" s="1179">
        <v>2023</v>
      </c>
      <c r="F5495" s="1282" t="s">
        <v>20220</v>
      </c>
      <c r="G5495" s="1368">
        <v>22.25</v>
      </c>
      <c r="H5495" s="1178" t="s">
        <v>20221</v>
      </c>
      <c r="I5495" s="1178" t="s">
        <v>17309</v>
      </c>
      <c r="J5495" s="1178" t="s">
        <v>22883</v>
      </c>
      <c r="K5495" s="1178" t="s">
        <v>613</v>
      </c>
      <c r="L5495" s="1178" t="s">
        <v>614</v>
      </c>
      <c r="M5495" s="1369"/>
      <c r="N5495" s="1178"/>
      <c r="O5495" s="1178">
        <v>6</v>
      </c>
      <c r="P5495" s="1178">
        <v>11.5</v>
      </c>
    </row>
    <row r="5496" spans="1:16">
      <c r="A5496" s="1178" t="s">
        <v>22885</v>
      </c>
      <c r="B5496" s="1371" t="str">
        <f>HYPERLINK(IFERROR("#Main_Tariff!A"&amp;MATCH(Raeburn_Main_Tariff[[#This Row],[Product Code]],Main_Tariff!I:I,0),"#Main_Tariff!A"&amp;MATCH("*"&amp;RIGHT(A5496,8)&amp;"*",Main_Tariff!A:A,0)),Raeburn_Main_Tariff[[#This Row],[PRODUCER]])</f>
        <v>Kin by Alkina</v>
      </c>
      <c r="C5496" s="1178" t="s">
        <v>22893</v>
      </c>
      <c r="D5496" s="1178" t="s">
        <v>1370</v>
      </c>
      <c r="E5496" s="1179">
        <v>2022</v>
      </c>
      <c r="F5496" s="1282" t="s">
        <v>20220</v>
      </c>
      <c r="G5496" s="1368">
        <v>22.25</v>
      </c>
      <c r="H5496" s="1178" t="s">
        <v>20221</v>
      </c>
      <c r="I5496" s="1178" t="s">
        <v>17311</v>
      </c>
      <c r="J5496" s="1178" t="s">
        <v>22883</v>
      </c>
      <c r="K5496" s="1178" t="s">
        <v>613</v>
      </c>
      <c r="L5496" s="1178" t="s">
        <v>614</v>
      </c>
      <c r="M5496" s="1369"/>
      <c r="N5496" s="1178"/>
      <c r="O5496" s="1178">
        <v>6</v>
      </c>
      <c r="P5496" s="1178">
        <v>12</v>
      </c>
    </row>
    <row r="5497" spans="1:16">
      <c r="A5497" s="1178" t="s">
        <v>22885</v>
      </c>
      <c r="B5497" s="1371" t="str">
        <f>HYPERLINK(IFERROR("#Main_Tariff!A"&amp;MATCH(Raeburn_Main_Tariff[[#This Row],[Product Code]],Main_Tariff!I:I,0),"#Main_Tariff!A"&amp;MATCH("*"&amp;RIGHT(A5497,8)&amp;"*",Main_Tariff!A:A,0)),Raeburn_Main_Tariff[[#This Row],[PRODUCER]])</f>
        <v>Kin by Alkina</v>
      </c>
      <c r="C5497" s="1178" t="s">
        <v>22893</v>
      </c>
      <c r="D5497" s="1178" t="s">
        <v>1370</v>
      </c>
      <c r="E5497" s="1179">
        <v>2021</v>
      </c>
      <c r="F5497" s="1282" t="s">
        <v>20220</v>
      </c>
      <c r="G5497" s="1368">
        <v>22.75</v>
      </c>
      <c r="H5497" s="1178" t="s">
        <v>20221</v>
      </c>
      <c r="I5497" s="1178" t="s">
        <v>17313</v>
      </c>
      <c r="J5497" s="1178" t="s">
        <v>22883</v>
      </c>
      <c r="K5497" s="1178" t="s">
        <v>613</v>
      </c>
      <c r="L5497" s="1178" t="s">
        <v>614</v>
      </c>
      <c r="M5497" s="1369"/>
      <c r="N5497" s="1178"/>
      <c r="O5497" s="1178">
        <v>6</v>
      </c>
      <c r="P5497" s="1178">
        <v>12.5</v>
      </c>
    </row>
    <row r="5498" spans="1:16">
      <c r="A5498" s="1178" t="s">
        <v>22885</v>
      </c>
      <c r="B5498" s="1371" t="str">
        <f>HYPERLINK(IFERROR("#Main_Tariff!A"&amp;MATCH(Raeburn_Main_Tariff[[#This Row],[Product Code]],Main_Tariff!I:I,0),"#Main_Tariff!A"&amp;MATCH("*"&amp;RIGHT(A5498,8)&amp;"*",Main_Tariff!A:A,0)),Raeburn_Main_Tariff[[#This Row],[PRODUCER]])</f>
        <v>Kin by Alkina</v>
      </c>
      <c r="C5498" s="1178" t="s">
        <v>22894</v>
      </c>
      <c r="D5498" s="1178" t="s">
        <v>897</v>
      </c>
      <c r="E5498" s="1179">
        <v>2022</v>
      </c>
      <c r="F5498" s="1282" t="s">
        <v>20220</v>
      </c>
      <c r="G5498" s="1368">
        <v>21.25</v>
      </c>
      <c r="H5498" s="1178" t="s">
        <v>20221</v>
      </c>
      <c r="I5498" s="1178" t="s">
        <v>17317</v>
      </c>
      <c r="J5498" s="1178" t="s">
        <v>22883</v>
      </c>
      <c r="K5498" s="1178" t="s">
        <v>613</v>
      </c>
      <c r="L5498" s="1178" t="s">
        <v>614</v>
      </c>
      <c r="M5498" s="1369"/>
      <c r="N5498" s="1178"/>
      <c r="O5498" s="1178">
        <v>6</v>
      </c>
      <c r="P5498" s="1178">
        <v>13.5</v>
      </c>
    </row>
    <row r="5499" spans="1:16">
      <c r="A5499" s="1178" t="s">
        <v>22885</v>
      </c>
      <c r="B5499" s="1371" t="str">
        <f>HYPERLINK(IFERROR("#Main_Tariff!A"&amp;MATCH(Raeburn_Main_Tariff[[#This Row],[Product Code]],Main_Tariff!I:I,0),"#Main_Tariff!A"&amp;MATCH("*"&amp;RIGHT(A5499,8)&amp;"*",Main_Tariff!A:A,0)),Raeburn_Main_Tariff[[#This Row],[PRODUCER]])</f>
        <v>Kin by Alkina</v>
      </c>
      <c r="C5499" s="1178" t="s">
        <v>22894</v>
      </c>
      <c r="D5499" s="1178" t="s">
        <v>897</v>
      </c>
      <c r="E5499" s="1179">
        <v>2021</v>
      </c>
      <c r="F5499" s="1282" t="s">
        <v>20220</v>
      </c>
      <c r="G5499" s="1368">
        <v>21.25</v>
      </c>
      <c r="H5499" s="1178" t="s">
        <v>20221</v>
      </c>
      <c r="I5499" s="1178" t="s">
        <v>17319</v>
      </c>
      <c r="J5499" s="1178" t="s">
        <v>22883</v>
      </c>
      <c r="K5499" s="1178" t="s">
        <v>613</v>
      </c>
      <c r="L5499" s="1178" t="s">
        <v>614</v>
      </c>
      <c r="M5499" s="1369"/>
      <c r="N5499" s="1178"/>
      <c r="O5499" s="1178">
        <v>6</v>
      </c>
      <c r="P5499" s="1178">
        <v>14.2</v>
      </c>
    </row>
    <row r="5500" spans="1:16">
      <c r="A5500" s="1178" t="s">
        <v>22885</v>
      </c>
      <c r="B5500" s="1371" t="str">
        <f>HYPERLINK(IFERROR("#Main_Tariff!A"&amp;MATCH(Raeburn_Main_Tariff[[#This Row],[Product Code]],Main_Tariff!I:I,0),"#Main_Tariff!A"&amp;MATCH("*"&amp;RIGHT(A5500,8)&amp;"*",Main_Tariff!A:A,0)),Raeburn_Main_Tariff[[#This Row],[PRODUCER]])</f>
        <v>Kin by Alkina</v>
      </c>
      <c r="C5500" s="1178" t="s">
        <v>22894</v>
      </c>
      <c r="D5500" s="1178" t="s">
        <v>897</v>
      </c>
      <c r="E5500" s="1179">
        <v>2020</v>
      </c>
      <c r="F5500" s="1282" t="s">
        <v>20220</v>
      </c>
      <c r="G5500" s="1368">
        <v>21.25</v>
      </c>
      <c r="H5500" s="1178" t="s">
        <v>20221</v>
      </c>
      <c r="I5500" s="1178" t="s">
        <v>17321</v>
      </c>
      <c r="J5500" s="1178" t="s">
        <v>22883</v>
      </c>
      <c r="K5500" s="1178" t="s">
        <v>613</v>
      </c>
      <c r="L5500" s="1178" t="s">
        <v>614</v>
      </c>
      <c r="M5500" s="1369"/>
      <c r="N5500" s="1178"/>
      <c r="O5500" s="1178">
        <v>6</v>
      </c>
      <c r="P5500" s="1178">
        <v>12.5</v>
      </c>
    </row>
    <row r="5501" spans="1:16">
      <c r="A5501" s="1178" t="s">
        <v>22885</v>
      </c>
      <c r="B5501" s="1371" t="str">
        <f>HYPERLINK(IFERROR("#Main_Tariff!A"&amp;MATCH(Raeburn_Main_Tariff[[#This Row],[Product Code]],Main_Tariff!I:I,0),"#Main_Tariff!A"&amp;MATCH("*"&amp;RIGHT(A5501,8)&amp;"*",Main_Tariff!A:A,0)),Raeburn_Main_Tariff[[#This Row],[PRODUCER]])</f>
        <v>Kin by Alkina</v>
      </c>
      <c r="C5501" s="1178" t="s">
        <v>22895</v>
      </c>
      <c r="D5501" s="1178" t="s">
        <v>897</v>
      </c>
      <c r="E5501" s="1179">
        <v>2022</v>
      </c>
      <c r="F5501" s="1282" t="s">
        <v>20240</v>
      </c>
      <c r="G5501" s="1368">
        <v>43</v>
      </c>
      <c r="H5501" s="1178" t="s">
        <v>20224</v>
      </c>
      <c r="I5501" s="1178" t="s">
        <v>17322</v>
      </c>
      <c r="J5501" s="1178" t="s">
        <v>22883</v>
      </c>
      <c r="K5501" s="1178" t="s">
        <v>613</v>
      </c>
      <c r="L5501" s="1178" t="s">
        <v>614</v>
      </c>
      <c r="M5501" s="1369"/>
      <c r="N5501" s="1178"/>
      <c r="O5501" s="1178">
        <v>3</v>
      </c>
      <c r="P5501" s="1178">
        <v>13.5</v>
      </c>
    </row>
    <row r="5502" spans="1:16">
      <c r="A5502" s="1178" t="s">
        <v>22885</v>
      </c>
      <c r="B5502" s="1371" t="str">
        <f>HYPERLINK(IFERROR("#Main_Tariff!A"&amp;MATCH(Raeburn_Main_Tariff[[#This Row],[Product Code]],Main_Tariff!I:I,0),"#Main_Tariff!A"&amp;MATCH("*"&amp;RIGHT(A5502,8)&amp;"*",Main_Tariff!A:A,0)),Raeburn_Main_Tariff[[#This Row],[PRODUCER]])</f>
        <v>Kin by Alkina</v>
      </c>
      <c r="C5502" s="1178" t="s">
        <v>22895</v>
      </c>
      <c r="D5502" s="1178" t="s">
        <v>897</v>
      </c>
      <c r="E5502" s="1179">
        <v>2021</v>
      </c>
      <c r="F5502" s="1282" t="s">
        <v>20240</v>
      </c>
      <c r="G5502" s="1368">
        <v>43.5</v>
      </c>
      <c r="H5502" s="1178" t="s">
        <v>20221</v>
      </c>
      <c r="I5502" s="1178" t="s">
        <v>17324</v>
      </c>
      <c r="J5502" s="1178" t="s">
        <v>22883</v>
      </c>
      <c r="K5502" s="1178" t="s">
        <v>613</v>
      </c>
      <c r="L5502" s="1178" t="s">
        <v>614</v>
      </c>
      <c r="M5502" s="1369"/>
      <c r="N5502" s="1178"/>
      <c r="O5502" s="1178">
        <v>3</v>
      </c>
      <c r="P5502" s="1178">
        <v>13.8</v>
      </c>
    </row>
    <row r="5503" spans="1:16">
      <c r="A5503" s="1178" t="s">
        <v>22885</v>
      </c>
      <c r="B5503" s="1371" t="str">
        <f>HYPERLINK(IFERROR("#Main_Tariff!A"&amp;MATCH(Raeburn_Main_Tariff[[#This Row],[Product Code]],Main_Tariff!I:I,0),"#Main_Tariff!A"&amp;MATCH("*"&amp;RIGHT(A5503,8)&amp;"*",Main_Tariff!A:A,0)),Raeburn_Main_Tariff[[#This Row],[PRODUCER]])</f>
        <v>Kin by Alkina</v>
      </c>
      <c r="C5503" s="1178" t="s">
        <v>22896</v>
      </c>
      <c r="D5503" s="1178" t="s">
        <v>897</v>
      </c>
      <c r="E5503" s="1179">
        <v>2022</v>
      </c>
      <c r="F5503" s="1282" t="s">
        <v>20220</v>
      </c>
      <c r="G5503" s="1368">
        <v>21.25</v>
      </c>
      <c r="H5503" s="1178" t="s">
        <v>20221</v>
      </c>
      <c r="I5503" s="1178" t="s">
        <v>17327</v>
      </c>
      <c r="J5503" s="1178" t="s">
        <v>22883</v>
      </c>
      <c r="K5503" s="1178" t="s">
        <v>613</v>
      </c>
      <c r="L5503" s="1178" t="s">
        <v>614</v>
      </c>
      <c r="M5503" s="1369"/>
      <c r="N5503" s="1178"/>
      <c r="O5503" s="1178">
        <v>6</v>
      </c>
      <c r="P5503" s="1178">
        <v>13.5</v>
      </c>
    </row>
    <row r="5504" spans="1:16">
      <c r="A5504" s="1178" t="s">
        <v>22885</v>
      </c>
      <c r="B5504" s="1371" t="str">
        <f>HYPERLINK(IFERROR("#Main_Tariff!A"&amp;MATCH(Raeburn_Main_Tariff[[#This Row],[Product Code]],Main_Tariff!I:I,0),"#Main_Tariff!A"&amp;MATCH("*"&amp;RIGHT(A5504,8)&amp;"*",Main_Tariff!A:A,0)),Raeburn_Main_Tariff[[#This Row],[PRODUCER]])</f>
        <v>Kin by Alkina</v>
      </c>
      <c r="C5504" s="1178" t="s">
        <v>22896</v>
      </c>
      <c r="D5504" s="1178" t="s">
        <v>897</v>
      </c>
      <c r="E5504" s="1179">
        <v>2021</v>
      </c>
      <c r="F5504" s="1282" t="s">
        <v>20220</v>
      </c>
      <c r="G5504" s="1368">
        <v>21.25</v>
      </c>
      <c r="H5504" s="1178" t="s">
        <v>20221</v>
      </c>
      <c r="I5504" s="1178" t="s">
        <v>17328</v>
      </c>
      <c r="J5504" s="1178" t="s">
        <v>22883</v>
      </c>
      <c r="K5504" s="1178" t="s">
        <v>613</v>
      </c>
      <c r="L5504" s="1178" t="s">
        <v>614</v>
      </c>
      <c r="M5504" s="1369"/>
      <c r="N5504" s="1178"/>
      <c r="O5504" s="1178">
        <v>6</v>
      </c>
      <c r="P5504" s="1178">
        <v>14</v>
      </c>
    </row>
    <row r="5505" spans="1:16">
      <c r="A5505" s="1178" t="s">
        <v>22885</v>
      </c>
      <c r="B5505" s="1371" t="str">
        <f>HYPERLINK(IFERROR("#Main_Tariff!A"&amp;MATCH(Raeburn_Main_Tariff[[#This Row],[Product Code]],Main_Tariff!I:I,0),"#Main_Tariff!A"&amp;MATCH("*"&amp;RIGHT(A5505,8)&amp;"*",Main_Tariff!A:A,0)),Raeburn_Main_Tariff[[#This Row],[PRODUCER]])</f>
        <v>Kin by Alkina</v>
      </c>
      <c r="C5505" s="1178" t="s">
        <v>22897</v>
      </c>
      <c r="D5505" s="1178" t="s">
        <v>897</v>
      </c>
      <c r="E5505" s="1179">
        <v>2020</v>
      </c>
      <c r="F5505" s="1282" t="s">
        <v>20220</v>
      </c>
      <c r="G5505" s="1368">
        <v>21.25</v>
      </c>
      <c r="H5505" s="1178" t="s">
        <v>20221</v>
      </c>
      <c r="I5505" s="1178" t="s">
        <v>17329</v>
      </c>
      <c r="J5505" s="1178" t="s">
        <v>22883</v>
      </c>
      <c r="K5505" s="1178" t="s">
        <v>613</v>
      </c>
      <c r="L5505" s="1178" t="s">
        <v>614</v>
      </c>
      <c r="M5505" s="1369"/>
      <c r="N5505" s="1178"/>
      <c r="O5505" s="1178">
        <v>6</v>
      </c>
      <c r="P5505" s="1178">
        <v>13</v>
      </c>
    </row>
    <row r="5506" spans="1:16">
      <c r="A5506" s="1178" t="s">
        <v>22885</v>
      </c>
      <c r="B5506" s="1371" t="str">
        <f>HYPERLINK(IFERROR("#Main_Tariff!A"&amp;MATCH(Raeburn_Main_Tariff[[#This Row],[Product Code]],Main_Tariff!I:I,0),"#Main_Tariff!A"&amp;MATCH("*"&amp;RIGHT(A5506,8)&amp;"*",Main_Tariff!A:A,0)),Raeburn_Main_Tariff[[#This Row],[PRODUCER]])</f>
        <v>Kin by Alkina</v>
      </c>
      <c r="C5506" s="1178" t="s">
        <v>22898</v>
      </c>
      <c r="D5506" s="1178" t="s">
        <v>897</v>
      </c>
      <c r="E5506" s="1179">
        <v>2018</v>
      </c>
      <c r="F5506" s="1282" t="s">
        <v>20220</v>
      </c>
      <c r="G5506" s="1368">
        <v>21.25</v>
      </c>
      <c r="H5506" s="1178" t="s">
        <v>20221</v>
      </c>
      <c r="I5506" s="1178" t="s">
        <v>17330</v>
      </c>
      <c r="J5506" s="1178" t="s">
        <v>22883</v>
      </c>
      <c r="K5506" s="1178" t="s">
        <v>613</v>
      </c>
      <c r="L5506" s="1178" t="s">
        <v>614</v>
      </c>
      <c r="M5506" s="1369"/>
      <c r="N5506" s="1178"/>
      <c r="O5506" s="1178">
        <v>6</v>
      </c>
      <c r="P5506" s="1178">
        <v>13.8</v>
      </c>
    </row>
    <row r="5507" spans="1:16">
      <c r="A5507" s="1178" t="s">
        <v>22885</v>
      </c>
      <c r="B5507" s="1371" t="str">
        <f>HYPERLINK(IFERROR("#Main_Tariff!A"&amp;MATCH(Raeburn_Main_Tariff[[#This Row],[Product Code]],Main_Tariff!I:I,0),"#Main_Tariff!A"&amp;MATCH("*"&amp;RIGHT(A5507,8)&amp;"*",Main_Tariff!A:A,0)),Raeburn_Main_Tariff[[#This Row],[PRODUCER]])</f>
        <v>Kin by Alkina</v>
      </c>
      <c r="C5507" s="1178" t="s">
        <v>22899</v>
      </c>
      <c r="D5507" s="1178" t="s">
        <v>897</v>
      </c>
      <c r="E5507" s="1179">
        <v>2022</v>
      </c>
      <c r="F5507" s="1282" t="s">
        <v>20240</v>
      </c>
      <c r="G5507" s="1368">
        <v>43</v>
      </c>
      <c r="H5507" s="1178" t="s">
        <v>20224</v>
      </c>
      <c r="I5507" s="1178" t="s">
        <v>17331</v>
      </c>
      <c r="J5507" s="1178" t="s">
        <v>22883</v>
      </c>
      <c r="K5507" s="1178" t="s">
        <v>613</v>
      </c>
      <c r="L5507" s="1178" t="s">
        <v>614</v>
      </c>
      <c r="M5507" s="1369"/>
      <c r="N5507" s="1178"/>
      <c r="O5507" s="1178">
        <v>3</v>
      </c>
      <c r="P5507" s="1178">
        <v>13.5</v>
      </c>
    </row>
    <row r="5508" spans="1:16">
      <c r="A5508" s="1178" t="s">
        <v>22885</v>
      </c>
      <c r="B5508" s="1371" t="str">
        <f>HYPERLINK(IFERROR("#Main_Tariff!A"&amp;MATCH(Raeburn_Main_Tariff[[#This Row],[Product Code]],Main_Tariff!I:I,0),"#Main_Tariff!A"&amp;MATCH("*"&amp;RIGHT(A5508,8)&amp;"*",Main_Tariff!A:A,0)),Raeburn_Main_Tariff[[#This Row],[PRODUCER]])</f>
        <v>Kin by Alkina</v>
      </c>
      <c r="C5508" s="1178" t="s">
        <v>22899</v>
      </c>
      <c r="D5508" s="1178" t="s">
        <v>897</v>
      </c>
      <c r="E5508" s="1179">
        <v>2021</v>
      </c>
      <c r="F5508" s="1282" t="s">
        <v>20240</v>
      </c>
      <c r="G5508" s="1368">
        <v>43.5</v>
      </c>
      <c r="H5508" s="1178" t="s">
        <v>20221</v>
      </c>
      <c r="I5508" s="1178" t="s">
        <v>17332</v>
      </c>
      <c r="J5508" s="1178" t="s">
        <v>22883</v>
      </c>
      <c r="K5508" s="1178" t="s">
        <v>613</v>
      </c>
      <c r="L5508" s="1178" t="s">
        <v>614</v>
      </c>
      <c r="M5508" s="1369"/>
      <c r="N5508" s="1178"/>
      <c r="O5508" s="1178">
        <v>3</v>
      </c>
      <c r="P5508" s="1178">
        <v>14</v>
      </c>
    </row>
    <row r="5509" spans="1:16">
      <c r="A5509" s="1178" t="s">
        <v>616</v>
      </c>
      <c r="B5509" s="1371" t="str">
        <f>HYPERLINK(IFERROR("#Main_Tariff!A"&amp;MATCH(Raeburn_Main_Tariff[[#This Row],[Product Code]],Main_Tariff!I:I,0),"#Main_Tariff!A"&amp;MATCH("*"&amp;RIGHT(A5509,8)&amp;"*",Main_Tariff!A:A,0)),Raeburn_Main_Tariff[[#This Row],[PRODUCER]])</f>
        <v>Alkina</v>
      </c>
      <c r="C5509" s="1178" t="s">
        <v>22900</v>
      </c>
      <c r="D5509" s="1178" t="s">
        <v>897</v>
      </c>
      <c r="E5509" s="1179">
        <v>2022</v>
      </c>
      <c r="F5509" s="1282" t="s">
        <v>20220</v>
      </c>
      <c r="G5509" s="1368">
        <v>37.5</v>
      </c>
      <c r="H5509" s="1178" t="s">
        <v>20221</v>
      </c>
      <c r="I5509" s="1178" t="s">
        <v>17335</v>
      </c>
      <c r="J5509" s="1178" t="s">
        <v>22883</v>
      </c>
      <c r="K5509" s="1178" t="s">
        <v>613</v>
      </c>
      <c r="L5509" s="1178" t="s">
        <v>614</v>
      </c>
      <c r="M5509" s="1369"/>
      <c r="N5509" s="1178"/>
      <c r="O5509" s="1178">
        <v>6</v>
      </c>
      <c r="P5509" s="1178">
        <v>14</v>
      </c>
    </row>
    <row r="5510" spans="1:16">
      <c r="A5510" s="1178" t="s">
        <v>616</v>
      </c>
      <c r="B5510" s="1371" t="str">
        <f>HYPERLINK(IFERROR("#Main_Tariff!A"&amp;MATCH(Raeburn_Main_Tariff[[#This Row],[Product Code]],Main_Tariff!I:I,0),"#Main_Tariff!A"&amp;MATCH("*"&amp;RIGHT(A5510,8)&amp;"*",Main_Tariff!A:A,0)),Raeburn_Main_Tariff[[#This Row],[PRODUCER]])</f>
        <v>Alkina</v>
      </c>
      <c r="C5510" s="1178" t="s">
        <v>22901</v>
      </c>
      <c r="D5510" s="1178" t="s">
        <v>897</v>
      </c>
      <c r="E5510" s="1179">
        <v>2021</v>
      </c>
      <c r="F5510" s="1282" t="s">
        <v>20220</v>
      </c>
      <c r="G5510" s="1368">
        <v>38</v>
      </c>
      <c r="H5510" s="1178" t="s">
        <v>20221</v>
      </c>
      <c r="I5510" s="1178" t="s">
        <v>17337</v>
      </c>
      <c r="J5510" s="1178" t="s">
        <v>22883</v>
      </c>
      <c r="K5510" s="1178" t="s">
        <v>613</v>
      </c>
      <c r="L5510" s="1178" t="s">
        <v>614</v>
      </c>
      <c r="M5510" s="1369"/>
      <c r="N5510" s="1178"/>
      <c r="O5510" s="1178">
        <v>6</v>
      </c>
      <c r="P5510" s="1178">
        <v>13.9</v>
      </c>
    </row>
    <row r="5511" spans="1:16">
      <c r="A5511" s="1178" t="s">
        <v>616</v>
      </c>
      <c r="B5511" s="1371" t="str">
        <f>HYPERLINK(IFERROR("#Main_Tariff!A"&amp;MATCH(Raeburn_Main_Tariff[[#This Row],[Product Code]],Main_Tariff!I:I,0),"#Main_Tariff!A"&amp;MATCH("*"&amp;RIGHT(A5511,8)&amp;"*",Main_Tariff!A:A,0)),Raeburn_Main_Tariff[[#This Row],[PRODUCER]])</f>
        <v>Alkina</v>
      </c>
      <c r="C5511" s="1178" t="s">
        <v>22902</v>
      </c>
      <c r="D5511" s="1178" t="s">
        <v>897</v>
      </c>
      <c r="E5511" s="1179">
        <v>2020</v>
      </c>
      <c r="F5511" s="1282" t="s">
        <v>20220</v>
      </c>
      <c r="G5511" s="1368">
        <v>40</v>
      </c>
      <c r="H5511" s="1178" t="s">
        <v>20277</v>
      </c>
      <c r="I5511" s="1178" t="s">
        <v>17338</v>
      </c>
      <c r="J5511" s="1178" t="s">
        <v>22883</v>
      </c>
      <c r="K5511" s="1178" t="s">
        <v>613</v>
      </c>
      <c r="L5511" s="1178" t="s">
        <v>614</v>
      </c>
      <c r="M5511" s="1369"/>
      <c r="N5511" s="1178"/>
      <c r="O5511" s="1178">
        <v>6</v>
      </c>
      <c r="P5511" s="1178">
        <v>13.2</v>
      </c>
    </row>
    <row r="5512" spans="1:16">
      <c r="A5512" s="1178" t="s">
        <v>616</v>
      </c>
      <c r="B5512" s="1371" t="str">
        <f>HYPERLINK(IFERROR("#Main_Tariff!A"&amp;MATCH(Raeburn_Main_Tariff[[#This Row],[Product Code]],Main_Tariff!I:I,0),"#Main_Tariff!A"&amp;MATCH("*"&amp;RIGHT(A5512,8)&amp;"*",Main_Tariff!A:A,0)),Raeburn_Main_Tariff[[#This Row],[PRODUCER]])</f>
        <v>Alkina</v>
      </c>
      <c r="C5512" s="1178" t="s">
        <v>22903</v>
      </c>
      <c r="D5512" s="1178" t="s">
        <v>897</v>
      </c>
      <c r="E5512" s="1179">
        <v>2022</v>
      </c>
      <c r="F5512" s="1282" t="s">
        <v>20240</v>
      </c>
      <c r="G5512" s="1368">
        <v>77</v>
      </c>
      <c r="H5512" s="1178" t="s">
        <v>20224</v>
      </c>
      <c r="I5512" s="1178" t="s">
        <v>17339</v>
      </c>
      <c r="J5512" s="1178" t="s">
        <v>22883</v>
      </c>
      <c r="K5512" s="1178" t="s">
        <v>613</v>
      </c>
      <c r="L5512" s="1178" t="s">
        <v>614</v>
      </c>
      <c r="M5512" s="1369"/>
      <c r="N5512" s="1178"/>
      <c r="O5512" s="1178">
        <v>3</v>
      </c>
      <c r="P5512" s="1178">
        <v>14</v>
      </c>
    </row>
    <row r="5513" spans="1:16">
      <c r="A5513" s="1178" t="s">
        <v>616</v>
      </c>
      <c r="B5513" s="1371" t="str">
        <f>HYPERLINK(IFERROR("#Main_Tariff!A"&amp;MATCH(Raeburn_Main_Tariff[[#This Row],[Product Code]],Main_Tariff!I:I,0),"#Main_Tariff!A"&amp;MATCH("*"&amp;RIGHT(A5513,8)&amp;"*",Main_Tariff!A:A,0)),Raeburn_Main_Tariff[[#This Row],[PRODUCER]])</f>
        <v>Alkina</v>
      </c>
      <c r="C5513" s="1178" t="s">
        <v>22904</v>
      </c>
      <c r="D5513" s="1178" t="s">
        <v>897</v>
      </c>
      <c r="E5513" s="1179">
        <v>2020</v>
      </c>
      <c r="F5513" s="1282" t="s">
        <v>20240</v>
      </c>
      <c r="G5513" s="1368">
        <v>83</v>
      </c>
      <c r="H5513" s="1178" t="s">
        <v>20224</v>
      </c>
      <c r="I5513" s="1178" t="s">
        <v>17340</v>
      </c>
      <c r="J5513" s="1178" t="s">
        <v>22883</v>
      </c>
      <c r="K5513" s="1178" t="s">
        <v>613</v>
      </c>
      <c r="L5513" s="1178" t="s">
        <v>614</v>
      </c>
      <c r="M5513" s="1369"/>
      <c r="N5513" s="1178"/>
      <c r="O5513" s="1178">
        <v>3</v>
      </c>
      <c r="P5513" s="1178">
        <v>13.2</v>
      </c>
    </row>
    <row r="5514" spans="1:16">
      <c r="A5514" s="1178" t="s">
        <v>616</v>
      </c>
      <c r="B5514" s="1371" t="str">
        <f>HYPERLINK(IFERROR("#Main_Tariff!A"&amp;MATCH(Raeburn_Main_Tariff[[#This Row],[Product Code]],Main_Tariff!I:I,0),"#Main_Tariff!A"&amp;MATCH("*"&amp;RIGHT(A5514,8)&amp;"*",Main_Tariff!A:A,0)),Raeburn_Main_Tariff[[#This Row],[PRODUCER]])</f>
        <v>Alkina</v>
      </c>
      <c r="C5514" s="1178" t="s">
        <v>22905</v>
      </c>
      <c r="D5514" s="1178" t="s">
        <v>897</v>
      </c>
      <c r="E5514" s="1179">
        <v>2021</v>
      </c>
      <c r="F5514" s="1282" t="s">
        <v>20220</v>
      </c>
      <c r="G5514" s="1368">
        <v>38</v>
      </c>
      <c r="H5514" s="1178" t="s">
        <v>20221</v>
      </c>
      <c r="I5514" s="1178" t="s">
        <v>17342</v>
      </c>
      <c r="J5514" s="1178" t="s">
        <v>22883</v>
      </c>
      <c r="K5514" s="1178" t="s">
        <v>613</v>
      </c>
      <c r="L5514" s="1178" t="s">
        <v>614</v>
      </c>
      <c r="M5514" s="1369"/>
      <c r="N5514" s="1178"/>
      <c r="O5514" s="1178">
        <v>6</v>
      </c>
      <c r="P5514" s="1178">
        <v>14</v>
      </c>
    </row>
    <row r="5515" spans="1:16">
      <c r="A5515" s="1178" t="s">
        <v>616</v>
      </c>
      <c r="B5515" s="1371" t="str">
        <f>HYPERLINK(IFERROR("#Main_Tariff!A"&amp;MATCH(Raeburn_Main_Tariff[[#This Row],[Product Code]],Main_Tariff!I:I,0),"#Main_Tariff!A"&amp;MATCH("*"&amp;RIGHT(A5515,8)&amp;"*",Main_Tariff!A:A,0)),Raeburn_Main_Tariff[[#This Row],[PRODUCER]])</f>
        <v>Alkina</v>
      </c>
      <c r="C5515" s="1178" t="s">
        <v>22905</v>
      </c>
      <c r="D5515" s="1178" t="s">
        <v>897</v>
      </c>
      <c r="E5515" s="1179">
        <v>2020</v>
      </c>
      <c r="F5515" s="1282" t="s">
        <v>20220</v>
      </c>
      <c r="G5515" s="1368">
        <v>40</v>
      </c>
      <c r="H5515" s="1178" t="s">
        <v>20221</v>
      </c>
      <c r="I5515" s="1178" t="s">
        <v>17344</v>
      </c>
      <c r="J5515" s="1178" t="s">
        <v>22883</v>
      </c>
      <c r="K5515" s="1178" t="s">
        <v>613</v>
      </c>
      <c r="L5515" s="1178" t="s">
        <v>614</v>
      </c>
      <c r="M5515" s="1369"/>
      <c r="N5515" s="1178"/>
      <c r="O5515" s="1178">
        <v>6</v>
      </c>
      <c r="P5515" s="1178">
        <v>13.8</v>
      </c>
    </row>
    <row r="5516" spans="1:16">
      <c r="A5516" s="1178" t="s">
        <v>616</v>
      </c>
      <c r="B5516" s="1371" t="str">
        <f>HYPERLINK(IFERROR("#Main_Tariff!A"&amp;MATCH(Raeburn_Main_Tariff[[#This Row],[Product Code]],Main_Tariff!I:I,0),"#Main_Tariff!A"&amp;MATCH("*"&amp;RIGHT(A5516,8)&amp;"*",Main_Tariff!A:A,0)),Raeburn_Main_Tariff[[#This Row],[PRODUCER]])</f>
        <v>Alkina</v>
      </c>
      <c r="C5516" s="1178" t="s">
        <v>22905</v>
      </c>
      <c r="D5516" s="1178" t="s">
        <v>897</v>
      </c>
      <c r="E5516" s="1179">
        <v>2019</v>
      </c>
      <c r="F5516" s="1282" t="s">
        <v>20220</v>
      </c>
      <c r="G5516" s="1368">
        <v>40</v>
      </c>
      <c r="H5516" s="1178" t="s">
        <v>20221</v>
      </c>
      <c r="I5516" s="1178" t="s">
        <v>17346</v>
      </c>
      <c r="J5516" s="1178" t="s">
        <v>22883</v>
      </c>
      <c r="K5516" s="1178" t="s">
        <v>613</v>
      </c>
      <c r="L5516" s="1178" t="s">
        <v>614</v>
      </c>
      <c r="M5516" s="1369"/>
      <c r="N5516" s="1178"/>
      <c r="O5516" s="1178">
        <v>6</v>
      </c>
      <c r="P5516" s="1178">
        <v>13.8</v>
      </c>
    </row>
    <row r="5517" spans="1:16">
      <c r="A5517" s="1178" t="s">
        <v>616</v>
      </c>
      <c r="B5517" s="1371" t="str">
        <f>HYPERLINK(IFERROR("#Main_Tariff!A"&amp;MATCH(Raeburn_Main_Tariff[[#This Row],[Product Code]],Main_Tariff!I:I,0),"#Main_Tariff!A"&amp;MATCH("*"&amp;RIGHT(A5517,8)&amp;"*",Main_Tariff!A:A,0)),Raeburn_Main_Tariff[[#This Row],[PRODUCER]])</f>
        <v>Alkina</v>
      </c>
      <c r="C5517" s="1178" t="s">
        <v>22906</v>
      </c>
      <c r="D5517" s="1178" t="s">
        <v>897</v>
      </c>
      <c r="E5517" s="1179">
        <v>2020</v>
      </c>
      <c r="F5517" s="1282" t="s">
        <v>20240</v>
      </c>
      <c r="G5517" s="1368">
        <v>83</v>
      </c>
      <c r="H5517" s="1178" t="s">
        <v>20224</v>
      </c>
      <c r="I5517" s="1178" t="s">
        <v>17348</v>
      </c>
      <c r="J5517" s="1178" t="s">
        <v>22883</v>
      </c>
      <c r="K5517" s="1178" t="s">
        <v>613</v>
      </c>
      <c r="L5517" s="1178" t="s">
        <v>614</v>
      </c>
      <c r="M5517" s="1369"/>
      <c r="N5517" s="1178"/>
      <c r="O5517" s="1178">
        <v>3</v>
      </c>
      <c r="P5517" s="1178">
        <v>13.8</v>
      </c>
    </row>
    <row r="5518" spans="1:16">
      <c r="A5518" s="1178" t="s">
        <v>616</v>
      </c>
      <c r="B5518" s="1371" t="str">
        <f>HYPERLINK(IFERROR("#Main_Tariff!A"&amp;MATCH(Raeburn_Main_Tariff[[#This Row],[Product Code]],Main_Tariff!I:I,0),"#Main_Tariff!A"&amp;MATCH("*"&amp;RIGHT(A5518,8)&amp;"*",Main_Tariff!A:A,0)),Raeburn_Main_Tariff[[#This Row],[PRODUCER]])</f>
        <v>Alkina</v>
      </c>
      <c r="C5518" s="1178" t="s">
        <v>22906</v>
      </c>
      <c r="D5518" s="1178" t="s">
        <v>897</v>
      </c>
      <c r="E5518" s="1179">
        <v>2019</v>
      </c>
      <c r="F5518" s="1282" t="s">
        <v>20240</v>
      </c>
      <c r="G5518" s="1368">
        <v>83</v>
      </c>
      <c r="H5518" s="1178" t="s">
        <v>20224</v>
      </c>
      <c r="I5518" s="1178" t="s">
        <v>17350</v>
      </c>
      <c r="J5518" s="1178" t="s">
        <v>22883</v>
      </c>
      <c r="K5518" s="1178" t="s">
        <v>613</v>
      </c>
      <c r="L5518" s="1178" t="s">
        <v>614</v>
      </c>
      <c r="M5518" s="1369"/>
      <c r="N5518" s="1178"/>
      <c r="O5518" s="1178">
        <v>1</v>
      </c>
      <c r="P5518" s="1178">
        <v>13.8</v>
      </c>
    </row>
    <row r="5519" spans="1:16">
      <c r="A5519" s="1178" t="s">
        <v>616</v>
      </c>
      <c r="B5519" s="1371" t="str">
        <f>HYPERLINK(IFERROR("#Main_Tariff!A"&amp;MATCH(Raeburn_Main_Tariff[[#This Row],[Product Code]],Main_Tariff!I:I,0),"#Main_Tariff!A"&amp;MATCH("*"&amp;RIGHT(A5519,8)&amp;"*",Main_Tariff!A:A,0)),Raeburn_Main_Tariff[[#This Row],[PRODUCER]])</f>
        <v>Alkina</v>
      </c>
      <c r="C5519" s="1178" t="s">
        <v>22907</v>
      </c>
      <c r="D5519" s="1178" t="s">
        <v>897</v>
      </c>
      <c r="E5519" s="1179">
        <v>2019</v>
      </c>
      <c r="F5519" s="1282" t="s">
        <v>20220</v>
      </c>
      <c r="G5519" s="1368">
        <v>116</v>
      </c>
      <c r="H5519" s="1178" t="s">
        <v>20221</v>
      </c>
      <c r="I5519" s="1178" t="s">
        <v>17354</v>
      </c>
      <c r="J5519" s="1178" t="s">
        <v>22883</v>
      </c>
      <c r="K5519" s="1178" t="s">
        <v>613</v>
      </c>
      <c r="L5519" s="1178" t="s">
        <v>614</v>
      </c>
      <c r="M5519" s="1369"/>
      <c r="N5519" s="1178"/>
      <c r="O5519" s="1178">
        <v>3</v>
      </c>
      <c r="P5519" s="1178">
        <v>13.8</v>
      </c>
    </row>
    <row r="5520" spans="1:16">
      <c r="A5520" s="1178" t="s">
        <v>616</v>
      </c>
      <c r="B5520" s="1371" t="str">
        <f>HYPERLINK(IFERROR("#Main_Tariff!A"&amp;MATCH(Raeburn_Main_Tariff[[#This Row],[Product Code]],Main_Tariff!I:I,0),"#Main_Tariff!A"&amp;MATCH("*"&amp;RIGHT(A5520,8)&amp;"*",Main_Tariff!A:A,0)),Raeburn_Main_Tariff[[#This Row],[PRODUCER]])</f>
        <v>Alkina</v>
      </c>
      <c r="C5520" s="1178" t="s">
        <v>22908</v>
      </c>
      <c r="D5520" s="1178" t="s">
        <v>897</v>
      </c>
      <c r="E5520" s="1179">
        <v>2020</v>
      </c>
      <c r="F5520" s="1282" t="s">
        <v>20220</v>
      </c>
      <c r="G5520" s="1368">
        <v>105.5</v>
      </c>
      <c r="H5520" s="1178" t="s">
        <v>20221</v>
      </c>
      <c r="I5520" s="1178" t="s">
        <v>17356</v>
      </c>
      <c r="J5520" s="1178" t="s">
        <v>22883</v>
      </c>
      <c r="K5520" s="1178" t="s">
        <v>613</v>
      </c>
      <c r="L5520" s="1178" t="s">
        <v>614</v>
      </c>
      <c r="M5520" s="1369"/>
      <c r="N5520" s="1178"/>
      <c r="O5520" s="1178">
        <v>3</v>
      </c>
      <c r="P5520" s="1178">
        <v>13.3</v>
      </c>
    </row>
    <row r="5521" spans="1:16">
      <c r="A5521" s="1178" t="s">
        <v>616</v>
      </c>
      <c r="B5521" s="1371" t="str">
        <f>HYPERLINK(IFERROR("#Main_Tariff!A"&amp;MATCH(Raeburn_Main_Tariff[[#This Row],[Product Code]],Main_Tariff!I:I,0),"#Main_Tariff!A"&amp;MATCH("*"&amp;RIGHT(A5521,8)&amp;"*",Main_Tariff!A:A,0)),Raeburn_Main_Tariff[[#This Row],[PRODUCER]])</f>
        <v>Alkina</v>
      </c>
      <c r="C5521" s="1178" t="s">
        <v>22908</v>
      </c>
      <c r="D5521" s="1178" t="s">
        <v>897</v>
      </c>
      <c r="E5521" s="1179">
        <v>2019</v>
      </c>
      <c r="F5521" s="1282" t="s">
        <v>20220</v>
      </c>
      <c r="G5521" s="1368">
        <v>112</v>
      </c>
      <c r="H5521" s="1178" t="s">
        <v>20221</v>
      </c>
      <c r="I5521" s="1178" t="s">
        <v>17358</v>
      </c>
      <c r="J5521" s="1178" t="s">
        <v>22883</v>
      </c>
      <c r="K5521" s="1178" t="s">
        <v>613</v>
      </c>
      <c r="L5521" s="1178" t="s">
        <v>614</v>
      </c>
      <c r="M5521" s="1369"/>
      <c r="N5521" s="1178"/>
      <c r="O5521" s="1178">
        <v>3</v>
      </c>
      <c r="P5521" s="1178">
        <v>13.6</v>
      </c>
    </row>
    <row r="5522" spans="1:16">
      <c r="A5522" s="1178" t="s">
        <v>616</v>
      </c>
      <c r="B5522" s="1371" t="str">
        <f>HYPERLINK(IFERROR("#Main_Tariff!A"&amp;MATCH(Raeburn_Main_Tariff[[#This Row],[Product Code]],Main_Tariff!I:I,0),"#Main_Tariff!A"&amp;MATCH("*"&amp;RIGHT(A5522,8)&amp;"*",Main_Tariff!A:A,0)),Raeburn_Main_Tariff[[#This Row],[PRODUCER]])</f>
        <v>Alkina</v>
      </c>
      <c r="C5522" s="1178" t="s">
        <v>22908</v>
      </c>
      <c r="D5522" s="1178" t="s">
        <v>897</v>
      </c>
      <c r="E5522" s="1179">
        <v>2018</v>
      </c>
      <c r="F5522" s="1282" t="s">
        <v>20220</v>
      </c>
      <c r="G5522" s="1368">
        <v>116</v>
      </c>
      <c r="H5522" s="1178" t="s">
        <v>20221</v>
      </c>
      <c r="I5522" s="1178" t="s">
        <v>17360</v>
      </c>
      <c r="J5522" s="1178" t="s">
        <v>22883</v>
      </c>
      <c r="K5522" s="1178" t="s">
        <v>613</v>
      </c>
      <c r="L5522" s="1178" t="s">
        <v>614</v>
      </c>
      <c r="M5522" s="1369"/>
      <c r="N5522" s="1178"/>
      <c r="O5522" s="1178">
        <v>3</v>
      </c>
      <c r="P5522" s="1178">
        <v>13.8</v>
      </c>
    </row>
    <row r="5523" spans="1:16">
      <c r="A5523" s="1178" t="s">
        <v>616</v>
      </c>
      <c r="B5523" s="1371" t="str">
        <f>HYPERLINK(IFERROR("#Main_Tariff!A"&amp;MATCH(Raeburn_Main_Tariff[[#This Row],[Product Code]],Main_Tariff!I:I,0),"#Main_Tariff!A"&amp;MATCH("*"&amp;RIGHT(A5523,8)&amp;"*",Main_Tariff!A:A,0)),Raeburn_Main_Tariff[[#This Row],[PRODUCER]])</f>
        <v>Alkina</v>
      </c>
      <c r="C5523" s="1178" t="s">
        <v>22909</v>
      </c>
      <c r="D5523" s="1178" t="s">
        <v>897</v>
      </c>
      <c r="E5523" s="1179">
        <v>2020</v>
      </c>
      <c r="F5523" s="1282" t="s">
        <v>20220</v>
      </c>
      <c r="G5523" s="1368">
        <v>105.5</v>
      </c>
      <c r="H5523" s="1178" t="s">
        <v>20221</v>
      </c>
      <c r="I5523" s="1178" t="s">
        <v>17362</v>
      </c>
      <c r="J5523" s="1178" t="s">
        <v>22883</v>
      </c>
      <c r="K5523" s="1178" t="s">
        <v>613</v>
      </c>
      <c r="L5523" s="1178" t="s">
        <v>614</v>
      </c>
      <c r="M5523" s="1369"/>
      <c r="N5523" s="1178"/>
      <c r="O5523" s="1178">
        <v>3</v>
      </c>
      <c r="P5523" s="1178">
        <v>13.7</v>
      </c>
    </row>
    <row r="5524" spans="1:16">
      <c r="A5524" s="1178" t="s">
        <v>616</v>
      </c>
      <c r="B5524" s="1371" t="str">
        <f>HYPERLINK(IFERROR("#Main_Tariff!A"&amp;MATCH(Raeburn_Main_Tariff[[#This Row],[Product Code]],Main_Tariff!I:I,0),"#Main_Tariff!A"&amp;MATCH("*"&amp;RIGHT(A5524,8)&amp;"*",Main_Tariff!A:A,0)),Raeburn_Main_Tariff[[#This Row],[PRODUCER]])</f>
        <v>Alkina</v>
      </c>
      <c r="C5524" s="1178" t="s">
        <v>22909</v>
      </c>
      <c r="D5524" s="1178" t="s">
        <v>897</v>
      </c>
      <c r="E5524" s="1179">
        <v>2019</v>
      </c>
      <c r="F5524" s="1282" t="s">
        <v>20220</v>
      </c>
      <c r="G5524" s="1368">
        <v>112</v>
      </c>
      <c r="H5524" s="1178" t="s">
        <v>20221</v>
      </c>
      <c r="I5524" s="1178" t="s">
        <v>17364</v>
      </c>
      <c r="J5524" s="1178" t="s">
        <v>22883</v>
      </c>
      <c r="K5524" s="1178" t="s">
        <v>613</v>
      </c>
      <c r="L5524" s="1178" t="s">
        <v>614</v>
      </c>
      <c r="M5524" s="1369"/>
      <c r="N5524" s="1178"/>
      <c r="O5524" s="1178">
        <v>3</v>
      </c>
      <c r="P5524" s="1178">
        <v>14</v>
      </c>
    </row>
    <row r="5525" spans="1:16">
      <c r="A5525" s="1178" t="s">
        <v>616</v>
      </c>
      <c r="B5525" s="1371" t="str">
        <f>HYPERLINK(IFERROR("#Main_Tariff!A"&amp;MATCH(Raeburn_Main_Tariff[[#This Row],[Product Code]],Main_Tariff!I:I,0),"#Main_Tariff!A"&amp;MATCH("*"&amp;RIGHT(A5525,8)&amp;"*",Main_Tariff!A:A,0)),Raeburn_Main_Tariff[[#This Row],[PRODUCER]])</f>
        <v>Alkina</v>
      </c>
      <c r="C5525" s="1178" t="s">
        <v>22909</v>
      </c>
      <c r="D5525" s="1178" t="s">
        <v>897</v>
      </c>
      <c r="E5525" s="1179">
        <v>2018</v>
      </c>
      <c r="F5525" s="1282" t="s">
        <v>20220</v>
      </c>
      <c r="G5525" s="1368">
        <v>116</v>
      </c>
      <c r="H5525" s="1178" t="s">
        <v>20221</v>
      </c>
      <c r="I5525" s="1178" t="s">
        <v>17366</v>
      </c>
      <c r="J5525" s="1178" t="s">
        <v>22883</v>
      </c>
      <c r="K5525" s="1178" t="s">
        <v>613</v>
      </c>
      <c r="L5525" s="1178" t="s">
        <v>614</v>
      </c>
      <c r="M5525" s="1369"/>
      <c r="N5525" s="1178"/>
      <c r="O5525" s="1178">
        <v>3</v>
      </c>
      <c r="P5525" s="1178">
        <v>13.8</v>
      </c>
    </row>
    <row r="5526" spans="1:16">
      <c r="A5526" s="1178" t="s">
        <v>616</v>
      </c>
      <c r="B5526" s="1371" t="str">
        <f>HYPERLINK(IFERROR("#Main_Tariff!A"&amp;MATCH(Raeburn_Main_Tariff[[#This Row],[Product Code]],Main_Tariff!I:I,0),"#Main_Tariff!A"&amp;MATCH("*"&amp;RIGHT(A5526,8)&amp;"*",Main_Tariff!A:A,0)),Raeburn_Main_Tariff[[#This Row],[PRODUCER]])</f>
        <v>Alkina</v>
      </c>
      <c r="C5526" s="1178" t="s">
        <v>22910</v>
      </c>
      <c r="D5526" s="1178" t="s">
        <v>897</v>
      </c>
      <c r="E5526" s="1179">
        <v>2019</v>
      </c>
      <c r="F5526" s="1282" t="s">
        <v>20240</v>
      </c>
      <c r="G5526" s="1368">
        <v>212</v>
      </c>
      <c r="H5526" s="1178" t="s">
        <v>20224</v>
      </c>
      <c r="I5526" s="1178" t="s">
        <v>17370</v>
      </c>
      <c r="J5526" s="1178" t="s">
        <v>22883</v>
      </c>
      <c r="K5526" s="1178" t="s">
        <v>613</v>
      </c>
      <c r="L5526" s="1178" t="s">
        <v>614</v>
      </c>
      <c r="M5526" s="1369"/>
      <c r="N5526" s="1178"/>
      <c r="O5526" s="1178">
        <v>1</v>
      </c>
      <c r="P5526" s="1178">
        <v>13.8</v>
      </c>
    </row>
    <row r="5527" spans="1:16">
      <c r="A5527" s="1178" t="s">
        <v>616</v>
      </c>
      <c r="B5527" s="1371" t="str">
        <f>HYPERLINK(IFERROR("#Main_Tariff!A"&amp;MATCH(Raeburn_Main_Tariff[[#This Row],[Product Code]],Main_Tariff!I:I,0),"#Main_Tariff!A"&amp;MATCH("*"&amp;RIGHT(A5527,8)&amp;"*",Main_Tariff!A:A,0)),Raeburn_Main_Tariff[[#This Row],[PRODUCER]])</f>
        <v>Alkina</v>
      </c>
      <c r="C5527" s="1178" t="s">
        <v>22911</v>
      </c>
      <c r="D5527" s="1178" t="s">
        <v>897</v>
      </c>
      <c r="E5527" s="1179">
        <v>2020</v>
      </c>
      <c r="F5527" s="1282" t="s">
        <v>20240</v>
      </c>
      <c r="G5527" s="1368">
        <v>212</v>
      </c>
      <c r="H5527" s="1178" t="s">
        <v>20224</v>
      </c>
      <c r="I5527" s="1178" t="s">
        <v>17372</v>
      </c>
      <c r="J5527" s="1178" t="s">
        <v>22883</v>
      </c>
      <c r="K5527" s="1178" t="s">
        <v>613</v>
      </c>
      <c r="L5527" s="1178" t="s">
        <v>614</v>
      </c>
      <c r="M5527" s="1369"/>
      <c r="N5527" s="1178"/>
      <c r="O5527" s="1178">
        <v>3</v>
      </c>
      <c r="P5527" s="1178">
        <v>13.3</v>
      </c>
    </row>
    <row r="5528" spans="1:16">
      <c r="A5528" s="1178" t="s">
        <v>616</v>
      </c>
      <c r="B5528" s="1371" t="str">
        <f>HYPERLINK(IFERROR("#Main_Tariff!A"&amp;MATCH(Raeburn_Main_Tariff[[#This Row],[Product Code]],Main_Tariff!I:I,0),"#Main_Tariff!A"&amp;MATCH("*"&amp;RIGHT(A5528,8)&amp;"*",Main_Tariff!A:A,0)),Raeburn_Main_Tariff[[#This Row],[PRODUCER]])</f>
        <v>Alkina</v>
      </c>
      <c r="C5528" s="1178" t="s">
        <v>22911</v>
      </c>
      <c r="D5528" s="1178" t="s">
        <v>897</v>
      </c>
      <c r="E5528" s="1179">
        <v>2019</v>
      </c>
      <c r="F5528" s="1282" t="s">
        <v>20240</v>
      </c>
      <c r="G5528" s="1368">
        <v>227</v>
      </c>
      <c r="H5528" s="1178" t="s">
        <v>20224</v>
      </c>
      <c r="I5528" s="1178" t="s">
        <v>17373</v>
      </c>
      <c r="J5528" s="1178" t="s">
        <v>22883</v>
      </c>
      <c r="K5528" s="1178" t="s">
        <v>613</v>
      </c>
      <c r="L5528" s="1178" t="s">
        <v>614</v>
      </c>
      <c r="M5528" s="1369"/>
      <c r="N5528" s="1178"/>
      <c r="O5528" s="1178">
        <v>1</v>
      </c>
      <c r="P5528" s="1178">
        <v>13.5</v>
      </c>
    </row>
    <row r="5529" spans="1:16">
      <c r="A5529" s="1178" t="s">
        <v>616</v>
      </c>
      <c r="B5529" s="1371" t="str">
        <f>HYPERLINK(IFERROR("#Main_Tariff!A"&amp;MATCH(Raeburn_Main_Tariff[[#This Row],[Product Code]],Main_Tariff!I:I,0),"#Main_Tariff!A"&amp;MATCH("*"&amp;RIGHT(A5529,8)&amp;"*",Main_Tariff!A:A,0)),Raeburn_Main_Tariff[[#This Row],[PRODUCER]])</f>
        <v>Alkina</v>
      </c>
      <c r="C5529" s="1178" t="s">
        <v>22911</v>
      </c>
      <c r="D5529" s="1178" t="s">
        <v>897</v>
      </c>
      <c r="E5529" s="1179">
        <v>2018</v>
      </c>
      <c r="F5529" s="1282" t="s">
        <v>20240</v>
      </c>
      <c r="G5529" s="1368">
        <v>235</v>
      </c>
      <c r="H5529" s="1178" t="s">
        <v>20224</v>
      </c>
      <c r="I5529" s="1178" t="s">
        <v>17375</v>
      </c>
      <c r="J5529" s="1178" t="s">
        <v>22883</v>
      </c>
      <c r="K5529" s="1178" t="s">
        <v>613</v>
      </c>
      <c r="L5529" s="1178" t="s">
        <v>614</v>
      </c>
      <c r="M5529" s="1369"/>
      <c r="N5529" s="1178"/>
      <c r="O5529" s="1178">
        <v>1</v>
      </c>
      <c r="P5529" s="1178">
        <v>13.8</v>
      </c>
    </row>
    <row r="5530" spans="1:16">
      <c r="A5530" s="1178" t="s">
        <v>616</v>
      </c>
      <c r="B5530" s="1371" t="str">
        <f>HYPERLINK(IFERROR("#Main_Tariff!A"&amp;MATCH(Raeburn_Main_Tariff[[#This Row],[Product Code]],Main_Tariff!I:I,0),"#Main_Tariff!A"&amp;MATCH("*"&amp;RIGHT(A5530,8)&amp;"*",Main_Tariff!A:A,0)),Raeburn_Main_Tariff[[#This Row],[PRODUCER]])</f>
        <v>Alkina</v>
      </c>
      <c r="C5530" s="1178" t="s">
        <v>22912</v>
      </c>
      <c r="D5530" s="1178" t="s">
        <v>897</v>
      </c>
      <c r="E5530" s="1179">
        <v>2020</v>
      </c>
      <c r="F5530" s="1282" t="s">
        <v>20240</v>
      </c>
      <c r="G5530" s="1368">
        <v>212</v>
      </c>
      <c r="H5530" s="1178" t="s">
        <v>20224</v>
      </c>
      <c r="I5530" s="1178" t="s">
        <v>17377</v>
      </c>
      <c r="J5530" s="1178" t="s">
        <v>22883</v>
      </c>
      <c r="K5530" s="1178" t="s">
        <v>613</v>
      </c>
      <c r="L5530" s="1178" t="s">
        <v>614</v>
      </c>
      <c r="M5530" s="1369"/>
      <c r="N5530" s="1178"/>
      <c r="O5530" s="1178">
        <v>3</v>
      </c>
      <c r="P5530" s="1178">
        <v>13.7</v>
      </c>
    </row>
    <row r="5531" spans="1:16">
      <c r="A5531" s="1178" t="s">
        <v>616</v>
      </c>
      <c r="B5531" s="1371" t="str">
        <f>HYPERLINK(IFERROR("#Main_Tariff!A"&amp;MATCH(Raeburn_Main_Tariff[[#This Row],[Product Code]],Main_Tariff!I:I,0),"#Main_Tariff!A"&amp;MATCH("*"&amp;RIGHT(A5531,8)&amp;"*",Main_Tariff!A:A,0)),Raeburn_Main_Tariff[[#This Row],[PRODUCER]])</f>
        <v>Alkina</v>
      </c>
      <c r="C5531" s="1178" t="s">
        <v>22912</v>
      </c>
      <c r="D5531" s="1178" t="s">
        <v>897</v>
      </c>
      <c r="E5531" s="1179">
        <v>2019</v>
      </c>
      <c r="F5531" s="1282" t="s">
        <v>20240</v>
      </c>
      <c r="G5531" s="1368">
        <v>227</v>
      </c>
      <c r="H5531" s="1178" t="s">
        <v>20224</v>
      </c>
      <c r="I5531" s="1178" t="s">
        <v>17379</v>
      </c>
      <c r="J5531" s="1178" t="s">
        <v>22883</v>
      </c>
      <c r="K5531" s="1178" t="s">
        <v>613</v>
      </c>
      <c r="L5531" s="1178" t="s">
        <v>614</v>
      </c>
      <c r="M5531" s="1369"/>
      <c r="N5531" s="1178"/>
      <c r="O5531" s="1178">
        <v>1</v>
      </c>
      <c r="P5531" s="1178">
        <v>14</v>
      </c>
    </row>
    <row r="5532" spans="1:16">
      <c r="A5532" s="1178" t="s">
        <v>616</v>
      </c>
      <c r="B5532" s="1371" t="str">
        <f>HYPERLINK(IFERROR("#Main_Tariff!A"&amp;MATCH(Raeburn_Main_Tariff[[#This Row],[Product Code]],Main_Tariff!I:I,0),"#Main_Tariff!A"&amp;MATCH("*"&amp;RIGHT(A5532,8)&amp;"*",Main_Tariff!A:A,0)),Raeburn_Main_Tariff[[#This Row],[PRODUCER]])</f>
        <v>Alkina</v>
      </c>
      <c r="C5532" s="1178" t="s">
        <v>22912</v>
      </c>
      <c r="D5532" s="1178" t="s">
        <v>897</v>
      </c>
      <c r="E5532" s="1179">
        <v>2018</v>
      </c>
      <c r="F5532" s="1282" t="s">
        <v>20240</v>
      </c>
      <c r="G5532" s="1368">
        <v>235</v>
      </c>
      <c r="H5532" s="1178" t="s">
        <v>20224</v>
      </c>
      <c r="I5532" s="1178" t="s">
        <v>17381</v>
      </c>
      <c r="J5532" s="1178" t="s">
        <v>22883</v>
      </c>
      <c r="K5532" s="1178" t="s">
        <v>613</v>
      </c>
      <c r="L5532" s="1178" t="s">
        <v>614</v>
      </c>
      <c r="M5532" s="1369"/>
      <c r="N5532" s="1178"/>
      <c r="O5532" s="1178">
        <v>1</v>
      </c>
      <c r="P5532" s="1178">
        <v>13.8</v>
      </c>
    </row>
    <row r="5533" spans="1:16">
      <c r="A5533" s="1178" t="s">
        <v>22913</v>
      </c>
      <c r="B5533" s="1371" t="str">
        <f>HYPERLINK(IFERROR("#Main_Tariff!A"&amp;MATCH(Raeburn_Main_Tariff[[#This Row],[Product Code]],Main_Tariff!I:I,0),"#Main_Tariff!A"&amp;MATCH("*"&amp;RIGHT(A5533,8)&amp;"*",Main_Tariff!A:A,0)),Raeburn_Main_Tariff[[#This Row],[PRODUCER]])</f>
        <v>Powell &amp; Son/Neldner Road</v>
      </c>
      <c r="C5533" s="1178" t="s">
        <v>22914</v>
      </c>
      <c r="D5533" s="1178" t="s">
        <v>1129</v>
      </c>
      <c r="E5533" s="1179">
        <v>2017</v>
      </c>
      <c r="F5533" s="1282" t="s">
        <v>20220</v>
      </c>
      <c r="G5533" s="1368">
        <v>20.5</v>
      </c>
      <c r="H5533" s="1178" t="s">
        <v>20221</v>
      </c>
      <c r="I5533" s="1178" t="s">
        <v>17527</v>
      </c>
      <c r="J5533" s="1178" t="s">
        <v>22883</v>
      </c>
      <c r="K5533" s="1178" t="s">
        <v>613</v>
      </c>
      <c r="L5533" s="1178" t="s">
        <v>614</v>
      </c>
      <c r="M5533" s="1369"/>
      <c r="N5533" s="1178"/>
      <c r="O5533" s="1178">
        <v>6</v>
      </c>
      <c r="P5533" s="1178">
        <v>12.5</v>
      </c>
    </row>
    <row r="5534" spans="1:16">
      <c r="A5534" s="1178" t="s">
        <v>22913</v>
      </c>
      <c r="B5534" s="1371" t="str">
        <f>HYPERLINK(IFERROR("#Main_Tariff!A"&amp;MATCH(Raeburn_Main_Tariff[[#This Row],[Product Code]],Main_Tariff!I:I,0),"#Main_Tariff!A"&amp;MATCH("*"&amp;RIGHT(A5534,8)&amp;"*",Main_Tariff!A:A,0)),Raeburn_Main_Tariff[[#This Row],[PRODUCER]])</f>
        <v>Powell &amp; Son/Neldner Road</v>
      </c>
      <c r="C5534" s="1178" t="s">
        <v>22915</v>
      </c>
      <c r="D5534" s="1178" t="s">
        <v>1129</v>
      </c>
      <c r="E5534" s="1179">
        <v>2017</v>
      </c>
      <c r="F5534" s="1282" t="s">
        <v>20220</v>
      </c>
      <c r="G5534" s="1368">
        <v>29.5</v>
      </c>
      <c r="H5534" s="1178" t="s">
        <v>20277</v>
      </c>
      <c r="I5534" s="1178" t="s">
        <v>17529</v>
      </c>
      <c r="J5534" s="1178" t="s">
        <v>22883</v>
      </c>
      <c r="K5534" s="1178" t="s">
        <v>613</v>
      </c>
      <c r="L5534" s="1178" t="s">
        <v>614</v>
      </c>
      <c r="M5534" s="1369"/>
      <c r="N5534" s="1178"/>
      <c r="O5534" s="1178">
        <v>6</v>
      </c>
      <c r="P5534" s="1178">
        <v>14</v>
      </c>
    </row>
    <row r="5535" spans="1:16">
      <c r="A5535" s="1178" t="s">
        <v>22913</v>
      </c>
      <c r="B5535" s="1371" t="str">
        <f>HYPERLINK(IFERROR("#Main_Tariff!A"&amp;MATCH(Raeburn_Main_Tariff[[#This Row],[Product Code]],Main_Tariff!I:I,0),"#Main_Tariff!A"&amp;MATCH("*"&amp;RIGHT(A5535,8)&amp;"*",Main_Tariff!A:A,0)),Raeburn_Main_Tariff[[#This Row],[PRODUCER]])</f>
        <v>Powell &amp; Son/Neldner Road</v>
      </c>
      <c r="C5535" s="1178" t="s">
        <v>22916</v>
      </c>
      <c r="D5535" s="1178" t="s">
        <v>897</v>
      </c>
      <c r="E5535" s="1179">
        <v>2019</v>
      </c>
      <c r="F5535" s="1282" t="s">
        <v>20220</v>
      </c>
      <c r="G5535" s="1368">
        <v>16</v>
      </c>
      <c r="H5535" s="1178" t="s">
        <v>20221</v>
      </c>
      <c r="I5535" s="1178" t="s">
        <v>17533</v>
      </c>
      <c r="J5535" s="1178" t="s">
        <v>22883</v>
      </c>
      <c r="K5535" s="1178" t="s">
        <v>613</v>
      </c>
      <c r="L5535" s="1178" t="s">
        <v>614</v>
      </c>
      <c r="M5535" s="1369"/>
      <c r="N5535" s="1178"/>
      <c r="O5535" s="1178">
        <v>12</v>
      </c>
      <c r="P5535" s="1178">
        <v>14.5</v>
      </c>
    </row>
    <row r="5536" spans="1:16">
      <c r="A5536" s="1178" t="s">
        <v>22913</v>
      </c>
      <c r="B5536" s="1371" t="str">
        <f>HYPERLINK(IFERROR("#Main_Tariff!A"&amp;MATCH(Raeburn_Main_Tariff[[#This Row],[Product Code]],Main_Tariff!I:I,0),"#Main_Tariff!A"&amp;MATCH("*"&amp;RIGHT(A5536,8)&amp;"*",Main_Tariff!A:A,0)),Raeburn_Main_Tariff[[#This Row],[PRODUCER]])</f>
        <v>Powell &amp; Son/Neldner Road</v>
      </c>
      <c r="C5536" s="1178" t="s">
        <v>22917</v>
      </c>
      <c r="D5536" s="1178" t="s">
        <v>897</v>
      </c>
      <c r="E5536" s="1179">
        <v>2017</v>
      </c>
      <c r="F5536" s="1282" t="s">
        <v>20220</v>
      </c>
      <c r="G5536" s="1368">
        <v>29.5</v>
      </c>
      <c r="H5536" s="1178" t="s">
        <v>20221</v>
      </c>
      <c r="I5536" s="1178" t="s">
        <v>17535</v>
      </c>
      <c r="J5536" s="1178" t="s">
        <v>22883</v>
      </c>
      <c r="K5536" s="1178" t="s">
        <v>613</v>
      </c>
      <c r="L5536" s="1178" t="s">
        <v>614</v>
      </c>
      <c r="M5536" s="1369"/>
      <c r="N5536" s="1178"/>
      <c r="O5536" s="1178">
        <v>6</v>
      </c>
      <c r="P5536" s="1178">
        <v>14.5</v>
      </c>
    </row>
    <row r="5537" spans="1:16">
      <c r="A5537" s="1178" t="s">
        <v>22913</v>
      </c>
      <c r="B5537" s="1371" t="str">
        <f>HYPERLINK(IFERROR("#Main_Tariff!A"&amp;MATCH(Raeburn_Main_Tariff[[#This Row],[Product Code]],Main_Tariff!I:I,0),"#Main_Tariff!A"&amp;MATCH("*"&amp;RIGHT(A5537,8)&amp;"*",Main_Tariff!A:A,0)),Raeburn_Main_Tariff[[#This Row],[PRODUCER]])</f>
        <v>Powell &amp; Son/Neldner Road</v>
      </c>
      <c r="C5537" s="1178" t="s">
        <v>22918</v>
      </c>
      <c r="D5537" s="1178" t="s">
        <v>897</v>
      </c>
      <c r="E5537" s="1179">
        <v>2016</v>
      </c>
      <c r="F5537" s="1282" t="s">
        <v>20220</v>
      </c>
      <c r="G5537" s="1368">
        <v>29.5</v>
      </c>
      <c r="H5537" s="1178" t="s">
        <v>20277</v>
      </c>
      <c r="I5537" s="1178" t="s">
        <v>17537</v>
      </c>
      <c r="J5537" s="1178" t="s">
        <v>22883</v>
      </c>
      <c r="K5537" s="1178" t="s">
        <v>613</v>
      </c>
      <c r="L5537" s="1178" t="s">
        <v>614</v>
      </c>
      <c r="M5537" s="1369"/>
      <c r="N5537" s="1178"/>
      <c r="O5537" s="1178">
        <v>6</v>
      </c>
      <c r="P5537" s="1178">
        <v>14.5</v>
      </c>
    </row>
    <row r="5538" spans="1:16">
      <c r="A5538" s="1178" t="s">
        <v>22913</v>
      </c>
      <c r="B5538" s="1371" t="str">
        <f>HYPERLINK(IFERROR("#Main_Tariff!A"&amp;MATCH(Raeburn_Main_Tariff[[#This Row],[Product Code]],Main_Tariff!I:I,0),"#Main_Tariff!A"&amp;MATCH("*"&amp;RIGHT(A5538,8)&amp;"*",Main_Tariff!A:A,0)),Raeburn_Main_Tariff[[#This Row],[PRODUCER]])</f>
        <v>Powell &amp; Son/Neldner Road</v>
      </c>
      <c r="C5538" s="1178" t="s">
        <v>22919</v>
      </c>
      <c r="D5538" s="1178" t="s">
        <v>897</v>
      </c>
      <c r="E5538" s="1179">
        <v>2017</v>
      </c>
      <c r="F5538" s="1282" t="s">
        <v>20220</v>
      </c>
      <c r="G5538" s="1368">
        <v>135.5</v>
      </c>
      <c r="H5538" s="1178" t="s">
        <v>20221</v>
      </c>
      <c r="I5538" s="1178" t="s">
        <v>17539</v>
      </c>
      <c r="J5538" s="1178" t="s">
        <v>22883</v>
      </c>
      <c r="K5538" s="1178" t="s">
        <v>613</v>
      </c>
      <c r="L5538" s="1178" t="s">
        <v>614</v>
      </c>
      <c r="M5538" s="1369"/>
      <c r="N5538" s="1178"/>
      <c r="O5538" s="1178">
        <v>6</v>
      </c>
      <c r="P5538" s="1178">
        <v>15</v>
      </c>
    </row>
    <row r="5539" spans="1:16">
      <c r="A5539" s="1178" t="s">
        <v>22913</v>
      </c>
      <c r="B5539" s="1371" t="str">
        <f>HYPERLINK(IFERROR("#Main_Tariff!A"&amp;MATCH(Raeburn_Main_Tariff[[#This Row],[Product Code]],Main_Tariff!I:I,0),"#Main_Tariff!A"&amp;MATCH("*"&amp;RIGHT(A5539,8)&amp;"*",Main_Tariff!A:A,0)),Raeburn_Main_Tariff[[#This Row],[PRODUCER]])</f>
        <v>Powell &amp; Son/Neldner Road</v>
      </c>
      <c r="C5539" s="1178" t="s">
        <v>22919</v>
      </c>
      <c r="D5539" s="1178" t="s">
        <v>897</v>
      </c>
      <c r="E5539" s="1179">
        <v>2016</v>
      </c>
      <c r="F5539" s="1282" t="s">
        <v>20220</v>
      </c>
      <c r="G5539" s="1368">
        <v>135.5</v>
      </c>
      <c r="H5539" s="1178" t="s">
        <v>20221</v>
      </c>
      <c r="I5539" s="1178" t="s">
        <v>17541</v>
      </c>
      <c r="J5539" s="1178" t="s">
        <v>22883</v>
      </c>
      <c r="K5539" s="1178" t="s">
        <v>613</v>
      </c>
      <c r="L5539" s="1178" t="s">
        <v>614</v>
      </c>
      <c r="M5539" s="1369"/>
      <c r="N5539" s="1178"/>
      <c r="O5539" s="1178">
        <v>6</v>
      </c>
      <c r="P5539" s="1178">
        <v>14.5</v>
      </c>
    </row>
    <row r="5540" spans="1:16">
      <c r="A5540" s="1178" t="s">
        <v>22913</v>
      </c>
      <c r="B5540" s="1371" t="str">
        <f>HYPERLINK(IFERROR("#Main_Tariff!A"&amp;MATCH(Raeburn_Main_Tariff[[#This Row],[Product Code]],Main_Tariff!I:I,0),"#Main_Tariff!A"&amp;MATCH("*"&amp;RIGHT(A5540,8)&amp;"*",Main_Tariff!A:A,0)),Raeburn_Main_Tariff[[#This Row],[PRODUCER]])</f>
        <v>Powell &amp; Son/Neldner Road</v>
      </c>
      <c r="C5540" s="1178" t="s">
        <v>22920</v>
      </c>
      <c r="D5540" s="1178" t="s">
        <v>897</v>
      </c>
      <c r="E5540" s="1179">
        <v>2017</v>
      </c>
      <c r="F5540" s="1282" t="s">
        <v>20220</v>
      </c>
      <c r="G5540" s="1368">
        <v>146.5</v>
      </c>
      <c r="H5540" s="1178" t="s">
        <v>20221</v>
      </c>
      <c r="I5540" s="1178" t="s">
        <v>17542</v>
      </c>
      <c r="J5540" s="1178" t="s">
        <v>22883</v>
      </c>
      <c r="K5540" s="1178" t="s">
        <v>613</v>
      </c>
      <c r="L5540" s="1178" t="s">
        <v>614</v>
      </c>
      <c r="M5540" s="1369"/>
      <c r="N5540" s="1178"/>
      <c r="O5540" s="1178">
        <v>6</v>
      </c>
      <c r="P5540" s="1178">
        <v>13</v>
      </c>
    </row>
    <row r="5541" spans="1:16">
      <c r="A5541" s="1178" t="s">
        <v>22913</v>
      </c>
      <c r="B5541" s="1371" t="str">
        <f>HYPERLINK(IFERROR("#Main_Tariff!A"&amp;MATCH(Raeburn_Main_Tariff[[#This Row],[Product Code]],Main_Tariff!I:I,0),"#Main_Tariff!A"&amp;MATCH("*"&amp;RIGHT(A5541,8)&amp;"*",Main_Tariff!A:A,0)),Raeburn_Main_Tariff[[#This Row],[PRODUCER]])</f>
        <v>Powell &amp; Son/Neldner Road</v>
      </c>
      <c r="C5541" s="1178" t="s">
        <v>22920</v>
      </c>
      <c r="D5541" s="1178" t="s">
        <v>897</v>
      </c>
      <c r="E5541" s="1179">
        <v>2016</v>
      </c>
      <c r="F5541" s="1282" t="s">
        <v>20220</v>
      </c>
      <c r="G5541" s="1368">
        <v>146.5</v>
      </c>
      <c r="H5541" s="1178" t="s">
        <v>20221</v>
      </c>
      <c r="I5541" s="1178" t="s">
        <v>17544</v>
      </c>
      <c r="J5541" s="1178" t="s">
        <v>22883</v>
      </c>
      <c r="K5541" s="1178" t="s">
        <v>613</v>
      </c>
      <c r="L5541" s="1178" t="s">
        <v>614</v>
      </c>
      <c r="M5541" s="1369"/>
      <c r="N5541" s="1178"/>
      <c r="O5541" s="1178">
        <v>6</v>
      </c>
      <c r="P5541" s="1178">
        <v>14.5</v>
      </c>
    </row>
    <row r="5542" spans="1:16">
      <c r="A5542" s="1178" t="s">
        <v>22913</v>
      </c>
      <c r="B5542" s="1371" t="str">
        <f>HYPERLINK(IFERROR("#Main_Tariff!A"&amp;MATCH(Raeburn_Main_Tariff[[#This Row],[Product Code]],Main_Tariff!I:I,0),"#Main_Tariff!A"&amp;MATCH("*"&amp;RIGHT(A5542,8)&amp;"*",Main_Tariff!A:A,0)),Raeburn_Main_Tariff[[#This Row],[PRODUCER]])</f>
        <v>Powell &amp; Son/Neldner Road</v>
      </c>
      <c r="C5542" s="1178" t="s">
        <v>22921</v>
      </c>
      <c r="D5542" s="1178" t="s">
        <v>897</v>
      </c>
      <c r="E5542" s="1179">
        <v>2016</v>
      </c>
      <c r="F5542" s="1282" t="s">
        <v>20220</v>
      </c>
      <c r="G5542" s="1368">
        <v>20.5</v>
      </c>
      <c r="H5542" s="1178" t="s">
        <v>20221</v>
      </c>
      <c r="I5542" s="1178" t="s">
        <v>17547</v>
      </c>
      <c r="J5542" s="1178" t="s">
        <v>22883</v>
      </c>
      <c r="K5542" s="1178" t="s">
        <v>613</v>
      </c>
      <c r="L5542" s="1178" t="s">
        <v>614</v>
      </c>
      <c r="M5542" s="1369"/>
      <c r="N5542" s="1178"/>
      <c r="O5542" s="1178">
        <v>6</v>
      </c>
      <c r="P5542" s="1178">
        <v>14.5</v>
      </c>
    </row>
    <row r="5543" spans="1:16">
      <c r="A5543" s="1178" t="s">
        <v>22913</v>
      </c>
      <c r="B5543" s="1371" t="str">
        <f>HYPERLINK(IFERROR("#Main_Tariff!A"&amp;MATCH(Raeburn_Main_Tariff[[#This Row],[Product Code]],Main_Tariff!I:I,0),"#Main_Tariff!A"&amp;MATCH("*"&amp;RIGHT(A5543,8)&amp;"*",Main_Tariff!A:A,0)),Raeburn_Main_Tariff[[#This Row],[PRODUCER]])</f>
        <v>Powell &amp; Son/Neldner Road</v>
      </c>
      <c r="C5543" s="1178" t="s">
        <v>22922</v>
      </c>
      <c r="D5543" s="1178" t="s">
        <v>897</v>
      </c>
      <c r="E5543" s="1179">
        <v>2019</v>
      </c>
      <c r="F5543" s="1282" t="s">
        <v>20220</v>
      </c>
      <c r="G5543" s="1368">
        <v>30</v>
      </c>
      <c r="H5543" s="1178" t="s">
        <v>20221</v>
      </c>
      <c r="I5543" s="1178" t="s">
        <v>17549</v>
      </c>
      <c r="J5543" s="1178" t="s">
        <v>22883</v>
      </c>
      <c r="K5543" s="1178" t="s">
        <v>613</v>
      </c>
      <c r="L5543" s="1178" t="s">
        <v>614</v>
      </c>
      <c r="M5543" s="1369"/>
      <c r="N5543" s="1178"/>
      <c r="O5543" s="1178">
        <v>6</v>
      </c>
      <c r="P5543" s="1178">
        <v>14.5</v>
      </c>
    </row>
    <row r="5544" spans="1:16">
      <c r="A5544" s="1178" t="s">
        <v>22913</v>
      </c>
      <c r="B5544" s="1371" t="str">
        <f>HYPERLINK(IFERROR("#Main_Tariff!A"&amp;MATCH(Raeburn_Main_Tariff[[#This Row],[Product Code]],Main_Tariff!I:I,0),"#Main_Tariff!A"&amp;MATCH("*"&amp;RIGHT(A5544,8)&amp;"*",Main_Tariff!A:A,0)),Raeburn_Main_Tariff[[#This Row],[PRODUCER]])</f>
        <v>Powell &amp; Son/Neldner Road</v>
      </c>
      <c r="C5544" s="1178" t="s">
        <v>22922</v>
      </c>
      <c r="D5544" s="1178" t="s">
        <v>897</v>
      </c>
      <c r="E5544" s="1179">
        <v>2017</v>
      </c>
      <c r="F5544" s="1282" t="s">
        <v>20220</v>
      </c>
      <c r="G5544" s="1368">
        <v>29</v>
      </c>
      <c r="H5544" s="1178" t="s">
        <v>20277</v>
      </c>
      <c r="I5544" s="1178" t="s">
        <v>17551</v>
      </c>
      <c r="J5544" s="1178" t="s">
        <v>22883</v>
      </c>
      <c r="K5544" s="1178" t="s">
        <v>613</v>
      </c>
      <c r="L5544" s="1178" t="s">
        <v>614</v>
      </c>
      <c r="M5544" s="1369"/>
      <c r="N5544" s="1178"/>
      <c r="O5544" s="1178">
        <v>6</v>
      </c>
      <c r="P5544" s="1178">
        <v>14.5</v>
      </c>
    </row>
    <row r="5545" spans="1:16">
      <c r="A5545" s="1178" t="s">
        <v>22913</v>
      </c>
      <c r="B5545" s="1371" t="str">
        <f>HYPERLINK(IFERROR("#Main_Tariff!A"&amp;MATCH(Raeburn_Main_Tariff[[#This Row],[Product Code]],Main_Tariff!I:I,0),"#Main_Tariff!A"&amp;MATCH("*"&amp;RIGHT(A5545,8)&amp;"*",Main_Tariff!A:A,0)),Raeburn_Main_Tariff[[#This Row],[PRODUCER]])</f>
        <v>Powell &amp; Son/Neldner Road</v>
      </c>
      <c r="C5545" s="1178" t="s">
        <v>22923</v>
      </c>
      <c r="D5545" s="1178" t="s">
        <v>897</v>
      </c>
      <c r="E5545" s="1179">
        <v>2019</v>
      </c>
      <c r="F5545" s="1282" t="s">
        <v>20220</v>
      </c>
      <c r="G5545" s="1368">
        <v>71</v>
      </c>
      <c r="H5545" s="1178" t="s">
        <v>20221</v>
      </c>
      <c r="I5545" s="1178" t="s">
        <v>17553</v>
      </c>
      <c r="J5545" s="1178" t="s">
        <v>22883</v>
      </c>
      <c r="K5545" s="1178" t="s">
        <v>613</v>
      </c>
      <c r="L5545" s="1178" t="s">
        <v>614</v>
      </c>
      <c r="M5545" s="1369"/>
      <c r="N5545" s="1178"/>
      <c r="O5545" s="1178">
        <v>6</v>
      </c>
      <c r="P5545" s="1178">
        <v>15</v>
      </c>
    </row>
    <row r="5546" spans="1:16">
      <c r="A5546" s="1178" t="s">
        <v>22913</v>
      </c>
      <c r="B5546" s="1371" t="str">
        <f>HYPERLINK(IFERROR("#Main_Tariff!A"&amp;MATCH(Raeburn_Main_Tariff[[#This Row],[Product Code]],Main_Tariff!I:I,0),"#Main_Tariff!A"&amp;MATCH("*"&amp;RIGHT(A5546,8)&amp;"*",Main_Tariff!A:A,0)),Raeburn_Main_Tariff[[#This Row],[PRODUCER]])</f>
        <v>Powell &amp; Son/Neldner Road</v>
      </c>
      <c r="C5546" s="1178" t="s">
        <v>22924</v>
      </c>
      <c r="D5546" s="1178" t="s">
        <v>897</v>
      </c>
      <c r="E5546" s="1179">
        <v>2017</v>
      </c>
      <c r="F5546" s="1282" t="s">
        <v>20220</v>
      </c>
      <c r="G5546" s="1368">
        <v>71</v>
      </c>
      <c r="H5546" s="1178" t="s">
        <v>20221</v>
      </c>
      <c r="I5546" s="1178" t="s">
        <v>17555</v>
      </c>
      <c r="J5546" s="1178" t="s">
        <v>22883</v>
      </c>
      <c r="K5546" s="1178" t="s">
        <v>613</v>
      </c>
      <c r="L5546" s="1178" t="s">
        <v>614</v>
      </c>
      <c r="M5546" s="1369"/>
      <c r="N5546" s="1178"/>
      <c r="O5546" s="1178">
        <v>6</v>
      </c>
      <c r="P5546" s="1178">
        <v>15</v>
      </c>
    </row>
    <row r="5547" spans="1:16">
      <c r="A5547" s="1178" t="s">
        <v>22913</v>
      </c>
      <c r="B5547" s="1371" t="str">
        <f>HYPERLINK(IFERROR("#Main_Tariff!A"&amp;MATCH(Raeburn_Main_Tariff[[#This Row],[Product Code]],Main_Tariff!I:I,0),"#Main_Tariff!A"&amp;MATCH("*"&amp;RIGHT(A5547,8)&amp;"*",Main_Tariff!A:A,0)),Raeburn_Main_Tariff[[#This Row],[PRODUCER]])</f>
        <v>Powell &amp; Son/Neldner Road</v>
      </c>
      <c r="C5547" s="1178" t="s">
        <v>22925</v>
      </c>
      <c r="D5547" s="1178" t="s">
        <v>897</v>
      </c>
      <c r="E5547" s="1179">
        <v>2016</v>
      </c>
      <c r="F5547" s="1282" t="s">
        <v>20220</v>
      </c>
      <c r="G5547" s="1368">
        <v>70</v>
      </c>
      <c r="H5547" s="1178" t="s">
        <v>20221</v>
      </c>
      <c r="I5547" s="1178" t="s">
        <v>17557</v>
      </c>
      <c r="J5547" s="1178" t="s">
        <v>22883</v>
      </c>
      <c r="K5547" s="1178" t="s">
        <v>613</v>
      </c>
      <c r="L5547" s="1178" t="s">
        <v>614</v>
      </c>
      <c r="M5547" s="1369"/>
      <c r="N5547" s="1178"/>
      <c r="O5547" s="1178">
        <v>6</v>
      </c>
      <c r="P5547" s="1178">
        <v>14</v>
      </c>
    </row>
    <row r="5548" spans="1:16">
      <c r="A5548" s="1178" t="s">
        <v>22913</v>
      </c>
      <c r="B5548" s="1371" t="str">
        <f>HYPERLINK(IFERROR("#Main_Tariff!A"&amp;MATCH(Raeburn_Main_Tariff[[#This Row],[Product Code]],Main_Tariff!I:I,0),"#Main_Tariff!A"&amp;MATCH("*"&amp;RIGHT(A5548,8)&amp;"*",Main_Tariff!A:A,0)),Raeburn_Main_Tariff[[#This Row],[PRODUCER]])</f>
        <v>Powell &amp; Son/Neldner Road</v>
      </c>
      <c r="C5548" s="1178" t="s">
        <v>22926</v>
      </c>
      <c r="D5548" s="1178" t="s">
        <v>897</v>
      </c>
      <c r="E5548" s="1179">
        <v>2017</v>
      </c>
      <c r="F5548" s="1282" t="s">
        <v>20220</v>
      </c>
      <c r="G5548" s="1368">
        <v>133.5</v>
      </c>
      <c r="H5548" s="1178" t="s">
        <v>20221</v>
      </c>
      <c r="I5548" s="1178" t="s">
        <v>17559</v>
      </c>
      <c r="J5548" s="1178" t="s">
        <v>22883</v>
      </c>
      <c r="K5548" s="1178" t="s">
        <v>613</v>
      </c>
      <c r="L5548" s="1178" t="s">
        <v>614</v>
      </c>
      <c r="M5548" s="1369"/>
      <c r="N5548" s="1178"/>
      <c r="O5548" s="1178">
        <v>6</v>
      </c>
      <c r="P5548" s="1178">
        <v>14.5</v>
      </c>
    </row>
    <row r="5549" spans="1:16">
      <c r="A5549" s="1178" t="s">
        <v>22913</v>
      </c>
      <c r="B5549" s="1371" t="str">
        <f>HYPERLINK(IFERROR("#Main_Tariff!A"&amp;MATCH(Raeburn_Main_Tariff[[#This Row],[Product Code]],Main_Tariff!I:I,0),"#Main_Tariff!A"&amp;MATCH("*"&amp;RIGHT(A5549,8)&amp;"*",Main_Tariff!A:A,0)),Raeburn_Main_Tariff[[#This Row],[PRODUCER]])</f>
        <v>Powell &amp; Son/Neldner Road</v>
      </c>
      <c r="C5549" s="1178" t="s">
        <v>22927</v>
      </c>
      <c r="D5549" s="1178" t="s">
        <v>897</v>
      </c>
      <c r="E5549" s="1179">
        <v>2017</v>
      </c>
      <c r="F5549" s="1282" t="s">
        <v>20220</v>
      </c>
      <c r="G5549" s="1368">
        <v>315.5</v>
      </c>
      <c r="H5549" s="1178" t="s">
        <v>20221</v>
      </c>
      <c r="I5549" s="1178" t="s">
        <v>17560</v>
      </c>
      <c r="J5549" s="1178" t="s">
        <v>22883</v>
      </c>
      <c r="K5549" s="1178" t="s">
        <v>613</v>
      </c>
      <c r="L5549" s="1178" t="s">
        <v>614</v>
      </c>
      <c r="M5549" s="1369"/>
      <c r="N5549" s="1178"/>
      <c r="O5549" s="1178">
        <v>6</v>
      </c>
      <c r="P5549" s="1178">
        <v>15</v>
      </c>
    </row>
    <row r="5550" spans="1:16">
      <c r="A5550" s="1178" t="s">
        <v>22913</v>
      </c>
      <c r="B5550" s="1371" t="str">
        <f>HYPERLINK(IFERROR("#Main_Tariff!A"&amp;MATCH(Raeburn_Main_Tariff[[#This Row],[Product Code]],Main_Tariff!I:I,0),"#Main_Tariff!A"&amp;MATCH("*"&amp;RIGHT(A5550,8)&amp;"*",Main_Tariff!A:A,0)),Raeburn_Main_Tariff[[#This Row],[PRODUCER]])</f>
        <v>Powell &amp; Son/Neldner Road</v>
      </c>
      <c r="C5550" s="1178" t="s">
        <v>22927</v>
      </c>
      <c r="D5550" s="1178" t="s">
        <v>897</v>
      </c>
      <c r="E5550" s="1179">
        <v>2016</v>
      </c>
      <c r="F5550" s="1282" t="s">
        <v>20220</v>
      </c>
      <c r="G5550" s="1368">
        <v>315.5</v>
      </c>
      <c r="H5550" s="1178" t="s">
        <v>20221</v>
      </c>
      <c r="I5550" s="1178" t="s">
        <v>17562</v>
      </c>
      <c r="J5550" s="1178" t="s">
        <v>22883</v>
      </c>
      <c r="K5550" s="1178" t="s">
        <v>613</v>
      </c>
      <c r="L5550" s="1178" t="s">
        <v>614</v>
      </c>
      <c r="M5550" s="1369"/>
      <c r="N5550" s="1178"/>
      <c r="O5550" s="1178">
        <v>6</v>
      </c>
      <c r="P5550" s="1178">
        <v>14.5</v>
      </c>
    </row>
    <row r="5551" spans="1:16">
      <c r="A5551" s="1178" t="s">
        <v>22913</v>
      </c>
      <c r="B5551" s="1371" t="str">
        <f>HYPERLINK(IFERROR("#Main_Tariff!A"&amp;MATCH(Raeburn_Main_Tariff[[#This Row],[Product Code]],Main_Tariff!I:I,0),"#Main_Tariff!A"&amp;MATCH("*"&amp;RIGHT(A5551,8)&amp;"*",Main_Tariff!A:A,0)),Raeburn_Main_Tariff[[#This Row],[PRODUCER]])</f>
        <v>Powell &amp; Son/Neldner Road</v>
      </c>
      <c r="C5551" s="1178" t="s">
        <v>22927</v>
      </c>
      <c r="D5551" s="1178" t="s">
        <v>897</v>
      </c>
      <c r="E5551" s="1179">
        <v>2015</v>
      </c>
      <c r="F5551" s="1282" t="s">
        <v>20220</v>
      </c>
      <c r="G5551" s="1368">
        <v>315.5</v>
      </c>
      <c r="H5551" s="1178" t="s">
        <v>20224</v>
      </c>
      <c r="I5551" s="1178" t="s">
        <v>17564</v>
      </c>
      <c r="J5551" s="1178" t="s">
        <v>22883</v>
      </c>
      <c r="K5551" s="1178" t="s">
        <v>613</v>
      </c>
      <c r="L5551" s="1178" t="s">
        <v>614</v>
      </c>
      <c r="M5551" s="1369"/>
      <c r="N5551" s="1178"/>
      <c r="O5551" s="1178">
        <v>12</v>
      </c>
      <c r="P5551" s="1178">
        <v>14.5</v>
      </c>
    </row>
    <row r="5552" spans="1:16">
      <c r="A5552" s="1178" t="s">
        <v>22913</v>
      </c>
      <c r="B5552" s="1371" t="str">
        <f>HYPERLINK(IFERROR("#Main_Tariff!A"&amp;MATCH(Raeburn_Main_Tariff[[#This Row],[Product Code]],Main_Tariff!I:I,0),"#Main_Tariff!A"&amp;MATCH("*"&amp;RIGHT(A5552,8)&amp;"*",Main_Tariff!A:A,0)),Raeburn_Main_Tariff[[#This Row],[PRODUCER]])</f>
        <v>Powell &amp; Son/Neldner Road</v>
      </c>
      <c r="C5552" s="1178" t="s">
        <v>22928</v>
      </c>
      <c r="D5552" s="1178" t="s">
        <v>897</v>
      </c>
      <c r="E5552" s="1179">
        <v>2017</v>
      </c>
      <c r="F5552" s="1282" t="s">
        <v>20220</v>
      </c>
      <c r="G5552" s="1368">
        <v>325.5</v>
      </c>
      <c r="H5552" s="1178" t="s">
        <v>20221</v>
      </c>
      <c r="I5552" s="1178" t="s">
        <v>17566</v>
      </c>
      <c r="J5552" s="1178" t="s">
        <v>22883</v>
      </c>
      <c r="K5552" s="1178" t="s">
        <v>613</v>
      </c>
      <c r="L5552" s="1178" t="s">
        <v>614</v>
      </c>
      <c r="M5552" s="1369"/>
      <c r="N5552" s="1178"/>
      <c r="O5552" s="1178">
        <v>6</v>
      </c>
      <c r="P5552" s="1178">
        <v>13</v>
      </c>
    </row>
    <row r="5553" spans="1:16">
      <c r="A5553" s="1178" t="s">
        <v>22913</v>
      </c>
      <c r="B5553" s="1371" t="str">
        <f>HYPERLINK(IFERROR("#Main_Tariff!A"&amp;MATCH(Raeburn_Main_Tariff[[#This Row],[Product Code]],Main_Tariff!I:I,0),"#Main_Tariff!A"&amp;MATCH("*"&amp;RIGHT(A5553,8)&amp;"*",Main_Tariff!A:A,0)),Raeburn_Main_Tariff[[#This Row],[PRODUCER]])</f>
        <v>Powell &amp; Son/Neldner Road</v>
      </c>
      <c r="C5553" s="1178" t="s">
        <v>22928</v>
      </c>
      <c r="D5553" s="1178" t="s">
        <v>897</v>
      </c>
      <c r="E5553" s="1179">
        <v>2016</v>
      </c>
      <c r="F5553" s="1282" t="s">
        <v>20220</v>
      </c>
      <c r="G5553" s="1368">
        <v>325.5</v>
      </c>
      <c r="H5553" s="1178" t="s">
        <v>20221</v>
      </c>
      <c r="I5553" s="1178" t="s">
        <v>17568</v>
      </c>
      <c r="J5553" s="1178" t="s">
        <v>22883</v>
      </c>
      <c r="K5553" s="1178" t="s">
        <v>613</v>
      </c>
      <c r="L5553" s="1178" t="s">
        <v>614</v>
      </c>
      <c r="M5553" s="1369"/>
      <c r="N5553" s="1178"/>
      <c r="O5553" s="1178">
        <v>6</v>
      </c>
      <c r="P5553" s="1178">
        <v>14.5</v>
      </c>
    </row>
    <row r="5554" spans="1:16">
      <c r="A5554" s="1178" t="s">
        <v>22913</v>
      </c>
      <c r="B5554" s="1371" t="str">
        <f>HYPERLINK(IFERROR("#Main_Tariff!A"&amp;MATCH(Raeburn_Main_Tariff[[#This Row],[Product Code]],Main_Tariff!I:I,0),"#Main_Tariff!A"&amp;MATCH("*"&amp;RIGHT(A5554,8)&amp;"*",Main_Tariff!A:A,0)),Raeburn_Main_Tariff[[#This Row],[PRODUCER]])</f>
        <v>Powell &amp; Son/Neldner Road</v>
      </c>
      <c r="C5554" s="1178" t="s">
        <v>22928</v>
      </c>
      <c r="D5554" s="1178" t="s">
        <v>897</v>
      </c>
      <c r="E5554" s="1179">
        <v>2015</v>
      </c>
      <c r="F5554" s="1282" t="s">
        <v>20220</v>
      </c>
      <c r="G5554" s="1368">
        <v>322.5</v>
      </c>
      <c r="H5554" s="1178" t="s">
        <v>20224</v>
      </c>
      <c r="I5554" s="1178" t="s">
        <v>17570</v>
      </c>
      <c r="J5554" s="1178" t="s">
        <v>22883</v>
      </c>
      <c r="K5554" s="1178" t="s">
        <v>613</v>
      </c>
      <c r="L5554" s="1178" t="s">
        <v>614</v>
      </c>
      <c r="M5554" s="1369"/>
      <c r="N5554" s="1178"/>
      <c r="O5554" s="1178">
        <v>6</v>
      </c>
      <c r="P5554" s="1178">
        <v>13</v>
      </c>
    </row>
    <row r="5555" spans="1:16">
      <c r="A5555" s="1178" t="s">
        <v>22913</v>
      </c>
      <c r="B5555" s="1371" t="str">
        <f>HYPERLINK(IFERROR("#Main_Tariff!A"&amp;MATCH(Raeburn_Main_Tariff[[#This Row],[Product Code]],Main_Tariff!I:I,0),"#Main_Tariff!A"&amp;MATCH("*"&amp;RIGHT(A5555,8)&amp;"*",Main_Tariff!A:A,0)),Raeburn_Main_Tariff[[#This Row],[PRODUCER]])</f>
        <v>Powell &amp; Son/Neldner Road</v>
      </c>
      <c r="C5555" s="1178" t="s">
        <v>22929</v>
      </c>
      <c r="D5555" s="1178" t="s">
        <v>897</v>
      </c>
      <c r="E5555" s="1179">
        <v>2016</v>
      </c>
      <c r="F5555" s="1282" t="s">
        <v>20240</v>
      </c>
      <c r="G5555" s="1368">
        <v>60</v>
      </c>
      <c r="H5555" s="1178" t="s">
        <v>20224</v>
      </c>
      <c r="I5555" s="1178" t="s">
        <v>17573</v>
      </c>
      <c r="J5555" s="1178" t="s">
        <v>22883</v>
      </c>
      <c r="K5555" s="1178" t="s">
        <v>613</v>
      </c>
      <c r="L5555" s="1178" t="s">
        <v>614</v>
      </c>
      <c r="M5555" s="1369"/>
      <c r="N5555" s="1178"/>
      <c r="O5555" s="1178">
        <v>6</v>
      </c>
      <c r="P5555" s="1178">
        <v>14</v>
      </c>
    </row>
    <row r="5556" spans="1:16">
      <c r="A5556" s="1178" t="s">
        <v>22913</v>
      </c>
      <c r="B5556" s="1371" t="str">
        <f>HYPERLINK(IFERROR("#Main_Tariff!A"&amp;MATCH(Raeburn_Main_Tariff[[#This Row],[Product Code]],Main_Tariff!I:I,0),"#Main_Tariff!A"&amp;MATCH("*"&amp;RIGHT(A5556,8)&amp;"*",Main_Tariff!A:A,0)),Raeburn_Main_Tariff[[#This Row],[PRODUCER]])</f>
        <v>Powell &amp; Son/Neldner Road</v>
      </c>
      <c r="C5556" s="1178" t="s">
        <v>22930</v>
      </c>
      <c r="D5556" s="1178" t="s">
        <v>897</v>
      </c>
      <c r="E5556" s="1179">
        <v>2016</v>
      </c>
      <c r="F5556" s="1282" t="s">
        <v>20240</v>
      </c>
      <c r="G5556" s="1368">
        <v>276</v>
      </c>
      <c r="H5556" s="1178" t="s">
        <v>20224</v>
      </c>
      <c r="I5556" s="1178" t="s">
        <v>17575</v>
      </c>
      <c r="J5556" s="1178" t="s">
        <v>22883</v>
      </c>
      <c r="K5556" s="1178" t="s">
        <v>613</v>
      </c>
      <c r="L5556" s="1178" t="s">
        <v>614</v>
      </c>
      <c r="M5556" s="1369"/>
      <c r="N5556" s="1178"/>
      <c r="O5556" s="1178">
        <v>1</v>
      </c>
      <c r="P5556" s="1178">
        <v>13</v>
      </c>
    </row>
    <row r="5557" spans="1:16">
      <c r="A5557" s="1178" t="s">
        <v>22913</v>
      </c>
      <c r="B5557" s="1371" t="str">
        <f>HYPERLINK(IFERROR("#Main_Tariff!A"&amp;MATCH(Raeburn_Main_Tariff[[#This Row],[Product Code]],Main_Tariff!I:I,0),"#Main_Tariff!A"&amp;MATCH("*"&amp;RIGHT(A5557,8)&amp;"*",Main_Tariff!A:A,0)),Raeburn_Main_Tariff[[#This Row],[PRODUCER]])</f>
        <v>Powell &amp; Son/Neldner Road</v>
      </c>
      <c r="C5557" s="1178" t="s">
        <v>22931</v>
      </c>
      <c r="D5557" s="1178" t="s">
        <v>897</v>
      </c>
      <c r="E5557" s="1179">
        <v>2017</v>
      </c>
      <c r="F5557" s="1282" t="s">
        <v>20240</v>
      </c>
      <c r="G5557" s="1368">
        <v>42</v>
      </c>
      <c r="H5557" s="1178" t="s">
        <v>20221</v>
      </c>
      <c r="I5557" s="1178" t="s">
        <v>17577</v>
      </c>
      <c r="J5557" s="1178" t="s">
        <v>22883</v>
      </c>
      <c r="K5557" s="1178" t="s">
        <v>613</v>
      </c>
      <c r="L5557" s="1178" t="s">
        <v>614</v>
      </c>
      <c r="M5557" s="1369"/>
      <c r="N5557" s="1178"/>
      <c r="O5557" s="1178">
        <v>6</v>
      </c>
      <c r="P5557" s="1178">
        <v>14.5</v>
      </c>
    </row>
    <row r="5558" spans="1:16">
      <c r="A5558" s="1178" t="s">
        <v>22913</v>
      </c>
      <c r="B5558" s="1371" t="str">
        <f>HYPERLINK(IFERROR("#Main_Tariff!A"&amp;MATCH(Raeburn_Main_Tariff[[#This Row],[Product Code]],Main_Tariff!I:I,0),"#Main_Tariff!A"&amp;MATCH("*"&amp;RIGHT(A5558,8)&amp;"*",Main_Tariff!A:A,0)),Raeburn_Main_Tariff[[#This Row],[PRODUCER]])</f>
        <v>Powell &amp; Son/Neldner Road</v>
      </c>
      <c r="C5558" s="1178" t="s">
        <v>22931</v>
      </c>
      <c r="D5558" s="1178" t="s">
        <v>897</v>
      </c>
      <c r="E5558" s="1179">
        <v>2016</v>
      </c>
      <c r="F5558" s="1282" t="s">
        <v>20240</v>
      </c>
      <c r="G5558" s="1368">
        <v>42</v>
      </c>
      <c r="H5558" s="1178" t="s">
        <v>20277</v>
      </c>
      <c r="I5558" s="1178" t="s">
        <v>17579</v>
      </c>
      <c r="J5558" s="1178" t="s">
        <v>22883</v>
      </c>
      <c r="K5558" s="1178" t="s">
        <v>613</v>
      </c>
      <c r="L5558" s="1178" t="s">
        <v>614</v>
      </c>
      <c r="M5558" s="1369"/>
      <c r="N5558" s="1178"/>
      <c r="O5558" s="1178">
        <v>6</v>
      </c>
      <c r="P5558" s="1178">
        <v>14.5</v>
      </c>
    </row>
    <row r="5559" spans="1:16">
      <c r="A5559" s="1178" t="s">
        <v>22913</v>
      </c>
      <c r="B5559" s="1371" t="str">
        <f>HYPERLINK(IFERROR("#Main_Tariff!A"&amp;MATCH(Raeburn_Main_Tariff[[#This Row],[Product Code]],Main_Tariff!I:I,0),"#Main_Tariff!A"&amp;MATCH("*"&amp;RIGHT(A5559,8)&amp;"*",Main_Tariff!A:A,0)),Raeburn_Main_Tariff[[#This Row],[PRODUCER]])</f>
        <v>Powell &amp; Son/Neldner Road</v>
      </c>
      <c r="C5559" s="1178" t="s">
        <v>22932</v>
      </c>
      <c r="D5559" s="1178" t="s">
        <v>897</v>
      </c>
      <c r="E5559" s="1179">
        <v>2017</v>
      </c>
      <c r="F5559" s="1282" t="s">
        <v>20240</v>
      </c>
      <c r="G5559" s="1368">
        <v>62</v>
      </c>
      <c r="H5559" s="1178" t="s">
        <v>20224</v>
      </c>
      <c r="I5559" s="1178" t="s">
        <v>17581</v>
      </c>
      <c r="J5559" s="1178" t="s">
        <v>22883</v>
      </c>
      <c r="K5559" s="1178" t="s">
        <v>613</v>
      </c>
      <c r="L5559" s="1178" t="s">
        <v>614</v>
      </c>
      <c r="M5559" s="1369"/>
      <c r="N5559" s="1178"/>
      <c r="O5559" s="1178">
        <v>6</v>
      </c>
      <c r="P5559" s="1178">
        <v>14.5</v>
      </c>
    </row>
    <row r="5560" spans="1:16">
      <c r="A5560" s="1178" t="s">
        <v>22913</v>
      </c>
      <c r="B5560" s="1371" t="str">
        <f>HYPERLINK(IFERROR("#Main_Tariff!A"&amp;MATCH(Raeburn_Main_Tariff[[#This Row],[Product Code]],Main_Tariff!I:I,0),"#Main_Tariff!A"&amp;MATCH("*"&amp;RIGHT(A5560,8)&amp;"*",Main_Tariff!A:A,0)),Raeburn_Main_Tariff[[#This Row],[PRODUCER]])</f>
        <v>Powell &amp; Son/Neldner Road</v>
      </c>
      <c r="C5560" s="1178" t="s">
        <v>22933</v>
      </c>
      <c r="D5560" s="1178" t="s">
        <v>897</v>
      </c>
      <c r="E5560" s="1179">
        <v>2016</v>
      </c>
      <c r="F5560" s="1282" t="s">
        <v>20240</v>
      </c>
      <c r="G5560" s="1368">
        <v>138</v>
      </c>
      <c r="H5560" s="1178" t="s">
        <v>20224</v>
      </c>
      <c r="I5560" s="1178" t="s">
        <v>17583</v>
      </c>
      <c r="J5560" s="1178" t="s">
        <v>22883</v>
      </c>
      <c r="K5560" s="1178" t="s">
        <v>613</v>
      </c>
      <c r="L5560" s="1178" t="s">
        <v>614</v>
      </c>
      <c r="M5560" s="1369"/>
      <c r="N5560" s="1178"/>
      <c r="O5560" s="1178">
        <v>6</v>
      </c>
      <c r="P5560" s="1178">
        <v>14.5</v>
      </c>
    </row>
    <row r="5561" spans="1:16">
      <c r="A5561" s="1178" t="s">
        <v>22913</v>
      </c>
      <c r="B5561" s="1371" t="str">
        <f>HYPERLINK(IFERROR("#Main_Tariff!A"&amp;MATCH(Raeburn_Main_Tariff[[#This Row],[Product Code]],Main_Tariff!I:I,0),"#Main_Tariff!A"&amp;MATCH("*"&amp;RIGHT(A5561,8)&amp;"*",Main_Tariff!A:A,0)),Raeburn_Main_Tariff[[#This Row],[PRODUCER]])</f>
        <v>Powell &amp; Son/Neldner Road</v>
      </c>
      <c r="C5561" s="1178" t="s">
        <v>22934</v>
      </c>
      <c r="D5561" s="1178" t="s">
        <v>897</v>
      </c>
      <c r="E5561" s="1179">
        <v>2016</v>
      </c>
      <c r="F5561" s="1282" t="s">
        <v>20240</v>
      </c>
      <c r="G5561" s="1368">
        <v>138</v>
      </c>
      <c r="H5561" s="1178" t="s">
        <v>20224</v>
      </c>
      <c r="I5561" s="1178" t="s">
        <v>17585</v>
      </c>
      <c r="J5561" s="1178" t="s">
        <v>22883</v>
      </c>
      <c r="K5561" s="1178" t="s">
        <v>613</v>
      </c>
      <c r="L5561" s="1178" t="s">
        <v>614</v>
      </c>
      <c r="M5561" s="1369"/>
      <c r="N5561" s="1178"/>
      <c r="O5561" s="1178">
        <v>1</v>
      </c>
      <c r="P5561" s="1178">
        <v>14</v>
      </c>
    </row>
    <row r="5562" spans="1:16">
      <c r="A5562" s="1178" t="s">
        <v>22913</v>
      </c>
      <c r="B5562" s="1371" t="str">
        <f>HYPERLINK(IFERROR("#Main_Tariff!A"&amp;MATCH(Raeburn_Main_Tariff[[#This Row],[Product Code]],Main_Tariff!I:I,0),"#Main_Tariff!A"&amp;MATCH("*"&amp;RIGHT(A5562,8)&amp;"*",Main_Tariff!A:A,0)),Raeburn_Main_Tariff[[#This Row],[PRODUCER]])</f>
        <v>Powell &amp; Son/Neldner Road</v>
      </c>
      <c r="C5562" s="1178" t="s">
        <v>22934</v>
      </c>
      <c r="D5562" s="1178" t="s">
        <v>897</v>
      </c>
      <c r="E5562" s="1179">
        <v>2015</v>
      </c>
      <c r="F5562" s="1282" t="s">
        <v>20240</v>
      </c>
      <c r="G5562" s="1368">
        <v>132</v>
      </c>
      <c r="H5562" s="1178" t="s">
        <v>20224</v>
      </c>
      <c r="I5562" s="1178" t="s">
        <v>17587</v>
      </c>
      <c r="J5562" s="1178" t="s">
        <v>22883</v>
      </c>
      <c r="K5562" s="1178" t="s">
        <v>613</v>
      </c>
      <c r="L5562" s="1178" t="s">
        <v>614</v>
      </c>
      <c r="M5562" s="1369"/>
      <c r="N5562" s="1178"/>
      <c r="O5562" s="1178">
        <v>1</v>
      </c>
      <c r="P5562" s="1178">
        <v>13</v>
      </c>
    </row>
    <row r="5563" spans="1:16">
      <c r="A5563" s="1178" t="s">
        <v>22913</v>
      </c>
      <c r="B5563" s="1371" t="str">
        <f>HYPERLINK(IFERROR("#Main_Tariff!A"&amp;MATCH(Raeburn_Main_Tariff[[#This Row],[Product Code]],Main_Tariff!I:I,0),"#Main_Tariff!A"&amp;MATCH("*"&amp;RIGHT(A5563,8)&amp;"*",Main_Tariff!A:A,0)),Raeburn_Main_Tariff[[#This Row],[PRODUCER]])</f>
        <v>Powell &amp; Son/Neldner Road</v>
      </c>
      <c r="C5563" s="1178" t="s">
        <v>22935</v>
      </c>
      <c r="D5563" s="1178" t="s">
        <v>897</v>
      </c>
      <c r="E5563" s="1179">
        <v>2016</v>
      </c>
      <c r="F5563" s="1282" t="s">
        <v>20240</v>
      </c>
      <c r="G5563" s="1368">
        <v>641</v>
      </c>
      <c r="H5563" s="1178" t="s">
        <v>20224</v>
      </c>
      <c r="I5563" s="1178" t="s">
        <v>17589</v>
      </c>
      <c r="J5563" s="1178" t="s">
        <v>22883</v>
      </c>
      <c r="K5563" s="1178" t="s">
        <v>613</v>
      </c>
      <c r="L5563" s="1178" t="s">
        <v>614</v>
      </c>
      <c r="M5563" s="1369"/>
      <c r="N5563" s="1178"/>
      <c r="O5563" s="1178">
        <v>1</v>
      </c>
      <c r="P5563" s="1178">
        <v>14.5</v>
      </c>
    </row>
    <row r="5564" spans="1:16">
      <c r="A5564" s="1178" t="s">
        <v>22913</v>
      </c>
      <c r="B5564" s="1371" t="str">
        <f>HYPERLINK(IFERROR("#Main_Tariff!A"&amp;MATCH(Raeburn_Main_Tariff[[#This Row],[Product Code]],Main_Tariff!I:I,0),"#Main_Tariff!A"&amp;MATCH("*"&amp;RIGHT(A5564,8)&amp;"*",Main_Tariff!A:A,0)),Raeburn_Main_Tariff[[#This Row],[PRODUCER]])</f>
        <v>Powell &amp; Son/Neldner Road</v>
      </c>
      <c r="C5564" s="1178" t="s">
        <v>22935</v>
      </c>
      <c r="D5564" s="1178" t="s">
        <v>897</v>
      </c>
      <c r="E5564" s="1179">
        <v>2015</v>
      </c>
      <c r="F5564" s="1282" t="s">
        <v>20240</v>
      </c>
      <c r="G5564" s="1368">
        <v>641</v>
      </c>
      <c r="H5564" s="1178" t="s">
        <v>20224</v>
      </c>
      <c r="I5564" s="1178" t="s">
        <v>17591</v>
      </c>
      <c r="J5564" s="1178" t="s">
        <v>22883</v>
      </c>
      <c r="K5564" s="1178" t="s">
        <v>613</v>
      </c>
      <c r="L5564" s="1178" t="s">
        <v>614</v>
      </c>
      <c r="M5564" s="1369"/>
      <c r="N5564" s="1178"/>
      <c r="O5564" s="1178">
        <v>1</v>
      </c>
      <c r="P5564" s="1178">
        <v>13</v>
      </c>
    </row>
    <row r="5565" spans="1:16">
      <c r="A5565" s="1178" t="s">
        <v>22913</v>
      </c>
      <c r="B5565" s="1371" t="str">
        <f>HYPERLINK(IFERROR("#Main_Tariff!A"&amp;MATCH(Raeburn_Main_Tariff[[#This Row],[Product Code]],Main_Tariff!I:I,0),"#Main_Tariff!A"&amp;MATCH("*"&amp;RIGHT(A5565,8)&amp;"*",Main_Tariff!A:A,0)),Raeburn_Main_Tariff[[#This Row],[PRODUCER]])</f>
        <v>Powell &amp; Son/Neldner Road</v>
      </c>
      <c r="C5565" s="1178" t="s">
        <v>22936</v>
      </c>
      <c r="D5565" s="1178" t="s">
        <v>897</v>
      </c>
      <c r="E5565" s="1179">
        <v>2016</v>
      </c>
      <c r="F5565" s="1282" t="s">
        <v>20240</v>
      </c>
      <c r="G5565" s="1368">
        <v>661</v>
      </c>
      <c r="H5565" s="1178" t="s">
        <v>20224</v>
      </c>
      <c r="I5565" s="1178" t="s">
        <v>17593</v>
      </c>
      <c r="J5565" s="1178" t="s">
        <v>22883</v>
      </c>
      <c r="K5565" s="1178" t="s">
        <v>613</v>
      </c>
      <c r="L5565" s="1178" t="s">
        <v>614</v>
      </c>
      <c r="M5565" s="1369"/>
      <c r="N5565" s="1178"/>
      <c r="O5565" s="1178">
        <v>1</v>
      </c>
      <c r="P5565" s="1178">
        <v>14.5</v>
      </c>
    </row>
    <row r="5566" spans="1:16">
      <c r="A5566" s="1178" t="s">
        <v>619</v>
      </c>
      <c r="B5566" s="1371" t="str">
        <f>HYPERLINK(IFERROR("#Main_Tariff!A"&amp;MATCH(Raeburn_Main_Tariff[[#This Row],[Product Code]],Main_Tariff!I:I,0),"#Main_Tariff!A"&amp;MATCH("*"&amp;RIGHT(A5566,8)&amp;"*",Main_Tariff!A:A,0)),Raeburn_Main_Tariff[[#This Row],[PRODUCER]])</f>
        <v>Ashton Hills</v>
      </c>
      <c r="C5566" s="1178" t="s">
        <v>22937</v>
      </c>
      <c r="D5566" s="1178" t="s">
        <v>897</v>
      </c>
      <c r="E5566" s="1179">
        <v>2016</v>
      </c>
      <c r="F5566" s="1282" t="s">
        <v>20220</v>
      </c>
      <c r="G5566" s="1368">
        <v>29.75</v>
      </c>
      <c r="H5566" s="1178" t="s">
        <v>20221</v>
      </c>
      <c r="I5566" s="1178" t="s">
        <v>17596</v>
      </c>
      <c r="J5566" s="1178" t="s">
        <v>22883</v>
      </c>
      <c r="K5566" s="1178" t="s">
        <v>613</v>
      </c>
      <c r="L5566" s="1178" t="s">
        <v>618</v>
      </c>
      <c r="M5566" s="1369"/>
      <c r="N5566" s="1178"/>
      <c r="O5566" s="1178">
        <v>6</v>
      </c>
      <c r="P5566" s="1178">
        <v>14.5</v>
      </c>
    </row>
    <row r="5567" spans="1:16">
      <c r="A5567" s="1178" t="s">
        <v>619</v>
      </c>
      <c r="B5567" s="1371" t="str">
        <f>HYPERLINK(IFERROR("#Main_Tariff!A"&amp;MATCH(Raeburn_Main_Tariff[[#This Row],[Product Code]],Main_Tariff!I:I,0),"#Main_Tariff!A"&amp;MATCH("*"&amp;RIGHT(A5567,8)&amp;"*",Main_Tariff!A:A,0)),Raeburn_Main_Tariff[[#This Row],[PRODUCER]])</f>
        <v>Ashton Hills</v>
      </c>
      <c r="C5567" s="1178" t="s">
        <v>22938</v>
      </c>
      <c r="D5567" s="1178" t="s">
        <v>897</v>
      </c>
      <c r="E5567" s="1179">
        <v>2016</v>
      </c>
      <c r="F5567" s="1282" t="s">
        <v>20220</v>
      </c>
      <c r="G5567" s="1368">
        <v>38.5</v>
      </c>
      <c r="H5567" s="1178" t="s">
        <v>20221</v>
      </c>
      <c r="I5567" s="1178" t="s">
        <v>17598</v>
      </c>
      <c r="J5567" s="1178" t="s">
        <v>22883</v>
      </c>
      <c r="K5567" s="1178" t="s">
        <v>613</v>
      </c>
      <c r="L5567" s="1178" t="s">
        <v>618</v>
      </c>
      <c r="M5567" s="1369"/>
      <c r="N5567" s="1178"/>
      <c r="O5567" s="1178">
        <v>6</v>
      </c>
      <c r="P5567" s="1178">
        <v>14.5</v>
      </c>
    </row>
    <row r="5568" spans="1:16">
      <c r="A5568" s="1178" t="s">
        <v>622</v>
      </c>
      <c r="B5568" s="1371" t="str">
        <f>HYPERLINK(IFERROR("#Main_Tariff!A"&amp;MATCH(Raeburn_Main_Tariff[[#This Row],[Product Code]],Main_Tariff!I:I,0),"#Main_Tariff!A"&amp;MATCH("*"&amp;RIGHT(A5568,8)&amp;"*",Main_Tariff!A:A,0)),Raeburn_Main_Tariff[[#This Row],[PRODUCER]])</f>
        <v>Chamonix</v>
      </c>
      <c r="C5568" s="1178" t="s">
        <v>22939</v>
      </c>
      <c r="D5568" s="1178" t="s">
        <v>884</v>
      </c>
      <c r="E5568" s="1179">
        <v>2009</v>
      </c>
      <c r="F5568" s="1282" t="s">
        <v>20220</v>
      </c>
      <c r="G5568" s="1368">
        <v>14.5</v>
      </c>
      <c r="H5568" s="1178" t="s">
        <v>20277</v>
      </c>
      <c r="I5568" s="1178" t="s">
        <v>17605</v>
      </c>
      <c r="J5568" s="1178" t="s">
        <v>17603</v>
      </c>
      <c r="K5568" s="1178" t="s">
        <v>621</v>
      </c>
      <c r="L5568" s="1178"/>
      <c r="M5568" s="1369"/>
      <c r="N5568" s="1178"/>
      <c r="O5568" s="1178">
        <v>6</v>
      </c>
      <c r="P5568" s="1178">
        <v>0</v>
      </c>
    </row>
    <row r="5569" spans="1:16">
      <c r="A5569" s="1178" t="s">
        <v>622</v>
      </c>
      <c r="B5569" s="1371" t="str">
        <f>HYPERLINK(IFERROR("#Main_Tariff!A"&amp;MATCH(Raeburn_Main_Tariff[[#This Row],[Product Code]],Main_Tariff!I:I,0),"#Main_Tariff!A"&amp;MATCH("*"&amp;RIGHT(A5569,8)&amp;"*",Main_Tariff!A:A,0)),Raeburn_Main_Tariff[[#This Row],[PRODUCER]])</f>
        <v>Chamonix</v>
      </c>
      <c r="C5569" s="1178" t="s">
        <v>22939</v>
      </c>
      <c r="D5569" s="1178" t="s">
        <v>884</v>
      </c>
      <c r="E5569" s="1179">
        <v>2007</v>
      </c>
      <c r="F5569" s="1282" t="s">
        <v>20220</v>
      </c>
      <c r="G5569" s="1368">
        <v>14.5</v>
      </c>
      <c r="H5569" s="1178" t="s">
        <v>20277</v>
      </c>
      <c r="I5569" s="1178" t="s">
        <v>17607</v>
      </c>
      <c r="J5569" s="1178" t="s">
        <v>17603</v>
      </c>
      <c r="K5569" s="1178" t="s">
        <v>621</v>
      </c>
      <c r="L5569" s="1178"/>
      <c r="M5569" s="1369"/>
      <c r="N5569" s="1178"/>
      <c r="O5569" s="1178">
        <v>6</v>
      </c>
      <c r="P5569" s="1178">
        <v>0</v>
      </c>
    </row>
    <row r="5570" spans="1:16">
      <c r="A5570" s="1178" t="s">
        <v>624</v>
      </c>
      <c r="B5570" s="1371" t="str">
        <f>HYPERLINK(IFERROR("#Main_Tariff!A"&amp;MATCH(Raeburn_Main_Tariff[[#This Row],[Product Code]],Main_Tariff!I:I,0),"#Main_Tariff!A"&amp;MATCH("*"&amp;RIGHT(A5570,8)&amp;"*",Main_Tariff!A:A,0)),Raeburn_Main_Tariff[[#This Row],[PRODUCER]])</f>
        <v>Die Kluise by Raeburn Fine Wines</v>
      </c>
      <c r="C5570" s="1178" t="s">
        <v>22940</v>
      </c>
      <c r="D5570" s="1178" t="s">
        <v>1129</v>
      </c>
      <c r="E5570" s="1179">
        <v>2023</v>
      </c>
      <c r="F5570" s="1282" t="s">
        <v>20220</v>
      </c>
      <c r="G5570" s="1368">
        <v>9.9499999999999993</v>
      </c>
      <c r="H5570" s="1178" t="s">
        <v>20221</v>
      </c>
      <c r="I5570" s="1178" t="s">
        <v>17617</v>
      </c>
      <c r="J5570" s="1178" t="s">
        <v>17603</v>
      </c>
      <c r="K5570" s="1178" t="s">
        <v>22941</v>
      </c>
      <c r="L5570" s="1178"/>
      <c r="M5570" s="1369"/>
      <c r="N5570" s="1178" t="s">
        <v>22942</v>
      </c>
      <c r="O5570" s="1178">
        <v>6</v>
      </c>
      <c r="P5570" s="1178">
        <v>13.5</v>
      </c>
    </row>
    <row r="5571" spans="1:16">
      <c r="A5571" s="1178" t="s">
        <v>624</v>
      </c>
      <c r="B5571" s="1371" t="str">
        <f>HYPERLINK(IFERROR("#Main_Tariff!A"&amp;MATCH(Raeburn_Main_Tariff[[#This Row],[Product Code]],Main_Tariff!I:I,0),"#Main_Tariff!A"&amp;MATCH("*"&amp;RIGHT(A5571,8)&amp;"*",Main_Tariff!A:A,0)),Raeburn_Main_Tariff[[#This Row],[PRODUCER]])</f>
        <v>Die Kluise by Raeburn Fine Wines</v>
      </c>
      <c r="C5571" s="1178" t="s">
        <v>22943</v>
      </c>
      <c r="D5571" s="1178" t="s">
        <v>1129</v>
      </c>
      <c r="E5571" s="1179">
        <v>2023</v>
      </c>
      <c r="F5571" s="1282" t="s">
        <v>20220</v>
      </c>
      <c r="G5571" s="1368">
        <v>13</v>
      </c>
      <c r="H5571" s="1178" t="s">
        <v>20221</v>
      </c>
      <c r="I5571" s="1178" t="s">
        <v>17619</v>
      </c>
      <c r="J5571" s="1178" t="s">
        <v>17603</v>
      </c>
      <c r="K5571" s="1178" t="s">
        <v>22941</v>
      </c>
      <c r="L5571" s="1178"/>
      <c r="M5571" s="1369"/>
      <c r="N5571" s="1178" t="s">
        <v>22942</v>
      </c>
      <c r="O5571" s="1178">
        <v>6</v>
      </c>
      <c r="P5571" s="1178">
        <v>13</v>
      </c>
    </row>
    <row r="5572" spans="1:16">
      <c r="A5572" s="1178" t="s">
        <v>624</v>
      </c>
      <c r="B5572" s="1371" t="str">
        <f>HYPERLINK(IFERROR("#Main_Tariff!A"&amp;MATCH(Raeburn_Main_Tariff[[#This Row],[Product Code]],Main_Tariff!I:I,0),"#Main_Tariff!A"&amp;MATCH("*"&amp;RIGHT(A5572,8)&amp;"*",Main_Tariff!A:A,0)),Raeburn_Main_Tariff[[#This Row],[PRODUCER]])</f>
        <v>Die Kluise by Raeburn Fine Wines</v>
      </c>
      <c r="C5572" s="1178" t="s">
        <v>22944</v>
      </c>
      <c r="D5572" s="1178" t="s">
        <v>897</v>
      </c>
      <c r="E5572" s="1179">
        <v>2023</v>
      </c>
      <c r="F5572" s="1282" t="s">
        <v>20220</v>
      </c>
      <c r="G5572" s="1368">
        <v>9.9499999999999993</v>
      </c>
      <c r="H5572" s="1178" t="s">
        <v>20221</v>
      </c>
      <c r="I5572" s="1178" t="s">
        <v>17622</v>
      </c>
      <c r="J5572" s="1178" t="s">
        <v>17603</v>
      </c>
      <c r="K5572" s="1178" t="s">
        <v>623</v>
      </c>
      <c r="L5572" s="1178"/>
      <c r="M5572" s="1369"/>
      <c r="N5572" s="1178"/>
      <c r="O5572" s="1178">
        <v>6</v>
      </c>
      <c r="P5572" s="1178">
        <v>13</v>
      </c>
    </row>
    <row r="5573" spans="1:16">
      <c r="A5573" s="1178" t="s">
        <v>624</v>
      </c>
      <c r="B5573" s="1371" t="str">
        <f>HYPERLINK(IFERROR("#Main_Tariff!A"&amp;MATCH(Raeburn_Main_Tariff[[#This Row],[Product Code]],Main_Tariff!I:I,0),"#Main_Tariff!A"&amp;MATCH("*"&amp;RIGHT(A5573,8)&amp;"*",Main_Tariff!A:A,0)),Raeburn_Main_Tariff[[#This Row],[PRODUCER]])</f>
        <v>Die Kluise by Raeburn Fine Wines</v>
      </c>
      <c r="C5573" s="1178" t="s">
        <v>22944</v>
      </c>
      <c r="D5573" s="1178" t="s">
        <v>897</v>
      </c>
      <c r="E5573" s="1179">
        <v>2020</v>
      </c>
      <c r="F5573" s="1282" t="s">
        <v>20220</v>
      </c>
      <c r="G5573" s="1368">
        <v>9.5</v>
      </c>
      <c r="H5573" s="1178" t="s">
        <v>20221</v>
      </c>
      <c r="I5573" s="1178" t="s">
        <v>17624</v>
      </c>
      <c r="J5573" s="1178" t="s">
        <v>17603</v>
      </c>
      <c r="K5573" s="1178" t="s">
        <v>623</v>
      </c>
      <c r="L5573" s="1178"/>
      <c r="M5573" s="1369"/>
      <c r="N5573" s="1178"/>
      <c r="O5573" s="1178">
        <v>6</v>
      </c>
      <c r="P5573" s="1178">
        <v>13</v>
      </c>
    </row>
    <row r="5574" spans="1:16">
      <c r="A5574" s="1178" t="s">
        <v>624</v>
      </c>
      <c r="B5574" s="1371" t="str">
        <f>HYPERLINK(IFERROR("#Main_Tariff!A"&amp;MATCH(Raeburn_Main_Tariff[[#This Row],[Product Code]],Main_Tariff!I:I,0),"#Main_Tariff!A"&amp;MATCH("*"&amp;RIGHT(A5574,8)&amp;"*",Main_Tariff!A:A,0)),Raeburn_Main_Tariff[[#This Row],[PRODUCER]])</f>
        <v>Die Kluise by Raeburn Fine Wines</v>
      </c>
      <c r="C5574" s="1178" t="s">
        <v>22945</v>
      </c>
      <c r="D5574" s="1178" t="s">
        <v>897</v>
      </c>
      <c r="E5574" s="1179">
        <v>2023</v>
      </c>
      <c r="F5574" s="1282" t="s">
        <v>20220</v>
      </c>
      <c r="G5574" s="1368">
        <v>13</v>
      </c>
      <c r="H5574" s="1178" t="s">
        <v>20221</v>
      </c>
      <c r="I5574" s="1178" t="s">
        <v>17625</v>
      </c>
      <c r="J5574" s="1178" t="s">
        <v>17603</v>
      </c>
      <c r="K5574" s="1178" t="s">
        <v>623</v>
      </c>
      <c r="L5574" s="1178"/>
      <c r="M5574" s="1369"/>
      <c r="N5574" s="1178"/>
      <c r="O5574" s="1178">
        <v>6</v>
      </c>
      <c r="P5574" s="1178">
        <v>14</v>
      </c>
    </row>
    <row r="5575" spans="1:16">
      <c r="A5575" s="1178" t="s">
        <v>22946</v>
      </c>
      <c r="B5575" s="1371" t="str">
        <f>HYPERLINK(IFERROR("#Main_Tariff!A"&amp;MATCH(Raeburn_Main_Tariff[[#This Row],[Product Code]],Main_Tariff!I:I,0),"#Main_Tariff!A"&amp;MATCH("*"&amp;RIGHT(A5575,8)&amp;"*",Main_Tariff!A:A,0)),Raeburn_Main_Tariff[[#This Row],[PRODUCER]])</f>
        <v>Leeuwenkuil Family</v>
      </c>
      <c r="C5575" s="1178" t="s">
        <v>22947</v>
      </c>
      <c r="D5575" s="1178" t="s">
        <v>1129</v>
      </c>
      <c r="E5575" s="1179">
        <v>2014</v>
      </c>
      <c r="F5575" s="1282" t="s">
        <v>20220</v>
      </c>
      <c r="G5575" s="1368">
        <v>19</v>
      </c>
      <c r="H5575" s="1178" t="s">
        <v>20221</v>
      </c>
      <c r="I5575" s="1178" t="s">
        <v>17628</v>
      </c>
      <c r="J5575" s="1178" t="s">
        <v>17603</v>
      </c>
      <c r="K5575" s="1178" t="s">
        <v>623</v>
      </c>
      <c r="L5575" s="1178"/>
      <c r="M5575" s="1369"/>
      <c r="N5575" s="1178"/>
      <c r="O5575" s="1178">
        <v>6</v>
      </c>
      <c r="P5575" s="1178">
        <v>13</v>
      </c>
    </row>
    <row r="5576" spans="1:16">
      <c r="A5576" s="1178" t="s">
        <v>22948</v>
      </c>
      <c r="B5576" s="1371" t="str">
        <f>HYPERLINK(IFERROR("#Main_Tariff!A"&amp;MATCH(Raeburn_Main_Tariff[[#This Row],[Product Code]],Main_Tariff!I:I,0),"#Main_Tariff!A"&amp;MATCH("*"&amp;RIGHT(A5576,8)&amp;"*",Main_Tariff!A:A,0)),Raeburn_Main_Tariff[[#This Row],[PRODUCER]])</f>
        <v>The Sadie Family</v>
      </c>
      <c r="C5576" s="1178" t="s">
        <v>22949</v>
      </c>
      <c r="D5576" s="1178" t="s">
        <v>1129</v>
      </c>
      <c r="E5576" s="1179"/>
      <c r="F5576" s="1282" t="s">
        <v>20220</v>
      </c>
      <c r="G5576" s="1368" t="s">
        <v>5258</v>
      </c>
      <c r="H5576" s="1178" t="s">
        <v>20224</v>
      </c>
      <c r="I5576" s="1178" t="s">
        <v>17675</v>
      </c>
      <c r="J5576" s="1178" t="s">
        <v>17603</v>
      </c>
      <c r="K5576" s="1178" t="s">
        <v>623</v>
      </c>
      <c r="L5576" s="1178"/>
      <c r="M5576" s="1369"/>
      <c r="N5576" s="1178"/>
      <c r="O5576" s="1178">
        <v>6</v>
      </c>
      <c r="P5576" s="1178">
        <v>13.5</v>
      </c>
    </row>
    <row r="5577" spans="1:16">
      <c r="A5577" s="1178" t="s">
        <v>22948</v>
      </c>
      <c r="B5577" s="1371" t="str">
        <f>HYPERLINK(IFERROR("#Main_Tariff!A"&amp;MATCH(Raeburn_Main_Tariff[[#This Row],[Product Code]],Main_Tariff!I:I,0),"#Main_Tariff!A"&amp;MATCH("*"&amp;RIGHT(A5577,8)&amp;"*",Main_Tariff!A:A,0)),Raeburn_Main_Tariff[[#This Row],[PRODUCER]])</f>
        <v>The Sadie Family</v>
      </c>
      <c r="C5577" s="1178" t="s">
        <v>22950</v>
      </c>
      <c r="D5577" s="1178" t="s">
        <v>1129</v>
      </c>
      <c r="E5577" s="1179"/>
      <c r="F5577" s="1282" t="s">
        <v>20220</v>
      </c>
      <c r="G5577" s="1368" t="s">
        <v>5258</v>
      </c>
      <c r="H5577" s="1178" t="s">
        <v>20224</v>
      </c>
      <c r="I5577" s="1178" t="s">
        <v>17683</v>
      </c>
      <c r="J5577" s="1178" t="s">
        <v>17603</v>
      </c>
      <c r="K5577" s="1178" t="s">
        <v>22951</v>
      </c>
      <c r="L5577" s="1178"/>
      <c r="M5577" s="1369"/>
      <c r="N5577" s="1178"/>
      <c r="O5577" s="1178">
        <v>6</v>
      </c>
      <c r="P5577" s="1178">
        <v>13</v>
      </c>
    </row>
    <row r="5578" spans="1:16">
      <c r="A5578" s="1178" t="s">
        <v>22948</v>
      </c>
      <c r="B5578" s="1371" t="str">
        <f>HYPERLINK(IFERROR("#Main_Tariff!A"&amp;MATCH(Raeburn_Main_Tariff[[#This Row],[Product Code]],Main_Tariff!I:I,0),"#Main_Tariff!A"&amp;MATCH("*"&amp;RIGHT(A5578,8)&amp;"*",Main_Tariff!A:A,0)),Raeburn_Main_Tariff[[#This Row],[PRODUCER]])</f>
        <v>The Sadie Family</v>
      </c>
      <c r="C5578" s="1178" t="s">
        <v>22952</v>
      </c>
      <c r="D5578" s="1178" t="s">
        <v>1129</v>
      </c>
      <c r="E5578" s="1179"/>
      <c r="F5578" s="1282" t="s">
        <v>20220</v>
      </c>
      <c r="G5578" s="1368" t="s">
        <v>5258</v>
      </c>
      <c r="H5578" s="1178" t="s">
        <v>20224</v>
      </c>
      <c r="I5578" s="1178" t="s">
        <v>17685</v>
      </c>
      <c r="J5578" s="1178" t="s">
        <v>17603</v>
      </c>
      <c r="K5578" s="1178" t="s">
        <v>623</v>
      </c>
      <c r="L5578" s="1178"/>
      <c r="M5578" s="1369"/>
      <c r="N5578" s="1178"/>
      <c r="O5578" s="1178">
        <v>6</v>
      </c>
      <c r="P5578" s="1178">
        <v>13</v>
      </c>
    </row>
    <row r="5579" spans="1:16">
      <c r="A5579" s="1178" t="s">
        <v>22948</v>
      </c>
      <c r="B5579" s="1371" t="str">
        <f>HYPERLINK(IFERROR("#Main_Tariff!A"&amp;MATCH(Raeburn_Main_Tariff[[#This Row],[Product Code]],Main_Tariff!I:I,0),"#Main_Tariff!A"&amp;MATCH("*"&amp;RIGHT(A5579,8)&amp;"*",Main_Tariff!A:A,0)),Raeburn_Main_Tariff[[#This Row],[PRODUCER]])</f>
        <v>The Sadie Family</v>
      </c>
      <c r="C5579" s="1178" t="s">
        <v>22953</v>
      </c>
      <c r="D5579" s="1178" t="s">
        <v>1129</v>
      </c>
      <c r="E5579" s="1179"/>
      <c r="F5579" s="1282" t="s">
        <v>20220</v>
      </c>
      <c r="G5579" s="1368" t="s">
        <v>5258</v>
      </c>
      <c r="H5579" s="1178" t="s">
        <v>20224</v>
      </c>
      <c r="I5579" s="1178" t="s">
        <v>17687</v>
      </c>
      <c r="J5579" s="1178" t="s">
        <v>17603</v>
      </c>
      <c r="K5579" s="1178" t="s">
        <v>623</v>
      </c>
      <c r="L5579" s="1178"/>
      <c r="M5579" s="1369"/>
      <c r="N5579" s="1178"/>
      <c r="O5579" s="1178">
        <v>6</v>
      </c>
      <c r="P5579" s="1178">
        <v>13</v>
      </c>
    </row>
    <row r="5580" spans="1:16">
      <c r="A5580" s="1178" t="s">
        <v>22948</v>
      </c>
      <c r="B5580" s="1371" t="str">
        <f>HYPERLINK(IFERROR("#Main_Tariff!A"&amp;MATCH(Raeburn_Main_Tariff[[#This Row],[Product Code]],Main_Tariff!I:I,0),"#Main_Tariff!A"&amp;MATCH("*"&amp;RIGHT(A5580,8)&amp;"*",Main_Tariff!A:A,0)),Raeburn_Main_Tariff[[#This Row],[PRODUCER]])</f>
        <v>The Sadie Family</v>
      </c>
      <c r="C5580" s="1178" t="s">
        <v>22954</v>
      </c>
      <c r="D5580" s="1178" t="s">
        <v>1129</v>
      </c>
      <c r="E5580" s="1179"/>
      <c r="F5580" s="1282" t="s">
        <v>20220</v>
      </c>
      <c r="G5580" s="1368" t="s">
        <v>5258</v>
      </c>
      <c r="H5580" s="1178" t="s">
        <v>20224</v>
      </c>
      <c r="I5580" s="1178" t="s">
        <v>17689</v>
      </c>
      <c r="J5580" s="1178" t="s">
        <v>17603</v>
      </c>
      <c r="K5580" s="1178" t="s">
        <v>22951</v>
      </c>
      <c r="L5580" s="1178"/>
      <c r="M5580" s="1369"/>
      <c r="N5580" s="1178"/>
      <c r="O5580" s="1178">
        <v>6</v>
      </c>
      <c r="P5580" s="1178">
        <v>13</v>
      </c>
    </row>
    <row r="5581" spans="1:16">
      <c r="A5581" s="1178" t="s">
        <v>22948</v>
      </c>
      <c r="B5581" s="1371" t="str">
        <f>HYPERLINK(IFERROR("#Main_Tariff!A"&amp;MATCH(Raeburn_Main_Tariff[[#This Row],[Product Code]],Main_Tariff!I:I,0),"#Main_Tariff!A"&amp;MATCH("*"&amp;RIGHT(A5581,8)&amp;"*",Main_Tariff!A:A,0)),Raeburn_Main_Tariff[[#This Row],[PRODUCER]])</f>
        <v>The Sadie Family</v>
      </c>
      <c r="C5581" s="1178" t="s">
        <v>22955</v>
      </c>
      <c r="D5581" s="1178" t="s">
        <v>1129</v>
      </c>
      <c r="E5581" s="1179"/>
      <c r="F5581" s="1282" t="s">
        <v>20220</v>
      </c>
      <c r="G5581" s="1368" t="s">
        <v>5258</v>
      </c>
      <c r="H5581" s="1178" t="s">
        <v>20224</v>
      </c>
      <c r="I5581" s="1178" t="s">
        <v>17691</v>
      </c>
      <c r="J5581" s="1178" t="s">
        <v>17603</v>
      </c>
      <c r="K5581" s="1178" t="s">
        <v>629</v>
      </c>
      <c r="L5581" s="1178"/>
      <c r="M5581" s="1369"/>
      <c r="N5581" s="1178"/>
      <c r="O5581" s="1178">
        <v>6</v>
      </c>
      <c r="P5581" s="1178">
        <v>13.5</v>
      </c>
    </row>
    <row r="5582" spans="1:16">
      <c r="A5582" s="1178" t="s">
        <v>22948</v>
      </c>
      <c r="B5582" s="1371" t="str">
        <f>HYPERLINK(IFERROR("#Main_Tariff!A"&amp;MATCH(Raeburn_Main_Tariff[[#This Row],[Product Code]],Main_Tariff!I:I,0),"#Main_Tariff!A"&amp;MATCH("*"&amp;RIGHT(A5582,8)&amp;"*",Main_Tariff!A:A,0)),Raeburn_Main_Tariff[[#This Row],[PRODUCER]])</f>
        <v>The Sadie Family</v>
      </c>
      <c r="C5582" s="1178" t="s">
        <v>22956</v>
      </c>
      <c r="D5582" s="1178" t="s">
        <v>897</v>
      </c>
      <c r="E5582" s="1179"/>
      <c r="F5582" s="1282" t="s">
        <v>20220</v>
      </c>
      <c r="G5582" s="1368" t="s">
        <v>5258</v>
      </c>
      <c r="H5582" s="1178" t="s">
        <v>20224</v>
      </c>
      <c r="I5582" s="1178" t="s">
        <v>17695</v>
      </c>
      <c r="J5582" s="1178" t="s">
        <v>17603</v>
      </c>
      <c r="K5582" s="1178" t="s">
        <v>623</v>
      </c>
      <c r="L5582" s="1178"/>
      <c r="M5582" s="1369"/>
      <c r="N5582" s="1178"/>
      <c r="O5582" s="1178">
        <v>6</v>
      </c>
      <c r="P5582" s="1178">
        <v>14</v>
      </c>
    </row>
    <row r="5583" spans="1:16">
      <c r="A5583" s="1178" t="s">
        <v>22948</v>
      </c>
      <c r="B5583" s="1371" t="str">
        <f>HYPERLINK(IFERROR("#Main_Tariff!A"&amp;MATCH(Raeburn_Main_Tariff[[#This Row],[Product Code]],Main_Tariff!I:I,0),"#Main_Tariff!A"&amp;MATCH("*"&amp;RIGHT(A5583,8)&amp;"*",Main_Tariff!A:A,0)),Raeburn_Main_Tariff[[#This Row],[PRODUCER]])</f>
        <v>The Sadie Family</v>
      </c>
      <c r="C5583" s="1178" t="s">
        <v>22957</v>
      </c>
      <c r="D5583" s="1178" t="s">
        <v>897</v>
      </c>
      <c r="E5583" s="1179"/>
      <c r="F5583" s="1282" t="s">
        <v>20220</v>
      </c>
      <c r="G5583" s="1368" t="s">
        <v>5258</v>
      </c>
      <c r="H5583" s="1178" t="s">
        <v>20224</v>
      </c>
      <c r="I5583" s="1178" t="s">
        <v>17702</v>
      </c>
      <c r="J5583" s="1178" t="s">
        <v>17603</v>
      </c>
      <c r="K5583" s="1178" t="s">
        <v>623</v>
      </c>
      <c r="L5583" s="1178"/>
      <c r="M5583" s="1369"/>
      <c r="N5583" s="1178"/>
      <c r="O5583" s="1178">
        <v>6</v>
      </c>
      <c r="P5583" s="1178">
        <v>13.5</v>
      </c>
    </row>
    <row r="5584" spans="1:16">
      <c r="A5584" s="1178" t="s">
        <v>22948</v>
      </c>
      <c r="B5584" s="1371" t="str">
        <f>HYPERLINK(IFERROR("#Main_Tariff!A"&amp;MATCH(Raeburn_Main_Tariff[[#This Row],[Product Code]],Main_Tariff!I:I,0),"#Main_Tariff!A"&amp;MATCH("*"&amp;RIGHT(A5584,8)&amp;"*",Main_Tariff!A:A,0)),Raeburn_Main_Tariff[[#This Row],[PRODUCER]])</f>
        <v>The Sadie Family</v>
      </c>
      <c r="C5584" s="1178" t="s">
        <v>22958</v>
      </c>
      <c r="D5584" s="1178" t="s">
        <v>897</v>
      </c>
      <c r="E5584" s="1179"/>
      <c r="F5584" s="1282" t="s">
        <v>20220</v>
      </c>
      <c r="G5584" s="1368" t="s">
        <v>5258</v>
      </c>
      <c r="H5584" s="1178" t="s">
        <v>3907</v>
      </c>
      <c r="I5584" s="1178" t="s">
        <v>17704</v>
      </c>
      <c r="J5584" s="1178" t="s">
        <v>17603</v>
      </c>
      <c r="K5584" s="1178" t="s">
        <v>22951</v>
      </c>
      <c r="L5584" s="1178" t="s">
        <v>22959</v>
      </c>
      <c r="M5584" s="1369"/>
      <c r="N5584" s="1178"/>
      <c r="O5584" s="1178">
        <v>6</v>
      </c>
      <c r="P5584" s="1178">
        <v>13</v>
      </c>
    </row>
    <row r="5585" spans="1:16">
      <c r="A5585" s="1178" t="s">
        <v>22948</v>
      </c>
      <c r="B5585" s="1371" t="str">
        <f>HYPERLINK(IFERROR("#Main_Tariff!A"&amp;MATCH(Raeburn_Main_Tariff[[#This Row],[Product Code]],Main_Tariff!I:I,0),"#Main_Tariff!A"&amp;MATCH("*"&amp;RIGHT(A5585,8)&amp;"*",Main_Tariff!A:A,0)),Raeburn_Main_Tariff[[#This Row],[PRODUCER]])</f>
        <v>The Sadie Family</v>
      </c>
      <c r="C5585" s="1178" t="s">
        <v>22960</v>
      </c>
      <c r="D5585" s="1178" t="s">
        <v>897</v>
      </c>
      <c r="E5585" s="1179"/>
      <c r="F5585" s="1282" t="s">
        <v>20220</v>
      </c>
      <c r="G5585" s="1368" t="s">
        <v>5258</v>
      </c>
      <c r="H5585" s="1178" t="s">
        <v>20224</v>
      </c>
      <c r="I5585" s="1178" t="s">
        <v>17706</v>
      </c>
      <c r="J5585" s="1178" t="s">
        <v>17603</v>
      </c>
      <c r="K5585" s="1178" t="s">
        <v>623</v>
      </c>
      <c r="L5585" s="1178"/>
      <c r="M5585" s="1369"/>
      <c r="N5585" s="1178"/>
      <c r="O5585" s="1178">
        <v>6</v>
      </c>
      <c r="P5585" s="1178">
        <v>13</v>
      </c>
    </row>
    <row r="5586" spans="1:16">
      <c r="A5586" s="1178" t="s">
        <v>628</v>
      </c>
      <c r="B5586" s="1371" t="str">
        <f>HYPERLINK(IFERROR("#Main_Tariff!A"&amp;MATCH(Raeburn_Main_Tariff[[#This Row],[Product Code]],Main_Tariff!I:I,0),"#Main_Tariff!A"&amp;MATCH("*"&amp;RIGHT(A5586,8)&amp;"*",Main_Tariff!A:A,0)),Raeburn_Main_Tariff[[#This Row],[PRODUCER]])</f>
        <v>Sijnn Wines</v>
      </c>
      <c r="C5586" s="1178" t="s">
        <v>22961</v>
      </c>
      <c r="D5586" s="1178" t="s">
        <v>1129</v>
      </c>
      <c r="E5586" s="1179">
        <v>2021</v>
      </c>
      <c r="F5586" s="1282" t="s">
        <v>20220</v>
      </c>
      <c r="G5586" s="1368">
        <v>19.5</v>
      </c>
      <c r="H5586" s="1178" t="s">
        <v>20221</v>
      </c>
      <c r="I5586" s="1178" t="s">
        <v>17882</v>
      </c>
      <c r="J5586" s="1178" t="s">
        <v>17603</v>
      </c>
      <c r="K5586" s="1178" t="s">
        <v>627</v>
      </c>
      <c r="L5586" s="1178"/>
      <c r="M5586" s="1369"/>
      <c r="N5586" s="1178"/>
      <c r="O5586" s="1178">
        <v>6</v>
      </c>
      <c r="P5586" s="1178">
        <v>13.5</v>
      </c>
    </row>
    <row r="5587" spans="1:16">
      <c r="A5587" s="1178" t="s">
        <v>628</v>
      </c>
      <c r="B5587" s="1371" t="str">
        <f>HYPERLINK(IFERROR("#Main_Tariff!A"&amp;MATCH(Raeburn_Main_Tariff[[#This Row],[Product Code]],Main_Tariff!I:I,0),"#Main_Tariff!A"&amp;MATCH("*"&amp;RIGHT(A5587,8)&amp;"*",Main_Tariff!A:A,0)),Raeburn_Main_Tariff[[#This Row],[PRODUCER]])</f>
        <v>Sijnn Wines</v>
      </c>
      <c r="C5587" s="1178" t="s">
        <v>22962</v>
      </c>
      <c r="D5587" s="1178" t="s">
        <v>1129</v>
      </c>
      <c r="E5587" s="1179">
        <v>2023</v>
      </c>
      <c r="F5587" s="1282" t="s">
        <v>20220</v>
      </c>
      <c r="G5587" s="1368">
        <v>22</v>
      </c>
      <c r="H5587" s="1178" t="s">
        <v>20221</v>
      </c>
      <c r="I5587" s="1178" t="s">
        <v>23289</v>
      </c>
      <c r="J5587" s="1178" t="s">
        <v>17603</v>
      </c>
      <c r="K5587" s="1178" t="s">
        <v>627</v>
      </c>
      <c r="L5587" s="1178"/>
      <c r="M5587" s="1369"/>
      <c r="N5587" s="1178"/>
      <c r="O5587" s="1178">
        <v>6</v>
      </c>
      <c r="P5587" s="1178">
        <v>14</v>
      </c>
    </row>
    <row r="5588" spans="1:16">
      <c r="A5588" s="1178" t="s">
        <v>628</v>
      </c>
      <c r="B5588" s="1371" t="str">
        <f>HYPERLINK(IFERROR("#Main_Tariff!A"&amp;MATCH(Raeburn_Main_Tariff[[#This Row],[Product Code]],Main_Tariff!I:I,0),"#Main_Tariff!A"&amp;MATCH("*"&amp;RIGHT(A5588,8)&amp;"*",Main_Tariff!A:A,0)),Raeburn_Main_Tariff[[#This Row],[PRODUCER]])</f>
        <v>Sijnn Wines</v>
      </c>
      <c r="C5588" s="1178" t="s">
        <v>22962</v>
      </c>
      <c r="D5588" s="1178" t="s">
        <v>1129</v>
      </c>
      <c r="E5588" s="1179">
        <v>2020</v>
      </c>
      <c r="F5588" s="1282" t="s">
        <v>20220</v>
      </c>
      <c r="G5588" s="1368">
        <v>20.25</v>
      </c>
      <c r="H5588" s="1178" t="s">
        <v>20221</v>
      </c>
      <c r="I5588" s="1178" t="s">
        <v>17886</v>
      </c>
      <c r="J5588" s="1178" t="s">
        <v>17603</v>
      </c>
      <c r="K5588" s="1178" t="s">
        <v>627</v>
      </c>
      <c r="L5588" s="1178"/>
      <c r="M5588" s="1369"/>
      <c r="N5588" s="1178"/>
      <c r="O5588" s="1178">
        <v>6</v>
      </c>
      <c r="P5588" s="1178">
        <v>14.5</v>
      </c>
    </row>
    <row r="5589" spans="1:16">
      <c r="A5589" s="1178" t="s">
        <v>628</v>
      </c>
      <c r="B5589" s="1371" t="str">
        <f>HYPERLINK(IFERROR("#Main_Tariff!A"&amp;MATCH(Raeburn_Main_Tariff[[#This Row],[Product Code]],Main_Tariff!I:I,0),"#Main_Tariff!A"&amp;MATCH("*"&amp;RIGHT(A5589,8)&amp;"*",Main_Tariff!A:A,0)),Raeburn_Main_Tariff[[#This Row],[PRODUCER]])</f>
        <v>Sijnn Wines</v>
      </c>
      <c r="C5589" s="1178" t="s">
        <v>22962</v>
      </c>
      <c r="D5589" s="1178" t="s">
        <v>1129</v>
      </c>
      <c r="E5589" s="1179">
        <v>2019</v>
      </c>
      <c r="F5589" s="1282" t="s">
        <v>20220</v>
      </c>
      <c r="G5589" s="1368">
        <v>20</v>
      </c>
      <c r="H5589" s="1178" t="s">
        <v>20221</v>
      </c>
      <c r="I5589" s="1178" t="s">
        <v>17888</v>
      </c>
      <c r="J5589" s="1178" t="s">
        <v>17603</v>
      </c>
      <c r="K5589" s="1178" t="s">
        <v>627</v>
      </c>
      <c r="L5589" s="1178"/>
      <c r="M5589" s="1369"/>
      <c r="N5589" s="1178"/>
      <c r="O5589" s="1178">
        <v>6</v>
      </c>
      <c r="P5589" s="1178">
        <v>13.5</v>
      </c>
    </row>
    <row r="5590" spans="1:16">
      <c r="A5590" s="1178" t="s">
        <v>628</v>
      </c>
      <c r="B5590" s="1371" t="str">
        <f>HYPERLINK(IFERROR("#Main_Tariff!A"&amp;MATCH(Raeburn_Main_Tariff[[#This Row],[Product Code]],Main_Tariff!I:I,0),"#Main_Tariff!A"&amp;MATCH("*"&amp;RIGHT(A5590,8)&amp;"*",Main_Tariff!A:A,0)),Raeburn_Main_Tariff[[#This Row],[PRODUCER]])</f>
        <v>Sijnn Wines</v>
      </c>
      <c r="C5590" s="1178" t="s">
        <v>22962</v>
      </c>
      <c r="D5590" s="1178" t="s">
        <v>1129</v>
      </c>
      <c r="E5590" s="1179">
        <v>2018</v>
      </c>
      <c r="F5590" s="1282" t="s">
        <v>20220</v>
      </c>
      <c r="G5590" s="1368">
        <v>20</v>
      </c>
      <c r="H5590" s="1178" t="s">
        <v>20221</v>
      </c>
      <c r="I5590" s="1178" t="s">
        <v>17890</v>
      </c>
      <c r="J5590" s="1178" t="s">
        <v>17603</v>
      </c>
      <c r="K5590" s="1178" t="s">
        <v>627</v>
      </c>
      <c r="L5590" s="1178"/>
      <c r="M5590" s="1369"/>
      <c r="N5590" s="1178"/>
      <c r="O5590" s="1178">
        <v>6</v>
      </c>
      <c r="P5590" s="1178">
        <v>13.5</v>
      </c>
    </row>
    <row r="5591" spans="1:16">
      <c r="A5591" s="1178" t="s">
        <v>628</v>
      </c>
      <c r="B5591" s="1371" t="str">
        <f>HYPERLINK(IFERROR("#Main_Tariff!A"&amp;MATCH(Raeburn_Main_Tariff[[#This Row],[Product Code]],Main_Tariff!I:I,0),"#Main_Tariff!A"&amp;MATCH("*"&amp;RIGHT(A5591,8)&amp;"*",Main_Tariff!A:A,0)),Raeburn_Main_Tariff[[#This Row],[PRODUCER]])</f>
        <v>Sijnn Wines</v>
      </c>
      <c r="C5591" s="1178" t="s">
        <v>22962</v>
      </c>
      <c r="D5591" s="1178" t="s">
        <v>1129</v>
      </c>
      <c r="E5591" s="1179">
        <v>2017</v>
      </c>
      <c r="F5591" s="1282" t="s">
        <v>20220</v>
      </c>
      <c r="G5591" s="1368">
        <v>19.5</v>
      </c>
      <c r="H5591" s="1178" t="s">
        <v>20221</v>
      </c>
      <c r="I5591" s="1178" t="s">
        <v>17892</v>
      </c>
      <c r="J5591" s="1178" t="s">
        <v>17603</v>
      </c>
      <c r="K5591" s="1178" t="s">
        <v>627</v>
      </c>
      <c r="L5591" s="1178"/>
      <c r="M5591" s="1369"/>
      <c r="N5591" s="1178"/>
      <c r="O5591" s="1178">
        <v>6</v>
      </c>
      <c r="P5591" s="1178">
        <v>13.5</v>
      </c>
    </row>
    <row r="5592" spans="1:16">
      <c r="A5592" s="1178" t="s">
        <v>628</v>
      </c>
      <c r="B5592" s="1371" t="str">
        <f>HYPERLINK(IFERROR("#Main_Tariff!A"&amp;MATCH(Raeburn_Main_Tariff[[#This Row],[Product Code]],Main_Tariff!I:I,0),"#Main_Tariff!A"&amp;MATCH("*"&amp;RIGHT(A5592,8)&amp;"*",Main_Tariff!A:A,0)),Raeburn_Main_Tariff[[#This Row],[PRODUCER]])</f>
        <v>Sijnn Wines</v>
      </c>
      <c r="C5592" s="1178" t="s">
        <v>22963</v>
      </c>
      <c r="D5592" s="1178" t="s">
        <v>1129</v>
      </c>
      <c r="E5592" s="1179">
        <v>2019</v>
      </c>
      <c r="F5592" s="1282" t="s">
        <v>20240</v>
      </c>
      <c r="G5592" s="1368">
        <v>42</v>
      </c>
      <c r="H5592" s="1178" t="s">
        <v>20224</v>
      </c>
      <c r="I5592" s="1178" t="s">
        <v>17896</v>
      </c>
      <c r="J5592" s="1178" t="s">
        <v>17603</v>
      </c>
      <c r="K5592" s="1178" t="s">
        <v>627</v>
      </c>
      <c r="L5592" s="1178"/>
      <c r="M5592" s="1369"/>
      <c r="N5592" s="1178"/>
      <c r="O5592" s="1178">
        <v>3</v>
      </c>
      <c r="P5592" s="1178">
        <v>13.5</v>
      </c>
    </row>
    <row r="5593" spans="1:16">
      <c r="A5593" s="1178" t="s">
        <v>628</v>
      </c>
      <c r="B5593" s="1371" t="str">
        <f>HYPERLINK(IFERROR("#Main_Tariff!A"&amp;MATCH(Raeburn_Main_Tariff[[#This Row],[Product Code]],Main_Tariff!I:I,0),"#Main_Tariff!A"&amp;MATCH("*"&amp;RIGHT(A5593,8)&amp;"*",Main_Tariff!A:A,0)),Raeburn_Main_Tariff[[#This Row],[PRODUCER]])</f>
        <v>Sijnn Wines</v>
      </c>
      <c r="C5593" s="1178" t="s">
        <v>22963</v>
      </c>
      <c r="D5593" s="1178" t="s">
        <v>1129</v>
      </c>
      <c r="E5593" s="1179">
        <v>2017</v>
      </c>
      <c r="F5593" s="1282" t="s">
        <v>20240</v>
      </c>
      <c r="G5593" s="1368">
        <v>41</v>
      </c>
      <c r="H5593" s="1178" t="s">
        <v>20277</v>
      </c>
      <c r="I5593" s="1178" t="s">
        <v>17898</v>
      </c>
      <c r="J5593" s="1178" t="s">
        <v>17603</v>
      </c>
      <c r="K5593" s="1178" t="s">
        <v>627</v>
      </c>
      <c r="L5593" s="1178"/>
      <c r="M5593" s="1369"/>
      <c r="N5593" s="1178"/>
      <c r="O5593" s="1178">
        <v>3</v>
      </c>
      <c r="P5593" s="1178">
        <v>13</v>
      </c>
    </row>
    <row r="5594" spans="1:16">
      <c r="A5594" s="1178" t="s">
        <v>628</v>
      </c>
      <c r="B5594" s="1371" t="str">
        <f>HYPERLINK(IFERROR("#Main_Tariff!A"&amp;MATCH(Raeburn_Main_Tariff[[#This Row],[Product Code]],Main_Tariff!I:I,0),"#Main_Tariff!A"&amp;MATCH("*"&amp;RIGHT(A5594,8)&amp;"*",Main_Tariff!A:A,0)),Raeburn_Main_Tariff[[#This Row],[PRODUCER]])</f>
        <v>Sijnn Wines</v>
      </c>
      <c r="C5594" s="1178" t="s">
        <v>22964</v>
      </c>
      <c r="D5594" s="1178" t="s">
        <v>1129</v>
      </c>
      <c r="E5594" s="1179">
        <v>2018</v>
      </c>
      <c r="F5594" s="1282" t="s">
        <v>20288</v>
      </c>
      <c r="G5594" s="1368">
        <v>84</v>
      </c>
      <c r="H5594" s="1178" t="s">
        <v>20224</v>
      </c>
      <c r="I5594" s="1178" t="s">
        <v>17900</v>
      </c>
      <c r="J5594" s="1178" t="s">
        <v>17603</v>
      </c>
      <c r="K5594" s="1178" t="s">
        <v>627</v>
      </c>
      <c r="L5594" s="1178"/>
      <c r="M5594" s="1369"/>
      <c r="N5594" s="1178"/>
      <c r="O5594" s="1178">
        <v>1</v>
      </c>
      <c r="P5594" s="1178">
        <v>13</v>
      </c>
    </row>
    <row r="5595" spans="1:16">
      <c r="A5595" s="1178" t="s">
        <v>628</v>
      </c>
      <c r="B5595" s="1371" t="str">
        <f>HYPERLINK(IFERROR("#Main_Tariff!A"&amp;MATCH(Raeburn_Main_Tariff[[#This Row],[Product Code]],Main_Tariff!I:I,0),"#Main_Tariff!A"&amp;MATCH("*"&amp;RIGHT(A5595,8)&amp;"*",Main_Tariff!A:A,0)),Raeburn_Main_Tariff[[#This Row],[PRODUCER]])</f>
        <v>Sijnn Wines</v>
      </c>
      <c r="C5595" s="1178" t="s">
        <v>22964</v>
      </c>
      <c r="D5595" s="1178" t="s">
        <v>1129</v>
      </c>
      <c r="E5595" s="1179">
        <v>2017</v>
      </c>
      <c r="F5595" s="1282" t="s">
        <v>20288</v>
      </c>
      <c r="G5595" s="1368">
        <v>82</v>
      </c>
      <c r="H5595" s="1178" t="s">
        <v>20224</v>
      </c>
      <c r="I5595" s="1178" t="s">
        <v>17902</v>
      </c>
      <c r="J5595" s="1178" t="s">
        <v>17603</v>
      </c>
      <c r="K5595" s="1178" t="s">
        <v>627</v>
      </c>
      <c r="L5595" s="1178"/>
      <c r="M5595" s="1369"/>
      <c r="N5595" s="1178"/>
      <c r="O5595" s="1178">
        <v>1</v>
      </c>
      <c r="P5595" s="1178">
        <v>13</v>
      </c>
    </row>
    <row r="5596" spans="1:16">
      <c r="A5596" s="1178" t="s">
        <v>628</v>
      </c>
      <c r="B5596" s="1371" t="str">
        <f>HYPERLINK(IFERROR("#Main_Tariff!A"&amp;MATCH(Raeburn_Main_Tariff[[#This Row],[Product Code]],Main_Tariff!I:I,0),"#Main_Tariff!A"&amp;MATCH("*"&amp;RIGHT(A5596,8)&amp;"*",Main_Tariff!A:A,0)),Raeburn_Main_Tariff[[#This Row],[PRODUCER]])</f>
        <v>Sijnn Wines</v>
      </c>
      <c r="C5596" s="1178" t="s">
        <v>22965</v>
      </c>
      <c r="D5596" s="1178" t="s">
        <v>897</v>
      </c>
      <c r="E5596" s="1179">
        <v>2020</v>
      </c>
      <c r="F5596" s="1282" t="s">
        <v>20220</v>
      </c>
      <c r="G5596" s="1368">
        <v>15.25</v>
      </c>
      <c r="H5596" s="1178" t="s">
        <v>20221</v>
      </c>
      <c r="I5596" s="1178" t="s">
        <v>17906</v>
      </c>
      <c r="J5596" s="1178" t="s">
        <v>17603</v>
      </c>
      <c r="K5596" s="1178" t="s">
        <v>627</v>
      </c>
      <c r="L5596" s="1178"/>
      <c r="M5596" s="1369"/>
      <c r="N5596" s="1178"/>
      <c r="O5596" s="1178">
        <v>6</v>
      </c>
      <c r="P5596" s="1178">
        <v>14.5</v>
      </c>
    </row>
    <row r="5597" spans="1:16">
      <c r="A5597" s="1178" t="s">
        <v>628</v>
      </c>
      <c r="B5597" s="1371" t="str">
        <f>HYPERLINK(IFERROR("#Main_Tariff!A"&amp;MATCH(Raeburn_Main_Tariff[[#This Row],[Product Code]],Main_Tariff!I:I,0),"#Main_Tariff!A"&amp;MATCH("*"&amp;RIGHT(A5597,8)&amp;"*",Main_Tariff!A:A,0)),Raeburn_Main_Tariff[[#This Row],[PRODUCER]])</f>
        <v>Sijnn Wines</v>
      </c>
      <c r="C5597" s="1178" t="s">
        <v>22966</v>
      </c>
      <c r="D5597" s="1178" t="s">
        <v>897</v>
      </c>
      <c r="E5597" s="1179">
        <v>2017</v>
      </c>
      <c r="F5597" s="1282" t="s">
        <v>20240</v>
      </c>
      <c r="G5597" s="1368">
        <v>32</v>
      </c>
      <c r="H5597" s="1178" t="s">
        <v>20221</v>
      </c>
      <c r="I5597" s="1178" t="s">
        <v>17908</v>
      </c>
      <c r="J5597" s="1178" t="s">
        <v>17603</v>
      </c>
      <c r="K5597" s="1178" t="s">
        <v>627</v>
      </c>
      <c r="L5597" s="1178"/>
      <c r="M5597" s="1369"/>
      <c r="N5597" s="1178"/>
      <c r="O5597" s="1178">
        <v>3</v>
      </c>
      <c r="P5597" s="1178">
        <v>13</v>
      </c>
    </row>
    <row r="5598" spans="1:16">
      <c r="A5598" s="1178" t="s">
        <v>628</v>
      </c>
      <c r="B5598" s="1371" t="str">
        <f>HYPERLINK(IFERROR("#Main_Tariff!A"&amp;MATCH(Raeburn_Main_Tariff[[#This Row],[Product Code]],Main_Tariff!I:I,0),"#Main_Tariff!A"&amp;MATCH("*"&amp;RIGHT(A5598,8)&amp;"*",Main_Tariff!A:A,0)),Raeburn_Main_Tariff[[#This Row],[PRODUCER]])</f>
        <v>Sijnn Wines</v>
      </c>
      <c r="C5598" s="1178" t="s">
        <v>22967</v>
      </c>
      <c r="D5598" s="1178" t="s">
        <v>897</v>
      </c>
      <c r="E5598" s="1179">
        <v>2017</v>
      </c>
      <c r="F5598" s="1282" t="s">
        <v>20220</v>
      </c>
      <c r="G5598" s="1368">
        <v>21.5</v>
      </c>
      <c r="H5598" s="1178" t="s">
        <v>20221</v>
      </c>
      <c r="I5598" s="1178" t="s">
        <v>17912</v>
      </c>
      <c r="J5598" s="1178" t="s">
        <v>17603</v>
      </c>
      <c r="K5598" s="1178" t="s">
        <v>627</v>
      </c>
      <c r="L5598" s="1178"/>
      <c r="M5598" s="1369"/>
      <c r="N5598" s="1178"/>
      <c r="O5598" s="1178">
        <v>6</v>
      </c>
      <c r="P5598" s="1178">
        <v>13</v>
      </c>
    </row>
    <row r="5599" spans="1:16">
      <c r="A5599" s="1178" t="s">
        <v>628</v>
      </c>
      <c r="B5599" s="1371" t="str">
        <f>HYPERLINK(IFERROR("#Main_Tariff!A"&amp;MATCH(Raeburn_Main_Tariff[[#This Row],[Product Code]],Main_Tariff!I:I,0),"#Main_Tariff!A"&amp;MATCH("*"&amp;RIGHT(A5599,8)&amp;"*",Main_Tariff!A:A,0)),Raeburn_Main_Tariff[[#This Row],[PRODUCER]])</f>
        <v>Sijnn Wines</v>
      </c>
      <c r="C5599" s="1178" t="s">
        <v>22968</v>
      </c>
      <c r="D5599" s="1178" t="s">
        <v>897</v>
      </c>
      <c r="E5599" s="1179">
        <v>2021</v>
      </c>
      <c r="F5599" s="1282" t="s">
        <v>20220</v>
      </c>
      <c r="G5599" s="1368">
        <v>21.5</v>
      </c>
      <c r="H5599" s="1178" t="s">
        <v>20221</v>
      </c>
      <c r="I5599" s="1178" t="s">
        <v>17914</v>
      </c>
      <c r="J5599" s="1178" t="s">
        <v>17603</v>
      </c>
      <c r="K5599" s="1178" t="s">
        <v>627</v>
      </c>
      <c r="L5599" s="1178"/>
      <c r="M5599" s="1369"/>
      <c r="N5599" s="1178"/>
      <c r="O5599" s="1178">
        <v>6</v>
      </c>
      <c r="P5599" s="1178">
        <v>13</v>
      </c>
    </row>
    <row r="5600" spans="1:16">
      <c r="A5600" s="1178" t="s">
        <v>628</v>
      </c>
      <c r="B5600" s="1371" t="str">
        <f>HYPERLINK(IFERROR("#Main_Tariff!A"&amp;MATCH(Raeburn_Main_Tariff[[#This Row],[Product Code]],Main_Tariff!I:I,0),"#Main_Tariff!A"&amp;MATCH("*"&amp;RIGHT(A5600,8)&amp;"*",Main_Tariff!A:A,0)),Raeburn_Main_Tariff[[#This Row],[PRODUCER]])</f>
        <v>Sijnn Wines</v>
      </c>
      <c r="C5600" s="1178" t="s">
        <v>22969</v>
      </c>
      <c r="D5600" s="1178" t="s">
        <v>897</v>
      </c>
      <c r="E5600" s="1179">
        <v>2021</v>
      </c>
      <c r="F5600" s="1282" t="s">
        <v>20220</v>
      </c>
      <c r="G5600" s="1368">
        <v>21.5</v>
      </c>
      <c r="H5600" s="1178" t="s">
        <v>20221</v>
      </c>
      <c r="I5600" s="1178" t="s">
        <v>17916</v>
      </c>
      <c r="J5600" s="1178" t="s">
        <v>17603</v>
      </c>
      <c r="K5600" s="1178" t="s">
        <v>627</v>
      </c>
      <c r="L5600" s="1178"/>
      <c r="M5600" s="1369"/>
      <c r="N5600" s="1178"/>
      <c r="O5600" s="1178">
        <v>6</v>
      </c>
      <c r="P5600" s="1178">
        <v>13.5</v>
      </c>
    </row>
    <row r="5601" spans="1:16">
      <c r="A5601" s="1178" t="s">
        <v>628</v>
      </c>
      <c r="B5601" s="1371" t="str">
        <f>HYPERLINK(IFERROR("#Main_Tariff!A"&amp;MATCH(Raeburn_Main_Tariff[[#This Row],[Product Code]],Main_Tariff!I:I,0),"#Main_Tariff!A"&amp;MATCH("*"&amp;RIGHT(A5601,8)&amp;"*",Main_Tariff!A:A,0)),Raeburn_Main_Tariff[[#This Row],[PRODUCER]])</f>
        <v>Sijnn Wines</v>
      </c>
      <c r="C5601" s="1178" t="s">
        <v>22970</v>
      </c>
      <c r="D5601" s="1178" t="s">
        <v>897</v>
      </c>
      <c r="E5601" s="1179">
        <v>2021</v>
      </c>
      <c r="F5601" s="1282" t="s">
        <v>20220</v>
      </c>
      <c r="G5601" s="1368">
        <v>21.5</v>
      </c>
      <c r="H5601" s="1178" t="s">
        <v>20221</v>
      </c>
      <c r="I5601" s="1178" t="s">
        <v>17918</v>
      </c>
      <c r="J5601" s="1178" t="s">
        <v>17603</v>
      </c>
      <c r="K5601" s="1178" t="s">
        <v>627</v>
      </c>
      <c r="L5601" s="1178"/>
      <c r="M5601" s="1369"/>
      <c r="N5601" s="1178"/>
      <c r="O5601" s="1178">
        <v>6</v>
      </c>
      <c r="P5601" s="1178">
        <v>13.5</v>
      </c>
    </row>
    <row r="5602" spans="1:16">
      <c r="A5602" s="1178" t="s">
        <v>628</v>
      </c>
      <c r="B5602" s="1371" t="str">
        <f>HYPERLINK(IFERROR("#Main_Tariff!A"&amp;MATCH(Raeburn_Main_Tariff[[#This Row],[Product Code]],Main_Tariff!I:I,0),"#Main_Tariff!A"&amp;MATCH("*"&amp;RIGHT(A5602,8)&amp;"*",Main_Tariff!A:A,0)),Raeburn_Main_Tariff[[#This Row],[PRODUCER]])</f>
        <v>Sijnn Wines</v>
      </c>
      <c r="C5602" s="1178" t="s">
        <v>22971</v>
      </c>
      <c r="D5602" s="1178" t="s">
        <v>897</v>
      </c>
      <c r="E5602" s="1179">
        <v>2021</v>
      </c>
      <c r="F5602" s="1282" t="s">
        <v>20220</v>
      </c>
      <c r="G5602" s="1368">
        <v>21.5</v>
      </c>
      <c r="H5602" s="1178" t="s">
        <v>20221</v>
      </c>
      <c r="I5602" s="1178" t="s">
        <v>17920</v>
      </c>
      <c r="J5602" s="1178" t="s">
        <v>17603</v>
      </c>
      <c r="K5602" s="1178" t="s">
        <v>627</v>
      </c>
      <c r="L5602" s="1178"/>
      <c r="M5602" s="1369"/>
      <c r="N5602" s="1178"/>
      <c r="O5602" s="1178">
        <v>6</v>
      </c>
      <c r="P5602" s="1178">
        <v>13</v>
      </c>
    </row>
    <row r="5603" spans="1:16">
      <c r="A5603" s="1178" t="s">
        <v>628</v>
      </c>
      <c r="B5603" s="1371" t="str">
        <f>HYPERLINK(IFERROR("#Main_Tariff!A"&amp;MATCH(Raeburn_Main_Tariff[[#This Row],[Product Code]],Main_Tariff!I:I,0),"#Main_Tariff!A"&amp;MATCH("*"&amp;RIGHT(A5603,8)&amp;"*",Main_Tariff!A:A,0)),Raeburn_Main_Tariff[[#This Row],[PRODUCER]])</f>
        <v>Sijnn Wines</v>
      </c>
      <c r="C5603" s="1178" t="s">
        <v>22972</v>
      </c>
      <c r="D5603" s="1178" t="s">
        <v>897</v>
      </c>
      <c r="E5603" s="1179">
        <v>2021</v>
      </c>
      <c r="F5603" s="1282" t="s">
        <v>20220</v>
      </c>
      <c r="G5603" s="1368">
        <v>21.5</v>
      </c>
      <c r="H5603" s="1178" t="s">
        <v>20221</v>
      </c>
      <c r="I5603" s="1178" t="s">
        <v>17922</v>
      </c>
      <c r="J5603" s="1178" t="s">
        <v>17603</v>
      </c>
      <c r="K5603" s="1178" t="s">
        <v>627</v>
      </c>
      <c r="L5603" s="1178"/>
      <c r="M5603" s="1369"/>
      <c r="N5603" s="1178"/>
      <c r="O5603" s="1178">
        <v>6</v>
      </c>
      <c r="P5603" s="1178">
        <v>12</v>
      </c>
    </row>
    <row r="5604" spans="1:16">
      <c r="A5604" s="1178" t="s">
        <v>628</v>
      </c>
      <c r="B5604" s="1371" t="str">
        <f>HYPERLINK(IFERROR("#Main_Tariff!A"&amp;MATCH(Raeburn_Main_Tariff[[#This Row],[Product Code]],Main_Tariff!I:I,0),"#Main_Tariff!A"&amp;MATCH("*"&amp;RIGHT(A5604,8)&amp;"*",Main_Tariff!A:A,0)),Raeburn_Main_Tariff[[#This Row],[PRODUCER]])</f>
        <v>Sijnn Wines</v>
      </c>
      <c r="C5604" s="1178" t="s">
        <v>22973</v>
      </c>
      <c r="D5604" s="1178" t="s">
        <v>897</v>
      </c>
      <c r="E5604" s="1179">
        <v>2021</v>
      </c>
      <c r="F5604" s="1282" t="s">
        <v>20220</v>
      </c>
      <c r="G5604" s="1368">
        <v>24</v>
      </c>
      <c r="H5604" s="1178" t="s">
        <v>20221</v>
      </c>
      <c r="I5604" s="1178" t="s">
        <v>23290</v>
      </c>
      <c r="J5604" s="1178" t="s">
        <v>17603</v>
      </c>
      <c r="K5604" s="1178" t="s">
        <v>627</v>
      </c>
      <c r="L5604" s="1178"/>
      <c r="M5604" s="1369"/>
      <c r="N5604" s="1178"/>
      <c r="O5604" s="1178">
        <v>6</v>
      </c>
      <c r="P5604" s="1178">
        <v>13</v>
      </c>
    </row>
    <row r="5605" spans="1:16">
      <c r="A5605" s="1178" t="s">
        <v>628</v>
      </c>
      <c r="B5605" s="1371" t="str">
        <f>HYPERLINK(IFERROR("#Main_Tariff!A"&amp;MATCH(Raeburn_Main_Tariff[[#This Row],[Product Code]],Main_Tariff!I:I,0),"#Main_Tariff!A"&amp;MATCH("*"&amp;RIGHT(A5605,8)&amp;"*",Main_Tariff!A:A,0)),Raeburn_Main_Tariff[[#This Row],[PRODUCER]])</f>
        <v>Sijnn Wines</v>
      </c>
      <c r="C5605" s="1178" t="s">
        <v>22973</v>
      </c>
      <c r="D5605" s="1178" t="s">
        <v>897</v>
      </c>
      <c r="E5605" s="1179">
        <v>2018</v>
      </c>
      <c r="F5605" s="1282" t="s">
        <v>20220</v>
      </c>
      <c r="G5605" s="1368">
        <v>24</v>
      </c>
      <c r="H5605" s="1178" t="s">
        <v>20221</v>
      </c>
      <c r="I5605" s="1178" t="s">
        <v>17926</v>
      </c>
      <c r="J5605" s="1178" t="s">
        <v>17603</v>
      </c>
      <c r="K5605" s="1178" t="s">
        <v>627</v>
      </c>
      <c r="L5605" s="1178"/>
      <c r="M5605" s="1369"/>
      <c r="N5605" s="1178"/>
      <c r="O5605" s="1178">
        <v>6</v>
      </c>
      <c r="P5605" s="1178">
        <v>13.5</v>
      </c>
    </row>
    <row r="5606" spans="1:16">
      <c r="A5606" s="1178" t="s">
        <v>628</v>
      </c>
      <c r="B5606" s="1371" t="str">
        <f>HYPERLINK(IFERROR("#Main_Tariff!A"&amp;MATCH(Raeburn_Main_Tariff[[#This Row],[Product Code]],Main_Tariff!I:I,0),"#Main_Tariff!A"&amp;MATCH("*"&amp;RIGHT(A5606,8)&amp;"*",Main_Tariff!A:A,0)),Raeburn_Main_Tariff[[#This Row],[PRODUCER]])</f>
        <v>Sijnn Wines</v>
      </c>
      <c r="C5606" s="1178" t="s">
        <v>22973</v>
      </c>
      <c r="D5606" s="1178" t="s">
        <v>897</v>
      </c>
      <c r="E5606" s="1179">
        <v>2017</v>
      </c>
      <c r="F5606" s="1282" t="s">
        <v>20220</v>
      </c>
      <c r="G5606" s="1368">
        <v>23.5</v>
      </c>
      <c r="H5606" s="1178" t="s">
        <v>20221</v>
      </c>
      <c r="I5606" s="1178" t="s">
        <v>17928</v>
      </c>
      <c r="J5606" s="1178" t="s">
        <v>17603</v>
      </c>
      <c r="K5606" s="1178" t="s">
        <v>627</v>
      </c>
      <c r="L5606" s="1178"/>
      <c r="M5606" s="1369"/>
      <c r="N5606" s="1178"/>
      <c r="O5606" s="1178">
        <v>6</v>
      </c>
      <c r="P5606" s="1178">
        <v>13</v>
      </c>
    </row>
    <row r="5607" spans="1:16">
      <c r="A5607" s="1178" t="s">
        <v>628</v>
      </c>
      <c r="B5607" s="1371" t="str">
        <f>HYPERLINK(IFERROR("#Main_Tariff!A"&amp;MATCH(Raeburn_Main_Tariff[[#This Row],[Product Code]],Main_Tariff!I:I,0),"#Main_Tariff!A"&amp;MATCH("*"&amp;RIGHT(A5607,8)&amp;"*",Main_Tariff!A:A,0)),Raeburn_Main_Tariff[[#This Row],[PRODUCER]])</f>
        <v>Sijnn Wines</v>
      </c>
      <c r="C5607" s="1178" t="s">
        <v>22973</v>
      </c>
      <c r="D5607" s="1178" t="s">
        <v>897</v>
      </c>
      <c r="E5607" s="1179">
        <v>2016</v>
      </c>
      <c r="F5607" s="1282" t="s">
        <v>20220</v>
      </c>
      <c r="G5607" s="1368">
        <v>23.5</v>
      </c>
      <c r="H5607" s="1178" t="s">
        <v>20221</v>
      </c>
      <c r="I5607" s="1178" t="s">
        <v>17930</v>
      </c>
      <c r="J5607" s="1178" t="s">
        <v>17603</v>
      </c>
      <c r="K5607" s="1178" t="s">
        <v>627</v>
      </c>
      <c r="L5607" s="1178"/>
      <c r="M5607" s="1369"/>
      <c r="N5607" s="1178"/>
      <c r="O5607" s="1178">
        <v>6</v>
      </c>
      <c r="P5607" s="1178">
        <v>13</v>
      </c>
    </row>
    <row r="5608" spans="1:16">
      <c r="A5608" s="1178" t="s">
        <v>628</v>
      </c>
      <c r="B5608" s="1371" t="str">
        <f>HYPERLINK(IFERROR("#Main_Tariff!A"&amp;MATCH(Raeburn_Main_Tariff[[#This Row],[Product Code]],Main_Tariff!I:I,0),"#Main_Tariff!A"&amp;MATCH("*"&amp;RIGHT(A5608,8)&amp;"*",Main_Tariff!A:A,0)),Raeburn_Main_Tariff[[#This Row],[PRODUCER]])</f>
        <v>Sijnn Wines</v>
      </c>
      <c r="C5608" s="1178" t="s">
        <v>22973</v>
      </c>
      <c r="D5608" s="1178" t="s">
        <v>897</v>
      </c>
      <c r="E5608" s="1179">
        <v>2012</v>
      </c>
      <c r="F5608" s="1282" t="s">
        <v>20220</v>
      </c>
      <c r="G5608" s="1368">
        <v>25</v>
      </c>
      <c r="H5608" s="1178" t="s">
        <v>20221</v>
      </c>
      <c r="I5608" s="1178" t="s">
        <v>17932</v>
      </c>
      <c r="J5608" s="1178" t="s">
        <v>17603</v>
      </c>
      <c r="K5608" s="1178" t="s">
        <v>627</v>
      </c>
      <c r="L5608" s="1178"/>
      <c r="M5608" s="1369"/>
      <c r="N5608" s="1178"/>
      <c r="O5608" s="1178">
        <v>6</v>
      </c>
      <c r="P5608" s="1178">
        <v>14</v>
      </c>
    </row>
    <row r="5609" spans="1:16">
      <c r="A5609" s="1178" t="s">
        <v>628</v>
      </c>
      <c r="B5609" s="1371" t="str">
        <f>HYPERLINK(IFERROR("#Main_Tariff!A"&amp;MATCH(Raeburn_Main_Tariff[[#This Row],[Product Code]],Main_Tariff!I:I,0),"#Main_Tariff!A"&amp;MATCH("*"&amp;RIGHT(A5609,8)&amp;"*",Main_Tariff!A:A,0)),Raeburn_Main_Tariff[[#This Row],[PRODUCER]])</f>
        <v>Sijnn Wines</v>
      </c>
      <c r="C5609" s="1178" t="s">
        <v>22973</v>
      </c>
      <c r="D5609" s="1178" t="s">
        <v>897</v>
      </c>
      <c r="E5609" s="1179">
        <v>2011</v>
      </c>
      <c r="F5609" s="1282" t="s">
        <v>20220</v>
      </c>
      <c r="G5609" s="1368">
        <v>26.25</v>
      </c>
      <c r="H5609" s="1178" t="s">
        <v>20221</v>
      </c>
      <c r="I5609" s="1178" t="s">
        <v>17934</v>
      </c>
      <c r="J5609" s="1178" t="s">
        <v>17603</v>
      </c>
      <c r="K5609" s="1178" t="s">
        <v>627</v>
      </c>
      <c r="L5609" s="1178"/>
      <c r="M5609" s="1369"/>
      <c r="N5609" s="1178"/>
      <c r="O5609" s="1178">
        <v>6</v>
      </c>
      <c r="P5609" s="1178">
        <v>13.5</v>
      </c>
    </row>
    <row r="5610" spans="1:16">
      <c r="A5610" s="1178" t="s">
        <v>628</v>
      </c>
      <c r="B5610" s="1371" t="str">
        <f>HYPERLINK(IFERROR("#Main_Tariff!A"&amp;MATCH(Raeburn_Main_Tariff[[#This Row],[Product Code]],Main_Tariff!I:I,0),"#Main_Tariff!A"&amp;MATCH("*"&amp;RIGHT(A5610,8)&amp;"*",Main_Tariff!A:A,0)),Raeburn_Main_Tariff[[#This Row],[PRODUCER]])</f>
        <v>Sijnn Wines</v>
      </c>
      <c r="C5610" s="1178" t="s">
        <v>22974</v>
      </c>
      <c r="D5610" s="1178" t="s">
        <v>897</v>
      </c>
      <c r="E5610" s="1179"/>
      <c r="F5610" s="1282" t="s">
        <v>20240</v>
      </c>
      <c r="G5610" s="1368"/>
      <c r="H5610" s="1178" t="s">
        <v>3907</v>
      </c>
      <c r="I5610" s="1178" t="s">
        <v>17937</v>
      </c>
      <c r="J5610" s="1178" t="s">
        <v>17603</v>
      </c>
      <c r="K5610" s="1178" t="s">
        <v>627</v>
      </c>
      <c r="L5610" s="1178"/>
      <c r="M5610" s="1369"/>
      <c r="N5610" s="1178"/>
      <c r="O5610" s="1178">
        <v>3</v>
      </c>
      <c r="P5610" s="1178">
        <v>13</v>
      </c>
    </row>
    <row r="5611" spans="1:16">
      <c r="A5611" s="1178" t="s">
        <v>628</v>
      </c>
      <c r="B5611" s="1371" t="str">
        <f>HYPERLINK(IFERROR("#Main_Tariff!A"&amp;MATCH(Raeburn_Main_Tariff[[#This Row],[Product Code]],Main_Tariff!I:I,0),"#Main_Tariff!A"&amp;MATCH("*"&amp;RIGHT(A5611,8)&amp;"*",Main_Tariff!A:A,0)),Raeburn_Main_Tariff[[#This Row],[PRODUCER]])</f>
        <v>Sijnn Wines</v>
      </c>
      <c r="C5611" s="1178" t="s">
        <v>22975</v>
      </c>
      <c r="D5611" s="1178" t="s">
        <v>897</v>
      </c>
      <c r="E5611" s="1179">
        <v>2017</v>
      </c>
      <c r="F5611" s="1282" t="s">
        <v>20288</v>
      </c>
      <c r="G5611" s="1368">
        <v>99</v>
      </c>
      <c r="H5611" s="1178" t="s">
        <v>20224</v>
      </c>
      <c r="I5611" s="1178" t="s">
        <v>17939</v>
      </c>
      <c r="J5611" s="1178" t="s">
        <v>17603</v>
      </c>
      <c r="K5611" s="1178" t="s">
        <v>627</v>
      </c>
      <c r="L5611" s="1178"/>
      <c r="M5611" s="1369"/>
      <c r="N5611" s="1178"/>
      <c r="O5611" s="1178">
        <v>1</v>
      </c>
      <c r="P5611" s="1178">
        <v>13</v>
      </c>
    </row>
    <row r="5612" spans="1:16">
      <c r="A5612" s="1178" t="s">
        <v>628</v>
      </c>
      <c r="B5612" s="1371" t="str">
        <f>HYPERLINK(IFERROR("#Main_Tariff!A"&amp;MATCH(Raeburn_Main_Tariff[[#This Row],[Product Code]],Main_Tariff!I:I,0),"#Main_Tariff!A"&amp;MATCH("*"&amp;RIGHT(A5612,8)&amp;"*",Main_Tariff!A:A,0)),Raeburn_Main_Tariff[[#This Row],[PRODUCER]])</f>
        <v>Sijnn Wines</v>
      </c>
      <c r="C5612" s="1178" t="s">
        <v>22976</v>
      </c>
      <c r="D5612" s="1178" t="s">
        <v>10155</v>
      </c>
      <c r="E5612" s="1179">
        <v>2019</v>
      </c>
      <c r="F5612" s="1282" t="s">
        <v>20280</v>
      </c>
      <c r="G5612" s="1368">
        <v>21.25</v>
      </c>
      <c r="H5612" s="1178" t="s">
        <v>20221</v>
      </c>
      <c r="I5612" s="1178" t="s">
        <v>17942</v>
      </c>
      <c r="J5612" s="1178" t="s">
        <v>17603</v>
      </c>
      <c r="K5612" s="1178" t="s">
        <v>627</v>
      </c>
      <c r="L5612" s="1178"/>
      <c r="M5612" s="1369"/>
      <c r="N5612" s="1178"/>
      <c r="O5612" s="1178">
        <v>6</v>
      </c>
      <c r="P5612" s="1178">
        <v>21</v>
      </c>
    </row>
    <row r="5613" spans="1:16">
      <c r="A5613" s="1178" t="s">
        <v>630</v>
      </c>
      <c r="B5613" s="1371" t="str">
        <f>HYPERLINK(IFERROR("#Main_Tariff!A"&amp;MATCH(Raeburn_Main_Tariff[[#This Row],[Product Code]],Main_Tariff!I:I,0),"#Main_Tariff!A"&amp;MATCH("*"&amp;RIGHT(A5613,8)&amp;"*",Main_Tariff!A:A,0)),Raeburn_Main_Tariff[[#This Row],[PRODUCER]])</f>
        <v>Warwick Estate</v>
      </c>
      <c r="C5613" s="1178" t="s">
        <v>22977</v>
      </c>
      <c r="D5613" s="1178" t="s">
        <v>897</v>
      </c>
      <c r="E5613" s="1179">
        <v>2022</v>
      </c>
      <c r="F5613" s="1282" t="s">
        <v>20220</v>
      </c>
      <c r="G5613" s="1368">
        <v>16</v>
      </c>
      <c r="H5613" s="1178" t="s">
        <v>20277</v>
      </c>
      <c r="I5613" s="1178" t="s">
        <v>17969</v>
      </c>
      <c r="J5613" s="1178" t="s">
        <v>17603</v>
      </c>
      <c r="K5613" s="1178" t="s">
        <v>629</v>
      </c>
      <c r="L5613" s="1178"/>
      <c r="M5613" s="1369"/>
      <c r="N5613" s="1178"/>
      <c r="O5613" s="1178">
        <v>6</v>
      </c>
      <c r="P5613" s="1178">
        <v>13</v>
      </c>
    </row>
    <row r="5614" spans="1:16">
      <c r="A5614" s="1178" t="s">
        <v>630</v>
      </c>
      <c r="B5614" s="1371" t="str">
        <f>HYPERLINK(IFERROR("#Main_Tariff!A"&amp;MATCH(Raeburn_Main_Tariff[[#This Row],[Product Code]],Main_Tariff!I:I,0),"#Main_Tariff!A"&amp;MATCH("*"&amp;RIGHT(A5614,8)&amp;"*",Main_Tariff!A:A,0)),Raeburn_Main_Tariff[[#This Row],[PRODUCER]])</f>
        <v>Warwick Estate</v>
      </c>
      <c r="C5614" s="1178" t="s">
        <v>22978</v>
      </c>
      <c r="D5614" s="1178" t="s">
        <v>897</v>
      </c>
      <c r="E5614" s="1179">
        <v>2019</v>
      </c>
      <c r="F5614" s="1282" t="s">
        <v>20220</v>
      </c>
      <c r="G5614" s="1368">
        <v>35.5</v>
      </c>
      <c r="H5614" s="1178" t="s">
        <v>20277</v>
      </c>
      <c r="I5614" s="1178" t="s">
        <v>17971</v>
      </c>
      <c r="J5614" s="1178" t="s">
        <v>17603</v>
      </c>
      <c r="K5614" s="1178" t="s">
        <v>629</v>
      </c>
      <c r="L5614" s="1178"/>
      <c r="M5614" s="1369"/>
      <c r="N5614" s="1178"/>
      <c r="O5614" s="1178">
        <v>6</v>
      </c>
      <c r="P5614" s="1178">
        <v>14.5</v>
      </c>
    </row>
    <row r="5615" spans="1:16">
      <c r="A5615" s="1178" t="s">
        <v>22979</v>
      </c>
      <c r="B5615" s="1371" t="str">
        <f>HYPERLINK(IFERROR("#Main_Tariff!A"&amp;MATCH(Raeburn_Main_Tariff[[#This Row],[Product Code]],Main_Tariff!I:I,0),"#Main_Tariff!A"&amp;MATCH("*"&amp;RIGHT(A5615,8)&amp;"*",Main_Tariff!A:A,0)),Raeburn_Main_Tariff[[#This Row],[PRODUCER]])</f>
        <v>Mukai Shuzo</v>
      </c>
      <c r="C5615" s="1178" t="s">
        <v>22980</v>
      </c>
      <c r="D5615" s="1178" t="s">
        <v>18030</v>
      </c>
      <c r="E5615" s="1179"/>
      <c r="F5615" s="1282" t="s">
        <v>22981</v>
      </c>
      <c r="G5615" s="1368">
        <v>31.5</v>
      </c>
      <c r="H5615" s="1178" t="s">
        <v>20277</v>
      </c>
      <c r="I5615" s="1178" t="s">
        <v>18031</v>
      </c>
      <c r="J5615" s="1178" t="s">
        <v>670</v>
      </c>
      <c r="K5615" s="1178" t="s">
        <v>632</v>
      </c>
      <c r="L5615" s="1178" t="s">
        <v>634</v>
      </c>
      <c r="M5615" s="1369"/>
      <c r="N5615" s="1178"/>
      <c r="O5615" s="1178">
        <v>12</v>
      </c>
      <c r="P5615" s="1178">
        <v>14</v>
      </c>
    </row>
    <row r="5616" spans="1:16">
      <c r="A5616" s="1178" t="s">
        <v>22982</v>
      </c>
      <c r="B5616" s="1371" t="str">
        <f>HYPERLINK(IFERROR("#Main_Tariff!A"&amp;MATCH(Raeburn_Main_Tariff[[#This Row],[Product Code]],Main_Tariff!I:I,0),"#Main_Tariff!A"&amp;MATCH("*"&amp;RIGHT(A5616,8)&amp;"*",Main_Tariff!A:A,0)),Raeburn_Main_Tariff[[#This Row],[PRODUCER]])</f>
        <v>Terada Honke</v>
      </c>
      <c r="C5616" s="1178" t="s">
        <v>22983</v>
      </c>
      <c r="D5616" s="1178" t="s">
        <v>18030</v>
      </c>
      <c r="E5616" s="1179">
        <v>2019</v>
      </c>
      <c r="F5616" s="1282" t="s">
        <v>22981</v>
      </c>
      <c r="G5616" s="1368">
        <v>26.25</v>
      </c>
      <c r="H5616" s="1178" t="s">
        <v>20221</v>
      </c>
      <c r="I5616" s="1178" t="s">
        <v>18044</v>
      </c>
      <c r="J5616" s="1178" t="s">
        <v>670</v>
      </c>
      <c r="K5616" s="1178" t="s">
        <v>632</v>
      </c>
      <c r="L5616" s="1178" t="s">
        <v>634</v>
      </c>
      <c r="M5616" s="1369"/>
      <c r="N5616" s="1178"/>
      <c r="O5616" s="1178">
        <v>12</v>
      </c>
      <c r="P5616" s="1178">
        <v>12.5</v>
      </c>
    </row>
    <row r="5617" spans="1:16">
      <c r="A5617" s="1178" t="s">
        <v>22984</v>
      </c>
      <c r="B5617" s="1371" t="str">
        <f>HYPERLINK(IFERROR("#Main_Tariff!A"&amp;MATCH(Raeburn_Main_Tariff[[#This Row],[Product Code]],Main_Tariff!I:I,0),"#Main_Tariff!A"&amp;MATCH("*"&amp;RIGHT(A5617,8)&amp;"*",Main_Tariff!A:A,0)),Raeburn_Main_Tariff[[#This Row],[PRODUCER]])</f>
        <v>Heiwa Shuzo</v>
      </c>
      <c r="C5617" s="1178" t="s">
        <v>22985</v>
      </c>
      <c r="D5617" s="1178" t="s">
        <v>18030</v>
      </c>
      <c r="E5617" s="1179"/>
      <c r="F5617" s="1282" t="s">
        <v>22981</v>
      </c>
      <c r="G5617" s="1368">
        <v>22.5</v>
      </c>
      <c r="H5617" s="1178" t="s">
        <v>20224</v>
      </c>
      <c r="I5617" s="1178" t="s">
        <v>23359</v>
      </c>
      <c r="J5617" s="1178" t="s">
        <v>670</v>
      </c>
      <c r="K5617" s="1178" t="s">
        <v>632</v>
      </c>
      <c r="L5617" s="1178" t="s">
        <v>635</v>
      </c>
      <c r="M5617" s="1369"/>
      <c r="N5617" s="1178"/>
      <c r="O5617" s="1178">
        <v>12</v>
      </c>
      <c r="P5617" s="1178">
        <v>15</v>
      </c>
    </row>
    <row r="5618" spans="1:16">
      <c r="A5618" s="1178" t="s">
        <v>22986</v>
      </c>
      <c r="B5618" s="1371" t="str">
        <f>HYPERLINK(IFERROR("#Main_Tariff!A"&amp;MATCH(Raeburn_Main_Tariff[[#This Row],[Product Code]],Main_Tariff!I:I,0),"#Main_Tariff!A"&amp;MATCH("*"&amp;RIGHT(A5618,8)&amp;"*",Main_Tariff!A:A,0)),Raeburn_Main_Tariff[[#This Row],[PRODUCER]])</f>
        <v>Senkin</v>
      </c>
      <c r="C5618" s="1178" t="s">
        <v>22987</v>
      </c>
      <c r="D5618" s="1178" t="s">
        <v>18030</v>
      </c>
      <c r="E5618" s="1179"/>
      <c r="F5618" s="1282" t="s">
        <v>22981</v>
      </c>
      <c r="G5618" s="1368">
        <v>29.5</v>
      </c>
      <c r="H5618" s="1178" t="s">
        <v>20221</v>
      </c>
      <c r="I5618" s="1178" t="s">
        <v>18134</v>
      </c>
      <c r="J5618" s="1178" t="s">
        <v>670</v>
      </c>
      <c r="K5618" s="1178" t="s">
        <v>632</v>
      </c>
      <c r="L5618" s="1178" t="s">
        <v>635</v>
      </c>
      <c r="M5618" s="1369"/>
      <c r="N5618" s="1178"/>
      <c r="O5618" s="1178">
        <v>12</v>
      </c>
      <c r="P5618" s="1178">
        <v>14</v>
      </c>
    </row>
    <row r="5619" spans="1:16">
      <c r="A5619" s="1178" t="s">
        <v>22984</v>
      </c>
      <c r="B5619" s="1371" t="str">
        <f>HYPERLINK(IFERROR("#Main_Tariff!A"&amp;MATCH(Raeburn_Main_Tariff[[#This Row],[Product Code]],Main_Tariff!I:I,0),"#Main_Tariff!A"&amp;MATCH("*"&amp;RIGHT(A5619,8)&amp;"*",Main_Tariff!A:A,0)),Raeburn_Main_Tariff[[#This Row],[PRODUCER]])</f>
        <v>Heiwa Shuzo</v>
      </c>
      <c r="C5619" s="1178" t="s">
        <v>18152</v>
      </c>
      <c r="D5619" s="1178" t="s">
        <v>18030</v>
      </c>
      <c r="E5619" s="1179"/>
      <c r="F5619" s="1282" t="s">
        <v>22981</v>
      </c>
      <c r="G5619" s="1368">
        <v>36</v>
      </c>
      <c r="H5619" s="1178" t="s">
        <v>20224</v>
      </c>
      <c r="I5619" s="1178" t="s">
        <v>18153</v>
      </c>
      <c r="J5619" s="1178" t="s">
        <v>670</v>
      </c>
      <c r="K5619" s="1178" t="s">
        <v>632</v>
      </c>
      <c r="L5619" s="1178" t="s">
        <v>636</v>
      </c>
      <c r="M5619" s="1369"/>
      <c r="N5619" s="1178"/>
      <c r="O5619" s="1178">
        <v>12</v>
      </c>
      <c r="P5619" s="1178">
        <v>15</v>
      </c>
    </row>
    <row r="5620" spans="1:16">
      <c r="A5620" s="1178" t="s">
        <v>22986</v>
      </c>
      <c r="B5620" s="1371" t="str">
        <f>HYPERLINK(IFERROR("#Main_Tariff!A"&amp;MATCH(Raeburn_Main_Tariff[[#This Row],[Product Code]],Main_Tariff!I:I,0),"#Main_Tariff!A"&amp;MATCH("*"&amp;RIGHT(A5620,8)&amp;"*",Main_Tariff!A:A,0)),Raeburn_Main_Tariff[[#This Row],[PRODUCER]])</f>
        <v>Senkin</v>
      </c>
      <c r="C5620" s="1178" t="s">
        <v>22988</v>
      </c>
      <c r="D5620" s="1178" t="s">
        <v>18030</v>
      </c>
      <c r="E5620" s="1179"/>
      <c r="F5620" s="1282" t="s">
        <v>22981</v>
      </c>
      <c r="G5620" s="1368">
        <v>69</v>
      </c>
      <c r="H5620" s="1178" t="s">
        <v>20224</v>
      </c>
      <c r="I5620" s="1178" t="s">
        <v>18157</v>
      </c>
      <c r="J5620" s="1178" t="s">
        <v>670</v>
      </c>
      <c r="K5620" s="1178" t="s">
        <v>632</v>
      </c>
      <c r="L5620" s="1178" t="s">
        <v>636</v>
      </c>
      <c r="M5620" s="1369"/>
      <c r="N5620" s="1178"/>
      <c r="O5620" s="1178">
        <v>12</v>
      </c>
      <c r="P5620" s="1178">
        <v>15</v>
      </c>
    </row>
    <row r="5621" spans="1:16">
      <c r="A5621" s="1178" t="s">
        <v>22984</v>
      </c>
      <c r="B5621" s="1371" t="str">
        <f>HYPERLINK(IFERROR("#Main_Tariff!A"&amp;MATCH(Raeburn_Main_Tariff[[#This Row],[Product Code]],Main_Tariff!I:I,0),"#Main_Tariff!A"&amp;MATCH("*"&amp;RIGHT(A5621,8)&amp;"*",Main_Tariff!A:A,0)),Raeburn_Main_Tariff[[#This Row],[PRODUCER]])</f>
        <v>Heiwa Shuzo</v>
      </c>
      <c r="C5621" s="1178" t="s">
        <v>22985</v>
      </c>
      <c r="D5621" s="1178" t="s">
        <v>18030</v>
      </c>
      <c r="E5621" s="1179"/>
      <c r="F5621" s="1282" t="s">
        <v>22981</v>
      </c>
      <c r="G5621" s="1368">
        <v>22.5</v>
      </c>
      <c r="H5621" s="1178" t="s">
        <v>20224</v>
      </c>
      <c r="I5621" s="1178" t="s">
        <v>23359</v>
      </c>
      <c r="J5621" s="1178" t="s">
        <v>670</v>
      </c>
      <c r="K5621" s="1178" t="s">
        <v>632</v>
      </c>
      <c r="L5621" s="1178" t="s">
        <v>637</v>
      </c>
      <c r="M5621" s="1369"/>
      <c r="N5621" s="1178"/>
      <c r="O5621" s="1178">
        <v>12</v>
      </c>
      <c r="P5621" s="1178">
        <v>15</v>
      </c>
    </row>
    <row r="5622" spans="1:16">
      <c r="A5622" s="1178" t="s">
        <v>22989</v>
      </c>
      <c r="B5622" s="1371" t="str">
        <f>HYPERLINK(IFERROR("#Main_Tariff!A"&amp;MATCH(Raeburn_Main_Tariff[[#This Row],[Product Code]],Main_Tariff!I:I,0),"#Main_Tariff!A"&amp;MATCH("*"&amp;RIGHT(A5622,8)&amp;"*",Main_Tariff!A:A,0)),Raeburn_Main_Tariff[[#This Row],[PRODUCER]])</f>
        <v>Okamura Honke</v>
      </c>
      <c r="C5622" s="1178" t="s">
        <v>22990</v>
      </c>
      <c r="D5622" s="1178" t="s">
        <v>18030</v>
      </c>
      <c r="E5622" s="1179"/>
      <c r="F5622" s="1282" t="s">
        <v>22981</v>
      </c>
      <c r="G5622" s="1368">
        <v>23.25</v>
      </c>
      <c r="H5622" s="1178" t="s">
        <v>20221</v>
      </c>
      <c r="I5622" s="1178" t="s">
        <v>18161</v>
      </c>
      <c r="J5622" s="1178" t="s">
        <v>670</v>
      </c>
      <c r="K5622" s="1178" t="s">
        <v>632</v>
      </c>
      <c r="L5622" s="1178" t="s">
        <v>637</v>
      </c>
      <c r="M5622" s="1369"/>
      <c r="N5622" s="1178"/>
      <c r="O5622" s="1178">
        <v>12</v>
      </c>
      <c r="P5622" s="1178">
        <v>16</v>
      </c>
    </row>
    <row r="5623" spans="1:16">
      <c r="A5623" s="1178" t="s">
        <v>22982</v>
      </c>
      <c r="B5623" s="1371" t="str">
        <f>HYPERLINK(IFERROR("#Main_Tariff!A"&amp;MATCH(Raeburn_Main_Tariff[[#This Row],[Product Code]],Main_Tariff!I:I,0),"#Main_Tariff!A"&amp;MATCH("*"&amp;RIGHT(A5623,8)&amp;"*",Main_Tariff!A:A,0)),Raeburn_Main_Tariff[[#This Row],[PRODUCER]])</f>
        <v>Terada Honke</v>
      </c>
      <c r="C5623" s="1178" t="s">
        <v>22983</v>
      </c>
      <c r="D5623" s="1178" t="s">
        <v>18030</v>
      </c>
      <c r="E5623" s="1179">
        <v>2019</v>
      </c>
      <c r="F5623" s="1282" t="s">
        <v>22981</v>
      </c>
      <c r="G5623" s="1368">
        <v>26.25</v>
      </c>
      <c r="H5623" s="1178" t="s">
        <v>20221</v>
      </c>
      <c r="I5623" s="1178" t="s">
        <v>18044</v>
      </c>
      <c r="J5623" s="1178" t="s">
        <v>670</v>
      </c>
      <c r="K5623" s="1178" t="s">
        <v>632</v>
      </c>
      <c r="L5623" s="1178" t="s">
        <v>637</v>
      </c>
      <c r="M5623" s="1369"/>
      <c r="N5623" s="1178"/>
      <c r="O5623" s="1178">
        <v>12</v>
      </c>
      <c r="P5623" s="1178">
        <v>12.5</v>
      </c>
    </row>
    <row r="5624" spans="1:16">
      <c r="A5624" s="1178" t="s">
        <v>22986</v>
      </c>
      <c r="B5624" s="1371" t="str">
        <f>HYPERLINK(IFERROR("#Main_Tariff!A"&amp;MATCH(Raeburn_Main_Tariff[[#This Row],[Product Code]],Main_Tariff!I:I,0),"#Main_Tariff!A"&amp;MATCH("*"&amp;RIGHT(A5624,8)&amp;"*",Main_Tariff!A:A,0)),Raeburn_Main_Tariff[[#This Row],[PRODUCER]])</f>
        <v>Senkin</v>
      </c>
      <c r="C5624" s="1178" t="s">
        <v>22991</v>
      </c>
      <c r="D5624" s="1178" t="s">
        <v>18030</v>
      </c>
      <c r="E5624" s="1179"/>
      <c r="F5624" s="1282" t="s">
        <v>22981</v>
      </c>
      <c r="G5624" s="1368">
        <v>29.5</v>
      </c>
      <c r="H5624" s="1178" t="s">
        <v>20221</v>
      </c>
      <c r="I5624" s="1178" t="s">
        <v>18134</v>
      </c>
      <c r="J5624" s="1178" t="s">
        <v>670</v>
      </c>
      <c r="K5624" s="1178" t="s">
        <v>632</v>
      </c>
      <c r="L5624" s="1178" t="s">
        <v>637</v>
      </c>
      <c r="M5624" s="1369"/>
      <c r="N5624" s="1178"/>
      <c r="O5624" s="1178">
        <v>12</v>
      </c>
      <c r="P5624" s="1178">
        <v>14</v>
      </c>
    </row>
    <row r="5625" spans="1:16">
      <c r="A5625" s="1178" t="s">
        <v>22979</v>
      </c>
      <c r="B5625" s="1371" t="str">
        <f>HYPERLINK(IFERROR("#Main_Tariff!A"&amp;MATCH(Raeburn_Main_Tariff[[#This Row],[Product Code]],Main_Tariff!I:I,0),"#Main_Tariff!A"&amp;MATCH("*"&amp;RIGHT(A5625,8)&amp;"*",Main_Tariff!A:A,0)),Raeburn_Main_Tariff[[#This Row],[PRODUCER]])</f>
        <v>Mukai Shuzo</v>
      </c>
      <c r="C5625" s="1178" t="s">
        <v>22980</v>
      </c>
      <c r="D5625" s="1178" t="s">
        <v>18030</v>
      </c>
      <c r="E5625" s="1179"/>
      <c r="F5625" s="1282" t="s">
        <v>22981</v>
      </c>
      <c r="G5625" s="1368">
        <v>31.5</v>
      </c>
      <c r="H5625" s="1178" t="s">
        <v>20277</v>
      </c>
      <c r="I5625" s="1178" t="s">
        <v>18031</v>
      </c>
      <c r="J5625" s="1178" t="s">
        <v>670</v>
      </c>
      <c r="K5625" s="1178" t="s">
        <v>632</v>
      </c>
      <c r="L5625" s="1178" t="s">
        <v>637</v>
      </c>
      <c r="M5625" s="1369"/>
      <c r="N5625" s="1178"/>
      <c r="O5625" s="1178">
        <v>12</v>
      </c>
      <c r="P5625" s="1178">
        <v>14</v>
      </c>
    </row>
    <row r="5626" spans="1:16">
      <c r="A5626" s="1178" t="s">
        <v>22992</v>
      </c>
      <c r="B5626" s="1371" t="str">
        <f>HYPERLINK(IFERROR("#Main_Tariff!A"&amp;MATCH(Raeburn_Main_Tariff[[#This Row],[Product Code]],Main_Tariff!I:I,0),"#Main_Tariff!A"&amp;MATCH("*"&amp;RIGHT(A5626,8)&amp;"*",Main_Tariff!A:A,0)),Raeburn_Main_Tariff[[#This Row],[PRODUCER]])</f>
        <v>Akishika Shuzo</v>
      </c>
      <c r="C5626" s="1178" t="s">
        <v>22993</v>
      </c>
      <c r="D5626" s="1178" t="s">
        <v>18030</v>
      </c>
      <c r="E5626" s="1179"/>
      <c r="F5626" s="1282" t="s">
        <v>22981</v>
      </c>
      <c r="G5626" s="1368">
        <v>31</v>
      </c>
      <c r="H5626" s="1178" t="s">
        <v>20221</v>
      </c>
      <c r="I5626" s="1178" t="s">
        <v>18168</v>
      </c>
      <c r="J5626" s="1178" t="s">
        <v>670</v>
      </c>
      <c r="K5626" s="1178" t="s">
        <v>632</v>
      </c>
      <c r="L5626" s="1178" t="s">
        <v>638</v>
      </c>
      <c r="M5626" s="1369"/>
      <c r="N5626" s="1178"/>
      <c r="O5626" s="1178">
        <v>12</v>
      </c>
      <c r="P5626" s="1178">
        <v>17</v>
      </c>
    </row>
    <row r="5627" spans="1:16">
      <c r="A5627" s="1178" t="s">
        <v>22992</v>
      </c>
      <c r="B5627" s="1371" t="str">
        <f>HYPERLINK(IFERROR("#Main_Tariff!A"&amp;MATCH(Raeburn_Main_Tariff[[#This Row],[Product Code]],Main_Tariff!I:I,0),"#Main_Tariff!A"&amp;MATCH("*"&amp;RIGHT(A5627,8)&amp;"*",Main_Tariff!A:A,0)),Raeburn_Main_Tariff[[#This Row],[PRODUCER]])</f>
        <v>Akishika Shuzo</v>
      </c>
      <c r="C5627" s="1178" t="s">
        <v>22994</v>
      </c>
      <c r="D5627" s="1178" t="s">
        <v>18030</v>
      </c>
      <c r="E5627" s="1179"/>
      <c r="F5627" s="1282" t="s">
        <v>22981</v>
      </c>
      <c r="G5627" s="1368">
        <v>31</v>
      </c>
      <c r="H5627" s="1178" t="s">
        <v>20221</v>
      </c>
      <c r="I5627" s="1178" t="s">
        <v>18175</v>
      </c>
      <c r="J5627" s="1178" t="s">
        <v>670</v>
      </c>
      <c r="K5627" s="1178" t="s">
        <v>632</v>
      </c>
      <c r="L5627" s="1178" t="s">
        <v>638</v>
      </c>
      <c r="M5627" s="1369"/>
      <c r="N5627" s="1178"/>
      <c r="O5627" s="1178">
        <v>12</v>
      </c>
      <c r="P5627" s="1178">
        <v>18</v>
      </c>
    </row>
    <row r="5628" spans="1:16">
      <c r="A5628" s="1178" t="s">
        <v>22995</v>
      </c>
      <c r="B5628" s="1371" t="str">
        <f>HYPERLINK(IFERROR("#Main_Tariff!A"&amp;MATCH(Raeburn_Main_Tariff[[#This Row],[Product Code]],Main_Tariff!I:I,0),"#Main_Tariff!A"&amp;MATCH("*"&amp;RIGHT(A5628,8)&amp;"*",Main_Tariff!A:A,0)),Raeburn_Main_Tariff[[#This Row],[PRODUCER]])</f>
        <v>Ota Shuzo</v>
      </c>
      <c r="C5628" s="1178" t="s">
        <v>22996</v>
      </c>
      <c r="D5628" s="1178" t="s">
        <v>18030</v>
      </c>
      <c r="E5628" s="1179"/>
      <c r="F5628" s="1282" t="s">
        <v>22981</v>
      </c>
      <c r="G5628" s="1368">
        <v>23.75</v>
      </c>
      <c r="H5628" s="1178" t="s">
        <v>20221</v>
      </c>
      <c r="I5628" s="1178" t="s">
        <v>18188</v>
      </c>
      <c r="J5628" s="1178" t="s">
        <v>670</v>
      </c>
      <c r="K5628" s="1178" t="s">
        <v>632</v>
      </c>
      <c r="L5628" s="1178" t="s">
        <v>639</v>
      </c>
      <c r="M5628" s="1369"/>
      <c r="N5628" s="1178"/>
      <c r="O5628" s="1178">
        <v>12</v>
      </c>
      <c r="P5628" s="1178">
        <v>17</v>
      </c>
    </row>
    <row r="5629" spans="1:16">
      <c r="A5629" s="1178" t="s">
        <v>22982</v>
      </c>
      <c r="B5629" s="1371" t="str">
        <f>HYPERLINK(IFERROR("#Main_Tariff!A"&amp;MATCH(Raeburn_Main_Tariff[[#This Row],[Product Code]],Main_Tariff!I:I,0),"#Main_Tariff!A"&amp;MATCH("*"&amp;RIGHT(A5629,8)&amp;"*",Main_Tariff!A:A,0)),Raeburn_Main_Tariff[[#This Row],[PRODUCER]])</f>
        <v>Terada Honke</v>
      </c>
      <c r="C5629" s="1178" t="s">
        <v>22997</v>
      </c>
      <c r="D5629" s="1178" t="s">
        <v>18030</v>
      </c>
      <c r="E5629" s="1179"/>
      <c r="F5629" s="1282" t="s">
        <v>22981</v>
      </c>
      <c r="G5629" s="1368">
        <v>25.75</v>
      </c>
      <c r="H5629" s="1178" t="s">
        <v>3907</v>
      </c>
      <c r="I5629" s="1178" t="s">
        <v>18192</v>
      </c>
      <c r="J5629" s="1178" t="s">
        <v>670</v>
      </c>
      <c r="K5629" s="1178" t="s">
        <v>632</v>
      </c>
      <c r="L5629" s="1178" t="s">
        <v>639</v>
      </c>
      <c r="M5629" s="1369"/>
      <c r="N5629" s="1178"/>
      <c r="O5629" s="1178">
        <v>12</v>
      </c>
      <c r="P5629" s="1178">
        <v>15</v>
      </c>
    </row>
    <row r="5630" spans="1:16">
      <c r="A5630" s="1178" t="s">
        <v>22989</v>
      </c>
      <c r="B5630" s="1371" t="str">
        <f>HYPERLINK(IFERROR("#Main_Tariff!A"&amp;MATCH(Raeburn_Main_Tariff[[#This Row],[Product Code]],Main_Tariff!I:I,0),"#Main_Tariff!A"&amp;MATCH("*"&amp;RIGHT(A5630,8)&amp;"*",Main_Tariff!A:A,0)),Raeburn_Main_Tariff[[#This Row],[PRODUCER]])</f>
        <v>Okamura Honke</v>
      </c>
      <c r="C5630" s="1178" t="s">
        <v>22990</v>
      </c>
      <c r="D5630" s="1178" t="s">
        <v>18030</v>
      </c>
      <c r="E5630" s="1179"/>
      <c r="F5630" s="1282" t="s">
        <v>22981</v>
      </c>
      <c r="G5630" s="1368">
        <v>23.25</v>
      </c>
      <c r="H5630" s="1178" t="s">
        <v>20221</v>
      </c>
      <c r="I5630" s="1178" t="s">
        <v>18161</v>
      </c>
      <c r="J5630" s="1178" t="s">
        <v>670</v>
      </c>
      <c r="K5630" s="1178" t="s">
        <v>632</v>
      </c>
      <c r="L5630" s="1178" t="s">
        <v>640</v>
      </c>
      <c r="M5630" s="1369"/>
      <c r="N5630" s="1178"/>
      <c r="O5630" s="1178">
        <v>12</v>
      </c>
      <c r="P5630" s="1178">
        <v>16</v>
      </c>
    </row>
    <row r="5631" spans="1:16">
      <c r="A5631" s="1178" t="s">
        <v>22998</v>
      </c>
      <c r="B5631" s="1371" t="str">
        <f>HYPERLINK(IFERROR("#Main_Tariff!A"&amp;MATCH(Raeburn_Main_Tariff[[#This Row],[Product Code]],Main_Tariff!I:I,0),"#Main_Tariff!A"&amp;MATCH("*"&amp;RIGHT(A5631,8)&amp;"*",Main_Tariff!A:A,0)),Raeburn_Main_Tariff[[#This Row],[PRODUCER]])</f>
        <v>Uehara Shuzo</v>
      </c>
      <c r="C5631" s="1178" t="s">
        <v>22999</v>
      </c>
      <c r="D5631" s="1178" t="s">
        <v>18030</v>
      </c>
      <c r="E5631" s="1179"/>
      <c r="F5631" s="1282" t="s">
        <v>22981</v>
      </c>
      <c r="G5631" s="1368">
        <v>30</v>
      </c>
      <c r="H5631" s="1178" t="s">
        <v>20221</v>
      </c>
      <c r="I5631" s="1178" t="s">
        <v>18204</v>
      </c>
      <c r="J5631" s="1178" t="s">
        <v>670</v>
      </c>
      <c r="K5631" s="1178" t="s">
        <v>632</v>
      </c>
      <c r="L5631" s="1178" t="s">
        <v>640</v>
      </c>
      <c r="M5631" s="1369"/>
      <c r="N5631" s="1178"/>
      <c r="O5631" s="1178">
        <v>12</v>
      </c>
      <c r="P5631" s="1178">
        <v>17</v>
      </c>
    </row>
    <row r="5632" spans="1:16">
      <c r="A5632" s="1178" t="s">
        <v>22998</v>
      </c>
      <c r="B5632" s="1371" t="str">
        <f>HYPERLINK(IFERROR("#Main_Tariff!A"&amp;MATCH(Raeburn_Main_Tariff[[#This Row],[Product Code]],Main_Tariff!I:I,0),"#Main_Tariff!A"&amp;MATCH("*"&amp;RIGHT(A5632,8)&amp;"*",Main_Tariff!A:A,0)),Raeburn_Main_Tariff[[#This Row],[PRODUCER]])</f>
        <v>Uehara Shuzo</v>
      </c>
      <c r="C5632" s="1178" t="s">
        <v>23000</v>
      </c>
      <c r="D5632" s="1178" t="s">
        <v>18030</v>
      </c>
      <c r="E5632" s="1179">
        <v>2017</v>
      </c>
      <c r="F5632" s="1282" t="s">
        <v>22981</v>
      </c>
      <c r="G5632" s="1368">
        <v>30</v>
      </c>
      <c r="H5632" s="1178" t="s">
        <v>20224</v>
      </c>
      <c r="I5632" s="1178" t="s">
        <v>18206</v>
      </c>
      <c r="J5632" s="1178" t="s">
        <v>670</v>
      </c>
      <c r="K5632" s="1178" t="s">
        <v>632</v>
      </c>
      <c r="L5632" s="1178" t="s">
        <v>640</v>
      </c>
      <c r="M5632" s="1369"/>
      <c r="N5632" s="1178"/>
      <c r="O5632" s="1178">
        <v>12</v>
      </c>
      <c r="P5632" s="1178">
        <v>17</v>
      </c>
    </row>
    <row r="5633" spans="1:16">
      <c r="A5633" s="1178" t="s">
        <v>22982</v>
      </c>
      <c r="B5633" s="1371" t="str">
        <f>HYPERLINK(IFERROR("#Main_Tariff!A"&amp;MATCH(Raeburn_Main_Tariff[[#This Row],[Product Code]],Main_Tariff!I:I,0),"#Main_Tariff!A"&amp;MATCH("*"&amp;RIGHT(A5633,8)&amp;"*",Main_Tariff!A:A,0)),Raeburn_Main_Tariff[[#This Row],[PRODUCER]])</f>
        <v>Terada Honke</v>
      </c>
      <c r="C5633" s="1178" t="s">
        <v>23001</v>
      </c>
      <c r="D5633" s="1178" t="s">
        <v>18030</v>
      </c>
      <c r="E5633" s="1179"/>
      <c r="F5633" s="1282" t="s">
        <v>22981</v>
      </c>
      <c r="G5633" s="1368">
        <v>24.5</v>
      </c>
      <c r="H5633" s="1178" t="s">
        <v>20221</v>
      </c>
      <c r="I5633" s="1178" t="s">
        <v>18208</v>
      </c>
      <c r="J5633" s="1178" t="s">
        <v>670</v>
      </c>
      <c r="K5633" s="1178" t="s">
        <v>632</v>
      </c>
      <c r="L5633" s="1178" t="s">
        <v>640</v>
      </c>
      <c r="M5633" s="1369"/>
      <c r="N5633" s="1178"/>
      <c r="O5633" s="1178">
        <v>12</v>
      </c>
      <c r="P5633" s="1178">
        <v>15</v>
      </c>
    </row>
    <row r="5634" spans="1:16">
      <c r="A5634" s="1178" t="s">
        <v>22982</v>
      </c>
      <c r="B5634" s="1371" t="str">
        <f>HYPERLINK(IFERROR("#Main_Tariff!A"&amp;MATCH(Raeburn_Main_Tariff[[#This Row],[Product Code]],Main_Tariff!I:I,0),"#Main_Tariff!A"&amp;MATCH("*"&amp;RIGHT(A5634,8)&amp;"*",Main_Tariff!A:A,0)),Raeburn_Main_Tariff[[#This Row],[PRODUCER]])</f>
        <v>Terada Honke</v>
      </c>
      <c r="C5634" s="1178" t="s">
        <v>23002</v>
      </c>
      <c r="D5634" s="1178" t="s">
        <v>18030</v>
      </c>
      <c r="E5634" s="1179"/>
      <c r="F5634" s="1282" t="s">
        <v>22981</v>
      </c>
      <c r="G5634" s="1368">
        <v>23</v>
      </c>
      <c r="H5634" s="1178" t="s">
        <v>20221</v>
      </c>
      <c r="I5634" s="1178" t="s">
        <v>18210</v>
      </c>
      <c r="J5634" s="1178" t="s">
        <v>670</v>
      </c>
      <c r="K5634" s="1178" t="s">
        <v>632</v>
      </c>
      <c r="L5634" s="1178" t="s">
        <v>640</v>
      </c>
      <c r="M5634" s="1369"/>
      <c r="N5634" s="1178"/>
      <c r="O5634" s="1178">
        <v>12</v>
      </c>
      <c r="P5634" s="1178">
        <v>15</v>
      </c>
    </row>
    <row r="5635" spans="1:16">
      <c r="A5635" s="1178" t="s">
        <v>22982</v>
      </c>
      <c r="B5635" s="1371" t="str">
        <f>HYPERLINK(IFERROR("#Main_Tariff!A"&amp;MATCH(Raeburn_Main_Tariff[[#This Row],[Product Code]],Main_Tariff!I:I,0),"#Main_Tariff!A"&amp;MATCH("*"&amp;RIGHT(A5635,8)&amp;"*",Main_Tariff!A:A,0)),Raeburn_Main_Tariff[[#This Row],[PRODUCER]])</f>
        <v>Terada Honke</v>
      </c>
      <c r="C5635" s="1178" t="s">
        <v>23003</v>
      </c>
      <c r="D5635" s="1178" t="s">
        <v>18030</v>
      </c>
      <c r="E5635" s="1179"/>
      <c r="F5635" s="1282" t="s">
        <v>23004</v>
      </c>
      <c r="G5635" s="1368">
        <v>50.5</v>
      </c>
      <c r="H5635" s="1178" t="s">
        <v>20224</v>
      </c>
      <c r="I5635" s="1178" t="s">
        <v>18211</v>
      </c>
      <c r="J5635" s="1178" t="s">
        <v>670</v>
      </c>
      <c r="K5635" s="1178" t="s">
        <v>632</v>
      </c>
      <c r="L5635" s="1178" t="s">
        <v>640</v>
      </c>
      <c r="M5635" s="1369"/>
      <c r="N5635" s="1178"/>
      <c r="O5635" s="1178">
        <v>6</v>
      </c>
      <c r="P5635" s="1178">
        <v>15</v>
      </c>
    </row>
    <row r="5636" spans="1:16">
      <c r="A5636" s="1178" t="s">
        <v>22982</v>
      </c>
      <c r="B5636" s="1371" t="str">
        <f>HYPERLINK(IFERROR("#Main_Tariff!A"&amp;MATCH(Raeburn_Main_Tariff[[#This Row],[Product Code]],Main_Tariff!I:I,0),"#Main_Tariff!A"&amp;MATCH("*"&amp;RIGHT(A5636,8)&amp;"*",Main_Tariff!A:A,0)),Raeburn_Main_Tariff[[#This Row],[PRODUCER]])</f>
        <v>Terada Honke</v>
      </c>
      <c r="C5636" s="1178" t="s">
        <v>23005</v>
      </c>
      <c r="D5636" s="1178" t="s">
        <v>18030</v>
      </c>
      <c r="E5636" s="1179"/>
      <c r="F5636" s="1282" t="s">
        <v>22981</v>
      </c>
      <c r="G5636" s="1368">
        <v>27.5</v>
      </c>
      <c r="H5636" s="1178" t="s">
        <v>20221</v>
      </c>
      <c r="I5636" s="1178" t="s">
        <v>18213</v>
      </c>
      <c r="J5636" s="1178" t="s">
        <v>670</v>
      </c>
      <c r="K5636" s="1178" t="s">
        <v>632</v>
      </c>
      <c r="L5636" s="1178" t="s">
        <v>640</v>
      </c>
      <c r="M5636" s="1369"/>
      <c r="N5636" s="1178"/>
      <c r="O5636" s="1178">
        <v>12</v>
      </c>
      <c r="P5636" s="1178">
        <v>21</v>
      </c>
    </row>
    <row r="5637" spans="1:16">
      <c r="A5637" s="1178" t="s">
        <v>23006</v>
      </c>
      <c r="B5637" s="1371" t="str">
        <f>HYPERLINK(IFERROR("#Main_Tariff!A"&amp;MATCH(Raeburn_Main_Tariff[[#This Row],[Product Code]],Main_Tariff!I:I,0),"#Main_Tariff!A"&amp;MATCH("*"&amp;RIGHT(A5637,8)&amp;"*",Main_Tariff!A:A,0)),Raeburn_Main_Tariff[[#This Row],[PRODUCER]])</f>
        <v>Kirei Shuzo</v>
      </c>
      <c r="C5637" s="1178" t="s">
        <v>23007</v>
      </c>
      <c r="D5637" s="1178" t="s">
        <v>18030</v>
      </c>
      <c r="E5637" s="1179"/>
      <c r="F5637" s="1282" t="s">
        <v>22981</v>
      </c>
      <c r="G5637" s="1368">
        <v>25.5</v>
      </c>
      <c r="H5637" s="1178" t="s">
        <v>20221</v>
      </c>
      <c r="I5637" s="1178" t="s">
        <v>18227</v>
      </c>
      <c r="J5637" s="1178" t="s">
        <v>670</v>
      </c>
      <c r="K5637" s="1178" t="s">
        <v>632</v>
      </c>
      <c r="L5637" s="1178" t="s">
        <v>641</v>
      </c>
      <c r="M5637" s="1369"/>
      <c r="N5637" s="1178"/>
      <c r="O5637" s="1178">
        <v>12</v>
      </c>
      <c r="P5637" s="1178">
        <v>17</v>
      </c>
    </row>
    <row r="5638" spans="1:16">
      <c r="A5638" s="1178" t="s">
        <v>23006</v>
      </c>
      <c r="B5638" s="1371" t="str">
        <f>HYPERLINK(IFERROR("#Main_Tariff!A"&amp;MATCH(Raeburn_Main_Tariff[[#This Row],[Product Code]],Main_Tariff!I:I,0),"#Main_Tariff!A"&amp;MATCH("*"&amp;RIGHT(A5638,8)&amp;"*",Main_Tariff!A:A,0)),Raeburn_Main_Tariff[[#This Row],[PRODUCER]])</f>
        <v>Kirei Shuzo</v>
      </c>
      <c r="C5638" s="1178" t="s">
        <v>23008</v>
      </c>
      <c r="D5638" s="1178" t="s">
        <v>18030</v>
      </c>
      <c r="E5638" s="1179"/>
      <c r="F5638" s="1282" t="s">
        <v>23004</v>
      </c>
      <c r="G5638" s="1368">
        <v>53</v>
      </c>
      <c r="H5638" s="1178" t="s">
        <v>20224</v>
      </c>
      <c r="I5638" s="1178" t="s">
        <v>18229</v>
      </c>
      <c r="J5638" s="1178" t="s">
        <v>670</v>
      </c>
      <c r="K5638" s="1178" t="s">
        <v>632</v>
      </c>
      <c r="L5638" s="1178" t="s">
        <v>641</v>
      </c>
      <c r="M5638" s="1369"/>
      <c r="N5638" s="1178"/>
      <c r="O5638" s="1178">
        <v>6</v>
      </c>
      <c r="P5638" s="1178">
        <v>17</v>
      </c>
    </row>
    <row r="5639" spans="1:16">
      <c r="A5639" s="1178" t="s">
        <v>23009</v>
      </c>
      <c r="B5639" s="1371" t="str">
        <f>HYPERLINK(IFERROR("#Main_Tariff!A"&amp;MATCH(Raeburn_Main_Tariff[[#This Row],[Product Code]],Main_Tariff!I:I,0),"#Main_Tariff!A"&amp;MATCH("*"&amp;RIGHT(A5639,8)&amp;"*",Main_Tariff!A:A,0)),Raeburn_Main_Tariff[[#This Row],[PRODUCER]])</f>
        <v>Kidoizumi Shuzo</v>
      </c>
      <c r="C5639" s="1178" t="s">
        <v>23010</v>
      </c>
      <c r="D5639" s="1178" t="s">
        <v>18030</v>
      </c>
      <c r="E5639" s="1179">
        <v>2016</v>
      </c>
      <c r="F5639" s="1282" t="s">
        <v>22981</v>
      </c>
      <c r="G5639" s="1368">
        <v>36</v>
      </c>
      <c r="H5639" s="1178" t="s">
        <v>20224</v>
      </c>
      <c r="I5639" s="1178" t="s">
        <v>18242</v>
      </c>
      <c r="J5639" s="1178" t="s">
        <v>670</v>
      </c>
      <c r="K5639" s="1178" t="s">
        <v>632</v>
      </c>
      <c r="L5639" s="1178" t="s">
        <v>641</v>
      </c>
      <c r="M5639" s="1369"/>
      <c r="N5639" s="1178"/>
      <c r="O5639" s="1178">
        <v>12</v>
      </c>
      <c r="P5639" s="1178">
        <v>18</v>
      </c>
    </row>
    <row r="5640" spans="1:16">
      <c r="A5640" s="1178" t="s">
        <v>23009</v>
      </c>
      <c r="B5640" s="1371" t="str">
        <f>HYPERLINK(IFERROR("#Main_Tariff!A"&amp;MATCH(Raeburn_Main_Tariff[[#This Row],[Product Code]],Main_Tariff!I:I,0),"#Main_Tariff!A"&amp;MATCH("*"&amp;RIGHT(A5640,8)&amp;"*",Main_Tariff!A:A,0)),Raeburn_Main_Tariff[[#This Row],[PRODUCER]])</f>
        <v>Kidoizumi Shuzo</v>
      </c>
      <c r="C5640" s="1178" t="s">
        <v>23011</v>
      </c>
      <c r="D5640" s="1178" t="s">
        <v>18030</v>
      </c>
      <c r="E5640" s="1179">
        <v>2023</v>
      </c>
      <c r="F5640" s="1282" t="s">
        <v>22981</v>
      </c>
      <c r="G5640" s="1368">
        <v>30.5</v>
      </c>
      <c r="H5640" s="1178" t="s">
        <v>20221</v>
      </c>
      <c r="I5640" s="1178" t="s">
        <v>18244</v>
      </c>
      <c r="J5640" s="1178" t="s">
        <v>670</v>
      </c>
      <c r="K5640" s="1178" t="s">
        <v>632</v>
      </c>
      <c r="L5640" s="1178" t="s">
        <v>641</v>
      </c>
      <c r="M5640" s="1369"/>
      <c r="N5640" s="1178"/>
      <c r="O5640" s="1178">
        <v>12</v>
      </c>
      <c r="P5640" s="1178">
        <v>18</v>
      </c>
    </row>
    <row r="5641" spans="1:16">
      <c r="A5641" s="1178" t="s">
        <v>23009</v>
      </c>
      <c r="B5641" s="1371" t="str">
        <f>HYPERLINK(IFERROR("#Main_Tariff!A"&amp;MATCH(Raeburn_Main_Tariff[[#This Row],[Product Code]],Main_Tariff!I:I,0),"#Main_Tariff!A"&amp;MATCH("*"&amp;RIGHT(A5641,8)&amp;"*",Main_Tariff!A:A,0)),Raeburn_Main_Tariff[[#This Row],[PRODUCER]])</f>
        <v>Kidoizumi Shuzo</v>
      </c>
      <c r="C5641" s="1178" t="s">
        <v>23011</v>
      </c>
      <c r="D5641" s="1178" t="s">
        <v>18030</v>
      </c>
      <c r="E5641" s="1179">
        <v>2016</v>
      </c>
      <c r="F5641" s="1282" t="s">
        <v>22981</v>
      </c>
      <c r="G5641" s="1368">
        <v>36</v>
      </c>
      <c r="H5641" s="1178" t="s">
        <v>20277</v>
      </c>
      <c r="I5641" s="1178" t="s">
        <v>18246</v>
      </c>
      <c r="J5641" s="1178" t="s">
        <v>670</v>
      </c>
      <c r="K5641" s="1178" t="s">
        <v>632</v>
      </c>
      <c r="L5641" s="1178" t="s">
        <v>641</v>
      </c>
      <c r="M5641" s="1369"/>
      <c r="N5641" s="1178"/>
      <c r="O5641" s="1178">
        <v>12</v>
      </c>
      <c r="P5641" s="1178">
        <v>18</v>
      </c>
    </row>
    <row r="5642" spans="1:16">
      <c r="A5642" s="1178" t="s">
        <v>22982</v>
      </c>
      <c r="B5642" s="1371" t="str">
        <f>HYPERLINK(IFERROR("#Main_Tariff!A"&amp;MATCH(Raeburn_Main_Tariff[[#This Row],[Product Code]],Main_Tariff!I:I,0),"#Main_Tariff!A"&amp;MATCH("*"&amp;RIGHT(A5642,8)&amp;"*",Main_Tariff!A:A,0)),Raeburn_Main_Tariff[[#This Row],[PRODUCER]])</f>
        <v>Terada Honke</v>
      </c>
      <c r="C5642" s="1178" t="s">
        <v>23005</v>
      </c>
      <c r="D5642" s="1178" t="s">
        <v>18030</v>
      </c>
      <c r="E5642" s="1179"/>
      <c r="F5642" s="1282" t="s">
        <v>22981</v>
      </c>
      <c r="G5642" s="1368">
        <v>27.5</v>
      </c>
      <c r="H5642" s="1178" t="s">
        <v>20221</v>
      </c>
      <c r="I5642" s="1178" t="s">
        <v>18213</v>
      </c>
      <c r="J5642" s="1178" t="s">
        <v>670</v>
      </c>
      <c r="K5642" s="1178" t="s">
        <v>632</v>
      </c>
      <c r="L5642" s="1178" t="s">
        <v>641</v>
      </c>
      <c r="M5642" s="1369"/>
      <c r="N5642" s="1178"/>
      <c r="O5642" s="1178">
        <v>12</v>
      </c>
      <c r="P5642" s="1178">
        <v>21</v>
      </c>
    </row>
    <row r="5643" spans="1:16">
      <c r="A5643" s="1178" t="s">
        <v>22992</v>
      </c>
      <c r="B5643" s="1371" t="str">
        <f>HYPERLINK(IFERROR("#Main_Tariff!A"&amp;MATCH(Raeburn_Main_Tariff[[#This Row],[Product Code]],Main_Tariff!I:I,0),"#Main_Tariff!A"&amp;MATCH("*"&amp;RIGHT(A5643,8)&amp;"*",Main_Tariff!A:A,0)),Raeburn_Main_Tariff[[#This Row],[PRODUCER]])</f>
        <v>Akishika Shuzo</v>
      </c>
      <c r="C5643" s="1178" t="s">
        <v>23012</v>
      </c>
      <c r="D5643" s="1178" t="s">
        <v>18030</v>
      </c>
      <c r="E5643" s="1179">
        <v>2018</v>
      </c>
      <c r="F5643" s="1282" t="s">
        <v>22981</v>
      </c>
      <c r="G5643" s="1368">
        <v>37</v>
      </c>
      <c r="H5643" s="1178" t="s">
        <v>20221</v>
      </c>
      <c r="I5643" s="1178" t="s">
        <v>18258</v>
      </c>
      <c r="J5643" s="1178" t="s">
        <v>670</v>
      </c>
      <c r="K5643" s="1178" t="s">
        <v>632</v>
      </c>
      <c r="L5643" s="1178" t="s">
        <v>641</v>
      </c>
      <c r="M5643" s="1369"/>
      <c r="N5643" s="1178"/>
      <c r="O5643" s="1178">
        <v>12</v>
      </c>
      <c r="P5643" s="1178">
        <v>17</v>
      </c>
    </row>
    <row r="5644" spans="1:16">
      <c r="A5644" s="1178" t="s">
        <v>22992</v>
      </c>
      <c r="B5644" s="1371" t="str">
        <f>HYPERLINK(IFERROR("#Main_Tariff!A"&amp;MATCH(Raeburn_Main_Tariff[[#This Row],[Product Code]],Main_Tariff!I:I,0),"#Main_Tariff!A"&amp;MATCH("*"&amp;RIGHT(A5644,8)&amp;"*",Main_Tariff!A:A,0)),Raeburn_Main_Tariff[[#This Row],[PRODUCER]])</f>
        <v>Akishika Shuzo</v>
      </c>
      <c r="C5644" s="1178" t="s">
        <v>23013</v>
      </c>
      <c r="D5644" s="1178" t="s">
        <v>18030</v>
      </c>
      <c r="E5644" s="1179" t="s">
        <v>23014</v>
      </c>
      <c r="F5644" s="1282" t="s">
        <v>23004</v>
      </c>
      <c r="G5644" s="1368">
        <v>77</v>
      </c>
      <c r="H5644" s="1178" t="s">
        <v>20224</v>
      </c>
      <c r="I5644" s="1178" t="s">
        <v>18259</v>
      </c>
      <c r="J5644" s="1178" t="s">
        <v>670</v>
      </c>
      <c r="K5644" s="1178" t="s">
        <v>632</v>
      </c>
      <c r="L5644" s="1178" t="s">
        <v>641</v>
      </c>
      <c r="M5644" s="1369"/>
      <c r="N5644" s="1178"/>
      <c r="O5644" s="1178">
        <v>6</v>
      </c>
      <c r="P5644" s="1178">
        <v>18</v>
      </c>
    </row>
    <row r="5645" spans="1:16">
      <c r="A5645" s="1178" t="s">
        <v>22982</v>
      </c>
      <c r="B5645" s="1371" t="str">
        <f>HYPERLINK(IFERROR("#Main_Tariff!A"&amp;MATCH(Raeburn_Main_Tariff[[#This Row],[Product Code]],Main_Tariff!I:I,0),"#Main_Tariff!A"&amp;MATCH("*"&amp;RIGHT(A5645,8)&amp;"*",Main_Tariff!A:A,0)),Raeburn_Main_Tariff[[#This Row],[PRODUCER]])</f>
        <v>Terada Honke</v>
      </c>
      <c r="C5645" s="1178" t="s">
        <v>23015</v>
      </c>
      <c r="D5645" s="1178" t="s">
        <v>18030</v>
      </c>
      <c r="E5645" s="1179">
        <v>2022</v>
      </c>
      <c r="F5645" s="1282" t="s">
        <v>22981</v>
      </c>
      <c r="G5645" s="1368">
        <v>39</v>
      </c>
      <c r="H5645" s="1178" t="s">
        <v>20224</v>
      </c>
      <c r="I5645" s="1178" t="s">
        <v>18263</v>
      </c>
      <c r="J5645" s="1178" t="s">
        <v>670</v>
      </c>
      <c r="K5645" s="1178" t="s">
        <v>632</v>
      </c>
      <c r="L5645" s="1178" t="s">
        <v>642</v>
      </c>
      <c r="M5645" s="1369"/>
      <c r="N5645" s="1178"/>
      <c r="O5645" s="1178">
        <v>12</v>
      </c>
      <c r="P5645" s="1178">
        <v>16</v>
      </c>
    </row>
    <row r="5646" spans="1:16">
      <c r="A5646" s="1178" t="s">
        <v>22982</v>
      </c>
      <c r="B5646" s="1371" t="str">
        <f>HYPERLINK(IFERROR("#Main_Tariff!A"&amp;MATCH(Raeburn_Main_Tariff[[#This Row],[Product Code]],Main_Tariff!I:I,0),"#Main_Tariff!A"&amp;MATCH("*"&amp;RIGHT(A5646,8)&amp;"*",Main_Tariff!A:A,0)),Raeburn_Main_Tariff[[#This Row],[PRODUCER]])</f>
        <v>Terada Honke</v>
      </c>
      <c r="C5646" s="1178" t="s">
        <v>23016</v>
      </c>
      <c r="D5646" s="1178" t="s">
        <v>18030</v>
      </c>
      <c r="E5646" s="1179">
        <v>2017</v>
      </c>
      <c r="F5646" s="1282" t="s">
        <v>22981</v>
      </c>
      <c r="G5646" s="1368">
        <v>39.75</v>
      </c>
      <c r="H5646" s="1178" t="s">
        <v>20221</v>
      </c>
      <c r="I5646" s="1178" t="s">
        <v>18264</v>
      </c>
      <c r="J5646" s="1178" t="s">
        <v>670</v>
      </c>
      <c r="K5646" s="1178" t="s">
        <v>632</v>
      </c>
      <c r="L5646" s="1178" t="s">
        <v>642</v>
      </c>
      <c r="M5646" s="1369"/>
      <c r="N5646" s="1178"/>
      <c r="O5646" s="1178">
        <v>12</v>
      </c>
      <c r="P5646" s="1178">
        <v>20</v>
      </c>
    </row>
    <row r="5647" spans="1:16">
      <c r="A5647" s="1178" t="s">
        <v>22992</v>
      </c>
      <c r="B5647" s="1371" t="str">
        <f>HYPERLINK(IFERROR("#Main_Tariff!A"&amp;MATCH(Raeburn_Main_Tariff[[#This Row],[Product Code]],Main_Tariff!I:I,0),"#Main_Tariff!A"&amp;MATCH("*"&amp;RIGHT(A5647,8)&amp;"*",Main_Tariff!A:A,0)),Raeburn_Main_Tariff[[#This Row],[PRODUCER]])</f>
        <v>Akishika Shuzo</v>
      </c>
      <c r="C5647" s="1178" t="s">
        <v>23012</v>
      </c>
      <c r="D5647" s="1178" t="s">
        <v>18030</v>
      </c>
      <c r="E5647" s="1179">
        <v>2018</v>
      </c>
      <c r="F5647" s="1282" t="s">
        <v>22981</v>
      </c>
      <c r="G5647" s="1368">
        <v>37</v>
      </c>
      <c r="H5647" s="1178" t="s">
        <v>20221</v>
      </c>
      <c r="I5647" s="1178" t="s">
        <v>18258</v>
      </c>
      <c r="J5647" s="1178" t="s">
        <v>670</v>
      </c>
      <c r="K5647" s="1178" t="s">
        <v>632</v>
      </c>
      <c r="L5647" s="1178" t="s">
        <v>643</v>
      </c>
      <c r="M5647" s="1369"/>
      <c r="N5647" s="1178"/>
      <c r="O5647" s="1178">
        <v>12</v>
      </c>
      <c r="P5647" s="1178">
        <v>17</v>
      </c>
    </row>
    <row r="5648" spans="1:16">
      <c r="A5648" s="1178" t="s">
        <v>22992</v>
      </c>
      <c r="B5648" s="1371" t="str">
        <f>HYPERLINK(IFERROR("#Main_Tariff!A"&amp;MATCH(Raeburn_Main_Tariff[[#This Row],[Product Code]],Main_Tariff!I:I,0),"#Main_Tariff!A"&amp;MATCH("*"&amp;RIGHT(A5648,8)&amp;"*",Main_Tariff!A:A,0)),Raeburn_Main_Tariff[[#This Row],[PRODUCER]])</f>
        <v>Akishika Shuzo</v>
      </c>
      <c r="C5648" s="1178" t="s">
        <v>23013</v>
      </c>
      <c r="D5648" s="1178" t="s">
        <v>18030</v>
      </c>
      <c r="E5648" s="1179"/>
      <c r="F5648" s="1282" t="s">
        <v>23004</v>
      </c>
      <c r="G5648" s="1368">
        <v>77</v>
      </c>
      <c r="H5648" s="1178" t="s">
        <v>20224</v>
      </c>
      <c r="I5648" s="1178" t="s">
        <v>18259</v>
      </c>
      <c r="J5648" s="1178" t="s">
        <v>670</v>
      </c>
      <c r="K5648" s="1178" t="s">
        <v>632</v>
      </c>
      <c r="L5648" s="1178" t="s">
        <v>643</v>
      </c>
      <c r="M5648" s="1369"/>
      <c r="N5648" s="1178"/>
      <c r="O5648" s="1178">
        <v>6</v>
      </c>
      <c r="P5648" s="1178">
        <v>18</v>
      </c>
    </row>
    <row r="5649" spans="1:16">
      <c r="A5649" s="1178" t="s">
        <v>22982</v>
      </c>
      <c r="B5649" s="1371" t="str">
        <f>HYPERLINK(IFERROR("#Main_Tariff!A"&amp;MATCH(Raeburn_Main_Tariff[[#This Row],[Product Code]],Main_Tariff!I:I,0),"#Main_Tariff!A"&amp;MATCH("*"&amp;RIGHT(A5649,8)&amp;"*",Main_Tariff!A:A,0)),Raeburn_Main_Tariff[[#This Row],[PRODUCER]])</f>
        <v>Terada Honke</v>
      </c>
      <c r="C5649" s="1178" t="s">
        <v>23017</v>
      </c>
      <c r="D5649" s="1178" t="s">
        <v>18030</v>
      </c>
      <c r="E5649" s="1179">
        <v>2006</v>
      </c>
      <c r="F5649" s="1282" t="s">
        <v>22981</v>
      </c>
      <c r="G5649" s="1368">
        <v>47</v>
      </c>
      <c r="H5649" s="1178" t="s">
        <v>20224</v>
      </c>
      <c r="I5649" s="1178" t="s">
        <v>18273</v>
      </c>
      <c r="J5649" s="1178" t="s">
        <v>670</v>
      </c>
      <c r="K5649" s="1178" t="s">
        <v>632</v>
      </c>
      <c r="L5649" s="1178" t="s">
        <v>643</v>
      </c>
      <c r="M5649" s="1369"/>
      <c r="N5649" s="1178"/>
      <c r="O5649" s="1178">
        <v>12</v>
      </c>
      <c r="P5649" s="1178">
        <v>19</v>
      </c>
    </row>
    <row r="5650" spans="1:16">
      <c r="A5650" s="1178" t="s">
        <v>22982</v>
      </c>
      <c r="B5650" s="1371" t="str">
        <f>HYPERLINK(IFERROR("#Main_Tariff!A"&amp;MATCH(Raeburn_Main_Tariff[[#This Row],[Product Code]],Main_Tariff!I:I,0),"#Main_Tariff!A"&amp;MATCH("*"&amp;RIGHT(A5650,8)&amp;"*",Main_Tariff!A:A,0)),Raeburn_Main_Tariff[[#This Row],[PRODUCER]])</f>
        <v>Terada Honke</v>
      </c>
      <c r="C5650" s="1178" t="s">
        <v>23017</v>
      </c>
      <c r="D5650" s="1178" t="s">
        <v>18030</v>
      </c>
      <c r="E5650" s="1179">
        <v>2005</v>
      </c>
      <c r="F5650" s="1282" t="s">
        <v>22981</v>
      </c>
      <c r="G5650" s="1368">
        <v>47</v>
      </c>
      <c r="H5650" s="1178" t="s">
        <v>20224</v>
      </c>
      <c r="I5650" s="1178" t="s">
        <v>18274</v>
      </c>
      <c r="J5650" s="1178" t="s">
        <v>670</v>
      </c>
      <c r="K5650" s="1178" t="s">
        <v>632</v>
      </c>
      <c r="L5650" s="1178" t="s">
        <v>643</v>
      </c>
      <c r="M5650" s="1369"/>
      <c r="N5650" s="1178"/>
      <c r="O5650" s="1178">
        <v>12</v>
      </c>
      <c r="P5650" s="1178">
        <v>19</v>
      </c>
    </row>
    <row r="5651" spans="1:16">
      <c r="A5651" s="1178" t="s">
        <v>23018</v>
      </c>
      <c r="B5651" s="1371" t="str">
        <f>HYPERLINK(IFERROR("#Main_Tariff!A"&amp;MATCH(Raeburn_Main_Tariff[[#This Row],[Product Code]],Main_Tariff!I:I,0),"#Main_Tariff!A"&amp;MATCH("*"&amp;RIGHT(A5651,8)&amp;"*",Main_Tariff!A:A,0)),Raeburn_Main_Tariff[[#This Row],[PRODUCER]])</f>
        <v>Mii No Kotobuki</v>
      </c>
      <c r="C5651" s="1178" t="s">
        <v>23019</v>
      </c>
      <c r="D5651" s="1178" t="s">
        <v>18030</v>
      </c>
      <c r="E5651" s="1179">
        <v>1999</v>
      </c>
      <c r="F5651" s="1282" t="s">
        <v>22981</v>
      </c>
      <c r="G5651" s="1368">
        <v>26.5</v>
      </c>
      <c r="H5651" s="1178" t="s">
        <v>20224</v>
      </c>
      <c r="I5651" s="1178" t="s">
        <v>18283</v>
      </c>
      <c r="J5651" s="1178" t="s">
        <v>670</v>
      </c>
      <c r="K5651" s="1178" t="s">
        <v>632</v>
      </c>
      <c r="L5651" s="1178" t="s">
        <v>643</v>
      </c>
      <c r="M5651" s="1369"/>
      <c r="N5651" s="1178"/>
      <c r="O5651" s="1178">
        <v>12</v>
      </c>
      <c r="P5651" s="1178">
        <v>16</v>
      </c>
    </row>
    <row r="5652" spans="1:16">
      <c r="A5652" s="1178" t="s">
        <v>23018</v>
      </c>
      <c r="B5652" s="1371" t="str">
        <f>HYPERLINK(IFERROR("#Main_Tariff!A"&amp;MATCH(Raeburn_Main_Tariff[[#This Row],[Product Code]],Main_Tariff!I:I,0),"#Main_Tariff!A"&amp;MATCH("*"&amp;RIGHT(A5652,8)&amp;"*",Main_Tariff!A:A,0)),Raeburn_Main_Tariff[[#This Row],[PRODUCER]])</f>
        <v>Mii No Kotobuki</v>
      </c>
      <c r="C5652" s="1178" t="s">
        <v>23020</v>
      </c>
      <c r="D5652" s="1178" t="s">
        <v>18030</v>
      </c>
      <c r="E5652" s="1179">
        <v>1999</v>
      </c>
      <c r="F5652" s="1282" t="s">
        <v>23004</v>
      </c>
      <c r="G5652" s="1368">
        <v>57.5</v>
      </c>
      <c r="H5652" s="1178" t="s">
        <v>20224</v>
      </c>
      <c r="I5652" s="1178" t="s">
        <v>18285</v>
      </c>
      <c r="J5652" s="1178" t="s">
        <v>670</v>
      </c>
      <c r="K5652" s="1178" t="s">
        <v>632</v>
      </c>
      <c r="L5652" s="1178" t="s">
        <v>643</v>
      </c>
      <c r="M5652" s="1369"/>
      <c r="N5652" s="1178"/>
      <c r="O5652" s="1178">
        <v>6</v>
      </c>
      <c r="P5652" s="1178">
        <v>16</v>
      </c>
    </row>
    <row r="5653" spans="1:16">
      <c r="A5653" s="1178" t="s">
        <v>23021</v>
      </c>
      <c r="B5653" s="1371" t="str">
        <f>HYPERLINK(IFERROR("#Main_Tariff!A"&amp;MATCH(Raeburn_Main_Tariff[[#This Row],[Product Code]],Main_Tariff!I:I,0),"#Main_Tariff!A"&amp;MATCH("*"&amp;RIGHT(A5653,8)&amp;"*",Main_Tariff!A:A,0)),Raeburn_Main_Tariff[[#This Row],[PRODUCER]])</f>
        <v xml:space="preserve">Uehara Shuzo </v>
      </c>
      <c r="C5653" s="1178" t="s">
        <v>23022</v>
      </c>
      <c r="D5653" s="1178" t="s">
        <v>18030</v>
      </c>
      <c r="E5653" s="1179">
        <v>2011</v>
      </c>
      <c r="F5653" s="1282" t="s">
        <v>22981</v>
      </c>
      <c r="G5653" s="1368">
        <v>39</v>
      </c>
      <c r="H5653" s="1178" t="s">
        <v>20221</v>
      </c>
      <c r="I5653" s="1178" t="s">
        <v>18294</v>
      </c>
      <c r="J5653" s="1178" t="s">
        <v>670</v>
      </c>
      <c r="K5653" s="1178" t="s">
        <v>632</v>
      </c>
      <c r="L5653" s="1178" t="s">
        <v>644</v>
      </c>
      <c r="M5653" s="1369"/>
      <c r="N5653" s="1178"/>
      <c r="O5653" s="1178">
        <v>12</v>
      </c>
      <c r="P5653" s="1178">
        <v>17</v>
      </c>
    </row>
    <row r="5654" spans="1:16">
      <c r="A5654" s="1178" t="s">
        <v>23009</v>
      </c>
      <c r="B5654" s="1371" t="str">
        <f>HYPERLINK(IFERROR("#Main_Tariff!A"&amp;MATCH(Raeburn_Main_Tariff[[#This Row],[Product Code]],Main_Tariff!I:I,0),"#Main_Tariff!A"&amp;MATCH("*"&amp;RIGHT(A5654,8)&amp;"*",Main_Tariff!A:A,0)),Raeburn_Main_Tariff[[#This Row],[PRODUCER]])</f>
        <v>Kidoizumi Shuzo</v>
      </c>
      <c r="C5654" s="1178" t="s">
        <v>23023</v>
      </c>
      <c r="D5654" s="1178" t="s">
        <v>18030</v>
      </c>
      <c r="E5654" s="1179">
        <v>1990</v>
      </c>
      <c r="F5654" s="1282" t="s">
        <v>22981</v>
      </c>
      <c r="G5654" s="1368">
        <v>93</v>
      </c>
      <c r="H5654" s="1178" t="s">
        <v>20224</v>
      </c>
      <c r="I5654" s="1178" t="s">
        <v>18297</v>
      </c>
      <c r="J5654" s="1178" t="s">
        <v>670</v>
      </c>
      <c r="K5654" s="1178" t="s">
        <v>632</v>
      </c>
      <c r="L5654" s="1178" t="s">
        <v>645</v>
      </c>
      <c r="M5654" s="1369"/>
      <c r="N5654" s="1178"/>
      <c r="O5654" s="1178">
        <v>6</v>
      </c>
      <c r="P5654" s="1178">
        <v>18</v>
      </c>
    </row>
    <row r="5655" spans="1:16">
      <c r="A5655" s="1178" t="s">
        <v>22984</v>
      </c>
      <c r="B5655" s="1371" t="str">
        <f>HYPERLINK(IFERROR("#Main_Tariff!A"&amp;MATCH(Raeburn_Main_Tariff[[#This Row],[Product Code]],Main_Tariff!I:I,0),"#Main_Tariff!A"&amp;MATCH("*"&amp;RIGHT(A5655,8)&amp;"*",Main_Tariff!A:A,0)),Raeburn_Main_Tariff[[#This Row],[PRODUCER]])</f>
        <v>Heiwa Shuzo</v>
      </c>
      <c r="C5655" s="1178" t="s">
        <v>23024</v>
      </c>
      <c r="D5655" s="1178" t="s">
        <v>18030</v>
      </c>
      <c r="E5655" s="1179" t="s">
        <v>23025</v>
      </c>
      <c r="F5655" s="1282" t="s">
        <v>22981</v>
      </c>
      <c r="G5655" s="1368">
        <v>22.75</v>
      </c>
      <c r="H5655" s="1178" t="s">
        <v>20221</v>
      </c>
      <c r="I5655" s="1178" t="s">
        <v>18301</v>
      </c>
      <c r="J5655" s="1178" t="s">
        <v>670</v>
      </c>
      <c r="K5655" s="1178" t="s">
        <v>632</v>
      </c>
      <c r="L5655" s="1178" t="s">
        <v>646</v>
      </c>
      <c r="M5655" s="1369"/>
      <c r="N5655" s="1178"/>
      <c r="O5655" s="1178">
        <v>12</v>
      </c>
      <c r="P5655" s="1178">
        <v>11</v>
      </c>
    </row>
    <row r="5656" spans="1:16">
      <c r="A5656" s="1178" t="s">
        <v>23018</v>
      </c>
      <c r="B5656" s="1371" t="str">
        <f>HYPERLINK(IFERROR("#Main_Tariff!A"&amp;MATCH(Raeburn_Main_Tariff[[#This Row],[Product Code]],Main_Tariff!I:I,0),"#Main_Tariff!A"&amp;MATCH("*"&amp;RIGHT(A5656,8)&amp;"*",Main_Tariff!A:A,0)),Raeburn_Main_Tariff[[#This Row],[PRODUCER]])</f>
        <v>Mii No Kotobuki</v>
      </c>
      <c r="C5656" s="1178" t="s">
        <v>23026</v>
      </c>
      <c r="D5656" s="1178" t="s">
        <v>18030</v>
      </c>
      <c r="E5656" s="1179" t="s">
        <v>23027</v>
      </c>
      <c r="F5656" s="1282" t="s">
        <v>23028</v>
      </c>
      <c r="G5656" s="1368">
        <v>12</v>
      </c>
      <c r="H5656" s="1178" t="s">
        <v>20221</v>
      </c>
      <c r="I5656" s="1178" t="s">
        <v>18307</v>
      </c>
      <c r="J5656" s="1178" t="s">
        <v>670</v>
      </c>
      <c r="K5656" s="1178" t="s">
        <v>632</v>
      </c>
      <c r="L5656" s="1178" t="s">
        <v>646</v>
      </c>
      <c r="M5656" s="1369"/>
      <c r="N5656" s="1178"/>
      <c r="O5656" s="1178">
        <v>12</v>
      </c>
      <c r="P5656" s="1178">
        <v>10</v>
      </c>
    </row>
    <row r="5657" spans="1:16">
      <c r="A5657" s="1178" t="s">
        <v>23018</v>
      </c>
      <c r="B5657" s="1371" t="str">
        <f>HYPERLINK(IFERROR("#Main_Tariff!A"&amp;MATCH(Raeburn_Main_Tariff[[#This Row],[Product Code]],Main_Tariff!I:I,0),"#Main_Tariff!A"&amp;MATCH("*"&amp;RIGHT(A5657,8)&amp;"*",Main_Tariff!A:A,0)),Raeburn_Main_Tariff[[#This Row],[PRODUCER]])</f>
        <v>Mii No Kotobuki</v>
      </c>
      <c r="C5657" s="1178" t="s">
        <v>23029</v>
      </c>
      <c r="D5657" s="1178" t="s">
        <v>18030</v>
      </c>
      <c r="E5657" s="1179" t="s">
        <v>23027</v>
      </c>
      <c r="F5657" s="1282" t="s">
        <v>22981</v>
      </c>
      <c r="G5657" s="1368">
        <v>25.5</v>
      </c>
      <c r="H5657" s="1178" t="s">
        <v>20221</v>
      </c>
      <c r="I5657" s="1178" t="s">
        <v>18308</v>
      </c>
      <c r="J5657" s="1178" t="s">
        <v>670</v>
      </c>
      <c r="K5657" s="1178" t="s">
        <v>632</v>
      </c>
      <c r="L5657" s="1178" t="s">
        <v>646</v>
      </c>
      <c r="M5657" s="1369"/>
      <c r="N5657" s="1178"/>
      <c r="O5657" s="1178">
        <v>12</v>
      </c>
      <c r="P5657" s="1178">
        <v>10</v>
      </c>
    </row>
    <row r="5658" spans="1:16">
      <c r="A5658" s="1178" t="s">
        <v>23018</v>
      </c>
      <c r="B5658" s="1371" t="str">
        <f>HYPERLINK(IFERROR("#Main_Tariff!A"&amp;MATCH(Raeburn_Main_Tariff[[#This Row],[Product Code]],Main_Tariff!I:I,0),"#Main_Tariff!A"&amp;MATCH("*"&amp;RIGHT(A5658,8)&amp;"*",Main_Tariff!A:A,0)),Raeburn_Main_Tariff[[#This Row],[PRODUCER]])</f>
        <v>Mii No Kotobuki</v>
      </c>
      <c r="C5658" s="1178" t="s">
        <v>23030</v>
      </c>
      <c r="D5658" s="1178" t="s">
        <v>18030</v>
      </c>
      <c r="E5658" s="1179" t="s">
        <v>23027</v>
      </c>
      <c r="F5658" s="1282" t="s">
        <v>23004</v>
      </c>
      <c r="G5658" s="1368">
        <v>55</v>
      </c>
      <c r="H5658" s="1178" t="s">
        <v>20221</v>
      </c>
      <c r="I5658" s="1178" t="s">
        <v>18309</v>
      </c>
      <c r="J5658" s="1178" t="s">
        <v>670</v>
      </c>
      <c r="K5658" s="1178" t="s">
        <v>632</v>
      </c>
      <c r="L5658" s="1178" t="s">
        <v>646</v>
      </c>
      <c r="M5658" s="1369"/>
      <c r="N5658" s="1178"/>
      <c r="O5658" s="1178">
        <v>6</v>
      </c>
      <c r="P5658" s="1178">
        <v>10</v>
      </c>
    </row>
    <row r="5659" spans="1:16">
      <c r="A5659" s="1178" t="s">
        <v>22984</v>
      </c>
      <c r="B5659" s="1371" t="str">
        <f>HYPERLINK(IFERROR("#Main_Tariff!A"&amp;MATCH(Raeburn_Main_Tariff[[#This Row],[Product Code]],Main_Tariff!I:I,0),"#Main_Tariff!A"&amp;MATCH("*"&amp;RIGHT(A5659,8)&amp;"*",Main_Tariff!A:A,0)),Raeburn_Main_Tariff[[#This Row],[PRODUCER]])</f>
        <v>Heiwa Shuzo</v>
      </c>
      <c r="C5659" s="1178" t="s">
        <v>23031</v>
      </c>
      <c r="D5659" s="1178" t="s">
        <v>18030</v>
      </c>
      <c r="E5659" s="1179"/>
      <c r="F5659" s="1282" t="s">
        <v>22981</v>
      </c>
      <c r="G5659" s="1368">
        <v>24</v>
      </c>
      <c r="H5659" s="1178" t="s">
        <v>20221</v>
      </c>
      <c r="I5659" s="1178" t="s">
        <v>18312</v>
      </c>
      <c r="J5659" s="1178" t="s">
        <v>670</v>
      </c>
      <c r="K5659" s="1178" t="s">
        <v>632</v>
      </c>
      <c r="L5659" s="1178" t="s">
        <v>23032</v>
      </c>
      <c r="M5659" s="1369"/>
      <c r="N5659" s="1178"/>
      <c r="O5659" s="1178">
        <v>12</v>
      </c>
      <c r="P5659" s="1178">
        <v>7</v>
      </c>
    </row>
    <row r="5660" spans="1:16">
      <c r="A5660" s="1178" t="s">
        <v>22984</v>
      </c>
      <c r="B5660" s="1371" t="str">
        <f>HYPERLINK(IFERROR("#Main_Tariff!A"&amp;MATCH(Raeburn_Main_Tariff[[#This Row],[Product Code]],Main_Tariff!I:I,0),"#Main_Tariff!A"&amp;MATCH("*"&amp;RIGHT(A5660,8)&amp;"*",Main_Tariff!A:A,0)),Raeburn_Main_Tariff[[#This Row],[PRODUCER]])</f>
        <v>Heiwa Shuzo</v>
      </c>
      <c r="C5660" s="1178" t="s">
        <v>23033</v>
      </c>
      <c r="D5660" s="1178" t="s">
        <v>18030</v>
      </c>
      <c r="E5660" s="1179"/>
      <c r="F5660" s="1282" t="s">
        <v>23004</v>
      </c>
      <c r="G5660" s="1368">
        <v>52</v>
      </c>
      <c r="H5660" s="1178" t="s">
        <v>20221</v>
      </c>
      <c r="I5660" s="1178" t="s">
        <v>18313</v>
      </c>
      <c r="J5660" s="1178" t="s">
        <v>670</v>
      </c>
      <c r="K5660" s="1178" t="s">
        <v>632</v>
      </c>
      <c r="L5660" s="1178" t="s">
        <v>23032</v>
      </c>
      <c r="M5660" s="1369"/>
      <c r="N5660" s="1178"/>
      <c r="O5660" s="1178">
        <v>6</v>
      </c>
      <c r="P5660" s="1178">
        <v>7</v>
      </c>
    </row>
    <row r="5661" spans="1:16">
      <c r="A5661" s="1178" t="s">
        <v>23034</v>
      </c>
      <c r="B5661" s="1371" t="str">
        <f>HYPERLINK(IFERROR("#Main_Tariff!A"&amp;MATCH(Raeburn_Main_Tariff[[#This Row],[Product Code]],Main_Tariff!I:I,0),"#Main_Tariff!A"&amp;MATCH("*"&amp;RIGHT(A5661,8)&amp;"*",Main_Tariff!A:A,0)),Raeburn_Main_Tariff[[#This Row],[PRODUCER]])</f>
        <v>Miyako Bijin</v>
      </c>
      <c r="C5661" s="1178" t="s">
        <v>23035</v>
      </c>
      <c r="D5661" s="1178" t="s">
        <v>18030</v>
      </c>
      <c r="E5661" s="1179"/>
      <c r="F5661" s="1282" t="s">
        <v>22981</v>
      </c>
      <c r="G5661" s="1368">
        <v>23</v>
      </c>
      <c r="H5661" s="1178" t="s">
        <v>20221</v>
      </c>
      <c r="I5661" s="1178" t="s">
        <v>18317</v>
      </c>
      <c r="J5661" s="1178" t="s">
        <v>670</v>
      </c>
      <c r="K5661" s="1178" t="s">
        <v>632</v>
      </c>
      <c r="L5661" s="1178" t="s">
        <v>23032</v>
      </c>
      <c r="M5661" s="1369"/>
      <c r="N5661" s="1178"/>
      <c r="O5661" s="1178">
        <v>12</v>
      </c>
      <c r="P5661" s="1178">
        <v>7</v>
      </c>
    </row>
    <row r="5662" spans="1:16">
      <c r="A5662" s="1178" t="s">
        <v>23034</v>
      </c>
      <c r="B5662" s="1371" t="str">
        <f>HYPERLINK(IFERROR("#Main_Tariff!A"&amp;MATCH(Raeburn_Main_Tariff[[#This Row],[Product Code]],Main_Tariff!I:I,0),"#Main_Tariff!A"&amp;MATCH("*"&amp;RIGHT(A5662,8)&amp;"*",Main_Tariff!A:A,0)),Raeburn_Main_Tariff[[#This Row],[PRODUCER]])</f>
        <v>Miyako Bijin</v>
      </c>
      <c r="C5662" s="1178" t="s">
        <v>23036</v>
      </c>
      <c r="D5662" s="1178" t="s">
        <v>18030</v>
      </c>
      <c r="E5662" s="1179"/>
      <c r="F5662" s="1282" t="s">
        <v>23004</v>
      </c>
      <c r="G5662" s="1368"/>
      <c r="H5662" s="1178" t="s">
        <v>3907</v>
      </c>
      <c r="I5662" s="1178" t="s">
        <v>18319</v>
      </c>
      <c r="J5662" s="1178" t="s">
        <v>670</v>
      </c>
      <c r="K5662" s="1178" t="s">
        <v>632</v>
      </c>
      <c r="L5662" s="1178" t="s">
        <v>23032</v>
      </c>
      <c r="M5662" s="1369"/>
      <c r="N5662" s="1178"/>
      <c r="O5662" s="1178">
        <v>6</v>
      </c>
      <c r="P5662" s="1178">
        <v>7</v>
      </c>
    </row>
    <row r="5663" spans="1:16">
      <c r="A5663" s="1178" t="s">
        <v>672</v>
      </c>
      <c r="B5663" s="1371" t="str">
        <f>HYPERLINK(IFERROR("#Main_Tariff!A"&amp;MATCH(Raeburn_Main_Tariff[[#This Row],[Product Code]],Main_Tariff!I:I,0),"#Main_Tariff!A"&amp;MATCH("*"&amp;RIGHT(A5663,8)&amp;"*",Main_Tariff!A:A,0)),Raeburn_Main_Tariff[[#This Row],[PRODUCER]])</f>
        <v>Manzen Shuzo</v>
      </c>
      <c r="C5663" s="1178" t="s">
        <v>23037</v>
      </c>
      <c r="D5663" s="1178" t="s">
        <v>6904</v>
      </c>
      <c r="E5663" s="1179" t="s">
        <v>19060</v>
      </c>
      <c r="F5663" s="1282" t="s">
        <v>22981</v>
      </c>
      <c r="G5663" s="1368">
        <v>36.25</v>
      </c>
      <c r="H5663" s="1178" t="s">
        <v>20221</v>
      </c>
      <c r="I5663" s="1178" t="s">
        <v>18326</v>
      </c>
      <c r="J5663" s="1178" t="s">
        <v>670</v>
      </c>
      <c r="K5663" s="1178" t="s">
        <v>23038</v>
      </c>
      <c r="L5663" s="1178"/>
      <c r="M5663" s="1369"/>
      <c r="N5663" s="1178"/>
      <c r="O5663" s="1178">
        <v>12</v>
      </c>
      <c r="P5663" s="1178">
        <v>25</v>
      </c>
    </row>
    <row r="5664" spans="1:16">
      <c r="A5664" s="1178" t="s">
        <v>672</v>
      </c>
      <c r="B5664" s="1371" t="str">
        <f>HYPERLINK(IFERROR("#Main_Tariff!A"&amp;MATCH(Raeburn_Main_Tariff[[#This Row],[Product Code]],Main_Tariff!I:I,0),"#Main_Tariff!A"&amp;MATCH("*"&amp;RIGHT(A5664,8)&amp;"*",Main_Tariff!A:A,0)),Raeburn_Main_Tariff[[#This Row],[PRODUCER]])</f>
        <v>Manzen Shuzo</v>
      </c>
      <c r="C5664" s="1178" t="s">
        <v>23039</v>
      </c>
      <c r="D5664" s="1178" t="s">
        <v>6904</v>
      </c>
      <c r="E5664" s="1179" t="s">
        <v>19060</v>
      </c>
      <c r="F5664" s="1282" t="s">
        <v>23004</v>
      </c>
      <c r="G5664" s="1368">
        <v>75.5</v>
      </c>
      <c r="H5664" s="1178" t="s">
        <v>20224</v>
      </c>
      <c r="I5664" s="1178" t="s">
        <v>18328</v>
      </c>
      <c r="J5664" s="1178" t="s">
        <v>670</v>
      </c>
      <c r="K5664" s="1178" t="s">
        <v>23038</v>
      </c>
      <c r="L5664" s="1178"/>
      <c r="M5664" s="1369"/>
      <c r="N5664" s="1178"/>
      <c r="O5664" s="1178">
        <v>6</v>
      </c>
      <c r="P5664" s="1178">
        <v>25</v>
      </c>
    </row>
    <row r="5665" spans="1:16">
      <c r="A5665" s="1178" t="s">
        <v>650</v>
      </c>
      <c r="B5665" s="1371" t="str">
        <f>HYPERLINK(IFERROR("#Main_Tariff!A"&amp;MATCH(Raeburn_Main_Tariff[[#This Row],[Product Code]],Main_Tariff!I:I,0),"#Main_Tariff!A"&amp;MATCH("*"&amp;RIGHT(A5665,8)&amp;"*",Main_Tariff!A:A,0)),Raeburn_Main_Tariff[[#This Row],[PRODUCER]])</f>
        <v>Niepoort</v>
      </c>
      <c r="C5665" s="1178" t="s">
        <v>23040</v>
      </c>
      <c r="D5665" s="1178" t="s">
        <v>22111</v>
      </c>
      <c r="E5665" s="1179"/>
      <c r="F5665" s="1282" t="s">
        <v>23041</v>
      </c>
      <c r="G5665" s="1368" t="s">
        <v>5258</v>
      </c>
      <c r="H5665" s="1178" t="s">
        <v>20221</v>
      </c>
      <c r="I5665" s="1178" t="s">
        <v>18348</v>
      </c>
      <c r="J5665" s="1178" t="s">
        <v>23042</v>
      </c>
      <c r="K5665" s="1178" t="s">
        <v>649</v>
      </c>
      <c r="L5665" s="1178"/>
      <c r="M5665" s="1369"/>
      <c r="N5665" s="1178"/>
      <c r="O5665" s="1178">
        <v>1</v>
      </c>
      <c r="P5665" s="1178">
        <v>0</v>
      </c>
    </row>
    <row r="5666" spans="1:16">
      <c r="A5666" s="1178" t="s">
        <v>650</v>
      </c>
      <c r="B5666" s="1371" t="str">
        <f>HYPERLINK(IFERROR("#Main_Tariff!A"&amp;MATCH(Raeburn_Main_Tariff[[#This Row],[Product Code]],Main_Tariff!I:I,0),"#Main_Tariff!A"&amp;MATCH("*"&amp;RIGHT(A5666,8)&amp;"*",Main_Tariff!A:A,0)),Raeburn_Main_Tariff[[#This Row],[PRODUCER]])</f>
        <v>Niepoort</v>
      </c>
      <c r="C5666" s="1178" t="s">
        <v>22356</v>
      </c>
      <c r="D5666" s="1178" t="s">
        <v>14689</v>
      </c>
      <c r="E5666" s="1179" t="s">
        <v>22357</v>
      </c>
      <c r="F5666" s="1282" t="s">
        <v>20220</v>
      </c>
      <c r="G5666" s="1368">
        <v>18.5</v>
      </c>
      <c r="H5666" s="1178" t="s">
        <v>20221</v>
      </c>
      <c r="I5666" s="1178" t="s">
        <v>14690</v>
      </c>
      <c r="J5666" s="1178" t="s">
        <v>23042</v>
      </c>
      <c r="K5666" s="1178" t="s">
        <v>649</v>
      </c>
      <c r="L5666" s="1178"/>
      <c r="M5666" s="1369"/>
      <c r="N5666" s="1178"/>
      <c r="O5666" s="1178">
        <v>6</v>
      </c>
      <c r="P5666" s="1178">
        <v>19.5</v>
      </c>
    </row>
    <row r="5667" spans="1:16">
      <c r="A5667" s="1178" t="s">
        <v>650</v>
      </c>
      <c r="B5667" s="1371" t="str">
        <f>HYPERLINK(IFERROR("#Main_Tariff!A"&amp;MATCH(Raeburn_Main_Tariff[[#This Row],[Product Code]],Main_Tariff!I:I,0),"#Main_Tariff!A"&amp;MATCH("*"&amp;RIGHT(A5667,8)&amp;"*",Main_Tariff!A:A,0)),Raeburn_Main_Tariff[[#This Row],[PRODUCER]])</f>
        <v>Niepoort</v>
      </c>
      <c r="C5667" s="1178" t="s">
        <v>22358</v>
      </c>
      <c r="D5667" s="1178" t="s">
        <v>14689</v>
      </c>
      <c r="E5667" s="1179" t="s">
        <v>22359</v>
      </c>
      <c r="F5667" s="1282" t="s">
        <v>20280</v>
      </c>
      <c r="G5667" s="1368">
        <v>25</v>
      </c>
      <c r="H5667" s="1178" t="s">
        <v>20221</v>
      </c>
      <c r="I5667" s="1178" t="s">
        <v>14692</v>
      </c>
      <c r="J5667" s="1178" t="s">
        <v>23042</v>
      </c>
      <c r="K5667" s="1178" t="s">
        <v>649</v>
      </c>
      <c r="L5667" s="1178"/>
      <c r="M5667" s="1369"/>
      <c r="N5667" s="1178"/>
      <c r="O5667" s="1178">
        <v>12</v>
      </c>
      <c r="P5667" s="1178">
        <v>20</v>
      </c>
    </row>
    <row r="5668" spans="1:16">
      <c r="A5668" s="1178" t="s">
        <v>650</v>
      </c>
      <c r="B5668" s="1371" t="str">
        <f>HYPERLINK(IFERROR("#Main_Tariff!A"&amp;MATCH(Raeburn_Main_Tariff[[#This Row],[Product Code]],Main_Tariff!I:I,0),"#Main_Tariff!A"&amp;MATCH("*"&amp;RIGHT(A5668,8)&amp;"*",Main_Tariff!A:A,0)),Raeburn_Main_Tariff[[#This Row],[PRODUCER]])</f>
        <v>Niepoort</v>
      </c>
      <c r="C5668" s="1178" t="s">
        <v>23043</v>
      </c>
      <c r="D5668" s="1178" t="s">
        <v>18354</v>
      </c>
      <c r="E5668" s="1179" t="s">
        <v>23044</v>
      </c>
      <c r="F5668" s="1282" t="s">
        <v>20220</v>
      </c>
      <c r="G5668" s="1368">
        <v>14</v>
      </c>
      <c r="H5668" s="1178" t="s">
        <v>20221</v>
      </c>
      <c r="I5668" s="1178" t="s">
        <v>23360</v>
      </c>
      <c r="J5668" s="1178" t="s">
        <v>23042</v>
      </c>
      <c r="K5668" s="1178" t="s">
        <v>649</v>
      </c>
      <c r="L5668" s="1178"/>
      <c r="M5668" s="1369"/>
      <c r="N5668" s="1178"/>
      <c r="O5668" s="1178">
        <v>6</v>
      </c>
      <c r="P5668" s="1178">
        <v>19.5</v>
      </c>
    </row>
    <row r="5669" spans="1:16">
      <c r="A5669" s="1178" t="s">
        <v>650</v>
      </c>
      <c r="B5669" s="1371" t="str">
        <f>HYPERLINK(IFERROR("#Main_Tariff!A"&amp;MATCH(Raeburn_Main_Tariff[[#This Row],[Product Code]],Main_Tariff!I:I,0),"#Main_Tariff!A"&amp;MATCH("*"&amp;RIGHT(A5669,8)&amp;"*",Main_Tariff!A:A,0)),Raeburn_Main_Tariff[[#This Row],[PRODUCER]])</f>
        <v>Niepoort</v>
      </c>
      <c r="C5669" s="1178" t="s">
        <v>23045</v>
      </c>
      <c r="D5669" s="1178" t="s">
        <v>18354</v>
      </c>
      <c r="E5669" s="1179" t="s">
        <v>23046</v>
      </c>
      <c r="F5669" s="1282" t="s">
        <v>20220</v>
      </c>
      <c r="G5669" s="1368">
        <v>24</v>
      </c>
      <c r="H5669" s="1178" t="s">
        <v>20221</v>
      </c>
      <c r="I5669" s="1178" t="s">
        <v>18356</v>
      </c>
      <c r="J5669" s="1178" t="s">
        <v>23042</v>
      </c>
      <c r="K5669" s="1178" t="s">
        <v>649</v>
      </c>
      <c r="L5669" s="1178"/>
      <c r="M5669" s="1369"/>
      <c r="N5669" s="1178"/>
      <c r="O5669" s="1178">
        <v>6</v>
      </c>
      <c r="P5669" s="1178">
        <v>20</v>
      </c>
    </row>
    <row r="5670" spans="1:16">
      <c r="A5670" s="1178" t="s">
        <v>650</v>
      </c>
      <c r="B5670" s="1371" t="str">
        <f>HYPERLINK(IFERROR("#Main_Tariff!A"&amp;MATCH(Raeburn_Main_Tariff[[#This Row],[Product Code]],Main_Tariff!I:I,0),"#Main_Tariff!A"&amp;MATCH("*"&amp;RIGHT(A5670,8)&amp;"*",Main_Tariff!A:A,0)),Raeburn_Main_Tariff[[#This Row],[PRODUCER]])</f>
        <v>Niepoort</v>
      </c>
      <c r="C5670" s="1178" t="s">
        <v>23047</v>
      </c>
      <c r="D5670" s="1178" t="s">
        <v>18354</v>
      </c>
      <c r="E5670" s="1179">
        <v>1968</v>
      </c>
      <c r="F5670" s="1282" t="s">
        <v>20220</v>
      </c>
      <c r="G5670" s="1368">
        <v>480.25</v>
      </c>
      <c r="H5670" s="1178" t="s">
        <v>20221</v>
      </c>
      <c r="I5670" s="1178" t="s">
        <v>18358</v>
      </c>
      <c r="J5670" s="1178" t="s">
        <v>23042</v>
      </c>
      <c r="K5670" s="1178" t="s">
        <v>649</v>
      </c>
      <c r="L5670" s="1178"/>
      <c r="M5670" s="1369"/>
      <c r="N5670" s="1178"/>
      <c r="O5670" s="1178">
        <v>1</v>
      </c>
      <c r="P5670" s="1178">
        <v>20</v>
      </c>
    </row>
    <row r="5671" spans="1:16">
      <c r="A5671" s="1178" t="s">
        <v>650</v>
      </c>
      <c r="B5671" s="1371" t="str">
        <f>HYPERLINK(IFERROR("#Main_Tariff!A"&amp;MATCH(Raeburn_Main_Tariff[[#This Row],[Product Code]],Main_Tariff!I:I,0),"#Main_Tariff!A"&amp;MATCH("*"&amp;RIGHT(A5671,8)&amp;"*",Main_Tariff!A:A,0)),Raeburn_Main_Tariff[[#This Row],[PRODUCER]])</f>
        <v>Niepoort</v>
      </c>
      <c r="C5671" s="1178" t="s">
        <v>23048</v>
      </c>
      <c r="D5671" s="1178" t="s">
        <v>10155</v>
      </c>
      <c r="E5671" s="1179">
        <v>2009</v>
      </c>
      <c r="F5671" s="1282" t="s">
        <v>20280</v>
      </c>
      <c r="G5671" s="1368">
        <v>15.75</v>
      </c>
      <c r="H5671" s="1178" t="s">
        <v>20221</v>
      </c>
      <c r="I5671" s="1178" t="s">
        <v>18361</v>
      </c>
      <c r="J5671" s="1178" t="s">
        <v>23042</v>
      </c>
      <c r="K5671" s="1178" t="s">
        <v>649</v>
      </c>
      <c r="L5671" s="1178"/>
      <c r="M5671" s="1369"/>
      <c r="N5671" s="1178"/>
      <c r="O5671" s="1178">
        <v>12</v>
      </c>
      <c r="P5671" s="1178">
        <v>20</v>
      </c>
    </row>
    <row r="5672" spans="1:16">
      <c r="A5672" s="1178" t="s">
        <v>650</v>
      </c>
      <c r="B5672" s="1371" t="str">
        <f>HYPERLINK(IFERROR("#Main_Tariff!A"&amp;MATCH(Raeburn_Main_Tariff[[#This Row],[Product Code]],Main_Tariff!I:I,0),"#Main_Tariff!A"&amp;MATCH("*"&amp;RIGHT(A5672,8)&amp;"*",Main_Tariff!A:A,0)),Raeburn_Main_Tariff[[#This Row],[PRODUCER]])</f>
        <v>Niepoort</v>
      </c>
      <c r="C5672" s="1178" t="s">
        <v>23049</v>
      </c>
      <c r="D5672" s="1178" t="s">
        <v>10155</v>
      </c>
      <c r="E5672" s="1179">
        <v>2017</v>
      </c>
      <c r="F5672" s="1282" t="s">
        <v>20280</v>
      </c>
      <c r="G5672" s="1368">
        <v>9.5</v>
      </c>
      <c r="H5672" s="1178" t="s">
        <v>20221</v>
      </c>
      <c r="I5672" s="1178" t="s">
        <v>18363</v>
      </c>
      <c r="J5672" s="1178" t="s">
        <v>23042</v>
      </c>
      <c r="K5672" s="1178" t="s">
        <v>649</v>
      </c>
      <c r="L5672" s="1178"/>
      <c r="M5672" s="1369"/>
      <c r="N5672" s="1178"/>
      <c r="O5672" s="1178">
        <v>12</v>
      </c>
      <c r="P5672" s="1178">
        <v>19.5</v>
      </c>
    </row>
    <row r="5673" spans="1:16">
      <c r="A5673" s="1178" t="s">
        <v>650</v>
      </c>
      <c r="B5673" s="1371" t="str">
        <f>HYPERLINK(IFERROR("#Main_Tariff!A"&amp;MATCH(Raeburn_Main_Tariff[[#This Row],[Product Code]],Main_Tariff!I:I,0),"#Main_Tariff!A"&amp;MATCH("*"&amp;RIGHT(A5673,8)&amp;"*",Main_Tariff!A:A,0)),Raeburn_Main_Tariff[[#This Row],[PRODUCER]])</f>
        <v>Niepoort</v>
      </c>
      <c r="C5673" s="1178" t="s">
        <v>23050</v>
      </c>
      <c r="D5673" s="1178" t="s">
        <v>10155</v>
      </c>
      <c r="E5673" s="1179"/>
      <c r="F5673" s="1282" t="s">
        <v>20280</v>
      </c>
      <c r="G5673" s="1368"/>
      <c r="H5673" s="1178" t="s">
        <v>3907</v>
      </c>
      <c r="I5673" s="1178" t="s">
        <v>18365</v>
      </c>
      <c r="J5673" s="1178" t="s">
        <v>23042</v>
      </c>
      <c r="K5673" s="1178" t="s">
        <v>649</v>
      </c>
      <c r="L5673" s="1178"/>
      <c r="M5673" s="1369"/>
      <c r="N5673" s="1178"/>
      <c r="O5673" s="1178">
        <v>12</v>
      </c>
      <c r="P5673" s="1178">
        <v>20</v>
      </c>
    </row>
    <row r="5674" spans="1:16">
      <c r="A5674" s="1178" t="s">
        <v>650</v>
      </c>
      <c r="B5674" s="1371" t="str">
        <f>HYPERLINK(IFERROR("#Main_Tariff!A"&amp;MATCH(Raeburn_Main_Tariff[[#This Row],[Product Code]],Main_Tariff!I:I,0),"#Main_Tariff!A"&amp;MATCH("*"&amp;RIGHT(A5674,8)&amp;"*",Main_Tariff!A:A,0)),Raeburn_Main_Tariff[[#This Row],[PRODUCER]])</f>
        <v>Niepoort</v>
      </c>
      <c r="C5674" s="1178" t="s">
        <v>23051</v>
      </c>
      <c r="D5674" s="1178" t="s">
        <v>10155</v>
      </c>
      <c r="E5674" s="1179"/>
      <c r="F5674" s="1282" t="s">
        <v>20220</v>
      </c>
      <c r="G5674" s="1368"/>
      <c r="H5674" s="1178" t="s">
        <v>3907</v>
      </c>
      <c r="I5674" s="1178" t="s">
        <v>18368</v>
      </c>
      <c r="J5674" s="1178" t="s">
        <v>23042</v>
      </c>
      <c r="K5674" s="1178" t="s">
        <v>649</v>
      </c>
      <c r="L5674" s="1178"/>
      <c r="M5674" s="1369"/>
      <c r="N5674" s="1178"/>
      <c r="O5674" s="1178">
        <v>6</v>
      </c>
      <c r="P5674" s="1178">
        <v>19.5</v>
      </c>
    </row>
    <row r="5675" spans="1:16">
      <c r="A5675" s="1178" t="s">
        <v>650</v>
      </c>
      <c r="B5675" s="1371" t="str">
        <f>HYPERLINK(IFERROR("#Main_Tariff!A"&amp;MATCH(Raeburn_Main_Tariff[[#This Row],[Product Code]],Main_Tariff!I:I,0),"#Main_Tariff!A"&amp;MATCH("*"&amp;RIGHT(A5675,8)&amp;"*",Main_Tariff!A:A,0)),Raeburn_Main_Tariff[[#This Row],[PRODUCER]])</f>
        <v>Niepoort</v>
      </c>
      <c r="C5675" s="1178" t="s">
        <v>23052</v>
      </c>
      <c r="D5675" s="1178" t="s">
        <v>10155</v>
      </c>
      <c r="E5675" s="1179" t="s">
        <v>23046</v>
      </c>
      <c r="F5675" s="1282" t="s">
        <v>20220</v>
      </c>
      <c r="G5675" s="1368">
        <v>25.75</v>
      </c>
      <c r="H5675" s="1178" t="s">
        <v>20221</v>
      </c>
      <c r="I5675" s="1178" t="s">
        <v>23291</v>
      </c>
      <c r="J5675" s="1178" t="s">
        <v>23042</v>
      </c>
      <c r="K5675" s="1178" t="s">
        <v>649</v>
      </c>
      <c r="L5675" s="1178"/>
      <c r="M5675" s="1369"/>
      <c r="N5675" s="1178"/>
      <c r="O5675" s="1178">
        <v>6</v>
      </c>
      <c r="P5675" s="1178">
        <v>19.5</v>
      </c>
    </row>
    <row r="5676" spans="1:16">
      <c r="A5676" s="1178" t="s">
        <v>650</v>
      </c>
      <c r="B5676" s="1371" t="str">
        <f>HYPERLINK(IFERROR("#Main_Tariff!A"&amp;MATCH(Raeburn_Main_Tariff[[#This Row],[Product Code]],Main_Tariff!I:I,0),"#Main_Tariff!A"&amp;MATCH("*"&amp;RIGHT(A5676,8)&amp;"*",Main_Tariff!A:A,0)),Raeburn_Main_Tariff[[#This Row],[PRODUCER]])</f>
        <v>Niepoort</v>
      </c>
      <c r="C5676" s="1178" t="s">
        <v>23053</v>
      </c>
      <c r="D5676" s="1178" t="s">
        <v>10155</v>
      </c>
      <c r="E5676" s="1179" t="s">
        <v>22359</v>
      </c>
      <c r="F5676" s="1282" t="s">
        <v>20220</v>
      </c>
      <c r="G5676" s="1368">
        <v>41.5</v>
      </c>
      <c r="H5676" s="1178" t="s">
        <v>20221</v>
      </c>
      <c r="I5676" s="1178" t="s">
        <v>18371</v>
      </c>
      <c r="J5676" s="1178" t="s">
        <v>23042</v>
      </c>
      <c r="K5676" s="1178" t="s">
        <v>649</v>
      </c>
      <c r="L5676" s="1178"/>
      <c r="M5676" s="1369"/>
      <c r="N5676" s="1178"/>
      <c r="O5676" s="1178">
        <v>6</v>
      </c>
      <c r="P5676" s="1178">
        <v>20</v>
      </c>
    </row>
    <row r="5677" spans="1:16">
      <c r="A5677" s="1178" t="s">
        <v>650</v>
      </c>
      <c r="B5677" s="1371" t="str">
        <f>HYPERLINK(IFERROR("#Main_Tariff!A"&amp;MATCH(Raeburn_Main_Tariff[[#This Row],[Product Code]],Main_Tariff!I:I,0),"#Main_Tariff!A"&amp;MATCH("*"&amp;RIGHT(A5677,8)&amp;"*",Main_Tariff!A:A,0)),Raeburn_Main_Tariff[[#This Row],[PRODUCER]])</f>
        <v>Niepoort</v>
      </c>
      <c r="C5677" s="1178" t="s">
        <v>23054</v>
      </c>
      <c r="D5677" s="1178" t="s">
        <v>10155</v>
      </c>
      <c r="E5677" s="1179" t="s">
        <v>23055</v>
      </c>
      <c r="F5677" s="1282" t="s">
        <v>20220</v>
      </c>
      <c r="G5677" s="1368">
        <v>93.75</v>
      </c>
      <c r="H5677" s="1178" t="s">
        <v>20277</v>
      </c>
      <c r="I5677" s="1178" t="s">
        <v>18373</v>
      </c>
      <c r="J5677" s="1178" t="s">
        <v>23042</v>
      </c>
      <c r="K5677" s="1178" t="s">
        <v>649</v>
      </c>
      <c r="L5677" s="1178"/>
      <c r="M5677" s="1369"/>
      <c r="N5677" s="1178"/>
      <c r="O5677" s="1178">
        <v>6</v>
      </c>
      <c r="P5677" s="1178">
        <v>20.5</v>
      </c>
    </row>
    <row r="5678" spans="1:16">
      <c r="A5678" s="1178" t="s">
        <v>650</v>
      </c>
      <c r="B5678" s="1371" t="str">
        <f>HYPERLINK(IFERROR("#Main_Tariff!A"&amp;MATCH(Raeburn_Main_Tariff[[#This Row],[Product Code]],Main_Tariff!I:I,0),"#Main_Tariff!A"&amp;MATCH("*"&amp;RIGHT(A5678,8)&amp;"*",Main_Tariff!A:A,0)),Raeburn_Main_Tariff[[#This Row],[PRODUCER]])</f>
        <v>Niepoort</v>
      </c>
      <c r="C5678" s="1178" t="s">
        <v>23056</v>
      </c>
      <c r="D5678" s="1178" t="s">
        <v>10155</v>
      </c>
      <c r="E5678" s="1179">
        <v>2012</v>
      </c>
      <c r="F5678" s="1282" t="s">
        <v>20220</v>
      </c>
      <c r="G5678" s="1368">
        <v>28.25</v>
      </c>
      <c r="H5678" s="1178" t="s">
        <v>20221</v>
      </c>
      <c r="I5678" s="1178" t="s">
        <v>18375</v>
      </c>
      <c r="J5678" s="1178" t="s">
        <v>23042</v>
      </c>
      <c r="K5678" s="1178" t="s">
        <v>649</v>
      </c>
      <c r="L5678" s="1178"/>
      <c r="M5678" s="1369"/>
      <c r="N5678" s="1178"/>
      <c r="O5678" s="1178">
        <v>6</v>
      </c>
      <c r="P5678" s="1178">
        <v>19.5</v>
      </c>
    </row>
    <row r="5679" spans="1:16">
      <c r="A5679" s="1178" t="s">
        <v>650</v>
      </c>
      <c r="B5679" s="1371" t="str">
        <f>HYPERLINK(IFERROR("#Main_Tariff!A"&amp;MATCH(Raeburn_Main_Tariff[[#This Row],[Product Code]],Main_Tariff!I:I,0),"#Main_Tariff!A"&amp;MATCH("*"&amp;RIGHT(A5679,8)&amp;"*",Main_Tariff!A:A,0)),Raeburn_Main_Tariff[[#This Row],[PRODUCER]])</f>
        <v>Niepoort</v>
      </c>
      <c r="C5679" s="1178" t="s">
        <v>23056</v>
      </c>
      <c r="D5679" s="1178" t="s">
        <v>10155</v>
      </c>
      <c r="E5679" s="1179">
        <v>2010</v>
      </c>
      <c r="F5679" s="1282" t="s">
        <v>20220</v>
      </c>
      <c r="G5679" s="1368">
        <v>27.25</v>
      </c>
      <c r="H5679" s="1178" t="s">
        <v>20221</v>
      </c>
      <c r="I5679" s="1178" t="s">
        <v>18377</v>
      </c>
      <c r="J5679" s="1178" t="s">
        <v>23042</v>
      </c>
      <c r="K5679" s="1178" t="s">
        <v>649</v>
      </c>
      <c r="L5679" s="1178"/>
      <c r="M5679" s="1369"/>
      <c r="N5679" s="1178"/>
      <c r="O5679" s="1178">
        <v>6</v>
      </c>
      <c r="P5679" s="1178">
        <v>19.5</v>
      </c>
    </row>
    <row r="5680" spans="1:16">
      <c r="A5680" s="1178" t="s">
        <v>650</v>
      </c>
      <c r="B5680" s="1371" t="str">
        <f>HYPERLINK(IFERROR("#Main_Tariff!A"&amp;MATCH(Raeburn_Main_Tariff[[#This Row],[Product Code]],Main_Tariff!I:I,0),"#Main_Tariff!A"&amp;MATCH("*"&amp;RIGHT(A5680,8)&amp;"*",Main_Tariff!A:A,0)),Raeburn_Main_Tariff[[#This Row],[PRODUCER]])</f>
        <v>Niepoort</v>
      </c>
      <c r="C5680" s="1178" t="s">
        <v>23057</v>
      </c>
      <c r="D5680" s="1178" t="s">
        <v>10155</v>
      </c>
      <c r="E5680" s="1179">
        <v>2003</v>
      </c>
      <c r="F5680" s="1282" t="s">
        <v>20220</v>
      </c>
      <c r="G5680" s="1368">
        <v>51.25</v>
      </c>
      <c r="H5680" s="1178" t="s">
        <v>20221</v>
      </c>
      <c r="I5680" s="1178" t="s">
        <v>18379</v>
      </c>
      <c r="J5680" s="1178" t="s">
        <v>23042</v>
      </c>
      <c r="K5680" s="1178" t="s">
        <v>649</v>
      </c>
      <c r="L5680" s="1178"/>
      <c r="M5680" s="1369"/>
      <c r="N5680" s="1178"/>
      <c r="O5680" s="1178">
        <v>6</v>
      </c>
      <c r="P5680" s="1178">
        <v>20.5</v>
      </c>
    </row>
    <row r="5681" spans="1:16">
      <c r="A5681" s="1178" t="s">
        <v>650</v>
      </c>
      <c r="B5681" s="1371" t="str">
        <f>HYPERLINK(IFERROR("#Main_Tariff!A"&amp;MATCH(Raeburn_Main_Tariff[[#This Row],[Product Code]],Main_Tariff!I:I,0),"#Main_Tariff!A"&amp;MATCH("*"&amp;RIGHT(A5681,8)&amp;"*",Main_Tariff!A:A,0)),Raeburn_Main_Tariff[[#This Row],[PRODUCER]])</f>
        <v>Niepoort</v>
      </c>
      <c r="C5681" s="1178" t="s">
        <v>23058</v>
      </c>
      <c r="D5681" s="1178" t="s">
        <v>10155</v>
      </c>
      <c r="E5681" s="1179">
        <v>1968</v>
      </c>
      <c r="F5681" s="1282" t="s">
        <v>20220</v>
      </c>
      <c r="G5681" s="1368">
        <v>215.25</v>
      </c>
      <c r="H5681" s="1178" t="s">
        <v>20224</v>
      </c>
      <c r="I5681" s="1178" t="s">
        <v>18380</v>
      </c>
      <c r="J5681" s="1178" t="s">
        <v>23042</v>
      </c>
      <c r="K5681" s="1178" t="s">
        <v>649</v>
      </c>
      <c r="L5681" s="1178"/>
      <c r="M5681" s="1369"/>
      <c r="N5681" s="1178"/>
      <c r="O5681" s="1178">
        <v>1</v>
      </c>
      <c r="P5681" s="1178">
        <v>20.5</v>
      </c>
    </row>
    <row r="5682" spans="1:16">
      <c r="A5682" s="1178" t="s">
        <v>650</v>
      </c>
      <c r="B5682" s="1371" t="str">
        <f>HYPERLINK(IFERROR("#Main_Tariff!A"&amp;MATCH(Raeburn_Main_Tariff[[#This Row],[Product Code]],Main_Tariff!I:I,0),"#Main_Tariff!A"&amp;MATCH("*"&amp;RIGHT(A5682,8)&amp;"*",Main_Tariff!A:A,0)),Raeburn_Main_Tariff[[#This Row],[PRODUCER]])</f>
        <v>Niepoort</v>
      </c>
      <c r="C5682" s="1178" t="s">
        <v>23059</v>
      </c>
      <c r="D5682" s="1178" t="s">
        <v>10155</v>
      </c>
      <c r="E5682" s="1179">
        <v>1977</v>
      </c>
      <c r="F5682" s="1282" t="s">
        <v>20220</v>
      </c>
      <c r="G5682" s="1368" t="s">
        <v>5258</v>
      </c>
      <c r="H5682" s="1178" t="s">
        <v>20224</v>
      </c>
      <c r="I5682" s="1178" t="s">
        <v>18381</v>
      </c>
      <c r="J5682" s="1178" t="s">
        <v>23042</v>
      </c>
      <c r="K5682" s="1178" t="s">
        <v>649</v>
      </c>
      <c r="L5682" s="1178"/>
      <c r="M5682" s="1369"/>
      <c r="N5682" s="1178"/>
      <c r="O5682" s="1178">
        <v>1</v>
      </c>
      <c r="P5682" s="1178">
        <v>20</v>
      </c>
    </row>
    <row r="5683" spans="1:16">
      <c r="A5683" s="1178" t="s">
        <v>650</v>
      </c>
      <c r="B5683" s="1371" t="str">
        <f>HYPERLINK(IFERROR("#Main_Tariff!A"&amp;MATCH(Raeburn_Main_Tariff[[#This Row],[Product Code]],Main_Tariff!I:I,0),"#Main_Tariff!A"&amp;MATCH("*"&amp;RIGHT(A5683,8)&amp;"*",Main_Tariff!A:A,0)),Raeburn_Main_Tariff[[#This Row],[PRODUCER]])</f>
        <v>Niepoort</v>
      </c>
      <c r="C5683" s="1178" t="s">
        <v>23060</v>
      </c>
      <c r="D5683" s="1178" t="s">
        <v>10155</v>
      </c>
      <c r="E5683" s="1179" t="s">
        <v>23046</v>
      </c>
      <c r="F5683" s="1282" t="s">
        <v>20240</v>
      </c>
      <c r="G5683" s="1368">
        <v>77.5</v>
      </c>
      <c r="H5683" s="1178" t="s">
        <v>20221</v>
      </c>
      <c r="I5683" s="1178" t="s">
        <v>18383</v>
      </c>
      <c r="J5683" s="1178" t="s">
        <v>23042</v>
      </c>
      <c r="K5683" s="1178" t="s">
        <v>649</v>
      </c>
      <c r="L5683" s="1178"/>
      <c r="M5683" s="1369"/>
      <c r="N5683" s="1178"/>
      <c r="O5683" s="1178">
        <v>1</v>
      </c>
      <c r="P5683" s="1178">
        <v>19.5</v>
      </c>
    </row>
    <row r="5684" spans="1:16">
      <c r="A5684" s="1178" t="s">
        <v>650</v>
      </c>
      <c r="B5684" s="1371" t="str">
        <f>HYPERLINK(IFERROR("#Main_Tariff!A"&amp;MATCH(Raeburn_Main_Tariff[[#This Row],[Product Code]],Main_Tariff!I:I,0),"#Main_Tariff!A"&amp;MATCH("*"&amp;RIGHT(A5684,8)&amp;"*",Main_Tariff!A:A,0)),Raeburn_Main_Tariff[[#This Row],[PRODUCER]])</f>
        <v>Niepoort</v>
      </c>
      <c r="C5684" s="1178" t="s">
        <v>23061</v>
      </c>
      <c r="D5684" s="1178" t="s">
        <v>10155</v>
      </c>
      <c r="E5684" s="1179" t="s">
        <v>19060</v>
      </c>
      <c r="F5684" s="1282" t="s">
        <v>20220</v>
      </c>
      <c r="G5684" s="1368">
        <v>13.75</v>
      </c>
      <c r="H5684" s="1178" t="s">
        <v>20221</v>
      </c>
      <c r="I5684" s="1178" t="s">
        <v>23361</v>
      </c>
      <c r="J5684" s="1178" t="s">
        <v>23042</v>
      </c>
      <c r="K5684" s="1178" t="s">
        <v>649</v>
      </c>
      <c r="L5684" s="1178"/>
      <c r="M5684" s="1369"/>
      <c r="N5684" s="1178"/>
      <c r="O5684" s="1178">
        <v>6</v>
      </c>
      <c r="P5684" s="1178">
        <v>19.5</v>
      </c>
    </row>
    <row r="5685" spans="1:16">
      <c r="A5685" s="1178" t="s">
        <v>650</v>
      </c>
      <c r="B5685" s="1371" t="str">
        <f>HYPERLINK(IFERROR("#Main_Tariff!A"&amp;MATCH(Raeburn_Main_Tariff[[#This Row],[Product Code]],Main_Tariff!I:I,0),"#Main_Tariff!A"&amp;MATCH("*"&amp;RIGHT(A5685,8)&amp;"*",Main_Tariff!A:A,0)),Raeburn_Main_Tariff[[#This Row],[PRODUCER]])</f>
        <v>Niepoort</v>
      </c>
      <c r="C5685" s="1178" t="s">
        <v>23062</v>
      </c>
      <c r="D5685" s="1178" t="s">
        <v>10155</v>
      </c>
      <c r="E5685" s="1179">
        <v>2019</v>
      </c>
      <c r="F5685" s="1282" t="s">
        <v>20220</v>
      </c>
      <c r="G5685" s="1368">
        <v>17.95</v>
      </c>
      <c r="H5685" s="1178" t="s">
        <v>20221</v>
      </c>
      <c r="I5685" s="1178" t="s">
        <v>23362</v>
      </c>
      <c r="J5685" s="1178" t="s">
        <v>23042</v>
      </c>
      <c r="K5685" s="1178" t="s">
        <v>649</v>
      </c>
      <c r="L5685" s="1178"/>
      <c r="M5685" s="1369"/>
      <c r="N5685" s="1178"/>
      <c r="O5685" s="1178">
        <v>6</v>
      </c>
      <c r="P5685" s="1178">
        <v>19.5</v>
      </c>
    </row>
    <row r="5686" spans="1:16">
      <c r="A5686" s="1178" t="s">
        <v>650</v>
      </c>
      <c r="B5686" s="1371" t="str">
        <f>HYPERLINK(IFERROR("#Main_Tariff!A"&amp;MATCH(Raeburn_Main_Tariff[[#This Row],[Product Code]],Main_Tariff!I:I,0),"#Main_Tariff!A"&amp;MATCH("*"&amp;RIGHT(A5686,8)&amp;"*",Main_Tariff!A:A,0)),Raeburn_Main_Tariff[[#This Row],[PRODUCER]])</f>
        <v>Niepoort</v>
      </c>
      <c r="C5686" s="1178" t="s">
        <v>23063</v>
      </c>
      <c r="D5686" s="1178" t="s">
        <v>10155</v>
      </c>
      <c r="E5686" s="1179"/>
      <c r="F5686" s="1282" t="s">
        <v>20220</v>
      </c>
      <c r="G5686" s="1368">
        <v>18.75</v>
      </c>
      <c r="H5686" s="1178" t="s">
        <v>20221</v>
      </c>
      <c r="I5686" s="1178" t="s">
        <v>18386</v>
      </c>
      <c r="J5686" s="1178" t="s">
        <v>23042</v>
      </c>
      <c r="K5686" s="1178" t="s">
        <v>649</v>
      </c>
      <c r="L5686" s="1178"/>
      <c r="M5686" s="1369"/>
      <c r="N5686" s="1178"/>
      <c r="O5686" s="1178">
        <v>6</v>
      </c>
      <c r="P5686" s="1178">
        <v>19</v>
      </c>
    </row>
    <row r="5687" spans="1:16">
      <c r="A5687" s="1178" t="s">
        <v>650</v>
      </c>
      <c r="B5687" s="1371" t="str">
        <f>HYPERLINK(IFERROR("#Main_Tariff!A"&amp;MATCH(Raeburn_Main_Tariff[[#This Row],[Product Code]],Main_Tariff!I:I,0),"#Main_Tariff!A"&amp;MATCH("*"&amp;RIGHT(A5687,8)&amp;"*",Main_Tariff!A:A,0)),Raeburn_Main_Tariff[[#This Row],[PRODUCER]])</f>
        <v>Niepoort</v>
      </c>
      <c r="C5687" s="1178" t="s">
        <v>23064</v>
      </c>
      <c r="D5687" s="1178" t="s">
        <v>10155</v>
      </c>
      <c r="E5687" s="1179" t="s">
        <v>23065</v>
      </c>
      <c r="F5687" s="1282" t="s">
        <v>20220</v>
      </c>
      <c r="G5687" s="1368">
        <v>28.5</v>
      </c>
      <c r="H5687" s="1178" t="s">
        <v>20221</v>
      </c>
      <c r="I5687" s="1178" t="s">
        <v>18387</v>
      </c>
      <c r="J5687" s="1178" t="s">
        <v>23042</v>
      </c>
      <c r="K5687" s="1178" t="s">
        <v>649</v>
      </c>
      <c r="L5687" s="1178"/>
      <c r="M5687" s="1369"/>
      <c r="N5687" s="1178"/>
      <c r="O5687" s="1178">
        <v>6</v>
      </c>
      <c r="P5687" s="1178">
        <v>19.5</v>
      </c>
    </row>
    <row r="5688" spans="1:16">
      <c r="A5688" s="1178" t="s">
        <v>650</v>
      </c>
      <c r="B5688" s="1371" t="str">
        <f>HYPERLINK(IFERROR("#Main_Tariff!A"&amp;MATCH(Raeburn_Main_Tariff[[#This Row],[Product Code]],Main_Tariff!I:I,0),"#Main_Tariff!A"&amp;MATCH("*"&amp;RIGHT(A5688,8)&amp;"*",Main_Tariff!A:A,0)),Raeburn_Main_Tariff[[#This Row],[PRODUCER]])</f>
        <v>Niepoort</v>
      </c>
      <c r="C5688" s="1178" t="s">
        <v>23066</v>
      </c>
      <c r="D5688" s="1178" t="s">
        <v>10155</v>
      </c>
      <c r="E5688" s="1179" t="s">
        <v>23067</v>
      </c>
      <c r="F5688" s="1282" t="s">
        <v>20220</v>
      </c>
      <c r="G5688" s="1368">
        <v>29.75</v>
      </c>
      <c r="H5688" s="1178" t="s">
        <v>20221</v>
      </c>
      <c r="I5688" s="1178" t="s">
        <v>18388</v>
      </c>
      <c r="J5688" s="1178" t="s">
        <v>23042</v>
      </c>
      <c r="K5688" s="1178" t="s">
        <v>649</v>
      </c>
      <c r="L5688" s="1178"/>
      <c r="M5688" s="1369"/>
      <c r="N5688" s="1178"/>
      <c r="O5688" s="1178">
        <v>6</v>
      </c>
      <c r="P5688" s="1178">
        <v>19.5</v>
      </c>
    </row>
    <row r="5689" spans="1:16">
      <c r="A5689" s="1178" t="s">
        <v>650</v>
      </c>
      <c r="B5689" s="1371" t="str">
        <f>HYPERLINK(IFERROR("#Main_Tariff!A"&amp;MATCH(Raeburn_Main_Tariff[[#This Row],[Product Code]],Main_Tariff!I:I,0),"#Main_Tariff!A"&amp;MATCH("*"&amp;RIGHT(A5689,8)&amp;"*",Main_Tariff!A:A,0)),Raeburn_Main_Tariff[[#This Row],[PRODUCER]])</f>
        <v>Niepoort</v>
      </c>
      <c r="C5689" s="1178" t="s">
        <v>23068</v>
      </c>
      <c r="D5689" s="1178" t="s">
        <v>10155</v>
      </c>
      <c r="E5689" s="1179">
        <v>2019</v>
      </c>
      <c r="F5689" s="1282" t="s">
        <v>20220</v>
      </c>
      <c r="G5689" s="1368">
        <v>46.75</v>
      </c>
      <c r="H5689" s="1178" t="s">
        <v>20221</v>
      </c>
      <c r="I5689" s="1178" t="s">
        <v>18390</v>
      </c>
      <c r="J5689" s="1178" t="s">
        <v>23042</v>
      </c>
      <c r="K5689" s="1178" t="s">
        <v>649</v>
      </c>
      <c r="L5689" s="1178"/>
      <c r="M5689" s="1369"/>
      <c r="N5689" s="1178"/>
      <c r="O5689" s="1178">
        <v>6</v>
      </c>
      <c r="P5689" s="1178">
        <v>20</v>
      </c>
    </row>
    <row r="5690" spans="1:16">
      <c r="A5690" s="1178" t="s">
        <v>650</v>
      </c>
      <c r="B5690" s="1371" t="str">
        <f>HYPERLINK(IFERROR("#Main_Tariff!A"&amp;MATCH(Raeburn_Main_Tariff[[#This Row],[Product Code]],Main_Tariff!I:I,0),"#Main_Tariff!A"&amp;MATCH("*"&amp;RIGHT(A5690,8)&amp;"*",Main_Tariff!A:A,0)),Raeburn_Main_Tariff[[#This Row],[PRODUCER]])</f>
        <v>Niepoort</v>
      </c>
      <c r="C5690" s="1178" t="s">
        <v>23068</v>
      </c>
      <c r="D5690" s="1178" t="s">
        <v>10155</v>
      </c>
      <c r="E5690" s="1179">
        <v>2017</v>
      </c>
      <c r="F5690" s="1282" t="s">
        <v>20220</v>
      </c>
      <c r="G5690" s="1368">
        <v>46.75</v>
      </c>
      <c r="H5690" s="1178" t="s">
        <v>20224</v>
      </c>
      <c r="I5690" s="1178" t="s">
        <v>18391</v>
      </c>
      <c r="J5690" s="1178" t="s">
        <v>23042</v>
      </c>
      <c r="K5690" s="1178" t="s">
        <v>649</v>
      </c>
      <c r="L5690" s="1178"/>
      <c r="M5690" s="1369"/>
      <c r="N5690" s="1178"/>
      <c r="O5690" s="1178">
        <v>6</v>
      </c>
      <c r="P5690" s="1178">
        <v>20</v>
      </c>
    </row>
    <row r="5691" spans="1:16">
      <c r="A5691" s="1178" t="s">
        <v>650</v>
      </c>
      <c r="B5691" s="1371" t="str">
        <f>HYPERLINK(IFERROR("#Main_Tariff!A"&amp;MATCH(Raeburn_Main_Tariff[[#This Row],[Product Code]],Main_Tariff!I:I,0),"#Main_Tariff!A"&amp;MATCH("*"&amp;RIGHT(A5691,8)&amp;"*",Main_Tariff!A:A,0)),Raeburn_Main_Tariff[[#This Row],[PRODUCER]])</f>
        <v>Niepoort</v>
      </c>
      <c r="C5691" s="1178" t="s">
        <v>23068</v>
      </c>
      <c r="D5691" s="1178" t="s">
        <v>10155</v>
      </c>
      <c r="E5691" s="1179">
        <v>2015</v>
      </c>
      <c r="F5691" s="1282" t="s">
        <v>20220</v>
      </c>
      <c r="G5691" s="1368">
        <v>46.75</v>
      </c>
      <c r="H5691" s="1178" t="s">
        <v>20221</v>
      </c>
      <c r="I5691" s="1178" t="s">
        <v>18392</v>
      </c>
      <c r="J5691" s="1178" t="s">
        <v>23042</v>
      </c>
      <c r="K5691" s="1178" t="s">
        <v>649</v>
      </c>
      <c r="L5691" s="1178"/>
      <c r="M5691" s="1369"/>
      <c r="N5691" s="1178"/>
      <c r="O5691" s="1178">
        <v>6</v>
      </c>
      <c r="P5691" s="1178">
        <v>20</v>
      </c>
    </row>
    <row r="5692" spans="1:16">
      <c r="A5692" s="1178" t="s">
        <v>650</v>
      </c>
      <c r="B5692" s="1371" t="str">
        <f>HYPERLINK(IFERROR("#Main_Tariff!A"&amp;MATCH(Raeburn_Main_Tariff[[#This Row],[Product Code]],Main_Tariff!I:I,0),"#Main_Tariff!A"&amp;MATCH("*"&amp;RIGHT(A5692,8)&amp;"*",Main_Tariff!A:A,0)),Raeburn_Main_Tariff[[#This Row],[PRODUCER]])</f>
        <v>Niepoort</v>
      </c>
      <c r="C5692" s="1178" t="s">
        <v>23068</v>
      </c>
      <c r="D5692" s="1178" t="s">
        <v>10155</v>
      </c>
      <c r="E5692" s="1179">
        <v>2007</v>
      </c>
      <c r="F5692" s="1282" t="s">
        <v>20220</v>
      </c>
      <c r="G5692" s="1368">
        <v>49.25</v>
      </c>
      <c r="H5692" s="1178" t="s">
        <v>20221</v>
      </c>
      <c r="I5692" s="1178" t="s">
        <v>18393</v>
      </c>
      <c r="J5692" s="1178" t="s">
        <v>23042</v>
      </c>
      <c r="K5692" s="1178" t="s">
        <v>649</v>
      </c>
      <c r="L5692" s="1178"/>
      <c r="M5692" s="1369"/>
      <c r="N5692" s="1178"/>
      <c r="O5692" s="1178">
        <v>6</v>
      </c>
      <c r="P5692" s="1178">
        <v>22</v>
      </c>
    </row>
    <row r="5693" spans="1:16">
      <c r="A5693" s="1178" t="s">
        <v>650</v>
      </c>
      <c r="B5693" s="1371" t="str">
        <f>HYPERLINK(IFERROR("#Main_Tariff!A"&amp;MATCH(Raeburn_Main_Tariff[[#This Row],[Product Code]],Main_Tariff!I:I,0),"#Main_Tariff!A"&amp;MATCH("*"&amp;RIGHT(A5693,8)&amp;"*",Main_Tariff!A:A,0)),Raeburn_Main_Tariff[[#This Row],[PRODUCER]])</f>
        <v>Niepoort</v>
      </c>
      <c r="C5693" s="1178" t="s">
        <v>23068</v>
      </c>
      <c r="D5693" s="1178" t="s">
        <v>10155</v>
      </c>
      <c r="E5693" s="1179">
        <v>2005</v>
      </c>
      <c r="F5693" s="1282" t="s">
        <v>20220</v>
      </c>
      <c r="G5693" s="1368">
        <v>59.25</v>
      </c>
      <c r="H5693" s="1178" t="s">
        <v>20224</v>
      </c>
      <c r="I5693" s="1178" t="s">
        <v>18394</v>
      </c>
      <c r="J5693" s="1178" t="s">
        <v>23042</v>
      </c>
      <c r="K5693" s="1178" t="s">
        <v>649</v>
      </c>
      <c r="L5693" s="1178"/>
      <c r="M5693" s="1369"/>
      <c r="N5693" s="1178"/>
      <c r="O5693" s="1178">
        <v>6</v>
      </c>
      <c r="P5693" s="1178">
        <v>18</v>
      </c>
    </row>
    <row r="5694" spans="1:16">
      <c r="A5694" s="1178" t="s">
        <v>650</v>
      </c>
      <c r="B5694" s="1371" t="str">
        <f>HYPERLINK(IFERROR("#Main_Tariff!A"&amp;MATCH(Raeburn_Main_Tariff[[#This Row],[Product Code]],Main_Tariff!I:I,0),"#Main_Tariff!A"&amp;MATCH("*"&amp;RIGHT(A5694,8)&amp;"*",Main_Tariff!A:A,0)),Raeburn_Main_Tariff[[#This Row],[PRODUCER]])</f>
        <v>Niepoort</v>
      </c>
      <c r="C5694" s="1178" t="s">
        <v>23068</v>
      </c>
      <c r="D5694" s="1178" t="s">
        <v>10155</v>
      </c>
      <c r="E5694" s="1179">
        <v>2000</v>
      </c>
      <c r="F5694" s="1282" t="s">
        <v>20220</v>
      </c>
      <c r="G5694" s="1368">
        <v>76.25</v>
      </c>
      <c r="H5694" s="1178" t="s">
        <v>20224</v>
      </c>
      <c r="I5694" s="1178" t="s">
        <v>18395</v>
      </c>
      <c r="J5694" s="1178" t="s">
        <v>23042</v>
      </c>
      <c r="K5694" s="1178" t="s">
        <v>649</v>
      </c>
      <c r="L5694" s="1178"/>
      <c r="M5694" s="1369"/>
      <c r="N5694" s="1178"/>
      <c r="O5694" s="1178">
        <v>6</v>
      </c>
      <c r="P5694" s="1178">
        <v>20.5</v>
      </c>
    </row>
    <row r="5695" spans="1:16">
      <c r="A5695" s="1178" t="s">
        <v>650</v>
      </c>
      <c r="B5695" s="1371" t="str">
        <f>HYPERLINK(IFERROR("#Main_Tariff!A"&amp;MATCH(Raeburn_Main_Tariff[[#This Row],[Product Code]],Main_Tariff!I:I,0),"#Main_Tariff!A"&amp;MATCH("*"&amp;RIGHT(A5695,8)&amp;"*",Main_Tariff!A:A,0)),Raeburn_Main_Tariff[[#This Row],[PRODUCER]])</f>
        <v>Niepoort</v>
      </c>
      <c r="C5695" s="1178" t="s">
        <v>23068</v>
      </c>
      <c r="D5695" s="1178" t="s">
        <v>10155</v>
      </c>
      <c r="E5695" s="1179">
        <v>1987</v>
      </c>
      <c r="F5695" s="1282" t="s">
        <v>20220</v>
      </c>
      <c r="G5695" s="1368">
        <v>111</v>
      </c>
      <c r="H5695" s="1178" t="s">
        <v>20224</v>
      </c>
      <c r="I5695" s="1178" t="s">
        <v>18396</v>
      </c>
      <c r="J5695" s="1178" t="s">
        <v>23042</v>
      </c>
      <c r="K5695" s="1178" t="s">
        <v>649</v>
      </c>
      <c r="L5695" s="1178"/>
      <c r="M5695" s="1369"/>
      <c r="N5695" s="1178"/>
      <c r="O5695" s="1178">
        <v>6</v>
      </c>
      <c r="P5695" s="1178">
        <v>20.7</v>
      </c>
    </row>
    <row r="5696" spans="1:16">
      <c r="A5696" s="1178" t="s">
        <v>650</v>
      </c>
      <c r="B5696" s="1371" t="str">
        <f>HYPERLINK(IFERROR("#Main_Tariff!A"&amp;MATCH(Raeburn_Main_Tariff[[#This Row],[Product Code]],Main_Tariff!I:I,0),"#Main_Tariff!A"&amp;MATCH("*"&amp;RIGHT(A5696,8)&amp;"*",Main_Tariff!A:A,0)),Raeburn_Main_Tariff[[#This Row],[PRODUCER]])</f>
        <v>Niepoort</v>
      </c>
      <c r="C5696" s="1178" t="s">
        <v>23068</v>
      </c>
      <c r="D5696" s="1178" t="s">
        <v>10155</v>
      </c>
      <c r="E5696" s="1179">
        <v>1983</v>
      </c>
      <c r="F5696" s="1282" t="s">
        <v>20220</v>
      </c>
      <c r="G5696" s="1368">
        <v>104.75</v>
      </c>
      <c r="H5696" s="1178" t="s">
        <v>20224</v>
      </c>
      <c r="I5696" s="1178" t="s">
        <v>18397</v>
      </c>
      <c r="J5696" s="1178" t="s">
        <v>23042</v>
      </c>
      <c r="K5696" s="1178" t="s">
        <v>649</v>
      </c>
      <c r="L5696" s="1178"/>
      <c r="M5696" s="1369"/>
      <c r="N5696" s="1178"/>
      <c r="O5696" s="1178">
        <v>6</v>
      </c>
      <c r="P5696" s="1178">
        <v>20</v>
      </c>
    </row>
    <row r="5697" spans="1:16">
      <c r="A5697" s="1178" t="s">
        <v>650</v>
      </c>
      <c r="B5697" s="1371" t="str">
        <f>HYPERLINK(IFERROR("#Main_Tariff!A"&amp;MATCH(Raeburn_Main_Tariff[[#This Row],[Product Code]],Main_Tariff!I:I,0),"#Main_Tariff!A"&amp;MATCH("*"&amp;RIGHT(A5697,8)&amp;"*",Main_Tariff!A:A,0)),Raeburn_Main_Tariff[[#This Row],[PRODUCER]])</f>
        <v>Niepoort</v>
      </c>
      <c r="C5697" s="1178" t="s">
        <v>23069</v>
      </c>
      <c r="D5697" s="1178" t="s">
        <v>10155</v>
      </c>
      <c r="E5697" s="1179"/>
      <c r="F5697" s="1282" t="s">
        <v>20240</v>
      </c>
      <c r="G5697" s="1368"/>
      <c r="H5697" s="1178" t="s">
        <v>3907</v>
      </c>
      <c r="I5697" s="1178" t="s">
        <v>18398</v>
      </c>
      <c r="J5697" s="1178" t="s">
        <v>23042</v>
      </c>
      <c r="K5697" s="1178" t="s">
        <v>649</v>
      </c>
      <c r="L5697" s="1178"/>
      <c r="M5697" s="1369"/>
      <c r="N5697" s="1178"/>
      <c r="O5697" s="1178">
        <v>1</v>
      </c>
      <c r="P5697" s="1178">
        <v>20</v>
      </c>
    </row>
    <row r="5698" spans="1:16">
      <c r="A5698" s="1178" t="s">
        <v>650</v>
      </c>
      <c r="B5698" s="1371" t="str">
        <f>HYPERLINK(IFERROR("#Main_Tariff!A"&amp;MATCH(Raeburn_Main_Tariff[[#This Row],[Product Code]],Main_Tariff!I:I,0),"#Main_Tariff!A"&amp;MATCH("*"&amp;RIGHT(A5698,8)&amp;"*",Main_Tariff!A:A,0)),Raeburn_Main_Tariff[[#This Row],[PRODUCER]])</f>
        <v>Niepoort</v>
      </c>
      <c r="C5698" s="1178" t="s">
        <v>23070</v>
      </c>
      <c r="D5698" s="1178" t="s">
        <v>10155</v>
      </c>
      <c r="E5698" s="1179">
        <v>2016</v>
      </c>
      <c r="F5698" s="1282" t="s">
        <v>20220</v>
      </c>
      <c r="G5698" s="1368">
        <v>60.75</v>
      </c>
      <c r="H5698" s="1178" t="s">
        <v>20224</v>
      </c>
      <c r="I5698" s="1178" t="s">
        <v>18400</v>
      </c>
      <c r="J5698" s="1178" t="s">
        <v>23042</v>
      </c>
      <c r="K5698" s="1178" t="s">
        <v>649</v>
      </c>
      <c r="L5698" s="1178"/>
      <c r="M5698" s="1369"/>
      <c r="N5698" s="1178"/>
      <c r="O5698" s="1178">
        <v>3</v>
      </c>
      <c r="P5698" s="1178">
        <v>19.5</v>
      </c>
    </row>
    <row r="5699" spans="1:16">
      <c r="A5699" s="1178" t="s">
        <v>650</v>
      </c>
      <c r="B5699" s="1371" t="str">
        <f>HYPERLINK(IFERROR("#Main_Tariff!A"&amp;MATCH(Raeburn_Main_Tariff[[#This Row],[Product Code]],Main_Tariff!I:I,0),"#Main_Tariff!A"&amp;MATCH("*"&amp;RIGHT(A5699,8)&amp;"*",Main_Tariff!A:A,0)),Raeburn_Main_Tariff[[#This Row],[PRODUCER]])</f>
        <v>Niepoort</v>
      </c>
      <c r="C5699" s="1178" t="s">
        <v>23070</v>
      </c>
      <c r="D5699" s="1178" t="s">
        <v>10155</v>
      </c>
      <c r="E5699" s="1179">
        <v>2015</v>
      </c>
      <c r="F5699" s="1282" t="s">
        <v>20220</v>
      </c>
      <c r="G5699" s="1368">
        <v>60.75</v>
      </c>
      <c r="H5699" s="1178" t="s">
        <v>20221</v>
      </c>
      <c r="I5699" s="1178" t="s">
        <v>18401</v>
      </c>
      <c r="J5699" s="1178" t="s">
        <v>23042</v>
      </c>
      <c r="K5699" s="1178" t="s">
        <v>649</v>
      </c>
      <c r="L5699" s="1178"/>
      <c r="M5699" s="1369"/>
      <c r="N5699" s="1178"/>
      <c r="O5699" s="1178">
        <v>3</v>
      </c>
      <c r="P5699" s="1178">
        <v>20</v>
      </c>
    </row>
    <row r="5700" spans="1:16">
      <c r="A5700" s="1178" t="s">
        <v>650</v>
      </c>
      <c r="B5700" s="1371" t="str">
        <f>HYPERLINK(IFERROR("#Main_Tariff!A"&amp;MATCH(Raeburn_Main_Tariff[[#This Row],[Product Code]],Main_Tariff!I:I,0),"#Main_Tariff!A"&amp;MATCH("*"&amp;RIGHT(A5700,8)&amp;"*",Main_Tariff!A:A,0)),Raeburn_Main_Tariff[[#This Row],[PRODUCER]])</f>
        <v>Niepoort</v>
      </c>
      <c r="C5700" s="1178" t="s">
        <v>23070</v>
      </c>
      <c r="D5700" s="1178" t="s">
        <v>10155</v>
      </c>
      <c r="E5700" s="1179">
        <v>2009</v>
      </c>
      <c r="F5700" s="1282" t="s">
        <v>20220</v>
      </c>
      <c r="G5700" s="1368">
        <v>74</v>
      </c>
      <c r="H5700" s="1178" t="s">
        <v>20221</v>
      </c>
      <c r="I5700" s="1178" t="s">
        <v>18402</v>
      </c>
      <c r="J5700" s="1178" t="s">
        <v>23042</v>
      </c>
      <c r="K5700" s="1178" t="s">
        <v>649</v>
      </c>
      <c r="L5700" s="1178"/>
      <c r="M5700" s="1369"/>
      <c r="N5700" s="1178"/>
      <c r="O5700" s="1178">
        <v>3</v>
      </c>
      <c r="P5700" s="1178">
        <v>20</v>
      </c>
    </row>
    <row r="5701" spans="1:16">
      <c r="A5701" s="1178" t="s">
        <v>650</v>
      </c>
      <c r="B5701" s="1371" t="str">
        <f>HYPERLINK(IFERROR("#Main_Tariff!A"&amp;MATCH(Raeburn_Main_Tariff[[#This Row],[Product Code]],Main_Tariff!I:I,0),"#Main_Tariff!A"&amp;MATCH("*"&amp;RIGHT(A5701,8)&amp;"*",Main_Tariff!A:A,0)),Raeburn_Main_Tariff[[#This Row],[PRODUCER]])</f>
        <v>Niepoort</v>
      </c>
      <c r="C5701" s="1178" t="s">
        <v>23070</v>
      </c>
      <c r="D5701" s="1178" t="s">
        <v>10155</v>
      </c>
      <c r="E5701" s="1179">
        <v>2008</v>
      </c>
      <c r="F5701" s="1282" t="s">
        <v>20220</v>
      </c>
      <c r="G5701" s="1368">
        <v>74</v>
      </c>
      <c r="H5701" s="1178" t="s">
        <v>20224</v>
      </c>
      <c r="I5701" s="1178" t="s">
        <v>18403</v>
      </c>
      <c r="J5701" s="1178" t="s">
        <v>23042</v>
      </c>
      <c r="K5701" s="1178" t="s">
        <v>649</v>
      </c>
      <c r="L5701" s="1178"/>
      <c r="M5701" s="1369"/>
      <c r="N5701" s="1178"/>
      <c r="O5701" s="1178">
        <v>3</v>
      </c>
      <c r="P5701" s="1178">
        <v>20</v>
      </c>
    </row>
    <row r="5702" spans="1:16">
      <c r="A5702" s="1178" t="s">
        <v>650</v>
      </c>
      <c r="B5702" s="1371" t="str">
        <f>HYPERLINK(IFERROR("#Main_Tariff!A"&amp;MATCH(Raeburn_Main_Tariff[[#This Row],[Product Code]],Main_Tariff!I:I,0),"#Main_Tariff!A"&amp;MATCH("*"&amp;RIGHT(A5702,8)&amp;"*",Main_Tariff!A:A,0)),Raeburn_Main_Tariff[[#This Row],[PRODUCER]])</f>
        <v>Niepoort</v>
      </c>
      <c r="C5702" s="1178" t="s">
        <v>23071</v>
      </c>
      <c r="D5702" s="1178" t="s">
        <v>10155</v>
      </c>
      <c r="E5702" s="1179">
        <v>2007</v>
      </c>
      <c r="F5702" s="1282" t="s">
        <v>20220</v>
      </c>
      <c r="G5702" s="1368">
        <v>74</v>
      </c>
      <c r="H5702" s="1178" t="s">
        <v>20224</v>
      </c>
      <c r="I5702" s="1178" t="s">
        <v>18404</v>
      </c>
      <c r="J5702" s="1178" t="s">
        <v>23042</v>
      </c>
      <c r="K5702" s="1178" t="s">
        <v>649</v>
      </c>
      <c r="L5702" s="1178"/>
      <c r="M5702" s="1369"/>
      <c r="N5702" s="1178"/>
      <c r="O5702" s="1178">
        <v>3</v>
      </c>
      <c r="P5702" s="1178">
        <v>22</v>
      </c>
    </row>
    <row r="5703" spans="1:16">
      <c r="A5703" s="1178" t="s">
        <v>23072</v>
      </c>
      <c r="B5703" s="1371" t="str">
        <f>HYPERLINK(IFERROR("#Main_Tariff!A"&amp;MATCH(Raeburn_Main_Tariff[[#This Row],[Product Code]],Main_Tariff!I:I,0),"#Main_Tariff!A"&amp;MATCH("*"&amp;RIGHT(A5703,8)&amp;"*",Main_Tariff!A:A,0)),Raeburn_Main_Tariff[[#This Row],[PRODUCER]])</f>
        <v>Quinta Do Noval</v>
      </c>
      <c r="C5703" s="1178" t="s">
        <v>23073</v>
      </c>
      <c r="D5703" s="1178" t="s">
        <v>10155</v>
      </c>
      <c r="E5703" s="1179">
        <v>2017</v>
      </c>
      <c r="F5703" s="1282" t="s">
        <v>20220</v>
      </c>
      <c r="G5703" s="1368">
        <v>68.25</v>
      </c>
      <c r="H5703" s="1178" t="s">
        <v>20221</v>
      </c>
      <c r="I5703" s="1178" t="s">
        <v>18406</v>
      </c>
      <c r="J5703" s="1178" t="s">
        <v>23042</v>
      </c>
      <c r="K5703" s="1178" t="s">
        <v>649</v>
      </c>
      <c r="L5703" s="1178"/>
      <c r="M5703" s="1369"/>
      <c r="N5703" s="1178"/>
      <c r="O5703" s="1178">
        <v>6</v>
      </c>
      <c r="P5703" s="1178">
        <v>19.5</v>
      </c>
    </row>
    <row r="5704" spans="1:16">
      <c r="A5704" s="1178" t="s">
        <v>23072</v>
      </c>
      <c r="B5704" s="1371" t="str">
        <f>HYPERLINK(IFERROR("#Main_Tariff!A"&amp;MATCH(Raeburn_Main_Tariff[[#This Row],[Product Code]],Main_Tariff!I:I,0),"#Main_Tariff!A"&amp;MATCH("*"&amp;RIGHT(A5704,8)&amp;"*",Main_Tariff!A:A,0)),Raeburn_Main_Tariff[[#This Row],[PRODUCER]])</f>
        <v>Quinta Do Noval</v>
      </c>
      <c r="C5704" s="1178" t="s">
        <v>23073</v>
      </c>
      <c r="D5704" s="1178" t="s">
        <v>10155</v>
      </c>
      <c r="E5704" s="1179">
        <v>2016</v>
      </c>
      <c r="F5704" s="1282" t="s">
        <v>20220</v>
      </c>
      <c r="G5704" s="1368">
        <v>67.25</v>
      </c>
      <c r="H5704" s="1178" t="s">
        <v>20221</v>
      </c>
      <c r="I5704" s="1178" t="s">
        <v>18408</v>
      </c>
      <c r="J5704" s="1178" t="s">
        <v>23042</v>
      </c>
      <c r="K5704" s="1178" t="s">
        <v>649</v>
      </c>
      <c r="L5704" s="1178"/>
      <c r="M5704" s="1369"/>
      <c r="N5704" s="1178"/>
      <c r="O5704" s="1178">
        <v>6</v>
      </c>
      <c r="P5704" s="1178">
        <v>19.5</v>
      </c>
    </row>
    <row r="5705" spans="1:16">
      <c r="A5705" s="1178" t="s">
        <v>23072</v>
      </c>
      <c r="B5705" s="1371" t="str">
        <f>HYPERLINK(IFERROR("#Main_Tariff!A"&amp;MATCH(Raeburn_Main_Tariff[[#This Row],[Product Code]],Main_Tariff!I:I,0),"#Main_Tariff!A"&amp;MATCH("*"&amp;RIGHT(A5705,8)&amp;"*",Main_Tariff!A:A,0)),Raeburn_Main_Tariff[[#This Row],[PRODUCER]])</f>
        <v>Quinta Do Noval</v>
      </c>
      <c r="C5705" s="1178" t="s">
        <v>23073</v>
      </c>
      <c r="D5705" s="1178" t="s">
        <v>10155</v>
      </c>
      <c r="E5705" s="1179">
        <v>2014</v>
      </c>
      <c r="F5705" s="1282" t="s">
        <v>20220</v>
      </c>
      <c r="G5705" s="1368">
        <v>56.25</v>
      </c>
      <c r="H5705" s="1178" t="s">
        <v>20221</v>
      </c>
      <c r="I5705" s="1178" t="s">
        <v>18410</v>
      </c>
      <c r="J5705" s="1178" t="s">
        <v>23042</v>
      </c>
      <c r="K5705" s="1178" t="s">
        <v>649</v>
      </c>
      <c r="L5705" s="1178"/>
      <c r="M5705" s="1369"/>
      <c r="N5705" s="1178"/>
      <c r="O5705" s="1178">
        <v>6</v>
      </c>
      <c r="P5705" s="1178">
        <v>20</v>
      </c>
    </row>
    <row r="5706" spans="1:16">
      <c r="A5706" s="1178" t="s">
        <v>23072</v>
      </c>
      <c r="B5706" s="1371" t="str">
        <f>HYPERLINK(IFERROR("#Main_Tariff!A"&amp;MATCH(Raeburn_Main_Tariff[[#This Row],[Product Code]],Main_Tariff!I:I,0),"#Main_Tariff!A"&amp;MATCH("*"&amp;RIGHT(A5706,8)&amp;"*",Main_Tariff!A:A,0)),Raeburn_Main_Tariff[[#This Row],[PRODUCER]])</f>
        <v>Quinta Do Noval</v>
      </c>
      <c r="C5706" s="1178" t="s">
        <v>23073</v>
      </c>
      <c r="D5706" s="1178" t="s">
        <v>10155</v>
      </c>
      <c r="E5706" s="1179">
        <v>2012</v>
      </c>
      <c r="F5706" s="1282" t="s">
        <v>20220</v>
      </c>
      <c r="G5706" s="1368">
        <v>57.5</v>
      </c>
      <c r="H5706" s="1178" t="s">
        <v>20221</v>
      </c>
      <c r="I5706" s="1178" t="s">
        <v>18412</v>
      </c>
      <c r="J5706" s="1178" t="s">
        <v>23042</v>
      </c>
      <c r="K5706" s="1178" t="s">
        <v>649</v>
      </c>
      <c r="L5706" s="1178"/>
      <c r="M5706" s="1369"/>
      <c r="N5706" s="1178"/>
      <c r="O5706" s="1178">
        <v>6</v>
      </c>
      <c r="P5706" s="1178">
        <v>19.5</v>
      </c>
    </row>
    <row r="5707" spans="1:16">
      <c r="A5707" s="1178" t="s">
        <v>23072</v>
      </c>
      <c r="B5707" s="1371" t="str">
        <f>HYPERLINK(IFERROR("#Main_Tariff!A"&amp;MATCH(Raeburn_Main_Tariff[[#This Row],[Product Code]],Main_Tariff!I:I,0),"#Main_Tariff!A"&amp;MATCH("*"&amp;RIGHT(A5707,8)&amp;"*",Main_Tariff!A:A,0)),Raeburn_Main_Tariff[[#This Row],[PRODUCER]])</f>
        <v>Quinta Do Noval</v>
      </c>
      <c r="C5707" s="1178" t="s">
        <v>23073</v>
      </c>
      <c r="D5707" s="1178" t="s">
        <v>10155</v>
      </c>
      <c r="E5707" s="1179">
        <v>2003</v>
      </c>
      <c r="F5707" s="1282" t="s">
        <v>20220</v>
      </c>
      <c r="G5707" s="1368">
        <v>53.25</v>
      </c>
      <c r="H5707" s="1178" t="s">
        <v>20224</v>
      </c>
      <c r="I5707" s="1178" t="s">
        <v>18414</v>
      </c>
      <c r="J5707" s="1178" t="s">
        <v>23042</v>
      </c>
      <c r="K5707" s="1178" t="s">
        <v>649</v>
      </c>
      <c r="L5707" s="1178"/>
      <c r="M5707" s="1369"/>
      <c r="N5707" s="1178"/>
      <c r="O5707" s="1178">
        <v>6</v>
      </c>
      <c r="P5707" s="1178">
        <v>22</v>
      </c>
    </row>
    <row r="5708" spans="1:16">
      <c r="A5708" s="1178" t="s">
        <v>23072</v>
      </c>
      <c r="B5708" s="1371" t="str">
        <f>HYPERLINK(IFERROR("#Main_Tariff!A"&amp;MATCH(Raeburn_Main_Tariff[[#This Row],[Product Code]],Main_Tariff!I:I,0),"#Main_Tariff!A"&amp;MATCH("*"&amp;RIGHT(A5708,8)&amp;"*",Main_Tariff!A:A,0)),Raeburn_Main_Tariff[[#This Row],[PRODUCER]])</f>
        <v>Quinta Do Noval</v>
      </c>
      <c r="C5708" s="1178" t="s">
        <v>23074</v>
      </c>
      <c r="D5708" s="1178" t="s">
        <v>10155</v>
      </c>
      <c r="E5708" s="1179">
        <v>2004</v>
      </c>
      <c r="F5708" s="1282" t="s">
        <v>20220</v>
      </c>
      <c r="G5708" s="1368" t="s">
        <v>5258</v>
      </c>
      <c r="H5708" s="1178" t="s">
        <v>20224</v>
      </c>
      <c r="I5708" s="1178" t="s">
        <v>18416</v>
      </c>
      <c r="J5708" s="1178" t="s">
        <v>23042</v>
      </c>
      <c r="K5708" s="1178" t="s">
        <v>649</v>
      </c>
      <c r="L5708" s="1178"/>
      <c r="M5708" s="1369"/>
      <c r="N5708" s="1178"/>
      <c r="O5708" s="1178">
        <v>3</v>
      </c>
      <c r="P5708" s="1178">
        <v>19.5</v>
      </c>
    </row>
    <row r="5709" spans="1:16">
      <c r="A5709" s="1178" t="s">
        <v>23072</v>
      </c>
      <c r="B5709" s="1371" t="str">
        <f>HYPERLINK(IFERROR("#Main_Tariff!A"&amp;MATCH(Raeburn_Main_Tariff[[#This Row],[Product Code]],Main_Tariff!I:I,0),"#Main_Tariff!A"&amp;MATCH("*"&amp;RIGHT(A5709,8)&amp;"*",Main_Tariff!A:A,0)),Raeburn_Main_Tariff[[#This Row],[PRODUCER]])</f>
        <v>Quinta Do Noval</v>
      </c>
      <c r="C5709" s="1178" t="s">
        <v>23074</v>
      </c>
      <c r="D5709" s="1178" t="s">
        <v>10155</v>
      </c>
      <c r="E5709" s="1179">
        <v>2001</v>
      </c>
      <c r="F5709" s="1282" t="s">
        <v>20220</v>
      </c>
      <c r="G5709" s="1368" t="s">
        <v>5258</v>
      </c>
      <c r="H5709" s="1178" t="s">
        <v>20224</v>
      </c>
      <c r="I5709" s="1178" t="s">
        <v>18418</v>
      </c>
      <c r="J5709" s="1178" t="s">
        <v>23042</v>
      </c>
      <c r="K5709" s="1178" t="s">
        <v>649</v>
      </c>
      <c r="L5709" s="1178"/>
      <c r="M5709" s="1369"/>
      <c r="N5709" s="1178"/>
      <c r="O5709" s="1178">
        <v>6</v>
      </c>
      <c r="P5709" s="1178">
        <v>19.5</v>
      </c>
    </row>
    <row r="5710" spans="1:16">
      <c r="A5710" s="1178" t="s">
        <v>23075</v>
      </c>
      <c r="B5710" s="1371" t="str">
        <f>HYPERLINK(IFERROR("#Main_Tariff!A"&amp;MATCH(Raeburn_Main_Tariff[[#This Row],[Product Code]],Main_Tariff!I:I,0),"#Main_Tariff!A"&amp;MATCH("*"&amp;RIGHT(A5710,8)&amp;"*",Main_Tariff!A:A,0)),Raeburn_Main_Tariff[[#This Row],[PRODUCER]])</f>
        <v>Quinta Do Passadouro</v>
      </c>
      <c r="C5710" s="1178" t="s">
        <v>23076</v>
      </c>
      <c r="D5710" s="1178" t="s">
        <v>10155</v>
      </c>
      <c r="E5710" s="1179">
        <v>2000</v>
      </c>
      <c r="F5710" s="1282" t="s">
        <v>20280</v>
      </c>
      <c r="G5710" s="1368">
        <v>22.5</v>
      </c>
      <c r="H5710" s="1178" t="s">
        <v>20221</v>
      </c>
      <c r="I5710" s="1178" t="s">
        <v>18422</v>
      </c>
      <c r="J5710" s="1178" t="s">
        <v>23042</v>
      </c>
      <c r="K5710" s="1178" t="s">
        <v>649</v>
      </c>
      <c r="L5710" s="1178"/>
      <c r="M5710" s="1369"/>
      <c r="N5710" s="1178"/>
      <c r="O5710" s="1178">
        <v>12</v>
      </c>
      <c r="P5710" s="1178">
        <v>22</v>
      </c>
    </row>
    <row r="5711" spans="1:16">
      <c r="A5711" s="1178" t="s">
        <v>23075</v>
      </c>
      <c r="B5711" s="1371" t="str">
        <f>HYPERLINK(IFERROR("#Main_Tariff!A"&amp;MATCH(Raeburn_Main_Tariff[[#This Row],[Product Code]],Main_Tariff!I:I,0),"#Main_Tariff!A"&amp;MATCH("*"&amp;RIGHT(A5711,8)&amp;"*",Main_Tariff!A:A,0)),Raeburn_Main_Tariff[[#This Row],[PRODUCER]])</f>
        <v>Quinta Do Passadouro</v>
      </c>
      <c r="C5711" s="1178" t="s">
        <v>23076</v>
      </c>
      <c r="D5711" s="1178" t="s">
        <v>10155</v>
      </c>
      <c r="E5711" s="1179">
        <v>1997</v>
      </c>
      <c r="F5711" s="1282" t="s">
        <v>20280</v>
      </c>
      <c r="G5711" s="1368">
        <v>22.5</v>
      </c>
      <c r="H5711" s="1178" t="s">
        <v>20221</v>
      </c>
      <c r="I5711" s="1178" t="s">
        <v>18424</v>
      </c>
      <c r="J5711" s="1178" t="s">
        <v>23042</v>
      </c>
      <c r="K5711" s="1178" t="s">
        <v>649</v>
      </c>
      <c r="L5711" s="1178"/>
      <c r="M5711" s="1369"/>
      <c r="N5711" s="1178"/>
      <c r="O5711" s="1178">
        <v>12</v>
      </c>
      <c r="P5711" s="1178">
        <v>20</v>
      </c>
    </row>
    <row r="5712" spans="1:16">
      <c r="A5712" s="1178" t="s">
        <v>23075</v>
      </c>
      <c r="B5712" s="1371" t="str">
        <f>HYPERLINK(IFERROR("#Main_Tariff!A"&amp;MATCH(Raeburn_Main_Tariff[[#This Row],[Product Code]],Main_Tariff!I:I,0),"#Main_Tariff!A"&amp;MATCH("*"&amp;RIGHT(A5712,8)&amp;"*",Main_Tariff!A:A,0)),Raeburn_Main_Tariff[[#This Row],[PRODUCER]])</f>
        <v>Quinta Do Passadouro</v>
      </c>
      <c r="C5712" s="1178" t="s">
        <v>23076</v>
      </c>
      <c r="D5712" s="1178" t="s">
        <v>10155</v>
      </c>
      <c r="E5712" s="1179">
        <v>1994</v>
      </c>
      <c r="F5712" s="1282" t="s">
        <v>20280</v>
      </c>
      <c r="G5712" s="1368">
        <v>24.25</v>
      </c>
      <c r="H5712" s="1178" t="s">
        <v>20221</v>
      </c>
      <c r="I5712" s="1178" t="s">
        <v>18426</v>
      </c>
      <c r="J5712" s="1178" t="s">
        <v>23042</v>
      </c>
      <c r="K5712" s="1178" t="s">
        <v>649</v>
      </c>
      <c r="L5712" s="1178"/>
      <c r="M5712" s="1369"/>
      <c r="N5712" s="1178"/>
      <c r="O5712" s="1178">
        <v>12</v>
      </c>
      <c r="P5712" s="1178">
        <v>22</v>
      </c>
    </row>
    <row r="5713" spans="1:16">
      <c r="A5713" s="1178" t="s">
        <v>23075</v>
      </c>
      <c r="B5713" s="1371" t="str">
        <f>HYPERLINK(IFERROR("#Main_Tariff!A"&amp;MATCH(Raeburn_Main_Tariff[[#This Row],[Product Code]],Main_Tariff!I:I,0),"#Main_Tariff!A"&amp;MATCH("*"&amp;RIGHT(A5713,8)&amp;"*",Main_Tariff!A:A,0)),Raeburn_Main_Tariff[[#This Row],[PRODUCER]])</f>
        <v>Quinta Do Passadouro</v>
      </c>
      <c r="C5713" s="1178" t="s">
        <v>23077</v>
      </c>
      <c r="D5713" s="1178" t="s">
        <v>10155</v>
      </c>
      <c r="E5713" s="1179">
        <v>1994</v>
      </c>
      <c r="F5713" s="1282" t="s">
        <v>20240</v>
      </c>
      <c r="G5713" s="1368">
        <v>88.25</v>
      </c>
      <c r="H5713" s="1178" t="s">
        <v>20224</v>
      </c>
      <c r="I5713" s="1178" t="s">
        <v>18428</v>
      </c>
      <c r="J5713" s="1178" t="s">
        <v>23042</v>
      </c>
      <c r="K5713" s="1178" t="s">
        <v>649</v>
      </c>
      <c r="L5713" s="1178"/>
      <c r="M5713" s="1369"/>
      <c r="N5713" s="1178"/>
      <c r="O5713" s="1178">
        <v>3</v>
      </c>
      <c r="P5713" s="1178">
        <v>22</v>
      </c>
    </row>
    <row r="5714" spans="1:16">
      <c r="A5714" s="1178" t="s">
        <v>653</v>
      </c>
      <c r="B5714" s="1371" t="str">
        <f>HYPERLINK(IFERROR("#Main_Tariff!A"&amp;MATCH(Raeburn_Main_Tariff[[#This Row],[Product Code]],Main_Tariff!I:I,0),"#Main_Tariff!A"&amp;MATCH("*"&amp;RIGHT(A5714,8)&amp;"*",Main_Tariff!A:A,0)),Raeburn_Main_Tariff[[#This Row],[PRODUCER]])</f>
        <v>Taylor-Fonseca</v>
      </c>
      <c r="C5714" s="1178" t="s">
        <v>23078</v>
      </c>
      <c r="D5714" s="1178" t="s">
        <v>10155</v>
      </c>
      <c r="E5714" s="1179"/>
      <c r="F5714" s="1282" t="s">
        <v>20220</v>
      </c>
      <c r="G5714" s="1368"/>
      <c r="H5714" s="1178" t="s">
        <v>3907</v>
      </c>
      <c r="I5714" s="1178" t="s">
        <v>18433</v>
      </c>
      <c r="J5714" s="1178" t="s">
        <v>23042</v>
      </c>
      <c r="K5714" s="1178" t="s">
        <v>649</v>
      </c>
      <c r="L5714" s="1178"/>
      <c r="M5714" s="1369"/>
      <c r="N5714" s="1178"/>
      <c r="O5714" s="1178">
        <v>6</v>
      </c>
      <c r="P5714" s="1178">
        <v>20</v>
      </c>
    </row>
    <row r="5715" spans="1:16">
      <c r="A5715" s="1178" t="s">
        <v>653</v>
      </c>
      <c r="B5715" s="1371" t="str">
        <f>HYPERLINK(IFERROR("#Main_Tariff!A"&amp;MATCH(Raeburn_Main_Tariff[[#This Row],[Product Code]],Main_Tariff!I:I,0),"#Main_Tariff!A"&amp;MATCH("*"&amp;RIGHT(A5715,8)&amp;"*",Main_Tariff!A:A,0)),Raeburn_Main_Tariff[[#This Row],[PRODUCER]])</f>
        <v>Taylor-Fonseca</v>
      </c>
      <c r="C5715" s="1178" t="s">
        <v>23079</v>
      </c>
      <c r="D5715" s="1178" t="s">
        <v>10155</v>
      </c>
      <c r="E5715" s="1179"/>
      <c r="F5715" s="1282" t="s">
        <v>20220</v>
      </c>
      <c r="G5715" s="1368"/>
      <c r="H5715" s="1178" t="s">
        <v>3907</v>
      </c>
      <c r="I5715" s="1178" t="s">
        <v>18435</v>
      </c>
      <c r="J5715" s="1178" t="s">
        <v>23042</v>
      </c>
      <c r="K5715" s="1178" t="s">
        <v>649</v>
      </c>
      <c r="L5715" s="1178"/>
      <c r="M5715" s="1369"/>
      <c r="N5715" s="1178"/>
      <c r="O5715" s="1178">
        <v>6</v>
      </c>
      <c r="P5715" s="1178">
        <v>20</v>
      </c>
    </row>
    <row r="5716" spans="1:16">
      <c r="A5716" s="1178" t="s">
        <v>653</v>
      </c>
      <c r="B5716" s="1371" t="str">
        <f>HYPERLINK(IFERROR("#Main_Tariff!A"&amp;MATCH(Raeburn_Main_Tariff[[#This Row],[Product Code]],Main_Tariff!I:I,0),"#Main_Tariff!A"&amp;MATCH("*"&amp;RIGHT(A5716,8)&amp;"*",Main_Tariff!A:A,0)),Raeburn_Main_Tariff[[#This Row],[PRODUCER]])</f>
        <v>Taylor-Fonseca</v>
      </c>
      <c r="C5716" s="1178" t="s">
        <v>23080</v>
      </c>
      <c r="D5716" s="1178" t="s">
        <v>10155</v>
      </c>
      <c r="E5716" s="1179">
        <v>2011</v>
      </c>
      <c r="F5716" s="1282" t="s">
        <v>20220</v>
      </c>
      <c r="G5716" s="1368">
        <v>56.75</v>
      </c>
      <c r="H5716" s="1178" t="s">
        <v>20221</v>
      </c>
      <c r="I5716" s="1178" t="s">
        <v>18439</v>
      </c>
      <c r="J5716" s="1178" t="s">
        <v>23042</v>
      </c>
      <c r="K5716" s="1178" t="s">
        <v>649</v>
      </c>
      <c r="L5716" s="1178"/>
      <c r="M5716" s="1369"/>
      <c r="N5716" s="1178"/>
      <c r="O5716" s="1178">
        <v>6</v>
      </c>
      <c r="P5716" s="1178">
        <v>22</v>
      </c>
    </row>
    <row r="5717" spans="1:16">
      <c r="A5717" s="1178" t="s">
        <v>653</v>
      </c>
      <c r="B5717" s="1371" t="str">
        <f>HYPERLINK(IFERROR("#Main_Tariff!A"&amp;MATCH(Raeburn_Main_Tariff[[#This Row],[Product Code]],Main_Tariff!I:I,0),"#Main_Tariff!A"&amp;MATCH("*"&amp;RIGHT(A5717,8)&amp;"*",Main_Tariff!A:A,0)),Raeburn_Main_Tariff[[#This Row],[PRODUCER]])</f>
        <v>Taylor-Fonseca</v>
      </c>
      <c r="C5717" s="1178" t="s">
        <v>23080</v>
      </c>
      <c r="D5717" s="1178" t="s">
        <v>10155</v>
      </c>
      <c r="E5717" s="1179">
        <v>2009</v>
      </c>
      <c r="F5717" s="1282" t="s">
        <v>20220</v>
      </c>
      <c r="G5717" s="1368">
        <v>50.75</v>
      </c>
      <c r="H5717" s="1178" t="s">
        <v>20221</v>
      </c>
      <c r="I5717" s="1178" t="s">
        <v>18441</v>
      </c>
      <c r="J5717" s="1178" t="s">
        <v>23042</v>
      </c>
      <c r="K5717" s="1178" t="s">
        <v>649</v>
      </c>
      <c r="L5717" s="1178"/>
      <c r="M5717" s="1369"/>
      <c r="N5717" s="1178"/>
      <c r="O5717" s="1178">
        <v>12</v>
      </c>
      <c r="P5717" s="1178">
        <v>22</v>
      </c>
    </row>
    <row r="5718" spans="1:16">
      <c r="A5718" s="1178" t="s">
        <v>653</v>
      </c>
      <c r="B5718" s="1371" t="str">
        <f>HYPERLINK(IFERROR("#Main_Tariff!A"&amp;MATCH(Raeburn_Main_Tariff[[#This Row],[Product Code]],Main_Tariff!I:I,0),"#Main_Tariff!A"&amp;MATCH("*"&amp;RIGHT(A5718,8)&amp;"*",Main_Tariff!A:A,0)),Raeburn_Main_Tariff[[#This Row],[PRODUCER]])</f>
        <v>Taylor-Fonseca</v>
      </c>
      <c r="C5718" s="1178" t="s">
        <v>23081</v>
      </c>
      <c r="D5718" s="1178" t="s">
        <v>10155</v>
      </c>
      <c r="E5718" s="1179">
        <v>2011</v>
      </c>
      <c r="F5718" s="1282" t="s">
        <v>20220</v>
      </c>
      <c r="G5718" s="1368">
        <v>56.75</v>
      </c>
      <c r="H5718" s="1178" t="s">
        <v>20221</v>
      </c>
      <c r="I5718" s="1178" t="s">
        <v>18443</v>
      </c>
      <c r="J5718" s="1178" t="s">
        <v>23042</v>
      </c>
      <c r="K5718" s="1178" t="s">
        <v>649</v>
      </c>
      <c r="L5718" s="1178"/>
      <c r="M5718" s="1369"/>
      <c r="N5718" s="1178"/>
      <c r="O5718" s="1178">
        <v>6</v>
      </c>
      <c r="P5718" s="1178">
        <v>22</v>
      </c>
    </row>
    <row r="5719" spans="1:16">
      <c r="A5719" s="1178" t="s">
        <v>653</v>
      </c>
      <c r="B5719" s="1371" t="str">
        <f>HYPERLINK(IFERROR("#Main_Tariff!A"&amp;MATCH(Raeburn_Main_Tariff[[#This Row],[Product Code]],Main_Tariff!I:I,0),"#Main_Tariff!A"&amp;MATCH("*"&amp;RIGHT(A5719,8)&amp;"*",Main_Tariff!A:A,0)),Raeburn_Main_Tariff[[#This Row],[PRODUCER]])</f>
        <v>Taylor-Fonseca</v>
      </c>
      <c r="C5719" s="1178" t="s">
        <v>23081</v>
      </c>
      <c r="D5719" s="1178" t="s">
        <v>10155</v>
      </c>
      <c r="E5719" s="1179">
        <v>2009</v>
      </c>
      <c r="F5719" s="1282" t="s">
        <v>20220</v>
      </c>
      <c r="G5719" s="1368">
        <v>50.75</v>
      </c>
      <c r="H5719" s="1178" t="s">
        <v>20221</v>
      </c>
      <c r="I5719" s="1178" t="s">
        <v>18445</v>
      </c>
      <c r="J5719" s="1178" t="s">
        <v>23042</v>
      </c>
      <c r="K5719" s="1178" t="s">
        <v>649</v>
      </c>
      <c r="L5719" s="1178"/>
      <c r="M5719" s="1369"/>
      <c r="N5719" s="1178"/>
      <c r="O5719" s="1178">
        <v>12</v>
      </c>
      <c r="P5719" s="1178">
        <v>15.5</v>
      </c>
    </row>
    <row r="5720" spans="1:16">
      <c r="A5720" s="1178" t="s">
        <v>653</v>
      </c>
      <c r="B5720" s="1371" t="str">
        <f>HYPERLINK(IFERROR("#Main_Tariff!A"&amp;MATCH(Raeburn_Main_Tariff[[#This Row],[Product Code]],Main_Tariff!I:I,0),"#Main_Tariff!A"&amp;MATCH("*"&amp;RIGHT(A5720,8)&amp;"*",Main_Tariff!A:A,0)),Raeburn_Main_Tariff[[#This Row],[PRODUCER]])</f>
        <v>Taylor-Fonseca</v>
      </c>
      <c r="C5720" s="1178" t="s">
        <v>23081</v>
      </c>
      <c r="D5720" s="1178" t="s">
        <v>10155</v>
      </c>
      <c r="E5720" s="1179">
        <v>2007</v>
      </c>
      <c r="F5720" s="1282" t="s">
        <v>20220</v>
      </c>
      <c r="G5720" s="1368">
        <v>51.75</v>
      </c>
      <c r="H5720" s="1178" t="s">
        <v>20277</v>
      </c>
      <c r="I5720" s="1178" t="s">
        <v>18447</v>
      </c>
      <c r="J5720" s="1178" t="s">
        <v>23042</v>
      </c>
      <c r="K5720" s="1178" t="s">
        <v>649</v>
      </c>
      <c r="L5720" s="1178"/>
      <c r="M5720" s="1369"/>
      <c r="N5720" s="1178"/>
      <c r="O5720" s="1178">
        <v>6</v>
      </c>
      <c r="P5720" s="1178">
        <v>20</v>
      </c>
    </row>
    <row r="5721" spans="1:16">
      <c r="A5721" s="1178" t="s">
        <v>653</v>
      </c>
      <c r="B5721" s="1371" t="str">
        <f>HYPERLINK(IFERROR("#Main_Tariff!A"&amp;MATCH(Raeburn_Main_Tariff[[#This Row],[Product Code]],Main_Tariff!I:I,0),"#Main_Tariff!A"&amp;MATCH("*"&amp;RIGHT(A5721,8)&amp;"*",Main_Tariff!A:A,0)),Raeburn_Main_Tariff[[#This Row],[PRODUCER]])</f>
        <v>Taylor-Fonseca</v>
      </c>
      <c r="C5721" s="1178" t="s">
        <v>23082</v>
      </c>
      <c r="D5721" s="1178" t="s">
        <v>10155</v>
      </c>
      <c r="E5721" s="1179">
        <v>2017</v>
      </c>
      <c r="F5721" s="1282" t="s">
        <v>20220</v>
      </c>
      <c r="G5721" s="1368" t="s">
        <v>5258</v>
      </c>
      <c r="H5721" s="1178" t="s">
        <v>20277</v>
      </c>
      <c r="I5721" s="1178" t="s">
        <v>18451</v>
      </c>
      <c r="J5721" s="1178" t="s">
        <v>23042</v>
      </c>
      <c r="K5721" s="1178" t="s">
        <v>649</v>
      </c>
      <c r="L5721" s="1178"/>
      <c r="M5721" s="1369"/>
      <c r="N5721" s="1178"/>
      <c r="O5721" s="1178">
        <v>3</v>
      </c>
      <c r="P5721" s="1178">
        <v>20</v>
      </c>
    </row>
    <row r="5722" spans="1:16">
      <c r="A5722" s="1178" t="s">
        <v>653</v>
      </c>
      <c r="B5722" s="1371" t="str">
        <f>HYPERLINK(IFERROR("#Main_Tariff!A"&amp;MATCH(Raeburn_Main_Tariff[[#This Row],[Product Code]],Main_Tariff!I:I,0),"#Main_Tariff!A"&amp;MATCH("*"&amp;RIGHT(A5722,8)&amp;"*",Main_Tariff!A:A,0)),Raeburn_Main_Tariff[[#This Row],[PRODUCER]])</f>
        <v>Taylor-Fonseca</v>
      </c>
      <c r="C5722" s="1178" t="s">
        <v>23083</v>
      </c>
      <c r="D5722" s="1178" t="s">
        <v>10155</v>
      </c>
      <c r="E5722" s="1179">
        <v>2011</v>
      </c>
      <c r="F5722" s="1282" t="s">
        <v>20220</v>
      </c>
      <c r="G5722" s="1368" t="s">
        <v>5258</v>
      </c>
      <c r="H5722" s="1178" t="s">
        <v>20224</v>
      </c>
      <c r="I5722" s="1178" t="s">
        <v>18453</v>
      </c>
      <c r="J5722" s="1178" t="s">
        <v>23042</v>
      </c>
      <c r="K5722" s="1178" t="s">
        <v>649</v>
      </c>
      <c r="L5722" s="1178"/>
      <c r="M5722" s="1369"/>
      <c r="N5722" s="1178"/>
      <c r="O5722" s="1178">
        <v>3</v>
      </c>
      <c r="P5722" s="1178">
        <v>22</v>
      </c>
    </row>
    <row r="5723" spans="1:16">
      <c r="A5723" s="1178" t="s">
        <v>653</v>
      </c>
      <c r="B5723" s="1371" t="str">
        <f>HYPERLINK(IFERROR("#Main_Tariff!A"&amp;MATCH(Raeburn_Main_Tariff[[#This Row],[Product Code]],Main_Tariff!I:I,0),"#Main_Tariff!A"&amp;MATCH("*"&amp;RIGHT(A5723,8)&amp;"*",Main_Tariff!A:A,0)),Raeburn_Main_Tariff[[#This Row],[PRODUCER]])</f>
        <v>Taylor-Fonseca</v>
      </c>
      <c r="C5723" s="1178" t="s">
        <v>23083</v>
      </c>
      <c r="D5723" s="1178" t="s">
        <v>10155</v>
      </c>
      <c r="E5723" s="1179">
        <v>2009</v>
      </c>
      <c r="F5723" s="1282" t="s">
        <v>20220</v>
      </c>
      <c r="G5723" s="1368" t="s">
        <v>5258</v>
      </c>
      <c r="H5723" s="1178" t="s">
        <v>20224</v>
      </c>
      <c r="I5723" s="1178" t="s">
        <v>18455</v>
      </c>
      <c r="J5723" s="1178" t="s">
        <v>23042</v>
      </c>
      <c r="K5723" s="1178" t="s">
        <v>649</v>
      </c>
      <c r="L5723" s="1178"/>
      <c r="M5723" s="1369"/>
      <c r="N5723" s="1178"/>
      <c r="O5723" s="1178">
        <v>3</v>
      </c>
      <c r="P5723" s="1178">
        <v>20.5</v>
      </c>
    </row>
    <row r="5724" spans="1:16">
      <c r="A5724" s="1178" t="s">
        <v>653</v>
      </c>
      <c r="B5724" s="1371" t="str">
        <f>HYPERLINK(IFERROR("#Main_Tariff!A"&amp;MATCH(Raeburn_Main_Tariff[[#This Row],[Product Code]],Main_Tariff!I:I,0),"#Main_Tariff!A"&amp;MATCH("*"&amp;RIGHT(A5724,8)&amp;"*",Main_Tariff!A:A,0)),Raeburn_Main_Tariff[[#This Row],[PRODUCER]])</f>
        <v>Taylor-Fonseca</v>
      </c>
      <c r="C5724" s="1178" t="s">
        <v>23083</v>
      </c>
      <c r="D5724" s="1178" t="s">
        <v>10155</v>
      </c>
      <c r="E5724" s="1179">
        <v>2007</v>
      </c>
      <c r="F5724" s="1282" t="s">
        <v>20220</v>
      </c>
      <c r="G5724" s="1368" t="s">
        <v>5258</v>
      </c>
      <c r="H5724" s="1178" t="s">
        <v>20277</v>
      </c>
      <c r="I5724" s="1178" t="s">
        <v>18457</v>
      </c>
      <c r="J5724" s="1178" t="s">
        <v>23042</v>
      </c>
      <c r="K5724" s="1178" t="s">
        <v>649</v>
      </c>
      <c r="L5724" s="1178"/>
      <c r="M5724" s="1369"/>
      <c r="N5724" s="1178"/>
      <c r="O5724" s="1178">
        <v>3</v>
      </c>
      <c r="P5724" s="1178">
        <v>20.5</v>
      </c>
    </row>
    <row r="5725" spans="1:16">
      <c r="A5725" s="1178" t="s">
        <v>23084</v>
      </c>
      <c r="B5725" s="1371" t="str">
        <f>HYPERLINK(IFERROR("#Main_Tariff!A"&amp;MATCH(Raeburn_Main_Tariff[[#This Row],[Product Code]],Main_Tariff!I:I,0),"#Main_Tariff!A"&amp;MATCH("*"&amp;RIGHT(A5725,8)&amp;"*",Main_Tariff!A:A,0)),Raeburn_Main_Tariff[[#This Row],[PRODUCER]])</f>
        <v>Juan Piñero</v>
      </c>
      <c r="C5725" s="1178" t="s">
        <v>23085</v>
      </c>
      <c r="D5725" s="1178" t="s">
        <v>18488</v>
      </c>
      <c r="E5725" s="1179" t="s">
        <v>23086</v>
      </c>
      <c r="F5725" s="1282" t="s">
        <v>20220</v>
      </c>
      <c r="G5725" s="1368">
        <v>13.25</v>
      </c>
      <c r="H5725" s="1178" t="s">
        <v>20221</v>
      </c>
      <c r="I5725" s="1178" t="s">
        <v>18489</v>
      </c>
      <c r="J5725" s="1178" t="s">
        <v>23042</v>
      </c>
      <c r="K5725" s="1178" t="s">
        <v>654</v>
      </c>
      <c r="L5725" s="1178"/>
      <c r="M5725" s="1369"/>
      <c r="N5725" s="1178"/>
      <c r="O5725" s="1178">
        <v>6</v>
      </c>
      <c r="P5725" s="1178">
        <v>15</v>
      </c>
    </row>
    <row r="5726" spans="1:16">
      <c r="A5726" s="1178" t="s">
        <v>23084</v>
      </c>
      <c r="B5726" s="1371" t="str">
        <f>HYPERLINK(IFERROR("#Main_Tariff!A"&amp;MATCH(Raeburn_Main_Tariff[[#This Row],[Product Code]],Main_Tariff!I:I,0),"#Main_Tariff!A"&amp;MATCH("*"&amp;RIGHT(A5726,8)&amp;"*",Main_Tariff!A:A,0)),Raeburn_Main_Tariff[[#This Row],[PRODUCER]])</f>
        <v>Juan Piñero</v>
      </c>
      <c r="C5726" s="1178" t="s">
        <v>23087</v>
      </c>
      <c r="D5726" s="1178" t="s">
        <v>18488</v>
      </c>
      <c r="E5726" s="1179" t="s">
        <v>23088</v>
      </c>
      <c r="F5726" s="1282" t="s">
        <v>20220</v>
      </c>
      <c r="G5726" s="1368">
        <v>15</v>
      </c>
      <c r="H5726" s="1178" t="s">
        <v>20221</v>
      </c>
      <c r="I5726" s="1178" t="s">
        <v>18491</v>
      </c>
      <c r="J5726" s="1178" t="s">
        <v>23042</v>
      </c>
      <c r="K5726" s="1178" t="s">
        <v>654</v>
      </c>
      <c r="L5726" s="1178"/>
      <c r="M5726" s="1369"/>
      <c r="N5726" s="1178"/>
      <c r="O5726" s="1178">
        <v>6</v>
      </c>
      <c r="P5726" s="1178">
        <v>15</v>
      </c>
    </row>
    <row r="5727" spans="1:16">
      <c r="A5727" s="1178" t="s">
        <v>23084</v>
      </c>
      <c r="B5727" s="1371" t="str">
        <f>HYPERLINK(IFERROR("#Main_Tariff!A"&amp;MATCH(Raeburn_Main_Tariff[[#This Row],[Product Code]],Main_Tariff!I:I,0),"#Main_Tariff!A"&amp;MATCH("*"&amp;RIGHT(A5727,8)&amp;"*",Main_Tariff!A:A,0)),Raeburn_Main_Tariff[[#This Row],[PRODUCER]])</f>
        <v>Juan Piñero</v>
      </c>
      <c r="C5727" s="1178" t="s">
        <v>23089</v>
      </c>
      <c r="D5727" s="1178" t="s">
        <v>18488</v>
      </c>
      <c r="E5727" s="1179" t="s">
        <v>23090</v>
      </c>
      <c r="F5727" s="1282" t="s">
        <v>20313</v>
      </c>
      <c r="G5727" s="1368">
        <v>22.25</v>
      </c>
      <c r="H5727" s="1178" t="s">
        <v>20221</v>
      </c>
      <c r="I5727" s="1178" t="s">
        <v>18492</v>
      </c>
      <c r="J5727" s="1178" t="s">
        <v>23042</v>
      </c>
      <c r="K5727" s="1178" t="s">
        <v>654</v>
      </c>
      <c r="L5727" s="1178"/>
      <c r="M5727" s="1369"/>
      <c r="N5727" s="1178"/>
      <c r="O5727" s="1178">
        <v>6</v>
      </c>
      <c r="P5727" s="1178">
        <v>16</v>
      </c>
    </row>
    <row r="5728" spans="1:16">
      <c r="A5728" s="1178" t="s">
        <v>23084</v>
      </c>
      <c r="B5728" s="1371" t="str">
        <f>HYPERLINK(IFERROR("#Main_Tariff!A"&amp;MATCH(Raeburn_Main_Tariff[[#This Row],[Product Code]],Main_Tariff!I:I,0),"#Main_Tariff!A"&amp;MATCH("*"&amp;RIGHT(A5728,8)&amp;"*",Main_Tariff!A:A,0)),Raeburn_Main_Tariff[[#This Row],[PRODUCER]])</f>
        <v>Juan Piñero</v>
      </c>
      <c r="C5728" s="1178" t="s">
        <v>23091</v>
      </c>
      <c r="D5728" s="1178" t="s">
        <v>18488</v>
      </c>
      <c r="E5728" s="1179" t="s">
        <v>23090</v>
      </c>
      <c r="F5728" s="1282" t="s">
        <v>20313</v>
      </c>
      <c r="G5728" s="1368">
        <v>22.25</v>
      </c>
      <c r="H5728" s="1178" t="s">
        <v>20221</v>
      </c>
      <c r="I5728" s="1178" t="s">
        <v>18494</v>
      </c>
      <c r="J5728" s="1178" t="s">
        <v>23042</v>
      </c>
      <c r="K5728" s="1178" t="s">
        <v>654</v>
      </c>
      <c r="L5728" s="1178"/>
      <c r="M5728" s="1369"/>
      <c r="N5728" s="1178"/>
      <c r="O5728" s="1178">
        <v>6</v>
      </c>
      <c r="P5728" s="1178">
        <v>16</v>
      </c>
    </row>
    <row r="5729" spans="1:16">
      <c r="A5729" s="1178" t="s">
        <v>23084</v>
      </c>
      <c r="B5729" s="1371" t="str">
        <f>HYPERLINK(IFERROR("#Main_Tariff!A"&amp;MATCH(Raeburn_Main_Tariff[[#This Row],[Product Code]],Main_Tariff!I:I,0),"#Main_Tariff!A"&amp;MATCH("*"&amp;RIGHT(A5729,8)&amp;"*",Main_Tariff!A:A,0)),Raeburn_Main_Tariff[[#This Row],[PRODUCER]])</f>
        <v>Juan Piñero</v>
      </c>
      <c r="C5729" s="1178" t="s">
        <v>23092</v>
      </c>
      <c r="D5729" s="1178" t="s">
        <v>18488</v>
      </c>
      <c r="E5729" s="1179" t="s">
        <v>23090</v>
      </c>
      <c r="F5729" s="1282" t="s">
        <v>20220</v>
      </c>
      <c r="G5729" s="1368">
        <v>22.25</v>
      </c>
      <c r="H5729" s="1178" t="s">
        <v>20277</v>
      </c>
      <c r="I5729" s="1178" t="s">
        <v>18498</v>
      </c>
      <c r="J5729" s="1178" t="s">
        <v>23042</v>
      </c>
      <c r="K5729" s="1178" t="s">
        <v>654</v>
      </c>
      <c r="L5729" s="1178"/>
      <c r="M5729" s="1369"/>
      <c r="N5729" s="1178"/>
      <c r="O5729" s="1178">
        <v>6</v>
      </c>
      <c r="P5729" s="1178">
        <v>17.5</v>
      </c>
    </row>
    <row r="5730" spans="1:16">
      <c r="A5730" s="1178" t="s">
        <v>23084</v>
      </c>
      <c r="B5730" s="1371" t="str">
        <f>HYPERLINK(IFERROR("#Main_Tariff!A"&amp;MATCH(Raeburn_Main_Tariff[[#This Row],[Product Code]],Main_Tariff!I:I,0),"#Main_Tariff!A"&amp;MATCH("*"&amp;RIGHT(A5730,8)&amp;"*",Main_Tariff!A:A,0)),Raeburn_Main_Tariff[[#This Row],[PRODUCER]])</f>
        <v>Juan Piñero</v>
      </c>
      <c r="C5730" s="1178" t="s">
        <v>23093</v>
      </c>
      <c r="D5730" s="1178" t="s">
        <v>18488</v>
      </c>
      <c r="E5730" s="1179" t="s">
        <v>23094</v>
      </c>
      <c r="F5730" s="1282" t="s">
        <v>20220</v>
      </c>
      <c r="G5730" s="1368">
        <v>22.5</v>
      </c>
      <c r="H5730" s="1178" t="s">
        <v>20224</v>
      </c>
      <c r="I5730" s="1178" t="s">
        <v>18500</v>
      </c>
      <c r="J5730" s="1178" t="s">
        <v>23042</v>
      </c>
      <c r="K5730" s="1178" t="s">
        <v>654</v>
      </c>
      <c r="L5730" s="1178"/>
      <c r="M5730" s="1369"/>
      <c r="N5730" s="1178"/>
      <c r="O5730" s="1178">
        <v>6</v>
      </c>
      <c r="P5730" s="1178">
        <v>18</v>
      </c>
    </row>
    <row r="5731" spans="1:16">
      <c r="A5731" s="1178" t="s">
        <v>23084</v>
      </c>
      <c r="B5731" s="1371" t="str">
        <f>HYPERLINK(IFERROR("#Main_Tariff!A"&amp;MATCH(Raeburn_Main_Tariff[[#This Row],[Product Code]],Main_Tariff!I:I,0),"#Main_Tariff!A"&amp;MATCH("*"&amp;RIGHT(A5731,8)&amp;"*",Main_Tariff!A:A,0)),Raeburn_Main_Tariff[[#This Row],[PRODUCER]])</f>
        <v>Juan Piñero</v>
      </c>
      <c r="C5731" s="1178" t="s">
        <v>23095</v>
      </c>
      <c r="D5731" s="1178" t="s">
        <v>18488</v>
      </c>
      <c r="E5731" s="1179" t="s">
        <v>23090</v>
      </c>
      <c r="F5731" s="1282" t="s">
        <v>20220</v>
      </c>
      <c r="G5731" s="1368">
        <v>23.25</v>
      </c>
      <c r="H5731" s="1178" t="s">
        <v>20221</v>
      </c>
      <c r="I5731" s="1178" t="s">
        <v>18502</v>
      </c>
      <c r="J5731" s="1178" t="s">
        <v>23042</v>
      </c>
      <c r="K5731" s="1178" t="s">
        <v>654</v>
      </c>
      <c r="L5731" s="1178"/>
      <c r="M5731" s="1369"/>
      <c r="N5731" s="1178"/>
      <c r="O5731" s="1178">
        <v>6</v>
      </c>
      <c r="P5731" s="1178">
        <v>18</v>
      </c>
    </row>
    <row r="5732" spans="1:16">
      <c r="A5732" s="1178" t="s">
        <v>23084</v>
      </c>
      <c r="B5732" s="1371" t="str">
        <f>HYPERLINK(IFERROR("#Main_Tariff!A"&amp;MATCH(Raeburn_Main_Tariff[[#This Row],[Product Code]],Main_Tariff!I:I,0),"#Main_Tariff!A"&amp;MATCH("*"&amp;RIGHT(A5732,8)&amp;"*",Main_Tariff!A:A,0)),Raeburn_Main_Tariff[[#This Row],[PRODUCER]])</f>
        <v>Juan Piñero</v>
      </c>
      <c r="C5732" s="1178" t="s">
        <v>23096</v>
      </c>
      <c r="D5732" s="1178" t="s">
        <v>18488</v>
      </c>
      <c r="E5732" s="1179" t="s">
        <v>23097</v>
      </c>
      <c r="F5732" s="1282" t="s">
        <v>20313</v>
      </c>
      <c r="G5732" s="1368">
        <v>32</v>
      </c>
      <c r="H5732" s="1178" t="s">
        <v>20221</v>
      </c>
      <c r="I5732" s="1178" t="s">
        <v>18504</v>
      </c>
      <c r="J5732" s="1178" t="s">
        <v>23042</v>
      </c>
      <c r="K5732" s="1178" t="s">
        <v>654</v>
      </c>
      <c r="L5732" s="1178"/>
      <c r="M5732" s="1369"/>
      <c r="N5732" s="1178"/>
      <c r="O5732" s="1178">
        <v>6</v>
      </c>
      <c r="P5732" s="1178">
        <v>19</v>
      </c>
    </row>
    <row r="5733" spans="1:16">
      <c r="A5733" s="1178" t="s">
        <v>23084</v>
      </c>
      <c r="B5733" s="1371" t="str">
        <f>HYPERLINK(IFERROR("#Main_Tariff!A"&amp;MATCH(Raeburn_Main_Tariff[[#This Row],[Product Code]],Main_Tariff!I:I,0),"#Main_Tariff!A"&amp;MATCH("*"&amp;RIGHT(A5733,8)&amp;"*",Main_Tariff!A:A,0)),Raeburn_Main_Tariff[[#This Row],[PRODUCER]])</f>
        <v>Juan Piñero</v>
      </c>
      <c r="C5733" s="1178" t="s">
        <v>23098</v>
      </c>
      <c r="D5733" s="1178" t="s">
        <v>18488</v>
      </c>
      <c r="E5733" s="1179" t="s">
        <v>23099</v>
      </c>
      <c r="F5733" s="1282" t="s">
        <v>20313</v>
      </c>
      <c r="G5733" s="1368">
        <v>32.5</v>
      </c>
      <c r="H5733" s="1178" t="s">
        <v>20221</v>
      </c>
      <c r="I5733" s="1178" t="s">
        <v>18506</v>
      </c>
      <c r="J5733" s="1178" t="s">
        <v>23042</v>
      </c>
      <c r="K5733" s="1178" t="s">
        <v>654</v>
      </c>
      <c r="L5733" s="1178"/>
      <c r="M5733" s="1369"/>
      <c r="N5733" s="1178"/>
      <c r="O5733" s="1178">
        <v>6</v>
      </c>
      <c r="P5733" s="1178">
        <v>22</v>
      </c>
    </row>
    <row r="5734" spans="1:16">
      <c r="A5734" s="1178" t="s">
        <v>23084</v>
      </c>
      <c r="B5734" s="1371" t="str">
        <f>HYPERLINK(IFERROR("#Main_Tariff!A"&amp;MATCH(Raeburn_Main_Tariff[[#This Row],[Product Code]],Main_Tariff!I:I,0),"#Main_Tariff!A"&amp;MATCH("*"&amp;RIGHT(A5734,8)&amp;"*",Main_Tariff!A:A,0)),Raeburn_Main_Tariff[[#This Row],[PRODUCER]])</f>
        <v>Juan Piñero</v>
      </c>
      <c r="C5734" s="1178" t="s">
        <v>23100</v>
      </c>
      <c r="D5734" s="1178" t="s">
        <v>1280</v>
      </c>
      <c r="E5734" s="1179" t="s">
        <v>23101</v>
      </c>
      <c r="F5734" s="1282" t="s">
        <v>20220</v>
      </c>
      <c r="G5734" s="1368">
        <v>21.25</v>
      </c>
      <c r="H5734" s="1178" t="s">
        <v>20221</v>
      </c>
      <c r="I5734" s="1178" t="s">
        <v>18510</v>
      </c>
      <c r="J5734" s="1178" t="s">
        <v>23042</v>
      </c>
      <c r="K5734" s="1178" t="s">
        <v>654</v>
      </c>
      <c r="L5734" s="1178"/>
      <c r="M5734" s="1369"/>
      <c r="N5734" s="1178"/>
      <c r="O5734" s="1178">
        <v>6</v>
      </c>
      <c r="P5734" s="1178">
        <v>18</v>
      </c>
    </row>
    <row r="5735" spans="1:16">
      <c r="A5735" s="1178" t="s">
        <v>23084</v>
      </c>
      <c r="B5735" s="1371" t="str">
        <f>HYPERLINK(IFERROR("#Main_Tariff!A"&amp;MATCH(Raeburn_Main_Tariff[[#This Row],[Product Code]],Main_Tariff!I:I,0),"#Main_Tariff!A"&amp;MATCH("*"&amp;RIGHT(A5735,8)&amp;"*",Main_Tariff!A:A,0)),Raeburn_Main_Tariff[[#This Row],[PRODUCER]])</f>
        <v>Juan Piñero</v>
      </c>
      <c r="C5735" s="1178" t="s">
        <v>23102</v>
      </c>
      <c r="D5735" s="1178" t="s">
        <v>1280</v>
      </c>
      <c r="E5735" s="1179" t="s">
        <v>23103</v>
      </c>
      <c r="F5735" s="1282" t="s">
        <v>20313</v>
      </c>
      <c r="G5735" s="1368">
        <v>21.5</v>
      </c>
      <c r="H5735" s="1178" t="s">
        <v>20221</v>
      </c>
      <c r="I5735" s="1178" t="s">
        <v>18512</v>
      </c>
      <c r="J5735" s="1178" t="s">
        <v>23042</v>
      </c>
      <c r="K5735" s="1178" t="s">
        <v>654</v>
      </c>
      <c r="L5735" s="1178"/>
      <c r="M5735" s="1369"/>
      <c r="N5735" s="1178"/>
      <c r="O5735" s="1178">
        <v>6</v>
      </c>
      <c r="P5735" s="1178">
        <v>19</v>
      </c>
    </row>
    <row r="5736" spans="1:16">
      <c r="A5736" s="1178" t="s">
        <v>656</v>
      </c>
      <c r="B5736" s="1371" t="str">
        <f>HYPERLINK(IFERROR("#Main_Tariff!A"&amp;MATCH(Raeburn_Main_Tariff[[#This Row],[Product Code]],Main_Tariff!I:I,0),"#Main_Tariff!A"&amp;MATCH("*"&amp;RIGHT(A5736,8)&amp;"*",Main_Tariff!A:A,0)),Raeburn_Main_Tariff[[#This Row],[PRODUCER]])</f>
        <v>Bodegas Tradicion</v>
      </c>
      <c r="C5736" s="1178" t="s">
        <v>23104</v>
      </c>
      <c r="D5736" s="1178" t="s">
        <v>1280</v>
      </c>
      <c r="E5736" s="1179" t="s">
        <v>23105</v>
      </c>
      <c r="F5736" s="1282" t="s">
        <v>20220</v>
      </c>
      <c r="G5736" s="1368">
        <v>35</v>
      </c>
      <c r="H5736" s="1178" t="s">
        <v>20224</v>
      </c>
      <c r="I5736" s="1178" t="s">
        <v>18516</v>
      </c>
      <c r="J5736" s="1178" t="s">
        <v>23042</v>
      </c>
      <c r="K5736" s="1178" t="s">
        <v>654</v>
      </c>
      <c r="L5736" s="1178"/>
      <c r="M5736" s="1369"/>
      <c r="N5736" s="1178"/>
      <c r="O5736" s="1178">
        <v>6</v>
      </c>
      <c r="P5736" s="1178">
        <v>18.5</v>
      </c>
    </row>
    <row r="5737" spans="1:16">
      <c r="A5737" s="1178" t="s">
        <v>656</v>
      </c>
      <c r="B5737" s="1371" t="str">
        <f>HYPERLINK(IFERROR("#Main_Tariff!A"&amp;MATCH(Raeburn_Main_Tariff[[#This Row],[Product Code]],Main_Tariff!I:I,0),"#Main_Tariff!A"&amp;MATCH("*"&amp;RIGHT(A5737,8)&amp;"*",Main_Tariff!A:A,0)),Raeburn_Main_Tariff[[#This Row],[PRODUCER]])</f>
        <v>Bodegas Tradicion</v>
      </c>
      <c r="C5737" s="1178" t="s">
        <v>23106</v>
      </c>
      <c r="D5737" s="1178" t="s">
        <v>18488</v>
      </c>
      <c r="E5737" s="1179" t="s">
        <v>23107</v>
      </c>
      <c r="F5737" s="1282" t="s">
        <v>20220</v>
      </c>
      <c r="G5737" s="1368">
        <v>40.5</v>
      </c>
      <c r="H5737" s="1178" t="s">
        <v>20221</v>
      </c>
      <c r="I5737" s="1178" t="s">
        <v>18519</v>
      </c>
      <c r="J5737" s="1178" t="s">
        <v>23042</v>
      </c>
      <c r="K5737" s="1178" t="s">
        <v>654</v>
      </c>
      <c r="L5737" s="1178"/>
      <c r="M5737" s="1369"/>
      <c r="N5737" s="1178"/>
      <c r="O5737" s="1178">
        <v>6</v>
      </c>
      <c r="P5737" s="1178">
        <v>15.5</v>
      </c>
    </row>
    <row r="5738" spans="1:16">
      <c r="A5738" s="1178" t="s">
        <v>656</v>
      </c>
      <c r="B5738" s="1371" t="str">
        <f>HYPERLINK(IFERROR("#Main_Tariff!A"&amp;MATCH(Raeburn_Main_Tariff[[#This Row],[Product Code]],Main_Tariff!I:I,0),"#Main_Tariff!A"&amp;MATCH("*"&amp;RIGHT(A5738,8)&amp;"*",Main_Tariff!A:A,0)),Raeburn_Main_Tariff[[#This Row],[PRODUCER]])</f>
        <v>Bodegas Tradicion</v>
      </c>
      <c r="C5738" s="1178" t="s">
        <v>23108</v>
      </c>
      <c r="D5738" s="1178" t="s">
        <v>18488</v>
      </c>
      <c r="E5738" s="1179" t="s">
        <v>19307</v>
      </c>
      <c r="F5738" s="1282" t="s">
        <v>20220</v>
      </c>
      <c r="G5738" s="1368">
        <v>46.25</v>
      </c>
      <c r="H5738" s="1178" t="s">
        <v>20277</v>
      </c>
      <c r="I5738" s="1178" t="s">
        <v>18520</v>
      </c>
      <c r="J5738" s="1178" t="s">
        <v>23042</v>
      </c>
      <c r="K5738" s="1178" t="s">
        <v>654</v>
      </c>
      <c r="L5738" s="1178"/>
      <c r="M5738" s="1369"/>
      <c r="N5738" s="1178"/>
      <c r="O5738" s="1178">
        <v>6</v>
      </c>
      <c r="P5738" s="1178">
        <v>19.5</v>
      </c>
    </row>
    <row r="5739" spans="1:16">
      <c r="A5739" s="1178" t="s">
        <v>656</v>
      </c>
      <c r="B5739" s="1371" t="str">
        <f>HYPERLINK(IFERROR("#Main_Tariff!A"&amp;MATCH(Raeburn_Main_Tariff[[#This Row],[Product Code]],Main_Tariff!I:I,0),"#Main_Tariff!A"&amp;MATCH("*"&amp;RIGHT(A5739,8)&amp;"*",Main_Tariff!A:A,0)),Raeburn_Main_Tariff[[#This Row],[PRODUCER]])</f>
        <v>Bodegas Tradicion</v>
      </c>
      <c r="C5739" s="1178" t="s">
        <v>23109</v>
      </c>
      <c r="D5739" s="1178" t="s">
        <v>18488</v>
      </c>
      <c r="E5739" s="1179" t="s">
        <v>19307</v>
      </c>
      <c r="F5739" s="1282" t="s">
        <v>20240</v>
      </c>
      <c r="G5739" s="1368">
        <v>99.25</v>
      </c>
      <c r="H5739" s="1178" t="s">
        <v>20224</v>
      </c>
      <c r="I5739" s="1178" t="s">
        <v>18522</v>
      </c>
      <c r="J5739" s="1178" t="s">
        <v>23042</v>
      </c>
      <c r="K5739" s="1178" t="s">
        <v>654</v>
      </c>
      <c r="L5739" s="1178"/>
      <c r="M5739" s="1369"/>
      <c r="N5739" s="1178"/>
      <c r="O5739" s="1178">
        <v>1</v>
      </c>
      <c r="P5739" s="1178">
        <v>19.5</v>
      </c>
    </row>
    <row r="5740" spans="1:16">
      <c r="A5740" s="1178" t="s">
        <v>656</v>
      </c>
      <c r="B5740" s="1371" t="str">
        <f>HYPERLINK(IFERROR("#Main_Tariff!A"&amp;MATCH(Raeburn_Main_Tariff[[#This Row],[Product Code]],Main_Tariff!I:I,0),"#Main_Tariff!A"&amp;MATCH("*"&amp;RIGHT(A5740,8)&amp;"*",Main_Tariff!A:A,0)),Raeburn_Main_Tariff[[#This Row],[PRODUCER]])</f>
        <v>Bodegas Tradicion</v>
      </c>
      <c r="C5740" s="1178" t="s">
        <v>23110</v>
      </c>
      <c r="D5740" s="1178" t="s">
        <v>6904</v>
      </c>
      <c r="E5740" s="1179" t="s">
        <v>23111</v>
      </c>
      <c r="F5740" s="1282" t="s">
        <v>21392</v>
      </c>
      <c r="G5740" s="1368">
        <v>55.25</v>
      </c>
      <c r="H5740" s="1178" t="s">
        <v>20224</v>
      </c>
      <c r="I5740" s="1178" t="s">
        <v>18525</v>
      </c>
      <c r="J5740" s="1178" t="s">
        <v>23042</v>
      </c>
      <c r="K5740" s="1178" t="s">
        <v>654</v>
      </c>
      <c r="L5740" s="1178"/>
      <c r="M5740" s="1369"/>
      <c r="N5740" s="1178"/>
      <c r="O5740" s="1178">
        <v>6</v>
      </c>
      <c r="P5740" s="1178">
        <v>38</v>
      </c>
    </row>
    <row r="5741" spans="1:16">
      <c r="A5741" s="1178" t="s">
        <v>23112</v>
      </c>
      <c r="B5741" s="1371" t="str">
        <f>HYPERLINK(IFERROR("#Main_Tariff!A"&amp;MATCH(Raeburn_Main_Tariff[[#This Row],[Product Code]],Main_Tariff!I:I,0),"#Main_Tariff!A"&amp;MATCH("*"&amp;RIGHT(A5741,8)&amp;"*",Main_Tariff!A:A,0)),Raeburn_Main_Tariff[[#This Row],[PRODUCER]])</f>
        <v>Fernando De Castilla</v>
      </c>
      <c r="C5741" s="1178" t="s">
        <v>23113</v>
      </c>
      <c r="D5741" s="1178" t="s">
        <v>18488</v>
      </c>
      <c r="E5741" s="1179"/>
      <c r="F5741" s="1282" t="s">
        <v>20220</v>
      </c>
      <c r="G5741" s="1368"/>
      <c r="H5741" s="1178" t="s">
        <v>3907</v>
      </c>
      <c r="I5741" s="1178" t="s">
        <v>18529</v>
      </c>
      <c r="J5741" s="1178" t="s">
        <v>23042</v>
      </c>
      <c r="K5741" s="1178" t="s">
        <v>654</v>
      </c>
      <c r="L5741" s="1178"/>
      <c r="M5741" s="1369"/>
      <c r="N5741" s="1178"/>
      <c r="O5741" s="1178">
        <v>6</v>
      </c>
      <c r="P5741" s="1178">
        <v>18</v>
      </c>
    </row>
    <row r="5742" spans="1:16">
      <c r="A5742" s="1178" t="s">
        <v>23112</v>
      </c>
      <c r="B5742" s="1371" t="str">
        <f>HYPERLINK(IFERROR("#Main_Tariff!A"&amp;MATCH(Raeburn_Main_Tariff[[#This Row],[Product Code]],Main_Tariff!I:I,0),"#Main_Tariff!A"&amp;MATCH("*"&amp;RIGHT(A5742,8)&amp;"*",Main_Tariff!A:A,0)),Raeburn_Main_Tariff[[#This Row],[PRODUCER]])</f>
        <v>Fernando De Castilla</v>
      </c>
      <c r="C5742" s="1178" t="s">
        <v>23114</v>
      </c>
      <c r="D5742" s="1178" t="s">
        <v>18488</v>
      </c>
      <c r="E5742" s="1179" t="s">
        <v>23115</v>
      </c>
      <c r="F5742" s="1282" t="s">
        <v>20313</v>
      </c>
      <c r="G5742" s="1368">
        <v>29</v>
      </c>
      <c r="H5742" s="1178" t="s">
        <v>20277</v>
      </c>
      <c r="I5742" s="1178" t="s">
        <v>18530</v>
      </c>
      <c r="J5742" s="1178" t="s">
        <v>23042</v>
      </c>
      <c r="K5742" s="1178" t="s">
        <v>654</v>
      </c>
      <c r="L5742" s="1178"/>
      <c r="M5742" s="1369"/>
      <c r="N5742" s="1178"/>
      <c r="O5742" s="1178">
        <v>6</v>
      </c>
      <c r="P5742" s="1178">
        <v>19</v>
      </c>
    </row>
    <row r="5743" spans="1:16">
      <c r="A5743" s="1178" t="s">
        <v>23112</v>
      </c>
      <c r="B5743" s="1371" t="str">
        <f>HYPERLINK(IFERROR("#Main_Tariff!A"&amp;MATCH(Raeburn_Main_Tariff[[#This Row],[Product Code]],Main_Tariff!I:I,0),"#Main_Tariff!A"&amp;MATCH("*"&amp;RIGHT(A5743,8)&amp;"*",Main_Tariff!A:A,0)),Raeburn_Main_Tariff[[#This Row],[PRODUCER]])</f>
        <v>Fernando De Castilla</v>
      </c>
      <c r="C5743" s="1178" t="s">
        <v>23116</v>
      </c>
      <c r="D5743" s="1178" t="s">
        <v>18488</v>
      </c>
      <c r="E5743" s="1179" t="s">
        <v>23117</v>
      </c>
      <c r="F5743" s="1282" t="s">
        <v>20313</v>
      </c>
      <c r="G5743" s="1368">
        <v>29</v>
      </c>
      <c r="H5743" s="1178" t="s">
        <v>20224</v>
      </c>
      <c r="I5743" s="1178" t="s">
        <v>18532</v>
      </c>
      <c r="J5743" s="1178" t="s">
        <v>23042</v>
      </c>
      <c r="K5743" s="1178" t="s">
        <v>654</v>
      </c>
      <c r="L5743" s="1178"/>
      <c r="M5743" s="1369"/>
      <c r="N5743" s="1178"/>
      <c r="O5743" s="1178">
        <v>6</v>
      </c>
      <c r="P5743" s="1178">
        <v>20</v>
      </c>
    </row>
    <row r="5744" spans="1:16">
      <c r="A5744" s="1178" t="s">
        <v>660</v>
      </c>
      <c r="B5744" s="1371" t="str">
        <f>HYPERLINK(IFERROR("#Main_Tariff!A"&amp;MATCH(Raeburn_Main_Tariff[[#This Row],[Product Code]],Main_Tariff!I:I,0),"#Main_Tariff!A"&amp;MATCH("*"&amp;RIGHT(A5744,8)&amp;"*",Main_Tariff!A:A,0)),Raeburn_Main_Tariff[[#This Row],[PRODUCER]])</f>
        <v>The Bottlers</v>
      </c>
      <c r="C5744" s="1178" t="s">
        <v>23118</v>
      </c>
      <c r="D5744" s="1178" t="s">
        <v>6904</v>
      </c>
      <c r="E5744" s="1179" t="s">
        <v>23119</v>
      </c>
      <c r="F5744" s="1282" t="s">
        <v>21392</v>
      </c>
      <c r="G5744" s="1368">
        <v>150</v>
      </c>
      <c r="H5744" s="1178" t="s">
        <v>20277</v>
      </c>
      <c r="I5744" s="1178" t="s">
        <v>18542</v>
      </c>
      <c r="J5744" s="1178" t="s">
        <v>23120</v>
      </c>
      <c r="K5744" s="1178" t="s">
        <v>20221</v>
      </c>
      <c r="L5744" s="1178"/>
      <c r="M5744" s="1369"/>
      <c r="N5744" s="1178"/>
      <c r="O5744" s="1178">
        <v>6</v>
      </c>
      <c r="P5744" s="1178">
        <v>0</v>
      </c>
    </row>
    <row r="5745" spans="1:16">
      <c r="A5745" s="1178" t="s">
        <v>660</v>
      </c>
      <c r="B5745" s="1371" t="str">
        <f>HYPERLINK(IFERROR("#Main_Tariff!A"&amp;MATCH(Raeburn_Main_Tariff[[#This Row],[Product Code]],Main_Tariff!I:I,0),"#Main_Tariff!A"&amp;MATCH("*"&amp;RIGHT(A5745,8)&amp;"*",Main_Tariff!A:A,0)),Raeburn_Main_Tariff[[#This Row],[PRODUCER]])</f>
        <v>The Bottlers</v>
      </c>
      <c r="C5745" s="1178" t="s">
        <v>23121</v>
      </c>
      <c r="D5745" s="1178" t="s">
        <v>6904</v>
      </c>
      <c r="E5745" s="1179" t="s">
        <v>23122</v>
      </c>
      <c r="F5745" s="1282" t="s">
        <v>21392</v>
      </c>
      <c r="G5745" s="1368">
        <v>240</v>
      </c>
      <c r="H5745" s="1178" t="s">
        <v>20277</v>
      </c>
      <c r="I5745" s="1178" t="s">
        <v>18547</v>
      </c>
      <c r="J5745" s="1178" t="s">
        <v>23120</v>
      </c>
      <c r="K5745" s="1178" t="s">
        <v>20221</v>
      </c>
      <c r="L5745" s="1178"/>
      <c r="M5745" s="1369"/>
      <c r="N5745" s="1178"/>
      <c r="O5745" s="1178">
        <v>6</v>
      </c>
      <c r="P5745" s="1178">
        <v>0</v>
      </c>
    </row>
    <row r="5746" spans="1:16">
      <c r="A5746" s="1178" t="s">
        <v>660</v>
      </c>
      <c r="B5746" s="1371" t="str">
        <f>HYPERLINK(IFERROR("#Main_Tariff!A"&amp;MATCH(Raeburn_Main_Tariff[[#This Row],[Product Code]],Main_Tariff!I:I,0),"#Main_Tariff!A"&amp;MATCH("*"&amp;RIGHT(A5746,8)&amp;"*",Main_Tariff!A:A,0)),Raeburn_Main_Tariff[[#This Row],[PRODUCER]])</f>
        <v>The Bottlers</v>
      </c>
      <c r="C5746" s="1178" t="s">
        <v>23123</v>
      </c>
      <c r="D5746" s="1178" t="s">
        <v>6904</v>
      </c>
      <c r="E5746" s="1179" t="s">
        <v>23124</v>
      </c>
      <c r="F5746" s="1282" t="s">
        <v>21392</v>
      </c>
      <c r="G5746" s="1368">
        <v>420</v>
      </c>
      <c r="H5746" s="1178" t="s">
        <v>20221</v>
      </c>
      <c r="I5746" s="1178" t="s">
        <v>18549</v>
      </c>
      <c r="J5746" s="1178" t="s">
        <v>23120</v>
      </c>
      <c r="K5746" s="1178" t="s">
        <v>20221</v>
      </c>
      <c r="L5746" s="1178"/>
      <c r="M5746" s="1369"/>
      <c r="N5746" s="1178"/>
      <c r="O5746" s="1178">
        <v>6</v>
      </c>
      <c r="P5746" s="1178"/>
    </row>
    <row r="5747" spans="1:16">
      <c r="A5747" s="1178" t="s">
        <v>660</v>
      </c>
      <c r="B5747" s="1371" t="str">
        <f>HYPERLINK(IFERROR("#Main_Tariff!A"&amp;MATCH(Raeburn_Main_Tariff[[#This Row],[Product Code]],Main_Tariff!I:I,0),"#Main_Tariff!A"&amp;MATCH("*"&amp;RIGHT(A5747,8)&amp;"*",Main_Tariff!A:A,0)),Raeburn_Main_Tariff[[#This Row],[PRODUCER]])</f>
        <v>The Bottlers</v>
      </c>
      <c r="C5747" s="1178" t="s">
        <v>23125</v>
      </c>
      <c r="D5747" s="1178" t="s">
        <v>6904</v>
      </c>
      <c r="E5747" s="1179" t="s">
        <v>19031</v>
      </c>
      <c r="F5747" s="1282" t="s">
        <v>21392</v>
      </c>
      <c r="G5747" s="1368">
        <v>450</v>
      </c>
      <c r="H5747" s="1178" t="s">
        <v>20221</v>
      </c>
      <c r="I5747" s="1178" t="s">
        <v>18552</v>
      </c>
      <c r="J5747" s="1178" t="s">
        <v>23120</v>
      </c>
      <c r="K5747" s="1178" t="s">
        <v>20221</v>
      </c>
      <c r="L5747" s="1178"/>
      <c r="M5747" s="1369"/>
      <c r="N5747" s="1178"/>
      <c r="O5747" s="1178">
        <v>6</v>
      </c>
      <c r="P5747" s="1178"/>
    </row>
    <row r="5748" spans="1:16">
      <c r="A5748" s="1178" t="s">
        <v>661</v>
      </c>
      <c r="B5748" s="1371" t="str">
        <f>HYPERLINK(IFERROR("#Main_Tariff!A"&amp;MATCH(Raeburn_Main_Tariff[[#This Row],[Product Code]],Main_Tariff!I:I,0),"#Main_Tariff!A"&amp;MATCH("*"&amp;RIGHT(A5748,8)&amp;"*",Main_Tariff!A:A,0)),Raeburn_Main_Tariff[[#This Row],[PRODUCER]])</f>
        <v>Raasay Distillery</v>
      </c>
      <c r="C5748" s="1178" t="s">
        <v>23126</v>
      </c>
      <c r="D5748" s="1178" t="s">
        <v>6904</v>
      </c>
      <c r="E5748" s="1179" t="s">
        <v>23127</v>
      </c>
      <c r="F5748" s="1282" t="s">
        <v>21392</v>
      </c>
      <c r="G5748" s="1368">
        <v>42.25</v>
      </c>
      <c r="H5748" s="1178" t="s">
        <v>20224</v>
      </c>
      <c r="I5748" s="1178" t="s">
        <v>18559</v>
      </c>
      <c r="J5748" s="1178" t="s">
        <v>23120</v>
      </c>
      <c r="K5748" s="1178" t="s">
        <v>20221</v>
      </c>
      <c r="L5748" s="1178"/>
      <c r="M5748" s="1369"/>
      <c r="N5748" s="1178"/>
      <c r="O5748" s="1178">
        <v>1</v>
      </c>
      <c r="P5748" s="1178">
        <v>46.4</v>
      </c>
    </row>
    <row r="5749" spans="1:16">
      <c r="A5749" s="1178" t="s">
        <v>661</v>
      </c>
      <c r="B5749" s="1371" t="str">
        <f>HYPERLINK(IFERROR("#Main_Tariff!A"&amp;MATCH(Raeburn_Main_Tariff[[#This Row],[Product Code]],Main_Tariff!I:I,0),"#Main_Tariff!A"&amp;MATCH("*"&amp;RIGHT(A5749,8)&amp;"*",Main_Tariff!A:A,0)),Raeburn_Main_Tariff[[#This Row],[PRODUCER]])</f>
        <v>Raasay Distillery</v>
      </c>
      <c r="C5749" s="1178" t="s">
        <v>23128</v>
      </c>
      <c r="D5749" s="1178" t="s">
        <v>6904</v>
      </c>
      <c r="E5749" s="1179" t="s">
        <v>23127</v>
      </c>
      <c r="F5749" s="1282" t="s">
        <v>21392</v>
      </c>
      <c r="G5749" s="1368">
        <v>65.5</v>
      </c>
      <c r="H5749" s="1178" t="s">
        <v>20224</v>
      </c>
      <c r="I5749" s="1178" t="s">
        <v>18561</v>
      </c>
      <c r="J5749" s="1178" t="s">
        <v>23120</v>
      </c>
      <c r="K5749" s="1178" t="s">
        <v>20221</v>
      </c>
      <c r="L5749" s="1178"/>
      <c r="M5749" s="1369"/>
      <c r="N5749" s="1178"/>
      <c r="O5749" s="1178">
        <v>1</v>
      </c>
      <c r="P5749" s="1178">
        <v>52</v>
      </c>
    </row>
    <row r="5750" spans="1:16">
      <c r="A5750" s="1178" t="s">
        <v>661</v>
      </c>
      <c r="B5750" s="1371" t="str">
        <f>HYPERLINK(IFERROR("#Main_Tariff!A"&amp;MATCH(Raeburn_Main_Tariff[[#This Row],[Product Code]],Main_Tariff!I:I,0),"#Main_Tariff!A"&amp;MATCH("*"&amp;RIGHT(A5750,8)&amp;"*",Main_Tariff!A:A,0)),Raeburn_Main_Tariff[[#This Row],[PRODUCER]])</f>
        <v>Raasay Distillery</v>
      </c>
      <c r="C5750" s="1178" t="s">
        <v>23129</v>
      </c>
      <c r="D5750" s="1178" t="s">
        <v>6904</v>
      </c>
      <c r="E5750" s="1179" t="s">
        <v>22357</v>
      </c>
      <c r="F5750" s="1282" t="s">
        <v>21392</v>
      </c>
      <c r="G5750" s="1368">
        <v>69.75</v>
      </c>
      <c r="H5750" s="1178" t="s">
        <v>20224</v>
      </c>
      <c r="I5750" s="1178" t="s">
        <v>18563</v>
      </c>
      <c r="J5750" s="1178" t="s">
        <v>23120</v>
      </c>
      <c r="K5750" s="1178" t="s">
        <v>20221</v>
      </c>
      <c r="L5750" s="1178"/>
      <c r="M5750" s="1369"/>
      <c r="N5750" s="1178"/>
      <c r="O5750" s="1178">
        <v>1</v>
      </c>
      <c r="P5750" s="1178">
        <v>60.4</v>
      </c>
    </row>
    <row r="5751" spans="1:16">
      <c r="A5751" s="1178" t="s">
        <v>661</v>
      </c>
      <c r="B5751" s="1371" t="str">
        <f>HYPERLINK(IFERROR("#Main_Tariff!A"&amp;MATCH(Raeburn_Main_Tariff[[#This Row],[Product Code]],Main_Tariff!I:I,0),"#Main_Tariff!A"&amp;MATCH("*"&amp;RIGHT(A5751,8)&amp;"*",Main_Tariff!A:A,0)),Raeburn_Main_Tariff[[#This Row],[PRODUCER]])</f>
        <v>Raasay Distillery</v>
      </c>
      <c r="C5751" s="1178" t="s">
        <v>23130</v>
      </c>
      <c r="D5751" s="1178" t="s">
        <v>6904</v>
      </c>
      <c r="E5751" s="1179"/>
      <c r="F5751" s="1282" t="s">
        <v>21392</v>
      </c>
      <c r="G5751" s="1368">
        <v>30.25</v>
      </c>
      <c r="H5751" s="1178" t="s">
        <v>20224</v>
      </c>
      <c r="I5751" s="1178" t="s">
        <v>18567</v>
      </c>
      <c r="J5751" s="1178" t="s">
        <v>23120</v>
      </c>
      <c r="K5751" s="1178" t="s">
        <v>20221</v>
      </c>
      <c r="L5751" s="1178"/>
      <c r="M5751" s="1369"/>
      <c r="N5751" s="1178"/>
      <c r="O5751" s="1178">
        <v>1</v>
      </c>
      <c r="P5751" s="1178">
        <v>46</v>
      </c>
    </row>
    <row r="5752" spans="1:16">
      <c r="A5752" s="1178" t="s">
        <v>664</v>
      </c>
      <c r="B5752" s="1371" t="str">
        <f>HYPERLINK(IFERROR("#Main_Tariff!A"&amp;MATCH(Raeburn_Main_Tariff[[#This Row],[Product Code]],Main_Tariff!I:I,0),"#Main_Tariff!A"&amp;MATCH("*"&amp;RIGHT(A5752,8)&amp;"*",Main_Tariff!A:A,0)),Raeburn_Main_Tariff[[#This Row],[PRODUCER]])</f>
        <v>Distillerie Dupont</v>
      </c>
      <c r="C5752" s="1178" t="s">
        <v>23131</v>
      </c>
      <c r="D5752" s="1178" t="s">
        <v>18602</v>
      </c>
      <c r="E5752" s="1179"/>
      <c r="F5752" s="1282" t="s">
        <v>23132</v>
      </c>
      <c r="G5752" s="1368">
        <v>5.25</v>
      </c>
      <c r="H5752" s="1178" t="s">
        <v>20221</v>
      </c>
      <c r="I5752" s="1178" t="s">
        <v>18603</v>
      </c>
      <c r="J5752" s="1178" t="s">
        <v>23120</v>
      </c>
      <c r="K5752" s="1178" t="s">
        <v>20221</v>
      </c>
      <c r="L5752" s="1178"/>
      <c r="M5752" s="1369"/>
      <c r="N5752" s="1178"/>
      <c r="O5752" s="1178">
        <v>12</v>
      </c>
      <c r="P5752" s="1178">
        <v>5.5</v>
      </c>
    </row>
    <row r="5753" spans="1:16">
      <c r="A5753" s="1178" t="s">
        <v>664</v>
      </c>
      <c r="B5753" s="1371" t="str">
        <f>HYPERLINK(IFERROR("#Main_Tariff!A"&amp;MATCH(Raeburn_Main_Tariff[[#This Row],[Product Code]],Main_Tariff!I:I,0),"#Main_Tariff!A"&amp;MATCH("*"&amp;RIGHT(A5753,8)&amp;"*",Main_Tariff!A:A,0)),Raeburn_Main_Tariff[[#This Row],[PRODUCER]])</f>
        <v>Distillerie Dupont</v>
      </c>
      <c r="C5753" s="1178" t="s">
        <v>23133</v>
      </c>
      <c r="D5753" s="1178" t="s">
        <v>18602</v>
      </c>
      <c r="E5753" s="1179"/>
      <c r="F5753" s="1282" t="s">
        <v>20220</v>
      </c>
      <c r="G5753" s="1368">
        <v>11.15</v>
      </c>
      <c r="H5753" s="1178" t="s">
        <v>20221</v>
      </c>
      <c r="I5753" s="1178" t="s">
        <v>18605</v>
      </c>
      <c r="J5753" s="1178" t="s">
        <v>23120</v>
      </c>
      <c r="K5753" s="1178" t="s">
        <v>20221</v>
      </c>
      <c r="L5753" s="1178"/>
      <c r="M5753" s="1369"/>
      <c r="N5753" s="1178"/>
      <c r="O5753" s="1178">
        <v>6</v>
      </c>
      <c r="P5753" s="1178">
        <v>5.5</v>
      </c>
    </row>
    <row r="5754" spans="1:16">
      <c r="A5754" s="1178" t="s">
        <v>664</v>
      </c>
      <c r="B5754" s="1371" t="str">
        <f>HYPERLINK(IFERROR("#Main_Tariff!A"&amp;MATCH(Raeburn_Main_Tariff[[#This Row],[Product Code]],Main_Tariff!I:I,0),"#Main_Tariff!A"&amp;MATCH("*"&amp;RIGHT(A5754,8)&amp;"*",Main_Tariff!A:A,0)),Raeburn_Main_Tariff[[#This Row],[PRODUCER]])</f>
        <v>Distillerie Dupont</v>
      </c>
      <c r="C5754" s="1178" t="s">
        <v>23134</v>
      </c>
      <c r="D5754" s="1178" t="s">
        <v>6904</v>
      </c>
      <c r="E5754" s="1179" t="s">
        <v>23135</v>
      </c>
      <c r="F5754" s="1282" t="s">
        <v>21392</v>
      </c>
      <c r="G5754" s="1368">
        <v>29.25</v>
      </c>
      <c r="H5754" s="1178" t="s">
        <v>20221</v>
      </c>
      <c r="I5754" s="1178" t="s">
        <v>18609</v>
      </c>
      <c r="J5754" s="1178" t="s">
        <v>23120</v>
      </c>
      <c r="K5754" s="1178" t="s">
        <v>20221</v>
      </c>
      <c r="L5754" s="1178"/>
      <c r="M5754" s="1369"/>
      <c r="N5754" s="1178"/>
      <c r="O5754" s="1178">
        <v>6</v>
      </c>
      <c r="P5754" s="1178">
        <v>40</v>
      </c>
    </row>
    <row r="5755" spans="1:16">
      <c r="A5755" s="1178" t="s">
        <v>664</v>
      </c>
      <c r="B5755" s="1371" t="str">
        <f>HYPERLINK(IFERROR("#Main_Tariff!A"&amp;MATCH(Raeburn_Main_Tariff[[#This Row],[Product Code]],Main_Tariff!I:I,0),"#Main_Tariff!A"&amp;MATCH("*"&amp;RIGHT(A5755,8)&amp;"*",Main_Tariff!A:A,0)),Raeburn_Main_Tariff[[#This Row],[PRODUCER]])</f>
        <v>Distillerie Dupont</v>
      </c>
      <c r="C5755" s="1178" t="s">
        <v>23136</v>
      </c>
      <c r="D5755" s="1178" t="s">
        <v>6904</v>
      </c>
      <c r="E5755" s="1179" t="s">
        <v>23135</v>
      </c>
      <c r="F5755" s="1282" t="s">
        <v>21392</v>
      </c>
      <c r="G5755" s="1368">
        <v>31.25</v>
      </c>
      <c r="H5755" s="1178" t="s">
        <v>20221</v>
      </c>
      <c r="I5755" s="1178" t="s">
        <v>18611</v>
      </c>
      <c r="J5755" s="1178" t="s">
        <v>23120</v>
      </c>
      <c r="K5755" s="1178" t="s">
        <v>20221</v>
      </c>
      <c r="L5755" s="1178"/>
      <c r="M5755" s="1369"/>
      <c r="N5755" s="1178"/>
      <c r="O5755" s="1178">
        <v>6</v>
      </c>
      <c r="P5755" s="1178">
        <v>40</v>
      </c>
    </row>
    <row r="5756" spans="1:16">
      <c r="A5756" s="1178" t="s">
        <v>664</v>
      </c>
      <c r="B5756" s="1371" t="str">
        <f>HYPERLINK(IFERROR("#Main_Tariff!A"&amp;MATCH(Raeburn_Main_Tariff[[#This Row],[Product Code]],Main_Tariff!I:I,0),"#Main_Tariff!A"&amp;MATCH("*"&amp;RIGHT(A5756,8)&amp;"*",Main_Tariff!A:A,0)),Raeburn_Main_Tariff[[#This Row],[PRODUCER]])</f>
        <v>Distillerie Dupont</v>
      </c>
      <c r="C5756" s="1178" t="s">
        <v>23137</v>
      </c>
      <c r="D5756" s="1178" t="s">
        <v>6904</v>
      </c>
      <c r="E5756" s="1179" t="s">
        <v>23135</v>
      </c>
      <c r="F5756" s="1282" t="s">
        <v>21392</v>
      </c>
      <c r="G5756" s="1368">
        <v>38.25</v>
      </c>
      <c r="H5756" s="1178" t="s">
        <v>20221</v>
      </c>
      <c r="I5756" s="1178" t="s">
        <v>18613</v>
      </c>
      <c r="J5756" s="1178" t="s">
        <v>23120</v>
      </c>
      <c r="K5756" s="1178" t="s">
        <v>20221</v>
      </c>
      <c r="L5756" s="1178"/>
      <c r="M5756" s="1369"/>
      <c r="N5756" s="1178"/>
      <c r="O5756" s="1178">
        <v>6</v>
      </c>
      <c r="P5756" s="1178">
        <v>42</v>
      </c>
    </row>
    <row r="5757" spans="1:16">
      <c r="A5757" s="1178" t="s">
        <v>664</v>
      </c>
      <c r="B5757" s="1371" t="str">
        <f>HYPERLINK(IFERROR("#Main_Tariff!A"&amp;MATCH(Raeburn_Main_Tariff[[#This Row],[Product Code]],Main_Tariff!I:I,0),"#Main_Tariff!A"&amp;MATCH("*"&amp;RIGHT(A5757,8)&amp;"*",Main_Tariff!A:A,0)),Raeburn_Main_Tariff[[#This Row],[PRODUCER]])</f>
        <v>Distillerie Dupont</v>
      </c>
      <c r="C5757" s="1178" t="s">
        <v>23138</v>
      </c>
      <c r="D5757" s="1178" t="s">
        <v>6904</v>
      </c>
      <c r="E5757" s="1179" t="s">
        <v>23135</v>
      </c>
      <c r="F5757" s="1282" t="s">
        <v>21392</v>
      </c>
      <c r="G5757" s="1368">
        <v>39.75</v>
      </c>
      <c r="H5757" s="1178" t="s">
        <v>20221</v>
      </c>
      <c r="I5757" s="1178" t="s">
        <v>18614</v>
      </c>
      <c r="J5757" s="1178" t="s">
        <v>23120</v>
      </c>
      <c r="K5757" s="1178" t="s">
        <v>20221</v>
      </c>
      <c r="L5757" s="1178"/>
      <c r="M5757" s="1369"/>
      <c r="N5757" s="1178"/>
      <c r="O5757" s="1178">
        <v>6</v>
      </c>
      <c r="P5757" s="1178">
        <v>42</v>
      </c>
    </row>
    <row r="5758" spans="1:16">
      <c r="A5758" s="1178" t="s">
        <v>664</v>
      </c>
      <c r="B5758" s="1371" t="str">
        <f>HYPERLINK(IFERROR("#Main_Tariff!A"&amp;MATCH(Raeburn_Main_Tariff[[#This Row],[Product Code]],Main_Tariff!I:I,0),"#Main_Tariff!A"&amp;MATCH("*"&amp;RIGHT(A5758,8)&amp;"*",Main_Tariff!A:A,0)),Raeburn_Main_Tariff[[#This Row],[PRODUCER]])</f>
        <v>Distillerie Dupont</v>
      </c>
      <c r="C5758" s="1178" t="s">
        <v>23139</v>
      </c>
      <c r="D5758" s="1178" t="s">
        <v>6904</v>
      </c>
      <c r="E5758" s="1179" t="s">
        <v>23135</v>
      </c>
      <c r="F5758" s="1282" t="s">
        <v>21392</v>
      </c>
      <c r="G5758" s="1368">
        <v>46.75</v>
      </c>
      <c r="H5758" s="1178" t="s">
        <v>20221</v>
      </c>
      <c r="I5758" s="1178" t="s">
        <v>18615</v>
      </c>
      <c r="J5758" s="1178" t="s">
        <v>23120</v>
      </c>
      <c r="K5758" s="1178" t="s">
        <v>20221</v>
      </c>
      <c r="L5758" s="1178"/>
      <c r="M5758" s="1369"/>
      <c r="N5758" s="1178"/>
      <c r="O5758" s="1178">
        <v>6</v>
      </c>
      <c r="P5758" s="1178">
        <v>42</v>
      </c>
    </row>
    <row r="5759" spans="1:16">
      <c r="A5759" s="1178" t="s">
        <v>664</v>
      </c>
      <c r="B5759" s="1371" t="str">
        <f>HYPERLINK(IFERROR("#Main_Tariff!A"&amp;MATCH(Raeburn_Main_Tariff[[#This Row],[Product Code]],Main_Tariff!I:I,0),"#Main_Tariff!A"&amp;MATCH("*"&amp;RIGHT(A5759,8)&amp;"*",Main_Tariff!A:A,0)),Raeburn_Main_Tariff[[#This Row],[PRODUCER]])</f>
        <v>Distillerie Dupont</v>
      </c>
      <c r="C5759" s="1178" t="s">
        <v>23140</v>
      </c>
      <c r="D5759" s="1178" t="s">
        <v>6904</v>
      </c>
      <c r="E5759" s="1179" t="s">
        <v>23141</v>
      </c>
      <c r="F5759" s="1282" t="s">
        <v>21392</v>
      </c>
      <c r="G5759" s="1368">
        <v>54.25</v>
      </c>
      <c r="H5759" s="1178" t="s">
        <v>20277</v>
      </c>
      <c r="I5759" s="1178" t="s">
        <v>18616</v>
      </c>
      <c r="J5759" s="1178" t="s">
        <v>23120</v>
      </c>
      <c r="K5759" s="1178" t="s">
        <v>20221</v>
      </c>
      <c r="L5759" s="1178"/>
      <c r="M5759" s="1369"/>
      <c r="N5759" s="1178"/>
      <c r="O5759" s="1178">
        <v>6</v>
      </c>
      <c r="P5759" s="1178">
        <v>42</v>
      </c>
    </row>
    <row r="5760" spans="1:16">
      <c r="A5760" s="1178" t="s">
        <v>664</v>
      </c>
      <c r="B5760" s="1371" t="str">
        <f>HYPERLINK(IFERROR("#Main_Tariff!A"&amp;MATCH(Raeburn_Main_Tariff[[#This Row],[Product Code]],Main_Tariff!I:I,0),"#Main_Tariff!A"&amp;MATCH("*"&amp;RIGHT(A5760,8)&amp;"*",Main_Tariff!A:A,0)),Raeburn_Main_Tariff[[#This Row],[PRODUCER]])</f>
        <v>Distillerie Dupont</v>
      </c>
      <c r="C5760" s="1178" t="s">
        <v>23142</v>
      </c>
      <c r="D5760" s="1178" t="s">
        <v>6904</v>
      </c>
      <c r="E5760" s="1179" t="s">
        <v>23143</v>
      </c>
      <c r="F5760" s="1282" t="s">
        <v>21392</v>
      </c>
      <c r="G5760" s="1368">
        <v>126.25</v>
      </c>
      <c r="H5760" s="1178" t="s">
        <v>20224</v>
      </c>
      <c r="I5760" s="1178" t="s">
        <v>18617</v>
      </c>
      <c r="J5760" s="1178" t="s">
        <v>23120</v>
      </c>
      <c r="K5760" s="1178" t="s">
        <v>20221</v>
      </c>
      <c r="L5760" s="1178"/>
      <c r="M5760" s="1369"/>
      <c r="N5760" s="1178"/>
      <c r="O5760" s="1178">
        <v>6</v>
      </c>
      <c r="P5760" s="1178">
        <v>41</v>
      </c>
    </row>
    <row r="5761" spans="1:16">
      <c r="A5761" s="1178" t="s">
        <v>664</v>
      </c>
      <c r="B5761" s="1371" t="str">
        <f>HYPERLINK(IFERROR("#Main_Tariff!A"&amp;MATCH(Raeburn_Main_Tariff[[#This Row],[Product Code]],Main_Tariff!I:I,0),"#Main_Tariff!A"&amp;MATCH("*"&amp;RIGHT(A5761,8)&amp;"*",Main_Tariff!A:A,0)),Raeburn_Main_Tariff[[#This Row],[PRODUCER]])</f>
        <v>Distillerie Dupont</v>
      </c>
      <c r="C5761" s="1178" t="s">
        <v>23144</v>
      </c>
      <c r="D5761" s="1178" t="s">
        <v>6904</v>
      </c>
      <c r="E5761" s="1179">
        <v>1980</v>
      </c>
      <c r="F5761" s="1282" t="s">
        <v>21392</v>
      </c>
      <c r="G5761" s="1368">
        <v>175.25</v>
      </c>
      <c r="H5761" s="1178" t="s">
        <v>20277</v>
      </c>
      <c r="I5761" s="1178" t="s">
        <v>18618</v>
      </c>
      <c r="J5761" s="1178" t="s">
        <v>23120</v>
      </c>
      <c r="K5761" s="1178" t="s">
        <v>20221</v>
      </c>
      <c r="L5761" s="1178"/>
      <c r="M5761" s="1369"/>
      <c r="N5761" s="1178"/>
      <c r="O5761" s="1178">
        <v>6</v>
      </c>
      <c r="P5761" s="1178">
        <v>0</v>
      </c>
    </row>
    <row r="5762" spans="1:16">
      <c r="A5762" s="1178" t="s">
        <v>253</v>
      </c>
      <c r="B5762" s="1371" t="str">
        <f>HYPERLINK(IFERROR("#Main_Tariff!A"&amp;MATCH(Raeburn_Main_Tariff[[#This Row],[Product Code]],Main_Tariff!I:I,0),"#Main_Tariff!A"&amp;MATCH("*"&amp;RIGHT(A5762,8)&amp;"*",Main_Tariff!A:A,0)),Raeburn_Main_Tariff[[#This Row],[PRODUCER]])</f>
        <v>Francois Gaunoux</v>
      </c>
      <c r="C5762" s="1178" t="s">
        <v>23145</v>
      </c>
      <c r="D5762" s="1178" t="s">
        <v>6904</v>
      </c>
      <c r="E5762" s="1179">
        <v>2008</v>
      </c>
      <c r="F5762" s="1282" t="s">
        <v>21392</v>
      </c>
      <c r="G5762" s="1368">
        <v>65.25</v>
      </c>
      <c r="H5762" s="1178" t="s">
        <v>20224</v>
      </c>
      <c r="I5762" s="1178" t="s">
        <v>6905</v>
      </c>
      <c r="J5762" s="1178" t="s">
        <v>23120</v>
      </c>
      <c r="K5762" s="1178" t="s">
        <v>20221</v>
      </c>
      <c r="L5762" s="1178"/>
      <c r="M5762" s="1369"/>
      <c r="N5762" s="1178"/>
      <c r="O5762" s="1178">
        <v>12</v>
      </c>
      <c r="P5762" s="1178">
        <v>40</v>
      </c>
    </row>
    <row r="5763" spans="1:16">
      <c r="A5763" s="1178" t="s">
        <v>23146</v>
      </c>
      <c r="B5763" s="1371" t="str">
        <f>HYPERLINK(IFERROR("#Main_Tariff!A"&amp;MATCH(Raeburn_Main_Tariff[[#This Row],[Product Code]],Main_Tariff!I:I,0),"#Main_Tariff!A"&amp;MATCH("*"&amp;RIGHT(A5763,8)&amp;"*",Main_Tariff!A:A,0)),Raeburn_Main_Tariff[[#This Row],[PRODUCER]])</f>
        <v>Distillerie G. Miclo</v>
      </c>
      <c r="C5763" s="1178" t="s">
        <v>23147</v>
      </c>
      <c r="D5763" s="1178" t="s">
        <v>6904</v>
      </c>
      <c r="E5763" s="1179" t="s">
        <v>19060</v>
      </c>
      <c r="F5763" s="1282" t="s">
        <v>20313</v>
      </c>
      <c r="G5763" s="1368">
        <v>13.5</v>
      </c>
      <c r="H5763" s="1178" t="s">
        <v>20277</v>
      </c>
      <c r="I5763" s="1178" t="s">
        <v>18625</v>
      </c>
      <c r="J5763" s="1178" t="s">
        <v>23120</v>
      </c>
      <c r="K5763" s="1178" t="s">
        <v>20221</v>
      </c>
      <c r="L5763" s="1178"/>
      <c r="M5763" s="1369"/>
      <c r="N5763" s="1178"/>
      <c r="O5763" s="1178">
        <v>6</v>
      </c>
      <c r="P5763" s="1178">
        <v>18</v>
      </c>
    </row>
    <row r="5764" spans="1:16">
      <c r="A5764" s="1178" t="s">
        <v>23146</v>
      </c>
      <c r="B5764" s="1371" t="str">
        <f>HYPERLINK(IFERROR("#Main_Tariff!A"&amp;MATCH(Raeburn_Main_Tariff[[#This Row],[Product Code]],Main_Tariff!I:I,0),"#Main_Tariff!A"&amp;MATCH("*"&amp;RIGHT(A5764,8)&amp;"*",Main_Tariff!A:A,0)),Raeburn_Main_Tariff[[#This Row],[PRODUCER]])</f>
        <v>Distillerie G. Miclo</v>
      </c>
      <c r="C5764" s="1178" t="s">
        <v>23148</v>
      </c>
      <c r="D5764" s="1178" t="s">
        <v>6904</v>
      </c>
      <c r="E5764" s="1179" t="s">
        <v>19060</v>
      </c>
      <c r="F5764" s="1282" t="s">
        <v>21392</v>
      </c>
      <c r="G5764" s="1368">
        <v>18.75</v>
      </c>
      <c r="H5764" s="1178" t="s">
        <v>20277</v>
      </c>
      <c r="I5764" s="1178" t="s">
        <v>18627</v>
      </c>
      <c r="J5764" s="1178" t="s">
        <v>23120</v>
      </c>
      <c r="K5764" s="1178" t="s">
        <v>20221</v>
      </c>
      <c r="L5764" s="1178"/>
      <c r="M5764" s="1369"/>
      <c r="N5764" s="1178"/>
      <c r="O5764" s="1178">
        <v>6</v>
      </c>
      <c r="P5764" s="1178">
        <v>18</v>
      </c>
    </row>
    <row r="5765" spans="1:16">
      <c r="A5765" s="1178" t="s">
        <v>23146</v>
      </c>
      <c r="B5765" s="1371" t="str">
        <f>HYPERLINK(IFERROR("#Main_Tariff!A"&amp;MATCH(Raeburn_Main_Tariff[[#This Row],[Product Code]],Main_Tariff!I:I,0),"#Main_Tariff!A"&amp;MATCH("*"&amp;RIGHT(A5765,8)&amp;"*",Main_Tariff!A:A,0)),Raeburn_Main_Tariff[[#This Row],[PRODUCER]])</f>
        <v>Distillerie G. Miclo</v>
      </c>
      <c r="C5765" s="1178" t="s">
        <v>23149</v>
      </c>
      <c r="D5765" s="1178" t="s">
        <v>6904</v>
      </c>
      <c r="E5765" s="1179" t="s">
        <v>19060</v>
      </c>
      <c r="F5765" s="1282" t="s">
        <v>21392</v>
      </c>
      <c r="G5765" s="1368">
        <v>18.75</v>
      </c>
      <c r="H5765" s="1178" t="s">
        <v>20277</v>
      </c>
      <c r="I5765" s="1178" t="s">
        <v>18630</v>
      </c>
      <c r="J5765" s="1178" t="s">
        <v>23120</v>
      </c>
      <c r="K5765" s="1178" t="s">
        <v>20221</v>
      </c>
      <c r="L5765" s="1178"/>
      <c r="M5765" s="1369"/>
      <c r="N5765" s="1178"/>
      <c r="O5765" s="1178">
        <v>6</v>
      </c>
      <c r="P5765" s="1178">
        <v>18</v>
      </c>
    </row>
    <row r="5766" spans="1:16">
      <c r="A5766" s="1178" t="s">
        <v>23146</v>
      </c>
      <c r="B5766" s="1371" t="str">
        <f>HYPERLINK(IFERROR("#Main_Tariff!A"&amp;MATCH(Raeburn_Main_Tariff[[#This Row],[Product Code]],Main_Tariff!I:I,0),"#Main_Tariff!A"&amp;MATCH("*"&amp;RIGHT(A5766,8)&amp;"*",Main_Tariff!A:A,0)),Raeburn_Main_Tariff[[#This Row],[PRODUCER]])</f>
        <v>Distillerie G. Miclo</v>
      </c>
      <c r="C5766" s="1178" t="s">
        <v>23150</v>
      </c>
      <c r="D5766" s="1178" t="s">
        <v>6904</v>
      </c>
      <c r="E5766" s="1179" t="s">
        <v>19060</v>
      </c>
      <c r="F5766" s="1282" t="s">
        <v>21392</v>
      </c>
      <c r="G5766" s="1368">
        <v>18.75</v>
      </c>
      <c r="H5766" s="1178" t="s">
        <v>20277</v>
      </c>
      <c r="I5766" s="1178" t="s">
        <v>18632</v>
      </c>
      <c r="J5766" s="1178" t="s">
        <v>23120</v>
      </c>
      <c r="K5766" s="1178" t="s">
        <v>20221</v>
      </c>
      <c r="L5766" s="1178"/>
      <c r="M5766" s="1369"/>
      <c r="N5766" s="1178"/>
      <c r="O5766" s="1178">
        <v>6</v>
      </c>
      <c r="P5766" s="1178">
        <v>25</v>
      </c>
    </row>
    <row r="5767" spans="1:16">
      <c r="A5767" s="1178" t="s">
        <v>23146</v>
      </c>
      <c r="B5767" s="1371" t="str">
        <f>HYPERLINK(IFERROR("#Main_Tariff!A"&amp;MATCH(Raeburn_Main_Tariff[[#This Row],[Product Code]],Main_Tariff!I:I,0),"#Main_Tariff!A"&amp;MATCH("*"&amp;RIGHT(A5767,8)&amp;"*",Main_Tariff!A:A,0)),Raeburn_Main_Tariff[[#This Row],[PRODUCER]])</f>
        <v>Distillerie G. Miclo</v>
      </c>
      <c r="C5767" s="1178" t="s">
        <v>23151</v>
      </c>
      <c r="D5767" s="1178" t="s">
        <v>6904</v>
      </c>
      <c r="E5767" s="1179"/>
      <c r="F5767" s="1282" t="s">
        <v>21392</v>
      </c>
      <c r="G5767" s="1368"/>
      <c r="H5767" s="1178" t="s">
        <v>3907</v>
      </c>
      <c r="I5767" s="1178" t="s">
        <v>18635</v>
      </c>
      <c r="J5767" s="1178" t="s">
        <v>23120</v>
      </c>
      <c r="K5767" s="1178" t="s">
        <v>20221</v>
      </c>
      <c r="L5767" s="1178"/>
      <c r="M5767" s="1369"/>
      <c r="N5767" s="1178"/>
      <c r="O5767" s="1178">
        <v>6</v>
      </c>
      <c r="P5767" s="1178">
        <v>18</v>
      </c>
    </row>
    <row r="5768" spans="1:16">
      <c r="A5768" s="1178" t="s">
        <v>23146</v>
      </c>
      <c r="B5768" s="1371" t="str">
        <f>HYPERLINK(IFERROR("#Main_Tariff!A"&amp;MATCH(Raeburn_Main_Tariff[[#This Row],[Product Code]],Main_Tariff!I:I,0),"#Main_Tariff!A"&amp;MATCH("*"&amp;RIGHT(A5768,8)&amp;"*",Main_Tariff!A:A,0)),Raeburn_Main_Tariff[[#This Row],[PRODUCER]])</f>
        <v>Distillerie G. Miclo</v>
      </c>
      <c r="C5768" s="1178" t="s">
        <v>23152</v>
      </c>
      <c r="D5768" s="1178" t="s">
        <v>6904</v>
      </c>
      <c r="E5768" s="1179" t="s">
        <v>19060</v>
      </c>
      <c r="F5768" s="1282" t="s">
        <v>21392</v>
      </c>
      <c r="G5768" s="1368">
        <v>18.75</v>
      </c>
      <c r="H5768" s="1178" t="s">
        <v>20277</v>
      </c>
      <c r="I5768" s="1178" t="s">
        <v>18637</v>
      </c>
      <c r="J5768" s="1178" t="s">
        <v>23120</v>
      </c>
      <c r="K5768" s="1178" t="s">
        <v>20221</v>
      </c>
      <c r="L5768" s="1178"/>
      <c r="M5768" s="1369"/>
      <c r="N5768" s="1178"/>
      <c r="O5768" s="1178">
        <v>6</v>
      </c>
      <c r="P5768" s="1178">
        <v>18</v>
      </c>
    </row>
    <row r="5769" spans="1:16">
      <c r="A5769" s="1178" t="s">
        <v>23146</v>
      </c>
      <c r="B5769" s="1371" t="str">
        <f>HYPERLINK(IFERROR("#Main_Tariff!A"&amp;MATCH(Raeburn_Main_Tariff[[#This Row],[Product Code]],Main_Tariff!I:I,0),"#Main_Tariff!A"&amp;MATCH("*"&amp;RIGHT(A5769,8)&amp;"*",Main_Tariff!A:A,0)),Raeburn_Main_Tariff[[#This Row],[PRODUCER]])</f>
        <v>Distillerie G. Miclo</v>
      </c>
      <c r="C5769" s="1178" t="s">
        <v>23153</v>
      </c>
      <c r="D5769" s="1178" t="s">
        <v>6904</v>
      </c>
      <c r="E5769" s="1179" t="s">
        <v>19060</v>
      </c>
      <c r="F5769" s="1282" t="s">
        <v>21392</v>
      </c>
      <c r="G5769" s="1368">
        <v>34.25</v>
      </c>
      <c r="H5769" s="1178" t="s">
        <v>20465</v>
      </c>
      <c r="I5769" s="1178" t="s">
        <v>18641</v>
      </c>
      <c r="J5769" s="1178" t="s">
        <v>23120</v>
      </c>
      <c r="K5769" s="1178" t="s">
        <v>20221</v>
      </c>
      <c r="L5769" s="1178"/>
      <c r="M5769" s="1369"/>
      <c r="N5769" s="1178"/>
      <c r="O5769" s="1178">
        <v>6</v>
      </c>
      <c r="P5769" s="1178">
        <v>43</v>
      </c>
    </row>
    <row r="5770" spans="1:16">
      <c r="A5770" s="1178" t="s">
        <v>23146</v>
      </c>
      <c r="B5770" s="1371" t="str">
        <f>HYPERLINK(IFERROR("#Main_Tariff!A"&amp;MATCH(Raeburn_Main_Tariff[[#This Row],[Product Code]],Main_Tariff!I:I,0),"#Main_Tariff!A"&amp;MATCH("*"&amp;RIGHT(A5770,8)&amp;"*",Main_Tariff!A:A,0)),Raeburn_Main_Tariff[[#This Row],[PRODUCER]])</f>
        <v>Distillerie G. Miclo</v>
      </c>
      <c r="C5770" s="1178" t="s">
        <v>23154</v>
      </c>
      <c r="D5770" s="1178" t="s">
        <v>6904</v>
      </c>
      <c r="E5770" s="1179" t="s">
        <v>19060</v>
      </c>
      <c r="F5770" s="1282" t="s">
        <v>21392</v>
      </c>
      <c r="G5770" s="1368">
        <v>34.25</v>
      </c>
      <c r="H5770" s="1178" t="s">
        <v>20277</v>
      </c>
      <c r="I5770" s="1178" t="s">
        <v>18643</v>
      </c>
      <c r="J5770" s="1178" t="s">
        <v>23120</v>
      </c>
      <c r="K5770" s="1178" t="s">
        <v>20221</v>
      </c>
      <c r="L5770" s="1178"/>
      <c r="M5770" s="1369"/>
      <c r="N5770" s="1178"/>
      <c r="O5770" s="1178">
        <v>6</v>
      </c>
      <c r="P5770" s="1178">
        <v>43</v>
      </c>
    </row>
    <row r="5771" spans="1:16">
      <c r="A5771" s="1178" t="s">
        <v>23146</v>
      </c>
      <c r="B5771" s="1371" t="str">
        <f>HYPERLINK(IFERROR("#Main_Tariff!A"&amp;MATCH(Raeburn_Main_Tariff[[#This Row],[Product Code]],Main_Tariff!I:I,0),"#Main_Tariff!A"&amp;MATCH("*"&amp;RIGHT(A5771,8)&amp;"*",Main_Tariff!A:A,0)),Raeburn_Main_Tariff[[#This Row],[PRODUCER]])</f>
        <v>Distillerie G. Miclo</v>
      </c>
      <c r="C5771" s="1178" t="s">
        <v>23155</v>
      </c>
      <c r="D5771" s="1178" t="s">
        <v>6904</v>
      </c>
      <c r="E5771" s="1179" t="s">
        <v>19060</v>
      </c>
      <c r="F5771" s="1282" t="s">
        <v>21392</v>
      </c>
      <c r="G5771" s="1368">
        <v>34.25</v>
      </c>
      <c r="H5771" s="1178" t="s">
        <v>20277</v>
      </c>
      <c r="I5771" s="1178" t="s">
        <v>18644</v>
      </c>
      <c r="J5771" s="1178" t="s">
        <v>23120</v>
      </c>
      <c r="K5771" s="1178" t="s">
        <v>20221</v>
      </c>
      <c r="L5771" s="1178"/>
      <c r="M5771" s="1369"/>
      <c r="N5771" s="1178"/>
      <c r="O5771" s="1178">
        <v>6</v>
      </c>
      <c r="P5771" s="1178">
        <v>43</v>
      </c>
    </row>
    <row r="5772" spans="1:16">
      <c r="A5772" s="1178" t="s">
        <v>23146</v>
      </c>
      <c r="B5772" s="1371" t="str">
        <f>HYPERLINK(IFERROR("#Main_Tariff!A"&amp;MATCH(Raeburn_Main_Tariff[[#This Row],[Product Code]],Main_Tariff!I:I,0),"#Main_Tariff!A"&amp;MATCH("*"&amp;RIGHT(A5772,8)&amp;"*",Main_Tariff!A:A,0)),Raeburn_Main_Tariff[[#This Row],[PRODUCER]])</f>
        <v>Distillerie G. Miclo</v>
      </c>
      <c r="C5772" s="1178" t="s">
        <v>23156</v>
      </c>
      <c r="D5772" s="1178" t="s">
        <v>6904</v>
      </c>
      <c r="E5772" s="1179" t="s">
        <v>19060</v>
      </c>
      <c r="F5772" s="1282" t="s">
        <v>21392</v>
      </c>
      <c r="G5772" s="1368">
        <v>34.25</v>
      </c>
      <c r="H5772" s="1178" t="s">
        <v>20277</v>
      </c>
      <c r="I5772" s="1178" t="s">
        <v>18645</v>
      </c>
      <c r="J5772" s="1178" t="s">
        <v>23120</v>
      </c>
      <c r="K5772" s="1178" t="s">
        <v>20221</v>
      </c>
      <c r="L5772" s="1178"/>
      <c r="M5772" s="1369"/>
      <c r="N5772" s="1178"/>
      <c r="O5772" s="1178">
        <v>6</v>
      </c>
      <c r="P5772" s="1178">
        <v>43</v>
      </c>
    </row>
    <row r="5773" spans="1:16">
      <c r="A5773" s="1178" t="s">
        <v>23146</v>
      </c>
      <c r="B5773" s="1371" t="str">
        <f>HYPERLINK(IFERROR("#Main_Tariff!A"&amp;MATCH(Raeburn_Main_Tariff[[#This Row],[Product Code]],Main_Tariff!I:I,0),"#Main_Tariff!A"&amp;MATCH("*"&amp;RIGHT(A5773,8)&amp;"*",Main_Tariff!A:A,0)),Raeburn_Main_Tariff[[#This Row],[PRODUCER]])</f>
        <v>Distillerie G. Miclo</v>
      </c>
      <c r="C5773" s="1178" t="s">
        <v>23157</v>
      </c>
      <c r="D5773" s="1178" t="s">
        <v>6904</v>
      </c>
      <c r="E5773" s="1179" t="s">
        <v>19060</v>
      </c>
      <c r="F5773" s="1282" t="s">
        <v>21392</v>
      </c>
      <c r="G5773" s="1368">
        <v>34.25</v>
      </c>
      <c r="H5773" s="1178" t="s">
        <v>20277</v>
      </c>
      <c r="I5773" s="1178" t="s">
        <v>18647</v>
      </c>
      <c r="J5773" s="1178" t="s">
        <v>23120</v>
      </c>
      <c r="K5773" s="1178" t="s">
        <v>20221</v>
      </c>
      <c r="L5773" s="1178"/>
      <c r="M5773" s="1369"/>
      <c r="N5773" s="1178"/>
      <c r="O5773" s="1178">
        <v>6</v>
      </c>
      <c r="P5773" s="1178">
        <v>40</v>
      </c>
    </row>
    <row r="5774" spans="1:16">
      <c r="A5774" s="1178" t="s">
        <v>667</v>
      </c>
      <c r="B5774" s="1371" t="str">
        <f>HYPERLINK(IFERROR("#Main_Tariff!A"&amp;MATCH(Raeburn_Main_Tariff[[#This Row],[Product Code]],Main_Tariff!I:I,0),"#Main_Tariff!A"&amp;MATCH("*"&amp;RIGHT(A5774,8)&amp;"*",Main_Tariff!A:A,0)),Raeburn_Main_Tariff[[#This Row],[PRODUCER]])</f>
        <v>St. Christeau</v>
      </c>
      <c r="C5774" s="1178" t="s">
        <v>23158</v>
      </c>
      <c r="D5774" s="1178" t="s">
        <v>6904</v>
      </c>
      <c r="E5774" s="1179" t="s">
        <v>19060</v>
      </c>
      <c r="F5774" s="1282" t="s">
        <v>21392</v>
      </c>
      <c r="G5774" s="1368">
        <v>37.75</v>
      </c>
      <c r="H5774" s="1178" t="s">
        <v>20221</v>
      </c>
      <c r="I5774" s="1178" t="s">
        <v>18650</v>
      </c>
      <c r="J5774" s="1178" t="s">
        <v>23120</v>
      </c>
      <c r="K5774" s="1178" t="s">
        <v>20221</v>
      </c>
      <c r="L5774" s="1178"/>
      <c r="M5774" s="1369"/>
      <c r="N5774" s="1178"/>
      <c r="O5774" s="1178">
        <v>6</v>
      </c>
      <c r="P5774" s="1178">
        <v>40</v>
      </c>
    </row>
    <row r="5775" spans="1:16">
      <c r="A5775" s="1178" t="s">
        <v>667</v>
      </c>
      <c r="B5775" s="1371" t="str">
        <f>HYPERLINK(IFERROR("#Main_Tariff!A"&amp;MATCH(Raeburn_Main_Tariff[[#This Row],[Product Code]],Main_Tariff!I:I,0),"#Main_Tariff!A"&amp;MATCH("*"&amp;RIGHT(A5775,8)&amp;"*",Main_Tariff!A:A,0)),Raeburn_Main_Tariff[[#This Row],[PRODUCER]])</f>
        <v>St. Christeau</v>
      </c>
      <c r="C5775" s="1178" t="s">
        <v>666</v>
      </c>
      <c r="D5775" s="1178" t="s">
        <v>6904</v>
      </c>
      <c r="E5775" s="1179">
        <v>2003</v>
      </c>
      <c r="F5775" s="1282" t="s">
        <v>21392</v>
      </c>
      <c r="G5775" s="1368">
        <v>75.25</v>
      </c>
      <c r="H5775" s="1178" t="s">
        <v>20224</v>
      </c>
      <c r="I5775" s="1178" t="s">
        <v>18651</v>
      </c>
      <c r="J5775" s="1178" t="s">
        <v>23120</v>
      </c>
      <c r="K5775" s="1178" t="s">
        <v>20221</v>
      </c>
      <c r="L5775" s="1178"/>
      <c r="M5775" s="1369"/>
      <c r="N5775" s="1178"/>
      <c r="O5775" s="1178">
        <v>6</v>
      </c>
      <c r="P5775" s="1178">
        <v>40</v>
      </c>
    </row>
    <row r="5776" spans="1:16">
      <c r="A5776" s="1178" t="s">
        <v>667</v>
      </c>
      <c r="B5776" s="1371" t="str">
        <f>HYPERLINK(IFERROR("#Main_Tariff!A"&amp;MATCH(Raeburn_Main_Tariff[[#This Row],[Product Code]],Main_Tariff!I:I,0),"#Main_Tariff!A"&amp;MATCH("*"&amp;RIGHT(A5776,8)&amp;"*",Main_Tariff!A:A,0)),Raeburn_Main_Tariff[[#This Row],[PRODUCER]])</f>
        <v>St. Christeau</v>
      </c>
      <c r="C5776" s="1178" t="s">
        <v>666</v>
      </c>
      <c r="D5776" s="1178" t="s">
        <v>6904</v>
      </c>
      <c r="E5776" s="1179">
        <v>2000</v>
      </c>
      <c r="F5776" s="1282" t="s">
        <v>21392</v>
      </c>
      <c r="G5776" s="1368">
        <v>43.25</v>
      </c>
      <c r="H5776" s="1178" t="s">
        <v>20221</v>
      </c>
      <c r="I5776" s="1178" t="s">
        <v>18653</v>
      </c>
      <c r="J5776" s="1178" t="s">
        <v>23120</v>
      </c>
      <c r="K5776" s="1178" t="s">
        <v>20221</v>
      </c>
      <c r="L5776" s="1178"/>
      <c r="M5776" s="1369"/>
      <c r="N5776" s="1178"/>
      <c r="O5776" s="1178">
        <v>6</v>
      </c>
      <c r="P5776" s="1178">
        <v>40</v>
      </c>
    </row>
    <row r="5777" spans="1:16">
      <c r="A5777" s="1178" t="s">
        <v>667</v>
      </c>
      <c r="B5777" s="1371" t="str">
        <f>HYPERLINK(IFERROR("#Main_Tariff!A"&amp;MATCH(Raeburn_Main_Tariff[[#This Row],[Product Code]],Main_Tariff!I:I,0),"#Main_Tariff!A"&amp;MATCH("*"&amp;RIGHT(A5777,8)&amp;"*",Main_Tariff!A:A,0)),Raeburn_Main_Tariff[[#This Row],[PRODUCER]])</f>
        <v>St. Christeau</v>
      </c>
      <c r="C5777" s="1178" t="s">
        <v>666</v>
      </c>
      <c r="D5777" s="1178" t="s">
        <v>6904</v>
      </c>
      <c r="E5777" s="1179">
        <v>1999</v>
      </c>
      <c r="F5777" s="1282" t="s">
        <v>21392</v>
      </c>
      <c r="G5777" s="1368">
        <v>49.25</v>
      </c>
      <c r="H5777" s="1178" t="s">
        <v>20224</v>
      </c>
      <c r="I5777" s="1178" t="s">
        <v>18654</v>
      </c>
      <c r="J5777" s="1178" t="s">
        <v>23120</v>
      </c>
      <c r="K5777" s="1178" t="s">
        <v>20221</v>
      </c>
      <c r="L5777" s="1178"/>
      <c r="M5777" s="1369"/>
      <c r="N5777" s="1178"/>
      <c r="O5777" s="1178">
        <v>6</v>
      </c>
      <c r="P5777" s="1178">
        <v>40</v>
      </c>
    </row>
    <row r="5778" spans="1:16">
      <c r="A5778" s="1178" t="s">
        <v>667</v>
      </c>
      <c r="B5778" s="1371" t="str">
        <f>HYPERLINK(IFERROR("#Main_Tariff!A"&amp;MATCH(Raeburn_Main_Tariff[[#This Row],[Product Code]],Main_Tariff!I:I,0),"#Main_Tariff!A"&amp;MATCH("*"&amp;RIGHT(A5778,8)&amp;"*",Main_Tariff!A:A,0)),Raeburn_Main_Tariff[[#This Row],[PRODUCER]])</f>
        <v>St. Christeau</v>
      </c>
      <c r="C5778" s="1178" t="s">
        <v>666</v>
      </c>
      <c r="D5778" s="1178" t="s">
        <v>6904</v>
      </c>
      <c r="E5778" s="1179">
        <v>1998</v>
      </c>
      <c r="F5778" s="1282" t="s">
        <v>21392</v>
      </c>
      <c r="G5778" s="1368">
        <v>44.25</v>
      </c>
      <c r="H5778" s="1178" t="s">
        <v>20221</v>
      </c>
      <c r="I5778" s="1178" t="s">
        <v>18655</v>
      </c>
      <c r="J5778" s="1178" t="s">
        <v>23120</v>
      </c>
      <c r="K5778" s="1178" t="s">
        <v>20221</v>
      </c>
      <c r="L5778" s="1178"/>
      <c r="M5778" s="1369"/>
      <c r="N5778" s="1178"/>
      <c r="O5778" s="1178">
        <v>6</v>
      </c>
      <c r="P5778" s="1178">
        <v>40</v>
      </c>
    </row>
    <row r="5779" spans="1:16">
      <c r="A5779" s="1178" t="s">
        <v>667</v>
      </c>
      <c r="B5779" s="1371" t="str">
        <f>HYPERLINK(IFERROR("#Main_Tariff!A"&amp;MATCH(Raeburn_Main_Tariff[[#This Row],[Product Code]],Main_Tariff!I:I,0),"#Main_Tariff!A"&amp;MATCH("*"&amp;RIGHT(A5779,8)&amp;"*",Main_Tariff!A:A,0)),Raeburn_Main_Tariff[[#This Row],[PRODUCER]])</f>
        <v>St. Christeau</v>
      </c>
      <c r="C5779" s="1178" t="s">
        <v>666</v>
      </c>
      <c r="D5779" s="1178" t="s">
        <v>6904</v>
      </c>
      <c r="E5779" s="1179">
        <v>1994</v>
      </c>
      <c r="F5779" s="1282" t="s">
        <v>21392</v>
      </c>
      <c r="G5779" s="1368">
        <v>59.25</v>
      </c>
      <c r="H5779" s="1178" t="s">
        <v>20277</v>
      </c>
      <c r="I5779" s="1178" t="s">
        <v>18656</v>
      </c>
      <c r="J5779" s="1178" t="s">
        <v>23120</v>
      </c>
      <c r="K5779" s="1178" t="s">
        <v>20221</v>
      </c>
      <c r="L5779" s="1178"/>
      <c r="M5779" s="1369"/>
      <c r="N5779" s="1178"/>
      <c r="O5779" s="1178">
        <v>6</v>
      </c>
      <c r="P5779" s="1178">
        <v>40</v>
      </c>
    </row>
    <row r="5780" spans="1:16">
      <c r="A5780" s="1178" t="s">
        <v>667</v>
      </c>
      <c r="B5780" s="1371" t="str">
        <f>HYPERLINK(IFERROR("#Main_Tariff!A"&amp;MATCH(Raeburn_Main_Tariff[[#This Row],[Product Code]],Main_Tariff!I:I,0),"#Main_Tariff!A"&amp;MATCH("*"&amp;RIGHT(A5780,8)&amp;"*",Main_Tariff!A:A,0)),Raeburn_Main_Tariff[[#This Row],[PRODUCER]])</f>
        <v>St. Christeau</v>
      </c>
      <c r="C5780" s="1178" t="s">
        <v>666</v>
      </c>
      <c r="D5780" s="1178" t="s">
        <v>6904</v>
      </c>
      <c r="E5780" s="1179">
        <v>1990</v>
      </c>
      <c r="F5780" s="1282" t="s">
        <v>21392</v>
      </c>
      <c r="G5780" s="1368">
        <v>49.25</v>
      </c>
      <c r="H5780" s="1178" t="s">
        <v>20224</v>
      </c>
      <c r="I5780" s="1178" t="s">
        <v>18657</v>
      </c>
      <c r="J5780" s="1178" t="s">
        <v>23120</v>
      </c>
      <c r="K5780" s="1178" t="s">
        <v>20221</v>
      </c>
      <c r="L5780" s="1178"/>
      <c r="M5780" s="1369"/>
      <c r="N5780" s="1178"/>
      <c r="O5780" s="1178">
        <v>6</v>
      </c>
      <c r="P5780" s="1178">
        <v>40</v>
      </c>
    </row>
    <row r="5781" spans="1:16">
      <c r="A5781" s="1178" t="s">
        <v>667</v>
      </c>
      <c r="B5781" s="1371" t="str">
        <f>HYPERLINK(IFERROR("#Main_Tariff!A"&amp;MATCH(Raeburn_Main_Tariff[[#This Row],[Product Code]],Main_Tariff!I:I,0),"#Main_Tariff!A"&amp;MATCH("*"&amp;RIGHT(A5781,8)&amp;"*",Main_Tariff!A:A,0)),Raeburn_Main_Tariff[[#This Row],[PRODUCER]])</f>
        <v>St. Christeau</v>
      </c>
      <c r="C5781" s="1178" t="s">
        <v>666</v>
      </c>
      <c r="D5781" s="1178" t="s">
        <v>6904</v>
      </c>
      <c r="E5781" s="1179">
        <v>1988</v>
      </c>
      <c r="F5781" s="1282" t="s">
        <v>21392</v>
      </c>
      <c r="G5781" s="1368">
        <v>51.25</v>
      </c>
      <c r="H5781" s="1178" t="s">
        <v>20221</v>
      </c>
      <c r="I5781" s="1178" t="s">
        <v>18658</v>
      </c>
      <c r="J5781" s="1178" t="s">
        <v>23120</v>
      </c>
      <c r="K5781" s="1178" t="s">
        <v>20221</v>
      </c>
      <c r="L5781" s="1178"/>
      <c r="M5781" s="1369"/>
      <c r="N5781" s="1178"/>
      <c r="O5781" s="1178">
        <v>6</v>
      </c>
      <c r="P5781" s="1178">
        <v>40</v>
      </c>
    </row>
    <row r="5782" spans="1:16">
      <c r="A5782" s="1178" t="s">
        <v>667</v>
      </c>
      <c r="B5782" s="1371" t="str">
        <f>HYPERLINK(IFERROR("#Main_Tariff!A"&amp;MATCH(Raeburn_Main_Tariff[[#This Row],[Product Code]],Main_Tariff!I:I,0),"#Main_Tariff!A"&amp;MATCH("*"&amp;RIGHT(A5782,8)&amp;"*",Main_Tariff!A:A,0)),Raeburn_Main_Tariff[[#This Row],[PRODUCER]])</f>
        <v>St. Christeau</v>
      </c>
      <c r="C5782" s="1178" t="s">
        <v>666</v>
      </c>
      <c r="D5782" s="1178" t="s">
        <v>6904</v>
      </c>
      <c r="E5782" s="1179">
        <v>1986</v>
      </c>
      <c r="F5782" s="1282" t="s">
        <v>21392</v>
      </c>
      <c r="G5782" s="1368">
        <v>66.25</v>
      </c>
      <c r="H5782" s="1178" t="s">
        <v>20224</v>
      </c>
      <c r="I5782" s="1178" t="s">
        <v>18659</v>
      </c>
      <c r="J5782" s="1178" t="s">
        <v>23120</v>
      </c>
      <c r="K5782" s="1178" t="s">
        <v>20221</v>
      </c>
      <c r="L5782" s="1178"/>
      <c r="M5782" s="1369"/>
      <c r="N5782" s="1178"/>
      <c r="O5782" s="1178">
        <v>6</v>
      </c>
      <c r="P5782" s="1178">
        <v>40</v>
      </c>
    </row>
    <row r="5783" spans="1:16">
      <c r="A5783" s="1178" t="s">
        <v>667</v>
      </c>
      <c r="B5783" s="1371" t="str">
        <f>HYPERLINK(IFERROR("#Main_Tariff!A"&amp;MATCH(Raeburn_Main_Tariff[[#This Row],[Product Code]],Main_Tariff!I:I,0),"#Main_Tariff!A"&amp;MATCH("*"&amp;RIGHT(A5783,8)&amp;"*",Main_Tariff!A:A,0)),Raeburn_Main_Tariff[[#This Row],[PRODUCER]])</f>
        <v>St. Christeau</v>
      </c>
      <c r="C5783" s="1178" t="s">
        <v>666</v>
      </c>
      <c r="D5783" s="1178" t="s">
        <v>6904</v>
      </c>
      <c r="E5783" s="1179">
        <v>1984</v>
      </c>
      <c r="F5783" s="1282" t="s">
        <v>21392</v>
      </c>
      <c r="G5783" s="1368">
        <v>69.25</v>
      </c>
      <c r="H5783" s="1178" t="s">
        <v>20224</v>
      </c>
      <c r="I5783" s="1178" t="s">
        <v>18660</v>
      </c>
      <c r="J5783" s="1178" t="s">
        <v>23120</v>
      </c>
      <c r="K5783" s="1178" t="s">
        <v>20221</v>
      </c>
      <c r="L5783" s="1178"/>
      <c r="M5783" s="1369"/>
      <c r="N5783" s="1178"/>
      <c r="O5783" s="1178">
        <v>6</v>
      </c>
      <c r="P5783" s="1178">
        <v>40</v>
      </c>
    </row>
    <row r="5784" spans="1:16">
      <c r="A5784" s="1178" t="s">
        <v>667</v>
      </c>
      <c r="B5784" s="1371" t="str">
        <f>HYPERLINK(IFERROR("#Main_Tariff!A"&amp;MATCH(Raeburn_Main_Tariff[[#This Row],[Product Code]],Main_Tariff!I:I,0),"#Main_Tariff!A"&amp;MATCH("*"&amp;RIGHT(A5784,8)&amp;"*",Main_Tariff!A:A,0)),Raeburn_Main_Tariff[[#This Row],[PRODUCER]])</f>
        <v>St. Christeau</v>
      </c>
      <c r="C5784" s="1178" t="s">
        <v>666</v>
      </c>
      <c r="D5784" s="1178" t="s">
        <v>6904</v>
      </c>
      <c r="E5784" s="1179">
        <v>1980</v>
      </c>
      <c r="F5784" s="1282" t="s">
        <v>21392</v>
      </c>
      <c r="G5784" s="1368">
        <v>112.25</v>
      </c>
      <c r="H5784" s="1178" t="s">
        <v>20277</v>
      </c>
      <c r="I5784" s="1178" t="s">
        <v>18661</v>
      </c>
      <c r="J5784" s="1178" t="s">
        <v>23120</v>
      </c>
      <c r="K5784" s="1178" t="s">
        <v>20221</v>
      </c>
      <c r="L5784" s="1178"/>
      <c r="M5784" s="1369"/>
      <c r="N5784" s="1178"/>
      <c r="O5784" s="1178">
        <v>6</v>
      </c>
      <c r="P5784" s="1178">
        <v>40</v>
      </c>
    </row>
    <row r="5785" spans="1:16">
      <c r="A5785" s="1178" t="s">
        <v>667</v>
      </c>
      <c r="B5785" s="1371" t="str">
        <f>HYPERLINK(IFERROR("#Main_Tariff!A"&amp;MATCH(Raeburn_Main_Tariff[[#This Row],[Product Code]],Main_Tariff!I:I,0),"#Main_Tariff!A"&amp;MATCH("*"&amp;RIGHT(A5785,8)&amp;"*",Main_Tariff!A:A,0)),Raeburn_Main_Tariff[[#This Row],[PRODUCER]])</f>
        <v>St. Christeau</v>
      </c>
      <c r="C5785" s="1178" t="s">
        <v>666</v>
      </c>
      <c r="D5785" s="1178" t="s">
        <v>6904</v>
      </c>
      <c r="E5785" s="1179">
        <v>1974</v>
      </c>
      <c r="F5785" s="1282" t="s">
        <v>21392</v>
      </c>
      <c r="G5785" s="1368">
        <v>82.25</v>
      </c>
      <c r="H5785" s="1178" t="s">
        <v>20224</v>
      </c>
      <c r="I5785" s="1178" t="s">
        <v>18662</v>
      </c>
      <c r="J5785" s="1178" t="s">
        <v>23120</v>
      </c>
      <c r="K5785" s="1178" t="s">
        <v>20221</v>
      </c>
      <c r="L5785" s="1178"/>
      <c r="M5785" s="1369"/>
      <c r="N5785" s="1178"/>
      <c r="O5785" s="1178">
        <v>6</v>
      </c>
      <c r="P5785" s="1178">
        <v>40</v>
      </c>
    </row>
    <row r="5786" spans="1:16">
      <c r="A5786" s="1178" t="s">
        <v>667</v>
      </c>
      <c r="B5786" s="1371" t="str">
        <f>HYPERLINK(IFERROR("#Main_Tariff!A"&amp;MATCH(Raeburn_Main_Tariff[[#This Row],[Product Code]],Main_Tariff!I:I,0),"#Main_Tariff!A"&amp;MATCH("*"&amp;RIGHT(A5786,8)&amp;"*",Main_Tariff!A:A,0)),Raeburn_Main_Tariff[[#This Row],[PRODUCER]])</f>
        <v>St. Christeau</v>
      </c>
      <c r="C5786" s="1178" t="s">
        <v>666</v>
      </c>
      <c r="D5786" s="1178" t="s">
        <v>6904</v>
      </c>
      <c r="E5786" s="1179">
        <v>1973</v>
      </c>
      <c r="F5786" s="1282" t="s">
        <v>21392</v>
      </c>
      <c r="G5786" s="1368">
        <v>84.25</v>
      </c>
      <c r="H5786" s="1178" t="s">
        <v>20224</v>
      </c>
      <c r="I5786" s="1178" t="s">
        <v>18663</v>
      </c>
      <c r="J5786" s="1178" t="s">
        <v>23120</v>
      </c>
      <c r="K5786" s="1178" t="s">
        <v>20221</v>
      </c>
      <c r="L5786" s="1178"/>
      <c r="M5786" s="1369"/>
      <c r="N5786" s="1178"/>
      <c r="O5786" s="1178">
        <v>6</v>
      </c>
      <c r="P5786" s="1178">
        <v>40</v>
      </c>
    </row>
    <row r="5787" spans="1:16">
      <c r="A5787" s="1178" t="s">
        <v>667</v>
      </c>
      <c r="B5787" s="1371" t="str">
        <f>HYPERLINK(IFERROR("#Main_Tariff!A"&amp;MATCH(Raeburn_Main_Tariff[[#This Row],[Product Code]],Main_Tariff!I:I,0),"#Main_Tariff!A"&amp;MATCH("*"&amp;RIGHT(A5787,8)&amp;"*",Main_Tariff!A:A,0)),Raeburn_Main_Tariff[[#This Row],[PRODUCER]])</f>
        <v>St. Christeau</v>
      </c>
      <c r="C5787" s="1178" t="s">
        <v>666</v>
      </c>
      <c r="D5787" s="1178" t="s">
        <v>6904</v>
      </c>
      <c r="E5787" s="1179">
        <v>1970</v>
      </c>
      <c r="F5787" s="1282" t="s">
        <v>21392</v>
      </c>
      <c r="G5787" s="1368">
        <v>185.25</v>
      </c>
      <c r="H5787" s="1178" t="s">
        <v>20224</v>
      </c>
      <c r="I5787" s="1178" t="s">
        <v>18664</v>
      </c>
      <c r="J5787" s="1178" t="s">
        <v>23120</v>
      </c>
      <c r="K5787" s="1178" t="s">
        <v>20221</v>
      </c>
      <c r="L5787" s="1178"/>
      <c r="M5787" s="1369"/>
      <c r="N5787" s="1178"/>
      <c r="O5787" s="1178">
        <v>6</v>
      </c>
      <c r="P5787" s="1178">
        <v>40</v>
      </c>
    </row>
    <row r="5788" spans="1:16">
      <c r="A5788" s="1178" t="s">
        <v>22205</v>
      </c>
      <c r="B5788" s="1371" t="str">
        <f>HYPERLINK(IFERROR("#Main_Tariff!A"&amp;MATCH(Raeburn_Main_Tariff[[#This Row],[Product Code]],Main_Tariff!I:I,0),"#Main_Tariff!A"&amp;MATCH("*"&amp;RIGHT(A5788,8)&amp;"*",Main_Tariff!A:A,0)),Raeburn_Main_Tariff[[#This Row],[PRODUCER]])</f>
        <v>Il Gusto Della Costa</v>
      </c>
      <c r="C5788" s="1178" t="s">
        <v>22206</v>
      </c>
      <c r="D5788" s="1178" t="s">
        <v>6904</v>
      </c>
      <c r="E5788" s="1179" t="s">
        <v>19060</v>
      </c>
      <c r="F5788" s="1282" t="s">
        <v>20313</v>
      </c>
      <c r="G5788" s="1368">
        <v>19.5</v>
      </c>
      <c r="H5788" s="1178" t="s">
        <v>20221</v>
      </c>
      <c r="I5788" s="1178" t="s">
        <v>13906</v>
      </c>
      <c r="J5788" s="1178" t="s">
        <v>23120</v>
      </c>
      <c r="K5788" s="1178" t="s">
        <v>20221</v>
      </c>
      <c r="L5788" s="1178"/>
      <c r="M5788" s="1369"/>
      <c r="N5788" s="1178"/>
      <c r="O5788" s="1178">
        <v>6</v>
      </c>
      <c r="P5788" s="1178">
        <v>35</v>
      </c>
    </row>
    <row r="5789" spans="1:16">
      <c r="A5789" s="1178" t="s">
        <v>669</v>
      </c>
      <c r="B5789" s="1371" t="str">
        <f>HYPERLINK(IFERROR("#Main_Tariff!A"&amp;MATCH(Raeburn_Main_Tariff[[#This Row],[Product Code]],Main_Tariff!I:I,0),"#Main_Tariff!A"&amp;MATCH("*"&amp;RIGHT(A5789,8)&amp;"*",Main_Tariff!A:A,0)),Raeburn_Main_Tariff[[#This Row],[PRODUCER]])</f>
        <v>Carlo Gobetti</v>
      </c>
      <c r="C5789" s="1178" t="s">
        <v>23159</v>
      </c>
      <c r="D5789" s="1178" t="s">
        <v>6904</v>
      </c>
      <c r="E5789" s="1179">
        <v>2009</v>
      </c>
      <c r="F5789" s="1282" t="s">
        <v>21392</v>
      </c>
      <c r="G5789" s="1368">
        <v>53</v>
      </c>
      <c r="H5789" s="1178" t="s">
        <v>20221</v>
      </c>
      <c r="I5789" s="1178" t="s">
        <v>18671</v>
      </c>
      <c r="J5789" s="1178" t="s">
        <v>23120</v>
      </c>
      <c r="K5789" s="1178" t="s">
        <v>20221</v>
      </c>
      <c r="L5789" s="1178"/>
      <c r="M5789" s="1369"/>
      <c r="N5789" s="1178"/>
      <c r="O5789" s="1178">
        <v>9</v>
      </c>
      <c r="P5789" s="1178">
        <v>50</v>
      </c>
    </row>
    <row r="5790" spans="1:16">
      <c r="A5790" s="1178" t="s">
        <v>669</v>
      </c>
      <c r="B5790" s="1371" t="str">
        <f>HYPERLINK(IFERROR("#Main_Tariff!A"&amp;MATCH(Raeburn_Main_Tariff[[#This Row],[Product Code]],Main_Tariff!I:I,0),"#Main_Tariff!A"&amp;MATCH("*"&amp;RIGHT(A5790,8)&amp;"*",Main_Tariff!A:A,0)),Raeburn_Main_Tariff[[#This Row],[PRODUCER]])</f>
        <v>Carlo Gobetti</v>
      </c>
      <c r="C5790" s="1178" t="s">
        <v>23160</v>
      </c>
      <c r="D5790" s="1178" t="s">
        <v>6904</v>
      </c>
      <c r="E5790" s="1179">
        <v>2003</v>
      </c>
      <c r="F5790" s="1282" t="s">
        <v>21392</v>
      </c>
      <c r="G5790" s="1368">
        <v>50</v>
      </c>
      <c r="H5790" s="1178" t="s">
        <v>20224</v>
      </c>
      <c r="I5790" s="1178" t="s">
        <v>18675</v>
      </c>
      <c r="J5790" s="1178" t="s">
        <v>23120</v>
      </c>
      <c r="K5790" s="1178" t="s">
        <v>20221</v>
      </c>
      <c r="L5790" s="1178"/>
      <c r="M5790" s="1369"/>
      <c r="N5790" s="1178"/>
      <c r="O5790" s="1178">
        <v>9</v>
      </c>
      <c r="P5790" s="1178">
        <v>50</v>
      </c>
    </row>
    <row r="5791" spans="1:16">
      <c r="A5791" s="1178" t="s">
        <v>669</v>
      </c>
      <c r="B5791" s="1371" t="str">
        <f>HYPERLINK(IFERROR("#Main_Tariff!A"&amp;MATCH(Raeburn_Main_Tariff[[#This Row],[Product Code]],Main_Tariff!I:I,0),"#Main_Tariff!A"&amp;MATCH("*"&amp;RIGHT(A5791,8)&amp;"*",Main_Tariff!A:A,0)),Raeburn_Main_Tariff[[#This Row],[PRODUCER]])</f>
        <v>Carlo Gobetti</v>
      </c>
      <c r="C5791" s="1178" t="s">
        <v>23161</v>
      </c>
      <c r="D5791" s="1178" t="s">
        <v>6904</v>
      </c>
      <c r="E5791" s="1179">
        <v>2012</v>
      </c>
      <c r="F5791" s="1282" t="s">
        <v>21392</v>
      </c>
      <c r="G5791" s="1368">
        <v>50</v>
      </c>
      <c r="H5791" s="1178" t="s">
        <v>20224</v>
      </c>
      <c r="I5791" s="1178" t="s">
        <v>18677</v>
      </c>
      <c r="J5791" s="1178" t="s">
        <v>23120</v>
      </c>
      <c r="K5791" s="1178" t="s">
        <v>20221</v>
      </c>
      <c r="L5791" s="1178"/>
      <c r="M5791" s="1369"/>
      <c r="N5791" s="1178"/>
      <c r="O5791" s="1178">
        <v>9</v>
      </c>
      <c r="P5791" s="1178">
        <v>50</v>
      </c>
    </row>
    <row r="5792" spans="1:16">
      <c r="A5792" s="1178" t="s">
        <v>669</v>
      </c>
      <c r="B5792" s="1371" t="str">
        <f>HYPERLINK(IFERROR("#Main_Tariff!A"&amp;MATCH(Raeburn_Main_Tariff[[#This Row],[Product Code]],Main_Tariff!I:I,0),"#Main_Tariff!A"&amp;MATCH("*"&amp;RIGHT(A5792,8)&amp;"*",Main_Tariff!A:A,0)),Raeburn_Main_Tariff[[#This Row],[PRODUCER]])</f>
        <v>Carlo Gobetti</v>
      </c>
      <c r="C5792" s="1178" t="s">
        <v>23162</v>
      </c>
      <c r="D5792" s="1178" t="s">
        <v>6904</v>
      </c>
      <c r="E5792" s="1179">
        <v>2000</v>
      </c>
      <c r="F5792" s="1282" t="s">
        <v>21392</v>
      </c>
      <c r="G5792" s="1368">
        <v>55</v>
      </c>
      <c r="H5792" s="1178" t="s">
        <v>20221</v>
      </c>
      <c r="I5792" s="1178" t="s">
        <v>18681</v>
      </c>
      <c r="J5792" s="1178" t="s">
        <v>23120</v>
      </c>
      <c r="K5792" s="1178" t="s">
        <v>20221</v>
      </c>
      <c r="L5792" s="1178"/>
      <c r="M5792" s="1369"/>
      <c r="N5792" s="1178"/>
      <c r="O5792" s="1178">
        <v>9</v>
      </c>
      <c r="P5792" s="1178">
        <v>50</v>
      </c>
    </row>
    <row r="5793" spans="1:16">
      <c r="A5793" s="1178" t="s">
        <v>669</v>
      </c>
      <c r="B5793" s="1371" t="str">
        <f>HYPERLINK(IFERROR("#Main_Tariff!A"&amp;MATCH(Raeburn_Main_Tariff[[#This Row],[Product Code]],Main_Tariff!I:I,0),"#Main_Tariff!A"&amp;MATCH("*"&amp;RIGHT(A5793,8)&amp;"*",Main_Tariff!A:A,0)),Raeburn_Main_Tariff[[#This Row],[PRODUCER]])</f>
        <v>Carlo Gobetti</v>
      </c>
      <c r="C5793" s="1178" t="s">
        <v>23162</v>
      </c>
      <c r="D5793" s="1178" t="s">
        <v>6904</v>
      </c>
      <c r="E5793" s="1179">
        <v>1998</v>
      </c>
      <c r="F5793" s="1282" t="s">
        <v>21392</v>
      </c>
      <c r="G5793" s="1368">
        <v>55</v>
      </c>
      <c r="H5793" s="1178" t="s">
        <v>20224</v>
      </c>
      <c r="I5793" s="1178" t="s">
        <v>18683</v>
      </c>
      <c r="J5793" s="1178" t="s">
        <v>23120</v>
      </c>
      <c r="K5793" s="1178" t="s">
        <v>20221</v>
      </c>
      <c r="L5793" s="1178"/>
      <c r="M5793" s="1369"/>
      <c r="N5793" s="1178"/>
      <c r="O5793" s="1178">
        <v>9</v>
      </c>
      <c r="P5793" s="1178">
        <v>50</v>
      </c>
    </row>
    <row r="5794" spans="1:16">
      <c r="A5794" s="1178" t="s">
        <v>669</v>
      </c>
      <c r="B5794" s="1371" t="str">
        <f>HYPERLINK(IFERROR("#Main_Tariff!A"&amp;MATCH(Raeburn_Main_Tariff[[#This Row],[Product Code]],Main_Tariff!I:I,0),"#Main_Tariff!A"&amp;MATCH("*"&amp;RIGHT(A5794,8)&amp;"*",Main_Tariff!A:A,0)),Raeburn_Main_Tariff[[#This Row],[PRODUCER]])</f>
        <v>Carlo Gobetti</v>
      </c>
      <c r="C5794" s="1178" t="s">
        <v>23163</v>
      </c>
      <c r="D5794" s="1178" t="s">
        <v>6904</v>
      </c>
      <c r="E5794" s="1179">
        <v>1998</v>
      </c>
      <c r="F5794" s="1282" t="s">
        <v>20240</v>
      </c>
      <c r="G5794" s="1368">
        <v>119</v>
      </c>
      <c r="H5794" s="1178" t="s">
        <v>20224</v>
      </c>
      <c r="I5794" s="1178" t="s">
        <v>18685</v>
      </c>
      <c r="J5794" s="1178" t="s">
        <v>23120</v>
      </c>
      <c r="K5794" s="1178" t="s">
        <v>20221</v>
      </c>
      <c r="L5794" s="1178"/>
      <c r="M5794" s="1369"/>
      <c r="N5794" s="1178"/>
      <c r="O5794" s="1178">
        <v>1</v>
      </c>
      <c r="P5794" s="1178">
        <v>50</v>
      </c>
    </row>
    <row r="5795" spans="1:16">
      <c r="A5795" s="1178" t="s">
        <v>669</v>
      </c>
      <c r="B5795" s="1371" t="str">
        <f>HYPERLINK(IFERROR("#Main_Tariff!A"&amp;MATCH(Raeburn_Main_Tariff[[#This Row],[Product Code]],Main_Tariff!I:I,0),"#Main_Tariff!A"&amp;MATCH("*"&amp;RIGHT(A5795,8)&amp;"*",Main_Tariff!A:A,0)),Raeburn_Main_Tariff[[#This Row],[PRODUCER]])</f>
        <v>Carlo Gobetti</v>
      </c>
      <c r="C5795" s="1178" t="s">
        <v>23164</v>
      </c>
      <c r="D5795" s="1178" t="s">
        <v>6904</v>
      </c>
      <c r="E5795" s="1179">
        <v>1994</v>
      </c>
      <c r="F5795" s="1282" t="s">
        <v>20313</v>
      </c>
      <c r="G5795" s="1368">
        <v>51</v>
      </c>
      <c r="H5795" s="1178" t="s">
        <v>20224</v>
      </c>
      <c r="I5795" s="1178" t="s">
        <v>18687</v>
      </c>
      <c r="J5795" s="1178" t="s">
        <v>23120</v>
      </c>
      <c r="K5795" s="1178" t="s">
        <v>20221</v>
      </c>
      <c r="L5795" s="1178"/>
      <c r="M5795" s="1369"/>
      <c r="N5795" s="1178"/>
      <c r="O5795" s="1178">
        <v>6</v>
      </c>
      <c r="P5795" s="1178">
        <v>50</v>
      </c>
    </row>
    <row r="5796" spans="1:16">
      <c r="A5796" s="1178" t="s">
        <v>669</v>
      </c>
      <c r="B5796" s="1371" t="str">
        <f>HYPERLINK(IFERROR("#Main_Tariff!A"&amp;MATCH(Raeburn_Main_Tariff[[#This Row],[Product Code]],Main_Tariff!I:I,0),"#Main_Tariff!A"&amp;MATCH("*"&amp;RIGHT(A5796,8)&amp;"*",Main_Tariff!A:A,0)),Raeburn_Main_Tariff[[#This Row],[PRODUCER]])</f>
        <v>Carlo Gobetti</v>
      </c>
      <c r="C5796" s="1178" t="s">
        <v>23165</v>
      </c>
      <c r="D5796" s="1178" t="s">
        <v>6904</v>
      </c>
      <c r="E5796" s="1179">
        <v>2015</v>
      </c>
      <c r="F5796" s="1282" t="s">
        <v>20313</v>
      </c>
      <c r="G5796" s="1368">
        <v>69</v>
      </c>
      <c r="H5796" s="1178" t="s">
        <v>20224</v>
      </c>
      <c r="I5796" s="1178" t="s">
        <v>18692</v>
      </c>
      <c r="J5796" s="1178" t="s">
        <v>23120</v>
      </c>
      <c r="K5796" s="1178" t="s">
        <v>20221</v>
      </c>
      <c r="L5796" s="1178"/>
      <c r="M5796" s="1369"/>
      <c r="N5796" s="1178"/>
      <c r="O5796" s="1178">
        <v>6</v>
      </c>
      <c r="P5796" s="1178">
        <v>62.1</v>
      </c>
    </row>
    <row r="5797" spans="1:16">
      <c r="A5797" s="1178" t="s">
        <v>669</v>
      </c>
      <c r="B5797" s="1371" t="str">
        <f>HYPERLINK(IFERROR("#Main_Tariff!A"&amp;MATCH(Raeburn_Main_Tariff[[#This Row],[Product Code]],Main_Tariff!I:I,0),"#Main_Tariff!A"&amp;MATCH("*"&amp;RIGHT(A5797,8)&amp;"*",Main_Tariff!A:A,0)),Raeburn_Main_Tariff[[#This Row],[PRODUCER]])</f>
        <v>Carlo Gobetti</v>
      </c>
      <c r="C5797" s="1178" t="s">
        <v>23166</v>
      </c>
      <c r="D5797" s="1178" t="s">
        <v>6904</v>
      </c>
      <c r="E5797" s="1179">
        <v>2014</v>
      </c>
      <c r="F5797" s="1282" t="s">
        <v>20313</v>
      </c>
      <c r="G5797" s="1368">
        <v>84</v>
      </c>
      <c r="H5797" s="1178" t="s">
        <v>20221</v>
      </c>
      <c r="I5797" s="1178" t="s">
        <v>18694</v>
      </c>
      <c r="J5797" s="1178" t="s">
        <v>23120</v>
      </c>
      <c r="K5797" s="1178" t="s">
        <v>20221</v>
      </c>
      <c r="L5797" s="1178"/>
      <c r="M5797" s="1369"/>
      <c r="N5797" s="1178"/>
      <c r="O5797" s="1178">
        <v>9</v>
      </c>
      <c r="P5797" s="1178">
        <v>64.5</v>
      </c>
    </row>
    <row r="5798" spans="1:16">
      <c r="A5798" s="1178" t="s">
        <v>669</v>
      </c>
      <c r="B5798" s="1371" t="str">
        <f>HYPERLINK(IFERROR("#Main_Tariff!A"&amp;MATCH(Raeburn_Main_Tariff[[#This Row],[Product Code]],Main_Tariff!I:I,0),"#Main_Tariff!A"&amp;MATCH("*"&amp;RIGHT(A5798,8)&amp;"*",Main_Tariff!A:A,0)),Raeburn_Main_Tariff[[#This Row],[PRODUCER]])</f>
        <v>Carlo Gobetti</v>
      </c>
      <c r="C5798" s="1178" t="s">
        <v>23167</v>
      </c>
      <c r="D5798" s="1178" t="s">
        <v>6904</v>
      </c>
      <c r="E5798" s="1179">
        <v>2010</v>
      </c>
      <c r="F5798" s="1282" t="s">
        <v>20313</v>
      </c>
      <c r="G5798" s="1368">
        <v>84</v>
      </c>
      <c r="H5798" s="1178" t="s">
        <v>20224</v>
      </c>
      <c r="I5798" s="1178" t="s">
        <v>18696</v>
      </c>
      <c r="J5798" s="1178" t="s">
        <v>23120</v>
      </c>
      <c r="K5798" s="1178" t="s">
        <v>20221</v>
      </c>
      <c r="L5798" s="1178"/>
      <c r="M5798" s="1369"/>
      <c r="N5798" s="1178"/>
      <c r="O5798" s="1178">
        <v>6</v>
      </c>
      <c r="P5798" s="1178">
        <v>65.099999999999994</v>
      </c>
    </row>
    <row r="5799" spans="1:16">
      <c r="A5799" s="1178" t="s">
        <v>669</v>
      </c>
      <c r="B5799" s="1371" t="str">
        <f>HYPERLINK(IFERROR("#Main_Tariff!A"&amp;MATCH(Raeburn_Main_Tariff[[#This Row],[Product Code]],Main_Tariff!I:I,0),"#Main_Tariff!A"&amp;MATCH("*"&amp;RIGHT(A5799,8)&amp;"*",Main_Tariff!A:A,0)),Raeburn_Main_Tariff[[#This Row],[PRODUCER]])</f>
        <v>Carlo Gobetti</v>
      </c>
      <c r="C5799" s="1178" t="s">
        <v>23168</v>
      </c>
      <c r="D5799" s="1178" t="s">
        <v>6904</v>
      </c>
      <c r="E5799" s="1179">
        <v>2005</v>
      </c>
      <c r="F5799" s="1282" t="s">
        <v>20313</v>
      </c>
      <c r="G5799" s="1368">
        <v>69</v>
      </c>
      <c r="H5799" s="1178" t="s">
        <v>20224</v>
      </c>
      <c r="I5799" s="1178" t="s">
        <v>18698</v>
      </c>
      <c r="J5799" s="1178" t="s">
        <v>23120</v>
      </c>
      <c r="K5799" s="1178" t="s">
        <v>20221</v>
      </c>
      <c r="L5799" s="1178"/>
      <c r="M5799" s="1369"/>
      <c r="N5799" s="1178"/>
      <c r="O5799" s="1178">
        <v>6</v>
      </c>
      <c r="P5799" s="1178">
        <v>59.7</v>
      </c>
    </row>
    <row r="5800" spans="1:16">
      <c r="A5800" s="1178" t="s">
        <v>669</v>
      </c>
      <c r="B5800" s="1371" t="str">
        <f>HYPERLINK(IFERROR("#Main_Tariff!A"&amp;MATCH(Raeburn_Main_Tariff[[#This Row],[Product Code]],Main_Tariff!I:I,0),"#Main_Tariff!A"&amp;MATCH("*"&amp;RIGHT(A5800,8)&amp;"*",Main_Tariff!A:A,0)),Raeburn_Main_Tariff[[#This Row],[PRODUCER]])</f>
        <v>Carlo Gobetti</v>
      </c>
      <c r="C5800" s="1178" t="s">
        <v>23169</v>
      </c>
      <c r="D5800" s="1178" t="s">
        <v>6904</v>
      </c>
      <c r="E5800" s="1179">
        <v>1995</v>
      </c>
      <c r="F5800" s="1282" t="s">
        <v>20313</v>
      </c>
      <c r="G5800" s="1368">
        <v>63</v>
      </c>
      <c r="H5800" s="1178" t="s">
        <v>20224</v>
      </c>
      <c r="I5800" s="1178" t="s">
        <v>18700</v>
      </c>
      <c r="J5800" s="1178" t="s">
        <v>23120</v>
      </c>
      <c r="K5800" s="1178" t="s">
        <v>20221</v>
      </c>
      <c r="L5800" s="1178"/>
      <c r="M5800" s="1369"/>
      <c r="N5800" s="1178"/>
      <c r="O5800" s="1178">
        <v>6</v>
      </c>
      <c r="P5800" s="1178">
        <v>60</v>
      </c>
    </row>
    <row r="5801" spans="1:16">
      <c r="A5801" s="1178" t="s">
        <v>669</v>
      </c>
      <c r="B5801" s="1371" t="str">
        <f>HYPERLINK(IFERROR("#Main_Tariff!A"&amp;MATCH(Raeburn_Main_Tariff[[#This Row],[Product Code]],Main_Tariff!I:I,0),"#Main_Tariff!A"&amp;MATCH("*"&amp;RIGHT(A5801,8)&amp;"*",Main_Tariff!A:A,0)),Raeburn_Main_Tariff[[#This Row],[PRODUCER]])</f>
        <v>Carlo Gobetti</v>
      </c>
      <c r="C5801" s="1178" t="s">
        <v>23170</v>
      </c>
      <c r="D5801" s="1178" t="s">
        <v>6904</v>
      </c>
      <c r="E5801" s="1179">
        <v>2001</v>
      </c>
      <c r="F5801" s="1282" t="s">
        <v>20313</v>
      </c>
      <c r="G5801" s="1368">
        <v>58</v>
      </c>
      <c r="H5801" s="1178" t="s">
        <v>20221</v>
      </c>
      <c r="I5801" s="1178" t="s">
        <v>18705</v>
      </c>
      <c r="J5801" s="1178" t="s">
        <v>23120</v>
      </c>
      <c r="K5801" s="1178" t="s">
        <v>20221</v>
      </c>
      <c r="L5801" s="1178"/>
      <c r="M5801" s="1369"/>
      <c r="N5801" s="1178"/>
      <c r="O5801" s="1178">
        <v>9</v>
      </c>
      <c r="P5801" s="1178">
        <v>50</v>
      </c>
    </row>
    <row r="5802" spans="1:16">
      <c r="A5802" s="1178" t="s">
        <v>669</v>
      </c>
      <c r="B5802" s="1371" t="str">
        <f>HYPERLINK(IFERROR("#Main_Tariff!A"&amp;MATCH(Raeburn_Main_Tariff[[#This Row],[Product Code]],Main_Tariff!I:I,0),"#Main_Tariff!A"&amp;MATCH("*"&amp;RIGHT(A5802,8)&amp;"*",Main_Tariff!A:A,0)),Raeburn_Main_Tariff[[#This Row],[PRODUCER]])</f>
        <v>Carlo Gobetti</v>
      </c>
      <c r="C5802" s="1178" t="s">
        <v>23171</v>
      </c>
      <c r="D5802" s="1178" t="s">
        <v>6904</v>
      </c>
      <c r="E5802" s="1179">
        <v>1999</v>
      </c>
      <c r="F5802" s="1282" t="s">
        <v>20313</v>
      </c>
      <c r="G5802" s="1368">
        <v>58</v>
      </c>
      <c r="H5802" s="1178" t="s">
        <v>20224</v>
      </c>
      <c r="I5802" s="1178" t="s">
        <v>18707</v>
      </c>
      <c r="J5802" s="1178" t="s">
        <v>23120</v>
      </c>
      <c r="K5802" s="1178" t="s">
        <v>20221</v>
      </c>
      <c r="L5802" s="1178"/>
      <c r="M5802" s="1369"/>
      <c r="N5802" s="1178"/>
      <c r="O5802" s="1178">
        <v>9</v>
      </c>
      <c r="P5802" s="1178">
        <v>50</v>
      </c>
    </row>
    <row r="5803" spans="1:16">
      <c r="A5803" s="1178" t="s">
        <v>669</v>
      </c>
      <c r="B5803" s="1371" t="str">
        <f>HYPERLINK(IFERROR("#Main_Tariff!A"&amp;MATCH(Raeburn_Main_Tariff[[#This Row],[Product Code]],Main_Tariff!I:I,0),"#Main_Tariff!A"&amp;MATCH("*"&amp;RIGHT(A5803,8)&amp;"*",Main_Tariff!A:A,0)),Raeburn_Main_Tariff[[#This Row],[PRODUCER]])</f>
        <v>Carlo Gobetti</v>
      </c>
      <c r="C5803" s="1178" t="s">
        <v>23172</v>
      </c>
      <c r="D5803" s="1178" t="s">
        <v>6904</v>
      </c>
      <c r="E5803" s="1179">
        <v>1992</v>
      </c>
      <c r="F5803" s="1282" t="s">
        <v>20313</v>
      </c>
      <c r="G5803" s="1368">
        <v>58</v>
      </c>
      <c r="H5803" s="1178" t="s">
        <v>20224</v>
      </c>
      <c r="I5803" s="1178" t="s">
        <v>18712</v>
      </c>
      <c r="J5803" s="1178" t="s">
        <v>23120</v>
      </c>
      <c r="K5803" s="1178" t="s">
        <v>20221</v>
      </c>
      <c r="L5803" s="1178"/>
      <c r="M5803" s="1369"/>
      <c r="N5803" s="1178"/>
      <c r="O5803" s="1178">
        <v>9</v>
      </c>
      <c r="P5803" s="1178">
        <v>50</v>
      </c>
    </row>
    <row r="5804" spans="1:16">
      <c r="A5804" s="1178" t="s">
        <v>669</v>
      </c>
      <c r="B5804" s="1371" t="str">
        <f>HYPERLINK(IFERROR("#Main_Tariff!A"&amp;MATCH(Raeburn_Main_Tariff[[#This Row],[Product Code]],Main_Tariff!I:I,0),"#Main_Tariff!A"&amp;MATCH("*"&amp;RIGHT(A5804,8)&amp;"*",Main_Tariff!A:A,0)),Raeburn_Main_Tariff[[#This Row],[PRODUCER]])</f>
        <v>Carlo Gobetti</v>
      </c>
      <c r="C5804" s="1178" t="s">
        <v>23173</v>
      </c>
      <c r="D5804" s="1178" t="s">
        <v>6904</v>
      </c>
      <c r="E5804" s="1179">
        <v>1990</v>
      </c>
      <c r="F5804" s="1282" t="s">
        <v>20313</v>
      </c>
      <c r="G5804" s="1368">
        <v>59</v>
      </c>
      <c r="H5804" s="1178" t="s">
        <v>20221</v>
      </c>
      <c r="I5804" s="1178" t="s">
        <v>18714</v>
      </c>
      <c r="J5804" s="1178" t="s">
        <v>23120</v>
      </c>
      <c r="K5804" s="1178" t="s">
        <v>20221</v>
      </c>
      <c r="L5804" s="1178"/>
      <c r="M5804" s="1369"/>
      <c r="N5804" s="1178"/>
      <c r="O5804" s="1178">
        <v>9</v>
      </c>
      <c r="P5804" s="1178">
        <v>50</v>
      </c>
    </row>
    <row r="5805" spans="1:16">
      <c r="A5805" s="1178" t="s">
        <v>669</v>
      </c>
      <c r="B5805" s="1371" t="str">
        <f>HYPERLINK(IFERROR("#Main_Tariff!A"&amp;MATCH(Raeburn_Main_Tariff[[#This Row],[Product Code]],Main_Tariff!I:I,0),"#Main_Tariff!A"&amp;MATCH("*"&amp;RIGHT(A5805,8)&amp;"*",Main_Tariff!A:A,0)),Raeburn_Main_Tariff[[#This Row],[PRODUCER]])</f>
        <v>Carlo Gobetti</v>
      </c>
      <c r="C5805" s="1178" t="s">
        <v>23174</v>
      </c>
      <c r="D5805" s="1178" t="s">
        <v>6904</v>
      </c>
      <c r="E5805" s="1179">
        <v>1990</v>
      </c>
      <c r="F5805" s="1282" t="s">
        <v>20313</v>
      </c>
      <c r="G5805" s="1368">
        <v>58</v>
      </c>
      <c r="H5805" s="1178" t="s">
        <v>20221</v>
      </c>
      <c r="I5805" s="1178" t="s">
        <v>18716</v>
      </c>
      <c r="J5805" s="1178" t="s">
        <v>23120</v>
      </c>
      <c r="K5805" s="1178" t="s">
        <v>20221</v>
      </c>
      <c r="L5805" s="1178"/>
      <c r="M5805" s="1369"/>
      <c r="N5805" s="1178"/>
      <c r="O5805" s="1178">
        <v>9</v>
      </c>
      <c r="P5805" s="1178">
        <v>50</v>
      </c>
    </row>
    <row r="5806" spans="1:16">
      <c r="A5806" s="1178" t="s">
        <v>669</v>
      </c>
      <c r="B5806" s="1371" t="str">
        <f>HYPERLINK(IFERROR("#Main_Tariff!A"&amp;MATCH(Raeburn_Main_Tariff[[#This Row],[Product Code]],Main_Tariff!I:I,0),"#Main_Tariff!A"&amp;MATCH("*"&amp;RIGHT(A5806,8)&amp;"*",Main_Tariff!A:A,0)),Raeburn_Main_Tariff[[#This Row],[PRODUCER]])</f>
        <v>Carlo Gobetti</v>
      </c>
      <c r="C5806" s="1178" t="s">
        <v>23175</v>
      </c>
      <c r="D5806" s="1178" t="s">
        <v>6904</v>
      </c>
      <c r="E5806" s="1179">
        <v>2014</v>
      </c>
      <c r="F5806" s="1282" t="s">
        <v>20313</v>
      </c>
      <c r="G5806" s="1368">
        <v>57</v>
      </c>
      <c r="H5806" s="1178" t="s">
        <v>20224</v>
      </c>
      <c r="I5806" s="1178" t="s">
        <v>18720</v>
      </c>
      <c r="J5806" s="1178" t="s">
        <v>23120</v>
      </c>
      <c r="K5806" s="1178" t="s">
        <v>20221</v>
      </c>
      <c r="L5806" s="1178"/>
      <c r="M5806" s="1369"/>
      <c r="N5806" s="1178"/>
      <c r="O5806" s="1178">
        <v>9</v>
      </c>
      <c r="P5806" s="1178">
        <v>50</v>
      </c>
    </row>
    <row r="5807" spans="1:16">
      <c r="A5807" s="1178" t="s">
        <v>669</v>
      </c>
      <c r="B5807" s="1371" t="str">
        <f>HYPERLINK(IFERROR("#Main_Tariff!A"&amp;MATCH(Raeburn_Main_Tariff[[#This Row],[Product Code]],Main_Tariff!I:I,0),"#Main_Tariff!A"&amp;MATCH("*"&amp;RIGHT(A5807,8)&amp;"*",Main_Tariff!A:A,0)),Raeburn_Main_Tariff[[#This Row],[PRODUCER]])</f>
        <v>Carlo Gobetti</v>
      </c>
      <c r="C5807" s="1178" t="s">
        <v>23176</v>
      </c>
      <c r="D5807" s="1178" t="s">
        <v>6904</v>
      </c>
      <c r="E5807" s="1179">
        <v>2012</v>
      </c>
      <c r="F5807" s="1282" t="s">
        <v>20313</v>
      </c>
      <c r="G5807" s="1368">
        <v>69</v>
      </c>
      <c r="H5807" s="1178" t="s">
        <v>20224</v>
      </c>
      <c r="I5807" s="1178" t="s">
        <v>18721</v>
      </c>
      <c r="J5807" s="1178" t="s">
        <v>23120</v>
      </c>
      <c r="K5807" s="1178" t="s">
        <v>20221</v>
      </c>
      <c r="L5807" s="1178"/>
      <c r="M5807" s="1369"/>
      <c r="N5807" s="1178"/>
      <c r="O5807" s="1178">
        <v>9</v>
      </c>
      <c r="P5807" s="1178">
        <v>50</v>
      </c>
    </row>
    <row r="5808" spans="1:16">
      <c r="A5808" s="1178" t="s">
        <v>669</v>
      </c>
      <c r="B5808" s="1371" t="str">
        <f>HYPERLINK(IFERROR("#Main_Tariff!A"&amp;MATCH(Raeburn_Main_Tariff[[#This Row],[Product Code]],Main_Tariff!I:I,0),"#Main_Tariff!A"&amp;MATCH("*"&amp;RIGHT(A5808,8)&amp;"*",Main_Tariff!A:A,0)),Raeburn_Main_Tariff[[#This Row],[PRODUCER]])</f>
        <v>Carlo Gobetti</v>
      </c>
      <c r="C5808" s="1178" t="s">
        <v>23177</v>
      </c>
      <c r="D5808" s="1178" t="s">
        <v>6904</v>
      </c>
      <c r="E5808" s="1179">
        <v>2003</v>
      </c>
      <c r="F5808" s="1282" t="s">
        <v>20313</v>
      </c>
      <c r="G5808" s="1368">
        <v>57</v>
      </c>
      <c r="H5808" s="1178" t="s">
        <v>20224</v>
      </c>
      <c r="I5808" s="1178" t="s">
        <v>18722</v>
      </c>
      <c r="J5808" s="1178" t="s">
        <v>23120</v>
      </c>
      <c r="K5808" s="1178" t="s">
        <v>20221</v>
      </c>
      <c r="L5808" s="1178"/>
      <c r="M5808" s="1369"/>
      <c r="N5808" s="1178"/>
      <c r="O5808" s="1178">
        <v>9</v>
      </c>
      <c r="P5808" s="1178">
        <v>50</v>
      </c>
    </row>
    <row r="5809" spans="1:16">
      <c r="A5809" s="1178" t="s">
        <v>669</v>
      </c>
      <c r="B5809" s="1371" t="str">
        <f>HYPERLINK(IFERROR("#Main_Tariff!A"&amp;MATCH(Raeburn_Main_Tariff[[#This Row],[Product Code]],Main_Tariff!I:I,0),"#Main_Tariff!A"&amp;MATCH("*"&amp;RIGHT(A5809,8)&amp;"*",Main_Tariff!A:A,0)),Raeburn_Main_Tariff[[#This Row],[PRODUCER]])</f>
        <v>Carlo Gobetti</v>
      </c>
      <c r="C5809" s="1178" t="s">
        <v>23177</v>
      </c>
      <c r="D5809" s="1178" t="s">
        <v>6904</v>
      </c>
      <c r="E5809" s="1179">
        <v>1998</v>
      </c>
      <c r="F5809" s="1282" t="s">
        <v>20313</v>
      </c>
      <c r="G5809" s="1368">
        <v>57</v>
      </c>
      <c r="H5809" s="1178" t="s">
        <v>20224</v>
      </c>
      <c r="I5809" s="1178" t="s">
        <v>18723</v>
      </c>
      <c r="J5809" s="1178" t="s">
        <v>23120</v>
      </c>
      <c r="K5809" s="1178" t="s">
        <v>20221</v>
      </c>
      <c r="L5809" s="1178"/>
      <c r="M5809" s="1369"/>
      <c r="N5809" s="1178"/>
      <c r="O5809" s="1178">
        <v>9</v>
      </c>
      <c r="P5809" s="1178">
        <v>50</v>
      </c>
    </row>
    <row r="5810" spans="1:16">
      <c r="A5810" s="1178" t="s">
        <v>669</v>
      </c>
      <c r="B5810" s="1371" t="str">
        <f>HYPERLINK(IFERROR("#Main_Tariff!A"&amp;MATCH(Raeburn_Main_Tariff[[#This Row],[Product Code]],Main_Tariff!I:I,0),"#Main_Tariff!A"&amp;MATCH("*"&amp;RIGHT(A5810,8)&amp;"*",Main_Tariff!A:A,0)),Raeburn_Main_Tariff[[#This Row],[PRODUCER]])</f>
        <v>Carlo Gobetti</v>
      </c>
      <c r="C5810" s="1178" t="s">
        <v>23178</v>
      </c>
      <c r="D5810" s="1178" t="s">
        <v>6904</v>
      </c>
      <c r="E5810" s="1179">
        <v>1992</v>
      </c>
      <c r="F5810" s="1282" t="s">
        <v>20313</v>
      </c>
      <c r="G5810" s="1368">
        <v>59</v>
      </c>
      <c r="H5810" s="1178" t="s">
        <v>20221</v>
      </c>
      <c r="I5810" s="1178" t="s">
        <v>18724</v>
      </c>
      <c r="J5810" s="1178" t="s">
        <v>23120</v>
      </c>
      <c r="K5810" s="1178" t="s">
        <v>20221</v>
      </c>
      <c r="L5810" s="1178"/>
      <c r="M5810" s="1369"/>
      <c r="N5810" s="1178"/>
      <c r="O5810" s="1178">
        <v>9</v>
      </c>
      <c r="P5810" s="1178">
        <v>50</v>
      </c>
    </row>
    <row r="5811" spans="1:16">
      <c r="A5811" s="1178" t="s">
        <v>669</v>
      </c>
      <c r="B5811" s="1371" t="str">
        <f>HYPERLINK(IFERROR("#Main_Tariff!A"&amp;MATCH(Raeburn_Main_Tariff[[#This Row],[Product Code]],Main_Tariff!I:I,0),"#Main_Tariff!A"&amp;MATCH("*"&amp;RIGHT(A5811,8)&amp;"*",Main_Tariff!A:A,0)),Raeburn_Main_Tariff[[#This Row],[PRODUCER]])</f>
        <v>Carlo Gobetti</v>
      </c>
      <c r="C5811" s="1178" t="s">
        <v>23179</v>
      </c>
      <c r="D5811" s="1178" t="s">
        <v>6904</v>
      </c>
      <c r="E5811" s="1179">
        <v>2001</v>
      </c>
      <c r="F5811" s="1282" t="s">
        <v>20313</v>
      </c>
      <c r="G5811" s="1368">
        <v>69</v>
      </c>
      <c r="H5811" s="1178" t="s">
        <v>20224</v>
      </c>
      <c r="I5811" s="1178" t="s">
        <v>18726</v>
      </c>
      <c r="J5811" s="1178" t="s">
        <v>23120</v>
      </c>
      <c r="K5811" s="1178" t="s">
        <v>20221</v>
      </c>
      <c r="L5811" s="1178"/>
      <c r="M5811" s="1369"/>
      <c r="N5811" s="1178"/>
      <c r="O5811" s="1178">
        <v>9</v>
      </c>
      <c r="P5811" s="1178">
        <v>54.7</v>
      </c>
    </row>
    <row r="5812" spans="1:16">
      <c r="A5812" s="1178" t="s">
        <v>23180</v>
      </c>
      <c r="B5812" s="1371" t="str">
        <f>HYPERLINK(IFERROR("#Main_Tariff!A"&amp;MATCH(Raeburn_Main_Tariff[[#This Row],[Product Code]],Main_Tariff!I:I,0),"#Main_Tariff!A"&amp;MATCH("*"&amp;RIGHT(A5812,8)&amp;"*",Main_Tariff!A:A,0)),Raeburn_Main_Tariff[[#This Row],[PRODUCER]])</f>
        <v>Claudio Gobetti</v>
      </c>
      <c r="C5812" s="1178" t="s">
        <v>23181</v>
      </c>
      <c r="D5812" s="1178" t="s">
        <v>6904</v>
      </c>
      <c r="E5812" s="1179"/>
      <c r="F5812" s="1282" t="s">
        <v>20313</v>
      </c>
      <c r="G5812" s="1368"/>
      <c r="H5812" s="1178" t="s">
        <v>3907</v>
      </c>
      <c r="I5812" s="1178" t="s">
        <v>18729</v>
      </c>
      <c r="J5812" s="1178" t="s">
        <v>23120</v>
      </c>
      <c r="K5812" s="1178" t="s">
        <v>20221</v>
      </c>
      <c r="L5812" s="1178"/>
      <c r="M5812" s="1369"/>
      <c r="N5812" s="1178"/>
      <c r="O5812" s="1178">
        <v>12</v>
      </c>
      <c r="P5812" s="1178">
        <v>45</v>
      </c>
    </row>
    <row r="5813" spans="1:16">
      <c r="A5813" s="1178" t="s">
        <v>23182</v>
      </c>
      <c r="B5813" s="1371" t="str">
        <f>HYPERLINK(IFERROR("#Main_Tariff!A"&amp;MATCH(Raeburn_Main_Tariff[[#This Row],[Product Code]],Main_Tariff!I:I,0),"#Main_Tariff!A"&amp;MATCH("*"&amp;RIGHT(A5813,8)&amp;"*",Main_Tariff!A:A,0)),Raeburn_Main_Tariff[[#This Row],[PRODUCER]])</f>
        <v>Stella Di Campalto</v>
      </c>
      <c r="C5813" s="1178" t="s">
        <v>23183</v>
      </c>
      <c r="D5813" s="1178" t="s">
        <v>6904</v>
      </c>
      <c r="E5813" s="1179" t="s">
        <v>19060</v>
      </c>
      <c r="F5813" s="1282" t="s">
        <v>20313</v>
      </c>
      <c r="G5813" s="1368">
        <v>112</v>
      </c>
      <c r="H5813" s="1178" t="s">
        <v>20224</v>
      </c>
      <c r="I5813" s="1178" t="s">
        <v>13432</v>
      </c>
      <c r="J5813" s="1178" t="s">
        <v>23120</v>
      </c>
      <c r="K5813" s="1178" t="s">
        <v>20221</v>
      </c>
      <c r="L5813" s="1178"/>
      <c r="M5813" s="1369"/>
      <c r="N5813" s="1178"/>
      <c r="O5813" s="1178">
        <v>6</v>
      </c>
      <c r="P5813" s="1178">
        <v>42</v>
      </c>
    </row>
    <row r="5814" spans="1:16">
      <c r="A5814" s="1178" t="s">
        <v>23182</v>
      </c>
      <c r="B5814" s="1371" t="str">
        <f>HYPERLINK(IFERROR("#Main_Tariff!A"&amp;MATCH(Raeburn_Main_Tariff[[#This Row],[Product Code]],Main_Tariff!I:I,0),"#Main_Tariff!A"&amp;MATCH("*"&amp;RIGHT(A5814,8)&amp;"*",Main_Tariff!A:A,0)),Raeburn_Main_Tariff[[#This Row],[PRODUCER]])</f>
        <v>Stella Di Campalto</v>
      </c>
      <c r="C5814" s="1178" t="s">
        <v>23184</v>
      </c>
      <c r="D5814" s="1178" t="s">
        <v>6904</v>
      </c>
      <c r="E5814" s="1179" t="s">
        <v>19060</v>
      </c>
      <c r="F5814" s="1282" t="s">
        <v>20313</v>
      </c>
      <c r="G5814" s="1368">
        <v>112</v>
      </c>
      <c r="H5814" s="1178" t="s">
        <v>20224</v>
      </c>
      <c r="I5814" s="1178" t="s">
        <v>18732</v>
      </c>
      <c r="J5814" s="1178" t="s">
        <v>23120</v>
      </c>
      <c r="K5814" s="1178" t="s">
        <v>20221</v>
      </c>
      <c r="L5814" s="1178"/>
      <c r="M5814" s="1369"/>
      <c r="N5814" s="1178"/>
      <c r="O5814" s="1178">
        <v>6</v>
      </c>
      <c r="P5814" s="1178">
        <v>42</v>
      </c>
    </row>
    <row r="5815" spans="1:16">
      <c r="A5815" s="1178" t="s">
        <v>672</v>
      </c>
      <c r="B5815" s="1371" t="str">
        <f>HYPERLINK(IFERROR("#Main_Tariff!A"&amp;MATCH(Raeburn_Main_Tariff[[#This Row],[Product Code]],Main_Tariff!I:I,0),"#Main_Tariff!A"&amp;MATCH("*"&amp;RIGHT(A5815,8)&amp;"*",Main_Tariff!A:A,0)),Raeburn_Main_Tariff[[#This Row],[PRODUCER]])</f>
        <v>Manzen Shuzo</v>
      </c>
      <c r="C5815" s="1178" t="s">
        <v>23185</v>
      </c>
      <c r="D5815" s="1178" t="s">
        <v>6904</v>
      </c>
      <c r="E5815" s="1179" t="s">
        <v>19060</v>
      </c>
      <c r="F5815" s="1282" t="s">
        <v>22981</v>
      </c>
      <c r="G5815" s="1368">
        <v>36.25</v>
      </c>
      <c r="H5815" s="1178" t="s">
        <v>20221</v>
      </c>
      <c r="I5815" s="1178" t="s">
        <v>18326</v>
      </c>
      <c r="J5815" s="1178" t="s">
        <v>23120</v>
      </c>
      <c r="K5815" s="1178" t="s">
        <v>20221</v>
      </c>
      <c r="L5815" s="1178"/>
      <c r="M5815" s="1369"/>
      <c r="N5815" s="1178"/>
      <c r="O5815" s="1178">
        <v>12</v>
      </c>
      <c r="P5815" s="1178">
        <v>25</v>
      </c>
    </row>
    <row r="5816" spans="1:16">
      <c r="A5816" s="1178" t="s">
        <v>672</v>
      </c>
      <c r="B5816" s="1371" t="str">
        <f>HYPERLINK(IFERROR("#Main_Tariff!A"&amp;MATCH(Raeburn_Main_Tariff[[#This Row],[Product Code]],Main_Tariff!I:I,0),"#Main_Tariff!A"&amp;MATCH("*"&amp;RIGHT(A5816,8)&amp;"*",Main_Tariff!A:A,0)),Raeburn_Main_Tariff[[#This Row],[PRODUCER]])</f>
        <v>Manzen Shuzo</v>
      </c>
      <c r="C5816" s="1178" t="s">
        <v>23186</v>
      </c>
      <c r="D5816" s="1178" t="s">
        <v>6904</v>
      </c>
      <c r="E5816" s="1179" t="s">
        <v>19060</v>
      </c>
      <c r="F5816" s="1282" t="s">
        <v>23004</v>
      </c>
      <c r="G5816" s="1368">
        <v>75.5</v>
      </c>
      <c r="H5816" s="1178" t="s">
        <v>20224</v>
      </c>
      <c r="I5816" s="1178" t="s">
        <v>18328</v>
      </c>
      <c r="J5816" s="1178" t="s">
        <v>23120</v>
      </c>
      <c r="K5816" s="1178" t="s">
        <v>20221</v>
      </c>
      <c r="L5816" s="1178"/>
      <c r="M5816" s="1369"/>
      <c r="N5816" s="1178"/>
      <c r="O5816" s="1178">
        <v>6</v>
      </c>
      <c r="P5816" s="1178">
        <v>25</v>
      </c>
    </row>
    <row r="5817" spans="1:16">
      <c r="A5817" s="1178" t="s">
        <v>23189</v>
      </c>
      <c r="B5817" s="1371" t="str">
        <f>HYPERLINK(IFERROR("#Main_Tariff!A"&amp;MATCH(Raeburn_Main_Tariff[[#This Row],[Product Code]],Main_Tariff!I:I,0),"#Main_Tariff!A"&amp;MATCH("*"&amp;RIGHT(A5817,8)&amp;"*",Main_Tariff!A:A,0)),Raeburn_Main_Tariff[[#This Row],[PRODUCER]])</f>
        <v>ROBERT EYMAEL</v>
      </c>
      <c r="C5817" s="1178" t="s">
        <v>23190</v>
      </c>
      <c r="D5817" s="1178" t="s">
        <v>1410</v>
      </c>
      <c r="E5817" s="1179">
        <v>1997</v>
      </c>
      <c r="F5817" s="1282" t="s">
        <v>20220</v>
      </c>
      <c r="G5817" s="1368" t="s">
        <v>5258</v>
      </c>
      <c r="H5817" s="1178" t="s">
        <v>20465</v>
      </c>
      <c r="I5817" s="1178" t="s">
        <v>18851</v>
      </c>
      <c r="J5817" s="1178" t="s">
        <v>23187</v>
      </c>
      <c r="K5817" s="1178" t="s">
        <v>559</v>
      </c>
      <c r="L5817" s="1178"/>
      <c r="M5817" s="1369"/>
      <c r="N5817" s="1178"/>
      <c r="O5817" s="1178"/>
      <c r="P5817" s="1178"/>
    </row>
    <row r="5818" spans="1:16">
      <c r="A5818" s="1178" t="s">
        <v>23191</v>
      </c>
      <c r="B5818" s="1371" t="str">
        <f>HYPERLINK(IFERROR("#Main_Tariff!A"&amp;MATCH(Raeburn_Main_Tariff[[#This Row],[Product Code]],Main_Tariff!I:I,0),"#Main_Tariff!A"&amp;MATCH("*"&amp;RIGHT(A5818,8)&amp;"*",Main_Tariff!A:A,0)),Raeburn_Main_Tariff[[#This Row],[PRODUCER]])</f>
        <v>GUNDERLOCH</v>
      </c>
      <c r="C5818" s="1178" t="s">
        <v>23192</v>
      </c>
      <c r="D5818" s="1178" t="s">
        <v>1410</v>
      </c>
      <c r="E5818" s="1179">
        <v>2003</v>
      </c>
      <c r="F5818" s="1282" t="s">
        <v>20220</v>
      </c>
      <c r="G5818" s="1368">
        <v>20</v>
      </c>
      <c r="H5818" s="1178" t="s">
        <v>20224</v>
      </c>
      <c r="I5818" s="1178" t="s">
        <v>18839</v>
      </c>
      <c r="J5818" s="1178" t="s">
        <v>23187</v>
      </c>
      <c r="K5818" s="1178" t="s">
        <v>23193</v>
      </c>
      <c r="L5818" s="1178"/>
      <c r="M5818" s="1369"/>
      <c r="N5818" s="1178"/>
      <c r="O5818" s="1178">
        <v>6</v>
      </c>
      <c r="P5818" s="1178">
        <v>12.5</v>
      </c>
    </row>
    <row r="5819" spans="1:16">
      <c r="A5819" s="1178" t="s">
        <v>23191</v>
      </c>
      <c r="B5819" s="1371" t="str">
        <f>HYPERLINK(IFERROR("#Main_Tariff!A"&amp;MATCH(Raeburn_Main_Tariff[[#This Row],[Product Code]],Main_Tariff!I:I,0),"#Main_Tariff!A"&amp;MATCH("*"&amp;RIGHT(A5819,8)&amp;"*",Main_Tariff!A:A,0)),Raeburn_Main_Tariff[[#This Row],[PRODUCER]])</f>
        <v>GUNDERLOCH</v>
      </c>
      <c r="C5819" s="1178" t="s">
        <v>23194</v>
      </c>
      <c r="D5819" s="1178" t="s">
        <v>1410</v>
      </c>
      <c r="E5819" s="1179">
        <v>2002</v>
      </c>
      <c r="F5819" s="1282" t="s">
        <v>20280</v>
      </c>
      <c r="G5819" s="1368">
        <v>17.5</v>
      </c>
      <c r="H5819" s="1178" t="s">
        <v>20221</v>
      </c>
      <c r="I5819" s="1178" t="s">
        <v>18838</v>
      </c>
      <c r="J5819" s="1178" t="s">
        <v>23187</v>
      </c>
      <c r="K5819" s="1178" t="s">
        <v>23193</v>
      </c>
      <c r="L5819" s="1178"/>
      <c r="M5819" s="1369"/>
      <c r="N5819" s="1178"/>
      <c r="O5819" s="1178">
        <v>12</v>
      </c>
      <c r="P5819" s="1178">
        <v>12.5</v>
      </c>
    </row>
    <row r="5820" spans="1:16">
      <c r="A5820" s="1178" t="s">
        <v>23188</v>
      </c>
      <c r="B5820" s="1371" t="str">
        <f>HYPERLINK(IFERROR("#Main_Tariff!A"&amp;MATCH(Raeburn_Main_Tariff[[#This Row],[Product Code]],Main_Tariff!I:I,0),"#Main_Tariff!A"&amp;MATCH("*"&amp;RIGHT(A5820,8)&amp;"*",Main_Tariff!A:A,0)),Raeburn_Main_Tariff[[#This Row],[PRODUCER]])</f>
        <v>J.CATTIN</v>
      </c>
      <c r="C5820" s="1178" t="s">
        <v>23195</v>
      </c>
      <c r="D5820" s="1178" t="s">
        <v>1129</v>
      </c>
      <c r="E5820" s="1179">
        <v>2011</v>
      </c>
      <c r="F5820" s="1282" t="s">
        <v>20220</v>
      </c>
      <c r="G5820" s="1368">
        <v>11.5</v>
      </c>
      <c r="H5820" s="1178" t="s">
        <v>20465</v>
      </c>
      <c r="I5820" s="1178" t="s">
        <v>18847</v>
      </c>
      <c r="J5820" s="1178" t="s">
        <v>23187</v>
      </c>
      <c r="K5820" s="1178" t="s">
        <v>20</v>
      </c>
      <c r="L5820" s="1178"/>
      <c r="M5820" s="1369"/>
      <c r="N5820" s="1178"/>
      <c r="O5820" s="1178">
        <v>12</v>
      </c>
      <c r="P5820" s="1178">
        <v>12</v>
      </c>
    </row>
    <row r="5821" spans="1:16">
      <c r="A5821" s="1178" t="s">
        <v>23196</v>
      </c>
      <c r="B5821" s="1371" t="str">
        <f>HYPERLINK(IFERROR("#Main_Tariff!A"&amp;MATCH(Raeburn_Main_Tariff[[#This Row],[Product Code]],Main_Tariff!I:I,0),"#Main_Tariff!A"&amp;MATCH("*"&amp;RIGHT(A5821,8)&amp;"*",Main_Tariff!A:A,0)),Raeburn_Main_Tariff[[#This Row],[PRODUCER]])</f>
        <v>ROCHIOLI</v>
      </c>
      <c r="C5821" s="1178" t="s">
        <v>21980</v>
      </c>
      <c r="D5821" s="1178" t="s">
        <v>1129</v>
      </c>
      <c r="E5821" s="1179">
        <v>2007</v>
      </c>
      <c r="F5821" s="1282" t="s">
        <v>20220</v>
      </c>
      <c r="G5821" s="1368">
        <v>13.5</v>
      </c>
      <c r="H5821" s="1178" t="s">
        <v>20277</v>
      </c>
      <c r="I5821" s="1178" t="s">
        <v>18849</v>
      </c>
      <c r="J5821" s="1178" t="s">
        <v>23187</v>
      </c>
      <c r="K5821" s="1178" t="s">
        <v>586</v>
      </c>
      <c r="L5821" s="1178"/>
      <c r="M5821" s="1369"/>
      <c r="N5821" s="1178"/>
      <c r="O5821" s="1178">
        <v>12</v>
      </c>
      <c r="P5821" s="1178"/>
    </row>
    <row r="5822" spans="1:16">
      <c r="A5822" s="1178" t="s">
        <v>23197</v>
      </c>
      <c r="B5822" s="1371" t="str">
        <f>HYPERLINK(IFERROR("#Main_Tariff!A"&amp;MATCH(Raeburn_Main_Tariff[[#This Row],[Product Code]],Main_Tariff!I:I,0),"#Main_Tariff!A"&amp;MATCH("*"&amp;RIGHT(A5822,8)&amp;"*",Main_Tariff!A:A,0)),Raeburn_Main_Tariff[[#This Row],[PRODUCER]])</f>
        <v>KILIKANOON</v>
      </c>
      <c r="C5822" s="1178" t="s">
        <v>23198</v>
      </c>
      <c r="D5822" s="1178" t="s">
        <v>1129</v>
      </c>
      <c r="E5822" s="1179">
        <v>2011</v>
      </c>
      <c r="F5822" s="1282" t="s">
        <v>20220</v>
      </c>
      <c r="G5822" s="1368">
        <v>15.5</v>
      </c>
      <c r="H5822" s="1178" t="s">
        <v>20465</v>
      </c>
      <c r="I5822" s="1178" t="s">
        <v>18850</v>
      </c>
      <c r="J5822" s="1178" t="s">
        <v>23187</v>
      </c>
      <c r="K5822" s="1178" t="s">
        <v>23199</v>
      </c>
      <c r="L5822" s="1178"/>
      <c r="M5822" s="1369"/>
      <c r="N5822" s="1178"/>
      <c r="O5822" s="1178">
        <v>6</v>
      </c>
      <c r="P5822" s="1178">
        <v>0</v>
      </c>
    </row>
    <row r="5823" spans="1:16">
      <c r="A5823" s="1178" t="s">
        <v>23200</v>
      </c>
      <c r="B5823" s="1371" t="str">
        <f>HYPERLINK(IFERROR("#Main_Tariff!A"&amp;MATCH(Raeburn_Main_Tariff[[#This Row],[Product Code]],Main_Tariff!I:I,0),"#Main_Tariff!A"&amp;MATCH("*"&amp;RIGHT(A5823,8)&amp;"*",Main_Tariff!A:A,0)),Raeburn_Main_Tariff[[#This Row],[PRODUCER]])</f>
        <v>ARTADI GROUP</v>
      </c>
      <c r="C5823" s="1178" t="s">
        <v>23201</v>
      </c>
      <c r="D5823" s="1178" t="s">
        <v>897</v>
      </c>
      <c r="E5823" s="1179">
        <v>2004</v>
      </c>
      <c r="F5823" s="1282" t="s">
        <v>20220</v>
      </c>
      <c r="G5823" s="1368">
        <v>18.5</v>
      </c>
      <c r="H5823" s="1178" t="s">
        <v>20221</v>
      </c>
      <c r="I5823" s="1178" t="s">
        <v>18855</v>
      </c>
      <c r="J5823" s="1178" t="s">
        <v>23187</v>
      </c>
      <c r="K5823" s="1178" t="s">
        <v>23202</v>
      </c>
      <c r="L5823" s="1178"/>
      <c r="M5823" s="1369"/>
      <c r="N5823" s="1178"/>
      <c r="O5823" s="1178">
        <v>6</v>
      </c>
      <c r="P5823" s="1178">
        <v>13.5</v>
      </c>
    </row>
    <row r="5824" spans="1:16">
      <c r="A5824" s="1178" t="s">
        <v>23203</v>
      </c>
      <c r="B5824" s="1371" t="str">
        <f>HYPERLINK(IFERROR("#Main_Tariff!A"&amp;MATCH(Raeburn_Main_Tariff[[#This Row],[Product Code]],Main_Tariff!I:I,0),"#Main_Tariff!A"&amp;MATCH("*"&amp;RIGHT(A5824,8)&amp;"*",Main_Tariff!A:A,0)),Raeburn_Main_Tariff[[#This Row],[PRODUCER]])</f>
        <v>VALENTINA CUBI</v>
      </c>
      <c r="C5824" s="1178" t="s">
        <v>23204</v>
      </c>
      <c r="D5824" s="1178" t="s">
        <v>897</v>
      </c>
      <c r="E5824" s="1179">
        <v>2013</v>
      </c>
      <c r="F5824" s="1282" t="s">
        <v>20220</v>
      </c>
      <c r="G5824" s="1368">
        <v>15.5</v>
      </c>
      <c r="H5824" s="1178" t="s">
        <v>20221</v>
      </c>
      <c r="I5824" s="1178" t="s">
        <v>18854</v>
      </c>
      <c r="J5824" s="1178" t="s">
        <v>23187</v>
      </c>
      <c r="K5824" s="1178" t="s">
        <v>396</v>
      </c>
      <c r="L5824" s="1178"/>
      <c r="M5824" s="1369"/>
      <c r="N5824" s="1178"/>
      <c r="O5824" s="1178">
        <v>6</v>
      </c>
      <c r="P5824" s="1178">
        <v>15</v>
      </c>
    </row>
    <row r="5825" spans="1:16">
      <c r="A5825" s="1178" t="s">
        <v>23205</v>
      </c>
      <c r="B5825" s="1371" t="str">
        <f>HYPERLINK(IFERROR("#Main_Tariff!A"&amp;MATCH(Raeburn_Main_Tariff[[#This Row],[Product Code]],Main_Tariff!I:I,0),"#Main_Tariff!A"&amp;MATCH("*"&amp;RIGHT(A5825,8)&amp;"*",Main_Tariff!A:A,0)),Raeburn_Main_Tariff[[#This Row],[PRODUCER]])</f>
        <v>GIOVANNI CHIAPPINI</v>
      </c>
      <c r="C5825" s="1178" t="s">
        <v>23206</v>
      </c>
      <c r="D5825" s="1178" t="s">
        <v>897</v>
      </c>
      <c r="E5825" s="1179">
        <v>2009</v>
      </c>
      <c r="F5825" s="1282" t="s">
        <v>20220</v>
      </c>
      <c r="G5825" s="1368">
        <v>53.5</v>
      </c>
      <c r="H5825" s="1178" t="s">
        <v>20221</v>
      </c>
      <c r="I5825" s="1178" t="s">
        <v>18857</v>
      </c>
      <c r="J5825" s="1178" t="s">
        <v>23187</v>
      </c>
      <c r="K5825" s="1178" t="s">
        <v>23207</v>
      </c>
      <c r="L5825" s="1178"/>
      <c r="M5825" s="1369"/>
      <c r="N5825" s="1178"/>
      <c r="O5825" s="1178">
        <v>6</v>
      </c>
      <c r="P5825" s="1178">
        <v>15</v>
      </c>
    </row>
    <row r="5826" spans="1:16">
      <c r="A5826" s="1178" t="s">
        <v>23208</v>
      </c>
      <c r="B5826" s="1371" t="str">
        <f>HYPERLINK(IFERROR("#Main_Tariff!A"&amp;MATCH(Raeburn_Main_Tariff[[#This Row],[Product Code]],Main_Tariff!I:I,0),"#Main_Tariff!A"&amp;MATCH("*"&amp;RIGHT(A5826,8)&amp;"*",Main_Tariff!A:A,0)),Raeburn_Main_Tariff[[#This Row],[PRODUCER]])</f>
        <v>TORBRECK</v>
      </c>
      <c r="C5826" s="1178" t="s">
        <v>23209</v>
      </c>
      <c r="D5826" s="1178" t="s">
        <v>897</v>
      </c>
      <c r="E5826" s="1179">
        <v>2004</v>
      </c>
      <c r="F5826" s="1282" t="s">
        <v>20220</v>
      </c>
      <c r="G5826" s="1368" t="s">
        <v>5258</v>
      </c>
      <c r="H5826" s="1178" t="s">
        <v>20277</v>
      </c>
      <c r="I5826" s="1178" t="s">
        <v>18859</v>
      </c>
      <c r="J5826" s="1178" t="s">
        <v>23187</v>
      </c>
      <c r="K5826" s="1178" t="s">
        <v>614</v>
      </c>
      <c r="L5826" s="1178"/>
      <c r="M5826" s="1369"/>
      <c r="N5826" s="1178"/>
      <c r="O5826" s="1178">
        <v>6</v>
      </c>
      <c r="P5826" s="1178">
        <v>13.5</v>
      </c>
    </row>
    <row r="5827" spans="1:16">
      <c r="A5827" s="1178" t="s">
        <v>23197</v>
      </c>
      <c r="B5827" s="1371" t="str">
        <f>HYPERLINK(IFERROR("#Main_Tariff!A"&amp;MATCH(Raeburn_Main_Tariff[[#This Row],[Product Code]],Main_Tariff!I:I,0),"#Main_Tariff!A"&amp;MATCH("*"&amp;RIGHT(A5827,8)&amp;"*",Main_Tariff!A:A,0)),Raeburn_Main_Tariff[[#This Row],[PRODUCER]])</f>
        <v>KILIKANOON</v>
      </c>
      <c r="C5827" s="1178" t="s">
        <v>23210</v>
      </c>
      <c r="D5827" s="1178" t="s">
        <v>897</v>
      </c>
      <c r="E5827" s="1179">
        <v>2006</v>
      </c>
      <c r="F5827" s="1282" t="s">
        <v>20220</v>
      </c>
      <c r="G5827" s="1368" t="s">
        <v>5258</v>
      </c>
      <c r="H5827" s="1178" t="s">
        <v>20277</v>
      </c>
      <c r="I5827" s="1178" t="s">
        <v>18862</v>
      </c>
      <c r="J5827" s="1178" t="s">
        <v>23187</v>
      </c>
      <c r="K5827" s="1178" t="s">
        <v>23199</v>
      </c>
      <c r="L5827" s="1178"/>
      <c r="M5827" s="1369"/>
      <c r="N5827" s="1178"/>
      <c r="O5827" s="1178">
        <v>6</v>
      </c>
      <c r="P5827" s="1178">
        <v>0</v>
      </c>
    </row>
    <row r="5828" spans="1:16">
      <c r="A5828" s="1178" t="s">
        <v>23197</v>
      </c>
      <c r="B5828" s="1371" t="str">
        <f>HYPERLINK(IFERROR("#Main_Tariff!A"&amp;MATCH(Raeburn_Main_Tariff[[#This Row],[Product Code]],Main_Tariff!I:I,0),"#Main_Tariff!A"&amp;MATCH("*"&amp;RIGHT(A5828,8)&amp;"*",Main_Tariff!A:A,0)),Raeburn_Main_Tariff[[#This Row],[PRODUCER]])</f>
        <v>KILIKANOON</v>
      </c>
      <c r="C5828" s="1178" t="s">
        <v>23210</v>
      </c>
      <c r="D5828" s="1178" t="s">
        <v>897</v>
      </c>
      <c r="E5828" s="1179">
        <v>2005</v>
      </c>
      <c r="F5828" s="1282" t="s">
        <v>20220</v>
      </c>
      <c r="G5828" s="1368" t="s">
        <v>5258</v>
      </c>
      <c r="H5828" s="1178" t="s">
        <v>20465</v>
      </c>
      <c r="I5828" s="1178" t="s">
        <v>18863</v>
      </c>
      <c r="J5828" s="1178" t="s">
        <v>23187</v>
      </c>
      <c r="K5828" s="1178" t="s">
        <v>23199</v>
      </c>
      <c r="L5828" s="1178"/>
      <c r="M5828" s="1369"/>
      <c r="N5828" s="1178"/>
      <c r="O5828" s="1178">
        <v>6</v>
      </c>
      <c r="P5828" s="1178">
        <v>0</v>
      </c>
    </row>
    <row r="5829" spans="1:16">
      <c r="A5829" s="1178" t="s">
        <v>23211</v>
      </c>
      <c r="B5829" s="1371" t="str">
        <f>HYPERLINK(IFERROR("#Main_Tariff!A"&amp;MATCH(Raeburn_Main_Tariff[[#This Row],[Product Code]],Main_Tariff!I:I,0),"#Main_Tariff!A"&amp;MATCH("*"&amp;RIGHT(A5829,8)&amp;"*",Main_Tariff!A:A,0)),Raeburn_Main_Tariff[[#This Row],[PRODUCER]])</f>
        <v>GREENOCK CREEK</v>
      </c>
      <c r="C5829" s="1178" t="s">
        <v>23212</v>
      </c>
      <c r="D5829" s="1178" t="s">
        <v>897</v>
      </c>
      <c r="E5829" s="1179">
        <v>2004</v>
      </c>
      <c r="F5829" s="1282" t="s">
        <v>20220</v>
      </c>
      <c r="G5829" s="1368" t="s">
        <v>5258</v>
      </c>
      <c r="H5829" s="1178" t="s">
        <v>20277</v>
      </c>
      <c r="I5829" s="1178" t="s">
        <v>18865</v>
      </c>
      <c r="J5829" s="1178" t="s">
        <v>23187</v>
      </c>
      <c r="K5829" s="1178" t="s">
        <v>614</v>
      </c>
      <c r="L5829" s="1178"/>
      <c r="M5829" s="1369"/>
      <c r="N5829" s="1178"/>
      <c r="O5829" s="1178">
        <v>12</v>
      </c>
      <c r="P5829" s="1178"/>
    </row>
    <row r="5830" spans="1:16">
      <c r="A5830" s="1178" t="s">
        <v>23213</v>
      </c>
      <c r="B5830" s="1371" t="str">
        <f>HYPERLINK(IFERROR("#Main_Tariff!A"&amp;MATCH(Raeburn_Main_Tariff[[#This Row],[Product Code]],Main_Tariff!I:I,0),"#Main_Tariff!A"&amp;MATCH("*"&amp;RIGHT(A5830,8)&amp;"*",Main_Tariff!A:A,0)),Raeburn_Main_Tariff[[#This Row],[PRODUCER]])</f>
        <v>TABLAS CREEK</v>
      </c>
      <c r="C5830" s="1178" t="s">
        <v>23214</v>
      </c>
      <c r="D5830" s="1178" t="s">
        <v>897</v>
      </c>
      <c r="E5830" s="1179">
        <v>1998</v>
      </c>
      <c r="F5830" s="1282" t="s">
        <v>20220</v>
      </c>
      <c r="G5830" s="1368" t="s">
        <v>5258</v>
      </c>
      <c r="H5830" s="1178" t="s">
        <v>20465</v>
      </c>
      <c r="I5830" s="1178" t="s">
        <v>18867</v>
      </c>
      <c r="J5830" s="1178" t="s">
        <v>23187</v>
      </c>
      <c r="K5830" s="1178" t="s">
        <v>23215</v>
      </c>
      <c r="L5830" s="1178"/>
      <c r="M5830" s="1369"/>
      <c r="N5830" s="1178"/>
      <c r="O5830" s="1178">
        <v>12</v>
      </c>
      <c r="P5830" s="1178">
        <v>0</v>
      </c>
    </row>
    <row r="5831" spans="1:16">
      <c r="A5831" s="1178" t="s">
        <v>23216</v>
      </c>
      <c r="B5831" s="1371" t="str">
        <f>HYPERLINK(IFERROR("#Main_Tariff!A"&amp;MATCH(Raeburn_Main_Tariff[[#This Row],[Product Code]],Main_Tariff!I:I,0),"#Main_Tariff!A"&amp;MATCH("*"&amp;RIGHT(A5831,8)&amp;"*",Main_Tariff!A:A,0)),Raeburn_Main_Tariff[[#This Row],[PRODUCER]])</f>
        <v>VALLI</v>
      </c>
      <c r="C5831" s="1178" t="s">
        <v>23217</v>
      </c>
      <c r="D5831" s="1178" t="s">
        <v>897</v>
      </c>
      <c r="E5831" s="1179">
        <v>2001</v>
      </c>
      <c r="F5831" s="1282" t="s">
        <v>20220</v>
      </c>
      <c r="G5831" s="1368" t="s">
        <v>5258</v>
      </c>
      <c r="H5831" s="1178" t="s">
        <v>20277</v>
      </c>
      <c r="I5831" s="1178" t="s">
        <v>18866</v>
      </c>
      <c r="J5831" s="1178" t="s">
        <v>23187</v>
      </c>
      <c r="K5831" s="1178" t="s">
        <v>606</v>
      </c>
      <c r="L5831" s="1178"/>
      <c r="M5831" s="1369"/>
      <c r="N5831" s="1178"/>
      <c r="O5831" s="1178"/>
      <c r="P5831" s="1178"/>
    </row>
    <row r="5832" spans="1:16">
      <c r="A5832" s="1178" t="s">
        <v>18405</v>
      </c>
      <c r="B5832" s="1371" t="str">
        <f>HYPERLINK(IFERROR("#Main_Tariff!A"&amp;MATCH(Raeburn_Main_Tariff[[#This Row],[Product Code]],Main_Tariff!I:I,0),"#Main_Tariff!A"&amp;MATCH("*"&amp;RIGHT(A5832,8)&amp;"*",Main_Tariff!A:A,0)),Raeburn_Main_Tariff[[#This Row],[PRODUCER]])</f>
        <v>QUINTA DO NOVAL</v>
      </c>
      <c r="C5832" s="1178" t="s">
        <v>23218</v>
      </c>
      <c r="D5832" s="1178" t="s">
        <v>897</v>
      </c>
      <c r="E5832" s="1179">
        <v>2008</v>
      </c>
      <c r="F5832" s="1282" t="s">
        <v>20220</v>
      </c>
      <c r="G5832" s="1368">
        <v>17</v>
      </c>
      <c r="H5832" s="1178" t="s">
        <v>20465</v>
      </c>
      <c r="I5832" s="1178" t="s">
        <v>18861</v>
      </c>
      <c r="J5832" s="1178" t="s">
        <v>23187</v>
      </c>
      <c r="K5832" s="1178" t="s">
        <v>531</v>
      </c>
      <c r="L5832" s="1178"/>
      <c r="M5832" s="1369"/>
      <c r="N5832" s="1178"/>
      <c r="O5832" s="1178">
        <v>6</v>
      </c>
      <c r="P5832" s="1178">
        <v>0</v>
      </c>
    </row>
    <row r="5833" spans="1:16">
      <c r="A5833" s="1178" t="s">
        <v>23219</v>
      </c>
      <c r="B5833" s="1371" t="str">
        <f>HYPERLINK(IFERROR("#Main_Tariff!A"&amp;MATCH(Raeburn_Main_Tariff[[#This Row],[Product Code]],Main_Tariff!I:I,0),"#Main_Tariff!A"&amp;MATCH("*"&amp;RIGHT(A5833,8)&amp;"*",Main_Tariff!A:A,0)),Raeburn_Main_Tariff[[#This Row],[PRODUCER]])</f>
        <v>CASCINA EBREO</v>
      </c>
      <c r="C5833" s="1178" t="s">
        <v>23220</v>
      </c>
      <c r="D5833" s="1178" t="s">
        <v>897</v>
      </c>
      <c r="E5833" s="1179">
        <v>2001</v>
      </c>
      <c r="F5833" s="1282" t="s">
        <v>20220</v>
      </c>
      <c r="G5833" s="1368">
        <v>65</v>
      </c>
      <c r="H5833" s="1178" t="s">
        <v>20221</v>
      </c>
      <c r="I5833" s="1178" t="s">
        <v>18858</v>
      </c>
      <c r="J5833" s="1178" t="s">
        <v>23187</v>
      </c>
      <c r="K5833" s="1178" t="s">
        <v>23221</v>
      </c>
      <c r="L5833" s="1178"/>
      <c r="M5833" s="1369"/>
      <c r="N5833" s="1178"/>
      <c r="O5833" s="1178">
        <v>12</v>
      </c>
      <c r="P5833" s="1178">
        <v>14</v>
      </c>
    </row>
    <row r="5834" spans="1:16">
      <c r="A5834" s="1178" t="s">
        <v>23222</v>
      </c>
      <c r="B5834" s="1371" t="str">
        <f>HYPERLINK(IFERROR("#Main_Tariff!A"&amp;MATCH(Raeburn_Main_Tariff[[#This Row],[Product Code]],Main_Tariff!I:I,0),"#Main_Tariff!A"&amp;MATCH("*"&amp;RIGHT(A5834,8)&amp;"*",Main_Tariff!A:A,0)),Raeburn_Main_Tariff[[#This Row],[PRODUCER]])</f>
        <v>CLOS DU MONT OLIVET</v>
      </c>
      <c r="C5834" s="1178" t="s">
        <v>23223</v>
      </c>
      <c r="D5834" s="1178" t="s">
        <v>897</v>
      </c>
      <c r="E5834" s="1179">
        <v>2000</v>
      </c>
      <c r="F5834" s="1282" t="s">
        <v>20220</v>
      </c>
      <c r="G5834" s="1368" t="s">
        <v>5258</v>
      </c>
      <c r="H5834" s="1178" t="s">
        <v>20224</v>
      </c>
      <c r="I5834" s="1178" t="s">
        <v>18856</v>
      </c>
      <c r="J5834" s="1178" t="s">
        <v>23187</v>
      </c>
      <c r="K5834" s="1178" t="s">
        <v>19409</v>
      </c>
      <c r="L5834" s="1178"/>
      <c r="M5834" s="1369"/>
      <c r="N5834" s="1178"/>
      <c r="O5834" s="1178">
        <v>12</v>
      </c>
      <c r="P5834" s="1178">
        <v>12.5</v>
      </c>
    </row>
    <row r="5835" spans="1:16">
      <c r="A5835" s="1178" t="s">
        <v>23224</v>
      </c>
      <c r="B5835" s="1371" t="str">
        <f>HYPERLINK(IFERROR("#Main_Tariff!A"&amp;MATCH(Raeburn_Main_Tariff[[#This Row],[Product Code]],Main_Tariff!I:I,0),"#Main_Tariff!A"&amp;MATCH("*"&amp;RIGHT(A5835,8)&amp;"*",Main_Tariff!A:A,0)),Raeburn_Main_Tariff[[#This Row],[PRODUCER]])</f>
        <v>ROBLET MONNOT</v>
      </c>
      <c r="C5835" s="1178" t="s">
        <v>23225</v>
      </c>
      <c r="D5835" s="1178" t="s">
        <v>897</v>
      </c>
      <c r="E5835" s="1179">
        <v>2005</v>
      </c>
      <c r="F5835" s="1282" t="s">
        <v>20220</v>
      </c>
      <c r="G5835" s="1368" t="s">
        <v>5258</v>
      </c>
      <c r="H5835" s="1178" t="s">
        <v>20277</v>
      </c>
      <c r="I5835" s="1178" t="s">
        <v>18864</v>
      </c>
      <c r="J5835" s="1178" t="s">
        <v>23187</v>
      </c>
      <c r="K5835" s="1178" t="s">
        <v>267</v>
      </c>
      <c r="L5835" s="1178"/>
      <c r="M5835" s="1369"/>
      <c r="N5835" s="1178"/>
      <c r="O5835" s="1178">
        <v>12</v>
      </c>
      <c r="P5835" s="1178"/>
    </row>
    <row r="5836" spans="1:16">
      <c r="A5836" s="1178" t="s">
        <v>23226</v>
      </c>
      <c r="B5836" s="1371" t="str">
        <f>HYPERLINK(IFERROR("#Main_Tariff!A"&amp;MATCH(Raeburn_Main_Tariff[[#This Row],[Product Code]],Main_Tariff!I:I,0),"#Main_Tariff!A"&amp;MATCH("*"&amp;RIGHT(A5836,8)&amp;"*",Main_Tariff!A:A,0)),Raeburn_Main_Tariff[[#This Row],[PRODUCER]])</f>
        <v>WAKEFIELD</v>
      </c>
      <c r="C5836" s="1178" t="s">
        <v>23227</v>
      </c>
      <c r="D5836" s="1178" t="s">
        <v>1129</v>
      </c>
      <c r="E5836" s="1179">
        <v>2008</v>
      </c>
      <c r="F5836" s="1282" t="s">
        <v>20220</v>
      </c>
      <c r="G5836" s="1368">
        <v>12</v>
      </c>
      <c r="H5836" s="1178" t="s">
        <v>20465</v>
      </c>
      <c r="I5836" s="1178" t="s">
        <v>18848</v>
      </c>
      <c r="J5836" s="1178" t="s">
        <v>23187</v>
      </c>
      <c r="K5836" s="1178" t="s">
        <v>23199</v>
      </c>
      <c r="L5836" s="1178"/>
      <c r="M5836" s="1369"/>
      <c r="N5836" s="1178"/>
      <c r="O5836" s="1178"/>
      <c r="P5836" s="1178"/>
    </row>
    <row r="5837" spans="1:16">
      <c r="A5837" s="1178" t="s">
        <v>23228</v>
      </c>
      <c r="B5837" s="1371" t="str">
        <f>HYPERLINK(IFERROR("#Main_Tariff!A"&amp;MATCH(Raeburn_Main_Tariff[[#This Row],[Product Code]],Main_Tariff!I:I,0),"#Main_Tariff!A"&amp;MATCH("*"&amp;RIGHT(A5837,8)&amp;"*",Main_Tariff!A:A,0)),Raeburn_Main_Tariff[[#This Row],[PRODUCER]])</f>
        <v>TYRRELL'S</v>
      </c>
      <c r="C5837" s="1178" t="s">
        <v>23229</v>
      </c>
      <c r="D5837" s="1178" t="s">
        <v>1129</v>
      </c>
      <c r="E5837" s="1179">
        <v>1999</v>
      </c>
      <c r="F5837" s="1282" t="s">
        <v>20220</v>
      </c>
      <c r="G5837" s="1368" t="s">
        <v>5258</v>
      </c>
      <c r="H5837" s="1178" t="s">
        <v>20224</v>
      </c>
      <c r="I5837" s="1178" t="s">
        <v>18840</v>
      </c>
      <c r="J5837" s="1178" t="s">
        <v>23187</v>
      </c>
      <c r="K5837" s="1178" t="s">
        <v>23230</v>
      </c>
      <c r="L5837" s="1178"/>
      <c r="M5837" s="1369"/>
      <c r="N5837" s="1178"/>
      <c r="O5837" s="1178">
        <v>6</v>
      </c>
      <c r="P5837" s="1178">
        <v>12.5</v>
      </c>
    </row>
    <row r="5838" spans="1:16">
      <c r="A5838" s="1178" t="s">
        <v>23231</v>
      </c>
      <c r="B5838" s="1371" t="str">
        <f>HYPERLINK(IFERROR("#Main_Tariff!A"&amp;MATCH(Raeburn_Main_Tariff[[#This Row],[Product Code]],Main_Tariff!I:I,0),"#Main_Tariff!A"&amp;MATCH("*"&amp;RIGHT(A5838,8)&amp;"*",Main_Tariff!A:A,0)),Raeburn_Main_Tariff[[#This Row],[PRODUCER]])</f>
        <v>CLAUDE RIFFAULT</v>
      </c>
      <c r="C5838" s="1178" t="s">
        <v>23232</v>
      </c>
      <c r="D5838" s="1178" t="s">
        <v>1129</v>
      </c>
      <c r="E5838" s="1179">
        <v>2011</v>
      </c>
      <c r="F5838" s="1282" t="s">
        <v>20220</v>
      </c>
      <c r="G5838" s="1368">
        <v>21</v>
      </c>
      <c r="H5838" s="1178" t="s">
        <v>20277</v>
      </c>
      <c r="I5838" s="1178" t="s">
        <v>18843</v>
      </c>
      <c r="J5838" s="1178" t="s">
        <v>23187</v>
      </c>
      <c r="K5838" s="1178" t="s">
        <v>291</v>
      </c>
      <c r="L5838" s="1178"/>
      <c r="M5838" s="1369"/>
      <c r="N5838" s="1178"/>
      <c r="O5838" s="1178">
        <v>12</v>
      </c>
      <c r="P5838" s="1178">
        <v>0</v>
      </c>
    </row>
    <row r="5839" spans="1:16">
      <c r="A5839" s="1178" t="s">
        <v>23233</v>
      </c>
      <c r="B5839" s="1371" t="str">
        <f>HYPERLINK(IFERROR("#Main_Tariff!A"&amp;MATCH(Raeburn_Main_Tariff[[#This Row],[Product Code]],Main_Tariff!I:I,0),"#Main_Tariff!A"&amp;MATCH("*"&amp;RIGHT(A5839,8)&amp;"*",Main_Tariff!A:A,0)),Raeburn_Main_Tariff[[#This Row],[PRODUCER]])</f>
        <v>R&amp;A PFAFFL</v>
      </c>
      <c r="C5839" s="1178" t="s">
        <v>23234</v>
      </c>
      <c r="D5839" s="1178" t="s">
        <v>1129</v>
      </c>
      <c r="E5839" s="1179">
        <v>1999</v>
      </c>
      <c r="F5839" s="1282" t="s">
        <v>20220</v>
      </c>
      <c r="G5839" s="1368">
        <v>29</v>
      </c>
      <c r="H5839" s="1178" t="s">
        <v>20465</v>
      </c>
      <c r="I5839" s="1178" t="s">
        <v>18844</v>
      </c>
      <c r="J5839" s="1178" t="s">
        <v>23187</v>
      </c>
      <c r="K5839" s="1178" t="s">
        <v>23235</v>
      </c>
      <c r="L5839" s="1178"/>
      <c r="M5839" s="1369"/>
      <c r="N5839" s="1178"/>
      <c r="O5839" s="1178"/>
      <c r="P5839" s="1178"/>
    </row>
    <row r="5840" spans="1:16">
      <c r="A5840" s="1178" t="s">
        <v>23236</v>
      </c>
      <c r="B5840" s="1371" t="str">
        <f>HYPERLINK(IFERROR("#Main_Tariff!A"&amp;MATCH(Raeburn_Main_Tariff[[#This Row],[Product Code]],Main_Tariff!I:I,0),"#Main_Tariff!A"&amp;MATCH("*"&amp;RIGHT(A5840,8)&amp;"*",Main_Tariff!A:A,0)),Raeburn_Main_Tariff[[#This Row],[PRODUCER]])</f>
        <v>CAPE POINT VINEYARDS</v>
      </c>
      <c r="C5840" s="1178" t="s">
        <v>23237</v>
      </c>
      <c r="D5840" s="1178" t="s">
        <v>1129</v>
      </c>
      <c r="E5840" s="1179">
        <v>2016</v>
      </c>
      <c r="F5840" s="1282" t="s">
        <v>20220</v>
      </c>
      <c r="G5840" s="1368">
        <v>11</v>
      </c>
      <c r="H5840" s="1178" t="s">
        <v>20221</v>
      </c>
      <c r="I5840" s="1178" t="s">
        <v>18836</v>
      </c>
      <c r="J5840" s="1178" t="s">
        <v>23187</v>
      </c>
      <c r="K5840" s="1178" t="s">
        <v>23238</v>
      </c>
      <c r="L5840" s="1178"/>
      <c r="M5840" s="1369"/>
      <c r="N5840" s="1178"/>
      <c r="O5840" s="1178">
        <v>6</v>
      </c>
      <c r="P5840" s="1178">
        <v>13.5</v>
      </c>
    </row>
    <row r="5841" spans="1:16">
      <c r="A5841" s="1178" t="s">
        <v>23239</v>
      </c>
      <c r="B5841" s="1371" t="str">
        <f>HYPERLINK(IFERROR("#Main_Tariff!A"&amp;MATCH(Raeburn_Main_Tariff[[#This Row],[Product Code]],Main_Tariff!I:I,0),"#Main_Tariff!A"&amp;MATCH("*"&amp;RIGHT(A5841,8)&amp;"*",Main_Tariff!A:A,0)),Raeburn_Main_Tariff[[#This Row],[PRODUCER]])</f>
        <v>MERLIN CHERRIER</v>
      </c>
      <c r="C5841" s="1178" t="s">
        <v>23240</v>
      </c>
      <c r="D5841" s="1178" t="s">
        <v>1129</v>
      </c>
      <c r="E5841" s="1179">
        <v>2005</v>
      </c>
      <c r="F5841" s="1282" t="s">
        <v>20280</v>
      </c>
      <c r="G5841" s="1368">
        <v>7.5</v>
      </c>
      <c r="H5841" s="1178" t="s">
        <v>20277</v>
      </c>
      <c r="I5841" s="1178" t="s">
        <v>18842</v>
      </c>
      <c r="J5841" s="1178" t="s">
        <v>23187</v>
      </c>
      <c r="K5841" s="1178" t="s">
        <v>291</v>
      </c>
      <c r="L5841" s="1178"/>
      <c r="M5841" s="1369"/>
      <c r="N5841" s="1178"/>
      <c r="O5841" s="1178"/>
      <c r="P5841" s="1178"/>
    </row>
    <row r="5842" spans="1:16">
      <c r="B5842" s="1178"/>
    </row>
    <row r="5843" spans="1:16">
      <c r="B5843" s="1178"/>
    </row>
  </sheetData>
  <phoneticPr fontId="4" type="noConversion"/>
  <pageMargins left="0.7" right="0.7" top="0.75" bottom="0.75" header="0.3" footer="0.3"/>
  <pageSetup paperSize="9"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b9bbdd3c-fcb7-4c17-9830-afdae82d1955"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A7D9DA1C6F4C74DB9450771987A3A2B" ma:contentTypeVersion="5" ma:contentTypeDescription="Create a new document." ma:contentTypeScope="" ma:versionID="09c60d0d338bc9e2a2f935a05e079da9">
  <xsd:schema xmlns:xsd="http://www.w3.org/2001/XMLSchema" xmlns:xs="http://www.w3.org/2001/XMLSchema" xmlns:p="http://schemas.microsoft.com/office/2006/metadata/properties" xmlns:ns3="b9bbdd3c-fcb7-4c17-9830-afdae82d1955" targetNamespace="http://schemas.microsoft.com/office/2006/metadata/properties" ma:root="true" ma:fieldsID="e889e0a444960f24b283759103f8417a" ns3:_="">
    <xsd:import namespace="b9bbdd3c-fcb7-4c17-9830-afdae82d1955"/>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bbdd3c-fcb7-4c17-9830-afdae82d1955"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_activity" ma:index="12"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4FC01D-AFB8-474D-B433-BAF93A97496A}">
  <ds:schemaRefs>
    <ds:schemaRef ds:uri="http://schemas.microsoft.com/office/2006/metadata/properties"/>
    <ds:schemaRef ds:uri="http://www.w3.org/XML/1998/namespace"/>
    <ds:schemaRef ds:uri="http://schemas.microsoft.com/office/infopath/2007/PartnerControls"/>
    <ds:schemaRef ds:uri="b9bbdd3c-fcb7-4c17-9830-afdae82d1955"/>
    <ds:schemaRef ds:uri="http://purl.org/dc/terms/"/>
    <ds:schemaRef ds:uri="http://purl.org/dc/elements/1.1/"/>
    <ds:schemaRef ds:uri="http://schemas.openxmlformats.org/package/2006/metadata/core-properties"/>
    <ds:schemaRef ds:uri="http://schemas.microsoft.com/office/2006/documentManagement/types"/>
    <ds:schemaRef ds:uri="http://purl.org/dc/dcmitype/"/>
  </ds:schemaRefs>
</ds:datastoreItem>
</file>

<file path=customXml/itemProps2.xml><?xml version="1.0" encoding="utf-8"?>
<ds:datastoreItem xmlns:ds="http://schemas.openxmlformats.org/officeDocument/2006/customXml" ds:itemID="{AA249C6D-C7CB-4293-B1EE-CBA71D03849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bbdd3c-fcb7-4c17-9830-afdae82d19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57FE588-B23C-4D3B-AEB2-0022DCE3D0D6}">
  <ds:schemaRefs>
    <ds:schemaRef ds:uri="http://schemas.microsoft.com/DataMashup"/>
  </ds:schemaRefs>
</ds:datastoreItem>
</file>

<file path=customXml/itemProps4.xml><?xml version="1.0" encoding="utf-8"?>
<ds:datastoreItem xmlns:ds="http://schemas.openxmlformats.org/officeDocument/2006/customXml" ds:itemID="{2396C470-3E6F-47CC-9947-5E9116DC44A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Contents</vt:lpstr>
      <vt:lpstr>Main_Tariff</vt:lpstr>
      <vt:lpstr>Plain_Tariff</vt:lpstr>
      <vt:lpstr>Main_Tariff!Print_Area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David Harvey</dc:creator>
  <cp:keywords/>
  <dc:description/>
  <cp:lastModifiedBy>Julia Sewell</cp:lastModifiedBy>
  <cp:revision/>
  <cp:lastPrinted>2025-11-03T11:10:26Z</cp:lastPrinted>
  <dcterms:created xsi:type="dcterms:W3CDTF">2015-08-25T00:53:53Z</dcterms:created>
  <dcterms:modified xsi:type="dcterms:W3CDTF">2025-11-03T11:28:03Z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0x0101006A7D9DA1C6F4C74DB9450771987A3A2B</vt:lpwstr>
  </property>
</Properties>
</file>